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3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ustomProperty6.bin" ContentType="application/vnd.openxmlformats-officedocument.spreadsheetml.customProperty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5.xml" ContentType="application/vnd.openxmlformats-officedocument.drawing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Vaughan\Desktop\"/>
    </mc:Choice>
  </mc:AlternateContent>
  <bookViews>
    <workbookView xWindow="-120" yWindow="-120" windowWidth="29040" windowHeight="15840" tabRatio="923" activeTab="10"/>
  </bookViews>
  <sheets>
    <sheet name="i.SR" sheetId="84" r:id="rId1"/>
    <sheet name="Cover" sheetId="76" r:id="rId2"/>
    <sheet name="Drivers Tabs-&gt;" sheetId="72" r:id="rId3"/>
    <sheet name="Input" sheetId="29" r:id="rId4"/>
    <sheet name="Input Plant" sheetId="46" r:id="rId5"/>
    <sheet name="Input Seg of CWIP" sheetId="58" r:id="rId6"/>
    <sheet name="Input Tax Rate" sheetId="52" r:id="rId7"/>
    <sheet name="Input WFNG" sheetId="79" r:id="rId8"/>
    <sheet name="Model Tabs-&gt;" sheetId="73" r:id="rId9"/>
    <sheet name="IncomeStmt" sheetId="8" r:id="rId10"/>
    <sheet name="Bal Sheet" sheetId="15" r:id="rId11"/>
    <sheet name="2023 Intercompany Debt Schedule" sheetId="90" r:id="rId12"/>
    <sheet name="Debt &amp; Cust Dep" sheetId="38" r:id="rId13"/>
    <sheet name="Cap Str 54.7%" sheetId="69" r:id="rId14"/>
    <sheet name="Int Synch" sheetId="3" r:id="rId15"/>
    <sheet name="Output Tabs-&gt;" sheetId="74" r:id="rId16"/>
    <sheet name="Report" sheetId="1" r:id="rId17"/>
    <sheet name="Reconcil" sheetId="2" r:id="rId18"/>
    <sheet name="Report YE" sheetId="53" r:id="rId19"/>
    <sheet name="Reconcil YE" sheetId="57" r:id="rId20"/>
    <sheet name="MSEA" sheetId="39" state="hidden" r:id="rId21"/>
    <sheet name="AFUDC Sch A " sheetId="65" r:id="rId22"/>
    <sheet name="AFUDC Sch B" sheetId="66" r:id="rId23"/>
    <sheet name="AFUDC Sch C" sheetId="67" r:id="rId24"/>
    <sheet name="Comparison Report Tabs-&gt;" sheetId="75" r:id="rId25"/>
    <sheet name="COMP Act to Prior" sheetId="36" r:id="rId26"/>
    <sheet name="COMP to Final Bud" sheetId="70" r:id="rId27"/>
    <sheet name="COMP to Budget Q2" sheetId="48" state="hidden" r:id="rId28"/>
    <sheet name="COMP to 2+10F" sheetId="61" r:id="rId29"/>
    <sheet name="COMP to 5+7F" sheetId="85" r:id="rId30"/>
    <sheet name="COMP to 6+6F" sheetId="86" r:id="rId31"/>
    <sheet name="COMP to 7+5F" sheetId="87" r:id="rId32"/>
    <sheet name="COMP to Prior 8+4F" sheetId="62" r:id="rId33"/>
    <sheet name="COMP to Orig Bud" sheetId="88" r:id="rId34"/>
    <sheet name="Market ROE Working Tab" sheetId="82" r:id="rId35"/>
    <sheet name="COMP to LTF" sheetId="77" r:id="rId36"/>
    <sheet name="COMP to 23 SR Bud" sheetId="89" r:id="rId37"/>
    <sheet name="NOT UPDATED -------&gt;" sheetId="80" r:id="rId38"/>
    <sheet name="Quarterly" sheetId="47" r:id="rId39"/>
    <sheet name="COMP to 2020 Strat" sheetId="55" r:id="rId40"/>
    <sheet name="COMP to Q3F" sheetId="68" r:id="rId41"/>
    <sheet name="Quarterly vs 0+12 vs Q1F" sheetId="63" r:id="rId42"/>
    <sheet name="Monthly" sheetId="60" r:id="rId43"/>
    <sheet name="Market ROE Recon - Bud" sheetId="81" state="hidden" r:id="rId44"/>
    <sheet name="Summary of Mark to Reg" sheetId="83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Key1" hidden="1">#REF!</definedName>
    <definedName name="_Order1" hidden="1">255</definedName>
    <definedName name="_Sort" hidden="1">#REF!</definedName>
    <definedName name="Bal_Sheet">'Bal Sheet'!$A$1:$CI$109</definedName>
    <definedName name="CIQWBGuid" hidden="1">"f0842c6b-4f67-4da4-8ab9-05f9b8d91da0"</definedName>
    <definedName name="CYFGSGF">[1]Input!$B$2</definedName>
    <definedName name="DAT">'[2]DAT ACCOUNTS'!$A$1:$D$65536</definedName>
    <definedName name="dcHundred">100</definedName>
    <definedName name="dcMonthsinYear">12</definedName>
    <definedName name="dcThousands">1000</definedName>
    <definedName name="EV__LASTREFTIME__" hidden="1">"(GMT-05:00)9/28/2017 1:11:18 PM"</definedName>
    <definedName name="Interest_synch">'Int Synch'!$A$4:$E$35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LASSB_OUTSTANDING_BS_DATE" hidden="1">"c1972"</definedName>
    <definedName name="IQ_CLASSB_OUTSTANDING_FILING_DATE" hidden="1">"c1974"</definedName>
    <definedName name="IQ_COMMON_APIC_BR" hidden="1">"c185"</definedName>
    <definedName name="IQ_COMMON_ISSUED_BR" hidden="1">"c199"</definedName>
    <definedName name="IQ_COMMON_REP_BR" hidden="1">"c208"</definedName>
    <definedName name="IQ_CONV_RATE" hidden="1">"c2192"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ST_EPS_SURPRISE" hidden="1">"c1635"</definedName>
    <definedName name="IQ_EXTRA_ACC_ITEMS_BR" hidden="1">"c412"</definedName>
    <definedName name="IQ_FH">100000</definedName>
    <definedName name="IQ_FHLB_DUE_AFTER_FIVE" hidden="1">"c2086"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TEL_EPS_EST" hidden="1">"c24729"</definedName>
    <definedName name="IQ_INTEREST_LT_DEBT" hidden="1">"c2086"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ISTING_CURRENCY" hidden="1">"c2127"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CRO_SURVEY_CONSUMER_SENTIMENT" hidden="1">"c20808"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44420.558275463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NUM_OFFICES" hidden="1">"c2088"</definedName>
    <definedName name="IQ_NUMBER_SHAREHOLDERS_CLASSB" hidden="1">"c1969"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ARGET_PRICE_LASTCLOSE" hidden="1">"c1855"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Last_Row" localSheetId="28">IF('COMP to 2+10F'!Values_Entered,Header_Row+'COMP to 2+10F'!Number_of_Payments,Header_Row)</definedName>
    <definedName name="Last_Row" localSheetId="36">IF('COMP to 23 SR Bud'!Values_Entered,Header_Row+'COMP to 23 SR Bud'!Number_of_Payments,Header_Row)</definedName>
    <definedName name="Last_Row" localSheetId="29">IF('COMP to 5+7F'!Values_Entered,Header_Row+'COMP to 5+7F'!Number_of_Payments,Header_Row)</definedName>
    <definedName name="Last_Row" localSheetId="30">IF('COMP to 6+6F'!Values_Entered,Header_Row+'COMP to 6+6F'!Number_of_Payments,Header_Row)</definedName>
    <definedName name="Last_Row" localSheetId="31">IF('COMP to 7+5F'!Values_Entered,Header_Row+'COMP to 7+5F'!Number_of_Payments,Header_Row)</definedName>
    <definedName name="Last_Row" localSheetId="26">IF('COMP to Final Bud'!Values_Entered,Header_Row+'COMP to Final Bud'!Number_of_Payments,Header_Row)</definedName>
    <definedName name="Last_Row" localSheetId="35">IF('COMP to LTF'!Values_Entered,Header_Row+'COMP to LTF'!Number_of_Payments,Header_Row)</definedName>
    <definedName name="Last_Row" localSheetId="33">IF('COMP to Orig Bud'!Values_Entered,Header_Row+'COMP to Orig Bud'!Number_of_Payments,Header_Row)</definedName>
    <definedName name="Last_Row" localSheetId="32">IF('COMP to Prior 8+4F'!Values_Entered,Header_Row+'COMP to Prior 8+4F'!Number_of_Payments,Header_Row)</definedName>
    <definedName name="Last_Row" localSheetId="40">IF('COMP to Q3F'!Values_Entered,Header_Row+'COMP to Q3F'!Number_of_Payments,Header_Row)</definedName>
    <definedName name="Last_Row" localSheetId="34">IF('Market ROE Working Tab'!Values_Entered,Header_Row+'Market ROE Working Tab'!Number_of_Payments,Header_Row)</definedName>
    <definedName name="Last_Row" localSheetId="42">IF(Monthly!Values_Entered,Header_Row+Monthly!Number_of_Payments,Header_Row)</definedName>
    <definedName name="Last_Row" localSheetId="41">IF('Quarterly vs 0+12 vs Q1F'!Values_Entered,Header_Row+'Quarterly vs 0+12 vs Q1F'!Number_of_Payments,Header_Row)</definedName>
    <definedName name="Last_Row">IF(Values_Entered,Header_Row+Number_of_Payments,Header_Row)</definedName>
    <definedName name="MACROS">[3]UPDATES!$A$6</definedName>
    <definedName name="Number_of_Payments" localSheetId="28">MATCH(0.01,End_Bal,-1)+1</definedName>
    <definedName name="Number_of_Payments" localSheetId="36">MATCH(0.01,End_Bal,-1)+1</definedName>
    <definedName name="Number_of_Payments" localSheetId="29">MATCH(0.01,End_Bal,-1)+1</definedName>
    <definedName name="Number_of_Payments" localSheetId="30">MATCH(0.01,End_Bal,-1)+1</definedName>
    <definedName name="Number_of_Payments" localSheetId="31">MATCH(0.01,End_Bal,-1)+1</definedName>
    <definedName name="Number_of_Payments" localSheetId="26">MATCH(0.01,End_Bal,-1)+1</definedName>
    <definedName name="Number_of_Payments" localSheetId="35">MATCH(0.01,End_Bal,-1)+1</definedName>
    <definedName name="Number_of_Payments" localSheetId="33">MATCH(0.01,End_Bal,-1)+1</definedName>
    <definedName name="Number_of_Payments" localSheetId="32">MATCH(0.01,End_Bal,-1)+1</definedName>
    <definedName name="Number_of_Payments" localSheetId="40">MATCH(0.01,End_Bal,-1)+1</definedName>
    <definedName name="Number_of_Payments" localSheetId="34">MATCH(0.01,End_Bal,-1)+1</definedName>
    <definedName name="Number_of_Payments" localSheetId="42">MATCH(0.01,End_Bal,-1)+1</definedName>
    <definedName name="Number_of_Payments" localSheetId="41">MATCH(0.01,End_Bal,-1)+1</definedName>
    <definedName name="Number_of_Payments">MATCH(0.01,End_Bal,-1)+1</definedName>
    <definedName name="Payment_Date" localSheetId="28">DATE(YEAR(Loan_Start),MONTH(Loan_Start)+Payment_Number,DAY(Loan_Start))</definedName>
    <definedName name="Payment_Date" localSheetId="36">DATE(YEAR(Loan_Start),MONTH(Loan_Start)+Payment_Number,DAY(Loan_Start))</definedName>
    <definedName name="Payment_Date" localSheetId="29">DATE(YEAR(Loan_Start),MONTH(Loan_Start)+Payment_Number,DAY(Loan_Start))</definedName>
    <definedName name="Payment_Date" localSheetId="30">DATE(YEAR(Loan_Start),MONTH(Loan_Start)+Payment_Number,DAY(Loan_Start))</definedName>
    <definedName name="Payment_Date" localSheetId="31">DATE(YEAR(Loan_Start),MONTH(Loan_Start)+Payment_Number,DAY(Loan_Start))</definedName>
    <definedName name="Payment_Date" localSheetId="26">DATE(YEAR(Loan_Start),MONTH(Loan_Start)+Payment_Number,DAY(Loan_Start))</definedName>
    <definedName name="Payment_Date" localSheetId="35">DATE(YEAR(Loan_Start),MONTH(Loan_Start)+Payment_Number,DAY(Loan_Start))</definedName>
    <definedName name="Payment_Date" localSheetId="33">DATE(YEAR(Loan_Start),MONTH(Loan_Start)+Payment_Number,DAY(Loan_Start))</definedName>
    <definedName name="Payment_Date" localSheetId="32">DATE(YEAR(Loan_Start),MONTH(Loan_Start)+Payment_Number,DAY(Loan_Start))</definedName>
    <definedName name="Payment_Date" localSheetId="40">DATE(YEAR(Loan_Start),MONTH(Loan_Start)+Payment_Number,DAY(Loan_Start))</definedName>
    <definedName name="Payment_Date" localSheetId="34">DATE(YEAR(Loan_Start),MONTH(Loan_Start)+Payment_Number,DAY(Loan_Start))</definedName>
    <definedName name="Payment_Date" localSheetId="42">DATE(YEAR(Loan_Start),MONTH(Loan_Start)+Payment_Number,DAY(Loan_Start))</definedName>
    <definedName name="Payment_Date" localSheetId="41">DATE(YEAR(Loan_Start),MONTH(Loan_Start)+Payment_Number,DAY(Loan_Start))</definedName>
    <definedName name="Payment_Date">DATE(YEAR(Loan_Start),MONTH(Loan_Start)+Payment_Number,DAY(Loan_Start))</definedName>
    <definedName name="_xlnm.Print_Area" localSheetId="21">'AFUDC Sch A '!$A$1:$I$30</definedName>
    <definedName name="_xlnm.Print_Area" localSheetId="22">'AFUDC Sch B'!$A$1:$G$28</definedName>
    <definedName name="_xlnm.Print_Area" localSheetId="10">'Bal Sheet'!$A$1:$CI$105</definedName>
    <definedName name="_xlnm.Print_Area" localSheetId="25">'COMP Act to Prior'!$A$1:$H$61</definedName>
    <definedName name="_xlnm.Print_Area" localSheetId="28">'COMP to 2+10F'!$A$1:$H$61</definedName>
    <definedName name="_xlnm.Print_Area" localSheetId="39">'COMP to 2020 Strat'!$A$1:$H$25</definedName>
    <definedName name="_xlnm.Print_Area" localSheetId="36">'COMP to 23 SR Bud'!$A$1:$H$61</definedName>
    <definedName name="_xlnm.Print_Area" localSheetId="29">'COMP to 5+7F'!$A$1:$H$61</definedName>
    <definedName name="_xlnm.Print_Area" localSheetId="30">'COMP to 6+6F'!$A$1:$H$61</definedName>
    <definedName name="_xlnm.Print_Area" localSheetId="31">'COMP to 7+5F'!$A$1:$H$61</definedName>
    <definedName name="_xlnm.Print_Area" localSheetId="27">'COMP to Budget Q2'!$A$1:$H$63</definedName>
    <definedName name="_xlnm.Print_Area" localSheetId="26">'COMP to Final Bud'!$A$1:$H$26</definedName>
    <definedName name="_xlnm.Print_Area" localSheetId="35">'COMP to LTF'!$A$1:$H$27</definedName>
    <definedName name="_xlnm.Print_Area" localSheetId="33">'COMP to Orig Bud'!$A$1:$H$61</definedName>
    <definedName name="_xlnm.Print_Area" localSheetId="32">'COMP to Prior 8+4F'!$A$1:$H$61</definedName>
    <definedName name="_xlnm.Print_Area" localSheetId="40">'COMP to Q3F'!$A$1:$H$61</definedName>
    <definedName name="_xlnm.Print_Area" localSheetId="9">IncomeStmt!$A$1:$CM$43</definedName>
    <definedName name="_xlnm.Print_Area" localSheetId="3">Input!$A$11:$AB$72</definedName>
    <definedName name="_xlnm.Print_Area" localSheetId="4">'Input Plant'!$A$1:$CA$41</definedName>
    <definedName name="_xlnm.Print_Area" localSheetId="7">'Input WFNG'!$U$5:$AR$36</definedName>
    <definedName name="_xlnm.Print_Area" localSheetId="14">Reconcil!$A$172:$H$212</definedName>
    <definedName name="_xlnm.Print_Area" localSheetId="43">'Market ROE Recon - Bud'!$A$1:$N$78</definedName>
    <definedName name="_xlnm.Print_Area" localSheetId="34">'Market ROE Working Tab'!$A$1:$S$82</definedName>
    <definedName name="_xlnm.Print_Area" localSheetId="42">Monthly!$A$1:$T$58</definedName>
    <definedName name="_xlnm.Print_Area" localSheetId="38">Quarterly!$A$1:$H$58</definedName>
    <definedName name="_xlnm.Print_Area" localSheetId="41">'Quarterly vs 0+12 vs Q1F'!$A$1:$E$14</definedName>
    <definedName name="_xlnm.Print_Area" localSheetId="17">Reconcil!$A$1:$L$45</definedName>
    <definedName name="_xlnm.Print_Area" localSheetId="19">'Reconcil YE'!$A$1:$L$44</definedName>
    <definedName name="_xlnm.Print_Area" localSheetId="16">Report!$A$1:$O$41,Report!$A$45:$U$92,Report!$A$95:$V$144,Report!$A$148:$V$171,Report!$A$176:$M$229</definedName>
    <definedName name="_xlnm.Print_Area" localSheetId="18">'Report YE'!$A$1:$O$40,'Report YE'!$A$44:$U$90,'Report YE'!$A$93:$V$141,'Report YE'!$A$145:$V$167,'Report YE'!$A$172:$M$225</definedName>
    <definedName name="Print_Area_Reset" localSheetId="28">OFFSET(Full_Print,0,0,'COMP to 2+10F'!Last_Row)</definedName>
    <definedName name="Print_Area_Reset" localSheetId="36">OFFSET(Full_Print,0,0,'COMP to 23 SR Bud'!Last_Row)</definedName>
    <definedName name="Print_Area_Reset" localSheetId="29">OFFSET(Full_Print,0,0,'COMP to 5+7F'!Last_Row)</definedName>
    <definedName name="Print_Area_Reset" localSheetId="30">OFFSET(Full_Print,0,0,'COMP to 6+6F'!Last_Row)</definedName>
    <definedName name="Print_Area_Reset" localSheetId="31">OFFSET(Full_Print,0,0,'COMP to 7+5F'!Last_Row)</definedName>
    <definedName name="Print_Area_Reset" localSheetId="26">OFFSET(Full_Print,0,0,'COMP to Final Bud'!Last_Row)</definedName>
    <definedName name="Print_Area_Reset" localSheetId="35">OFFSET(Full_Print,0,0,'COMP to LTF'!Last_Row)</definedName>
    <definedName name="Print_Area_Reset" localSheetId="33">OFFSET(Full_Print,0,0,'COMP to Orig Bud'!Last_Row)</definedName>
    <definedName name="Print_Area_Reset" localSheetId="32">OFFSET(Full_Print,0,0,'COMP to Prior 8+4F'!Last_Row)</definedName>
    <definedName name="Print_Area_Reset" localSheetId="40">OFFSET(Full_Print,0,0,'COMP to Q3F'!Last_Row)</definedName>
    <definedName name="Print_Area_Reset" localSheetId="34">OFFSET(Full_Print,0,0,'Market ROE Working Tab'!Last_Row)</definedName>
    <definedName name="Print_Area_Reset" localSheetId="42">OFFSET(Full_Print,0,0,Monthly!Last_Row)</definedName>
    <definedName name="Print_Area_Reset" localSheetId="41">OFFSET(Full_Print,0,0,'Quarterly vs 0+12 vs Q1F'!Last_Row)</definedName>
    <definedName name="Print_Area_Reset">OFFSET(Full_Print,0,0,Last_Row)</definedName>
    <definedName name="_xlnm.Print_Titles" localSheetId="10">'Bal Sheet'!$1:$6</definedName>
    <definedName name="_xlnm.Print_Titles" localSheetId="7">'Input WFNG'!$1:$11</definedName>
    <definedName name="random">'[4]2011 Random Sample Generator '!$A$4:$F$778</definedName>
    <definedName name="Reconcil_Average" localSheetId="19">'Reconcil YE'!$A$1:$L$44</definedName>
    <definedName name="Reconcil_Average">Reconcil!$A$1:$L$45</definedName>
    <definedName name="Reconcil_year_end" localSheetId="19">'Reconcil YE'!$A$49:$L$92</definedName>
    <definedName name="Reconcil_year_end">Reconcil!$A$50:$L$92</definedName>
    <definedName name="REGTAX">'[2]SURV INPUTS'!$E$6</definedName>
    <definedName name="rngCopyMacro">i.SR!$L$15:$L$194</definedName>
    <definedName name="ROE_COMPARISON" localSheetId="25">'COMP Act to Prior'!$A$2:$H$61</definedName>
    <definedName name="ROE_COMPARISON" localSheetId="28">'COMP to 2+10F'!$A$2:$H$61</definedName>
    <definedName name="ROE_COMPARISON" localSheetId="39">'COMP to 2020 Strat'!$A$2:$H$27</definedName>
    <definedName name="ROE_COMPARISON" localSheetId="36">'COMP to 23 SR Bud'!$A$2:$H$61</definedName>
    <definedName name="ROE_COMPARISON" localSheetId="29">'COMP to 5+7F'!$A$2:$H$61</definedName>
    <definedName name="ROE_COMPARISON" localSheetId="30">'COMP to 6+6F'!$A$2:$H$61</definedName>
    <definedName name="ROE_COMPARISON" localSheetId="31">'COMP to 7+5F'!$A$2:$H$61</definedName>
    <definedName name="ROE_COMPARISON" localSheetId="27">'COMP to Budget Q2'!$A$2:$H$63</definedName>
    <definedName name="ROE_COMPARISON" localSheetId="26">'COMP to Final Bud'!$A$2:$H$61</definedName>
    <definedName name="ROE_COMPARISON" localSheetId="35">'COMP to LTF'!$A$2:$H$27</definedName>
    <definedName name="ROE_COMPARISON" localSheetId="33">'COMP to Orig Bud'!$A$2:$H$61</definedName>
    <definedName name="ROE_COMPARISON" localSheetId="32">'COMP to Prior 8+4F'!$A$2:$H$61</definedName>
    <definedName name="ROE_COMPARISON" localSheetId="40">'COMP to Q3F'!$A$2:$H$61</definedName>
    <definedName name="ROE_COMPARISON" localSheetId="42">Monthly!$A$2:$T$61</definedName>
    <definedName name="ROE_COMPARISON" localSheetId="38">Quarterly!$A$2:$H$61</definedName>
    <definedName name="ROE_COMPARISON" localSheetId="41">'Quarterly vs 0+12 vs Q1F'!$A$2:$E$14</definedName>
    <definedName name="sally">[5]UPDATES!$A$6</definedName>
    <definedName name="Sched_1" localSheetId="18">'Report YE'!$A$1:$O$41</definedName>
    <definedName name="Sched_1">Report!$A$1:$O$42</definedName>
    <definedName name="Sched_2" localSheetId="18">'Report YE'!$A$44:$U$91</definedName>
    <definedName name="Sched_2">Report!$A$45:$U$93</definedName>
    <definedName name="Sched_3" localSheetId="18">'Report YE'!$A$93:$V$143</definedName>
    <definedName name="Sched_3">Report!$A$95:$V$146</definedName>
    <definedName name="Sched_4" localSheetId="18">'Report YE'!$A$145:$V$170</definedName>
    <definedName name="Sched_4">Report!$A$148:$V$172</definedName>
    <definedName name="Sched_5" localSheetId="18">'Report YE'!$A$172:$M$225</definedName>
    <definedName name="Sched_5">Report!$A$176:$M$229</definedName>
    <definedName name="Sched_5_2" localSheetId="18">'Report YE'!$A$233:$M$286</definedName>
    <definedName name="Sched_5_2">Report!$A$237:$M$290</definedName>
    <definedName name="Summary_MSEA_Return" localSheetId="3">MSEA!$A$1:$E$63</definedName>
    <definedName name="SURV">'[2]SURV ACCOUNTS'!$A$1:$C$65536</definedName>
    <definedName name="sysLastSave">i.SR!$L$16</definedName>
    <definedName name="sysUserName">i.SR!$L$15</definedName>
    <definedName name="TAXRATE">'[6]SURV INPUTS'!$E$5</definedName>
    <definedName name="TAXUP">'[2]SURV INPUTS'!$E$7</definedName>
    <definedName name="Tolerance">i.SR!$F$3</definedName>
    <definedName name="Total_Payment" localSheetId="28">Scheduled_Payment+Extra_Payment</definedName>
    <definedName name="Total_Payment" localSheetId="36">Scheduled_Payment+Extra_Payment</definedName>
    <definedName name="Total_Payment" localSheetId="29">Scheduled_Payment+Extra_Payment</definedName>
    <definedName name="Total_Payment" localSheetId="30">Scheduled_Payment+Extra_Payment</definedName>
    <definedName name="Total_Payment" localSheetId="31">Scheduled_Payment+Extra_Payment</definedName>
    <definedName name="Total_Payment" localSheetId="26">Scheduled_Payment+Extra_Payment</definedName>
    <definedName name="Total_Payment" localSheetId="35">Scheduled_Payment+Extra_Payment</definedName>
    <definedName name="Total_Payment" localSheetId="33">Scheduled_Payment+Extra_Payment</definedName>
    <definedName name="Total_Payment" localSheetId="32">Scheduled_Payment+Extra_Payment</definedName>
    <definedName name="Total_Payment" localSheetId="40">Scheduled_Payment+Extra_Payment</definedName>
    <definedName name="Total_Payment" localSheetId="34">Scheduled_Payment+Extra_Payment</definedName>
    <definedName name="Total_Payment" localSheetId="42">Scheduled_Payment+Extra_Payment</definedName>
    <definedName name="Total_Payment" localSheetId="41">Scheduled_Payment+Extra_Payment</definedName>
    <definedName name="Total_Payment">Scheduled_Payment+Extra_Payment</definedName>
    <definedName name="TOTAVG">'[2]SURV REPORT'!$A$3</definedName>
    <definedName name="Values_Entered" localSheetId="28">IF(Loan_Amount*Interest_Rate*Loan_Years*Loan_Start&gt;0,1,0)</definedName>
    <definedName name="Values_Entered" localSheetId="36">IF(Loan_Amount*Interest_Rate*Loan_Years*Loan_Start&gt;0,1,0)</definedName>
    <definedName name="Values_Entered" localSheetId="29">IF(Loan_Amount*Interest_Rate*Loan_Years*Loan_Start&gt;0,1,0)</definedName>
    <definedName name="Values_Entered" localSheetId="30">IF(Loan_Amount*Interest_Rate*Loan_Years*Loan_Start&gt;0,1,0)</definedName>
    <definedName name="Values_Entered" localSheetId="31">IF(Loan_Amount*Interest_Rate*Loan_Years*Loan_Start&gt;0,1,0)</definedName>
    <definedName name="Values_Entered" localSheetId="26">IF(Loan_Amount*Interest_Rate*Loan_Years*Loan_Start&gt;0,1,0)</definedName>
    <definedName name="Values_Entered" localSheetId="35">IF(Loan_Amount*Interest_Rate*Loan_Years*Loan_Start&gt;0,1,0)</definedName>
    <definedName name="Values_Entered" localSheetId="33">IF(Loan_Amount*Interest_Rate*Loan_Years*Loan_Start&gt;0,1,0)</definedName>
    <definedName name="Values_Entered" localSheetId="32">IF(Loan_Amount*Interest_Rate*Loan_Years*Loan_Start&gt;0,1,0)</definedName>
    <definedName name="Values_Entered" localSheetId="40">IF(Loan_Amount*Interest_Rate*Loan_Years*Loan_Start&gt;0,1,0)</definedName>
    <definedName name="Values_Entered" localSheetId="34">IF(Loan_Amount*Interest_Rate*Loan_Years*Loan_Start&gt;0,1,0)</definedName>
    <definedName name="Values_Entered" localSheetId="42">IF(Loan_Amount*Interest_Rate*Loan_Years*Loan_Start&gt;0,1,0)</definedName>
    <definedName name="Values_Entered" localSheetId="41">IF(Loan_Amount*Interest_Rate*Loan_Years*Loan_Start&gt;0,1,0)</definedName>
    <definedName name="Values_Entered">IF(Loan_Amount*Interest_Rate*Loan_Years*Loan_Start&gt;0,1,0)</definedName>
    <definedName name="WC_AVG">[2]WC!$A$3</definedName>
    <definedName name="Working_capital" localSheetId="19">'Reconcil YE'!$A$171:$H$211</definedName>
    <definedName name="Working_capital">Reconcil!$A$172:$H$212</definedName>
    <definedName name="YTDMO">'[2]SURV REPORT'!$A$4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I47" i="38" l="1"/>
  <c r="CH47" i="38"/>
  <c r="CG47" i="38"/>
  <c r="CF47" i="38"/>
  <c r="CE47" i="38"/>
  <c r="CD47" i="38"/>
  <c r="CC47" i="38"/>
  <c r="CB47" i="38"/>
  <c r="CA47" i="38"/>
  <c r="BZ47" i="38"/>
  <c r="BY47" i="38"/>
  <c r="BX47" i="38"/>
  <c r="BW47" i="38"/>
  <c r="BV47" i="38"/>
  <c r="BU47" i="38"/>
  <c r="BT47" i="38"/>
  <c r="BS47" i="38"/>
  <c r="BR47" i="38"/>
  <c r="BQ47" i="38"/>
  <c r="BP47" i="38"/>
  <c r="BO47" i="38"/>
  <c r="BN47" i="38"/>
  <c r="BM47" i="38"/>
  <c r="BL47" i="38"/>
  <c r="BK47" i="38"/>
  <c r="L6" i="90"/>
  <c r="K6" i="90"/>
  <c r="J6" i="90"/>
  <c r="I6" i="90"/>
  <c r="H6" i="90"/>
  <c r="G6" i="90"/>
  <c r="F6" i="90"/>
  <c r="E6" i="90"/>
  <c r="D6" i="90"/>
  <c r="CH62" i="15"/>
  <c r="CH61" i="15"/>
  <c r="CH60" i="15"/>
  <c r="CG67" i="15"/>
  <c r="CG66" i="15"/>
  <c r="CG62" i="15"/>
  <c r="CG61" i="15"/>
  <c r="CG60" i="15"/>
  <c r="CF67" i="15"/>
  <c r="CF66" i="15"/>
  <c r="CF62" i="15"/>
  <c r="CF61" i="15"/>
  <c r="CF60" i="15"/>
  <c r="CE66" i="15"/>
  <c r="CE62" i="15"/>
  <c r="CE61" i="15"/>
  <c r="CE60" i="15"/>
  <c r="CD66" i="15"/>
  <c r="CD62" i="15"/>
  <c r="CD61" i="15"/>
  <c r="CD60" i="15"/>
  <c r="CC66" i="15"/>
  <c r="CC62" i="15"/>
  <c r="CC61" i="15"/>
  <c r="CC60" i="15"/>
  <c r="CB66" i="15"/>
  <c r="CB62" i="15"/>
  <c r="CB61" i="15"/>
  <c r="CB60" i="15"/>
  <c r="CA66" i="15"/>
  <c r="CA62" i="15"/>
  <c r="CA61" i="15"/>
  <c r="CA60" i="15"/>
  <c r="BZ66" i="15"/>
  <c r="BZ62" i="15"/>
  <c r="BZ61" i="15"/>
  <c r="BZ60" i="15"/>
  <c r="BY66" i="15"/>
  <c r="BY62" i="15"/>
  <c r="BY61" i="15"/>
  <c r="BY60" i="15"/>
  <c r="BX66" i="15"/>
  <c r="BX62" i="15"/>
  <c r="BX61" i="15"/>
  <c r="BX60" i="15"/>
  <c r="BW67" i="15"/>
  <c r="BX67" i="15" s="1"/>
  <c r="BY67" i="15" s="1"/>
  <c r="BZ67" i="15" s="1"/>
  <c r="CA67" i="15" s="1"/>
  <c r="CB67" i="15" s="1"/>
  <c r="CC67" i="15" s="1"/>
  <c r="CD67" i="15" s="1"/>
  <c r="CE67" i="15" s="1"/>
  <c r="BW66" i="15"/>
  <c r="BW62" i="15"/>
  <c r="BW61" i="15"/>
  <c r="BW60" i="15"/>
  <c r="CH29" i="15"/>
  <c r="CH28" i="15"/>
  <c r="CH27" i="15"/>
  <c r="CH26" i="15"/>
  <c r="CH25" i="15"/>
  <c r="CH24" i="15"/>
  <c r="CG37" i="15"/>
  <c r="CG36" i="15"/>
  <c r="CG35" i="15"/>
  <c r="CG34" i="15"/>
  <c r="CG33" i="15"/>
  <c r="CG32" i="15"/>
  <c r="CG29" i="15"/>
  <c r="CG28" i="15"/>
  <c r="CG27" i="15"/>
  <c r="CG26" i="15"/>
  <c r="CG25" i="15"/>
  <c r="CG24" i="15"/>
  <c r="CF37" i="15"/>
  <c r="CF36" i="15"/>
  <c r="CF35" i="15"/>
  <c r="CF34" i="15"/>
  <c r="CF33" i="15"/>
  <c r="CF32" i="15"/>
  <c r="CF29" i="15"/>
  <c r="CF28" i="15"/>
  <c r="CF27" i="15"/>
  <c r="CF26" i="15"/>
  <c r="CF25" i="15"/>
  <c r="CF24" i="15"/>
  <c r="CE37" i="15"/>
  <c r="CE36" i="15"/>
  <c r="CE35" i="15"/>
  <c r="CE34" i="15"/>
  <c r="CE33" i="15"/>
  <c r="CE32" i="15"/>
  <c r="CE29" i="15"/>
  <c r="CE28" i="15"/>
  <c r="CE27" i="15"/>
  <c r="CE26" i="15"/>
  <c r="CE25" i="15"/>
  <c r="CE24" i="15"/>
  <c r="CD37" i="15"/>
  <c r="CD36" i="15"/>
  <c r="CD35" i="15"/>
  <c r="CD34" i="15"/>
  <c r="CD33" i="15"/>
  <c r="CD32" i="15"/>
  <c r="CD29" i="15"/>
  <c r="CD28" i="15"/>
  <c r="CD27" i="15"/>
  <c r="CD26" i="15"/>
  <c r="CD25" i="15"/>
  <c r="CD24" i="15"/>
  <c r="CC37" i="15"/>
  <c r="CC36" i="15"/>
  <c r="CC35" i="15"/>
  <c r="CC34" i="15"/>
  <c r="CC33" i="15"/>
  <c r="CC32" i="15"/>
  <c r="CC29" i="15"/>
  <c r="CC28" i="15"/>
  <c r="CC27" i="15"/>
  <c r="CC26" i="15"/>
  <c r="CC25" i="15"/>
  <c r="CC24" i="15"/>
  <c r="CB37" i="15"/>
  <c r="CB36" i="15"/>
  <c r="CB35" i="15"/>
  <c r="CB34" i="15"/>
  <c r="CB33" i="15"/>
  <c r="CB32" i="15"/>
  <c r="CB29" i="15"/>
  <c r="CB28" i="15"/>
  <c r="CB27" i="15"/>
  <c r="CB26" i="15"/>
  <c r="CB25" i="15"/>
  <c r="CB24" i="15"/>
  <c r="CA37" i="15"/>
  <c r="CA36" i="15"/>
  <c r="CA35" i="15"/>
  <c r="CA34" i="15"/>
  <c r="CA33" i="15"/>
  <c r="CA32" i="15"/>
  <c r="CA29" i="15"/>
  <c r="CA28" i="15"/>
  <c r="CA27" i="15"/>
  <c r="CA26" i="15"/>
  <c r="CA25" i="15"/>
  <c r="CA24" i="15"/>
  <c r="BZ37" i="15"/>
  <c r="BZ36" i="15"/>
  <c r="BZ35" i="15"/>
  <c r="BZ34" i="15"/>
  <c r="BZ33" i="15"/>
  <c r="BZ32" i="15"/>
  <c r="BZ29" i="15"/>
  <c r="BZ28" i="15"/>
  <c r="BZ27" i="15"/>
  <c r="BZ26" i="15"/>
  <c r="BZ25" i="15"/>
  <c r="BZ24" i="15"/>
  <c r="BY37" i="15"/>
  <c r="BY36" i="15"/>
  <c r="BY35" i="15"/>
  <c r="BY34" i="15"/>
  <c r="BY33" i="15"/>
  <c r="BY32" i="15"/>
  <c r="BY29" i="15"/>
  <c r="BY28" i="15"/>
  <c r="BY27" i="15"/>
  <c r="BY26" i="15"/>
  <c r="BY25" i="15"/>
  <c r="BY24" i="15"/>
  <c r="BX37" i="15"/>
  <c r="BX36" i="15"/>
  <c r="BX35" i="15"/>
  <c r="BX34" i="15"/>
  <c r="BX33" i="15"/>
  <c r="BX32" i="15"/>
  <c r="BX29" i="15"/>
  <c r="BX28" i="15"/>
  <c r="BX27" i="15"/>
  <c r="BX26" i="15"/>
  <c r="BX25" i="15"/>
  <c r="BX24" i="15"/>
  <c r="BW37" i="15"/>
  <c r="BW36" i="15"/>
  <c r="BW35" i="15"/>
  <c r="BW34" i="15"/>
  <c r="BW33" i="15"/>
  <c r="BW32" i="15"/>
  <c r="BW29" i="15"/>
  <c r="BW28" i="15"/>
  <c r="BW27" i="15"/>
  <c r="BW26" i="15"/>
  <c r="BW25" i="15"/>
  <c r="BW24" i="15"/>
  <c r="CH13" i="15"/>
  <c r="CH12" i="15"/>
  <c r="CH11" i="15"/>
  <c r="CG13" i="15"/>
  <c r="CG12" i="15"/>
  <c r="CG11" i="15"/>
  <c r="CF20" i="15"/>
  <c r="CF19" i="15"/>
  <c r="CF18" i="15"/>
  <c r="CF13" i="15"/>
  <c r="CF12" i="15"/>
  <c r="CF11" i="15"/>
  <c r="CE20" i="15"/>
  <c r="CE19" i="15"/>
  <c r="CE18" i="15"/>
  <c r="CE13" i="15"/>
  <c r="CE12" i="15"/>
  <c r="CE11" i="15"/>
  <c r="CD20" i="15"/>
  <c r="CD19" i="15"/>
  <c r="CD18" i="15"/>
  <c r="CD13" i="15"/>
  <c r="CD12" i="15"/>
  <c r="CD11" i="15"/>
  <c r="CC20" i="15"/>
  <c r="CC19" i="15"/>
  <c r="CC18" i="15"/>
  <c r="CC13" i="15"/>
  <c r="CC12" i="15"/>
  <c r="CC11" i="15"/>
  <c r="CB20" i="15"/>
  <c r="CB19" i="15"/>
  <c r="CB18" i="15"/>
  <c r="CB13" i="15"/>
  <c r="CB12" i="15"/>
  <c r="CB11" i="15"/>
  <c r="CA20" i="15"/>
  <c r="CA19" i="15"/>
  <c r="CA18" i="15"/>
  <c r="CA13" i="15"/>
  <c r="CA12" i="15"/>
  <c r="CA11" i="15"/>
  <c r="BZ20" i="15"/>
  <c r="BZ19" i="15"/>
  <c r="BZ18" i="15"/>
  <c r="BZ13" i="15"/>
  <c r="BZ12" i="15"/>
  <c r="BZ11" i="15"/>
  <c r="BY20" i="15"/>
  <c r="BY19" i="15"/>
  <c r="BY18" i="15"/>
  <c r="BY13" i="15"/>
  <c r="BY12" i="15"/>
  <c r="BY11" i="15"/>
  <c r="BX20" i="15"/>
  <c r="BX19" i="15"/>
  <c r="BX18" i="15"/>
  <c r="BX13" i="15"/>
  <c r="BX12" i="15"/>
  <c r="BX11" i="15"/>
  <c r="BW20" i="15"/>
  <c r="BW19" i="15"/>
  <c r="BW18" i="15"/>
  <c r="BW13" i="15"/>
  <c r="BW12" i="15"/>
  <c r="BW11" i="15"/>
  <c r="CG20" i="15"/>
  <c r="CG19" i="15"/>
  <c r="CG18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CH98" i="15"/>
  <c r="CG98" i="15"/>
  <c r="CF98" i="15"/>
  <c r="CE98" i="15"/>
  <c r="CD98" i="15"/>
  <c r="CC98" i="15"/>
  <c r="CB98" i="15"/>
  <c r="CA98" i="15"/>
  <c r="BZ98" i="15"/>
  <c r="BY98" i="15"/>
  <c r="BX98" i="15"/>
  <c r="BW98" i="15"/>
  <c r="CH95" i="15"/>
  <c r="CG95" i="15"/>
  <c r="CF95" i="15"/>
  <c r="CE95" i="15"/>
  <c r="CD95" i="15"/>
  <c r="CC95" i="15"/>
  <c r="CB95" i="15"/>
  <c r="CA95" i="15"/>
  <c r="BZ95" i="15"/>
  <c r="BY95" i="15"/>
  <c r="BX95" i="15"/>
  <c r="BW95" i="15"/>
  <c r="CH93" i="15"/>
  <c r="CG93" i="15"/>
  <c r="CF93" i="15"/>
  <c r="CE93" i="15"/>
  <c r="CD93" i="15"/>
  <c r="CC93" i="15"/>
  <c r="CB93" i="15"/>
  <c r="CA93" i="15"/>
  <c r="BZ93" i="15"/>
  <c r="BY93" i="15"/>
  <c r="BX93" i="15"/>
  <c r="BW93" i="15"/>
  <c r="CH84" i="15"/>
  <c r="CG84" i="15"/>
  <c r="CF84" i="15"/>
  <c r="CE84" i="15"/>
  <c r="CD84" i="15"/>
  <c r="CC84" i="15"/>
  <c r="CB84" i="15"/>
  <c r="CA84" i="15"/>
  <c r="BZ84" i="15"/>
  <c r="BY84" i="15"/>
  <c r="BX84" i="15"/>
  <c r="BW84" i="15"/>
  <c r="CH83" i="15"/>
  <c r="CG83" i="15"/>
  <c r="CF83" i="15"/>
  <c r="CE83" i="15"/>
  <c r="CD83" i="15"/>
  <c r="CC83" i="15"/>
  <c r="CB83" i="15"/>
  <c r="CA83" i="15"/>
  <c r="BZ83" i="15"/>
  <c r="BY83" i="15"/>
  <c r="BX83" i="15"/>
  <c r="BW83" i="15"/>
  <c r="CH81" i="15"/>
  <c r="CG81" i="15"/>
  <c r="CF81" i="15"/>
  <c r="CE81" i="15"/>
  <c r="CD81" i="15"/>
  <c r="CC81" i="15"/>
  <c r="CB81" i="15"/>
  <c r="CA81" i="15"/>
  <c r="BZ81" i="15"/>
  <c r="BY81" i="15"/>
  <c r="BX81" i="15"/>
  <c r="BW81" i="15"/>
  <c r="CH80" i="15"/>
  <c r="CG80" i="15"/>
  <c r="CF80" i="15"/>
  <c r="CH79" i="15"/>
  <c r="CG79" i="15"/>
  <c r="CF79" i="15"/>
  <c r="CE79" i="15"/>
  <c r="CD79" i="15"/>
  <c r="CC79" i="15"/>
  <c r="CB79" i="15"/>
  <c r="CA79" i="15"/>
  <c r="BZ79" i="15"/>
  <c r="BY79" i="15"/>
  <c r="BX79" i="15"/>
  <c r="BW79" i="15"/>
  <c r="CH67" i="15"/>
  <c r="CH66" i="15"/>
  <c r="BV56" i="15"/>
  <c r="BU56" i="15"/>
  <c r="BT56" i="15"/>
  <c r="BS56" i="15"/>
  <c r="BR56" i="15"/>
  <c r="BQ56" i="15"/>
  <c r="BP56" i="15"/>
  <c r="BO56" i="15"/>
  <c r="BN56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AI56" i="15"/>
  <c r="AH56" i="15"/>
  <c r="AG56" i="15"/>
  <c r="CH51" i="15"/>
  <c r="CG51" i="15"/>
  <c r="CF51" i="15"/>
  <c r="CE51" i="15"/>
  <c r="CD51" i="15"/>
  <c r="CC51" i="15"/>
  <c r="CB51" i="15"/>
  <c r="CA51" i="15"/>
  <c r="BZ51" i="15"/>
  <c r="BY51" i="15"/>
  <c r="BX51" i="15"/>
  <c r="BW51" i="15"/>
  <c r="CH50" i="15"/>
  <c r="CG50" i="15"/>
  <c r="CF50" i="15"/>
  <c r="CE50" i="15"/>
  <c r="CD50" i="15"/>
  <c r="CC50" i="15"/>
  <c r="CB50" i="15"/>
  <c r="CA50" i="15"/>
  <c r="BZ50" i="15"/>
  <c r="BY50" i="15"/>
  <c r="BX50" i="15"/>
  <c r="BW50" i="15"/>
  <c r="CH45" i="15"/>
  <c r="CG45" i="15"/>
  <c r="CF45" i="15"/>
  <c r="CE45" i="15"/>
  <c r="CD45" i="15"/>
  <c r="CC45" i="15"/>
  <c r="CB45" i="15"/>
  <c r="CA45" i="15"/>
  <c r="BZ45" i="15"/>
  <c r="BY45" i="15"/>
  <c r="BX45" i="15"/>
  <c r="BW45" i="15"/>
  <c r="CH44" i="15"/>
  <c r="CG44" i="15"/>
  <c r="CF44" i="15"/>
  <c r="CE44" i="15"/>
  <c r="CD44" i="15"/>
  <c r="CC44" i="15"/>
  <c r="CB44" i="15"/>
  <c r="CA44" i="15"/>
  <c r="BZ44" i="15"/>
  <c r="BY44" i="15"/>
  <c r="BX44" i="15"/>
  <c r="BW44" i="15"/>
  <c r="CH43" i="15"/>
  <c r="CG43" i="15"/>
  <c r="CF43" i="15"/>
  <c r="CE43" i="15"/>
  <c r="CD43" i="15"/>
  <c r="CC43" i="15"/>
  <c r="CB43" i="15"/>
  <c r="CA43" i="15"/>
  <c r="BZ43" i="15"/>
  <c r="BY43" i="15"/>
  <c r="BX43" i="15"/>
  <c r="BW43" i="15"/>
  <c r="CH37" i="15"/>
  <c r="CH36" i="15"/>
  <c r="CH35" i="15"/>
  <c r="CH34" i="15"/>
  <c r="CH33" i="15"/>
  <c r="CH32" i="15"/>
  <c r="CH20" i="15"/>
  <c r="CH19" i="15"/>
  <c r="CH18" i="15"/>
  <c r="CL15" i="8"/>
  <c r="CL14" i="8"/>
  <c r="CL13" i="8"/>
  <c r="CK15" i="8"/>
  <c r="CK14" i="8"/>
  <c r="CK13" i="8"/>
  <c r="CJ15" i="8"/>
  <c r="CJ14" i="8"/>
  <c r="CJ13" i="8"/>
  <c r="CI15" i="8"/>
  <c r="CI14" i="8"/>
  <c r="CI13" i="8"/>
  <c r="CH15" i="8"/>
  <c r="CH14" i="8"/>
  <c r="CH13" i="8"/>
  <c r="CG15" i="8"/>
  <c r="CG14" i="8"/>
  <c r="CG13" i="8"/>
  <c r="CF15" i="8"/>
  <c r="CF14" i="8"/>
  <c r="CF13" i="8"/>
  <c r="CE15" i="8"/>
  <c r="CE14" i="8"/>
  <c r="CE13" i="8"/>
  <c r="CD15" i="8"/>
  <c r="CD14" i="8"/>
  <c r="CD13" i="8"/>
  <c r="CC15" i="8"/>
  <c r="CC14" i="8"/>
  <c r="CC13" i="8"/>
  <c r="CB15" i="8"/>
  <c r="CB14" i="8"/>
  <c r="CB13" i="8"/>
  <c r="CA15" i="8"/>
  <c r="CA14" i="8"/>
  <c r="CA13" i="8"/>
  <c r="CJ19" i="8"/>
  <c r="CJ18" i="8"/>
  <c r="CI19" i="8"/>
  <c r="CI18" i="8"/>
  <c r="CH19" i="8"/>
  <c r="CH18" i="8"/>
  <c r="CG19" i="8"/>
  <c r="CG18" i="8"/>
  <c r="CF19" i="8"/>
  <c r="CF18" i="8"/>
  <c r="CE19" i="8"/>
  <c r="CE18" i="8"/>
  <c r="CD19" i="8"/>
  <c r="CD18" i="8"/>
  <c r="CC19" i="8"/>
  <c r="CC18" i="8"/>
  <c r="CB19" i="8"/>
  <c r="CB18" i="8"/>
  <c r="CA19" i="8"/>
  <c r="CA18" i="8"/>
  <c r="CK19" i="8"/>
  <c r="CK18" i="8"/>
  <c r="BZ44" i="8"/>
  <c r="BY44" i="8"/>
  <c r="BX44" i="8"/>
  <c r="BW44" i="8"/>
  <c r="BV44" i="8"/>
  <c r="BU44" i="8"/>
  <c r="BT44" i="8"/>
  <c r="BS44" i="8"/>
  <c r="BR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CL19" i="8"/>
  <c r="CL18" i="8"/>
  <c r="AA107" i="1"/>
  <c r="Z107" i="1"/>
  <c r="Y107" i="1"/>
  <c r="X107" i="1"/>
  <c r="CI94" i="38"/>
  <c r="CH94" i="38"/>
  <c r="CG94" i="38"/>
  <c r="CF94" i="38"/>
  <c r="CE94" i="38"/>
  <c r="CD94" i="38"/>
  <c r="CC94" i="38"/>
  <c r="CB94" i="38"/>
  <c r="CA94" i="38"/>
  <c r="BZ94" i="38"/>
  <c r="BY94" i="38"/>
  <c r="BX94" i="38"/>
  <c r="BW94" i="38"/>
  <c r="BV94" i="38"/>
  <c r="BU94" i="38"/>
  <c r="BT94" i="38"/>
  <c r="BS94" i="38"/>
  <c r="BR94" i="38"/>
  <c r="CI93" i="38"/>
  <c r="CH93" i="38"/>
  <c r="CG93" i="38"/>
  <c r="CF93" i="38"/>
  <c r="CE93" i="38"/>
  <c r="CD93" i="38"/>
  <c r="CC93" i="38"/>
  <c r="CB93" i="38"/>
  <c r="CA93" i="38"/>
  <c r="BZ93" i="38"/>
  <c r="BY93" i="38"/>
  <c r="BX93" i="38"/>
  <c r="BK93" i="38"/>
  <c r="BJ93" i="38"/>
  <c r="BI93" i="38"/>
  <c r="BH93" i="38"/>
  <c r="BG93" i="38"/>
  <c r="BF93" i="38"/>
  <c r="AX93" i="38"/>
  <c r="AC93" i="38"/>
  <c r="AB93" i="38"/>
  <c r="AA93" i="38"/>
  <c r="CF67" i="38"/>
  <c r="CE67" i="38"/>
  <c r="CD67" i="38"/>
  <c r="CC67" i="38"/>
  <c r="CB67" i="38"/>
  <c r="CA67" i="38"/>
  <c r="BZ67" i="38"/>
  <c r="BY67" i="38"/>
  <c r="BX67" i="38"/>
  <c r="CI66" i="38"/>
  <c r="CH66" i="38"/>
  <c r="CG66" i="38"/>
  <c r="CF66" i="38"/>
  <c r="CE66" i="38"/>
  <c r="CD66" i="38"/>
  <c r="CC66" i="38"/>
  <c r="CB66" i="38"/>
  <c r="CA66" i="38"/>
  <c r="BZ66" i="38"/>
  <c r="BY66" i="38"/>
  <c r="BX66" i="38"/>
  <c r="BA68" i="38"/>
  <c r="AZ68" i="38"/>
  <c r="AY68" i="38"/>
  <c r="AX68" i="38"/>
  <c r="AW68" i="38"/>
  <c r="AV68" i="38"/>
  <c r="AU68" i="38"/>
  <c r="AT68" i="38"/>
  <c r="AS68" i="38"/>
  <c r="AR68" i="38"/>
  <c r="AQ68" i="38"/>
  <c r="AP68" i="38"/>
  <c r="AO68" i="38"/>
  <c r="AN68" i="38"/>
  <c r="BA67" i="38"/>
  <c r="AZ67" i="38"/>
  <c r="AY67" i="38"/>
  <c r="AX67" i="38"/>
  <c r="AW67" i="38"/>
  <c r="AV67" i="38"/>
  <c r="AU67" i="38"/>
  <c r="AT67" i="38"/>
  <c r="AS67" i="38"/>
  <c r="AR67" i="38"/>
  <c r="AQ67" i="38"/>
  <c r="AP67" i="38"/>
  <c r="AO67" i="38"/>
  <c r="AN67" i="38"/>
  <c r="AM67" i="38"/>
  <c r="AL67" i="38"/>
  <c r="AK67" i="38"/>
  <c r="AJ67" i="38"/>
  <c r="AI67" i="38"/>
  <c r="AH67" i="38"/>
  <c r="AG67" i="38"/>
  <c r="AF67" i="38"/>
  <c r="AE67" i="38"/>
  <c r="AD67" i="38"/>
  <c r="AC67" i="38"/>
  <c r="AB67" i="38"/>
  <c r="AA67" i="38"/>
  <c r="Z67" i="38"/>
  <c r="Y67" i="38"/>
  <c r="X67" i="38"/>
  <c r="W67" i="38"/>
  <c r="V67" i="38"/>
  <c r="U67" i="38"/>
  <c r="T67" i="38"/>
  <c r="S67" i="38"/>
  <c r="R67" i="38"/>
  <c r="Q67" i="38"/>
  <c r="P67" i="38"/>
  <c r="BK66" i="38"/>
  <c r="BJ66" i="38"/>
  <c r="BI66" i="38"/>
  <c r="BH66" i="38"/>
  <c r="BG66" i="38"/>
  <c r="BF66" i="38"/>
  <c r="BE66" i="38"/>
  <c r="BD66" i="38"/>
  <c r="BC66" i="38"/>
  <c r="BB66" i="38"/>
  <c r="BA66" i="38"/>
  <c r="AZ66" i="38"/>
  <c r="AY66" i="38"/>
  <c r="AX66" i="38"/>
  <c r="AW66" i="38"/>
  <c r="AV66" i="38"/>
  <c r="AU66" i="38"/>
  <c r="AT66" i="38"/>
  <c r="AS66" i="38"/>
  <c r="AR66" i="38"/>
  <c r="AQ66" i="38"/>
  <c r="AP66" i="38"/>
  <c r="AO66" i="38"/>
  <c r="AN66" i="38"/>
  <c r="AM66" i="38"/>
  <c r="AL66" i="38"/>
  <c r="AK66" i="38"/>
  <c r="AJ66" i="38"/>
  <c r="AI66" i="38"/>
  <c r="AH66" i="38"/>
  <c r="AG66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CI29" i="38"/>
  <c r="CH29" i="38"/>
  <c r="CG29" i="38"/>
  <c r="CF29" i="38"/>
  <c r="CE29" i="38"/>
  <c r="CD29" i="38"/>
  <c r="CC29" i="38"/>
  <c r="CB29" i="38"/>
  <c r="CA29" i="38"/>
  <c r="BZ29" i="38"/>
  <c r="BY29" i="38"/>
  <c r="BX29" i="38"/>
  <c r="CI28" i="38"/>
  <c r="CH28" i="38"/>
  <c r="CG28" i="38"/>
  <c r="CF28" i="38"/>
  <c r="CE28" i="38"/>
  <c r="CD28" i="38"/>
  <c r="CC28" i="38"/>
  <c r="CB28" i="38"/>
  <c r="CA28" i="38"/>
  <c r="BZ28" i="38"/>
  <c r="BY28" i="38"/>
  <c r="BX28" i="38"/>
  <c r="CI27" i="38"/>
  <c r="CH27" i="38"/>
  <c r="CG27" i="38"/>
  <c r="CF27" i="38"/>
  <c r="CE27" i="38"/>
  <c r="CD27" i="38"/>
  <c r="CC27" i="38"/>
  <c r="CB27" i="38"/>
  <c r="CA27" i="38"/>
  <c r="BZ27" i="38"/>
  <c r="BY27" i="38"/>
  <c r="BX27" i="38"/>
  <c r="CI26" i="38"/>
  <c r="CH26" i="38"/>
  <c r="CG26" i="38"/>
  <c r="CF26" i="38"/>
  <c r="CE26" i="38"/>
  <c r="CD26" i="38"/>
  <c r="CC26" i="38"/>
  <c r="CB26" i="38"/>
  <c r="CA26" i="38"/>
  <c r="BZ26" i="38"/>
  <c r="BY26" i="38"/>
  <c r="BX26" i="38"/>
  <c r="CI25" i="38"/>
  <c r="CH25" i="38"/>
  <c r="CG25" i="38"/>
  <c r="CF25" i="38"/>
  <c r="CE25" i="38"/>
  <c r="CD25" i="38"/>
  <c r="CC25" i="38"/>
  <c r="CB25" i="38"/>
  <c r="CA25" i="38"/>
  <c r="BZ25" i="38"/>
  <c r="BY25" i="38"/>
  <c r="BX25" i="38"/>
  <c r="CI24" i="38"/>
  <c r="CH24" i="38"/>
  <c r="CG24" i="38"/>
  <c r="CF24" i="38"/>
  <c r="CE24" i="38"/>
  <c r="CD24" i="38"/>
  <c r="CC24" i="38"/>
  <c r="CB24" i="38"/>
  <c r="CA24" i="38"/>
  <c r="BZ24" i="38"/>
  <c r="BY24" i="38"/>
  <c r="BX24" i="38"/>
  <c r="CI23" i="38"/>
  <c r="CH23" i="38"/>
  <c r="CG23" i="38"/>
  <c r="CF23" i="38"/>
  <c r="CE23" i="38"/>
  <c r="CD23" i="38"/>
  <c r="CC23" i="38"/>
  <c r="CB23" i="38"/>
  <c r="CA23" i="38"/>
  <c r="BZ23" i="38"/>
  <c r="BY23" i="38"/>
  <c r="BX23" i="38"/>
  <c r="BK29" i="38"/>
  <c r="BJ29" i="38"/>
  <c r="BI29" i="38"/>
  <c r="BH29" i="38"/>
  <c r="BG29" i="38"/>
  <c r="BF29" i="38"/>
  <c r="BE29" i="38"/>
  <c r="BK28" i="38"/>
  <c r="BJ28" i="38"/>
  <c r="BI28" i="38"/>
  <c r="BH28" i="38"/>
  <c r="BG28" i="38"/>
  <c r="BF28" i="38"/>
  <c r="BE28" i="38"/>
  <c r="BK26" i="38"/>
  <c r="BJ26" i="38"/>
  <c r="BI26" i="38"/>
  <c r="BH26" i="38"/>
  <c r="BG26" i="38"/>
  <c r="BF26" i="38"/>
  <c r="BE26" i="38"/>
  <c r="BK25" i="38"/>
  <c r="BJ25" i="38"/>
  <c r="BI25" i="38"/>
  <c r="BH25" i="38"/>
  <c r="BG25" i="38"/>
  <c r="BF25" i="38"/>
  <c r="BK24" i="38"/>
  <c r="BJ24" i="38"/>
  <c r="BI24" i="38"/>
  <c r="BH24" i="38"/>
  <c r="BG24" i="38"/>
  <c r="BF24" i="38"/>
  <c r="BK23" i="38"/>
  <c r="BJ23" i="38"/>
  <c r="BI23" i="38"/>
  <c r="BH23" i="38"/>
  <c r="BG23" i="38"/>
  <c r="BF23" i="38"/>
  <c r="AZ29" i="38"/>
  <c r="AY29" i="38"/>
  <c r="AX29" i="38"/>
  <c r="AZ28" i="38"/>
  <c r="AY28" i="38"/>
  <c r="AX28" i="38"/>
  <c r="AZ26" i="38"/>
  <c r="AY26" i="38"/>
  <c r="AX26" i="38"/>
  <c r="AX25" i="38"/>
  <c r="AX24" i="38"/>
  <c r="AX23" i="3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CL48" i="8"/>
  <c r="CL8" i="8" s="1"/>
  <c r="CK48" i="8"/>
  <c r="CK8" i="8" s="1"/>
  <c r="CJ48" i="8"/>
  <c r="CJ8" i="8" s="1"/>
  <c r="CI48" i="8"/>
  <c r="CI8" i="8" s="1"/>
  <c r="CH48" i="8"/>
  <c r="CH8" i="8" s="1"/>
  <c r="CG48" i="8"/>
  <c r="CG8" i="8" s="1"/>
  <c r="CF48" i="8"/>
  <c r="CF8" i="8" s="1"/>
  <c r="CE48" i="8"/>
  <c r="CE8" i="8" s="1"/>
  <c r="CD48" i="8"/>
  <c r="CD8" i="8" s="1"/>
  <c r="CC48" i="8"/>
  <c r="CC8" i="8" s="1"/>
  <c r="CB48" i="8"/>
  <c r="CB8" i="8" s="1"/>
  <c r="CA48" i="8"/>
  <c r="CA8" i="8" s="1"/>
  <c r="BZ48" i="8"/>
  <c r="BY48" i="8"/>
  <c r="BX48" i="8"/>
  <c r="BW48" i="8"/>
  <c r="BV48" i="8"/>
  <c r="BU48" i="8"/>
  <c r="BT48" i="8"/>
  <c r="BS48" i="8"/>
  <c r="BR48" i="8"/>
  <c r="BQ48" i="8"/>
  <c r="BP48" i="8"/>
  <c r="BO48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CL7" i="8"/>
  <c r="CK7" i="8"/>
  <c r="CJ7" i="8"/>
  <c r="CI7" i="8"/>
  <c r="CH7" i="8"/>
  <c r="CG7" i="8"/>
  <c r="CF7" i="8"/>
  <c r="CE7" i="8"/>
  <c r="CD7" i="8"/>
  <c r="CC7" i="8"/>
  <c r="CB7" i="8"/>
  <c r="CA7" i="8"/>
  <c r="BX77" i="29"/>
  <c r="BW77" i="29"/>
  <c r="BV77" i="29"/>
  <c r="BU77" i="29"/>
  <c r="BT77" i="29"/>
  <c r="BS77" i="29"/>
  <c r="BR77" i="29"/>
  <c r="BQ77" i="29"/>
  <c r="BP77" i="29"/>
  <c r="BO77" i="29"/>
  <c r="BN77" i="29"/>
  <c r="BM77" i="29"/>
  <c r="BL77" i="29"/>
  <c r="BK77" i="29"/>
  <c r="BJ77" i="29"/>
  <c r="BI77" i="29"/>
  <c r="BH77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BX76" i="29"/>
  <c r="BW76" i="29"/>
  <c r="BV76" i="29"/>
  <c r="BU76" i="29"/>
  <c r="BT76" i="29"/>
  <c r="BS76" i="29"/>
  <c r="BR76" i="29"/>
  <c r="BQ76" i="29"/>
  <c r="BP76" i="29"/>
  <c r="BO76" i="29"/>
  <c r="BN76" i="29"/>
  <c r="BM76" i="29"/>
  <c r="BL76" i="29"/>
  <c r="BK76" i="29"/>
  <c r="BJ76" i="29"/>
  <c r="BI76" i="29"/>
  <c r="BH76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BX75" i="29"/>
  <c r="BW75" i="29"/>
  <c r="BV75" i="29"/>
  <c r="BU75" i="29"/>
  <c r="BT75" i="29"/>
  <c r="BS75" i="29"/>
  <c r="BR75" i="29"/>
  <c r="BQ75" i="29"/>
  <c r="BP75" i="29"/>
  <c r="BO75" i="29"/>
  <c r="BN75" i="29"/>
  <c r="BM75" i="29"/>
  <c r="BL75" i="29"/>
  <c r="BK75" i="29"/>
  <c r="BJ75" i="29"/>
  <c r="BI75" i="29"/>
  <c r="BH75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BX27" i="29"/>
  <c r="BW27" i="29"/>
  <c r="BV27" i="29"/>
  <c r="BU27" i="29"/>
  <c r="BT27" i="29"/>
  <c r="BS27" i="29"/>
  <c r="BR27" i="29"/>
  <c r="BQ27" i="29"/>
  <c r="BP27" i="29"/>
  <c r="BO27" i="29"/>
  <c r="BN27" i="29"/>
  <c r="BM27" i="29"/>
  <c r="BX26" i="29"/>
  <c r="BW26" i="29"/>
  <c r="BV26" i="29"/>
  <c r="BU26" i="29"/>
  <c r="BT26" i="29"/>
  <c r="BS26" i="29"/>
  <c r="BR26" i="29"/>
  <c r="BQ26" i="29"/>
  <c r="BP26" i="29"/>
  <c r="BO26" i="29"/>
  <c r="BN26" i="29"/>
  <c r="BM26" i="29"/>
  <c r="BX23" i="29"/>
  <c r="BW23" i="29"/>
  <c r="BV23" i="29"/>
  <c r="BU23" i="29"/>
  <c r="BT23" i="29"/>
  <c r="BS23" i="29"/>
  <c r="BR23" i="29"/>
  <c r="BQ23" i="29"/>
  <c r="BP23" i="29"/>
  <c r="BO23" i="29"/>
  <c r="BN23" i="29"/>
  <c r="BM23" i="29"/>
  <c r="BX22" i="29"/>
  <c r="BW22" i="29"/>
  <c r="BV22" i="29"/>
  <c r="BU22" i="29"/>
  <c r="BT22" i="29"/>
  <c r="BS22" i="29"/>
  <c r="BR22" i="29"/>
  <c r="BQ22" i="29"/>
  <c r="BP22" i="29"/>
  <c r="BO22" i="29"/>
  <c r="BN22" i="29"/>
  <c r="BM22" i="29"/>
  <c r="BX19" i="29"/>
  <c r="BW19" i="29"/>
  <c r="BV19" i="29"/>
  <c r="BU19" i="29"/>
  <c r="BT19" i="29"/>
  <c r="BS19" i="29"/>
  <c r="BR19" i="29"/>
  <c r="BQ19" i="29"/>
  <c r="BP19" i="29"/>
  <c r="BO19" i="29"/>
  <c r="BN19" i="29"/>
  <c r="BM19" i="29"/>
  <c r="BL19" i="29"/>
  <c r="BK19" i="29"/>
  <c r="BJ19" i="29"/>
  <c r="BI19" i="29"/>
  <c r="BH19" i="29"/>
  <c r="BG19" i="29"/>
  <c r="AT17" i="29"/>
  <c r="BX18" i="29"/>
  <c r="BW18" i="29"/>
  <c r="BV18" i="29"/>
  <c r="BU18" i="29"/>
  <c r="BT18" i="29"/>
  <c r="BS18" i="29"/>
  <c r="BR18" i="29"/>
  <c r="BQ18" i="29"/>
  <c r="BP18" i="29"/>
  <c r="BO18" i="29"/>
  <c r="BN18" i="29"/>
  <c r="BM18" i="29"/>
  <c r="BX17" i="29"/>
  <c r="BW17" i="29"/>
  <c r="BV17" i="29"/>
  <c r="BU17" i="29"/>
  <c r="BT17" i="29"/>
  <c r="BS17" i="29"/>
  <c r="BR17" i="29"/>
  <c r="BQ17" i="29"/>
  <c r="BP17" i="29"/>
  <c r="BO17" i="29"/>
  <c r="BN17" i="29"/>
  <c r="BM17" i="29"/>
  <c r="BX16" i="29"/>
  <c r="BW16" i="29"/>
  <c r="BV16" i="29"/>
  <c r="BU16" i="29"/>
  <c r="BT16" i="29"/>
  <c r="BS16" i="29"/>
  <c r="BR16" i="29"/>
  <c r="BQ16" i="29"/>
  <c r="BP16" i="29"/>
  <c r="BO16" i="29"/>
  <c r="BN16" i="29"/>
  <c r="BM16" i="29"/>
  <c r="BX15" i="29"/>
  <c r="BW15" i="29"/>
  <c r="BV15" i="29"/>
  <c r="BU15" i="29"/>
  <c r="BT15" i="29"/>
  <c r="BS15" i="29"/>
  <c r="BR15" i="29"/>
  <c r="BQ15" i="29"/>
  <c r="BP15" i="29"/>
  <c r="BO15" i="29"/>
  <c r="BN15" i="29"/>
  <c r="BM15" i="29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CI56" i="38"/>
  <c r="CH56" i="38"/>
  <c r="CG56" i="38"/>
  <c r="CI55" i="38"/>
  <c r="CH55" i="38"/>
  <c r="CG55" i="38"/>
  <c r="CF55" i="38"/>
  <c r="CE55" i="38"/>
  <c r="CD55" i="38"/>
  <c r="CC55" i="38"/>
  <c r="CB55" i="38"/>
  <c r="CA55" i="38"/>
  <c r="BZ55" i="38"/>
  <c r="BY55" i="38"/>
  <c r="BX55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BW56" i="38"/>
  <c r="BV56" i="38"/>
  <c r="BU56" i="38"/>
  <c r="BT56" i="38"/>
  <c r="BS56" i="38"/>
  <c r="BR56" i="38"/>
  <c r="BQ56" i="38"/>
  <c r="BP56" i="38"/>
  <c r="BO56" i="38"/>
  <c r="BN56" i="38"/>
  <c r="BM56" i="38"/>
  <c r="BL56" i="38"/>
  <c r="BK56" i="38"/>
  <c r="BJ56" i="38"/>
  <c r="BI56" i="38"/>
  <c r="BH56" i="38"/>
  <c r="BG56" i="38"/>
  <c r="BF56" i="38"/>
  <c r="BE56" i="38"/>
  <c r="BD56" i="38"/>
  <c r="BC56" i="38"/>
  <c r="BB56" i="38"/>
  <c r="BA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BK55" i="38"/>
  <c r="BJ55" i="38"/>
  <c r="BI55" i="38"/>
  <c r="BH55" i="38"/>
  <c r="BG55" i="38"/>
  <c r="BF55" i="38"/>
  <c r="BE55" i="38"/>
  <c r="BD55" i="38"/>
  <c r="BC55" i="38"/>
  <c r="BB55" i="38"/>
  <c r="BA55" i="38"/>
  <c r="AZ55" i="38"/>
  <c r="AY55" i="38"/>
  <c r="AX55" i="38"/>
  <c r="AW55" i="38"/>
  <c r="AV55" i="38"/>
  <c r="AU55" i="38"/>
  <c r="AT55" i="38"/>
  <c r="AS55" i="38"/>
  <c r="AR55" i="38"/>
  <c r="AQ55" i="38"/>
  <c r="AP55" i="38"/>
  <c r="AO55" i="38"/>
  <c r="AN55" i="38"/>
  <c r="AM55" i="38"/>
  <c r="AL55" i="38"/>
  <c r="AK55" i="38"/>
  <c r="AJ55" i="38"/>
  <c r="AI55" i="38"/>
  <c r="AH55" i="38"/>
  <c r="AG55" i="38"/>
  <c r="AF55" i="38"/>
  <c r="AE55" i="38"/>
  <c r="AD55" i="38"/>
  <c r="AC55" i="38"/>
  <c r="AB55" i="38"/>
  <c r="AA55" i="38"/>
  <c r="Z55" i="38"/>
  <c r="Y55" i="38"/>
  <c r="X55" i="38"/>
  <c r="W55" i="38"/>
  <c r="V55" i="38"/>
  <c r="U55" i="38"/>
  <c r="T55" i="38"/>
  <c r="S55" i="38"/>
  <c r="R55" i="38"/>
  <c r="Q55" i="38"/>
  <c r="P55" i="38"/>
  <c r="CI48" i="38"/>
  <c r="CH48" i="38"/>
  <c r="CG48" i="38"/>
  <c r="CF48" i="38"/>
  <c r="CE48" i="38"/>
  <c r="CD48" i="38"/>
  <c r="CC48" i="38"/>
  <c r="CB48" i="38"/>
  <c r="CA48" i="38"/>
  <c r="BZ48" i="38"/>
  <c r="BY48" i="38"/>
  <c r="BX48" i="38"/>
  <c r="BW48" i="38"/>
  <c r="BV48" i="38"/>
  <c r="BU48" i="38"/>
  <c r="BT48" i="38"/>
  <c r="BS48" i="38"/>
  <c r="BR48" i="38"/>
  <c r="BQ48" i="38"/>
  <c r="BP48" i="38"/>
  <c r="BO48" i="38"/>
  <c r="BN48" i="38"/>
  <c r="BM48" i="38"/>
  <c r="BL48" i="38"/>
  <c r="BK48" i="38"/>
  <c r="CI14" i="38"/>
  <c r="CH14" i="38"/>
  <c r="CG14" i="38"/>
  <c r="CF14" i="38"/>
  <c r="CE14" i="38"/>
  <c r="CD14" i="38"/>
  <c r="CC14" i="38"/>
  <c r="CB14" i="38"/>
  <c r="CA14" i="38"/>
  <c r="BZ14" i="38"/>
  <c r="BY14" i="38"/>
  <c r="BX14" i="38"/>
  <c r="BK14" i="38"/>
  <c r="BJ14" i="38"/>
  <c r="BI14" i="38"/>
  <c r="BH14" i="38"/>
  <c r="BG14" i="38"/>
  <c r="BF14" i="38"/>
  <c r="AX14" i="38"/>
  <c r="L35" i="90"/>
  <c r="K35" i="90"/>
  <c r="J35" i="90"/>
  <c r="I35" i="90"/>
  <c r="H35" i="90"/>
  <c r="G35" i="90"/>
  <c r="F35" i="90"/>
  <c r="E35" i="90"/>
  <c r="D35" i="90"/>
  <c r="R10" i="90"/>
  <c r="C3" i="90"/>
  <c r="CH109" i="15"/>
  <c r="CG109" i="15"/>
  <c r="CF109" i="15"/>
  <c r="CE109" i="15"/>
  <c r="CD109" i="15"/>
  <c r="CC109" i="15"/>
  <c r="CB109" i="15"/>
  <c r="CA109" i="15"/>
  <c r="BZ109" i="15"/>
  <c r="BY109" i="15"/>
  <c r="BX109" i="15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CH101" i="15"/>
  <c r="CG101" i="15"/>
  <c r="CF101" i="15"/>
  <c r="CE101" i="15"/>
  <c r="CD101" i="15"/>
  <c r="CC101" i="15"/>
  <c r="CB101" i="15"/>
  <c r="CA101" i="15"/>
  <c r="BZ101" i="15"/>
  <c r="BY101" i="15"/>
  <c r="BX101" i="15"/>
  <c r="BW101" i="15"/>
  <c r="CH96" i="15"/>
  <c r="CG96" i="15"/>
  <c r="CF96" i="15"/>
  <c r="CE96" i="15"/>
  <c r="CD96" i="15"/>
  <c r="CC96" i="15"/>
  <c r="CB96" i="15"/>
  <c r="CA96" i="15"/>
  <c r="BZ96" i="15"/>
  <c r="BY96" i="15"/>
  <c r="BX96" i="15"/>
  <c r="BW96" i="15"/>
  <c r="CH94" i="15"/>
  <c r="CG94" i="15"/>
  <c r="CF94" i="15"/>
  <c r="CE94" i="15"/>
  <c r="CD94" i="15"/>
  <c r="CC94" i="15"/>
  <c r="CB94" i="15"/>
  <c r="CA94" i="15"/>
  <c r="BZ94" i="15"/>
  <c r="BY94" i="15"/>
  <c r="BX94" i="15"/>
  <c r="BW94" i="15"/>
  <c r="CH88" i="15"/>
  <c r="CG88" i="15"/>
  <c r="CF88" i="15"/>
  <c r="CE88" i="15"/>
  <c r="CD88" i="15"/>
  <c r="CC88" i="15"/>
  <c r="CB88" i="15"/>
  <c r="CA88" i="15"/>
  <c r="BZ88" i="15"/>
  <c r="BY88" i="15"/>
  <c r="BX88" i="15"/>
  <c r="BW88" i="15"/>
  <c r="CH87" i="15"/>
  <c r="CG87" i="15"/>
  <c r="CF87" i="15"/>
  <c r="CE87" i="15"/>
  <c r="CD87" i="15"/>
  <c r="CC87" i="15"/>
  <c r="CB87" i="15"/>
  <c r="CA87" i="15"/>
  <c r="BZ87" i="15"/>
  <c r="BY87" i="15"/>
  <c r="BX87" i="15"/>
  <c r="BW87" i="15"/>
  <c r="CH85" i="15"/>
  <c r="CG85" i="15"/>
  <c r="CF85" i="15"/>
  <c r="CE85" i="15"/>
  <c r="CD85" i="15"/>
  <c r="CC85" i="15"/>
  <c r="CB85" i="15"/>
  <c r="CA85" i="15"/>
  <c r="BZ85" i="15"/>
  <c r="BY85" i="15"/>
  <c r="BX85" i="15"/>
  <c r="BW85" i="15"/>
  <c r="CH82" i="15"/>
  <c r="CG82" i="15"/>
  <c r="CF82" i="15"/>
  <c r="CE82" i="15"/>
  <c r="CD82" i="15"/>
  <c r="CC82" i="15"/>
  <c r="CB82" i="15"/>
  <c r="CA82" i="15"/>
  <c r="BZ82" i="15"/>
  <c r="BY82" i="15"/>
  <c r="BX82" i="15"/>
  <c r="BW82" i="15"/>
  <c r="CH78" i="15"/>
  <c r="CG78" i="15"/>
  <c r="CF78" i="15"/>
  <c r="CE78" i="15"/>
  <c r="CD78" i="15"/>
  <c r="CC78" i="15"/>
  <c r="CB78" i="15"/>
  <c r="CA78" i="15"/>
  <c r="BZ78" i="15"/>
  <c r="BY78" i="15"/>
  <c r="BX78" i="15"/>
  <c r="BW78" i="15"/>
  <c r="CH77" i="15"/>
  <c r="CH92" i="15" s="1"/>
  <c r="CG77" i="15"/>
  <c r="CG92" i="15" s="1"/>
  <c r="CF77" i="15"/>
  <c r="CF92" i="15" s="1"/>
  <c r="CE77" i="15"/>
  <c r="CE92" i="15" s="1"/>
  <c r="CD77" i="15"/>
  <c r="CD92" i="15" s="1"/>
  <c r="CC77" i="15"/>
  <c r="CC92" i="15" s="1"/>
  <c r="CB77" i="15"/>
  <c r="CB92" i="15" s="1"/>
  <c r="CA77" i="15"/>
  <c r="CA92" i="15" s="1"/>
  <c r="BZ77" i="15"/>
  <c r="BZ92" i="15" s="1"/>
  <c r="BY77" i="15"/>
  <c r="BY92" i="15" s="1"/>
  <c r="BX77" i="15"/>
  <c r="BX92" i="15" s="1"/>
  <c r="BW77" i="15"/>
  <c r="BW92" i="15" s="1"/>
  <c r="CH76" i="15"/>
  <c r="CG76" i="15"/>
  <c r="CF76" i="15"/>
  <c r="CE76" i="15"/>
  <c r="CD76" i="15"/>
  <c r="CC76" i="15"/>
  <c r="CB76" i="15"/>
  <c r="CA76" i="15"/>
  <c r="BZ76" i="15"/>
  <c r="BY76" i="15"/>
  <c r="BX76" i="15"/>
  <c r="BW76" i="15"/>
  <c r="CH75" i="15"/>
  <c r="CG75" i="15"/>
  <c r="CF75" i="15"/>
  <c r="CE75" i="15"/>
  <c r="CD75" i="15"/>
  <c r="CC75" i="15"/>
  <c r="CB75" i="15"/>
  <c r="CA75" i="15"/>
  <c r="BZ75" i="15"/>
  <c r="BY75" i="15"/>
  <c r="BX75" i="15"/>
  <c r="BW75" i="15"/>
  <c r="CH74" i="15"/>
  <c r="CG74" i="15"/>
  <c r="CF74" i="15"/>
  <c r="CE74" i="15"/>
  <c r="CD74" i="15"/>
  <c r="CC74" i="15"/>
  <c r="CB74" i="15"/>
  <c r="CA74" i="15"/>
  <c r="BZ74" i="15"/>
  <c r="BY74" i="15"/>
  <c r="BX74" i="15"/>
  <c r="BW74" i="15"/>
  <c r="CH73" i="15"/>
  <c r="CG73" i="15"/>
  <c r="CF73" i="15"/>
  <c r="CH65" i="15"/>
  <c r="CG65" i="15"/>
  <c r="CF65" i="15"/>
  <c r="CE65" i="15"/>
  <c r="CD65" i="15"/>
  <c r="CC65" i="15"/>
  <c r="CB65" i="15"/>
  <c r="CA65" i="15"/>
  <c r="BZ65" i="15"/>
  <c r="BY65" i="15"/>
  <c r="BX65" i="15"/>
  <c r="BW65" i="15"/>
  <c r="CH52" i="15"/>
  <c r="CG52" i="15"/>
  <c r="CF52" i="15"/>
  <c r="CE52" i="15"/>
  <c r="CD52" i="15"/>
  <c r="CC52" i="15"/>
  <c r="CB52" i="15"/>
  <c r="CA52" i="15"/>
  <c r="BZ52" i="15"/>
  <c r="BY52" i="15"/>
  <c r="BX52" i="15"/>
  <c r="BW52" i="15"/>
  <c r="CH48" i="15"/>
  <c r="CG48" i="15"/>
  <c r="CF48" i="15"/>
  <c r="CE48" i="15"/>
  <c r="CD48" i="15"/>
  <c r="CC48" i="15"/>
  <c r="CB48" i="15"/>
  <c r="CA48" i="15"/>
  <c r="BZ48" i="15"/>
  <c r="BY48" i="15"/>
  <c r="BX48" i="15"/>
  <c r="BW48" i="15"/>
  <c r="CH47" i="15"/>
  <c r="CG47" i="15"/>
  <c r="CF47" i="15"/>
  <c r="CE47" i="15"/>
  <c r="CD47" i="15"/>
  <c r="CC47" i="15"/>
  <c r="CB47" i="15"/>
  <c r="CA47" i="15"/>
  <c r="BZ47" i="15"/>
  <c r="BY47" i="15"/>
  <c r="BX47" i="15"/>
  <c r="BW47" i="15"/>
  <c r="CH46" i="15"/>
  <c r="CG46" i="15"/>
  <c r="CF46" i="15"/>
  <c r="CE46" i="15"/>
  <c r="CD46" i="15"/>
  <c r="CC46" i="15"/>
  <c r="CB46" i="15"/>
  <c r="CA46" i="15"/>
  <c r="BZ46" i="15"/>
  <c r="BY46" i="15"/>
  <c r="BX46" i="15"/>
  <c r="BW46" i="15"/>
  <c r="CH39" i="15"/>
  <c r="CG39" i="15"/>
  <c r="CF39" i="15"/>
  <c r="CE39" i="15"/>
  <c r="CD39" i="15"/>
  <c r="CC39" i="15"/>
  <c r="CB39" i="15"/>
  <c r="CA39" i="15"/>
  <c r="BZ39" i="15"/>
  <c r="BY39" i="15"/>
  <c r="BX39" i="15"/>
  <c r="BW39" i="15"/>
  <c r="CH38" i="15"/>
  <c r="CG38" i="15"/>
  <c r="CF38" i="15"/>
  <c r="CE38" i="15"/>
  <c r="CD38" i="15"/>
  <c r="CC38" i="15"/>
  <c r="CB38" i="15"/>
  <c r="CA38" i="15"/>
  <c r="BZ38" i="15"/>
  <c r="BY38" i="15"/>
  <c r="BX38" i="15"/>
  <c r="BW38" i="15"/>
  <c r="CF30" i="15"/>
  <c r="CE30" i="15"/>
  <c r="CD30" i="15"/>
  <c r="CC30" i="15"/>
  <c r="BX30" i="15"/>
  <c r="BW30" i="15"/>
  <c r="CH15" i="15"/>
  <c r="CG15" i="15"/>
  <c r="CF15" i="15"/>
  <c r="CE15" i="15"/>
  <c r="CD15" i="15"/>
  <c r="CC15" i="15"/>
  <c r="CB15" i="15"/>
  <c r="CA15" i="15"/>
  <c r="BZ15" i="15"/>
  <c r="BY15" i="15"/>
  <c r="BX15" i="15"/>
  <c r="BW15" i="15"/>
  <c r="CH10" i="15"/>
  <c r="CG10" i="15"/>
  <c r="CF10" i="15"/>
  <c r="CE10" i="15"/>
  <c r="CD10" i="15"/>
  <c r="CC10" i="15"/>
  <c r="CB10" i="15"/>
  <c r="CA10" i="15"/>
  <c r="BZ10" i="15"/>
  <c r="BY10" i="15"/>
  <c r="BX10" i="15"/>
  <c r="BW10" i="15"/>
  <c r="BX36" i="29"/>
  <c r="BW31" i="15" s="1"/>
  <c r="BW36" i="29"/>
  <c r="CG31" i="15" s="1"/>
  <c r="BV36" i="29"/>
  <c r="CF31" i="15" s="1"/>
  <c r="BU36" i="29"/>
  <c r="CE31" i="15" s="1"/>
  <c r="BT36" i="29"/>
  <c r="CD31" i="15" s="1"/>
  <c r="BS36" i="29"/>
  <c r="CC31" i="15" s="1"/>
  <c r="BR36" i="29"/>
  <c r="CB31" i="15" s="1"/>
  <c r="BQ36" i="29"/>
  <c r="CA30" i="15" s="1"/>
  <c r="BP36" i="29"/>
  <c r="BZ31" i="15" s="1"/>
  <c r="BO36" i="29"/>
  <c r="BY31" i="15" s="1"/>
  <c r="BN36" i="29"/>
  <c r="BX31" i="15" s="1"/>
  <c r="BM36" i="29"/>
  <c r="BL36" i="29"/>
  <c r="BK36" i="29"/>
  <c r="BJ36" i="29"/>
  <c r="BI36" i="29"/>
  <c r="BH36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H36" i="29"/>
  <c r="AG36" i="29"/>
  <c r="AF36" i="29"/>
  <c r="AE36" i="29"/>
  <c r="AD36" i="29"/>
  <c r="AC36" i="29"/>
  <c r="BX33" i="29"/>
  <c r="BW33" i="29"/>
  <c r="BV33" i="29"/>
  <c r="BU33" i="29"/>
  <c r="BT33" i="29"/>
  <c r="BS33" i="29"/>
  <c r="BR33" i="29"/>
  <c r="BQ33" i="29"/>
  <c r="BP33" i="29"/>
  <c r="BO33" i="29"/>
  <c r="BN33" i="29"/>
  <c r="BM33" i="29"/>
  <c r="BX14" i="29"/>
  <c r="BW14" i="29"/>
  <c r="BV14" i="29"/>
  <c r="BU14" i="29"/>
  <c r="BT14" i="29"/>
  <c r="BS14" i="29"/>
  <c r="BR14" i="29"/>
  <c r="BQ14" i="29"/>
  <c r="BP14" i="29"/>
  <c r="BO14" i="29"/>
  <c r="BN14" i="29"/>
  <c r="BM14" i="29"/>
  <c r="CA31" i="15" l="1"/>
  <c r="BY30" i="15"/>
  <c r="CG30" i="15"/>
  <c r="BZ30" i="15"/>
  <c r="CH30" i="15"/>
  <c r="CH31" i="15"/>
  <c r="CB30" i="15"/>
  <c r="BO20" i="8"/>
  <c r="BP20" i="8"/>
  <c r="BP22" i="8" s="1"/>
  <c r="BQ20" i="8"/>
  <c r="BR20" i="8"/>
  <c r="BS20" i="8"/>
  <c r="BT20" i="8"/>
  <c r="BT22" i="8" s="1"/>
  <c r="BU20" i="8"/>
  <c r="BU22" i="8" s="1"/>
  <c r="BV20" i="8"/>
  <c r="BW20" i="8"/>
  <c r="BO22" i="8"/>
  <c r="BQ22" i="8"/>
  <c r="BR22" i="8"/>
  <c r="BS22" i="8"/>
  <c r="BV22" i="8"/>
  <c r="BW22" i="8"/>
  <c r="H31" i="2" l="1"/>
  <c r="BY51" i="58"/>
  <c r="BY30" i="58"/>
  <c r="CE51" i="58"/>
  <c r="CE50" i="58"/>
  <c r="CE49" i="58"/>
  <c r="CE48" i="58"/>
  <c r="CE47" i="58"/>
  <c r="CE46" i="58"/>
  <c r="CE45" i="58"/>
  <c r="CE44" i="58"/>
  <c r="CE43" i="58"/>
  <c r="CE42" i="58"/>
  <c r="CE41" i="58"/>
  <c r="CE40" i="58"/>
  <c r="CE39" i="58"/>
  <c r="CE38" i="58"/>
  <c r="CE37" i="58"/>
  <c r="CE36" i="58"/>
  <c r="CE35" i="58"/>
  <c r="CE34" i="58"/>
  <c r="CE33" i="58"/>
  <c r="CE32" i="58"/>
  <c r="CE31" i="58"/>
  <c r="CE30" i="58"/>
  <c r="CE29" i="58"/>
  <c r="CE28" i="58"/>
  <c r="CE27" i="58"/>
  <c r="CE26" i="58"/>
  <c r="CE25" i="58"/>
  <c r="CE24" i="58"/>
  <c r="CE23" i="58"/>
  <c r="CE22" i="58"/>
  <c r="CE21" i="58"/>
  <c r="CE20" i="58"/>
  <c r="CE19" i="58"/>
  <c r="CE18" i="58"/>
  <c r="CE17" i="58"/>
  <c r="CE16" i="58"/>
  <c r="CE15" i="58"/>
  <c r="CE14" i="58"/>
  <c r="CE13" i="58"/>
  <c r="CE12" i="58"/>
  <c r="BK40" i="46"/>
  <c r="K31" i="2"/>
  <c r="BM48" i="29"/>
  <c r="BN48" i="29"/>
  <c r="BO48" i="29"/>
  <c r="BP48" i="29"/>
  <c r="BQ48" i="29"/>
  <c r="BR48" i="29"/>
  <c r="BR51" i="29" s="1"/>
  <c r="BS48" i="29"/>
  <c r="BS51" i="29" s="1"/>
  <c r="BT48" i="29"/>
  <c r="BT51" i="29" s="1"/>
  <c r="BU48" i="29"/>
  <c r="BV48" i="29"/>
  <c r="BW48" i="29"/>
  <c r="BX48" i="29"/>
  <c r="BM49" i="29"/>
  <c r="BN49" i="29"/>
  <c r="BO49" i="29"/>
  <c r="BP49" i="29"/>
  <c r="BQ49" i="29"/>
  <c r="BR49" i="29"/>
  <c r="BS49" i="29"/>
  <c r="BT49" i="29"/>
  <c r="BU49" i="29"/>
  <c r="BV49" i="29"/>
  <c r="BV51" i="29" s="1"/>
  <c r="BW49" i="29"/>
  <c r="BW51" i="29" s="1"/>
  <c r="BX49" i="29"/>
  <c r="BX51" i="29" s="1"/>
  <c r="BM50" i="29"/>
  <c r="BN50" i="29"/>
  <c r="BO50" i="29"/>
  <c r="BP50" i="29"/>
  <c r="BQ50" i="29"/>
  <c r="BR50" i="29"/>
  <c r="BS50" i="29"/>
  <c r="BT50" i="29"/>
  <c r="BU50" i="29"/>
  <c r="BV50" i="29"/>
  <c r="BW50" i="29"/>
  <c r="BX50" i="29"/>
  <c r="BM51" i="29"/>
  <c r="BN51" i="29"/>
  <c r="BO51" i="29"/>
  <c r="BP51" i="29"/>
  <c r="BQ51" i="29"/>
  <c r="BU51" i="29"/>
  <c r="BA24" i="29"/>
  <c r="BU40" i="15" l="1"/>
  <c r="C37" i="90" l="1"/>
  <c r="BW40" i="46" l="1"/>
  <c r="BV40" i="46"/>
  <c r="BU40" i="46"/>
  <c r="BT40" i="46"/>
  <c r="BS40" i="46"/>
  <c r="BR40" i="46"/>
  <c r="BQ40" i="46"/>
  <c r="BP40" i="46"/>
  <c r="BO40" i="46"/>
  <c r="BN40" i="46"/>
  <c r="BM40" i="46"/>
  <c r="BL40" i="46"/>
  <c r="L11" i="90" l="1"/>
  <c r="K11" i="90"/>
  <c r="J11" i="90"/>
  <c r="I11" i="90"/>
  <c r="H11" i="90"/>
  <c r="G11" i="90"/>
  <c r="F11" i="90"/>
  <c r="E11" i="90"/>
  <c r="L3" i="90"/>
  <c r="K3" i="90"/>
  <c r="J3" i="90"/>
  <c r="I3" i="90"/>
  <c r="H3" i="90"/>
  <c r="G3" i="90"/>
  <c r="F3" i="90"/>
  <c r="E3" i="90"/>
  <c r="BR40" i="15"/>
  <c r="BT40" i="15"/>
  <c r="BV40" i="15"/>
  <c r="BL40" i="15"/>
  <c r="BO40" i="15"/>
  <c r="BK40" i="15"/>
  <c r="BM40" i="15"/>
  <c r="BN40" i="15"/>
  <c r="BP40" i="15"/>
  <c r="BQ40" i="15"/>
  <c r="BS40" i="15"/>
  <c r="F72" i="1"/>
  <c r="D72" i="1"/>
  <c r="H13" i="90" l="1"/>
  <c r="L13" i="90"/>
  <c r="I13" i="90"/>
  <c r="K13" i="90"/>
  <c r="G13" i="90"/>
  <c r="J13" i="90"/>
  <c r="F13" i="90"/>
  <c r="J9" i="90"/>
  <c r="K9" i="90"/>
  <c r="E9" i="90"/>
  <c r="L9" i="90"/>
  <c r="G9" i="90"/>
  <c r="H9" i="90"/>
  <c r="I9" i="90"/>
  <c r="D3" i="90"/>
  <c r="F9" i="90"/>
  <c r="G4" i="90"/>
  <c r="H4" i="90"/>
  <c r="J4" i="90"/>
  <c r="K4" i="90"/>
  <c r="L4" i="90"/>
  <c r="I4" i="90"/>
  <c r="E4" i="90"/>
  <c r="F4" i="90"/>
  <c r="CA73" i="15" l="1"/>
  <c r="CB56" i="38"/>
  <c r="BZ73" i="15"/>
  <c r="CA56" i="38"/>
  <c r="CC73" i="15"/>
  <c r="CD56" i="38"/>
  <c r="CF56" i="38"/>
  <c r="CE73" i="15"/>
  <c r="BY73" i="15"/>
  <c r="BZ56" i="38"/>
  <c r="BX73" i="15"/>
  <c r="BY56" i="38"/>
  <c r="CB73" i="15"/>
  <c r="CC56" i="38"/>
  <c r="CE56" i="38"/>
  <c r="CD73" i="15"/>
  <c r="H28" i="90"/>
  <c r="G28" i="90"/>
  <c r="L28" i="90"/>
  <c r="E28" i="90"/>
  <c r="J28" i="90"/>
  <c r="I28" i="90"/>
  <c r="K28" i="90"/>
  <c r="D13" i="90"/>
  <c r="E13" i="90"/>
  <c r="D9" i="90"/>
  <c r="F28" i="90"/>
  <c r="D4" i="90"/>
  <c r="BX56" i="38" l="1"/>
  <c r="BW73" i="15"/>
  <c r="D28" i="90"/>
  <c r="D30" i="89"/>
  <c r="H30" i="89" s="1"/>
  <c r="D7" i="89"/>
  <c r="D6" i="89"/>
  <c r="F30" i="89" l="1"/>
  <c r="D30" i="88" l="1"/>
  <c r="H30" i="88" s="1"/>
  <c r="D7" i="88"/>
  <c r="D6" i="88"/>
  <c r="CA22" i="46"/>
  <c r="CA21" i="46"/>
  <c r="CA20" i="46"/>
  <c r="CA19" i="46"/>
  <c r="CA18" i="46"/>
  <c r="CA10" i="46"/>
  <c r="CA9" i="46"/>
  <c r="CA8" i="46"/>
  <c r="CA7" i="46"/>
  <c r="CA6" i="46"/>
  <c r="B69" i="29"/>
  <c r="B68" i="29"/>
  <c r="B67" i="29"/>
  <c r="B66" i="29"/>
  <c r="B65" i="29"/>
  <c r="B64" i="29"/>
  <c r="B63" i="29"/>
  <c r="B45" i="29"/>
  <c r="B44" i="29"/>
  <c r="B43" i="29"/>
  <c r="A2" i="29"/>
  <c r="F30" i="88" l="1"/>
  <c r="C69" i="29"/>
  <c r="C68" i="29"/>
  <c r="C67" i="29"/>
  <c r="C66" i="29"/>
  <c r="C65" i="29"/>
  <c r="C64" i="29"/>
  <c r="C63" i="29"/>
  <c r="C45" i="29"/>
  <c r="C44" i="29"/>
  <c r="C43" i="29"/>
  <c r="C74" i="29" l="1"/>
  <c r="B25" i="77"/>
  <c r="B22" i="77"/>
  <c r="B9" i="77"/>
  <c r="B156" i="2" l="1"/>
  <c r="B139" i="2"/>
  <c r="B111" i="2"/>
  <c r="B97" i="2"/>
  <c r="B77" i="2" l="1"/>
  <c r="B118" i="2"/>
  <c r="B69" i="2"/>
  <c r="B68" i="2"/>
  <c r="B54" i="29" l="1"/>
  <c r="C68" i="38" l="1"/>
  <c r="C65" i="38"/>
  <c r="C64" i="38"/>
  <c r="CM53" i="8"/>
  <c r="CM52" i="8"/>
  <c r="D30" i="87" l="1"/>
  <c r="H30" i="87" s="1"/>
  <c r="D7" i="87"/>
  <c r="D6" i="87"/>
  <c r="F30" i="87" l="1"/>
  <c r="H123" i="1" l="1"/>
  <c r="F123" i="1"/>
  <c r="J123" i="1" l="1"/>
  <c r="BM74" i="29" l="1"/>
  <c r="B34" i="46" l="1"/>
  <c r="B33" i="46"/>
  <c r="B32" i="46"/>
  <c r="B31" i="46"/>
  <c r="B30" i="46"/>
  <c r="B29" i="46"/>
  <c r="B23" i="46"/>
  <c r="B22" i="46"/>
  <c r="B21" i="46"/>
  <c r="B20" i="46"/>
  <c r="B19" i="46"/>
  <c r="B18" i="46"/>
  <c r="B11" i="46"/>
  <c r="B10" i="46"/>
  <c r="BX10" i="46" s="1"/>
  <c r="B9" i="46"/>
  <c r="BX9" i="46" s="1"/>
  <c r="B8" i="46"/>
  <c r="BX8" i="46" s="1"/>
  <c r="B7" i="46"/>
  <c r="BX7" i="46" s="1"/>
  <c r="B6" i="46"/>
  <c r="BX6" i="46" s="1"/>
  <c r="B62" i="29"/>
  <c r="B61" i="29"/>
  <c r="B60" i="29"/>
  <c r="C13" i="38" l="1"/>
  <c r="CI102" i="15"/>
  <c r="CI86" i="15"/>
  <c r="CI49" i="15"/>
  <c r="B102" i="15"/>
  <c r="B86" i="15"/>
  <c r="B49" i="15"/>
  <c r="C62" i="29"/>
  <c r="C61" i="29"/>
  <c r="C60" i="29"/>
  <c r="C54" i="29"/>
  <c r="C278" i="79" l="1"/>
  <c r="C277" i="79"/>
  <c r="C276" i="79"/>
  <c r="C275" i="79"/>
  <c r="C274" i="79"/>
  <c r="C273" i="79"/>
  <c r="C272" i="79"/>
  <c r="C271" i="79"/>
  <c r="C270" i="79"/>
  <c r="C269" i="79"/>
  <c r="C268" i="79"/>
  <c r="F267" i="79"/>
  <c r="C267" i="79"/>
  <c r="BX74" i="29"/>
  <c r="BW74" i="29"/>
  <c r="BV74" i="29"/>
  <c r="BU74" i="29"/>
  <c r="BT74" i="29"/>
  <c r="BS74" i="29"/>
  <c r="BR74" i="29"/>
  <c r="BQ74" i="29"/>
  <c r="BP74" i="29"/>
  <c r="BO74" i="29"/>
  <c r="BN74" i="29"/>
  <c r="BR57" i="29"/>
  <c r="BQ57" i="29"/>
  <c r="BP57" i="29"/>
  <c r="BO57" i="29"/>
  <c r="BN57" i="29"/>
  <c r="BM57" i="29"/>
  <c r="BY12" i="29"/>
  <c r="BX12" i="29"/>
  <c r="BX40" i="29" s="1"/>
  <c r="BW12" i="29"/>
  <c r="BW40" i="29" s="1"/>
  <c r="BV12" i="29"/>
  <c r="BV40" i="29" s="1"/>
  <c r="BU12" i="29"/>
  <c r="BU40" i="29" s="1"/>
  <c r="BT12" i="29"/>
  <c r="BT40" i="29" s="1"/>
  <c r="BS12" i="29"/>
  <c r="BS40" i="29" s="1"/>
  <c r="BR12" i="29"/>
  <c r="BR40" i="29" s="1"/>
  <c r="BQ12" i="29"/>
  <c r="BQ40" i="29" s="1"/>
  <c r="BP12" i="29"/>
  <c r="BP40" i="29" s="1"/>
  <c r="BO12" i="29"/>
  <c r="BO40" i="29" s="1"/>
  <c r="BN12" i="29"/>
  <c r="BN40" i="29" s="1"/>
  <c r="BM12" i="29"/>
  <c r="BM40" i="29" s="1"/>
  <c r="BY11" i="29"/>
  <c r="BX11" i="29"/>
  <c r="BX39" i="29" s="1"/>
  <c r="BW11" i="29"/>
  <c r="BW39" i="29" s="1"/>
  <c r="BV11" i="29"/>
  <c r="BV39" i="29" s="1"/>
  <c r="BU11" i="29"/>
  <c r="BU39" i="29" s="1"/>
  <c r="BT11" i="29"/>
  <c r="BT39" i="29" s="1"/>
  <c r="BS11" i="29"/>
  <c r="BS39" i="29" s="1"/>
  <c r="BR11" i="29"/>
  <c r="BR39" i="29" s="1"/>
  <c r="BQ11" i="29"/>
  <c r="BQ39" i="29" s="1"/>
  <c r="BP11" i="29"/>
  <c r="BP39" i="29" s="1"/>
  <c r="BO11" i="29"/>
  <c r="BO39" i="29" s="1"/>
  <c r="BN11" i="29"/>
  <c r="BN39" i="29" s="1"/>
  <c r="BM11" i="29"/>
  <c r="BM39" i="29" s="1"/>
  <c r="BY40" i="46"/>
  <c r="BW38" i="46"/>
  <c r="BV38" i="46"/>
  <c r="BU38" i="46"/>
  <c r="BT38" i="46"/>
  <c r="BS38" i="46"/>
  <c r="BR38" i="46"/>
  <c r="BQ38" i="46"/>
  <c r="BP38" i="46"/>
  <c r="BO38" i="46"/>
  <c r="BN38" i="46"/>
  <c r="BM38" i="46"/>
  <c r="BL38" i="46"/>
  <c r="BW37" i="46"/>
  <c r="BV37" i="46"/>
  <c r="BU37" i="46"/>
  <c r="BT37" i="46"/>
  <c r="BS37" i="46"/>
  <c r="BR37" i="46"/>
  <c r="BQ37" i="46"/>
  <c r="BP37" i="46"/>
  <c r="BO37" i="46"/>
  <c r="BN37" i="46"/>
  <c r="BM37" i="46"/>
  <c r="BL37" i="46"/>
  <c r="BW27" i="46"/>
  <c r="BV27" i="46"/>
  <c r="BU27" i="46"/>
  <c r="BT27" i="46"/>
  <c r="BS27" i="46"/>
  <c r="BR27" i="46"/>
  <c r="BQ27" i="46"/>
  <c r="BP27" i="46"/>
  <c r="BO27" i="46"/>
  <c r="BN27" i="46"/>
  <c r="BM27" i="46"/>
  <c r="BL27" i="46"/>
  <c r="BW26" i="46"/>
  <c r="BV26" i="46"/>
  <c r="BU26" i="46"/>
  <c r="BT26" i="46"/>
  <c r="BS26" i="46"/>
  <c r="BR26" i="46"/>
  <c r="BQ26" i="46"/>
  <c r="BP26" i="46"/>
  <c r="BO26" i="46"/>
  <c r="BN26" i="46"/>
  <c r="BM26" i="46"/>
  <c r="BL26" i="46"/>
  <c r="BW16" i="46"/>
  <c r="BV16" i="46"/>
  <c r="BU16" i="46"/>
  <c r="BT16" i="46"/>
  <c r="BS16" i="46"/>
  <c r="BR16" i="46"/>
  <c r="BQ16" i="46"/>
  <c r="BP16" i="46"/>
  <c r="BO16" i="46"/>
  <c r="BN16" i="46"/>
  <c r="BM16" i="46"/>
  <c r="BL16" i="46"/>
  <c r="BW15" i="46"/>
  <c r="BV15" i="46"/>
  <c r="BU15" i="46"/>
  <c r="BT15" i="46"/>
  <c r="BS15" i="46"/>
  <c r="BR15" i="46"/>
  <c r="BQ15" i="46"/>
  <c r="BP15" i="46"/>
  <c r="BO15" i="46"/>
  <c r="BN15" i="46"/>
  <c r="BM15" i="46"/>
  <c r="BL15" i="46"/>
  <c r="BW2" i="46"/>
  <c r="BW14" i="46" s="1"/>
  <c r="BW25" i="46" s="1"/>
  <c r="BV2" i="46"/>
  <c r="BV14" i="46" s="1"/>
  <c r="BV25" i="46" s="1"/>
  <c r="BU2" i="46"/>
  <c r="BU14" i="46" s="1"/>
  <c r="BU25" i="46" s="1"/>
  <c r="BT2" i="46"/>
  <c r="BT36" i="46" s="1"/>
  <c r="BS2" i="46"/>
  <c r="BS36" i="46" s="1"/>
  <c r="BR2" i="46"/>
  <c r="BR36" i="46" s="1"/>
  <c r="BQ2" i="46"/>
  <c r="BQ36" i="46" s="1"/>
  <c r="BP2" i="46"/>
  <c r="BP36" i="46" s="1"/>
  <c r="BO2" i="46"/>
  <c r="BO14" i="46" s="1"/>
  <c r="BO25" i="46" s="1"/>
  <c r="BN2" i="46"/>
  <c r="BN14" i="46" s="1"/>
  <c r="BN25" i="46" s="1"/>
  <c r="BM2" i="46"/>
  <c r="BM36" i="46" s="1"/>
  <c r="BL2" i="46"/>
  <c r="BL36" i="46" s="1"/>
  <c r="CI8" i="38"/>
  <c r="CI62" i="38" s="1"/>
  <c r="CH8" i="38"/>
  <c r="CH62" i="38" s="1"/>
  <c r="CG8" i="38"/>
  <c r="CG53" i="38" s="1"/>
  <c r="CF8" i="38"/>
  <c r="CF80" i="38" s="1"/>
  <c r="CF91" i="38" s="1"/>
  <c r="CE8" i="38"/>
  <c r="CE80" i="38" s="1"/>
  <c r="CE91" i="38" s="1"/>
  <c r="CD8" i="38"/>
  <c r="CD80" i="38" s="1"/>
  <c r="CD91" i="38" s="1"/>
  <c r="CC8" i="38"/>
  <c r="CC80" i="38" s="1"/>
  <c r="CC91" i="38" s="1"/>
  <c r="CB8" i="38"/>
  <c r="CB40" i="38" s="1"/>
  <c r="CA8" i="38"/>
  <c r="CA62" i="38" s="1"/>
  <c r="BZ8" i="38"/>
  <c r="BZ62" i="38" s="1"/>
  <c r="BY8" i="38"/>
  <c r="BY53" i="38" s="1"/>
  <c r="BX8" i="38"/>
  <c r="BX80" i="38" s="1"/>
  <c r="BX91" i="38" s="1"/>
  <c r="CI7" i="38"/>
  <c r="CI79" i="38" s="1"/>
  <c r="CH7" i="38"/>
  <c r="CH79" i="38" s="1"/>
  <c r="CG7" i="38"/>
  <c r="CG39" i="38" s="1"/>
  <c r="CF7" i="38"/>
  <c r="CF39" i="38" s="1"/>
  <c r="CE7" i="38"/>
  <c r="CE39" i="38" s="1"/>
  <c r="CD7" i="38"/>
  <c r="CD39" i="38" s="1"/>
  <c r="CC7" i="38"/>
  <c r="CC79" i="38" s="1"/>
  <c r="CB7" i="38"/>
  <c r="CB79" i="38" s="1"/>
  <c r="CA7" i="38"/>
  <c r="CA79" i="38" s="1"/>
  <c r="BZ7" i="38"/>
  <c r="BZ79" i="38" s="1"/>
  <c r="BY7" i="38"/>
  <c r="BY39" i="38" s="1"/>
  <c r="BX7" i="38"/>
  <c r="BX39" i="38" s="1"/>
  <c r="CL6" i="8"/>
  <c r="CK6" i="8"/>
  <c r="CJ6" i="8"/>
  <c r="CI6" i="8"/>
  <c r="CH6" i="8"/>
  <c r="CG6" i="8"/>
  <c r="CF6" i="8"/>
  <c r="CE6" i="8"/>
  <c r="CD6" i="8"/>
  <c r="CC6" i="8"/>
  <c r="CB6" i="8"/>
  <c r="CA6" i="8"/>
  <c r="CL5" i="8"/>
  <c r="CK5" i="8"/>
  <c r="CJ5" i="8"/>
  <c r="CI5" i="8"/>
  <c r="CH5" i="8"/>
  <c r="CG5" i="8"/>
  <c r="CF5" i="8"/>
  <c r="CE5" i="8"/>
  <c r="CD5" i="8"/>
  <c r="CC5" i="8"/>
  <c r="CB5" i="8"/>
  <c r="CA5" i="8"/>
  <c r="BO36" i="46" l="1"/>
  <c r="BU36" i="46"/>
  <c r="BM14" i="46"/>
  <c r="BM25" i="46" s="1"/>
  <c r="BV36" i="46"/>
  <c r="BW36" i="46"/>
  <c r="BN36" i="46"/>
  <c r="CI28" i="15"/>
  <c r="B28" i="15"/>
  <c r="CI66" i="15"/>
  <c r="B66" i="15"/>
  <c r="CI19" i="15"/>
  <c r="B19" i="15"/>
  <c r="CI20" i="15"/>
  <c r="B20" i="15"/>
  <c r="BZ21" i="38"/>
  <c r="CD79" i="38"/>
  <c r="BY21" i="38"/>
  <c r="CC40" i="38"/>
  <c r="CD40" i="38"/>
  <c r="CD21" i="38"/>
  <c r="CG21" i="38"/>
  <c r="CE79" i="38"/>
  <c r="CH21" i="38"/>
  <c r="BZ39" i="38"/>
  <c r="BZ53" i="38"/>
  <c r="BY80" i="38"/>
  <c r="BY91" i="38" s="1"/>
  <c r="CA39" i="38"/>
  <c r="CA53" i="38"/>
  <c r="BZ80" i="38"/>
  <c r="BZ91" i="38" s="1"/>
  <c r="CH39" i="38"/>
  <c r="CH53" i="38"/>
  <c r="CG80" i="38"/>
  <c r="CG91" i="38" s="1"/>
  <c r="CI39" i="38"/>
  <c r="CI53" i="38"/>
  <c r="CH80" i="38"/>
  <c r="CH91" i="38" s="1"/>
  <c r="G267" i="79"/>
  <c r="F268" i="79"/>
  <c r="D267" i="79"/>
  <c r="BP14" i="46"/>
  <c r="BP25" i="46" s="1"/>
  <c r="BQ14" i="46"/>
  <c r="BQ25" i="46" s="1"/>
  <c r="BR14" i="46"/>
  <c r="BR25" i="46" s="1"/>
  <c r="BS14" i="46"/>
  <c r="BS25" i="46" s="1"/>
  <c r="BL14" i="46"/>
  <c r="BL25" i="46" s="1"/>
  <c r="BT14" i="46"/>
  <c r="BT25" i="46" s="1"/>
  <c r="CA21" i="38"/>
  <c r="CI21" i="38"/>
  <c r="CB39" i="38"/>
  <c r="CE40" i="38"/>
  <c r="CB53" i="38"/>
  <c r="CD62" i="38"/>
  <c r="BX79" i="38"/>
  <c r="CF79" i="38"/>
  <c r="CA80" i="38"/>
  <c r="CA91" i="38" s="1"/>
  <c r="CI80" i="38"/>
  <c r="CI91" i="38" s="1"/>
  <c r="CC62" i="38"/>
  <c r="CB21" i="38"/>
  <c r="CC39" i="38"/>
  <c r="BX40" i="38"/>
  <c r="CF40" i="38"/>
  <c r="CC53" i="38"/>
  <c r="CE62" i="38"/>
  <c r="BY79" i="38"/>
  <c r="CG79" i="38"/>
  <c r="CB80" i="38"/>
  <c r="CB91" i="38" s="1"/>
  <c r="CC21" i="38"/>
  <c r="BY40" i="38"/>
  <c r="CG40" i="38"/>
  <c r="CD53" i="38"/>
  <c r="BX62" i="38"/>
  <c r="CF62" i="38"/>
  <c r="CB62" i="38"/>
  <c r="BZ40" i="38"/>
  <c r="CH40" i="38"/>
  <c r="CE53" i="38"/>
  <c r="BY62" i="38"/>
  <c r="CG62" i="38"/>
  <c r="CE21" i="38"/>
  <c r="CA40" i="38"/>
  <c r="CI40" i="38"/>
  <c r="BX53" i="38"/>
  <c r="CF53" i="38"/>
  <c r="BX21" i="38"/>
  <c r="CF21" i="38"/>
  <c r="G268" i="79" l="1"/>
  <c r="E267" i="79"/>
  <c r="D268" i="79"/>
  <c r="F269" i="79"/>
  <c r="G269" i="79" s="1"/>
  <c r="E268" i="79" l="1"/>
  <c r="D269" i="79"/>
  <c r="F270" i="79"/>
  <c r="G270" i="79"/>
  <c r="E269" i="79" l="1"/>
  <c r="D270" i="79"/>
  <c r="F271" i="79"/>
  <c r="G271" i="79"/>
  <c r="E270" i="79" l="1"/>
  <c r="F272" i="79"/>
  <c r="G272" i="79" s="1"/>
  <c r="D271" i="79"/>
  <c r="E271" i="79" s="1"/>
  <c r="D272" i="79" l="1"/>
  <c r="E272" i="79" s="1"/>
  <c r="F273" i="79"/>
  <c r="D273" i="79" l="1"/>
  <c r="E273" i="79" s="1"/>
  <c r="F274" i="79"/>
  <c r="G274" i="79"/>
  <c r="G273" i="79"/>
  <c r="F70" i="53"/>
  <c r="D70" i="53"/>
  <c r="BQ95" i="38"/>
  <c r="BP95" i="38"/>
  <c r="BO95" i="38"/>
  <c r="BN95" i="38"/>
  <c r="BM95" i="38"/>
  <c r="BL95" i="38"/>
  <c r="BE95" i="38"/>
  <c r="BD95" i="38"/>
  <c r="BC95" i="38"/>
  <c r="BB95" i="38"/>
  <c r="D274" i="79" l="1"/>
  <c r="E274" i="79" s="1"/>
  <c r="F275" i="79"/>
  <c r="D275" i="79" l="1"/>
  <c r="E275" i="79" s="1"/>
  <c r="F276" i="79"/>
  <c r="G275" i="79"/>
  <c r="D276" i="79" l="1"/>
  <c r="E276" i="79" s="1"/>
  <c r="F277" i="79"/>
  <c r="G276" i="79"/>
  <c r="D30" i="86"/>
  <c r="H30" i="86" s="1"/>
  <c r="D7" i="86"/>
  <c r="D6" i="86"/>
  <c r="B40" i="46"/>
  <c r="F278" i="79" l="1"/>
  <c r="D277" i="79"/>
  <c r="E277" i="79" s="1"/>
  <c r="G277" i="79"/>
  <c r="F30" i="86"/>
  <c r="D30" i="85"/>
  <c r="H30" i="85" s="1"/>
  <c r="D7" i="85"/>
  <c r="D6" i="85"/>
  <c r="D278" i="79" l="1"/>
  <c r="E278" i="79" s="1"/>
  <c r="G278" i="79"/>
  <c r="F30" i="85"/>
  <c r="BX18" i="46" l="1"/>
  <c r="C262" i="79" l="1"/>
  <c r="C263" i="79"/>
  <c r="C264" i="79"/>
  <c r="C265" i="79"/>
  <c r="C266" i="79"/>
  <c r="C261" i="79"/>
  <c r="J164" i="84" l="1"/>
  <c r="J163" i="84"/>
  <c r="J162" i="84"/>
  <c r="J161" i="84"/>
  <c r="B72" i="47" l="1"/>
  <c r="B74" i="47" s="1"/>
  <c r="B68" i="47" l="1"/>
  <c r="B70" i="47" s="1"/>
  <c r="H73" i="47"/>
  <c r="F73" i="47"/>
  <c r="F72" i="47"/>
  <c r="D73" i="47"/>
  <c r="D72" i="47"/>
  <c r="F68" i="47"/>
  <c r="D68" i="47"/>
  <c r="F74" i="47" l="1"/>
  <c r="D74" i="47"/>
  <c r="BK69" i="38" l="1"/>
  <c r="BG69" i="38"/>
  <c r="AY69" i="38"/>
  <c r="AU69" i="38"/>
  <c r="AI69" i="38"/>
  <c r="AT71" i="38" s="1"/>
  <c r="W69" i="38"/>
  <c r="AH71" i="38" s="1"/>
  <c r="S69" i="38"/>
  <c r="AD71" i="38" s="1"/>
  <c r="BE30" i="38"/>
  <c r="AX58" i="38"/>
  <c r="AT58" i="38"/>
  <c r="AP58" i="38"/>
  <c r="AL58" i="38"/>
  <c r="AX60" i="38" s="1"/>
  <c r="AH58" i="38"/>
  <c r="AT60" i="38" s="1"/>
  <c r="AD58" i="38"/>
  <c r="AP60" i="38" s="1"/>
  <c r="Z58" i="38"/>
  <c r="AL60" i="38" s="1"/>
  <c r="V58" i="38"/>
  <c r="AH60" i="38" s="1"/>
  <c r="R58" i="38"/>
  <c r="AD60" i="38" s="1"/>
  <c r="BL103" i="15"/>
  <c r="BB34" i="29"/>
  <c r="BA34" i="29"/>
  <c r="D3" i="83"/>
  <c r="F3" i="83"/>
  <c r="D4" i="83"/>
  <c r="E4" i="83"/>
  <c r="F4" i="83"/>
  <c r="D26" i="82"/>
  <c r="D9" i="83" s="1"/>
  <c r="I26" i="82"/>
  <c r="E9" i="83" s="1"/>
  <c r="N26" i="82"/>
  <c r="F9" i="83" s="1"/>
  <c r="D35" i="82"/>
  <c r="N35" i="82"/>
  <c r="D36" i="82"/>
  <c r="I36" i="82"/>
  <c r="N36" i="82"/>
  <c r="D37" i="82"/>
  <c r="I37" i="82"/>
  <c r="N37" i="82"/>
  <c r="D38" i="82"/>
  <c r="I38" i="82"/>
  <c r="N38" i="82"/>
  <c r="D39" i="82"/>
  <c r="I39" i="82"/>
  <c r="N39" i="82"/>
  <c r="I40" i="82"/>
  <c r="N40" i="82"/>
  <c r="D41" i="82"/>
  <c r="I41" i="82"/>
  <c r="N41" i="82"/>
  <c r="D42" i="82"/>
  <c r="I42" i="82"/>
  <c r="N42" i="82"/>
  <c r="D43" i="82"/>
  <c r="I43" i="82"/>
  <c r="N43" i="82"/>
  <c r="D44" i="82"/>
  <c r="I44" i="82"/>
  <c r="N44" i="82"/>
  <c r="D45" i="82"/>
  <c r="I45" i="82"/>
  <c r="N45" i="82"/>
  <c r="D46" i="82"/>
  <c r="I46" i="82"/>
  <c r="N46" i="82"/>
  <c r="D47" i="82"/>
  <c r="I47" i="82"/>
  <c r="N47" i="82"/>
  <c r="D48" i="82"/>
  <c r="I48" i="82"/>
  <c r="N48" i="82"/>
  <c r="D49" i="82"/>
  <c r="I49" i="82"/>
  <c r="N49" i="82"/>
  <c r="D54" i="82"/>
  <c r="I54" i="82"/>
  <c r="N54" i="82"/>
  <c r="D55" i="82"/>
  <c r="D11" i="83" s="1"/>
  <c r="I55" i="82"/>
  <c r="E11" i="83" s="1"/>
  <c r="N55" i="82"/>
  <c r="F11" i="83" s="1"/>
  <c r="D56" i="82"/>
  <c r="D12" i="83" s="1"/>
  <c r="I56" i="82"/>
  <c r="E12" i="83" s="1"/>
  <c r="N56" i="82"/>
  <c r="F12" i="83" s="1"/>
  <c r="D57" i="82"/>
  <c r="I57" i="82"/>
  <c r="N57" i="82"/>
  <c r="D58" i="82"/>
  <c r="I58" i="82"/>
  <c r="N58" i="82"/>
  <c r="D59" i="82"/>
  <c r="I59" i="82"/>
  <c r="N59" i="82"/>
  <c r="D60" i="82"/>
  <c r="I60" i="82"/>
  <c r="N60" i="82"/>
  <c r="D61" i="82"/>
  <c r="I61" i="82"/>
  <c r="N61" i="82"/>
  <c r="D62" i="82"/>
  <c r="I62" i="82"/>
  <c r="N62" i="82"/>
  <c r="D63" i="82"/>
  <c r="I63" i="82"/>
  <c r="N63" i="82"/>
  <c r="D64" i="82"/>
  <c r="D13" i="83" s="1"/>
  <c r="I64" i="82"/>
  <c r="E13" i="83" s="1"/>
  <c r="N64" i="82"/>
  <c r="F13" i="83" s="1"/>
  <c r="D16" i="83"/>
  <c r="E16" i="83"/>
  <c r="F16" i="83"/>
  <c r="C24" i="81"/>
  <c r="I15" i="81"/>
  <c r="D15" i="81"/>
  <c r="E23" i="81"/>
  <c r="E24" i="81" s="1"/>
  <c r="J23" i="81"/>
  <c r="J24" i="81" s="1"/>
  <c r="I32" i="81"/>
  <c r="D33" i="81"/>
  <c r="I33" i="81"/>
  <c r="N33" i="81"/>
  <c r="D34" i="81"/>
  <c r="I34" i="81"/>
  <c r="D35" i="81"/>
  <c r="D36" i="81"/>
  <c r="I36" i="81"/>
  <c r="D37" i="81"/>
  <c r="I37" i="81"/>
  <c r="D38" i="81"/>
  <c r="I38" i="81"/>
  <c r="D39" i="81"/>
  <c r="I39" i="81"/>
  <c r="N39" i="81"/>
  <c r="D40" i="81"/>
  <c r="I40" i="81"/>
  <c r="N40" i="81"/>
  <c r="D41" i="81"/>
  <c r="I41" i="81"/>
  <c r="N41" i="81"/>
  <c r="D42" i="81"/>
  <c r="I42" i="81"/>
  <c r="D43" i="81"/>
  <c r="I43" i="81"/>
  <c r="D44" i="81"/>
  <c r="I44" i="81"/>
  <c r="D45" i="81"/>
  <c r="I45" i="81"/>
  <c r="D46" i="81"/>
  <c r="I46" i="81"/>
  <c r="I51" i="81"/>
  <c r="D52" i="81"/>
  <c r="I52" i="81"/>
  <c r="D53" i="81"/>
  <c r="I53" i="81"/>
  <c r="D54" i="81"/>
  <c r="I54" i="81"/>
  <c r="D55" i="81"/>
  <c r="I55" i="81"/>
  <c r="D56" i="81"/>
  <c r="I56" i="81"/>
  <c r="N56" i="81"/>
  <c r="D57" i="81"/>
  <c r="I57" i="81"/>
  <c r="D58" i="81"/>
  <c r="I58" i="81"/>
  <c r="D59" i="81"/>
  <c r="I59" i="81"/>
  <c r="D60" i="81"/>
  <c r="T30" i="60"/>
  <c r="B17" i="63"/>
  <c r="C17" i="63"/>
  <c r="D17" i="63"/>
  <c r="E17" i="63"/>
  <c r="H17" i="63"/>
  <c r="I17" i="63"/>
  <c r="J17" i="63"/>
  <c r="K17" i="63"/>
  <c r="B19" i="63"/>
  <c r="C19" i="63"/>
  <c r="D19" i="63"/>
  <c r="E19" i="63"/>
  <c r="H19" i="63"/>
  <c r="I19" i="63"/>
  <c r="J19" i="63"/>
  <c r="K19" i="63"/>
  <c r="B21" i="63"/>
  <c r="C21" i="63"/>
  <c r="D21" i="63"/>
  <c r="E21" i="63"/>
  <c r="H21" i="63"/>
  <c r="I21" i="63"/>
  <c r="J21" i="63"/>
  <c r="K21" i="63"/>
  <c r="B23" i="63"/>
  <c r="C23" i="63"/>
  <c r="D23" i="63"/>
  <c r="E23" i="63"/>
  <c r="H23" i="63"/>
  <c r="I23" i="63"/>
  <c r="J23" i="63"/>
  <c r="K23" i="63"/>
  <c r="C25" i="63"/>
  <c r="D25" i="63"/>
  <c r="I25" i="63"/>
  <c r="J25" i="63"/>
  <c r="D6" i="68"/>
  <c r="D7" i="68"/>
  <c r="D30" i="68"/>
  <c r="D6" i="55"/>
  <c r="D7" i="55"/>
  <c r="B15" i="55"/>
  <c r="B19" i="55"/>
  <c r="B22" i="55"/>
  <c r="B25" i="55"/>
  <c r="H30" i="47"/>
  <c r="D6" i="77"/>
  <c r="D7" i="77"/>
  <c r="O24" i="77"/>
  <c r="O25" i="77"/>
  <c r="D6" i="62"/>
  <c r="D7" i="62"/>
  <c r="D30" i="62"/>
  <c r="F30" i="62" s="1"/>
  <c r="D6" i="61"/>
  <c r="D7" i="61"/>
  <c r="D30" i="61"/>
  <c r="F30" i="61" s="1"/>
  <c r="F30" i="36"/>
  <c r="H30" i="36"/>
  <c r="D6" i="48"/>
  <c r="F9" i="48"/>
  <c r="H9" i="48"/>
  <c r="F10" i="48"/>
  <c r="H10" i="48"/>
  <c r="I15" i="48" s="1"/>
  <c r="F11" i="48"/>
  <c r="H11" i="48"/>
  <c r="F12" i="48"/>
  <c r="H12" i="48"/>
  <c r="F13" i="48"/>
  <c r="H13" i="48"/>
  <c r="F15" i="48"/>
  <c r="H15" i="48"/>
  <c r="F17" i="48"/>
  <c r="H17" i="48"/>
  <c r="F19" i="48"/>
  <c r="H19" i="48"/>
  <c r="F20" i="48"/>
  <c r="H20" i="48" s="1"/>
  <c r="F22" i="48"/>
  <c r="H22" i="48" s="1"/>
  <c r="F23" i="48"/>
  <c r="H23" i="48"/>
  <c r="F25" i="48"/>
  <c r="H25" i="48"/>
  <c r="F28" i="48"/>
  <c r="H28" i="48"/>
  <c r="I33" i="48" s="1"/>
  <c r="K33" i="48" s="1"/>
  <c r="F29" i="48"/>
  <c r="H29" i="48"/>
  <c r="F30" i="48"/>
  <c r="H30" i="48"/>
  <c r="F31" i="48"/>
  <c r="H31" i="48"/>
  <c r="F33" i="48"/>
  <c r="H33" i="48"/>
  <c r="I37" i="48" s="1"/>
  <c r="F36" i="48"/>
  <c r="H36" i="48"/>
  <c r="I36" i="48"/>
  <c r="K36" i="48"/>
  <c r="F37" i="48"/>
  <c r="H37" i="48"/>
  <c r="K37" i="48"/>
  <c r="H38" i="48"/>
  <c r="F41" i="48"/>
  <c r="H41" i="48"/>
  <c r="F42" i="48"/>
  <c r="H42" i="48"/>
  <c r="F43" i="48"/>
  <c r="H43" i="48"/>
  <c r="F44" i="48"/>
  <c r="H44" i="48"/>
  <c r="F45" i="48"/>
  <c r="H45" i="48"/>
  <c r="F46" i="48"/>
  <c r="H46" i="48"/>
  <c r="F47" i="48"/>
  <c r="H47" i="48"/>
  <c r="F48" i="48"/>
  <c r="H48" i="48"/>
  <c r="F49" i="48"/>
  <c r="H49" i="48"/>
  <c r="F50" i="48"/>
  <c r="H50" i="48"/>
  <c r="F51" i="48"/>
  <c r="H51" i="48"/>
  <c r="F52" i="48"/>
  <c r="H52" i="48"/>
  <c r="F53" i="48"/>
  <c r="H53" i="48"/>
  <c r="F54" i="48"/>
  <c r="H54" i="48"/>
  <c r="F55" i="48"/>
  <c r="H55" i="48"/>
  <c r="F56" i="48"/>
  <c r="H56" i="48"/>
  <c r="F57" i="48"/>
  <c r="H57" i="48"/>
  <c r="F58" i="48"/>
  <c r="H58" i="48"/>
  <c r="F59" i="48"/>
  <c r="H59" i="48"/>
  <c r="F60" i="48"/>
  <c r="H60" i="48"/>
  <c r="F62" i="48"/>
  <c r="F63" i="48"/>
  <c r="D6" i="70"/>
  <c r="D7" i="70"/>
  <c r="D30" i="70"/>
  <c r="F30" i="70" s="1"/>
  <c r="A4" i="67"/>
  <c r="A3" i="66"/>
  <c r="A3" i="65"/>
  <c r="G18" i="65"/>
  <c r="L16" i="57"/>
  <c r="L20" i="57"/>
  <c r="L22" i="57"/>
  <c r="K31" i="57"/>
  <c r="L31" i="57" s="1"/>
  <c r="K32" i="57"/>
  <c r="L32" i="57" s="1"/>
  <c r="K35" i="57"/>
  <c r="L35" i="57" s="1"/>
  <c r="I37" i="57"/>
  <c r="L37" i="57"/>
  <c r="E42" i="57"/>
  <c r="F42" i="57"/>
  <c r="I42" i="57"/>
  <c r="T69" i="53"/>
  <c r="J70" i="53"/>
  <c r="H75" i="53"/>
  <c r="T86" i="53"/>
  <c r="T88" i="53" s="1"/>
  <c r="L13" i="53" s="1"/>
  <c r="B88" i="53"/>
  <c r="D88" i="53"/>
  <c r="F88" i="53"/>
  <c r="H88" i="53"/>
  <c r="J88" i="53"/>
  <c r="L88" i="53"/>
  <c r="N88" i="53"/>
  <c r="P88" i="53"/>
  <c r="R88" i="53"/>
  <c r="J107" i="53"/>
  <c r="N123" i="53"/>
  <c r="R123" i="53"/>
  <c r="T134" i="53"/>
  <c r="T136" i="53" s="1"/>
  <c r="V134" i="53"/>
  <c r="V136" i="53" s="1"/>
  <c r="L11" i="53" s="1"/>
  <c r="B136" i="53"/>
  <c r="F136" i="53"/>
  <c r="L136" i="53"/>
  <c r="R136" i="53"/>
  <c r="L162" i="53"/>
  <c r="T162" i="53"/>
  <c r="AB166" i="53"/>
  <c r="H216" i="53"/>
  <c r="H218" i="53"/>
  <c r="H277" i="53"/>
  <c r="H279" i="53"/>
  <c r="L16" i="2"/>
  <c r="L20" i="2"/>
  <c r="L22" i="2"/>
  <c r="K32" i="2"/>
  <c r="L32" i="2" s="1"/>
  <c r="K35" i="2"/>
  <c r="L35" i="2" s="1"/>
  <c r="I37" i="2"/>
  <c r="L37" i="2" s="1"/>
  <c r="L39" i="2"/>
  <c r="F43" i="2"/>
  <c r="C54" i="2"/>
  <c r="D14" i="57"/>
  <c r="C108" i="2"/>
  <c r="B109" i="2"/>
  <c r="C109" i="2"/>
  <c r="C111" i="2"/>
  <c r="C177" i="2"/>
  <c r="C178" i="2"/>
  <c r="C183" i="2"/>
  <c r="H187" i="2"/>
  <c r="C200" i="2"/>
  <c r="A3" i="1"/>
  <c r="A47" i="1" s="1"/>
  <c r="T71" i="1"/>
  <c r="D77" i="1"/>
  <c r="H77" i="1"/>
  <c r="T88" i="1"/>
  <c r="T90" i="1" s="1"/>
  <c r="L14" i="1" s="1"/>
  <c r="B90" i="1"/>
  <c r="D90" i="1"/>
  <c r="F90" i="1"/>
  <c r="H90" i="1"/>
  <c r="J90" i="1"/>
  <c r="L90" i="1"/>
  <c r="N90" i="1"/>
  <c r="P90" i="1"/>
  <c r="R90" i="1"/>
  <c r="L112" i="1"/>
  <c r="L120" i="1"/>
  <c r="L117" i="53" s="1"/>
  <c r="T117" i="53" s="1"/>
  <c r="V117" i="53" s="1"/>
  <c r="L122" i="1"/>
  <c r="L125" i="1"/>
  <c r="T125" i="1" s="1"/>
  <c r="V125" i="1" s="1"/>
  <c r="D57" i="36" s="1"/>
  <c r="N126" i="1"/>
  <c r="R126" i="1"/>
  <c r="T137" i="1"/>
  <c r="V137" i="1" s="1"/>
  <c r="V139" i="1" s="1"/>
  <c r="B139" i="1"/>
  <c r="F139" i="1"/>
  <c r="L139" i="1"/>
  <c r="R139" i="1"/>
  <c r="T139" i="1"/>
  <c r="L166" i="1"/>
  <c r="T166" i="1"/>
  <c r="H220" i="1"/>
  <c r="H222" i="1"/>
  <c r="H281" i="1"/>
  <c r="H283" i="1"/>
  <c r="J2" i="84"/>
  <c r="B3" i="84"/>
  <c r="S4" i="84"/>
  <c r="S2" i="84" s="1"/>
  <c r="J5" i="84"/>
  <c r="K4" i="84" s="1"/>
  <c r="K5" i="84" s="1"/>
  <c r="L4" i="84" s="1"/>
  <c r="L5" i="84" s="1"/>
  <c r="M4" i="84" s="1"/>
  <c r="M5" i="84" s="1"/>
  <c r="N4" i="84" s="1"/>
  <c r="N5" i="84" s="1"/>
  <c r="O4" i="84" s="1"/>
  <c r="O5" i="84" s="1"/>
  <c r="P4" i="84" s="1"/>
  <c r="P5" i="84" s="1"/>
  <c r="Q4" i="84" s="1"/>
  <c r="Q5" i="84" s="1"/>
  <c r="K6" i="84"/>
  <c r="L6" i="84" s="1"/>
  <c r="M6" i="84" s="1"/>
  <c r="N6" i="84" s="1"/>
  <c r="O6" i="84" s="1"/>
  <c r="P6" i="84" s="1"/>
  <c r="Q6" i="84" s="1"/>
  <c r="S6" i="84"/>
  <c r="S3" i="84" s="1" a="1"/>
  <c r="S3" i="84" s="1"/>
  <c r="K7" i="84"/>
  <c r="L7" i="84" s="1"/>
  <c r="M7" i="84" s="1"/>
  <c r="N7" i="84" s="1"/>
  <c r="O7" i="84" s="1"/>
  <c r="P7" i="84" s="1"/>
  <c r="Q7" i="84" s="1"/>
  <c r="S7" i="84"/>
  <c r="K8" i="84"/>
  <c r="L8" i="84" s="1"/>
  <c r="M8" i="84" s="1"/>
  <c r="N8" i="84" s="1"/>
  <c r="O8" i="84" s="1"/>
  <c r="P8" i="84" s="1"/>
  <c r="Q8" i="84" s="1"/>
  <c r="S8" i="84"/>
  <c r="T8" i="84" s="1"/>
  <c r="U8" i="84" s="1"/>
  <c r="V8" i="84" s="1"/>
  <c r="J9" i="84"/>
  <c r="K9" i="84"/>
  <c r="L9" i="84"/>
  <c r="M9" i="84"/>
  <c r="N9" i="84"/>
  <c r="O9" i="84"/>
  <c r="P9" i="84"/>
  <c r="Q9" i="84"/>
  <c r="J10" i="84"/>
  <c r="K10" i="84"/>
  <c r="L10" i="84"/>
  <c r="L12" i="84" s="1"/>
  <c r="M10" i="84"/>
  <c r="N10" i="84"/>
  <c r="O10" i="84"/>
  <c r="P10" i="84"/>
  <c r="Q10" i="84"/>
  <c r="J11" i="84"/>
  <c r="K11" i="84"/>
  <c r="L11" i="84"/>
  <c r="M11" i="84"/>
  <c r="N11" i="84"/>
  <c r="O11" i="84"/>
  <c r="P11" i="84"/>
  <c r="Q11" i="84"/>
  <c r="K17" i="84"/>
  <c r="L17" i="84" s="1"/>
  <c r="J165" i="84"/>
  <c r="B29" i="3"/>
  <c r="E38" i="3"/>
  <c r="B62" i="3"/>
  <c r="A24" i="69"/>
  <c r="A25" i="69"/>
  <c r="A26" i="69"/>
  <c r="A27" i="69"/>
  <c r="A28" i="69"/>
  <c r="A29" i="69"/>
  <c r="A30" i="69"/>
  <c r="A35" i="69"/>
  <c r="A36" i="69"/>
  <c r="A37" i="69"/>
  <c r="A38" i="69"/>
  <c r="A39" i="69"/>
  <c r="A40" i="69"/>
  <c r="A41" i="69"/>
  <c r="A46" i="69"/>
  <c r="A47" i="69"/>
  <c r="A48" i="69"/>
  <c r="A49" i="69"/>
  <c r="A3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T7" i="38"/>
  <c r="U7" i="38"/>
  <c r="V7" i="38"/>
  <c r="W7" i="38"/>
  <c r="X7" i="38"/>
  <c r="Y7" i="38"/>
  <c r="Z7" i="38"/>
  <c r="AA7" i="38"/>
  <c r="AA79" i="38" s="1"/>
  <c r="AB7" i="38"/>
  <c r="AB79" i="38" s="1"/>
  <c r="AC7" i="38"/>
  <c r="AC79" i="38" s="1"/>
  <c r="AD7" i="38"/>
  <c r="AD79" i="38" s="1"/>
  <c r="AE7" i="38"/>
  <c r="AE79" i="38" s="1"/>
  <c r="AF7" i="38"/>
  <c r="AF79" i="38" s="1"/>
  <c r="AG7" i="38"/>
  <c r="AG79" i="38" s="1"/>
  <c r="AH7" i="38"/>
  <c r="AH79" i="38" s="1"/>
  <c r="AI7" i="38"/>
  <c r="AI79" i="38" s="1"/>
  <c r="AJ7" i="38"/>
  <c r="AJ79" i="38" s="1"/>
  <c r="AK7" i="38"/>
  <c r="AK79" i="38" s="1"/>
  <c r="AL7" i="38"/>
  <c r="AM7" i="38"/>
  <c r="AM79" i="38" s="1"/>
  <c r="AN7" i="38"/>
  <c r="AN79" i="38" s="1"/>
  <c r="AO7" i="38"/>
  <c r="AO79" i="38" s="1"/>
  <c r="AP7" i="38"/>
  <c r="AP79" i="38" s="1"/>
  <c r="AQ7" i="38"/>
  <c r="AQ79" i="38" s="1"/>
  <c r="AR7" i="38"/>
  <c r="AR79" i="38" s="1"/>
  <c r="AS7" i="38"/>
  <c r="AS79" i="38" s="1"/>
  <c r="AT7" i="38"/>
  <c r="AT79" i="38" s="1"/>
  <c r="AU7" i="38"/>
  <c r="AU79" i="38" s="1"/>
  <c r="AV7" i="38"/>
  <c r="AV79" i="38" s="1"/>
  <c r="AW7" i="38"/>
  <c r="AW79" i="38" s="1"/>
  <c r="AX7" i="38"/>
  <c r="AX79" i="38" s="1"/>
  <c r="AY7" i="38"/>
  <c r="AY39" i="38" s="1"/>
  <c r="AZ7" i="38"/>
  <c r="AZ39" i="38" s="1"/>
  <c r="BA7" i="38"/>
  <c r="BA39" i="38" s="1"/>
  <c r="BB7" i="38"/>
  <c r="BB39" i="38" s="1"/>
  <c r="BC7" i="38"/>
  <c r="BC79" i="38" s="1"/>
  <c r="BD7" i="38"/>
  <c r="BD39" i="38" s="1"/>
  <c r="BE7" i="38"/>
  <c r="BE39" i="38" s="1"/>
  <c r="BF7" i="38"/>
  <c r="BF79" i="38" s="1"/>
  <c r="BG7" i="38"/>
  <c r="BG39" i="38" s="1"/>
  <c r="BH7" i="38"/>
  <c r="BH39" i="38" s="1"/>
  <c r="BI7" i="38"/>
  <c r="BI39" i="38" s="1"/>
  <c r="BJ7" i="38"/>
  <c r="BJ39" i="38" s="1"/>
  <c r="BK7" i="38"/>
  <c r="BK39" i="38" s="1"/>
  <c r="BL7" i="38"/>
  <c r="BL79" i="38" s="1"/>
  <c r="BM7" i="38"/>
  <c r="BM79" i="38" s="1"/>
  <c r="D8" i="38"/>
  <c r="D21" i="38" s="1"/>
  <c r="BL8" i="38"/>
  <c r="BL21" i="38" s="1"/>
  <c r="BM8" i="38"/>
  <c r="BM21" i="38" s="1"/>
  <c r="BN8" i="38"/>
  <c r="BN21" i="38" s="1"/>
  <c r="BO8" i="38"/>
  <c r="BO21" i="38" s="1"/>
  <c r="BP8" i="38"/>
  <c r="BP40" i="38" s="1"/>
  <c r="BQ8" i="38"/>
  <c r="BQ53" i="38" s="1"/>
  <c r="BR8" i="38"/>
  <c r="BR62" i="38" s="1"/>
  <c r="BS8" i="38"/>
  <c r="BS53" i="38" s="1"/>
  <c r="BT8" i="38"/>
  <c r="BT21" i="38" s="1"/>
  <c r="BU8" i="38"/>
  <c r="BU21" i="38" s="1"/>
  <c r="BV8" i="38"/>
  <c r="BV21" i="38" s="1"/>
  <c r="BW8" i="38"/>
  <c r="BW40" i="38" s="1"/>
  <c r="AX10" i="38"/>
  <c r="BF10" i="38"/>
  <c r="BG10" i="38"/>
  <c r="BH10" i="38"/>
  <c r="BI10" i="38"/>
  <c r="BJ10" i="38"/>
  <c r="BK10" i="38"/>
  <c r="AX11" i="38"/>
  <c r="BF11" i="38"/>
  <c r="BG11" i="38"/>
  <c r="BH11" i="38"/>
  <c r="BI11" i="38"/>
  <c r="BJ11" i="38"/>
  <c r="BK11" i="38"/>
  <c r="AX12" i="38"/>
  <c r="BF12" i="38"/>
  <c r="BG12" i="38"/>
  <c r="BH12" i="38"/>
  <c r="BI12" i="38"/>
  <c r="BJ12" i="38"/>
  <c r="BK12" i="38"/>
  <c r="D15" i="38"/>
  <c r="D36" i="38" s="1"/>
  <c r="E15" i="38"/>
  <c r="E36" i="38" s="1"/>
  <c r="F15" i="38"/>
  <c r="F36" i="38" s="1"/>
  <c r="G15" i="38"/>
  <c r="H15" i="38"/>
  <c r="I15" i="38"/>
  <c r="I36" i="38" s="1"/>
  <c r="J15" i="38"/>
  <c r="K15" i="38"/>
  <c r="K36" i="38" s="1"/>
  <c r="L15" i="38"/>
  <c r="L36" i="38" s="1"/>
  <c r="M15" i="38"/>
  <c r="M36" i="38" s="1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K15" i="38"/>
  <c r="AL15" i="38"/>
  <c r="AM15" i="38"/>
  <c r="AN15" i="38"/>
  <c r="AO15" i="38"/>
  <c r="AP15" i="38"/>
  <c r="AQ15" i="38"/>
  <c r="AR15" i="38"/>
  <c r="AS15" i="38"/>
  <c r="AT15" i="38"/>
  <c r="AU15" i="38"/>
  <c r="AV15" i="38"/>
  <c r="AW15" i="38"/>
  <c r="AY15" i="38"/>
  <c r="AZ15" i="38"/>
  <c r="BA15" i="38"/>
  <c r="BB15" i="38"/>
  <c r="BC15" i="38"/>
  <c r="BD15" i="38"/>
  <c r="BE15" i="38"/>
  <c r="AX30" i="38"/>
  <c r="AZ30" i="38"/>
  <c r="BJ30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AL30" i="38"/>
  <c r="AM30" i="38"/>
  <c r="AN30" i="38"/>
  <c r="AO30" i="38"/>
  <c r="AP30" i="38"/>
  <c r="AQ30" i="38"/>
  <c r="AR30" i="38"/>
  <c r="AS30" i="38"/>
  <c r="AT30" i="38"/>
  <c r="AU30" i="38"/>
  <c r="AV30" i="38"/>
  <c r="AW30" i="38"/>
  <c r="AY30" i="38"/>
  <c r="BA30" i="38"/>
  <c r="BB30" i="38"/>
  <c r="BC30" i="38"/>
  <c r="BD30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G36" i="38"/>
  <c r="H36" i="38"/>
  <c r="N36" i="38"/>
  <c r="O36" i="38"/>
  <c r="BH44" i="38"/>
  <c r="BI44" i="38" s="1"/>
  <c r="BM46" i="38"/>
  <c r="BN46" i="38" s="1"/>
  <c r="BP46" i="38"/>
  <c r="BQ46" i="38" s="1"/>
  <c r="BS46" i="38"/>
  <c r="BT46" i="38" s="1"/>
  <c r="BV46" i="38"/>
  <c r="BW46" i="38" s="1"/>
  <c r="BX46" i="38" s="1"/>
  <c r="BL49" i="38"/>
  <c r="BK50" i="38"/>
  <c r="S58" i="38"/>
  <c r="AE60" i="38" s="1"/>
  <c r="W58" i="38"/>
  <c r="AI60" i="38" s="1"/>
  <c r="AA58" i="38"/>
  <c r="AM60" i="38" s="1"/>
  <c r="AE58" i="38"/>
  <c r="AQ60" i="38" s="1"/>
  <c r="AI58" i="38"/>
  <c r="AU60" i="38" s="1"/>
  <c r="AM58" i="38"/>
  <c r="AY60" i="38" s="1"/>
  <c r="AQ58" i="38"/>
  <c r="AU58" i="38"/>
  <c r="AY58" i="38"/>
  <c r="P58" i="38"/>
  <c r="AB60" i="38" s="1"/>
  <c r="Q58" i="38"/>
  <c r="AC60" i="38" s="1"/>
  <c r="T58" i="38"/>
  <c r="AF60" i="38" s="1"/>
  <c r="U58" i="38"/>
  <c r="AG60" i="38" s="1"/>
  <c r="X58" i="38"/>
  <c r="AJ60" i="38" s="1"/>
  <c r="Y58" i="38"/>
  <c r="AK60" i="38" s="1"/>
  <c r="AB58" i="38"/>
  <c r="AN60" i="38" s="1"/>
  <c r="AC58" i="38"/>
  <c r="AO60" i="38" s="1"/>
  <c r="AF58" i="38"/>
  <c r="AR60" i="38" s="1"/>
  <c r="AG58" i="38"/>
  <c r="AS60" i="38" s="1"/>
  <c r="AJ58" i="38"/>
  <c r="AV60" i="38" s="1"/>
  <c r="AK58" i="38"/>
  <c r="AW60" i="38" s="1"/>
  <c r="AN58" i="38"/>
  <c r="AZ60" i="38" s="1"/>
  <c r="AO58" i="38"/>
  <c r="BA60" i="38" s="1"/>
  <c r="AR58" i="38"/>
  <c r="AS58" i="38"/>
  <c r="AV58" i="38"/>
  <c r="AW58" i="38"/>
  <c r="AZ58" i="38"/>
  <c r="BA58" i="38"/>
  <c r="R69" i="38"/>
  <c r="AC71" i="38" s="1"/>
  <c r="V69" i="38"/>
  <c r="AG71" i="38" s="1"/>
  <c r="Z69" i="38"/>
  <c r="AK71" i="38" s="1"/>
  <c r="AD69" i="38"/>
  <c r="AO71" i="38" s="1"/>
  <c r="AH69" i="38"/>
  <c r="AS71" i="38" s="1"/>
  <c r="AL69" i="38"/>
  <c r="AW71" i="38" s="1"/>
  <c r="AP69" i="38"/>
  <c r="BA71" i="38" s="1"/>
  <c r="AT69" i="38"/>
  <c r="AX69" i="38"/>
  <c r="BB69" i="38"/>
  <c r="BF69" i="38"/>
  <c r="BJ69" i="38"/>
  <c r="P69" i="38"/>
  <c r="AA71" i="38" s="1"/>
  <c r="Q69" i="38"/>
  <c r="AB71" i="38" s="1"/>
  <c r="T69" i="38"/>
  <c r="AE71" i="38" s="1"/>
  <c r="U69" i="38"/>
  <c r="AF71" i="38" s="1"/>
  <c r="X69" i="38"/>
  <c r="AI71" i="38" s="1"/>
  <c r="Y69" i="38"/>
  <c r="AJ71" i="38" s="1"/>
  <c r="AA69" i="38"/>
  <c r="AL71" i="38" s="1"/>
  <c r="AB69" i="38"/>
  <c r="AM71" i="38" s="1"/>
  <c r="AC69" i="38"/>
  <c r="AN71" i="38" s="1"/>
  <c r="AE69" i="38"/>
  <c r="AP71" i="38" s="1"/>
  <c r="AF69" i="38"/>
  <c r="AQ71" i="38" s="1"/>
  <c r="AG69" i="38"/>
  <c r="AR71" i="38" s="1"/>
  <c r="AJ69" i="38"/>
  <c r="AU71" i="38" s="1"/>
  <c r="AK69" i="38"/>
  <c r="AV71" i="38" s="1"/>
  <c r="AM69" i="38"/>
  <c r="AX71" i="38" s="1"/>
  <c r="AN69" i="38"/>
  <c r="AY71" i="38" s="1"/>
  <c r="AO69" i="38"/>
  <c r="AZ71" i="38" s="1"/>
  <c r="AQ69" i="38"/>
  <c r="AR69" i="38"/>
  <c r="AS69" i="38"/>
  <c r="AV69" i="38"/>
  <c r="AW69" i="38"/>
  <c r="AZ69" i="38"/>
  <c r="BA69" i="38"/>
  <c r="BC69" i="38"/>
  <c r="BD69" i="38"/>
  <c r="BE69" i="38"/>
  <c r="BH69" i="38"/>
  <c r="BI69" i="38"/>
  <c r="AL79" i="38"/>
  <c r="AA82" i="38"/>
  <c r="AB82" i="38"/>
  <c r="AC82" i="38"/>
  <c r="AX82" i="38"/>
  <c r="BF82" i="38"/>
  <c r="BG82" i="38"/>
  <c r="BH82" i="38"/>
  <c r="BI82" i="38"/>
  <c r="BJ82" i="38"/>
  <c r="BK82" i="38"/>
  <c r="AA83" i="38"/>
  <c r="AB83" i="38"/>
  <c r="AC83" i="38"/>
  <c r="AX83" i="38"/>
  <c r="BF83" i="38"/>
  <c r="BG83" i="38"/>
  <c r="BH83" i="38"/>
  <c r="BI83" i="38"/>
  <c r="BJ83" i="38"/>
  <c r="BK83" i="38"/>
  <c r="AA84" i="38"/>
  <c r="AB84" i="38"/>
  <c r="AC84" i="38"/>
  <c r="AX84" i="38"/>
  <c r="BF84" i="38"/>
  <c r="BG84" i="38"/>
  <c r="BH84" i="38"/>
  <c r="BI84" i="38"/>
  <c r="BJ84" i="38"/>
  <c r="BK84" i="38"/>
  <c r="AD85" i="38"/>
  <c r="AE85" i="38"/>
  <c r="AF85" i="38"/>
  <c r="AG85" i="38"/>
  <c r="AH85" i="38"/>
  <c r="AI85" i="38"/>
  <c r="AJ85" i="38"/>
  <c r="AK85" i="38"/>
  <c r="AL85" i="38"/>
  <c r="AM85" i="38"/>
  <c r="AN85" i="38"/>
  <c r="AO85" i="38"/>
  <c r="AP85" i="38"/>
  <c r="AQ85" i="38"/>
  <c r="AR85" i="38"/>
  <c r="AS85" i="38"/>
  <c r="AT85" i="38"/>
  <c r="AU85" i="38"/>
  <c r="AV85" i="38"/>
  <c r="AW85" i="38"/>
  <c r="AY85" i="38"/>
  <c r="AZ85" i="38"/>
  <c r="BA85" i="38"/>
  <c r="BB85" i="38"/>
  <c r="BC85" i="38"/>
  <c r="BD85" i="38"/>
  <c r="BE85" i="38"/>
  <c r="AB95" i="38"/>
  <c r="AM97" i="38" s="1"/>
  <c r="AC95" i="38"/>
  <c r="AN97" i="38" s="1"/>
  <c r="AA95" i="38"/>
  <c r="AD95" i="38"/>
  <c r="AE95" i="38"/>
  <c r="AF95" i="38"/>
  <c r="AG95" i="38"/>
  <c r="AH95" i="38"/>
  <c r="AI95" i="38"/>
  <c r="AJ95" i="38"/>
  <c r="AK95" i="38"/>
  <c r="AL95" i="38"/>
  <c r="AM95" i="38"/>
  <c r="AN95" i="38"/>
  <c r="AO95" i="38"/>
  <c r="AP95" i="38"/>
  <c r="AQ95" i="38"/>
  <c r="AR95" i="38"/>
  <c r="AS95" i="38"/>
  <c r="AT95" i="38"/>
  <c r="AU95" i="38"/>
  <c r="AV95" i="38"/>
  <c r="AW95" i="38"/>
  <c r="AY95" i="38"/>
  <c r="AZ95" i="38"/>
  <c r="BA95" i="38"/>
  <c r="CI4" i="15"/>
  <c r="B52" i="2" s="1"/>
  <c r="B108" i="2" s="1"/>
  <c r="D6" i="15"/>
  <c r="E8" i="38" s="1"/>
  <c r="C14" i="15"/>
  <c r="C16" i="15" s="1"/>
  <c r="D14" i="15"/>
  <c r="D16" i="15" s="1"/>
  <c r="E14" i="15"/>
  <c r="E16" i="15" s="1"/>
  <c r="F14" i="15"/>
  <c r="F16" i="15" s="1"/>
  <c r="G14" i="15"/>
  <c r="H14" i="15"/>
  <c r="H16" i="15" s="1"/>
  <c r="I14" i="15"/>
  <c r="I16" i="15" s="1"/>
  <c r="J14" i="15"/>
  <c r="J16" i="15" s="1"/>
  <c r="K14" i="15"/>
  <c r="K16" i="15" s="1"/>
  <c r="L14" i="15"/>
  <c r="L16" i="15" s="1"/>
  <c r="M14" i="15"/>
  <c r="M16" i="15" s="1"/>
  <c r="N14" i="15"/>
  <c r="N16" i="15" s="1"/>
  <c r="O14" i="15"/>
  <c r="O16" i="15" s="1"/>
  <c r="P14" i="15"/>
  <c r="P16" i="15" s="1"/>
  <c r="Q14" i="15"/>
  <c r="Q16" i="15" s="1"/>
  <c r="R14" i="15"/>
  <c r="R16" i="15" s="1"/>
  <c r="S14" i="15"/>
  <c r="S16" i="15" s="1"/>
  <c r="T14" i="15"/>
  <c r="T16" i="15" s="1"/>
  <c r="U14" i="15"/>
  <c r="U16" i="15" s="1"/>
  <c r="V14" i="15"/>
  <c r="V16" i="15" s="1"/>
  <c r="W14" i="15"/>
  <c r="W16" i="15" s="1"/>
  <c r="X14" i="15"/>
  <c r="X16" i="15" s="1"/>
  <c r="Y14" i="15"/>
  <c r="Y16" i="15" s="1"/>
  <c r="Z14" i="15"/>
  <c r="Z16" i="15" s="1"/>
  <c r="AA14" i="15"/>
  <c r="AA16" i="15" s="1"/>
  <c r="AB14" i="15"/>
  <c r="AB16" i="15" s="1"/>
  <c r="AC14" i="15"/>
  <c r="AC16" i="15" s="1"/>
  <c r="AD14" i="15"/>
  <c r="AD16" i="15" s="1"/>
  <c r="AE14" i="15"/>
  <c r="AE16" i="15" s="1"/>
  <c r="AF14" i="15"/>
  <c r="AF16" i="15" s="1"/>
  <c r="AG14" i="15"/>
  <c r="AG16" i="15" s="1"/>
  <c r="AH14" i="15"/>
  <c r="AH16" i="15" s="1"/>
  <c r="AI14" i="15"/>
  <c r="AI16" i="15" s="1"/>
  <c r="AJ14" i="15"/>
  <c r="AJ16" i="15" s="1"/>
  <c r="AK14" i="15"/>
  <c r="AK16" i="15" s="1"/>
  <c r="AL14" i="15"/>
  <c r="AL16" i="15" s="1"/>
  <c r="AM14" i="15"/>
  <c r="AM16" i="15" s="1"/>
  <c r="AN14" i="15"/>
  <c r="AN16" i="15" s="1"/>
  <c r="AO14" i="15"/>
  <c r="AO16" i="15" s="1"/>
  <c r="AP14" i="15"/>
  <c r="AP16" i="15" s="1"/>
  <c r="AQ14" i="15"/>
  <c r="AQ16" i="15" s="1"/>
  <c r="AR14" i="15"/>
  <c r="AR16" i="15" s="1"/>
  <c r="AS14" i="15"/>
  <c r="AS16" i="15" s="1"/>
  <c r="AT14" i="15"/>
  <c r="AT16" i="15" s="1"/>
  <c r="AU14" i="15"/>
  <c r="AU16" i="15" s="1"/>
  <c r="AV14" i="15"/>
  <c r="AV16" i="15" s="1"/>
  <c r="AW14" i="15"/>
  <c r="AW16" i="15" s="1"/>
  <c r="AX14" i="15"/>
  <c r="AX16" i="15" s="1"/>
  <c r="AY14" i="15"/>
  <c r="AY16" i="15" s="1"/>
  <c r="AZ14" i="15"/>
  <c r="AZ16" i="15" s="1"/>
  <c r="BA14" i="15"/>
  <c r="BA16" i="15" s="1"/>
  <c r="BB14" i="15"/>
  <c r="BB16" i="15" s="1"/>
  <c r="BC14" i="15"/>
  <c r="BC16" i="15" s="1"/>
  <c r="BD14" i="15"/>
  <c r="BD16" i="15" s="1"/>
  <c r="BE14" i="15"/>
  <c r="BE16" i="15" s="1"/>
  <c r="BF14" i="15"/>
  <c r="BF16" i="15" s="1"/>
  <c r="BG14" i="15"/>
  <c r="BG16" i="15" s="1"/>
  <c r="BH14" i="15"/>
  <c r="BH16" i="15" s="1"/>
  <c r="BI14" i="15"/>
  <c r="BI16" i="15" s="1"/>
  <c r="BJ14" i="15"/>
  <c r="BJ16" i="15" s="1"/>
  <c r="G16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C97" i="2"/>
  <c r="B200" i="2" s="1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C139" i="2"/>
  <c r="G187" i="2" s="1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BB89" i="15"/>
  <c r="BC89" i="15"/>
  <c r="BD89" i="15"/>
  <c r="BE89" i="15"/>
  <c r="BF89" i="15"/>
  <c r="BG89" i="15"/>
  <c r="BH89" i="15"/>
  <c r="BI89" i="15"/>
  <c r="BJ8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Z99" i="15"/>
  <c r="BA99" i="15"/>
  <c r="BB99" i="15"/>
  <c r="BC99" i="15"/>
  <c r="BD99" i="15"/>
  <c r="BE99" i="15"/>
  <c r="BF99" i="15"/>
  <c r="BG99" i="15"/>
  <c r="BH99" i="15"/>
  <c r="BI99" i="15"/>
  <c r="BJ99" i="15"/>
  <c r="BK103" i="15"/>
  <c r="C156" i="2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Y103" i="15"/>
  <c r="AZ103" i="15"/>
  <c r="BA103" i="15"/>
  <c r="BB103" i="15"/>
  <c r="BC103" i="15"/>
  <c r="BD103" i="15"/>
  <c r="BE103" i="15"/>
  <c r="BF103" i="15"/>
  <c r="BG103" i="15"/>
  <c r="BH103" i="15"/>
  <c r="BI103" i="15"/>
  <c r="BJ103" i="15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CM5" i="8"/>
  <c r="G6" i="8"/>
  <c r="H6" i="8"/>
  <c r="BO6" i="8"/>
  <c r="BP6" i="8"/>
  <c r="BQ6" i="8"/>
  <c r="BR6" i="8"/>
  <c r="BS6" i="8"/>
  <c r="BT6" i="8"/>
  <c r="BU6" i="8"/>
  <c r="BV6" i="8"/>
  <c r="BW6" i="8"/>
  <c r="BX6" i="8"/>
  <c r="BY6" i="8"/>
  <c r="BZ6" i="8"/>
  <c r="G9" i="8"/>
  <c r="G22" i="8" s="1"/>
  <c r="H9" i="8"/>
  <c r="I9" i="8"/>
  <c r="J9" i="8"/>
  <c r="K9" i="8"/>
  <c r="L9" i="8"/>
  <c r="M9" i="8"/>
  <c r="N9" i="8"/>
  <c r="O9" i="8"/>
  <c r="O22" i="8" s="1"/>
  <c r="P9" i="8"/>
  <c r="Q9" i="8"/>
  <c r="R9" i="8"/>
  <c r="S9" i="8"/>
  <c r="T9" i="8"/>
  <c r="U9" i="8"/>
  <c r="V9" i="8"/>
  <c r="W9" i="8"/>
  <c r="W22" i="8" s="1"/>
  <c r="X9" i="8"/>
  <c r="Y9" i="8"/>
  <c r="Z9" i="8"/>
  <c r="AA9" i="8"/>
  <c r="AB9" i="8"/>
  <c r="AC9" i="8"/>
  <c r="AD9" i="8"/>
  <c r="AE9" i="8"/>
  <c r="AE22" i="8" s="1"/>
  <c r="AF9" i="8"/>
  <c r="AG9" i="8"/>
  <c r="AH9" i="8"/>
  <c r="AI9" i="8"/>
  <c r="AJ9" i="8"/>
  <c r="AK9" i="8"/>
  <c r="AL9" i="8"/>
  <c r="AM9" i="8"/>
  <c r="AM22" i="8" s="1"/>
  <c r="AN9" i="8"/>
  <c r="AO9" i="8"/>
  <c r="AP9" i="8"/>
  <c r="AQ9" i="8"/>
  <c r="AR9" i="8"/>
  <c r="AS9" i="8"/>
  <c r="AT9" i="8"/>
  <c r="AU9" i="8"/>
  <c r="AU22" i="8" s="1"/>
  <c r="AV9" i="8"/>
  <c r="AW9" i="8"/>
  <c r="AX9" i="8"/>
  <c r="AY9" i="8"/>
  <c r="AZ9" i="8"/>
  <c r="BA9" i="8"/>
  <c r="BB9" i="8"/>
  <c r="BC9" i="8"/>
  <c r="BC22" i="8" s="1"/>
  <c r="BD9" i="8"/>
  <c r="BE9" i="8"/>
  <c r="BF9" i="8"/>
  <c r="BG9" i="8"/>
  <c r="BH9" i="8"/>
  <c r="BI9" i="8"/>
  <c r="BJ9" i="8"/>
  <c r="BK9" i="8"/>
  <c r="BK22" i="8" s="1"/>
  <c r="BL9" i="8"/>
  <c r="BM9" i="8"/>
  <c r="BN9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I22" i="8" s="1"/>
  <c r="BJ20" i="8"/>
  <c r="BK20" i="8"/>
  <c r="BL20" i="8"/>
  <c r="BM20" i="8"/>
  <c r="BN20" i="8"/>
  <c r="AC2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A32" i="8"/>
  <c r="BB32" i="8"/>
  <c r="BC32" i="8"/>
  <c r="BD32" i="8"/>
  <c r="BE32" i="8"/>
  <c r="BF32" i="8"/>
  <c r="BG32" i="8"/>
  <c r="BH32" i="8"/>
  <c r="BI32" i="8"/>
  <c r="BJ32" i="8"/>
  <c r="BK32" i="8"/>
  <c r="BL32" i="8"/>
  <c r="BM32" i="8"/>
  <c r="BN32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BN41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BN67" i="8"/>
  <c r="B8" i="79"/>
  <c r="D14" i="79"/>
  <c r="F15" i="79"/>
  <c r="F16" i="79" s="1"/>
  <c r="F17" i="79" s="1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09" i="79"/>
  <c r="C110" i="79"/>
  <c r="C111" i="79"/>
  <c r="C112" i="79"/>
  <c r="C113" i="79"/>
  <c r="C114" i="79"/>
  <c r="C115" i="79"/>
  <c r="C116" i="79"/>
  <c r="C117" i="79"/>
  <c r="C118" i="79"/>
  <c r="C119" i="79"/>
  <c r="C120" i="79"/>
  <c r="C121" i="79"/>
  <c r="C122" i="79"/>
  <c r="C123" i="79"/>
  <c r="C124" i="79"/>
  <c r="C125" i="79"/>
  <c r="C126" i="79"/>
  <c r="C127" i="79"/>
  <c r="C128" i="79"/>
  <c r="C129" i="79"/>
  <c r="C130" i="79"/>
  <c r="C131" i="79"/>
  <c r="C132" i="79"/>
  <c r="C133" i="79"/>
  <c r="C134" i="79"/>
  <c r="C135" i="79"/>
  <c r="C136" i="79"/>
  <c r="C137" i="79"/>
  <c r="C138" i="79"/>
  <c r="C139" i="79"/>
  <c r="C140" i="79"/>
  <c r="C141" i="79"/>
  <c r="C142" i="79"/>
  <c r="C143" i="79"/>
  <c r="C144" i="79"/>
  <c r="C145" i="79"/>
  <c r="C146" i="79"/>
  <c r="C147" i="79"/>
  <c r="C148" i="79"/>
  <c r="C149" i="79"/>
  <c r="C150" i="79"/>
  <c r="C151" i="79"/>
  <c r="C152" i="79"/>
  <c r="C153" i="79"/>
  <c r="C154" i="79"/>
  <c r="C155" i="79"/>
  <c r="C156" i="79"/>
  <c r="C157" i="79"/>
  <c r="C158" i="79"/>
  <c r="C159" i="79"/>
  <c r="C160" i="79"/>
  <c r="C161" i="79"/>
  <c r="C162" i="79"/>
  <c r="C163" i="79"/>
  <c r="C164" i="79"/>
  <c r="C165" i="79"/>
  <c r="C166" i="79"/>
  <c r="C167" i="79"/>
  <c r="C168" i="79"/>
  <c r="C169" i="79"/>
  <c r="C170" i="79"/>
  <c r="C171" i="79"/>
  <c r="C172" i="79"/>
  <c r="C173" i="79"/>
  <c r="C174" i="79"/>
  <c r="C175" i="79"/>
  <c r="C176" i="79"/>
  <c r="C177" i="79"/>
  <c r="C178" i="79"/>
  <c r="C179" i="79"/>
  <c r="C180" i="79"/>
  <c r="C181" i="79"/>
  <c r="C182" i="79"/>
  <c r="C183" i="79"/>
  <c r="C184" i="79"/>
  <c r="C185" i="79"/>
  <c r="C186" i="79"/>
  <c r="C187" i="79"/>
  <c r="C188" i="79"/>
  <c r="C189" i="79"/>
  <c r="C190" i="79"/>
  <c r="C191" i="79"/>
  <c r="C192" i="79"/>
  <c r="C193" i="79"/>
  <c r="C194" i="79"/>
  <c r="C195" i="79"/>
  <c r="C196" i="79"/>
  <c r="C197" i="79"/>
  <c r="C198" i="79"/>
  <c r="C199" i="79"/>
  <c r="C200" i="79"/>
  <c r="C201" i="79"/>
  <c r="C202" i="79"/>
  <c r="C203" i="79"/>
  <c r="C204" i="79"/>
  <c r="C205" i="79"/>
  <c r="C206" i="79"/>
  <c r="C207" i="79"/>
  <c r="C208" i="79"/>
  <c r="C209" i="79"/>
  <c r="C210" i="79"/>
  <c r="C211" i="79"/>
  <c r="C212" i="79"/>
  <c r="C213" i="79"/>
  <c r="C214" i="79"/>
  <c r="C215" i="79"/>
  <c r="C216" i="79"/>
  <c r="C217" i="79"/>
  <c r="C218" i="79"/>
  <c r="C219" i="79"/>
  <c r="C220" i="79"/>
  <c r="C221" i="79"/>
  <c r="C222" i="79"/>
  <c r="C223" i="79"/>
  <c r="C224" i="79"/>
  <c r="C225" i="79"/>
  <c r="L225" i="79"/>
  <c r="C226" i="79"/>
  <c r="L226" i="79"/>
  <c r="L227" i="79" s="1"/>
  <c r="C227" i="79"/>
  <c r="C228" i="79"/>
  <c r="C229" i="79"/>
  <c r="C230" i="79"/>
  <c r="C231" i="79"/>
  <c r="C232" i="79"/>
  <c r="C233" i="79"/>
  <c r="C234" i="79"/>
  <c r="C235" i="79"/>
  <c r="C236" i="79"/>
  <c r="C237" i="79"/>
  <c r="C238" i="79"/>
  <c r="C239" i="79"/>
  <c r="C240" i="79"/>
  <c r="C241" i="79"/>
  <c r="C242" i="79"/>
  <c r="F242" i="79"/>
  <c r="F243" i="79" s="1"/>
  <c r="C243" i="79"/>
  <c r="C244" i="79"/>
  <c r="C245" i="79"/>
  <c r="C246" i="79"/>
  <c r="C247" i="79"/>
  <c r="C248" i="79"/>
  <c r="C249" i="79"/>
  <c r="C250" i="79"/>
  <c r="C251" i="79"/>
  <c r="C252" i="79"/>
  <c r="C253" i="79"/>
  <c r="C254" i="79"/>
  <c r="C255" i="79"/>
  <c r="C256" i="79"/>
  <c r="C257" i="79"/>
  <c r="C258" i="79"/>
  <c r="C259" i="79"/>
  <c r="C260" i="79"/>
  <c r="B29" i="52"/>
  <c r="B30" i="52" s="1"/>
  <c r="C29" i="52"/>
  <c r="D29" i="52"/>
  <c r="E29" i="52"/>
  <c r="F29" i="52"/>
  <c r="G29" i="52"/>
  <c r="H29" i="52"/>
  <c r="H30" i="52" s="1"/>
  <c r="I29" i="52"/>
  <c r="I30" i="52" s="1"/>
  <c r="J29" i="52"/>
  <c r="J30" i="52" s="1"/>
  <c r="K29" i="52"/>
  <c r="K30" i="52" s="1"/>
  <c r="L29" i="52"/>
  <c r="M29" i="52"/>
  <c r="N29" i="52"/>
  <c r="C30" i="52"/>
  <c r="D30" i="52"/>
  <c r="E30" i="52"/>
  <c r="F30" i="52"/>
  <c r="G30" i="52"/>
  <c r="L30" i="52"/>
  <c r="M30" i="52"/>
  <c r="N30" i="52"/>
  <c r="B37" i="52"/>
  <c r="A2" i="46"/>
  <c r="AM2" i="46"/>
  <c r="AM36" i="46" s="1"/>
  <c r="AN2" i="46"/>
  <c r="AN36" i="46" s="1"/>
  <c r="AO2" i="46"/>
  <c r="AO36" i="46" s="1"/>
  <c r="AP2" i="46"/>
  <c r="AP14" i="46" s="1"/>
  <c r="AP25" i="46" s="1"/>
  <c r="AQ2" i="46"/>
  <c r="AQ14" i="46" s="1"/>
  <c r="AQ25" i="46" s="1"/>
  <c r="AR2" i="46"/>
  <c r="AR14" i="46" s="1"/>
  <c r="AR25" i="46" s="1"/>
  <c r="AS2" i="46"/>
  <c r="AS36" i="46" s="1"/>
  <c r="AT2" i="46"/>
  <c r="AT36" i="46" s="1"/>
  <c r="AU2" i="46"/>
  <c r="AU36" i="46" s="1"/>
  <c r="AV2" i="46"/>
  <c r="AV36" i="46" s="1"/>
  <c r="AW2" i="46"/>
  <c r="AW36" i="46" s="1"/>
  <c r="AX2" i="46"/>
  <c r="AX14" i="46" s="1"/>
  <c r="AX25" i="46" s="1"/>
  <c r="AY2" i="46"/>
  <c r="AY14" i="46" s="1"/>
  <c r="AY25" i="46" s="1"/>
  <c r="AZ2" i="46"/>
  <c r="BA2" i="46"/>
  <c r="BB2" i="46"/>
  <c r="BZ7" i="46"/>
  <c r="BZ8" i="46"/>
  <c r="BZ9" i="46"/>
  <c r="BZ10" i="46"/>
  <c r="C11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W11" i="46"/>
  <c r="X11" i="46"/>
  <c r="Y11" i="46"/>
  <c r="Z11" i="46"/>
  <c r="AA11" i="46"/>
  <c r="AB11" i="46"/>
  <c r="AC11" i="46"/>
  <c r="AD11" i="46"/>
  <c r="AE11" i="46"/>
  <c r="AF11" i="46"/>
  <c r="AG11" i="46"/>
  <c r="AH11" i="46"/>
  <c r="AI11" i="46"/>
  <c r="AJ11" i="46"/>
  <c r="AK11" i="46"/>
  <c r="AL11" i="46"/>
  <c r="AM11" i="46"/>
  <c r="AN11" i="46"/>
  <c r="AO11" i="46"/>
  <c r="AP11" i="46"/>
  <c r="AQ11" i="46"/>
  <c r="AR11" i="46"/>
  <c r="AS11" i="46"/>
  <c r="P15" i="46"/>
  <c r="Q15" i="46"/>
  <c r="R15" i="46"/>
  <c r="S15" i="46"/>
  <c r="T15" i="46"/>
  <c r="U15" i="46"/>
  <c r="V15" i="46"/>
  <c r="W15" i="46"/>
  <c r="X15" i="46"/>
  <c r="Y15" i="46"/>
  <c r="Z15" i="46"/>
  <c r="AA15" i="46"/>
  <c r="AB15" i="46"/>
  <c r="AC15" i="46"/>
  <c r="AD15" i="46"/>
  <c r="AE15" i="46"/>
  <c r="AF15" i="46"/>
  <c r="AG15" i="46"/>
  <c r="AH15" i="46"/>
  <c r="AI15" i="46"/>
  <c r="AJ15" i="46"/>
  <c r="AK15" i="46"/>
  <c r="AL15" i="46"/>
  <c r="AM15" i="46"/>
  <c r="AN15" i="46"/>
  <c r="AO15" i="46"/>
  <c r="AP15" i="46"/>
  <c r="AQ15" i="46"/>
  <c r="AR15" i="46"/>
  <c r="AS15" i="46"/>
  <c r="AT15" i="46"/>
  <c r="AU15" i="46"/>
  <c r="AV15" i="46"/>
  <c r="AW15" i="46"/>
  <c r="AX15" i="46"/>
  <c r="AY15" i="46"/>
  <c r="AB16" i="46"/>
  <c r="AC16" i="46"/>
  <c r="AD16" i="46"/>
  <c r="AE16" i="46"/>
  <c r="AF16" i="46"/>
  <c r="AG16" i="46"/>
  <c r="AH16" i="46"/>
  <c r="AI16" i="46"/>
  <c r="AJ16" i="46"/>
  <c r="AK16" i="46"/>
  <c r="AL16" i="46"/>
  <c r="AM16" i="46"/>
  <c r="AN16" i="46"/>
  <c r="AO16" i="46"/>
  <c r="AP16" i="46"/>
  <c r="AQ16" i="46"/>
  <c r="AR16" i="46"/>
  <c r="AS16" i="46"/>
  <c r="AT16" i="46"/>
  <c r="AU16" i="46"/>
  <c r="AV16" i="46"/>
  <c r="AW16" i="46"/>
  <c r="AX16" i="46"/>
  <c r="AY16" i="46"/>
  <c r="BZ18" i="46"/>
  <c r="BX19" i="46"/>
  <c r="BX20" i="46"/>
  <c r="BX21" i="46"/>
  <c r="BX22" i="46"/>
  <c r="C23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AJ23" i="46"/>
  <c r="AK23" i="46"/>
  <c r="AL23" i="46"/>
  <c r="AM23" i="46"/>
  <c r="AN23" i="46"/>
  <c r="AO23" i="46"/>
  <c r="AP23" i="46"/>
  <c r="AQ23" i="46"/>
  <c r="AR23" i="46"/>
  <c r="AS23" i="46"/>
  <c r="O26" i="46"/>
  <c r="P26" i="46"/>
  <c r="Q26" i="46"/>
  <c r="R26" i="46"/>
  <c r="S26" i="46"/>
  <c r="T26" i="46"/>
  <c r="U26" i="46"/>
  <c r="V26" i="46"/>
  <c r="W26" i="46"/>
  <c r="X26" i="46"/>
  <c r="Y26" i="46"/>
  <c r="Z26" i="46"/>
  <c r="AA26" i="46"/>
  <c r="AB26" i="46"/>
  <c r="AC26" i="46"/>
  <c r="AD26" i="46"/>
  <c r="AE26" i="46"/>
  <c r="AF26" i="46"/>
  <c r="AG26" i="46"/>
  <c r="AH26" i="46"/>
  <c r="AI26" i="46"/>
  <c r="AJ26" i="46"/>
  <c r="AK26" i="46"/>
  <c r="AL26" i="46"/>
  <c r="AM26" i="46"/>
  <c r="AN26" i="46"/>
  <c r="AO26" i="46"/>
  <c r="AP26" i="46"/>
  <c r="AQ26" i="46"/>
  <c r="AR26" i="46"/>
  <c r="AS26" i="46"/>
  <c r="AT26" i="46"/>
  <c r="AU26" i="46"/>
  <c r="AV26" i="46"/>
  <c r="AW26" i="46"/>
  <c r="AX26" i="46"/>
  <c r="AY26" i="46"/>
  <c r="AB27" i="46"/>
  <c r="AC27" i="46"/>
  <c r="AD27" i="46"/>
  <c r="AE27" i="46"/>
  <c r="AF27" i="46"/>
  <c r="AG27" i="46"/>
  <c r="AH27" i="46"/>
  <c r="AI27" i="46"/>
  <c r="AJ27" i="46"/>
  <c r="AK27" i="46"/>
  <c r="AL27" i="46"/>
  <c r="AM27" i="46"/>
  <c r="AN27" i="46"/>
  <c r="AO27" i="46"/>
  <c r="AP27" i="46"/>
  <c r="AQ27" i="46"/>
  <c r="AR27" i="46"/>
  <c r="AS27" i="46"/>
  <c r="AT27" i="46"/>
  <c r="AU27" i="46"/>
  <c r="AV27" i="46"/>
  <c r="AW27" i="46"/>
  <c r="AX27" i="46"/>
  <c r="AY27" i="46"/>
  <c r="BX29" i="46"/>
  <c r="BZ29" i="46" s="1"/>
  <c r="BX30" i="46"/>
  <c r="BZ30" i="46" s="1"/>
  <c r="BX31" i="46"/>
  <c r="BZ31" i="46" s="1"/>
  <c r="BX32" i="46"/>
  <c r="BZ32" i="46" s="1"/>
  <c r="BX33" i="46"/>
  <c r="BZ33" i="46" s="1"/>
  <c r="C34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AJ34" i="46"/>
  <c r="AK34" i="46"/>
  <c r="AL34" i="46"/>
  <c r="AM34" i="46"/>
  <c r="AN34" i="46"/>
  <c r="AO34" i="46"/>
  <c r="AP34" i="46"/>
  <c r="AQ34" i="46"/>
  <c r="AR34" i="46"/>
  <c r="AS34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AA37" i="46"/>
  <c r="AB37" i="46"/>
  <c r="AC37" i="46"/>
  <c r="AD37" i="46"/>
  <c r="AE37" i="46"/>
  <c r="AF37" i="46"/>
  <c r="AG37" i="46"/>
  <c r="AH37" i="46"/>
  <c r="AI37" i="46"/>
  <c r="AJ37" i="46"/>
  <c r="AK37" i="46"/>
  <c r="AL37" i="46"/>
  <c r="AM37" i="46"/>
  <c r="AN37" i="46"/>
  <c r="AO37" i="46"/>
  <c r="AP37" i="46"/>
  <c r="AQ37" i="46"/>
  <c r="AR37" i="46"/>
  <c r="AS37" i="46"/>
  <c r="AT37" i="46"/>
  <c r="AU37" i="46"/>
  <c r="AV37" i="46"/>
  <c r="AW37" i="46"/>
  <c r="AX37" i="46"/>
  <c r="AY37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AA38" i="46"/>
  <c r="AB38" i="46"/>
  <c r="AC38" i="46"/>
  <c r="AD38" i="46"/>
  <c r="AE38" i="46"/>
  <c r="AF38" i="46"/>
  <c r="AG38" i="46"/>
  <c r="AH38" i="46"/>
  <c r="AI38" i="46"/>
  <c r="AJ38" i="46"/>
  <c r="AK38" i="46"/>
  <c r="AL38" i="46"/>
  <c r="AM38" i="46"/>
  <c r="AN38" i="46"/>
  <c r="AO38" i="46"/>
  <c r="AP38" i="46"/>
  <c r="AQ38" i="46"/>
  <c r="AR38" i="46"/>
  <c r="AS38" i="46"/>
  <c r="AT38" i="46"/>
  <c r="AU38" i="46"/>
  <c r="AV38" i="46"/>
  <c r="AW38" i="46"/>
  <c r="AX38" i="46"/>
  <c r="AY38" i="46"/>
  <c r="N73" i="53"/>
  <c r="P73" i="53" s="1"/>
  <c r="T73" i="53" s="1"/>
  <c r="J38" i="57" s="1"/>
  <c r="D11" i="29"/>
  <c r="D39" i="29" s="1"/>
  <c r="E11" i="29"/>
  <c r="E39" i="29" s="1"/>
  <c r="F11" i="29"/>
  <c r="F39" i="29" s="1"/>
  <c r="G11" i="29"/>
  <c r="G39" i="29" s="1"/>
  <c r="H11" i="29"/>
  <c r="H39" i="29" s="1"/>
  <c r="I11" i="29"/>
  <c r="I39" i="29" s="1"/>
  <c r="J11" i="29"/>
  <c r="J39" i="29" s="1"/>
  <c r="K11" i="29"/>
  <c r="K39" i="29" s="1"/>
  <c r="L11" i="29"/>
  <c r="L39" i="29" s="1"/>
  <c r="M11" i="29"/>
  <c r="M39" i="29" s="1"/>
  <c r="N11" i="29"/>
  <c r="N39" i="29" s="1"/>
  <c r="O11" i="29"/>
  <c r="O39" i="29" s="1"/>
  <c r="P11" i="29"/>
  <c r="P39" i="29" s="1"/>
  <c r="Q11" i="29"/>
  <c r="Q39" i="29" s="1"/>
  <c r="R11" i="29"/>
  <c r="R39" i="29" s="1"/>
  <c r="S11" i="29"/>
  <c r="S39" i="29" s="1"/>
  <c r="T11" i="29"/>
  <c r="T39" i="29" s="1"/>
  <c r="U11" i="29"/>
  <c r="U39" i="29" s="1"/>
  <c r="V11" i="29"/>
  <c r="V39" i="29" s="1"/>
  <c r="W11" i="29"/>
  <c r="W39" i="29" s="1"/>
  <c r="X11" i="29"/>
  <c r="X39" i="29" s="1"/>
  <c r="Y11" i="29"/>
  <c r="Y39" i="29" s="1"/>
  <c r="Z11" i="29"/>
  <c r="Z39" i="29" s="1"/>
  <c r="AA11" i="29"/>
  <c r="AA39" i="29" s="1"/>
  <c r="AB11" i="29"/>
  <c r="AB39" i="29" s="1"/>
  <c r="AC11" i="29"/>
  <c r="AC39" i="29" s="1"/>
  <c r="AD11" i="29"/>
  <c r="AD39" i="29" s="1"/>
  <c r="AE11" i="29"/>
  <c r="AE39" i="29" s="1"/>
  <c r="AF11" i="29"/>
  <c r="AF39" i="29" s="1"/>
  <c r="AG11" i="29"/>
  <c r="AG39" i="29" s="1"/>
  <c r="AH11" i="29"/>
  <c r="AH39" i="29" s="1"/>
  <c r="AI11" i="29"/>
  <c r="AI39" i="29" s="1"/>
  <c r="AJ11" i="29"/>
  <c r="AJ39" i="29" s="1"/>
  <c r="AK11" i="29"/>
  <c r="AK39" i="29" s="1"/>
  <c r="AL11" i="29"/>
  <c r="AL39" i="29" s="1"/>
  <c r="AM11" i="29"/>
  <c r="AM39" i="29" s="1"/>
  <c r="AN11" i="29"/>
  <c r="AN39" i="29" s="1"/>
  <c r="AO11" i="29"/>
  <c r="AO39" i="29" s="1"/>
  <c r="AP11" i="29"/>
  <c r="AP39" i="29" s="1"/>
  <c r="AQ11" i="29"/>
  <c r="AQ39" i="29" s="1"/>
  <c r="AR11" i="29"/>
  <c r="AR39" i="29" s="1"/>
  <c r="AS11" i="29"/>
  <c r="AS39" i="29" s="1"/>
  <c r="AT11" i="29"/>
  <c r="AT39" i="29" s="1"/>
  <c r="AU11" i="29"/>
  <c r="AU39" i="29" s="1"/>
  <c r="AV11" i="29"/>
  <c r="AV39" i="29" s="1"/>
  <c r="AW11" i="29"/>
  <c r="AW39" i="29" s="1"/>
  <c r="AX11" i="29"/>
  <c r="AX39" i="29" s="1"/>
  <c r="AY11" i="29"/>
  <c r="AY39" i="29" s="1"/>
  <c r="AZ11" i="29"/>
  <c r="AZ39" i="29" s="1"/>
  <c r="BA11" i="29"/>
  <c r="BA39" i="29" s="1"/>
  <c r="BB11" i="29"/>
  <c r="BB39" i="29" s="1"/>
  <c r="BC11" i="29"/>
  <c r="BC39" i="29" s="1"/>
  <c r="BA12" i="29"/>
  <c r="BA40" i="29" s="1"/>
  <c r="BB12" i="29"/>
  <c r="BB40" i="29" s="1"/>
  <c r="BC12" i="29"/>
  <c r="BC40" i="29" s="1"/>
  <c r="BD12" i="29"/>
  <c r="BD40" i="29" s="1"/>
  <c r="BE12" i="29"/>
  <c r="BE40" i="29" s="1"/>
  <c r="BF12" i="29"/>
  <c r="BF40" i="29" s="1"/>
  <c r="BG12" i="29"/>
  <c r="BG40" i="29" s="1"/>
  <c r="BH12" i="29"/>
  <c r="BH40" i="29" s="1"/>
  <c r="BI12" i="29"/>
  <c r="BI40" i="29" s="1"/>
  <c r="BJ12" i="29"/>
  <c r="BJ40" i="29" s="1"/>
  <c r="BK12" i="29"/>
  <c r="BK40" i="29" s="1"/>
  <c r="BL12" i="29"/>
  <c r="BL40" i="29" s="1"/>
  <c r="AC24" i="29"/>
  <c r="AD24" i="29"/>
  <c r="AE24" i="29"/>
  <c r="AF24" i="29"/>
  <c r="AG24" i="29"/>
  <c r="AH24" i="29"/>
  <c r="AI24" i="29"/>
  <c r="AJ24" i="29"/>
  <c r="AK24" i="29"/>
  <c r="AL24" i="29"/>
  <c r="AM24" i="29"/>
  <c r="AN24" i="29"/>
  <c r="AO24" i="29"/>
  <c r="AP24" i="29"/>
  <c r="AQ24" i="29"/>
  <c r="AR24" i="29"/>
  <c r="AS24" i="29"/>
  <c r="AT24" i="29"/>
  <c r="AU24" i="29"/>
  <c r="AV24" i="29"/>
  <c r="AW24" i="29"/>
  <c r="AX24" i="29"/>
  <c r="AY24" i="29"/>
  <c r="AZ24" i="29"/>
  <c r="BB28" i="29"/>
  <c r="AC28" i="29"/>
  <c r="AC30" i="29" s="1"/>
  <c r="AD28" i="29"/>
  <c r="AD30" i="29" s="1"/>
  <c r="AE28" i="29"/>
  <c r="AF28" i="29"/>
  <c r="AG28" i="29"/>
  <c r="AG30" i="29" s="1"/>
  <c r="AH28" i="29"/>
  <c r="AI28" i="29"/>
  <c r="AI30" i="29" s="1"/>
  <c r="AJ28" i="29"/>
  <c r="AK28" i="29"/>
  <c r="AK30" i="29" s="1"/>
  <c r="AL28" i="29"/>
  <c r="AL30" i="29" s="1"/>
  <c r="AM28" i="29"/>
  <c r="AN28" i="29"/>
  <c r="AO28" i="29"/>
  <c r="AO30" i="29" s="1"/>
  <c r="AP28" i="29"/>
  <c r="AP30" i="29" s="1"/>
  <c r="AQ28" i="29"/>
  <c r="AQ30" i="29" s="1"/>
  <c r="AR28" i="29"/>
  <c r="AS28" i="29"/>
  <c r="AS30" i="29" s="1"/>
  <c r="AT28" i="29"/>
  <c r="AT30" i="29" s="1"/>
  <c r="AU28" i="29"/>
  <c r="AV28" i="29"/>
  <c r="AW28" i="29"/>
  <c r="AW30" i="29" s="1"/>
  <c r="AX28" i="29"/>
  <c r="AX30" i="29" s="1"/>
  <c r="AY28" i="29"/>
  <c r="AY30" i="29" s="1"/>
  <c r="AZ28" i="29"/>
  <c r="BA28" i="29"/>
  <c r="Q30" i="29"/>
  <c r="R30" i="29"/>
  <c r="S30" i="29"/>
  <c r="T30" i="29"/>
  <c r="U30" i="29"/>
  <c r="V30" i="29"/>
  <c r="W30" i="29"/>
  <c r="X30" i="29"/>
  <c r="Y30" i="29"/>
  <c r="Z30" i="29"/>
  <c r="AA30" i="29"/>
  <c r="AB30" i="29"/>
  <c r="AH30" i="29"/>
  <c r="AG34" i="29"/>
  <c r="AH34" i="29"/>
  <c r="AI34" i="29"/>
  <c r="AJ34" i="29"/>
  <c r="AK34" i="29"/>
  <c r="AL34" i="29"/>
  <c r="AP34" i="29"/>
  <c r="AQ34" i="29"/>
  <c r="AR34" i="29"/>
  <c r="AS34" i="29"/>
  <c r="AT34" i="29"/>
  <c r="AU34" i="29"/>
  <c r="AV34" i="29"/>
  <c r="AW34" i="29"/>
  <c r="AX34" i="29"/>
  <c r="AY34" i="29"/>
  <c r="AZ34" i="29"/>
  <c r="BA43" i="29"/>
  <c r="BM43" i="29" s="1"/>
  <c r="BB43" i="29"/>
  <c r="BN43" i="29" s="1"/>
  <c r="BC43" i="29"/>
  <c r="BO43" i="29" s="1"/>
  <c r="BD43" i="29"/>
  <c r="BP43" i="29" s="1"/>
  <c r="BE43" i="29"/>
  <c r="BQ43" i="29" s="1"/>
  <c r="BF43" i="29"/>
  <c r="BR43" i="29" s="1"/>
  <c r="BG43" i="29"/>
  <c r="BS43" i="29" s="1"/>
  <c r="BH43" i="29"/>
  <c r="BT43" i="29" s="1"/>
  <c r="BI43" i="29"/>
  <c r="BU43" i="29" s="1"/>
  <c r="BJ43" i="29"/>
  <c r="BV43" i="29" s="1"/>
  <c r="BK43" i="29"/>
  <c r="BW43" i="29" s="1"/>
  <c r="BL43" i="29"/>
  <c r="BA44" i="29"/>
  <c r="BM44" i="29" s="1"/>
  <c r="BB44" i="29"/>
  <c r="BN44" i="29" s="1"/>
  <c r="BC44" i="29"/>
  <c r="BO44" i="29" s="1"/>
  <c r="BD44" i="29"/>
  <c r="BP44" i="29" s="1"/>
  <c r="BE44" i="29"/>
  <c r="BQ44" i="29" s="1"/>
  <c r="BF44" i="29"/>
  <c r="BR44" i="29" s="1"/>
  <c r="BG44" i="29"/>
  <c r="BS44" i="29" s="1"/>
  <c r="BH44" i="29"/>
  <c r="BT44" i="29" s="1"/>
  <c r="BI44" i="29"/>
  <c r="BU44" i="29" s="1"/>
  <c r="BJ44" i="29"/>
  <c r="BV44" i="29" s="1"/>
  <c r="BK44" i="29"/>
  <c r="BW44" i="29" s="1"/>
  <c r="BL44" i="29"/>
  <c r="B121" i="1"/>
  <c r="BS57" i="29"/>
  <c r="BT57" i="29"/>
  <c r="BU57" i="29"/>
  <c r="BV57" i="29"/>
  <c r="BW57" i="29"/>
  <c r="B74" i="1"/>
  <c r="B72" i="53"/>
  <c r="F74" i="1"/>
  <c r="F72" i="53"/>
  <c r="N74" i="1"/>
  <c r="N72" i="53"/>
  <c r="B124" i="1"/>
  <c r="B123" i="1" s="1"/>
  <c r="L123" i="1" s="1"/>
  <c r="AW68" i="29"/>
  <c r="AW74" i="29" s="1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X74" i="29"/>
  <c r="AY74" i="29"/>
  <c r="AZ74" i="29"/>
  <c r="BA74" i="29"/>
  <c r="BB74" i="29"/>
  <c r="BC74" i="29"/>
  <c r="BD74" i="29"/>
  <c r="BE74" i="29"/>
  <c r="BF74" i="29"/>
  <c r="BG74" i="29"/>
  <c r="BH74" i="29"/>
  <c r="BI74" i="29"/>
  <c r="BJ74" i="29"/>
  <c r="BK74" i="29"/>
  <c r="BL74" i="29"/>
  <c r="BO62" i="38" l="1"/>
  <c r="BJ79" i="38"/>
  <c r="BB79" i="38"/>
  <c r="H30" i="70"/>
  <c r="H30" i="61"/>
  <c r="H30" i="62"/>
  <c r="L122" i="53"/>
  <c r="T122" i="53" s="1"/>
  <c r="V122" i="53" s="1"/>
  <c r="D57" i="89"/>
  <c r="D57" i="88"/>
  <c r="D57" i="87"/>
  <c r="D57" i="86"/>
  <c r="D57" i="85"/>
  <c r="AZ30" i="29"/>
  <c r="AR30" i="29"/>
  <c r="AV30" i="29"/>
  <c r="AN30" i="29"/>
  <c r="AF30" i="29"/>
  <c r="AU30" i="29"/>
  <c r="AV31" i="29" s="1"/>
  <c r="AM30" i="29"/>
  <c r="AE30" i="29"/>
  <c r="BR53" i="38"/>
  <c r="BC39" i="38"/>
  <c r="BQ21" i="38"/>
  <c r="BK79" i="38"/>
  <c r="BP21" i="38"/>
  <c r="BP80" i="38"/>
  <c r="BP91" i="38" s="1"/>
  <c r="BP62" i="38"/>
  <c r="BP53" i="38"/>
  <c r="BR40" i="38"/>
  <c r="BQ40" i="38"/>
  <c r="BE79" i="38"/>
  <c r="BW80" i="38"/>
  <c r="BW91" i="38" s="1"/>
  <c r="BR80" i="38"/>
  <c r="BR91" i="38" s="1"/>
  <c r="AT14" i="46"/>
  <c r="AT25" i="46" s="1"/>
  <c r="AU14" i="46"/>
  <c r="AU25" i="46" s="1"/>
  <c r="BM39" i="38"/>
  <c r="BO80" i="38"/>
  <c r="BO91" i="38" s="1"/>
  <c r="BW62" i="38"/>
  <c r="BW53" i="38"/>
  <c r="BW21" i="38"/>
  <c r="BQ80" i="38"/>
  <c r="BQ91" i="38" s="1"/>
  <c r="BD79" i="38"/>
  <c r="BL39" i="38"/>
  <c r="BQ62" i="38"/>
  <c r="AP36" i="46"/>
  <c r="BO40" i="38"/>
  <c r="B50" i="29"/>
  <c r="BX57" i="29"/>
  <c r="B57" i="29" s="1"/>
  <c r="BX43" i="29"/>
  <c r="AJ30" i="29"/>
  <c r="B49" i="29"/>
  <c r="BX44" i="29"/>
  <c r="BA22" i="8"/>
  <c r="AS22" i="8"/>
  <c r="AK22" i="8"/>
  <c r="U22" i="8"/>
  <c r="M22" i="8"/>
  <c r="M43" i="8" s="1"/>
  <c r="AO22" i="8"/>
  <c r="AO43" i="8" s="1"/>
  <c r="AR97" i="38"/>
  <c r="AR101" i="38" s="1"/>
  <c r="BO53" i="38"/>
  <c r="AC17" i="38"/>
  <c r="U17" i="38"/>
  <c r="AW97" i="38"/>
  <c r="AW101" i="38" s="1"/>
  <c r="AT97" i="38"/>
  <c r="AT101" i="38" s="1"/>
  <c r="AS17" i="38"/>
  <c r="AK17" i="38"/>
  <c r="BY46" i="38"/>
  <c r="AM32" i="38"/>
  <c r="AM36" i="38" s="1"/>
  <c r="AE32" i="38"/>
  <c r="AE36" i="38" s="1"/>
  <c r="W32" i="38"/>
  <c r="W36" i="38" s="1"/>
  <c r="AM101" i="38"/>
  <c r="AQ87" i="38"/>
  <c r="AU32" i="38"/>
  <c r="AU36" i="38" s="1"/>
  <c r="AQ32" i="38"/>
  <c r="AQ36" i="38" s="1"/>
  <c r="AA32" i="38"/>
  <c r="S32" i="38"/>
  <c r="S36" i="38" s="1"/>
  <c r="CA23" i="46"/>
  <c r="F61" i="53" s="1"/>
  <c r="F75" i="53" s="1"/>
  <c r="CA11" i="46"/>
  <c r="B61" i="53" s="1"/>
  <c r="B75" i="53" s="1"/>
  <c r="BE70" i="15"/>
  <c r="BE105" i="15" s="1"/>
  <c r="AG70" i="15"/>
  <c r="AG105" i="15" s="1"/>
  <c r="AY36" i="46"/>
  <c r="BF70" i="15"/>
  <c r="BF105" i="15" s="1"/>
  <c r="AX70" i="15"/>
  <c r="AX105" i="15" s="1"/>
  <c r="AP70" i="15"/>
  <c r="AP105" i="15" s="1"/>
  <c r="AH70" i="15"/>
  <c r="AH105" i="15" s="1"/>
  <c r="Z70" i="15"/>
  <c r="Z105" i="15" s="1"/>
  <c r="R70" i="15"/>
  <c r="R105" i="15" s="1"/>
  <c r="J70" i="15"/>
  <c r="AX36" i="46"/>
  <c r="AR36" i="46"/>
  <c r="BJ70" i="15"/>
  <c r="BJ105" i="15" s="1"/>
  <c r="BB70" i="15"/>
  <c r="BB105" i="15" s="1"/>
  <c r="AT70" i="15"/>
  <c r="AT105" i="15" s="1"/>
  <c r="AL70" i="15"/>
  <c r="AL105" i="15" s="1"/>
  <c r="AD70" i="15"/>
  <c r="AD105" i="15" s="1"/>
  <c r="V70" i="15"/>
  <c r="V105" i="15" s="1"/>
  <c r="N70" i="15"/>
  <c r="N105" i="15" s="1"/>
  <c r="F70" i="15"/>
  <c r="F105" i="15" s="1"/>
  <c r="AM14" i="46"/>
  <c r="AM25" i="46" s="1"/>
  <c r="AW70" i="15"/>
  <c r="AW105" i="15" s="1"/>
  <c r="AO70" i="15"/>
  <c r="AO105" i="15" s="1"/>
  <c r="Y70" i="15"/>
  <c r="Y105" i="15" s="1"/>
  <c r="Q70" i="15"/>
  <c r="Q105" i="15" s="1"/>
  <c r="I70" i="15"/>
  <c r="I105" i="15" s="1"/>
  <c r="BJ55" i="15"/>
  <c r="AC85" i="38"/>
  <c r="BH70" i="15"/>
  <c r="BH105" i="15" s="1"/>
  <c r="AZ70" i="15"/>
  <c r="AZ105" i="15" s="1"/>
  <c r="AR70" i="15"/>
  <c r="AR105" i="15" s="1"/>
  <c r="AJ70" i="15"/>
  <c r="AJ105" i="15" s="1"/>
  <c r="AB70" i="15"/>
  <c r="AB105" i="15" s="1"/>
  <c r="T70" i="15"/>
  <c r="L70" i="15"/>
  <c r="L105" i="15" s="1"/>
  <c r="D70" i="15"/>
  <c r="D105" i="15" s="1"/>
  <c r="BH55" i="15"/>
  <c r="AJ55" i="15"/>
  <c r="AZ55" i="15"/>
  <c r="AW55" i="15"/>
  <c r="AQ36" i="46"/>
  <c r="BB55" i="15"/>
  <c r="AL55" i="15"/>
  <c r="AD55" i="15"/>
  <c r="V55" i="15"/>
  <c r="N55" i="15"/>
  <c r="F55" i="15"/>
  <c r="BG55" i="15"/>
  <c r="AY55" i="15"/>
  <c r="AQ55" i="15"/>
  <c r="AI55" i="15"/>
  <c r="AA55" i="15"/>
  <c r="S55" i="15"/>
  <c r="K55" i="15"/>
  <c r="C55" i="15"/>
  <c r="BF55" i="15"/>
  <c r="AX55" i="15"/>
  <c r="J105" i="15"/>
  <c r="AX85" i="38"/>
  <c r="BB87" i="38" s="1"/>
  <c r="T105" i="15"/>
  <c r="T55" i="15"/>
  <c r="BA79" i="38"/>
  <c r="BM53" i="38"/>
  <c r="AO14" i="46"/>
  <c r="AO25" i="46" s="1"/>
  <c r="BE55" i="15"/>
  <c r="AR55" i="15"/>
  <c r="BD55" i="15"/>
  <c r="AV55" i="15"/>
  <c r="AN55" i="15"/>
  <c r="AF55" i="15"/>
  <c r="X55" i="15"/>
  <c r="P55" i="15"/>
  <c r="H55" i="15"/>
  <c r="BH85" i="38"/>
  <c r="BJ85" i="38"/>
  <c r="AA85" i="38"/>
  <c r="BI79" i="38"/>
  <c r="AZ79" i="38"/>
  <c r="BN62" i="38"/>
  <c r="BV53" i="38"/>
  <c r="BV40" i="38"/>
  <c r="BN40" i="38"/>
  <c r="AW14" i="46"/>
  <c r="AW25" i="46" s="1"/>
  <c r="AN14" i="46"/>
  <c r="AN25" i="46" s="1"/>
  <c r="BC55" i="15"/>
  <c r="D55" i="15"/>
  <c r="BN80" i="38"/>
  <c r="BN91" i="38" s="1"/>
  <c r="BH79" i="38"/>
  <c r="AY79" i="38"/>
  <c r="BL62" i="38"/>
  <c r="BU53" i="38"/>
  <c r="BU40" i="38"/>
  <c r="BM40" i="38"/>
  <c r="AV14" i="46"/>
  <c r="AV25" i="46" s="1"/>
  <c r="BI70" i="15"/>
  <c r="BI105" i="15" s="1"/>
  <c r="BA70" i="15"/>
  <c r="BA105" i="15" s="1"/>
  <c r="AS70" i="15"/>
  <c r="AS105" i="15" s="1"/>
  <c r="AK70" i="15"/>
  <c r="AK105" i="15" s="1"/>
  <c r="AC70" i="15"/>
  <c r="AC105" i="15" s="1"/>
  <c r="U70" i="15"/>
  <c r="U105" i="15" s="1"/>
  <c r="M70" i="15"/>
  <c r="M105" i="15" s="1"/>
  <c r="E70" i="15"/>
  <c r="E105" i="15" s="1"/>
  <c r="AB55" i="15"/>
  <c r="BV80" i="38"/>
  <c r="BV91" i="38" s="1"/>
  <c r="BM80" i="38"/>
  <c r="BM91" i="38" s="1"/>
  <c r="BG79" i="38"/>
  <c r="BT40" i="38"/>
  <c r="BL40" i="38"/>
  <c r="BN53" i="38"/>
  <c r="BD70" i="15"/>
  <c r="BD105" i="15" s="1"/>
  <c r="AV70" i="15"/>
  <c r="AV105" i="15" s="1"/>
  <c r="AN70" i="15"/>
  <c r="AN105" i="15" s="1"/>
  <c r="AF70" i="15"/>
  <c r="AF105" i="15" s="1"/>
  <c r="X70" i="15"/>
  <c r="X105" i="15" s="1"/>
  <c r="P70" i="15"/>
  <c r="P105" i="15" s="1"/>
  <c r="H70" i="15"/>
  <c r="H105" i="15" s="1"/>
  <c r="AP55" i="15"/>
  <c r="AH55" i="15"/>
  <c r="Z55" i="15"/>
  <c r="R55" i="15"/>
  <c r="J55" i="15"/>
  <c r="BI55" i="15"/>
  <c r="BA55" i="15"/>
  <c r="AK55" i="15"/>
  <c r="AC55" i="15"/>
  <c r="U55" i="15"/>
  <c r="M55" i="15"/>
  <c r="E55" i="15"/>
  <c r="BU80" i="38"/>
  <c r="BU91" i="38" s="1"/>
  <c r="BL80" i="38"/>
  <c r="BL91" i="38" s="1"/>
  <c r="BV62" i="38"/>
  <c r="BS40" i="38"/>
  <c r="D40" i="38"/>
  <c r="BF39" i="38"/>
  <c r="AX39" i="38"/>
  <c r="BG70" i="15"/>
  <c r="BG105" i="15" s="1"/>
  <c r="AY70" i="15"/>
  <c r="AQ70" i="15"/>
  <c r="AI70" i="15"/>
  <c r="AI105" i="15" s="1"/>
  <c r="AA70" i="15"/>
  <c r="AA105" i="15" s="1"/>
  <c r="S70" i="15"/>
  <c r="S105" i="15" s="1"/>
  <c r="K70" i="15"/>
  <c r="K105" i="15" s="1"/>
  <c r="C70" i="15"/>
  <c r="C105" i="15" s="1"/>
  <c r="BC70" i="15"/>
  <c r="BC105" i="15" s="1"/>
  <c r="AU70" i="15"/>
  <c r="AU105" i="15" s="1"/>
  <c r="AM70" i="15"/>
  <c r="AE70" i="15"/>
  <c r="AE105" i="15" s="1"/>
  <c r="W70" i="15"/>
  <c r="W105" i="15" s="1"/>
  <c r="O70" i="15"/>
  <c r="O105" i="15" s="1"/>
  <c r="G70" i="15"/>
  <c r="G105" i="15" s="1"/>
  <c r="AO55" i="15"/>
  <c r="AG55" i="15"/>
  <c r="Y55" i="15"/>
  <c r="Q55" i="15"/>
  <c r="I55" i="15"/>
  <c r="AM55" i="15"/>
  <c r="AE55" i="15"/>
  <c r="W55" i="15"/>
  <c r="O55" i="15"/>
  <c r="G55" i="15"/>
  <c r="L55" i="15"/>
  <c r="BT80" i="38"/>
  <c r="BT91" i="38" s="1"/>
  <c r="BT62" i="38"/>
  <c r="BI43" i="8"/>
  <c r="AS43" i="8"/>
  <c r="BE22" i="8"/>
  <c r="BE43" i="8" s="1"/>
  <c r="BM22" i="8"/>
  <c r="BM43" i="8" s="1"/>
  <c r="AW22" i="8"/>
  <c r="AW43" i="8" s="1"/>
  <c r="AG22" i="8"/>
  <c r="AG43" i="8" s="1"/>
  <c r="Y22" i="8"/>
  <c r="Y43" i="8" s="1"/>
  <c r="Q22" i="8"/>
  <c r="Q43" i="8" s="1"/>
  <c r="I22" i="8"/>
  <c r="I43" i="8" s="1"/>
  <c r="AC43" i="8"/>
  <c r="AQ22" i="8"/>
  <c r="AQ43" i="8" s="1"/>
  <c r="AU43" i="8"/>
  <c r="BN22" i="8"/>
  <c r="BN43" i="8" s="1"/>
  <c r="BF22" i="8"/>
  <c r="BF43" i="8" s="1"/>
  <c r="AX22" i="8"/>
  <c r="AX43" i="8" s="1"/>
  <c r="AP22" i="8"/>
  <c r="AP43" i="8" s="1"/>
  <c r="AH22" i="8"/>
  <c r="AH43" i="8" s="1"/>
  <c r="Z22" i="8"/>
  <c r="Z43" i="8" s="1"/>
  <c r="R22" i="8"/>
  <c r="R43" i="8" s="1"/>
  <c r="J22" i="8"/>
  <c r="J43" i="8" s="1"/>
  <c r="AI22" i="8"/>
  <c r="AI43" i="8" s="1"/>
  <c r="W43" i="8"/>
  <c r="G43" i="8"/>
  <c r="K22" i="8"/>
  <c r="K43" i="8" s="1"/>
  <c r="BK43" i="8"/>
  <c r="U43" i="8"/>
  <c r="AA22" i="8"/>
  <c r="AA43" i="8" s="1"/>
  <c r="AM43" i="8"/>
  <c r="AY22" i="8"/>
  <c r="AY43" i="8" s="1"/>
  <c r="AK43" i="8"/>
  <c r="O43" i="8"/>
  <c r="BJ22" i="8"/>
  <c r="BJ43" i="8" s="1"/>
  <c r="BB22" i="8"/>
  <c r="BB43" i="8" s="1"/>
  <c r="AT22" i="8"/>
  <c r="AT43" i="8" s="1"/>
  <c r="AL22" i="8"/>
  <c r="AL43" i="8" s="1"/>
  <c r="AD22" i="8"/>
  <c r="AD43" i="8" s="1"/>
  <c r="V22" i="8"/>
  <c r="V43" i="8" s="1"/>
  <c r="N22" i="8"/>
  <c r="N43" i="8" s="1"/>
  <c r="BG22" i="8"/>
  <c r="BG43" i="8" s="1"/>
  <c r="BC43" i="8"/>
  <c r="S22" i="8"/>
  <c r="S43" i="8" s="1"/>
  <c r="BA43" i="8"/>
  <c r="AE43" i="8"/>
  <c r="BH22" i="8"/>
  <c r="BH43" i="8" s="1"/>
  <c r="AZ22" i="8"/>
  <c r="AZ43" i="8" s="1"/>
  <c r="AR22" i="8"/>
  <c r="AR43" i="8" s="1"/>
  <c r="AJ22" i="8"/>
  <c r="AJ43" i="8" s="1"/>
  <c r="AB22" i="8"/>
  <c r="AB43" i="8" s="1"/>
  <c r="T22" i="8"/>
  <c r="T43" i="8" s="1"/>
  <c r="L22" i="8"/>
  <c r="L43" i="8" s="1"/>
  <c r="AN101" i="38"/>
  <c r="AB85" i="38"/>
  <c r="BS80" i="38"/>
  <c r="BS91" i="38" s="1"/>
  <c r="J36" i="38"/>
  <c r="BS21" i="38"/>
  <c r="AO97" i="38"/>
  <c r="BR21" i="38"/>
  <c r="AI32" i="38"/>
  <c r="AI36" i="38" s="1"/>
  <c r="AR87" i="38"/>
  <c r="AR17" i="38"/>
  <c r="AJ17" i="38"/>
  <c r="AB17" i="38"/>
  <c r="T17" i="38"/>
  <c r="BI85" i="38"/>
  <c r="BU62" i="38"/>
  <c r="BM62" i="38"/>
  <c r="AU17" i="38"/>
  <c r="AM17" i="38"/>
  <c r="AE17" i="38"/>
  <c r="W17" i="38"/>
  <c r="W34" i="38" s="1"/>
  <c r="Q17" i="38"/>
  <c r="AS97" i="38"/>
  <c r="AS101" i="38" s="1"/>
  <c r="AP97" i="38"/>
  <c r="AP101" i="38" s="1"/>
  <c r="AU87" i="38"/>
  <c r="BS62" i="38"/>
  <c r="BT53" i="38"/>
  <c r="BL53" i="38"/>
  <c r="AW32" i="38"/>
  <c r="AO32" i="38"/>
  <c r="AG32" i="38"/>
  <c r="Y32" i="38"/>
  <c r="Q32" i="38"/>
  <c r="Q34" i="38" s="1"/>
  <c r="AQ97" i="38"/>
  <c r="AQ101" i="38" s="1"/>
  <c r="BF85" i="38"/>
  <c r="AV17" i="38"/>
  <c r="AN17" i="38"/>
  <c r="AF17" i="38"/>
  <c r="X17" i="38"/>
  <c r="P17" i="38"/>
  <c r="D15" i="79"/>
  <c r="D16" i="79"/>
  <c r="BZ19" i="46"/>
  <c r="BZ22" i="46"/>
  <c r="BZ21" i="46"/>
  <c r="BZ20" i="46"/>
  <c r="A179" i="1"/>
  <c r="B74" i="29"/>
  <c r="AE73" i="38"/>
  <c r="K2" i="84"/>
  <c r="K190" i="84" s="1" a="1"/>
  <c r="K190" i="84" s="1"/>
  <c r="A151" i="1"/>
  <c r="N17" i="82"/>
  <c r="F7" i="83" s="1"/>
  <c r="I17" i="82"/>
  <c r="E7" i="83" s="1"/>
  <c r="O13" i="82"/>
  <c r="O15" i="82" s="1"/>
  <c r="E13" i="82"/>
  <c r="E15" i="82" s="1"/>
  <c r="H24" i="81"/>
  <c r="AQ75" i="38"/>
  <c r="AA60" i="38"/>
  <c r="AA73" i="38" s="1"/>
  <c r="N21" i="82"/>
  <c r="F8" i="83" s="1"/>
  <c r="H65" i="82"/>
  <c r="M24" i="82"/>
  <c r="H24" i="82"/>
  <c r="D17" i="81"/>
  <c r="B15" i="77"/>
  <c r="N15" i="82"/>
  <c r="BA73" i="38"/>
  <c r="BF30" i="38"/>
  <c r="BG30" i="38"/>
  <c r="BK30" i="38"/>
  <c r="BX40" i="46"/>
  <c r="N75" i="1" s="1"/>
  <c r="P75" i="1" s="1"/>
  <c r="T75" i="1" s="1"/>
  <c r="BX34" i="46"/>
  <c r="BX23" i="46"/>
  <c r="BX11" i="46"/>
  <c r="AU73" i="38"/>
  <c r="AG73" i="38"/>
  <c r="AM73" i="38"/>
  <c r="BC32" i="38"/>
  <c r="BC36" i="38" s="1"/>
  <c r="AY75" i="38"/>
  <c r="AI75" i="38"/>
  <c r="AK73" i="38"/>
  <c r="AA75" i="38"/>
  <c r="C77" i="2"/>
  <c r="R60" i="1" s="1"/>
  <c r="T60" i="1" s="1"/>
  <c r="AG75" i="38"/>
  <c r="AP73" i="38"/>
  <c r="BA30" i="29"/>
  <c r="AC73" i="38"/>
  <c r="AC75" i="38"/>
  <c r="AH97" i="38"/>
  <c r="AG97" i="38"/>
  <c r="BI30" i="38"/>
  <c r="C69" i="2"/>
  <c r="B178" i="2" s="1"/>
  <c r="AY73" i="38"/>
  <c r="AQ73" i="38"/>
  <c r="AI73" i="38"/>
  <c r="BH30" i="38"/>
  <c r="D66" i="81"/>
  <c r="BE32" i="38"/>
  <c r="BE36" i="38" s="1"/>
  <c r="AY32" i="38"/>
  <c r="AY36" i="38" s="1"/>
  <c r="D21" i="81"/>
  <c r="N70" i="82"/>
  <c r="D15" i="82"/>
  <c r="C118" i="2"/>
  <c r="D70" i="82"/>
  <c r="F5" i="83"/>
  <c r="F18" i="83" s="1"/>
  <c r="N12" i="84"/>
  <c r="J12" i="84"/>
  <c r="J185" i="84" a="1"/>
  <c r="J185" i="84" s="1"/>
  <c r="K130" i="84" a="1"/>
  <c r="K130" i="84" s="1"/>
  <c r="J94" i="84" a="1"/>
  <c r="J94" i="84" s="1"/>
  <c r="J170" i="84"/>
  <c r="J61" i="84" a="1"/>
  <c r="J61" i="84" s="1"/>
  <c r="J99" i="84" a="1"/>
  <c r="J99" i="84" s="1"/>
  <c r="K180" i="84" a="1"/>
  <c r="K180" i="84" s="1"/>
  <c r="K122" i="84" a="1"/>
  <c r="K122" i="84" s="1"/>
  <c r="J142" i="84"/>
  <c r="J143" i="84" s="1"/>
  <c r="J129" i="84" a="1"/>
  <c r="J129" i="84" s="1"/>
  <c r="J151" i="84" a="1"/>
  <c r="J151" i="84" s="1"/>
  <c r="K137" i="84" a="1"/>
  <c r="K137" i="84" s="1"/>
  <c r="J125" i="84" a="1"/>
  <c r="J125" i="84" s="1"/>
  <c r="K164" i="84"/>
  <c r="J149" i="84" a="1"/>
  <c r="J149" i="84" s="1"/>
  <c r="K121" i="84" a="1"/>
  <c r="K121" i="84" s="1"/>
  <c r="J38" i="84"/>
  <c r="J114" i="84" a="1"/>
  <c r="J114" i="84" s="1"/>
  <c r="J66" i="84" a="1"/>
  <c r="J66" i="84" s="1"/>
  <c r="J191" i="84" a="1"/>
  <c r="J191" i="84" s="1"/>
  <c r="J189" i="84" a="1"/>
  <c r="J189" i="84" s="1"/>
  <c r="J175" i="84" a="1"/>
  <c r="J175" i="84" s="1"/>
  <c r="K163" i="84"/>
  <c r="J134" i="84" a="1"/>
  <c r="J134" i="84" s="1"/>
  <c r="J107" i="84" a="1"/>
  <c r="J107" i="84" s="1"/>
  <c r="K98" i="84" a="1"/>
  <c r="K98" i="84" s="1"/>
  <c r="J88" i="84" a="1"/>
  <c r="J88" i="84" s="1"/>
  <c r="K184" i="84" a="1"/>
  <c r="K184" i="84" s="1"/>
  <c r="J173" i="84" a="1"/>
  <c r="J173" i="84" s="1"/>
  <c r="J150" i="84" a="1"/>
  <c r="J150" i="84" s="1"/>
  <c r="K142" i="84"/>
  <c r="K143" i="84" s="1"/>
  <c r="K123" i="84" a="1"/>
  <c r="K123" i="84" s="1"/>
  <c r="J192" i="84" a="1"/>
  <c r="J192" i="84" s="1"/>
  <c r="J190" i="84" a="1"/>
  <c r="J190" i="84" s="1"/>
  <c r="J180" i="84" a="1"/>
  <c r="J180" i="84" s="1"/>
  <c r="J176" i="84" a="1"/>
  <c r="J176" i="84" s="1"/>
  <c r="K174" i="84" a="1"/>
  <c r="K174" i="84" s="1"/>
  <c r="K151" i="84" a="1"/>
  <c r="K151" i="84" s="1"/>
  <c r="K149" i="84" a="1"/>
  <c r="K149" i="84" s="1"/>
  <c r="J135" i="84" a="1"/>
  <c r="J135" i="84" s="1"/>
  <c r="J113" i="84" a="1"/>
  <c r="J113" i="84" s="1"/>
  <c r="J101" i="84" a="1"/>
  <c r="J101" i="84" s="1"/>
  <c r="J183" i="84" a="1"/>
  <c r="J183" i="84" s="1"/>
  <c r="K170" i="84"/>
  <c r="J138" i="84" a="1"/>
  <c r="J138" i="84" s="1"/>
  <c r="J128" i="84" a="1"/>
  <c r="J128" i="84" s="1"/>
  <c r="J62" i="84" a="1"/>
  <c r="J62" i="84" s="1"/>
  <c r="J36" i="84"/>
  <c r="K183" i="84" a="1"/>
  <c r="K183" i="84" s="1"/>
  <c r="J182" i="84" a="1"/>
  <c r="J182" i="84" s="1"/>
  <c r="K173" i="84" a="1"/>
  <c r="K173" i="84" s="1"/>
  <c r="J172" i="84" a="1"/>
  <c r="J172" i="84" s="1"/>
  <c r="K135" i="84" a="1"/>
  <c r="K135" i="84" s="1"/>
  <c r="K134" i="84" a="1"/>
  <c r="K134" i="84" s="1"/>
  <c r="J133" i="84" a="1"/>
  <c r="J133" i="84" s="1"/>
  <c r="J132" i="84" a="1"/>
  <c r="J132" i="84" s="1"/>
  <c r="J131" i="84" a="1"/>
  <c r="J131" i="84" s="1"/>
  <c r="K125" i="84" a="1"/>
  <c r="K125" i="84" s="1"/>
  <c r="K96" i="84" a="1"/>
  <c r="K96" i="84" s="1"/>
  <c r="J87" i="84"/>
  <c r="J81" i="84" a="1"/>
  <c r="J81" i="84" s="1"/>
  <c r="J68" i="84" a="1"/>
  <c r="J68" i="84" s="1"/>
  <c r="J60" i="84" a="1"/>
  <c r="J60" i="84" s="1"/>
  <c r="K25" i="84"/>
  <c r="K189" i="84" a="1"/>
  <c r="K189" i="84" s="1"/>
  <c r="K185" i="84" a="1"/>
  <c r="K185" i="84" s="1"/>
  <c r="J184" i="84" a="1"/>
  <c r="J184" i="84" s="1"/>
  <c r="K175" i="84" a="1"/>
  <c r="K175" i="84" s="1"/>
  <c r="J174" i="84" a="1"/>
  <c r="J174" i="84" s="1"/>
  <c r="K138" i="84" a="1"/>
  <c r="K138" i="84" s="1"/>
  <c r="J137" i="84" a="1"/>
  <c r="J137" i="84" s="1"/>
  <c r="J136" i="84" a="1"/>
  <c r="J136" i="84" s="1"/>
  <c r="K126" i="84" a="1"/>
  <c r="K126" i="84" s="1"/>
  <c r="J122" i="84" a="1"/>
  <c r="J122" i="84" s="1"/>
  <c r="K120" i="84" a="1"/>
  <c r="K120" i="84" s="1"/>
  <c r="K115" i="84" a="1"/>
  <c r="K115" i="84" s="1"/>
  <c r="K105" i="84"/>
  <c r="J100" i="84" a="1"/>
  <c r="J100" i="84" s="1"/>
  <c r="J67" i="84" a="1"/>
  <c r="J67" i="84" s="1"/>
  <c r="J63" i="84" a="1"/>
  <c r="J63" i="84" s="1"/>
  <c r="J126" i="84" a="1"/>
  <c r="J126" i="84" s="1"/>
  <c r="J120" i="84" a="1"/>
  <c r="J120" i="84" s="1"/>
  <c r="K95" i="84" a="1"/>
  <c r="K95" i="84" s="1"/>
  <c r="K92" i="84"/>
  <c r="J80" i="84" a="1"/>
  <c r="J80" i="84" s="1"/>
  <c r="K55" i="84"/>
  <c r="J43" i="84"/>
  <c r="J44" i="84" s="1"/>
  <c r="K128" i="84" a="1"/>
  <c r="K128" i="84" s="1"/>
  <c r="J127" i="84" a="1"/>
  <c r="J127" i="84" s="1"/>
  <c r="J123" i="84" a="1"/>
  <c r="J123" i="84" s="1"/>
  <c r="K114" i="84" a="1"/>
  <c r="K114" i="84" s="1"/>
  <c r="J97" i="84" a="1"/>
  <c r="J97" i="84" s="1"/>
  <c r="K82" i="84" a="1"/>
  <c r="K82" i="84" s="1"/>
  <c r="K27" i="84"/>
  <c r="K182" i="84" a="1"/>
  <c r="K182" i="84" s="1"/>
  <c r="J181" i="84" a="1"/>
  <c r="J181" i="84" s="1"/>
  <c r="K172" i="84" a="1"/>
  <c r="K172" i="84" s="1"/>
  <c r="J171" i="84" a="1"/>
  <c r="J171" i="84" s="1"/>
  <c r="J153" i="84" a="1"/>
  <c r="J153" i="84" s="1"/>
  <c r="J152" i="84" a="1"/>
  <c r="J152" i="84" s="1"/>
  <c r="K133" i="84" a="1"/>
  <c r="K133" i="84" s="1"/>
  <c r="K132" i="84" a="1"/>
  <c r="K132" i="84" s="1"/>
  <c r="K131" i="84" a="1"/>
  <c r="K131" i="84" s="1"/>
  <c r="J130" i="84" a="1"/>
  <c r="J130" i="84" s="1"/>
  <c r="J124" i="84" a="1"/>
  <c r="J124" i="84" s="1"/>
  <c r="J121" i="84" a="1"/>
  <c r="J121" i="84" s="1"/>
  <c r="J119" i="84"/>
  <c r="J106" i="84" a="1"/>
  <c r="J106" i="84" s="1"/>
  <c r="K113" i="84" a="1"/>
  <c r="K113" i="84" s="1"/>
  <c r="J112" i="84"/>
  <c r="K94" i="84" a="1"/>
  <c r="K94" i="84" s="1"/>
  <c r="J93" i="84" a="1"/>
  <c r="J93" i="84" s="1"/>
  <c r="K81" i="84" a="1"/>
  <c r="K81" i="84" s="1"/>
  <c r="K80" i="84" a="1"/>
  <c r="K80" i="84" s="1"/>
  <c r="J79" i="84" a="1"/>
  <c r="J79" i="84" s="1"/>
  <c r="J64" i="84" a="1"/>
  <c r="J64" i="84" s="1"/>
  <c r="J39" i="84"/>
  <c r="J37" i="84"/>
  <c r="J32" i="84"/>
  <c r="J96" i="84" a="1"/>
  <c r="J96" i="84" s="1"/>
  <c r="J95" i="84" a="1"/>
  <c r="J95" i="84" s="1"/>
  <c r="K83" i="84" a="1"/>
  <c r="K83" i="84" s="1"/>
  <c r="J82" i="84" a="1"/>
  <c r="J82" i="84" s="1"/>
  <c r="J70" i="84" a="1"/>
  <c r="J70" i="84" s="1"/>
  <c r="K53" i="84"/>
  <c r="K48" i="84"/>
  <c r="K31" i="84"/>
  <c r="K26" i="84"/>
  <c r="K119" i="84"/>
  <c r="J115" i="84" a="1"/>
  <c r="J115" i="84" s="1"/>
  <c r="K101" i="84" a="1"/>
  <c r="K101" i="84" s="1"/>
  <c r="K100" i="84" a="1"/>
  <c r="K100" i="84" s="1"/>
  <c r="K99" i="84" a="1"/>
  <c r="K99" i="84" s="1"/>
  <c r="J98" i="84" a="1"/>
  <c r="J98" i="84" s="1"/>
  <c r="K87" i="84"/>
  <c r="J83" i="84" a="1"/>
  <c r="J83" i="84" s="1"/>
  <c r="J65" i="84" a="1"/>
  <c r="J65" i="84" s="1"/>
  <c r="J59" i="84"/>
  <c r="J53" i="84"/>
  <c r="J48" i="84"/>
  <c r="J31" i="84"/>
  <c r="J26" i="84"/>
  <c r="K107" i="84" a="1"/>
  <c r="K107" i="84" s="1"/>
  <c r="K106" i="84" a="1"/>
  <c r="K106" i="84" s="1"/>
  <c r="J105" i="84"/>
  <c r="K88" i="84" a="1"/>
  <c r="K88" i="84" s="1"/>
  <c r="J77" i="84"/>
  <c r="K112" i="84"/>
  <c r="J108" i="84" a="1"/>
  <c r="J108" i="84" s="1"/>
  <c r="K93" i="84" a="1"/>
  <c r="K93" i="84" s="1"/>
  <c r="J92" i="84"/>
  <c r="K79" i="84" a="1"/>
  <c r="K79" i="84" s="1"/>
  <c r="J78" i="84" a="1"/>
  <c r="J78" i="84" s="1"/>
  <c r="J69" i="84" a="1"/>
  <c r="J69" i="84" s="1"/>
  <c r="J55" i="84"/>
  <c r="J52" i="84"/>
  <c r="J47" i="84"/>
  <c r="K32" i="84"/>
  <c r="J27" i="84"/>
  <c r="J25" i="84"/>
  <c r="Q12" i="84"/>
  <c r="P12" i="84"/>
  <c r="T7" i="84"/>
  <c r="T6" i="84" s="1"/>
  <c r="T3" i="84" s="1" a="1"/>
  <c r="T3" i="84" s="1"/>
  <c r="T11" i="84" s="1"/>
  <c r="K12" i="84"/>
  <c r="S5" i="84"/>
  <c r="T4" i="84" s="1"/>
  <c r="O12" i="84"/>
  <c r="M12" i="84"/>
  <c r="D17" i="79"/>
  <c r="F18" i="79"/>
  <c r="B118" i="53"/>
  <c r="L121" i="1"/>
  <c r="AQ31" i="29"/>
  <c r="BZ34" i="46"/>
  <c r="H110" i="1" s="1"/>
  <c r="AG31" i="29"/>
  <c r="AD31" i="29"/>
  <c r="F244" i="79"/>
  <c r="D243" i="79"/>
  <c r="AH31" i="29"/>
  <c r="AC31" i="29"/>
  <c r="AF31" i="29"/>
  <c r="AR31" i="29"/>
  <c r="H120" i="53"/>
  <c r="AE31" i="29"/>
  <c r="AT75" i="38"/>
  <c r="AT73" i="38"/>
  <c r="AL75" i="38"/>
  <c r="AL73" i="38"/>
  <c r="AD75" i="38"/>
  <c r="AD73" i="38"/>
  <c r="AS14" i="46"/>
  <c r="AS25" i="46" s="1"/>
  <c r="F120" i="53"/>
  <c r="J72" i="53"/>
  <c r="P72" i="53" s="1"/>
  <c r="T72" i="53" s="1"/>
  <c r="D242" i="79"/>
  <c r="AZ75" i="38"/>
  <c r="AZ73" i="38"/>
  <c r="AR75" i="38"/>
  <c r="AR73" i="38"/>
  <c r="AJ75" i="38"/>
  <c r="AJ73" i="38"/>
  <c r="AB75" i="38"/>
  <c r="AB73" i="38"/>
  <c r="J74" i="1"/>
  <c r="P74" i="1" s="1"/>
  <c r="T74" i="1" s="1"/>
  <c r="AY105" i="15"/>
  <c r="AQ105" i="15"/>
  <c r="AI31" i="29"/>
  <c r="F67" i="8"/>
  <c r="AX75" i="38"/>
  <c r="AX73" i="38"/>
  <c r="AH73" i="38"/>
  <c r="AH75" i="38"/>
  <c r="B72" i="29"/>
  <c r="BB24" i="29"/>
  <c r="BB30" i="29" s="1"/>
  <c r="BL22" i="8"/>
  <c r="BL43" i="8" s="1"/>
  <c r="BD22" i="8"/>
  <c r="BD43" i="8" s="1"/>
  <c r="AV22" i="8"/>
  <c r="AV43" i="8" s="1"/>
  <c r="AN22" i="8"/>
  <c r="AN43" i="8" s="1"/>
  <c r="AF22" i="8"/>
  <c r="AF43" i="8" s="1"/>
  <c r="X22" i="8"/>
  <c r="X43" i="8" s="1"/>
  <c r="P22" i="8"/>
  <c r="P43" i="8" s="1"/>
  <c r="H22" i="8"/>
  <c r="H43" i="8" s="1"/>
  <c r="AM105" i="15"/>
  <c r="AW73" i="38"/>
  <c r="AW75" i="38"/>
  <c r="AO73" i="38"/>
  <c r="AO75" i="38"/>
  <c r="B121" i="53"/>
  <c r="L124" i="1"/>
  <c r="L38" i="57"/>
  <c r="AS73" i="38"/>
  <c r="AS75" i="38"/>
  <c r="N75" i="53"/>
  <c r="AV75" i="38"/>
  <c r="AV73" i="38"/>
  <c r="AN75" i="38"/>
  <c r="AN73" i="38"/>
  <c r="AF75" i="38"/>
  <c r="AF73" i="38"/>
  <c r="AU97" i="38"/>
  <c r="AT87" i="38"/>
  <c r="BG85" i="38"/>
  <c r="AO36" i="38"/>
  <c r="AG36" i="38"/>
  <c r="Y36" i="38"/>
  <c r="AA97" i="38"/>
  <c r="AI97" i="38"/>
  <c r="AE97" i="38"/>
  <c r="AF97" i="38"/>
  <c r="AW87" i="38"/>
  <c r="BA75" i="38"/>
  <c r="AP75" i="38"/>
  <c r="AE75" i="38"/>
  <c r="AD97" i="38"/>
  <c r="AV87" i="38"/>
  <c r="C68" i="2"/>
  <c r="AC97" i="38"/>
  <c r="AP87" i="38"/>
  <c r="BK85" i="38"/>
  <c r="AM75" i="38"/>
  <c r="AA36" i="38"/>
  <c r="AL97" i="38"/>
  <c r="AB97" i="38"/>
  <c r="AS87" i="38"/>
  <c r="E6" i="15"/>
  <c r="BN5" i="15"/>
  <c r="BN7" i="38"/>
  <c r="AV97" i="38"/>
  <c r="AK97" i="38"/>
  <c r="AU75" i="38"/>
  <c r="AK75" i="38"/>
  <c r="E40" i="38"/>
  <c r="E21" i="38"/>
  <c r="AJ97" i="38"/>
  <c r="BM49" i="38"/>
  <c r="BJ44" i="38"/>
  <c r="BD32" i="38"/>
  <c r="AV32" i="38"/>
  <c r="AN32" i="38"/>
  <c r="AF32" i="38"/>
  <c r="X32" i="38"/>
  <c r="P32" i="38"/>
  <c r="AT17" i="38"/>
  <c r="AL17" i="38"/>
  <c r="AD17" i="38"/>
  <c r="V17" i="38"/>
  <c r="BB32" i="38"/>
  <c r="AT32" i="38"/>
  <c r="AL32" i="38"/>
  <c r="AD32" i="38"/>
  <c r="V32" i="38"/>
  <c r="BA32" i="38"/>
  <c r="AS32" i="38"/>
  <c r="AK32" i="38"/>
  <c r="AC32" i="38"/>
  <c r="U32" i="38"/>
  <c r="AQ17" i="38"/>
  <c r="AI17" i="38"/>
  <c r="AA17" i="38"/>
  <c r="AA34" i="38" s="1"/>
  <c r="S17" i="38"/>
  <c r="AZ32" i="38"/>
  <c r="AR32" i="38"/>
  <c r="AJ32" i="38"/>
  <c r="AB32" i="38"/>
  <c r="T32" i="38"/>
  <c r="AP17" i="38"/>
  <c r="AH17" i="38"/>
  <c r="Z17" i="38"/>
  <c r="R17" i="38"/>
  <c r="AW17" i="38"/>
  <c r="AO17" i="38"/>
  <c r="AO34" i="38" s="1"/>
  <c r="AG17" i="38"/>
  <c r="AG34" i="38" s="1"/>
  <c r="Y17" i="38"/>
  <c r="AX32" i="38"/>
  <c r="AP32" i="38"/>
  <c r="AH32" i="38"/>
  <c r="Z32" i="38"/>
  <c r="R32" i="38"/>
  <c r="W8" i="84"/>
  <c r="D35" i="36"/>
  <c r="L12" i="1"/>
  <c r="S9" i="84"/>
  <c r="S10" i="84"/>
  <c r="S11" i="84"/>
  <c r="T57" i="60"/>
  <c r="D57" i="68"/>
  <c r="F57" i="36"/>
  <c r="D57" i="70"/>
  <c r="H57" i="47"/>
  <c r="D57" i="62"/>
  <c r="D57" i="61"/>
  <c r="H57" i="36"/>
  <c r="K77" i="84"/>
  <c r="K43" i="84"/>
  <c r="K44" i="84" s="1"/>
  <c r="K70" i="84" a="1"/>
  <c r="K70" i="84" s="1"/>
  <c r="K69" i="84" a="1"/>
  <c r="K69" i="84" s="1"/>
  <c r="K68" i="84" a="1"/>
  <c r="K68" i="84" s="1"/>
  <c r="K67" i="84" a="1"/>
  <c r="K67" i="84" s="1"/>
  <c r="K66" i="84" a="1"/>
  <c r="K66" i="84" s="1"/>
  <c r="K65" i="84" a="1"/>
  <c r="K65" i="84" s="1"/>
  <c r="K64" i="84" a="1"/>
  <c r="K64" i="84" s="1"/>
  <c r="K63" i="84" a="1"/>
  <c r="K63" i="84" s="1"/>
  <c r="K62" i="84" a="1"/>
  <c r="K62" i="84" s="1"/>
  <c r="K61" i="84" a="1"/>
  <c r="K61" i="84" s="1"/>
  <c r="K60" i="84" a="1"/>
  <c r="K60" i="84" s="1"/>
  <c r="K59" i="84"/>
  <c r="K39" i="84"/>
  <c r="K38" i="84"/>
  <c r="K37" i="84"/>
  <c r="K36" i="84"/>
  <c r="I19" i="48"/>
  <c r="K19" i="48" s="1"/>
  <c r="K15" i="48"/>
  <c r="G18" i="57"/>
  <c r="L18" i="57" s="1"/>
  <c r="R58" i="53"/>
  <c r="T58" i="53" s="1"/>
  <c r="I25" i="48"/>
  <c r="K25" i="48" s="1"/>
  <c r="B3" i="39"/>
  <c r="A3" i="53"/>
  <c r="B3" i="57"/>
  <c r="E172" i="2"/>
  <c r="E5" i="3" s="1"/>
  <c r="A97" i="1"/>
  <c r="A240" i="1"/>
  <c r="C51" i="2"/>
  <c r="C107" i="2" s="1"/>
  <c r="B3" i="2"/>
  <c r="L109" i="53"/>
  <c r="T109" i="53" s="1"/>
  <c r="V109" i="53" s="1"/>
  <c r="T112" i="1"/>
  <c r="V112" i="1" s="1"/>
  <c r="L119" i="53"/>
  <c r="T120" i="1"/>
  <c r="V120" i="1" s="1"/>
  <c r="D52" i="36" s="1"/>
  <c r="P70" i="53"/>
  <c r="T70" i="53" s="1"/>
  <c r="K36" i="57"/>
  <c r="H36" i="57"/>
  <c r="L14" i="57"/>
  <c r="I60" i="81"/>
  <c r="H61" i="81"/>
  <c r="D40" i="82"/>
  <c r="C50" i="82"/>
  <c r="F30" i="68"/>
  <c r="H30" i="68"/>
  <c r="I35" i="81"/>
  <c r="H47" i="81"/>
  <c r="I22" i="48"/>
  <c r="K22" i="48" s="1"/>
  <c r="C61" i="81"/>
  <c r="D51" i="81"/>
  <c r="D75" i="53"/>
  <c r="I17" i="81"/>
  <c r="I21" i="81"/>
  <c r="I35" i="82"/>
  <c r="H50" i="82"/>
  <c r="C47" i="81"/>
  <c r="D32" i="81"/>
  <c r="D64" i="81" s="1"/>
  <c r="D72" i="81" s="1"/>
  <c r="M65" i="82"/>
  <c r="D21" i="82"/>
  <c r="D8" i="83" s="1"/>
  <c r="E3" i="83"/>
  <c r="E5" i="83" s="1"/>
  <c r="E18" i="83" s="1"/>
  <c r="J13" i="82"/>
  <c r="J15" i="82" s="1"/>
  <c r="I66" i="81"/>
  <c r="I70" i="82"/>
  <c r="M50" i="82"/>
  <c r="D17" i="82"/>
  <c r="D7" i="83" s="1"/>
  <c r="I15" i="82"/>
  <c r="C65" i="82"/>
  <c r="C24" i="82"/>
  <c r="I21" i="82"/>
  <c r="E8" i="83" s="1"/>
  <c r="D5" i="83"/>
  <c r="D18" i="83" s="1"/>
  <c r="L36" i="57" l="1"/>
  <c r="J61" i="53"/>
  <c r="C57" i="29"/>
  <c r="C50" i="29"/>
  <c r="C48" i="29"/>
  <c r="B48" i="29"/>
  <c r="C49" i="29"/>
  <c r="C51" i="29" s="1"/>
  <c r="D35" i="89"/>
  <c r="D35" i="88"/>
  <c r="D35" i="87"/>
  <c r="D35" i="86"/>
  <c r="D35" i="85"/>
  <c r="D52" i="89"/>
  <c r="D52" i="88"/>
  <c r="D52" i="87"/>
  <c r="D52" i="86"/>
  <c r="D52" i="85"/>
  <c r="H57" i="85"/>
  <c r="F57" i="85"/>
  <c r="H57" i="86"/>
  <c r="F57" i="86"/>
  <c r="H57" i="87"/>
  <c r="F57" i="87"/>
  <c r="H57" i="88"/>
  <c r="F57" i="88"/>
  <c r="F57" i="89"/>
  <c r="H57" i="89"/>
  <c r="AX31" i="29"/>
  <c r="AZ31" i="29"/>
  <c r="F118" i="1"/>
  <c r="F115" i="53" s="1"/>
  <c r="AU31" i="29"/>
  <c r="AK31" i="29"/>
  <c r="AY31" i="29"/>
  <c r="B130" i="1"/>
  <c r="L130" i="1" s="1"/>
  <c r="T130" i="1" s="1"/>
  <c r="V130" i="1" s="1"/>
  <c r="AT31" i="29"/>
  <c r="AW31" i="29"/>
  <c r="BA31" i="29"/>
  <c r="AP31" i="29"/>
  <c r="AM31" i="29"/>
  <c r="AN31" i="29"/>
  <c r="AL31" i="29"/>
  <c r="F117" i="1"/>
  <c r="F114" i="53" s="1"/>
  <c r="AO31" i="29"/>
  <c r="AJ31" i="29"/>
  <c r="AS31" i="29"/>
  <c r="AF107" i="15"/>
  <c r="AF112" i="15" s="1"/>
  <c r="AE34" i="38"/>
  <c r="AQ34" i="38"/>
  <c r="AR99" i="38"/>
  <c r="AM34" i="38"/>
  <c r="AS99" i="38"/>
  <c r="S34" i="38"/>
  <c r="AI34" i="38"/>
  <c r="AL110" i="15"/>
  <c r="U107" i="15"/>
  <c r="U112" i="15" s="1"/>
  <c r="AZ87" i="38"/>
  <c r="AN87" i="38"/>
  <c r="AN99" i="38" s="1"/>
  <c r="AW99" i="38"/>
  <c r="AU34" i="38"/>
  <c r="Q36" i="38"/>
  <c r="Y34" i="38"/>
  <c r="AP99" i="38"/>
  <c r="BZ46" i="38"/>
  <c r="AT99" i="38"/>
  <c r="AW34" i="38"/>
  <c r="J84" i="84"/>
  <c r="AC87" i="38"/>
  <c r="AO87" i="38"/>
  <c r="AO99" i="38" s="1"/>
  <c r="BE87" i="38"/>
  <c r="D107" i="15"/>
  <c r="S107" i="15"/>
  <c r="S112" i="15" s="1"/>
  <c r="K107" i="15"/>
  <c r="K112" i="15" s="1"/>
  <c r="AJ107" i="15"/>
  <c r="AJ112" i="15" s="1"/>
  <c r="W107" i="15"/>
  <c r="W112" i="15" s="1"/>
  <c r="F107" i="15"/>
  <c r="F112" i="15" s="1"/>
  <c r="X107" i="15"/>
  <c r="X112" i="15" s="1"/>
  <c r="AS107" i="15"/>
  <c r="AS112" i="15" s="1"/>
  <c r="Y107" i="15"/>
  <c r="Y112" i="15" s="1"/>
  <c r="AH107" i="15"/>
  <c r="AH112" i="15" s="1"/>
  <c r="V107" i="15"/>
  <c r="V112" i="15" s="1"/>
  <c r="M107" i="15"/>
  <c r="M112" i="15" s="1"/>
  <c r="AE87" i="38"/>
  <c r="C107" i="15"/>
  <c r="P107" i="15"/>
  <c r="P112" i="15" s="1"/>
  <c r="BI107" i="15"/>
  <c r="BI112" i="15" s="1"/>
  <c r="O107" i="15"/>
  <c r="O112" i="15" s="1"/>
  <c r="AA87" i="38"/>
  <c r="BD87" i="38"/>
  <c r="BA87" i="38"/>
  <c r="BC87" i="38"/>
  <c r="I107" i="15"/>
  <c r="I112" i="15" s="1"/>
  <c r="AK87" i="38"/>
  <c r="AY87" i="38"/>
  <c r="E107" i="15"/>
  <c r="R107" i="15"/>
  <c r="R112" i="15" s="1"/>
  <c r="AX87" i="38"/>
  <c r="AL107" i="15"/>
  <c r="AL112" i="15" s="1"/>
  <c r="AG107" i="15"/>
  <c r="AG112" i="15" s="1"/>
  <c r="AB107" i="15"/>
  <c r="AB112" i="15" s="1"/>
  <c r="AP107" i="15"/>
  <c r="AP112" i="15" s="1"/>
  <c r="AC107" i="15"/>
  <c r="AC112" i="15" s="1"/>
  <c r="BH107" i="15"/>
  <c r="BH112" i="15" s="1"/>
  <c r="H107" i="15"/>
  <c r="H112" i="15" s="1"/>
  <c r="T107" i="15"/>
  <c r="T112" i="15" s="1"/>
  <c r="L107" i="15"/>
  <c r="L112" i="15" s="1"/>
  <c r="N107" i="15"/>
  <c r="N112" i="15" s="1"/>
  <c r="AE107" i="15"/>
  <c r="AE112" i="15" s="1"/>
  <c r="G107" i="15"/>
  <c r="G112" i="15" s="1"/>
  <c r="AD107" i="15"/>
  <c r="AD112" i="15" s="1"/>
  <c r="BE107" i="15"/>
  <c r="BE112" i="15" s="1"/>
  <c r="Z107" i="15"/>
  <c r="Z112" i="15" s="1"/>
  <c r="BF107" i="15"/>
  <c r="BF112" i="15" s="1"/>
  <c r="AN107" i="15"/>
  <c r="AN112" i="15" s="1"/>
  <c r="AA107" i="15"/>
  <c r="AA112" i="15" s="1"/>
  <c r="Q107" i="15"/>
  <c r="Q112" i="15" s="1"/>
  <c r="AK107" i="15"/>
  <c r="AK112" i="15" s="1"/>
  <c r="AJ87" i="38"/>
  <c r="AZ107" i="15"/>
  <c r="AZ112" i="15" s="1"/>
  <c r="J107" i="15"/>
  <c r="J112" i="15" s="1"/>
  <c r="BB107" i="15"/>
  <c r="BB112" i="15" s="1"/>
  <c r="AW107" i="15"/>
  <c r="AW112" i="15" s="1"/>
  <c r="AH87" i="38"/>
  <c r="BD107" i="15"/>
  <c r="BD112" i="15" s="1"/>
  <c r="AG87" i="38"/>
  <c r="AI87" i="38"/>
  <c r="AB87" i="38"/>
  <c r="AL87" i="38"/>
  <c r="AM87" i="38"/>
  <c r="AM99" i="38" s="1"/>
  <c r="AD87" i="38"/>
  <c r="AX107" i="15"/>
  <c r="AX112" i="15" s="1"/>
  <c r="AF87" i="38"/>
  <c r="BI87" i="38"/>
  <c r="AR107" i="15"/>
  <c r="AR112" i="15" s="1"/>
  <c r="AT107" i="15"/>
  <c r="AT112" i="15" s="1"/>
  <c r="BG87" i="38"/>
  <c r="AO107" i="15"/>
  <c r="AO112" i="15" s="1"/>
  <c r="AV107" i="15"/>
  <c r="AV112" i="15" s="1"/>
  <c r="BA107" i="15"/>
  <c r="BA112" i="15" s="1"/>
  <c r="AO101" i="38"/>
  <c r="AQ99" i="38"/>
  <c r="BF87" i="38"/>
  <c r="AW36" i="38"/>
  <c r="BZ23" i="46"/>
  <c r="F63" i="1" s="1"/>
  <c r="K52" i="84"/>
  <c r="K56" i="84" s="1"/>
  <c r="K129" i="84" a="1"/>
  <c r="K129" i="84" s="1"/>
  <c r="K47" i="84"/>
  <c r="K49" i="84" s="1"/>
  <c r="K192" i="84" a="1"/>
  <c r="K192" i="84" s="1"/>
  <c r="K181" i="84" a="1"/>
  <c r="K181" i="84" s="1"/>
  <c r="K186" i="84" s="1"/>
  <c r="K124" i="84" a="1"/>
  <c r="K124" i="84" s="1"/>
  <c r="K176" i="84" a="1"/>
  <c r="K176" i="84" s="1"/>
  <c r="K136" i="84" a="1"/>
  <c r="K136" i="84" s="1"/>
  <c r="K162" i="84"/>
  <c r="K78" i="84" a="1"/>
  <c r="K78" i="84" s="1"/>
  <c r="K84" i="84" s="1"/>
  <c r="K108" i="84" a="1"/>
  <c r="K108" i="84" s="1"/>
  <c r="K109" i="84" s="1"/>
  <c r="K161" i="84"/>
  <c r="K153" i="84" a="1"/>
  <c r="K153" i="84" s="1"/>
  <c r="K97" i="84" a="1"/>
  <c r="K97" i="84" s="1"/>
  <c r="K102" i="84" s="1"/>
  <c r="K150" i="84" a="1"/>
  <c r="K150" i="84" s="1"/>
  <c r="K191" i="84" a="1"/>
  <c r="K191" i="84" s="1"/>
  <c r="K127" i="84" a="1"/>
  <c r="K127" i="84" s="1"/>
  <c r="K152" i="84" a="1"/>
  <c r="K152" i="84" s="1"/>
  <c r="K171" i="84" a="1"/>
  <c r="K171" i="84" s="1"/>
  <c r="L2" i="84"/>
  <c r="D31" i="82"/>
  <c r="D10" i="83" s="1"/>
  <c r="D14" i="83" s="1"/>
  <c r="BI32" i="38"/>
  <c r="BH32" i="38"/>
  <c r="BG32" i="38"/>
  <c r="BK32" i="38"/>
  <c r="BF32" i="38"/>
  <c r="BJ32" i="38"/>
  <c r="N31" i="82"/>
  <c r="L53" i="84"/>
  <c r="N77" i="1"/>
  <c r="B183" i="2"/>
  <c r="G18" i="2"/>
  <c r="L18" i="2" s="1"/>
  <c r="K116" i="84"/>
  <c r="J89" i="84"/>
  <c r="J116" i="84"/>
  <c r="J139" i="84"/>
  <c r="K89" i="84"/>
  <c r="J102" i="84"/>
  <c r="J109" i="84"/>
  <c r="J155" i="84"/>
  <c r="K28" i="84"/>
  <c r="J177" i="84"/>
  <c r="J186" i="84"/>
  <c r="J33" i="84"/>
  <c r="U7" i="84"/>
  <c r="V7" i="84" s="1"/>
  <c r="W7" i="84" s="1"/>
  <c r="X7" i="84" s="1"/>
  <c r="J71" i="84"/>
  <c r="J40" i="84"/>
  <c r="J56" i="84"/>
  <c r="K33" i="84"/>
  <c r="J28" i="84"/>
  <c r="J49" i="84"/>
  <c r="S12" i="84"/>
  <c r="T10" i="84"/>
  <c r="T9" i="84"/>
  <c r="T5" i="84"/>
  <c r="U4" i="84" s="1"/>
  <c r="T2" i="84"/>
  <c r="K40" i="84"/>
  <c r="BB31" i="29"/>
  <c r="P34" i="38"/>
  <c r="P36" i="38"/>
  <c r="BN39" i="38"/>
  <c r="BN79" i="38"/>
  <c r="AI107" i="15"/>
  <c r="AI112" i="15" s="1"/>
  <c r="M45" i="81"/>
  <c r="N45" i="81" s="1"/>
  <c r="R48" i="82"/>
  <c r="R19" i="82"/>
  <c r="M19" i="81"/>
  <c r="J38" i="2"/>
  <c r="L118" i="53"/>
  <c r="T118" i="53" s="1"/>
  <c r="V118" i="53" s="1"/>
  <c r="T121" i="1"/>
  <c r="V121" i="1" s="1"/>
  <c r="L135" i="84" a="1"/>
  <c r="L135" i="84" s="1"/>
  <c r="U34" i="38"/>
  <c r="U36" i="38"/>
  <c r="V34" i="38"/>
  <c r="V36" i="38"/>
  <c r="X34" i="38"/>
  <c r="X36" i="38"/>
  <c r="BO7" i="38"/>
  <c r="BO5" i="15"/>
  <c r="BP5" i="15" s="1"/>
  <c r="BQ5" i="15" s="1"/>
  <c r="BR5" i="15" s="1"/>
  <c r="BR5" i="8"/>
  <c r="BC2" i="46"/>
  <c r="BD11" i="29"/>
  <c r="BD39" i="29" s="1"/>
  <c r="M23" i="81"/>
  <c r="R47" i="82"/>
  <c r="R23" i="82"/>
  <c r="M44" i="81"/>
  <c r="N44" i="81" s="1"/>
  <c r="H41" i="2"/>
  <c r="J41" i="2"/>
  <c r="L129" i="84" a="1"/>
  <c r="L129" i="84" s="1"/>
  <c r="L130" i="84" a="1"/>
  <c r="L130" i="84" s="1"/>
  <c r="I64" i="81"/>
  <c r="I68" i="81" s="1"/>
  <c r="H57" i="61"/>
  <c r="F57" i="61"/>
  <c r="T34" i="38"/>
  <c r="T36" i="38"/>
  <c r="AC34" i="38"/>
  <c r="AC36" i="38"/>
  <c r="AD34" i="38"/>
  <c r="AD36" i="38"/>
  <c r="AF34" i="38"/>
  <c r="AF36" i="38"/>
  <c r="F8" i="38"/>
  <c r="I6" i="8"/>
  <c r="F6" i="15"/>
  <c r="AQ107" i="15"/>
  <c r="AQ112" i="15" s="1"/>
  <c r="H57" i="62"/>
  <c r="F57" i="62"/>
  <c r="D35" i="68"/>
  <c r="D35" i="62"/>
  <c r="T35" i="60"/>
  <c r="D35" i="70"/>
  <c r="H35" i="47"/>
  <c r="D35" i="61"/>
  <c r="R34" i="38"/>
  <c r="R36" i="38"/>
  <c r="AB34" i="38"/>
  <c r="AB36" i="38"/>
  <c r="AK34" i="38"/>
  <c r="AK36" i="38"/>
  <c r="AL34" i="38"/>
  <c r="AL36" i="38"/>
  <c r="AN34" i="38"/>
  <c r="AN36" i="38"/>
  <c r="BH87" i="38"/>
  <c r="BJ87" i="38"/>
  <c r="L121" i="53"/>
  <c r="T121" i="53" s="1"/>
  <c r="V121" i="53" s="1"/>
  <c r="T124" i="1"/>
  <c r="V124" i="1" s="1"/>
  <c r="L138" i="84" a="1"/>
  <c r="L138" i="84" s="1"/>
  <c r="AM107" i="15"/>
  <c r="AM112" i="15" s="1"/>
  <c r="L95" i="84" a="1"/>
  <c r="L95" i="84" s="1"/>
  <c r="Z34" i="38"/>
  <c r="Z36" i="38"/>
  <c r="AJ34" i="38"/>
  <c r="AJ36" i="38"/>
  <c r="AS34" i="38"/>
  <c r="AS36" i="38"/>
  <c r="AT34" i="38"/>
  <c r="AT36" i="38"/>
  <c r="AV34" i="38"/>
  <c r="AV36" i="38"/>
  <c r="D14" i="2"/>
  <c r="B177" i="2"/>
  <c r="J120" i="53"/>
  <c r="L115" i="84" a="1"/>
  <c r="L115" i="84" s="1"/>
  <c r="AU107" i="15"/>
  <c r="AU112" i="15" s="1"/>
  <c r="AY107" i="15"/>
  <c r="AY112" i="15" s="1"/>
  <c r="A148" i="53"/>
  <c r="A95" i="53"/>
  <c r="A46" i="53"/>
  <c r="A175" i="53"/>
  <c r="A236" i="53"/>
  <c r="K71" i="84"/>
  <c r="F57" i="70"/>
  <c r="H57" i="70"/>
  <c r="AH34" i="38"/>
  <c r="AH36" i="38"/>
  <c r="AR34" i="38"/>
  <c r="AR36" i="38"/>
  <c r="BA36" i="38"/>
  <c r="BB36" i="38"/>
  <c r="BD36" i="38"/>
  <c r="BK87" i="38"/>
  <c r="BC107" i="15"/>
  <c r="BC112" i="15" s="1"/>
  <c r="H40" i="57"/>
  <c r="J40" i="57"/>
  <c r="J42" i="57" s="1"/>
  <c r="F19" i="79"/>
  <c r="D18" i="79"/>
  <c r="D68" i="82"/>
  <c r="I31" i="82"/>
  <c r="E10" i="83" s="1"/>
  <c r="E14" i="83" s="1"/>
  <c r="AP34" i="38"/>
  <c r="AP36" i="38"/>
  <c r="AZ36" i="38"/>
  <c r="BN49" i="38"/>
  <c r="BJ107" i="15"/>
  <c r="AU101" i="38"/>
  <c r="AU99" i="38"/>
  <c r="BG107" i="15"/>
  <c r="BG112" i="15" s="1"/>
  <c r="F245" i="79"/>
  <c r="D244" i="79"/>
  <c r="L110" i="1"/>
  <c r="T110" i="1" s="1"/>
  <c r="V110" i="1" s="1"/>
  <c r="H107" i="53"/>
  <c r="L106" i="84" a="1"/>
  <c r="L106" i="84" s="1"/>
  <c r="D52" i="68"/>
  <c r="H52" i="47"/>
  <c r="T52" i="60"/>
  <c r="D52" i="62"/>
  <c r="D52" i="70"/>
  <c r="D52" i="61"/>
  <c r="H52" i="36"/>
  <c r="F52" i="36"/>
  <c r="M53" i="81"/>
  <c r="N53" i="81" s="1"/>
  <c r="R56" i="82"/>
  <c r="D44" i="36"/>
  <c r="F57" i="68"/>
  <c r="H57" i="68"/>
  <c r="X8" i="84"/>
  <c r="AV101" i="38"/>
  <c r="AV99" i="38"/>
  <c r="B120" i="53"/>
  <c r="L82" i="84" a="1"/>
  <c r="L82" i="84" s="1"/>
  <c r="G34" i="57"/>
  <c r="H34" i="57"/>
  <c r="J75" i="53"/>
  <c r="P61" i="53"/>
  <c r="T61" i="53" s="1"/>
  <c r="H52" i="87" l="1"/>
  <c r="F52" i="87"/>
  <c r="H52" i="88"/>
  <c r="F52" i="88"/>
  <c r="D44" i="89"/>
  <c r="D44" i="88"/>
  <c r="D44" i="87"/>
  <c r="D44" i="86"/>
  <c r="D44" i="85"/>
  <c r="H52" i="89"/>
  <c r="F52" i="89"/>
  <c r="H52" i="85"/>
  <c r="F52" i="85"/>
  <c r="H52" i="86"/>
  <c r="F52" i="86"/>
  <c r="B127" i="53"/>
  <c r="L127" i="53" s="1"/>
  <c r="T127" i="53" s="1"/>
  <c r="V127" i="53" s="1"/>
  <c r="B51" i="29"/>
  <c r="F115" i="1" s="1"/>
  <c r="L118" i="1"/>
  <c r="T118" i="1" s="1"/>
  <c r="V118" i="1" s="1"/>
  <c r="R61" i="82" s="1"/>
  <c r="L117" i="1"/>
  <c r="T117" i="1" s="1"/>
  <c r="V117" i="1" s="1"/>
  <c r="D49" i="36" s="1"/>
  <c r="CA46" i="38"/>
  <c r="L37" i="84"/>
  <c r="K165" i="84"/>
  <c r="K155" i="84"/>
  <c r="K177" i="84"/>
  <c r="K139" i="84"/>
  <c r="M2" i="84"/>
  <c r="L192" i="84" a="1"/>
  <c r="L192" i="84" s="1"/>
  <c r="L96" i="84" a="1"/>
  <c r="L96" i="84" s="1"/>
  <c r="L132" i="84" a="1"/>
  <c r="L132" i="84" s="1"/>
  <c r="L100" i="84" a="1"/>
  <c r="L100" i="84" s="1"/>
  <c r="L32" i="84"/>
  <c r="L134" i="84" a="1"/>
  <c r="L134" i="84" s="1"/>
  <c r="L185" i="84" a="1"/>
  <c r="L185" i="84" s="1"/>
  <c r="L164" i="84"/>
  <c r="L99" i="84" a="1"/>
  <c r="L99" i="84" s="1"/>
  <c r="L131" i="84" a="1"/>
  <c r="L131" i="84" s="1"/>
  <c r="L136" i="84" a="1"/>
  <c r="L136" i="84" s="1"/>
  <c r="L123" i="84" a="1"/>
  <c r="L123" i="84" s="1"/>
  <c r="L98" i="84" a="1"/>
  <c r="L98" i="84" s="1"/>
  <c r="L83" i="84" a="1"/>
  <c r="L83" i="84" s="1"/>
  <c r="L128" i="84" a="1"/>
  <c r="L128" i="84" s="1"/>
  <c r="L97" i="84" a="1"/>
  <c r="L97" i="84" s="1"/>
  <c r="L55" i="84"/>
  <c r="L101" i="84" a="1"/>
  <c r="L101" i="84" s="1"/>
  <c r="L81" i="84" a="1"/>
  <c r="L81" i="84" s="1"/>
  <c r="L108" i="84" a="1"/>
  <c r="L108" i="84" s="1"/>
  <c r="L39" i="84"/>
  <c r="L27" i="84"/>
  <c r="F10" i="83"/>
  <c r="F14" i="83" s="1"/>
  <c r="N68" i="82"/>
  <c r="L40" i="57"/>
  <c r="T12" i="84"/>
  <c r="U2" i="84"/>
  <c r="U6" i="84"/>
  <c r="U3" i="84" s="1" a="1"/>
  <c r="U3" i="84" s="1"/>
  <c r="U5" i="84"/>
  <c r="V4" i="84" s="1"/>
  <c r="V5" i="84" s="1"/>
  <c r="F52" i="70"/>
  <c r="H52" i="70"/>
  <c r="G8" i="38"/>
  <c r="G6" i="15"/>
  <c r="J6" i="8"/>
  <c r="I68" i="82"/>
  <c r="D44" i="68"/>
  <c r="H44" i="47"/>
  <c r="D44" i="62"/>
  <c r="D44" i="70"/>
  <c r="T44" i="60"/>
  <c r="F44" i="36"/>
  <c r="D44" i="61"/>
  <c r="H44" i="36"/>
  <c r="H52" i="62"/>
  <c r="F52" i="62"/>
  <c r="R54" i="82"/>
  <c r="M51" i="81"/>
  <c r="D42" i="36"/>
  <c r="BO49" i="38"/>
  <c r="L120" i="53"/>
  <c r="T120" i="53" s="1"/>
  <c r="V120" i="53" s="1"/>
  <c r="L137" i="84" a="1"/>
  <c r="L137" i="84" s="1"/>
  <c r="T123" i="1"/>
  <c r="V123" i="1" s="1"/>
  <c r="Y7" i="84"/>
  <c r="Y8" i="84"/>
  <c r="L107" i="53"/>
  <c r="T107" i="53" s="1"/>
  <c r="V107" i="53" s="1"/>
  <c r="L121" i="84" a="1"/>
  <c r="L121" i="84" s="1"/>
  <c r="F40" i="38"/>
  <c r="F21" i="38"/>
  <c r="L41" i="2"/>
  <c r="BP7" i="38"/>
  <c r="BS5" i="8"/>
  <c r="BD2" i="46"/>
  <c r="BE11" i="29"/>
  <c r="BE39" i="29" s="1"/>
  <c r="I72" i="81"/>
  <c r="F20" i="79"/>
  <c r="D19" i="79"/>
  <c r="BO79" i="38"/>
  <c r="BO39" i="38"/>
  <c r="F52" i="68"/>
  <c r="H52" i="68"/>
  <c r="BJ112" i="15"/>
  <c r="T23" i="82"/>
  <c r="T24" i="82" s="1"/>
  <c r="F246" i="79"/>
  <c r="D245" i="79"/>
  <c r="L14" i="2"/>
  <c r="L126" i="84" a="1"/>
  <c r="L126" i="84" s="1"/>
  <c r="R62" i="82"/>
  <c r="M59" i="81"/>
  <c r="N59" i="81" s="1"/>
  <c r="D53" i="36"/>
  <c r="R22" i="82"/>
  <c r="M60" i="81"/>
  <c r="N60" i="81" s="1"/>
  <c r="M22" i="81"/>
  <c r="R63" i="82"/>
  <c r="D56" i="36"/>
  <c r="O23" i="81"/>
  <c r="O24" i="81" s="1"/>
  <c r="L34" i="57"/>
  <c r="F52" i="61"/>
  <c r="H52" i="61"/>
  <c r="L38" i="2"/>
  <c r="J43" i="2"/>
  <c r="H44" i="86" l="1"/>
  <c r="F44" i="86"/>
  <c r="H44" i="87"/>
  <c r="F44" i="87"/>
  <c r="H44" i="88"/>
  <c r="F44" i="88"/>
  <c r="H44" i="89"/>
  <c r="F44" i="89"/>
  <c r="H44" i="85"/>
  <c r="F44" i="85"/>
  <c r="D56" i="88"/>
  <c r="H56" i="88" s="1"/>
  <c r="D56" i="89"/>
  <c r="D42" i="88"/>
  <c r="H42" i="88" s="1"/>
  <c r="D42" i="89"/>
  <c r="D49" i="88"/>
  <c r="H49" i="88" s="1"/>
  <c r="D49" i="89"/>
  <c r="D53" i="88"/>
  <c r="F53" i="88" s="1"/>
  <c r="D53" i="89"/>
  <c r="F112" i="53"/>
  <c r="L115" i="1"/>
  <c r="D56" i="87"/>
  <c r="H56" i="87" s="1"/>
  <c r="D42" i="87"/>
  <c r="H42" i="87" s="1"/>
  <c r="D53" i="87"/>
  <c r="F53" i="87" s="1"/>
  <c r="D49" i="68"/>
  <c r="F49" i="68" s="1"/>
  <c r="D49" i="85"/>
  <c r="H49" i="85" s="1"/>
  <c r="D49" i="87"/>
  <c r="D49" i="61"/>
  <c r="H49" i="61" s="1"/>
  <c r="H49" i="36"/>
  <c r="H49" i="47"/>
  <c r="F49" i="36"/>
  <c r="L114" i="53"/>
  <c r="T114" i="53" s="1"/>
  <c r="V114" i="53" s="1"/>
  <c r="M58" i="81"/>
  <c r="N58" i="81" s="1"/>
  <c r="L115" i="53"/>
  <c r="T115" i="53" s="1"/>
  <c r="V115" i="53" s="1"/>
  <c r="D50" i="36"/>
  <c r="D49" i="70"/>
  <c r="F49" i="70" s="1"/>
  <c r="D49" i="62"/>
  <c r="F49" i="62" s="1"/>
  <c r="M57" i="81"/>
  <c r="N57" i="81" s="1"/>
  <c r="R60" i="82"/>
  <c r="D49" i="86"/>
  <c r="F49" i="86" s="1"/>
  <c r="T49" i="60"/>
  <c r="CB46" i="38"/>
  <c r="D55" i="36"/>
  <c r="D42" i="85"/>
  <c r="H42" i="85" s="1"/>
  <c r="D42" i="86"/>
  <c r="D56" i="85"/>
  <c r="F56" i="85" s="1"/>
  <c r="D56" i="86"/>
  <c r="D53" i="85"/>
  <c r="F53" i="85" s="1"/>
  <c r="D53" i="86"/>
  <c r="N2" i="84"/>
  <c r="M123" i="84" a="1"/>
  <c r="M123" i="84" s="1"/>
  <c r="M136" i="84" a="1"/>
  <c r="M136" i="84" s="1"/>
  <c r="M128" i="84" a="1"/>
  <c r="M128" i="84" s="1"/>
  <c r="M192" i="84" a="1"/>
  <c r="M192" i="84" s="1"/>
  <c r="M39" i="84"/>
  <c r="M99" i="84" a="1"/>
  <c r="M99" i="84" s="1"/>
  <c r="M38" i="84"/>
  <c r="M131" i="84" a="1"/>
  <c r="M131" i="84" s="1"/>
  <c r="M134" i="84" a="1"/>
  <c r="M134" i="84" s="1"/>
  <c r="M132" i="84" a="1"/>
  <c r="M132" i="84" s="1"/>
  <c r="M100" i="84" a="1"/>
  <c r="M100" i="84" s="1"/>
  <c r="M27" i="84"/>
  <c r="M96" i="84" a="1"/>
  <c r="M96" i="84" s="1"/>
  <c r="M32" i="84"/>
  <c r="M55" i="84"/>
  <c r="M37" i="84"/>
  <c r="M53" i="84"/>
  <c r="V6" i="84"/>
  <c r="V3" i="84" s="1" a="1"/>
  <c r="V3" i="84" s="1"/>
  <c r="V10" i="84" s="1"/>
  <c r="V2" i="84"/>
  <c r="U10" i="84"/>
  <c r="U9" i="84"/>
  <c r="U11" i="84"/>
  <c r="D246" i="79"/>
  <c r="F247" i="79"/>
  <c r="BQ7" i="38"/>
  <c r="BT5" i="8"/>
  <c r="BE2" i="46"/>
  <c r="BF11" i="29"/>
  <c r="BF39" i="29" s="1"/>
  <c r="F44" i="61"/>
  <c r="H44" i="61"/>
  <c r="BP39" i="38"/>
  <c r="BP79" i="38"/>
  <c r="H42" i="47"/>
  <c r="T42" i="60"/>
  <c r="D42" i="68"/>
  <c r="D42" i="62"/>
  <c r="F42" i="36"/>
  <c r="D42" i="61"/>
  <c r="H42" i="36"/>
  <c r="D42" i="70"/>
  <c r="P23" i="81"/>
  <c r="W4" i="84"/>
  <c r="N51" i="81"/>
  <c r="F44" i="70"/>
  <c r="H44" i="70"/>
  <c r="F21" i="79"/>
  <c r="D20" i="79"/>
  <c r="F44" i="62"/>
  <c r="H44" i="62"/>
  <c r="BP49" i="38"/>
  <c r="U23" i="82"/>
  <c r="Z8" i="84"/>
  <c r="Z7" i="84"/>
  <c r="F44" i="68"/>
  <c r="H44" i="68"/>
  <c r="H8" i="38"/>
  <c r="H6" i="15"/>
  <c r="K6" i="8"/>
  <c r="T56" i="60"/>
  <c r="H56" i="47"/>
  <c r="D56" i="68"/>
  <c r="D56" i="61"/>
  <c r="H56" i="36"/>
  <c r="D56" i="70"/>
  <c r="D56" i="62"/>
  <c r="F56" i="36"/>
  <c r="D53" i="68"/>
  <c r="D53" i="62"/>
  <c r="H53" i="47"/>
  <c r="D53" i="70"/>
  <c r="T53" i="60"/>
  <c r="F53" i="36"/>
  <c r="D53" i="61"/>
  <c r="H53" i="36"/>
  <c r="G21" i="38"/>
  <c r="G40" i="38"/>
  <c r="M129" i="84" a="1"/>
  <c r="M130" i="84" a="1"/>
  <c r="M98" i="84" a="1"/>
  <c r="M126" i="84" a="1"/>
  <c r="M97" i="84" a="1"/>
  <c r="M82" i="84" a="1"/>
  <c r="M101" i="84" a="1"/>
  <c r="M115" i="84" a="1"/>
  <c r="M83" i="84" a="1"/>
  <c r="M81" i="84" a="1"/>
  <c r="M138" i="84" a="1"/>
  <c r="M137" i="84" a="1"/>
  <c r="M135" i="84" a="1"/>
  <c r="M95" i="84" a="1"/>
  <c r="M121" i="84" a="1"/>
  <c r="M106" i="84" a="1"/>
  <c r="M108" i="84" a="1"/>
  <c r="M108" i="84" l="1"/>
  <c r="M106" i="84"/>
  <c r="M121" i="84"/>
  <c r="M95" i="84"/>
  <c r="M135" i="84"/>
  <c r="M137" i="84"/>
  <c r="M138" i="84"/>
  <c r="M81" i="84"/>
  <c r="M83" i="84"/>
  <c r="M115" i="84"/>
  <c r="M101" i="84"/>
  <c r="M82" i="84"/>
  <c r="M97" i="84"/>
  <c r="M126" i="84"/>
  <c r="M98" i="84"/>
  <c r="M130" i="84"/>
  <c r="M129" i="84"/>
  <c r="F56" i="88"/>
  <c r="F49" i="88"/>
  <c r="F42" i="88"/>
  <c r="F49" i="89"/>
  <c r="H49" i="89"/>
  <c r="D50" i="88"/>
  <c r="H50" i="88" s="1"/>
  <c r="D50" i="89"/>
  <c r="F53" i="89"/>
  <c r="H53" i="89"/>
  <c r="H42" i="89"/>
  <c r="F42" i="89"/>
  <c r="H53" i="88"/>
  <c r="H56" i="89"/>
  <c r="F56" i="89"/>
  <c r="D55" i="88"/>
  <c r="F55" i="88" s="1"/>
  <c r="D55" i="89"/>
  <c r="T115" i="1"/>
  <c r="V115" i="1" s="1"/>
  <c r="L112" i="53"/>
  <c r="T112" i="53" s="1"/>
  <c r="V112" i="53" s="1"/>
  <c r="F56" i="87"/>
  <c r="F42" i="87"/>
  <c r="H49" i="68"/>
  <c r="H53" i="87"/>
  <c r="F49" i="61"/>
  <c r="H49" i="87"/>
  <c r="F49" i="87"/>
  <c r="F49" i="85"/>
  <c r="D55" i="68"/>
  <c r="H55" i="68" s="1"/>
  <c r="D55" i="87"/>
  <c r="D50" i="62"/>
  <c r="F50" i="62" s="1"/>
  <c r="D50" i="87"/>
  <c r="T50" i="60"/>
  <c r="H49" i="70"/>
  <c r="H50" i="36"/>
  <c r="D50" i="86"/>
  <c r="H50" i="86" s="1"/>
  <c r="H50" i="47"/>
  <c r="H49" i="62"/>
  <c r="F50" i="36"/>
  <c r="D50" i="68"/>
  <c r="F50" i="68" s="1"/>
  <c r="D50" i="61"/>
  <c r="H50" i="61" s="1"/>
  <c r="D50" i="70"/>
  <c r="F50" i="70" s="1"/>
  <c r="D50" i="85"/>
  <c r="H50" i="85" s="1"/>
  <c r="H49" i="86"/>
  <c r="CC46" i="38"/>
  <c r="D55" i="85"/>
  <c r="H55" i="85" s="1"/>
  <c r="H55" i="36"/>
  <c r="F55" i="36"/>
  <c r="D55" i="61"/>
  <c r="H55" i="61" s="1"/>
  <c r="T55" i="60"/>
  <c r="D55" i="70"/>
  <c r="H55" i="70" s="1"/>
  <c r="D55" i="86"/>
  <c r="H55" i="86" s="1"/>
  <c r="D55" i="62"/>
  <c r="H55" i="62" s="1"/>
  <c r="H55" i="47"/>
  <c r="F42" i="85"/>
  <c r="H56" i="85"/>
  <c r="F53" i="86"/>
  <c r="H53" i="86"/>
  <c r="H56" i="86"/>
  <c r="F56" i="86"/>
  <c r="H53" i="85"/>
  <c r="H42" i="86"/>
  <c r="F42" i="86"/>
  <c r="O2" i="84"/>
  <c r="N151" i="84" a="1"/>
  <c r="N151" i="84" s="1"/>
  <c r="N173" i="84" a="1"/>
  <c r="N173" i="84" s="1"/>
  <c r="N182" i="84" a="1"/>
  <c r="N182" i="84" s="1"/>
  <c r="N129" i="84" a="1"/>
  <c r="N129" i="84" s="1"/>
  <c r="N108" i="84" a="1"/>
  <c r="N108" i="84" s="1"/>
  <c r="N78" i="84" a="1"/>
  <c r="N78" i="84" s="1"/>
  <c r="N68" i="84" a="1"/>
  <c r="N68" i="84" s="1"/>
  <c r="N122" i="84" a="1"/>
  <c r="N122" i="84" s="1"/>
  <c r="N107" i="84" a="1"/>
  <c r="N107" i="84" s="1"/>
  <c r="N93" i="84" a="1"/>
  <c r="N93" i="84" s="1"/>
  <c r="N95" i="84" a="1"/>
  <c r="N95" i="84" s="1"/>
  <c r="N176" i="84" a="1"/>
  <c r="N176" i="84" s="1"/>
  <c r="N130" i="84" a="1"/>
  <c r="N130" i="84" s="1"/>
  <c r="N171" i="84" a="1"/>
  <c r="N171" i="84" s="1"/>
  <c r="N180" i="84" a="1"/>
  <c r="N180" i="84" s="1"/>
  <c r="N172" i="84" a="1"/>
  <c r="N172" i="84" s="1"/>
  <c r="N152" i="84" a="1"/>
  <c r="N152" i="84" s="1"/>
  <c r="N47" i="84"/>
  <c r="N150" i="84" a="1"/>
  <c r="N150" i="84" s="1"/>
  <c r="N164" i="84"/>
  <c r="N170" i="84"/>
  <c r="N124" i="84" a="1"/>
  <c r="N124" i="84" s="1"/>
  <c r="N27" i="84"/>
  <c r="N142" i="84"/>
  <c r="N143" i="84" s="1"/>
  <c r="N92" i="84"/>
  <c r="N65" i="84" a="1"/>
  <c r="N65" i="84" s="1"/>
  <c r="N174" i="84" a="1"/>
  <c r="N174" i="84" s="1"/>
  <c r="N64" i="84" a="1"/>
  <c r="N64" i="84" s="1"/>
  <c r="N26" i="84"/>
  <c r="N69" i="84" a="1"/>
  <c r="N69" i="84" s="1"/>
  <c r="N181" i="84" a="1"/>
  <c r="N181" i="84" s="1"/>
  <c r="N105" i="84"/>
  <c r="N135" i="84" a="1"/>
  <c r="N135" i="84" s="1"/>
  <c r="N120" i="84" a="1"/>
  <c r="N120" i="84" s="1"/>
  <c r="N138" i="84" a="1"/>
  <c r="N138" i="84" s="1"/>
  <c r="N66" i="84" a="1"/>
  <c r="N66" i="84" s="1"/>
  <c r="N185" i="84" a="1"/>
  <c r="N185" i="84" s="1"/>
  <c r="N60" i="84" a="1"/>
  <c r="N60" i="84" s="1"/>
  <c r="N133" i="84" a="1"/>
  <c r="N133" i="84" s="1"/>
  <c r="N106" i="84" a="1"/>
  <c r="N106" i="84" s="1"/>
  <c r="N162" i="84"/>
  <c r="N113" i="84" a="1"/>
  <c r="N113" i="84" s="1"/>
  <c r="N192" i="84" a="1"/>
  <c r="N192" i="84" s="1"/>
  <c r="N163" i="84"/>
  <c r="N128" i="84" a="1"/>
  <c r="N128" i="84" s="1"/>
  <c r="N80" i="84" a="1"/>
  <c r="N80" i="84" s="1"/>
  <c r="N62" i="84" a="1"/>
  <c r="N62" i="84" s="1"/>
  <c r="N184" i="84" a="1"/>
  <c r="N184" i="84" s="1"/>
  <c r="N96" i="84" a="1"/>
  <c r="N96" i="84" s="1"/>
  <c r="N115" i="84" a="1"/>
  <c r="N115" i="84" s="1"/>
  <c r="N100" i="84" a="1"/>
  <c r="N100" i="84" s="1"/>
  <c r="N70" i="84" a="1"/>
  <c r="N70" i="84" s="1"/>
  <c r="N59" i="84"/>
  <c r="N112" i="84"/>
  <c r="N114" i="84" a="1"/>
  <c r="N114" i="84" s="1"/>
  <c r="N37" i="84"/>
  <c r="N32" i="84"/>
  <c r="N63" i="84" a="1"/>
  <c r="N63" i="84" s="1"/>
  <c r="N101" i="84" a="1"/>
  <c r="N101" i="84" s="1"/>
  <c r="N149" i="84" a="1"/>
  <c r="N149" i="84" s="1"/>
  <c r="N161" i="84"/>
  <c r="N183" i="84" a="1"/>
  <c r="N183" i="84" s="1"/>
  <c r="N136" i="84" a="1"/>
  <c r="N136" i="84" s="1"/>
  <c r="N175" i="84" a="1"/>
  <c r="N175" i="84" s="1"/>
  <c r="N191" i="84" a="1"/>
  <c r="N191" i="84" s="1"/>
  <c r="N127" i="84" a="1"/>
  <c r="N127" i="84" s="1"/>
  <c r="N94" i="84" a="1"/>
  <c r="N94" i="84" s="1"/>
  <c r="N99" i="84" a="1"/>
  <c r="N99" i="84" s="1"/>
  <c r="N48" i="84"/>
  <c r="N67" i="84" a="1"/>
  <c r="N67" i="84" s="1"/>
  <c r="N36" i="84"/>
  <c r="N55" i="84"/>
  <c r="N31" i="84"/>
  <c r="N190" i="84" a="1"/>
  <c r="N190" i="84" s="1"/>
  <c r="N153" i="84" a="1"/>
  <c r="N153" i="84" s="1"/>
  <c r="N131" i="84" a="1"/>
  <c r="N131" i="84" s="1"/>
  <c r="N137" i="84" a="1"/>
  <c r="N137" i="84" s="1"/>
  <c r="N81" i="84" a="1"/>
  <c r="N81" i="84" s="1"/>
  <c r="N43" i="84"/>
  <c r="N44" i="84" s="1"/>
  <c r="N123" i="84" a="1"/>
  <c r="N123" i="84" s="1"/>
  <c r="N79" i="84" a="1"/>
  <c r="N79" i="84" s="1"/>
  <c r="N52" i="84"/>
  <c r="N125" i="84" a="1"/>
  <c r="N125" i="84" s="1"/>
  <c r="N126" i="84" a="1"/>
  <c r="N126" i="84" s="1"/>
  <c r="N119" i="84"/>
  <c r="N121" i="84" a="1"/>
  <c r="N121" i="84" s="1"/>
  <c r="N97" i="84" a="1"/>
  <c r="N97" i="84" s="1"/>
  <c r="N88" i="84" a="1"/>
  <c r="N88" i="84" s="1"/>
  <c r="N61" i="84" a="1"/>
  <c r="N61" i="84" s="1"/>
  <c r="N98" i="84" a="1"/>
  <c r="N98" i="84" s="1"/>
  <c r="N189" i="84" a="1"/>
  <c r="N189" i="84" s="1"/>
  <c r="N87" i="84"/>
  <c r="N82" i="84" a="1"/>
  <c r="N82" i="84" s="1"/>
  <c r="N39" i="84"/>
  <c r="N132" i="84" a="1"/>
  <c r="N132" i="84" s="1"/>
  <c r="N38" i="84"/>
  <c r="N25" i="84"/>
  <c r="N77" i="84"/>
  <c r="N134" i="84" a="1"/>
  <c r="N134" i="84" s="1"/>
  <c r="N83" i="84" a="1"/>
  <c r="N83" i="84" s="1"/>
  <c r="N53" i="84"/>
  <c r="V11" i="84"/>
  <c r="V9" i="84"/>
  <c r="V12" i="84" s="1"/>
  <c r="U12" i="84"/>
  <c r="H21" i="38"/>
  <c r="H40" i="38"/>
  <c r="U28" i="82"/>
  <c r="U30" i="82" s="1"/>
  <c r="H42" i="61"/>
  <c r="F42" i="61"/>
  <c r="F53" i="70"/>
  <c r="H53" i="70"/>
  <c r="F56" i="61"/>
  <c r="H56" i="61"/>
  <c r="AA7" i="84"/>
  <c r="AA8" i="84"/>
  <c r="BR7" i="38"/>
  <c r="BU5" i="8"/>
  <c r="BF2" i="46"/>
  <c r="BG11" i="29"/>
  <c r="BG39" i="29" s="1"/>
  <c r="F56" i="68"/>
  <c r="H56" i="68"/>
  <c r="BQ49" i="38"/>
  <c r="F22" i="79"/>
  <c r="D21" i="79"/>
  <c r="W2" i="84"/>
  <c r="W5" i="84"/>
  <c r="W6" i="84"/>
  <c r="W3" i="84" s="1" a="1"/>
  <c r="W3" i="84" s="1"/>
  <c r="F42" i="62"/>
  <c r="H42" i="62"/>
  <c r="BQ39" i="38"/>
  <c r="BQ79" i="38"/>
  <c r="F53" i="62"/>
  <c r="H53" i="62"/>
  <c r="F42" i="68"/>
  <c r="H42" i="68"/>
  <c r="F53" i="68"/>
  <c r="H53" i="68"/>
  <c r="F53" i="61"/>
  <c r="H53" i="61"/>
  <c r="H56" i="62"/>
  <c r="F56" i="62"/>
  <c r="F42" i="70"/>
  <c r="H42" i="70"/>
  <c r="F248" i="79"/>
  <c r="D247" i="79"/>
  <c r="F56" i="70"/>
  <c r="H56" i="70"/>
  <c r="I8" i="38"/>
  <c r="I6" i="15"/>
  <c r="L6" i="8"/>
  <c r="H55" i="88" l="1"/>
  <c r="F50" i="88"/>
  <c r="H50" i="89"/>
  <c r="F50" i="89"/>
  <c r="H55" i="89"/>
  <c r="F55" i="89"/>
  <c r="N33" i="84"/>
  <c r="R58" i="82"/>
  <c r="M55" i="81"/>
  <c r="N55" i="81" s="1"/>
  <c r="D47" i="36"/>
  <c r="F55" i="68"/>
  <c r="H50" i="62"/>
  <c r="H55" i="87"/>
  <c r="F55" i="87"/>
  <c r="H50" i="87"/>
  <c r="F50" i="87"/>
  <c r="F50" i="86"/>
  <c r="H50" i="70"/>
  <c r="F50" i="61"/>
  <c r="H50" i="68"/>
  <c r="F50" i="85"/>
  <c r="CD46" i="38"/>
  <c r="F55" i="85"/>
  <c r="F55" i="61"/>
  <c r="F55" i="70"/>
  <c r="F55" i="62"/>
  <c r="F55" i="86"/>
  <c r="N165" i="84"/>
  <c r="N84" i="84"/>
  <c r="N109" i="84"/>
  <c r="N40" i="84"/>
  <c r="P2" i="84"/>
  <c r="O153" i="84" a="1"/>
  <c r="O153" i="84" s="1"/>
  <c r="O161" i="84"/>
  <c r="O151" i="84" a="1"/>
  <c r="O151" i="84" s="1"/>
  <c r="O78" i="84" a="1"/>
  <c r="O78" i="84" s="1"/>
  <c r="O52" i="84"/>
  <c r="O191" i="84" a="1"/>
  <c r="O191" i="84" s="1"/>
  <c r="O82" i="84" a="1"/>
  <c r="O82" i="84" s="1"/>
  <c r="O114" i="84" a="1"/>
  <c r="O114" i="84" s="1"/>
  <c r="O171" i="84" a="1"/>
  <c r="O171" i="84" s="1"/>
  <c r="O192" i="84" a="1"/>
  <c r="O192" i="84" s="1"/>
  <c r="O149" i="84" a="1"/>
  <c r="O149" i="84" s="1"/>
  <c r="O95" i="84" a="1"/>
  <c r="O95" i="84" s="1"/>
  <c r="O43" i="84"/>
  <c r="O44" i="84" s="1"/>
  <c r="O112" i="84"/>
  <c r="O79" i="84" a="1"/>
  <c r="O79" i="84" s="1"/>
  <c r="O150" i="84" a="1"/>
  <c r="O150" i="84" s="1"/>
  <c r="O120" i="84" a="1"/>
  <c r="O120" i="84" s="1"/>
  <c r="O170" i="84"/>
  <c r="O125" i="84" a="1"/>
  <c r="O125" i="84" s="1"/>
  <c r="O189" i="84" a="1"/>
  <c r="O189" i="84" s="1"/>
  <c r="O92" i="84"/>
  <c r="O173" i="84" a="1"/>
  <c r="O173" i="84" s="1"/>
  <c r="O59" i="84"/>
  <c r="O164" i="84"/>
  <c r="O129" i="84" a="1"/>
  <c r="O129" i="84" s="1"/>
  <c r="O119" i="84"/>
  <c r="O101" i="84" a="1"/>
  <c r="O101" i="84" s="1"/>
  <c r="O127" i="84" a="1"/>
  <c r="O127" i="84" s="1"/>
  <c r="O185" i="84" a="1"/>
  <c r="O185" i="84" s="1"/>
  <c r="O174" i="84" a="1"/>
  <c r="O174" i="84" s="1"/>
  <c r="O184" i="84" a="1"/>
  <c r="O184" i="84" s="1"/>
  <c r="O137" i="84" a="1"/>
  <c r="O137" i="84" s="1"/>
  <c r="O183" i="84" a="1"/>
  <c r="O183" i="84" s="1"/>
  <c r="O176" i="84" a="1"/>
  <c r="O176" i="84" s="1"/>
  <c r="O180" i="84" a="1"/>
  <c r="O180" i="84" s="1"/>
  <c r="O122" i="84" a="1"/>
  <c r="O122" i="84" s="1"/>
  <c r="O99" i="84" a="1"/>
  <c r="O99" i="84" s="1"/>
  <c r="O172" i="84" a="1"/>
  <c r="O172" i="84" s="1"/>
  <c r="O136" i="84" a="1"/>
  <c r="O136" i="84" s="1"/>
  <c r="O182" i="84" a="1"/>
  <c r="O182" i="84" s="1"/>
  <c r="O123" i="84" a="1"/>
  <c r="O123" i="84" s="1"/>
  <c r="O181" i="84" a="1"/>
  <c r="O181" i="84" s="1"/>
  <c r="O128" i="84" a="1"/>
  <c r="O128" i="84" s="1"/>
  <c r="O190" i="84" a="1"/>
  <c r="O190" i="84" s="1"/>
  <c r="O107" i="84" a="1"/>
  <c r="O107" i="84" s="1"/>
  <c r="O132" i="84" a="1"/>
  <c r="O132" i="84" s="1"/>
  <c r="O97" i="84" a="1"/>
  <c r="O97" i="84" s="1"/>
  <c r="O142" i="84"/>
  <c r="O143" i="84" s="1"/>
  <c r="O93" i="84" a="1"/>
  <c r="O93" i="84" s="1"/>
  <c r="O38" i="84"/>
  <c r="O96" i="84" a="1"/>
  <c r="O96" i="84" s="1"/>
  <c r="O81" i="84" a="1"/>
  <c r="O81" i="84" s="1"/>
  <c r="O98" i="84" a="1"/>
  <c r="O98" i="84" s="1"/>
  <c r="O83" i="84" a="1"/>
  <c r="O83" i="84" s="1"/>
  <c r="O67" i="84" a="1"/>
  <c r="O67" i="84" s="1"/>
  <c r="O63" i="84" a="1"/>
  <c r="O63" i="84" s="1"/>
  <c r="O48" i="84"/>
  <c r="O27" i="84"/>
  <c r="O135" i="84" a="1"/>
  <c r="O135" i="84" s="1"/>
  <c r="O121" i="84" a="1"/>
  <c r="O121" i="84" s="1"/>
  <c r="O163" i="84"/>
  <c r="O152" i="84" a="1"/>
  <c r="O152" i="84" s="1"/>
  <c r="O130" i="84" a="1"/>
  <c r="O130" i="84" s="1"/>
  <c r="O162" i="84"/>
  <c r="O88" i="84" a="1"/>
  <c r="O88" i="84" s="1"/>
  <c r="O108" i="84" a="1"/>
  <c r="O108" i="84" s="1"/>
  <c r="O94" i="84" a="1"/>
  <c r="O94" i="84" s="1"/>
  <c r="O37" i="84"/>
  <c r="O53" i="84"/>
  <c r="O70" i="84" a="1"/>
  <c r="O70" i="84" s="1"/>
  <c r="O66" i="84" a="1"/>
  <c r="O66" i="84" s="1"/>
  <c r="O62" i="84" a="1"/>
  <c r="O62" i="84" s="1"/>
  <c r="O25" i="84"/>
  <c r="O32" i="84"/>
  <c r="O113" i="84" a="1"/>
  <c r="O113" i="84" s="1"/>
  <c r="O31" i="84"/>
  <c r="O105" i="84"/>
  <c r="O106" i="84" a="1"/>
  <c r="O106" i="84" s="1"/>
  <c r="O87" i="84"/>
  <c r="O80" i="84" a="1"/>
  <c r="O80" i="84" s="1"/>
  <c r="O115" i="84" a="1"/>
  <c r="O115" i="84" s="1"/>
  <c r="O175" i="84" a="1"/>
  <c r="O175" i="84" s="1"/>
  <c r="O131" i="84" a="1"/>
  <c r="O131" i="84" s="1"/>
  <c r="O55" i="84"/>
  <c r="O134" i="84" a="1"/>
  <c r="O134" i="84" s="1"/>
  <c r="O133" i="84" a="1"/>
  <c r="O133" i="84" s="1"/>
  <c r="O36" i="84"/>
  <c r="O65" i="84" a="1"/>
  <c r="O65" i="84" s="1"/>
  <c r="O60" i="84" a="1"/>
  <c r="O60" i="84" s="1"/>
  <c r="O39" i="84"/>
  <c r="O126" i="84" a="1"/>
  <c r="O126" i="84" s="1"/>
  <c r="O77" i="84"/>
  <c r="O124" i="84" a="1"/>
  <c r="O124" i="84" s="1"/>
  <c r="O100" i="84" a="1"/>
  <c r="O100" i="84" s="1"/>
  <c r="O69" i="84" a="1"/>
  <c r="O69" i="84" s="1"/>
  <c r="O64" i="84" a="1"/>
  <c r="O64" i="84" s="1"/>
  <c r="O26" i="84"/>
  <c r="O138" i="84" a="1"/>
  <c r="O138" i="84" s="1"/>
  <c r="O68" i="84" a="1"/>
  <c r="O68" i="84" s="1"/>
  <c r="O47" i="84"/>
  <c r="O61" i="84" a="1"/>
  <c r="O61" i="84" s="1"/>
  <c r="N116" i="84"/>
  <c r="N177" i="84"/>
  <c r="N139" i="84"/>
  <c r="N71" i="84"/>
  <c r="N89" i="84"/>
  <c r="N155" i="84"/>
  <c r="N56" i="84"/>
  <c r="N49" i="84"/>
  <c r="N28" i="84"/>
  <c r="N102" i="84"/>
  <c r="N186" i="84"/>
  <c r="BR49" i="38"/>
  <c r="BS7" i="38"/>
  <c r="BV5" i="8"/>
  <c r="BH11" i="29"/>
  <c r="BH39" i="29" s="1"/>
  <c r="BG2" i="46"/>
  <c r="J8" i="38"/>
  <c r="J6" i="15"/>
  <c r="M6" i="8"/>
  <c r="BR39" i="38"/>
  <c r="BR79" i="38"/>
  <c r="I21" i="38"/>
  <c r="I40" i="38"/>
  <c r="D248" i="79"/>
  <c r="F249" i="79"/>
  <c r="F23" i="79"/>
  <c r="D22" i="79"/>
  <c r="W11" i="84"/>
  <c r="W9" i="84"/>
  <c r="W10" i="84"/>
  <c r="X4" i="84"/>
  <c r="AB8" i="84"/>
  <c r="AB7" i="84"/>
  <c r="D47" i="88" l="1"/>
  <c r="H47" i="88" s="1"/>
  <c r="D47" i="89"/>
  <c r="H47" i="47"/>
  <c r="D47" i="70"/>
  <c r="D47" i="87"/>
  <c r="D47" i="62"/>
  <c r="D47" i="61"/>
  <c r="T47" i="60"/>
  <c r="D47" i="68"/>
  <c r="F47" i="36"/>
  <c r="D47" i="85"/>
  <c r="H47" i="36"/>
  <c r="D47" i="86"/>
  <c r="CE46" i="38"/>
  <c r="O33" i="84"/>
  <c r="O177" i="84"/>
  <c r="O40" i="84"/>
  <c r="O109" i="84"/>
  <c r="O102" i="84"/>
  <c r="O56" i="84"/>
  <c r="O49" i="84"/>
  <c r="O84" i="84"/>
  <c r="O155" i="84"/>
  <c r="O139" i="84"/>
  <c r="O165" i="84"/>
  <c r="O186" i="84"/>
  <c r="O28" i="84"/>
  <c r="O89" i="84"/>
  <c r="O71" i="84"/>
  <c r="Q2" i="84"/>
  <c r="P161" i="84"/>
  <c r="P162" i="84"/>
  <c r="P107" i="84" a="1"/>
  <c r="P107" i="84" s="1"/>
  <c r="P81" i="84" a="1"/>
  <c r="P81" i="84" s="1"/>
  <c r="P53" i="84"/>
  <c r="P138" i="84" a="1"/>
  <c r="P138" i="84" s="1"/>
  <c r="P150" i="84" a="1"/>
  <c r="P150" i="84" s="1"/>
  <c r="P123" i="84" a="1"/>
  <c r="P123" i="84" s="1"/>
  <c r="P132" i="84" a="1"/>
  <c r="P132" i="84" s="1"/>
  <c r="P176" i="84" a="1"/>
  <c r="P176" i="84" s="1"/>
  <c r="P38" i="84"/>
  <c r="P60" i="84" a="1"/>
  <c r="P60" i="84" s="1"/>
  <c r="P67" i="84" a="1"/>
  <c r="P67" i="84" s="1"/>
  <c r="P151" i="84" a="1"/>
  <c r="P151" i="84" s="1"/>
  <c r="P126" i="84" a="1"/>
  <c r="P126" i="84" s="1"/>
  <c r="P136" i="84" a="1"/>
  <c r="P136" i="84" s="1"/>
  <c r="P171" i="84" a="1"/>
  <c r="P171" i="84" s="1"/>
  <c r="P131" i="84" a="1"/>
  <c r="P131" i="84" s="1"/>
  <c r="P122" i="84" a="1"/>
  <c r="P122" i="84" s="1"/>
  <c r="P172" i="84" a="1"/>
  <c r="P172" i="84" s="1"/>
  <c r="P96" i="84" a="1"/>
  <c r="P96" i="84" s="1"/>
  <c r="P185" i="84" a="1"/>
  <c r="P185" i="84" s="1"/>
  <c r="P88" i="84" a="1"/>
  <c r="P88" i="84" s="1"/>
  <c r="P94" i="84" a="1"/>
  <c r="P94" i="84" s="1"/>
  <c r="P130" i="84" a="1"/>
  <c r="P130" i="84" s="1"/>
  <c r="P100" i="84" a="1"/>
  <c r="P100" i="84" s="1"/>
  <c r="P120" i="84" a="1"/>
  <c r="P120" i="84" s="1"/>
  <c r="P105" i="84"/>
  <c r="P114" i="84" a="1"/>
  <c r="P114" i="84" s="1"/>
  <c r="P52" i="84"/>
  <c r="P119" i="84"/>
  <c r="P101" i="84" a="1"/>
  <c r="P101" i="84" s="1"/>
  <c r="P182" i="84" a="1"/>
  <c r="P182" i="84" s="1"/>
  <c r="P152" i="84" a="1"/>
  <c r="P152" i="84" s="1"/>
  <c r="P129" i="84" a="1"/>
  <c r="P129" i="84" s="1"/>
  <c r="P80" i="84" a="1"/>
  <c r="P80" i="84" s="1"/>
  <c r="P175" i="84" a="1"/>
  <c r="P175" i="84" s="1"/>
  <c r="P192" i="84" a="1"/>
  <c r="P192" i="84" s="1"/>
  <c r="P163" i="84"/>
  <c r="P115" i="84" a="1"/>
  <c r="P115" i="84" s="1"/>
  <c r="P181" i="84" a="1"/>
  <c r="P181" i="84" s="1"/>
  <c r="P134" i="84" a="1"/>
  <c r="P134" i="84" s="1"/>
  <c r="P61" i="84" a="1"/>
  <c r="P61" i="84" s="1"/>
  <c r="P98" i="84" a="1"/>
  <c r="P98" i="84" s="1"/>
  <c r="P59" i="84"/>
  <c r="P170" i="84"/>
  <c r="P77" i="84"/>
  <c r="P173" i="84" a="1"/>
  <c r="P173" i="84" s="1"/>
  <c r="P108" i="84" a="1"/>
  <c r="P108" i="84" s="1"/>
  <c r="P191" i="84" a="1"/>
  <c r="P191" i="84" s="1"/>
  <c r="P128" i="84" a="1"/>
  <c r="P128" i="84" s="1"/>
  <c r="P133" i="84" a="1"/>
  <c r="P133" i="84" s="1"/>
  <c r="P124" i="84" a="1"/>
  <c r="P124" i="84" s="1"/>
  <c r="P99" i="84" a="1"/>
  <c r="P99" i="84" s="1"/>
  <c r="P149" i="84" a="1"/>
  <c r="P149" i="84" s="1"/>
  <c r="P66" i="84" a="1"/>
  <c r="P66" i="84" s="1"/>
  <c r="P97" i="84" a="1"/>
  <c r="P97" i="84" s="1"/>
  <c r="P82" i="84" a="1"/>
  <c r="P82" i="84" s="1"/>
  <c r="P174" i="84" a="1"/>
  <c r="P174" i="84" s="1"/>
  <c r="P135" i="84" a="1"/>
  <c r="P135" i="84" s="1"/>
  <c r="P39" i="84"/>
  <c r="P127" i="84" a="1"/>
  <c r="P127" i="84" s="1"/>
  <c r="P37" i="84"/>
  <c r="P87" i="84"/>
  <c r="P78" i="84" a="1"/>
  <c r="P78" i="84" s="1"/>
  <c r="P125" i="84" a="1"/>
  <c r="P125" i="84" s="1"/>
  <c r="P64" i="84" a="1"/>
  <c r="P64" i="84" s="1"/>
  <c r="P142" i="84"/>
  <c r="P143" i="84" s="1"/>
  <c r="P137" i="84" a="1"/>
  <c r="P137" i="84" s="1"/>
  <c r="P189" i="84" a="1"/>
  <c r="P189" i="84" s="1"/>
  <c r="P113" i="84" a="1"/>
  <c r="P113" i="84" s="1"/>
  <c r="P65" i="84" a="1"/>
  <c r="P65" i="84" s="1"/>
  <c r="P79" i="84" a="1"/>
  <c r="P79" i="84" s="1"/>
  <c r="P31" i="84"/>
  <c r="P26" i="84"/>
  <c r="P183" i="84" a="1"/>
  <c r="P183" i="84" s="1"/>
  <c r="P190" i="84" a="1"/>
  <c r="P190" i="84" s="1"/>
  <c r="P93" i="84" a="1"/>
  <c r="P93" i="84" s="1"/>
  <c r="P63" i="84" a="1"/>
  <c r="P63" i="84" s="1"/>
  <c r="P164" i="84"/>
  <c r="P106" i="84" a="1"/>
  <c r="P106" i="84" s="1"/>
  <c r="P184" i="84" a="1"/>
  <c r="P184" i="84" s="1"/>
  <c r="P112" i="84"/>
  <c r="P92" i="84"/>
  <c r="P36" i="84"/>
  <c r="P27" i="84"/>
  <c r="P180" i="84" a="1"/>
  <c r="P180" i="84" s="1"/>
  <c r="P68" i="84" a="1"/>
  <c r="P68" i="84" s="1"/>
  <c r="P62" i="84" a="1"/>
  <c r="P62" i="84" s="1"/>
  <c r="P25" i="84"/>
  <c r="P121" i="84" a="1"/>
  <c r="P121" i="84" s="1"/>
  <c r="P69" i="84" a="1"/>
  <c r="P69" i="84" s="1"/>
  <c r="P43" i="84"/>
  <c r="P44" i="84" s="1"/>
  <c r="P32" i="84"/>
  <c r="P83" i="84" a="1"/>
  <c r="P83" i="84" s="1"/>
  <c r="P153" i="84" a="1"/>
  <c r="P153" i="84" s="1"/>
  <c r="P95" i="84" a="1"/>
  <c r="P95" i="84" s="1"/>
  <c r="P55" i="84"/>
  <c r="P70" i="84" a="1"/>
  <c r="P70" i="84" s="1"/>
  <c r="P48" i="84"/>
  <c r="P47" i="84"/>
  <c r="O116" i="84"/>
  <c r="W12" i="84"/>
  <c r="F24" i="79"/>
  <c r="D23" i="79"/>
  <c r="F250" i="79"/>
  <c r="D249" i="79"/>
  <c r="BT7" i="38"/>
  <c r="BT5" i="15"/>
  <c r="BW5" i="8"/>
  <c r="BI11" i="29"/>
  <c r="BI39" i="29" s="1"/>
  <c r="BH2" i="46"/>
  <c r="BS79" i="38"/>
  <c r="BS39" i="38"/>
  <c r="AC8" i="84"/>
  <c r="AC7" i="84"/>
  <c r="X5" i="84"/>
  <c r="X2" i="84"/>
  <c r="X6" i="84"/>
  <c r="X3" i="84" s="1" a="1"/>
  <c r="X3" i="84" s="1"/>
  <c r="K6" i="15"/>
  <c r="K8" i="38"/>
  <c r="N6" i="8"/>
  <c r="J21" i="38"/>
  <c r="J40" i="38"/>
  <c r="BS49" i="38"/>
  <c r="F47" i="88" l="1"/>
  <c r="H47" i="89"/>
  <c r="F47" i="89"/>
  <c r="H47" i="68"/>
  <c r="F47" i="68"/>
  <c r="F47" i="61"/>
  <c r="H47" i="61"/>
  <c r="F47" i="62"/>
  <c r="H47" i="62"/>
  <c r="H47" i="86"/>
  <c r="F47" i="86"/>
  <c r="F47" i="87"/>
  <c r="H47" i="87"/>
  <c r="H47" i="70"/>
  <c r="F47" i="70"/>
  <c r="H47" i="85"/>
  <c r="F47" i="85"/>
  <c r="CF46" i="38"/>
  <c r="P56" i="84"/>
  <c r="P139" i="84"/>
  <c r="P155" i="84"/>
  <c r="P177" i="84"/>
  <c r="P102" i="84"/>
  <c r="P116" i="84"/>
  <c r="P84" i="84"/>
  <c r="P109" i="84"/>
  <c r="P28" i="84"/>
  <c r="P33" i="84"/>
  <c r="P165" i="84"/>
  <c r="P89" i="84"/>
  <c r="P186" i="84"/>
  <c r="Q43" i="84"/>
  <c r="Q44" i="84" s="1"/>
  <c r="Q135" i="84" a="1"/>
  <c r="Q135" i="84" s="1"/>
  <c r="Q184" i="84" a="1"/>
  <c r="Q184" i="84" s="1"/>
  <c r="Q172" i="84" a="1"/>
  <c r="Q172" i="84" s="1"/>
  <c r="Q97" i="84" a="1"/>
  <c r="Q97" i="84" s="1"/>
  <c r="Q55" i="84"/>
  <c r="Q114" i="84" a="1"/>
  <c r="Q114" i="84" s="1"/>
  <c r="Q82" i="84" a="1"/>
  <c r="Q82" i="84" s="1"/>
  <c r="Q108" i="84" a="1"/>
  <c r="Q108" i="84" s="1"/>
  <c r="Q191" i="84" a="1"/>
  <c r="Q191" i="84" s="1"/>
  <c r="Q127" i="84" a="1"/>
  <c r="Q127" i="84" s="1"/>
  <c r="Q122" i="84" a="1"/>
  <c r="Q122" i="84" s="1"/>
  <c r="Q107" i="84" a="1"/>
  <c r="Q107" i="84" s="1"/>
  <c r="Q94" i="84" a="1"/>
  <c r="Q94" i="84" s="1"/>
  <c r="Q106" i="84" a="1"/>
  <c r="Q106" i="84" s="1"/>
  <c r="Q62" i="84" a="1"/>
  <c r="Q62" i="84" s="1"/>
  <c r="Q136" i="84" a="1"/>
  <c r="Q136" i="84" s="1"/>
  <c r="Q170" i="84"/>
  <c r="Q138" i="84" a="1"/>
  <c r="Q138" i="84" s="1"/>
  <c r="Q131" i="84" a="1"/>
  <c r="Q131" i="84" s="1"/>
  <c r="Q176" i="84" a="1"/>
  <c r="Q176" i="84" s="1"/>
  <c r="Q164" i="84"/>
  <c r="Q36" i="84"/>
  <c r="Q182" i="84" a="1"/>
  <c r="Q182" i="84" s="1"/>
  <c r="Q70" i="84" a="1"/>
  <c r="Q70" i="84" s="1"/>
  <c r="Q69" i="84" a="1"/>
  <c r="Q69" i="84" s="1"/>
  <c r="Q99" i="84" a="1"/>
  <c r="Q99" i="84" s="1"/>
  <c r="Q59" i="84"/>
  <c r="Q137" i="84" a="1"/>
  <c r="Q137" i="84" s="1"/>
  <c r="Q153" i="84" a="1"/>
  <c r="Q153" i="84" s="1"/>
  <c r="Q174" i="84" a="1"/>
  <c r="Q174" i="84" s="1"/>
  <c r="Q132" i="84" a="1"/>
  <c r="Q132" i="84" s="1"/>
  <c r="Q142" i="84"/>
  <c r="Q143" i="84" s="1"/>
  <c r="Q180" i="84" a="1"/>
  <c r="Q180" i="84" s="1"/>
  <c r="Q129" i="84" a="1"/>
  <c r="Q129" i="84" s="1"/>
  <c r="Q101" i="84" a="1"/>
  <c r="Q101" i="84" s="1"/>
  <c r="Q150" i="84" a="1"/>
  <c r="Q150" i="84" s="1"/>
  <c r="Q77" i="84"/>
  <c r="Q80" i="84" a="1"/>
  <c r="Q80" i="84" s="1"/>
  <c r="Q60" i="84" a="1"/>
  <c r="Q60" i="84" s="1"/>
  <c r="Q183" i="84" a="1"/>
  <c r="Q183" i="84" s="1"/>
  <c r="Q189" i="84" a="1"/>
  <c r="Q189" i="84" s="1"/>
  <c r="Q161" i="84"/>
  <c r="Q130" i="84" a="1"/>
  <c r="Q130" i="84" s="1"/>
  <c r="Q64" i="84" a="1"/>
  <c r="Q64" i="84" s="1"/>
  <c r="Q112" i="84"/>
  <c r="Q52" i="84"/>
  <c r="Q88" i="84" a="1"/>
  <c r="Q88" i="84" s="1"/>
  <c r="Q53" i="84"/>
  <c r="Q79" i="84" a="1"/>
  <c r="Q79" i="84" s="1"/>
  <c r="Q126" i="84" a="1"/>
  <c r="Q126" i="84" s="1"/>
  <c r="Q39" i="84"/>
  <c r="Q87" i="84"/>
  <c r="Q25" i="84"/>
  <c r="Q119" i="84"/>
  <c r="Q149" i="84" a="1"/>
  <c r="Q149" i="84" s="1"/>
  <c r="Q125" i="84" a="1"/>
  <c r="Q125" i="84" s="1"/>
  <c r="Q190" i="84" a="1"/>
  <c r="Q190" i="84" s="1"/>
  <c r="Q171" i="84" a="1"/>
  <c r="Q171" i="84" s="1"/>
  <c r="Q38" i="84"/>
  <c r="Q68" i="84" a="1"/>
  <c r="Q68" i="84" s="1"/>
  <c r="Q93" i="84" a="1"/>
  <c r="Q93" i="84" s="1"/>
  <c r="Q113" i="84" a="1"/>
  <c r="Q113" i="84" s="1"/>
  <c r="Q37" i="84"/>
  <c r="Q181" i="84" a="1"/>
  <c r="Q181" i="84" s="1"/>
  <c r="Q175" i="84" a="1"/>
  <c r="Q175" i="84" s="1"/>
  <c r="Q95" i="84" a="1"/>
  <c r="Q95" i="84" s="1"/>
  <c r="Q162" i="84"/>
  <c r="Q78" i="84" a="1"/>
  <c r="Q78" i="84" s="1"/>
  <c r="Q151" i="84" a="1"/>
  <c r="Q151" i="84" s="1"/>
  <c r="Q63" i="84" a="1"/>
  <c r="Q63" i="84" s="1"/>
  <c r="Q133" i="84" a="1"/>
  <c r="Q133" i="84" s="1"/>
  <c r="Q124" i="84" a="1"/>
  <c r="Q124" i="84" s="1"/>
  <c r="Q31" i="84"/>
  <c r="Q192" i="84" a="1"/>
  <c r="Q192" i="84" s="1"/>
  <c r="Q128" i="84" a="1"/>
  <c r="Q128" i="84" s="1"/>
  <c r="Q123" i="84" a="1"/>
  <c r="Q123" i="84" s="1"/>
  <c r="Q96" i="84" a="1"/>
  <c r="Q96" i="84" s="1"/>
  <c r="Q61" i="84" a="1"/>
  <c r="Q61" i="84" s="1"/>
  <c r="Q115" i="84" a="1"/>
  <c r="Q115" i="84" s="1"/>
  <c r="Q173" i="84" a="1"/>
  <c r="Q173" i="84" s="1"/>
  <c r="Q92" i="84"/>
  <c r="Q66" i="84" a="1"/>
  <c r="Q66" i="84" s="1"/>
  <c r="Q32" i="84"/>
  <c r="Q152" i="84" a="1"/>
  <c r="Q152" i="84" s="1"/>
  <c r="Q83" i="84" a="1"/>
  <c r="Q83" i="84" s="1"/>
  <c r="Q120" i="84" a="1"/>
  <c r="Q120" i="84" s="1"/>
  <c r="Q27" i="84"/>
  <c r="Q26" i="84"/>
  <c r="Q134" i="84" a="1"/>
  <c r="Q134" i="84" s="1"/>
  <c r="Q47" i="84"/>
  <c r="Q81" i="84" a="1"/>
  <c r="Q81" i="84" s="1"/>
  <c r="Q100" i="84" a="1"/>
  <c r="Q100" i="84" s="1"/>
  <c r="Q67" i="84" a="1"/>
  <c r="Q67" i="84" s="1"/>
  <c r="Q48" i="84"/>
  <c r="Q163" i="84"/>
  <c r="Q98" i="84" a="1"/>
  <c r="Q98" i="84" s="1"/>
  <c r="Q105" i="84"/>
  <c r="Q185" i="84" a="1"/>
  <c r="Q185" i="84" s="1"/>
  <c r="Q121" i="84" a="1"/>
  <c r="Q121" i="84" s="1"/>
  <c r="Q65" i="84" a="1"/>
  <c r="Q65" i="84" s="1"/>
  <c r="P49" i="84"/>
  <c r="P40" i="84"/>
  <c r="P71" i="84"/>
  <c r="L8" i="38"/>
  <c r="L6" i="15"/>
  <c r="O6" i="8"/>
  <c r="BT49" i="38"/>
  <c r="D24" i="79"/>
  <c r="F25" i="79"/>
  <c r="AD7" i="84"/>
  <c r="AD8" i="84"/>
  <c r="Y4" i="84"/>
  <c r="X10" i="84"/>
  <c r="X9" i="84"/>
  <c r="X11" i="84"/>
  <c r="BU7" i="38"/>
  <c r="BX5" i="8"/>
  <c r="BU5" i="15"/>
  <c r="BJ11" i="29"/>
  <c r="BJ39" i="29" s="1"/>
  <c r="BI2" i="46"/>
  <c r="K21" i="38"/>
  <c r="K40" i="38"/>
  <c r="BT39" i="38"/>
  <c r="BT79" i="38"/>
  <c r="D250" i="79"/>
  <c r="F251" i="79"/>
  <c r="CG46" i="38" l="1"/>
  <c r="Q49" i="84"/>
  <c r="Q155" i="84"/>
  <c r="Q28" i="84"/>
  <c r="Q116" i="84"/>
  <c r="Q84" i="84"/>
  <c r="Q71" i="84"/>
  <c r="Q89" i="84"/>
  <c r="Q177" i="84"/>
  <c r="Q165" i="84"/>
  <c r="Q109" i="84"/>
  <c r="Q102" i="84"/>
  <c r="Q33" i="84"/>
  <c r="Q186" i="84"/>
  <c r="Q139" i="84"/>
  <c r="Q56" i="84"/>
  <c r="Q40" i="84"/>
  <c r="AE7" i="84"/>
  <c r="AE8" i="84"/>
  <c r="BU49" i="38"/>
  <c r="Y2" i="84"/>
  <c r="Y5" i="84"/>
  <c r="Y6" i="84"/>
  <c r="Y3" i="84" s="1" a="1"/>
  <c r="Y3" i="84" s="1"/>
  <c r="BV5" i="15"/>
  <c r="BV7" i="38"/>
  <c r="BY5" i="8"/>
  <c r="BK11" i="29"/>
  <c r="BK39" i="29" s="1"/>
  <c r="BJ2" i="46"/>
  <c r="F26" i="79"/>
  <c r="D25" i="79"/>
  <c r="F252" i="79"/>
  <c r="D251" i="79"/>
  <c r="BU39" i="38"/>
  <c r="BU79" i="38"/>
  <c r="X12" i="84"/>
  <c r="M8" i="38"/>
  <c r="P6" i="8"/>
  <c r="M6" i="15"/>
  <c r="L21" i="38"/>
  <c r="L40" i="38"/>
  <c r="CH46" i="38" l="1"/>
  <c r="Y10" i="84"/>
  <c r="Y11" i="84"/>
  <c r="Y9" i="84"/>
  <c r="Z4" i="84"/>
  <c r="BV49" i="38"/>
  <c r="BW7" i="38"/>
  <c r="BZ5" i="8"/>
  <c r="BK2" i="46"/>
  <c r="BL11" i="29"/>
  <c r="BL39" i="29" s="1"/>
  <c r="D26" i="79"/>
  <c r="F27" i="79"/>
  <c r="AF7" i="84"/>
  <c r="AF8" i="84"/>
  <c r="BV39" i="38"/>
  <c r="BV79" i="38"/>
  <c r="N8" i="38"/>
  <c r="N6" i="15"/>
  <c r="Q6" i="8"/>
  <c r="M40" i="38"/>
  <c r="M21" i="38"/>
  <c r="F253" i="79"/>
  <c r="D252" i="79"/>
  <c r="CI46" i="38" l="1"/>
  <c r="BW79" i="38"/>
  <c r="BW39" i="38"/>
  <c r="AG8" i="84"/>
  <c r="AG7" i="84"/>
  <c r="Y12" i="84"/>
  <c r="F28" i="79"/>
  <c r="D27" i="79"/>
  <c r="N40" i="38"/>
  <c r="N21" i="38"/>
  <c r="F254" i="79"/>
  <c r="D253" i="79"/>
  <c r="E26" i="79"/>
  <c r="O8" i="38"/>
  <c r="O6" i="15"/>
  <c r="D12" i="29"/>
  <c r="D40" i="29" s="1"/>
  <c r="R6" i="8"/>
  <c r="Z6" i="84"/>
  <c r="Z3" i="84" s="1" a="1"/>
  <c r="Z3" i="84" s="1"/>
  <c r="Z5" i="84"/>
  <c r="AA4" i="84" s="1"/>
  <c r="Z2" i="84"/>
  <c r="AA5" i="84" l="1"/>
  <c r="AB4" i="84" s="1"/>
  <c r="AA2" i="84"/>
  <c r="AA6" i="84"/>
  <c r="AA3" i="84" s="1" a="1"/>
  <c r="AA3" i="84" s="1"/>
  <c r="O21" i="38"/>
  <c r="O40" i="38"/>
  <c r="F255" i="79"/>
  <c r="D254" i="79"/>
  <c r="T268" i="79"/>
  <c r="G254" i="79"/>
  <c r="E27" i="79"/>
  <c r="Z10" i="84"/>
  <c r="Z11" i="84"/>
  <c r="Z9" i="84"/>
  <c r="F29" i="79"/>
  <c r="D28" i="79"/>
  <c r="AH7" i="84"/>
  <c r="AH8" i="84"/>
  <c r="P8" i="38"/>
  <c r="P6" i="15"/>
  <c r="S6" i="8"/>
  <c r="E12" i="29"/>
  <c r="E40" i="29" s="1"/>
  <c r="E254" i="79" l="1"/>
  <c r="E28" i="79"/>
  <c r="F30" i="79"/>
  <c r="D29" i="79"/>
  <c r="D255" i="79"/>
  <c r="E255" i="79" s="1"/>
  <c r="F256" i="79"/>
  <c r="T269" i="79"/>
  <c r="G255" i="79"/>
  <c r="AA10" i="84"/>
  <c r="AA11" i="84"/>
  <c r="AA9" i="84"/>
  <c r="AI7" i="84"/>
  <c r="AI8" i="84"/>
  <c r="Q8" i="38"/>
  <c r="Q6" i="15"/>
  <c r="T6" i="8"/>
  <c r="F12" i="29"/>
  <c r="F40" i="29" s="1"/>
  <c r="Z12" i="84"/>
  <c r="P21" i="38"/>
  <c r="P40" i="38"/>
  <c r="P53" i="38"/>
  <c r="P62" i="38"/>
  <c r="AB5" i="84"/>
  <c r="AC4" i="84" s="1"/>
  <c r="AB6" i="84"/>
  <c r="AB3" i="84" s="1" a="1"/>
  <c r="AB3" i="84" s="1"/>
  <c r="AB2" i="84"/>
  <c r="AB9" i="84" l="1"/>
  <c r="AB10" i="84"/>
  <c r="AB11" i="84"/>
  <c r="Q62" i="38"/>
  <c r="Q21" i="38"/>
  <c r="Q40" i="38"/>
  <c r="Q53" i="38"/>
  <c r="F31" i="79"/>
  <c r="D30" i="79"/>
  <c r="R8" i="38"/>
  <c r="R6" i="15"/>
  <c r="U6" i="8"/>
  <c r="G12" i="29"/>
  <c r="G40" i="29" s="1"/>
  <c r="AJ8" i="84"/>
  <c r="AJ7" i="84"/>
  <c r="AA12" i="84"/>
  <c r="AC5" i="84"/>
  <c r="AD4" i="84" s="1"/>
  <c r="AC2" i="84"/>
  <c r="AC6" i="84"/>
  <c r="AC3" i="84" s="1" a="1"/>
  <c r="AC3" i="84" s="1"/>
  <c r="D256" i="79"/>
  <c r="T270" i="79"/>
  <c r="F257" i="79"/>
  <c r="G256" i="79"/>
  <c r="E29" i="79"/>
  <c r="E256" i="79" l="1"/>
  <c r="AB12" i="84"/>
  <c r="AK7" i="84"/>
  <c r="AK8" i="84"/>
  <c r="F32" i="79"/>
  <c r="D31" i="79"/>
  <c r="AC9" i="84"/>
  <c r="AC11" i="84"/>
  <c r="AC10" i="84"/>
  <c r="AD2" i="84"/>
  <c r="AD5" i="84"/>
  <c r="AE4" i="84" s="1"/>
  <c r="AD6" i="84"/>
  <c r="AD3" i="84" s="1" a="1"/>
  <c r="AD3" i="84" s="1"/>
  <c r="T271" i="79"/>
  <c r="D257" i="79"/>
  <c r="E257" i="79" s="1"/>
  <c r="F258" i="79"/>
  <c r="G257" i="79"/>
  <c r="S6" i="15"/>
  <c r="S8" i="38"/>
  <c r="V6" i="8"/>
  <c r="H12" i="29"/>
  <c r="H40" i="29" s="1"/>
  <c r="R53" i="38"/>
  <c r="R62" i="38"/>
  <c r="R21" i="38"/>
  <c r="R40" i="38"/>
  <c r="E30" i="79"/>
  <c r="S53" i="38" l="1"/>
  <c r="S62" i="38"/>
  <c r="S21" i="38"/>
  <c r="S40" i="38"/>
  <c r="AE2" i="84"/>
  <c r="AE6" i="84"/>
  <c r="AE3" i="84" s="1" a="1"/>
  <c r="AE3" i="84" s="1"/>
  <c r="AE5" i="84"/>
  <c r="AF4" i="84" s="1"/>
  <c r="AC12" i="84"/>
  <c r="T8" i="38"/>
  <c r="T6" i="15"/>
  <c r="W6" i="8"/>
  <c r="I12" i="29"/>
  <c r="I40" i="29" s="1"/>
  <c r="D32" i="79"/>
  <c r="F33" i="79"/>
  <c r="E31" i="79"/>
  <c r="T272" i="79"/>
  <c r="F259" i="79"/>
  <c r="D258" i="79"/>
  <c r="E258" i="79" s="1"/>
  <c r="G258" i="79"/>
  <c r="AL8" i="84"/>
  <c r="AL7" i="84"/>
  <c r="AD10" i="84"/>
  <c r="AD9" i="84"/>
  <c r="AD11" i="84"/>
  <c r="AM7" i="84" l="1"/>
  <c r="AM8" i="84"/>
  <c r="F260" i="79"/>
  <c r="D259" i="79"/>
  <c r="E259" i="79" s="1"/>
  <c r="T273" i="79"/>
  <c r="G259" i="79"/>
  <c r="E32" i="79"/>
  <c r="AF2" i="84"/>
  <c r="AF5" i="84"/>
  <c r="AG4" i="84" s="1"/>
  <c r="AF6" i="84"/>
  <c r="AF3" i="84" s="1" a="1"/>
  <c r="AF3" i="84" s="1"/>
  <c r="AD12" i="84"/>
  <c r="AE9" i="84"/>
  <c r="AE11" i="84"/>
  <c r="AE10" i="84"/>
  <c r="U8" i="38"/>
  <c r="X6" i="8"/>
  <c r="U6" i="15"/>
  <c r="J12" i="29"/>
  <c r="J40" i="29" s="1"/>
  <c r="T53" i="38"/>
  <c r="T62" i="38"/>
  <c r="T21" i="38"/>
  <c r="T40" i="38"/>
  <c r="F34" i="79"/>
  <c r="D33" i="79"/>
  <c r="AE12" i="84" l="1"/>
  <c r="E33" i="79"/>
  <c r="D34" i="79"/>
  <c r="F35" i="79"/>
  <c r="V8" i="38"/>
  <c r="Y6" i="8"/>
  <c r="V6" i="15"/>
  <c r="K12" i="29"/>
  <c r="K40" i="29" s="1"/>
  <c r="AF10" i="84"/>
  <c r="AF9" i="84"/>
  <c r="AF11" i="84"/>
  <c r="T274" i="79"/>
  <c r="F261" i="79"/>
  <c r="F262" i="79" s="1"/>
  <c r="D260" i="79"/>
  <c r="E260" i="79" s="1"/>
  <c r="G260" i="79"/>
  <c r="AG2" i="84"/>
  <c r="AG5" i="84"/>
  <c r="AH4" i="84" s="1"/>
  <c r="AG6" i="84"/>
  <c r="AG3" i="84" s="1" a="1"/>
  <c r="AG3" i="84" s="1"/>
  <c r="AN7" i="84"/>
  <c r="AN8" i="84"/>
  <c r="U40" i="38"/>
  <c r="U53" i="38"/>
  <c r="U62" i="38"/>
  <c r="U21" i="38"/>
  <c r="G262" i="79" l="1"/>
  <c r="F263" i="79"/>
  <c r="D262" i="79"/>
  <c r="AF12" i="84"/>
  <c r="AG9" i="84"/>
  <c r="AG11" i="84"/>
  <c r="AG10" i="84"/>
  <c r="AH6" i="84"/>
  <c r="AH3" i="84" s="1" a="1"/>
  <c r="AH3" i="84" s="1"/>
  <c r="AH5" i="84"/>
  <c r="AI4" i="84" s="1"/>
  <c r="AH2" i="84"/>
  <c r="W8" i="38"/>
  <c r="W6" i="15"/>
  <c r="Z6" i="8"/>
  <c r="L12" i="29"/>
  <c r="L40" i="29" s="1"/>
  <c r="D261" i="79"/>
  <c r="E261" i="79" s="1"/>
  <c r="T275" i="79"/>
  <c r="T276" i="79" s="1"/>
  <c r="T277" i="79" s="1"/>
  <c r="T278" i="79" s="1"/>
  <c r="T279" i="79" s="1"/>
  <c r="T280" i="79" s="1"/>
  <c r="H119" i="1" s="1"/>
  <c r="M107" i="84" s="1" a="1"/>
  <c r="M107" i="84" s="1"/>
  <c r="G261" i="79"/>
  <c r="V40" i="38"/>
  <c r="V53" i="38"/>
  <c r="V62" i="38"/>
  <c r="V21" i="38"/>
  <c r="AO7" i="84"/>
  <c r="AO8" i="84"/>
  <c r="F36" i="79"/>
  <c r="D35" i="79"/>
  <c r="E34" i="79"/>
  <c r="E262" i="79" l="1"/>
  <c r="G263" i="79"/>
  <c r="F264" i="79"/>
  <c r="D263" i="79"/>
  <c r="E263" i="79" s="1"/>
  <c r="AG12" i="84"/>
  <c r="E35" i="79"/>
  <c r="F37" i="79"/>
  <c r="D36" i="79"/>
  <c r="AP8" i="84"/>
  <c r="AP7" i="84"/>
  <c r="X8" i="38"/>
  <c r="AA6" i="8"/>
  <c r="X6" i="15"/>
  <c r="M12" i="29"/>
  <c r="M40" i="29" s="1"/>
  <c r="H116" i="53"/>
  <c r="L119" i="1"/>
  <c r="M133" i="84" s="1" a="1"/>
  <c r="M133" i="84" s="1"/>
  <c r="L107" i="84" a="1"/>
  <c r="L107" i="84" s="1"/>
  <c r="H126" i="1"/>
  <c r="W21" i="38"/>
  <c r="W40" i="38"/>
  <c r="W53" i="38"/>
  <c r="W62" i="38"/>
  <c r="AI5" i="84"/>
  <c r="AJ4" i="84" s="1"/>
  <c r="AI2" i="84"/>
  <c r="AI6" i="84"/>
  <c r="AI3" i="84" s="1" a="1"/>
  <c r="AI3" i="84" s="1"/>
  <c r="AH10" i="84"/>
  <c r="AH9" i="84"/>
  <c r="AH11" i="84"/>
  <c r="D264" i="79" l="1"/>
  <c r="E264" i="79" s="1"/>
  <c r="F265" i="79"/>
  <c r="G264" i="79"/>
  <c r="AH12" i="84"/>
  <c r="AJ5" i="84"/>
  <c r="AK4" i="84" s="1"/>
  <c r="AJ2" i="84"/>
  <c r="AJ6" i="84"/>
  <c r="AJ3" i="84" s="1" a="1"/>
  <c r="AJ3" i="84" s="1"/>
  <c r="L116" i="53"/>
  <c r="T116" i="53" s="1"/>
  <c r="V116" i="53" s="1"/>
  <c r="L133" i="84" a="1"/>
  <c r="L133" i="84" s="1"/>
  <c r="E36" i="79"/>
  <c r="H123" i="53"/>
  <c r="F38" i="79"/>
  <c r="D37" i="79"/>
  <c r="Y8" i="38"/>
  <c r="Y6" i="15"/>
  <c r="AB6" i="8"/>
  <c r="N12" i="29"/>
  <c r="N40" i="29" s="1"/>
  <c r="X21" i="38"/>
  <c r="X40" i="38"/>
  <c r="X53" i="38"/>
  <c r="X62" i="38"/>
  <c r="AI9" i="84"/>
  <c r="AI10" i="84"/>
  <c r="AI11" i="84"/>
  <c r="T119" i="1"/>
  <c r="AQ7" i="84"/>
  <c r="AQ8" i="84"/>
  <c r="D265" i="79" l="1"/>
  <c r="E265" i="79" s="1"/>
  <c r="F266" i="79"/>
  <c r="G265" i="79"/>
  <c r="E37" i="79"/>
  <c r="F39" i="79"/>
  <c r="D38" i="79"/>
  <c r="AR8" i="84"/>
  <c r="AR7" i="84"/>
  <c r="AI12" i="84"/>
  <c r="V119" i="1"/>
  <c r="Z8" i="38"/>
  <c r="Z6" i="15"/>
  <c r="AC6" i="8"/>
  <c r="O12" i="29"/>
  <c r="O40" i="29" s="1"/>
  <c r="AJ9" i="84"/>
  <c r="AJ10" i="84"/>
  <c r="AJ11" i="84"/>
  <c r="Y62" i="38"/>
  <c r="Y21" i="38"/>
  <c r="Y40" i="38"/>
  <c r="Y53" i="38"/>
  <c r="AK5" i="84"/>
  <c r="AL4" i="84" s="1"/>
  <c r="AK2" i="84"/>
  <c r="AK6" i="84"/>
  <c r="AK3" i="84" s="1" a="1"/>
  <c r="AK3" i="84" s="1"/>
  <c r="D266" i="79" l="1"/>
  <c r="E266" i="79" s="1"/>
  <c r="G266" i="79"/>
  <c r="Z53" i="38"/>
  <c r="Z62" i="38"/>
  <c r="Z21" i="38"/>
  <c r="Z40" i="38"/>
  <c r="AA6" i="15"/>
  <c r="AA8" i="38"/>
  <c r="P12" i="29"/>
  <c r="P40" i="29" s="1"/>
  <c r="AD6" i="8"/>
  <c r="AK10" i="84"/>
  <c r="AK11" i="84"/>
  <c r="AK9" i="84"/>
  <c r="AJ12" i="84"/>
  <c r="D51" i="36"/>
  <c r="E38" i="79"/>
  <c r="AS8" i="84"/>
  <c r="AS7" i="84"/>
  <c r="F40" i="79"/>
  <c r="D39" i="79"/>
  <c r="AL5" i="84"/>
  <c r="AM4" i="84" s="1"/>
  <c r="AL6" i="84"/>
  <c r="AL3" i="84" s="1" a="1"/>
  <c r="AL3" i="84" s="1"/>
  <c r="AL2" i="84"/>
  <c r="D51" i="89" l="1"/>
  <c r="D51" i="88"/>
  <c r="D51" i="87"/>
  <c r="D51" i="86"/>
  <c r="D51" i="85"/>
  <c r="AM2" i="84"/>
  <c r="AM6" i="84"/>
  <c r="AM3" i="84" s="1" a="1"/>
  <c r="AM3" i="84" s="1"/>
  <c r="AM5" i="84"/>
  <c r="AN4" i="84" s="1"/>
  <c r="AB8" i="38"/>
  <c r="AB6" i="15"/>
  <c r="AE6" i="8"/>
  <c r="Q12" i="29"/>
  <c r="Q40" i="29" s="1"/>
  <c r="E39" i="79"/>
  <c r="AL9" i="84"/>
  <c r="AL10" i="84"/>
  <c r="AL11" i="84"/>
  <c r="D40" i="79"/>
  <c r="F41" i="79"/>
  <c r="AK12" i="84"/>
  <c r="H51" i="47"/>
  <c r="T51" i="60"/>
  <c r="D51" i="68"/>
  <c r="F51" i="36"/>
  <c r="D51" i="61"/>
  <c r="H51" i="36"/>
  <c r="D51" i="62"/>
  <c r="D51" i="70"/>
  <c r="AT7" i="84"/>
  <c r="AT8" i="84"/>
  <c r="AA53" i="38"/>
  <c r="AA62" i="38"/>
  <c r="AA21" i="38"/>
  <c r="AA40" i="38"/>
  <c r="AA80" i="38"/>
  <c r="AA91" i="38" s="1"/>
  <c r="H51" i="87" l="1"/>
  <c r="F51" i="87"/>
  <c r="H51" i="88"/>
  <c r="F51" i="88"/>
  <c r="F51" i="89"/>
  <c r="H51" i="89"/>
  <c r="F77" i="1"/>
  <c r="L38" i="84"/>
  <c r="J72" i="1"/>
  <c r="F51" i="85"/>
  <c r="H51" i="85"/>
  <c r="F51" i="86"/>
  <c r="H51" i="86"/>
  <c r="F51" i="62"/>
  <c r="H51" i="62"/>
  <c r="F51" i="61"/>
  <c r="H51" i="61"/>
  <c r="AL12" i="84"/>
  <c r="AC8" i="38"/>
  <c r="AF6" i="8"/>
  <c r="AC6" i="15"/>
  <c r="R12" i="29"/>
  <c r="R40" i="29" s="1"/>
  <c r="F42" i="79"/>
  <c r="D41" i="79"/>
  <c r="AB53" i="38"/>
  <c r="AB62" i="38"/>
  <c r="AB21" i="38"/>
  <c r="AB40" i="38"/>
  <c r="AB80" i="38"/>
  <c r="AB91" i="38" s="1"/>
  <c r="AU8" i="84"/>
  <c r="AU7" i="84"/>
  <c r="H51" i="68"/>
  <c r="F51" i="68"/>
  <c r="AN2" i="84"/>
  <c r="AN6" i="84"/>
  <c r="AN3" i="84" s="1" a="1"/>
  <c r="AN3" i="84" s="1"/>
  <c r="AN5" i="84"/>
  <c r="AO4" i="84" s="1"/>
  <c r="AM10" i="84"/>
  <c r="AM11" i="84"/>
  <c r="AM9" i="84"/>
  <c r="F51" i="70"/>
  <c r="H51" i="70"/>
  <c r="E40" i="79"/>
  <c r="H36" i="2" l="1"/>
  <c r="K36" i="2"/>
  <c r="P72" i="1"/>
  <c r="T72" i="1" s="1"/>
  <c r="AD8" i="38"/>
  <c r="AG6" i="8"/>
  <c r="AD6" i="15"/>
  <c r="S12" i="29"/>
  <c r="S40" i="29" s="1"/>
  <c r="AO2" i="84"/>
  <c r="AO5" i="84"/>
  <c r="AP4" i="84" s="1"/>
  <c r="AO6" i="84"/>
  <c r="AO3" i="84" s="1" a="1"/>
  <c r="AO3" i="84" s="1"/>
  <c r="E41" i="79"/>
  <c r="AN9" i="84"/>
  <c r="AN10" i="84"/>
  <c r="AN11" i="84"/>
  <c r="AV7" i="84"/>
  <c r="AV8" i="84"/>
  <c r="D42" i="79"/>
  <c r="F43" i="79"/>
  <c r="AC40" i="38"/>
  <c r="AC53" i="38"/>
  <c r="AC62" i="38"/>
  <c r="AC21" i="38"/>
  <c r="AC80" i="38"/>
  <c r="AC91" i="38" s="1"/>
  <c r="AM12" i="84"/>
  <c r="L36" i="2" l="1"/>
  <c r="AO10" i="84"/>
  <c r="AO11" i="84"/>
  <c r="AO9" i="84"/>
  <c r="AP6" i="84"/>
  <c r="AP3" i="84" s="1" a="1"/>
  <c r="AP3" i="84" s="1"/>
  <c r="AP2" i="84"/>
  <c r="AP5" i="84"/>
  <c r="AQ4" i="84" s="1"/>
  <c r="AN12" i="84"/>
  <c r="AE8" i="38"/>
  <c r="AE6" i="15"/>
  <c r="AH6" i="8"/>
  <c r="T12" i="29"/>
  <c r="T40" i="29" s="1"/>
  <c r="F44" i="79"/>
  <c r="D43" i="79"/>
  <c r="AD40" i="38"/>
  <c r="AD80" i="38"/>
  <c r="AD91" i="38" s="1"/>
  <c r="AD53" i="38"/>
  <c r="AD62" i="38"/>
  <c r="AD21" i="38"/>
  <c r="E42" i="79"/>
  <c r="AW7" i="84"/>
  <c r="AW8" i="84"/>
  <c r="AF8" i="38" l="1"/>
  <c r="AI6" i="8"/>
  <c r="AF6" i="15"/>
  <c r="U12" i="29"/>
  <c r="U40" i="29" s="1"/>
  <c r="AE21" i="38"/>
  <c r="AE40" i="38"/>
  <c r="AE53" i="38"/>
  <c r="AE62" i="38"/>
  <c r="AE80" i="38"/>
  <c r="AE91" i="38" s="1"/>
  <c r="AQ5" i="84"/>
  <c r="AR4" i="84" s="1"/>
  <c r="AQ2" i="84"/>
  <c r="AQ6" i="84"/>
  <c r="AQ3" i="84" s="1" a="1"/>
  <c r="AQ3" i="84" s="1"/>
  <c r="AP9" i="84"/>
  <c r="AP10" i="84"/>
  <c r="AP11" i="84"/>
  <c r="AO12" i="84"/>
  <c r="AX7" i="84"/>
  <c r="AX8" i="84"/>
  <c r="E43" i="79"/>
  <c r="F45" i="79"/>
  <c r="D44" i="79"/>
  <c r="AP12" i="84" l="1"/>
  <c r="AY7" i="84"/>
  <c r="AY8" i="84"/>
  <c r="E44" i="79"/>
  <c r="AQ10" i="84"/>
  <c r="AQ9" i="84"/>
  <c r="AQ11" i="84"/>
  <c r="F46" i="79"/>
  <c r="D45" i="79"/>
  <c r="AG8" i="38"/>
  <c r="AJ6" i="8"/>
  <c r="AG6" i="15"/>
  <c r="V12" i="29"/>
  <c r="V40" i="29" s="1"/>
  <c r="AF21" i="38"/>
  <c r="AF40" i="38"/>
  <c r="AF53" i="38"/>
  <c r="AF62" i="38"/>
  <c r="AF80" i="38"/>
  <c r="AF91" i="38" s="1"/>
  <c r="AR5" i="84"/>
  <c r="AS4" i="84" s="1"/>
  <c r="AR2" i="84"/>
  <c r="AR6" i="84"/>
  <c r="AR3" i="84" s="1" a="1"/>
  <c r="AR3" i="84" s="1"/>
  <c r="AR9" i="84" l="1"/>
  <c r="AR10" i="84"/>
  <c r="AR11" i="84"/>
  <c r="AG62" i="38"/>
  <c r="AG21" i="38"/>
  <c r="AG40" i="38"/>
  <c r="AG53" i="38"/>
  <c r="AG80" i="38"/>
  <c r="AG91" i="38" s="1"/>
  <c r="AQ12" i="84"/>
  <c r="AS5" i="84"/>
  <c r="AT4" i="84" s="1"/>
  <c r="AS2" i="84"/>
  <c r="AS6" i="84"/>
  <c r="AS3" i="84" s="1" a="1"/>
  <c r="AS3" i="84" s="1"/>
  <c r="E45" i="79"/>
  <c r="AZ8" i="84"/>
  <c r="AZ7" i="84"/>
  <c r="F47" i="79"/>
  <c r="D46" i="79"/>
  <c r="AH8" i="38"/>
  <c r="AK6" i="8"/>
  <c r="AH6" i="15"/>
  <c r="W12" i="29"/>
  <c r="W40" i="29" s="1"/>
  <c r="AS11" i="84" l="1"/>
  <c r="AS9" i="84"/>
  <c r="AS10" i="84"/>
  <c r="AI6" i="15"/>
  <c r="AI8" i="38"/>
  <c r="X12" i="29"/>
  <c r="X40" i="29" s="1"/>
  <c r="AL6" i="8"/>
  <c r="AR12" i="84"/>
  <c r="AT5" i="84"/>
  <c r="AU4" i="84" s="1"/>
  <c r="AT2" i="84"/>
  <c r="AT6" i="84"/>
  <c r="AT3" i="84" s="1" a="1"/>
  <c r="AT3" i="84" s="1"/>
  <c r="AH53" i="38"/>
  <c r="AH62" i="38"/>
  <c r="AH21" i="38"/>
  <c r="AH40" i="38"/>
  <c r="AH80" i="38"/>
  <c r="AH91" i="38" s="1"/>
  <c r="E46" i="79"/>
  <c r="F48" i="79"/>
  <c r="D47" i="79"/>
  <c r="BA8" i="84"/>
  <c r="BA7" i="84"/>
  <c r="AI53" i="38" l="1"/>
  <c r="AI62" i="38"/>
  <c r="AI21" i="38"/>
  <c r="AI40" i="38"/>
  <c r="AI80" i="38"/>
  <c r="AI91" i="38" s="1"/>
  <c r="AJ8" i="38"/>
  <c r="AJ6" i="15"/>
  <c r="AM6" i="8"/>
  <c r="Y12" i="29"/>
  <c r="Y40" i="29" s="1"/>
  <c r="AT9" i="84"/>
  <c r="AT10" i="84"/>
  <c r="AT11" i="84"/>
  <c r="BB8" i="84"/>
  <c r="BB7" i="84"/>
  <c r="E47" i="79"/>
  <c r="D48" i="79"/>
  <c r="F49" i="79"/>
  <c r="AU5" i="84"/>
  <c r="AV4" i="84" s="1"/>
  <c r="AU2" i="84"/>
  <c r="AU6" i="84"/>
  <c r="AU3" i="84" s="1" a="1"/>
  <c r="AU3" i="84" s="1"/>
  <c r="AS12" i="84"/>
  <c r="AT12" i="84" l="1"/>
  <c r="F50" i="79"/>
  <c r="D49" i="79"/>
  <c r="BC7" i="84"/>
  <c r="BC8" i="84"/>
  <c r="AU9" i="84"/>
  <c r="AU11" i="84"/>
  <c r="AU10" i="84"/>
  <c r="AV2" i="84"/>
  <c r="AV5" i="84"/>
  <c r="AW4" i="84" s="1"/>
  <c r="AV6" i="84"/>
  <c r="AV3" i="84" s="1" a="1"/>
  <c r="AV3" i="84" s="1"/>
  <c r="E48" i="79"/>
  <c r="AK8" i="38"/>
  <c r="AN6" i="8"/>
  <c r="AK6" i="15"/>
  <c r="Z12" i="29"/>
  <c r="Z40" i="29" s="1"/>
  <c r="AJ53" i="38"/>
  <c r="AJ62" i="38"/>
  <c r="AJ21" i="38"/>
  <c r="AJ40" i="38"/>
  <c r="AJ80" i="38"/>
  <c r="AJ91" i="38" s="1"/>
  <c r="AK40" i="38" l="1"/>
  <c r="AK53" i="38"/>
  <c r="AK62" i="38"/>
  <c r="AK21" i="38"/>
  <c r="AK80" i="38"/>
  <c r="AK91" i="38" s="1"/>
  <c r="AU12" i="84"/>
  <c r="BD8" i="84"/>
  <c r="BD7" i="84"/>
  <c r="AV9" i="84"/>
  <c r="AV10" i="84"/>
  <c r="AV11" i="84"/>
  <c r="AW2" i="84"/>
  <c r="AW5" i="84"/>
  <c r="AX4" i="84" s="1"/>
  <c r="AW6" i="84"/>
  <c r="AW3" i="84" s="1" a="1"/>
  <c r="AW3" i="84" s="1"/>
  <c r="E49" i="79"/>
  <c r="AL8" i="38"/>
  <c r="AO6" i="8"/>
  <c r="AL6" i="15"/>
  <c r="AA12" i="29"/>
  <c r="AA40" i="29" s="1"/>
  <c r="D50" i="79"/>
  <c r="F51" i="79"/>
  <c r="AV12" i="84" l="1"/>
  <c r="E50" i="79"/>
  <c r="AW9" i="84"/>
  <c r="AW11" i="84"/>
  <c r="AW10" i="84"/>
  <c r="AX6" i="84"/>
  <c r="AX3" i="84" s="1" a="1"/>
  <c r="AX3" i="84" s="1"/>
  <c r="AX2" i="84"/>
  <c r="AX5" i="84"/>
  <c r="AY4" i="84" s="1"/>
  <c r="BE7" i="84"/>
  <c r="BE8" i="84"/>
  <c r="F52" i="79"/>
  <c r="D51" i="79"/>
  <c r="AM8" i="38"/>
  <c r="AM6" i="15"/>
  <c r="AP6" i="8"/>
  <c r="AB12" i="29"/>
  <c r="AB40" i="29" s="1"/>
  <c r="AL40" i="38"/>
  <c r="AL80" i="38"/>
  <c r="AL91" i="38" s="1"/>
  <c r="AL53" i="38"/>
  <c r="AL62" i="38"/>
  <c r="AL21" i="38"/>
  <c r="AW12" i="84" l="1"/>
  <c r="AY2" i="84"/>
  <c r="AY5" i="84"/>
  <c r="AZ4" i="84" s="1"/>
  <c r="AY6" i="84"/>
  <c r="AY3" i="84" s="1" a="1"/>
  <c r="AY3" i="84" s="1"/>
  <c r="AN8" i="38"/>
  <c r="AN6" i="15"/>
  <c r="AQ6" i="8"/>
  <c r="AC12" i="29"/>
  <c r="AC40" i="29" s="1"/>
  <c r="BF7" i="84"/>
  <c r="BF8" i="84"/>
  <c r="AX9" i="84"/>
  <c r="AX10" i="84"/>
  <c r="AX11" i="84"/>
  <c r="AM21" i="38"/>
  <c r="AM40" i="38"/>
  <c r="AM53" i="38"/>
  <c r="AM62" i="38"/>
  <c r="AM80" i="38"/>
  <c r="AM91" i="38" s="1"/>
  <c r="E51" i="79"/>
  <c r="F53" i="79"/>
  <c r="D52" i="79"/>
  <c r="E52" i="79" l="1"/>
  <c r="AX12" i="84"/>
  <c r="AY10" i="84"/>
  <c r="AY9" i="84"/>
  <c r="AY11" i="84"/>
  <c r="BG7" i="84"/>
  <c r="BG8" i="84"/>
  <c r="AZ5" i="84"/>
  <c r="BA4" i="84" s="1"/>
  <c r="AZ2" i="84"/>
  <c r="AZ6" i="84"/>
  <c r="AZ3" i="84" s="1" a="1"/>
  <c r="AZ3" i="84" s="1"/>
  <c r="F54" i="79"/>
  <c r="D53" i="79"/>
  <c r="AO8" i="38"/>
  <c r="AO6" i="15"/>
  <c r="AR6" i="8"/>
  <c r="AD12" i="29"/>
  <c r="AD40" i="29" s="1"/>
  <c r="AN21" i="38"/>
  <c r="AN40" i="38"/>
  <c r="AN53" i="38"/>
  <c r="AN62" i="38"/>
  <c r="AN80" i="38"/>
  <c r="AN91" i="38" s="1"/>
  <c r="AY12" i="84" l="1"/>
  <c r="AP8" i="38"/>
  <c r="AP6" i="15"/>
  <c r="AS6" i="8"/>
  <c r="AE12" i="29"/>
  <c r="AE40" i="29" s="1"/>
  <c r="AZ10" i="84"/>
  <c r="AZ9" i="84"/>
  <c r="AZ12" i="84" s="1"/>
  <c r="AZ11" i="84"/>
  <c r="AO62" i="38"/>
  <c r="AO21" i="38"/>
  <c r="AO40" i="38"/>
  <c r="AO53" i="38"/>
  <c r="AO80" i="38"/>
  <c r="AO91" i="38" s="1"/>
  <c r="E53" i="79"/>
  <c r="BA5" i="84"/>
  <c r="BB4" i="84" s="1"/>
  <c r="BA2" i="84"/>
  <c r="BA6" i="84"/>
  <c r="BA3" i="84" s="1" a="1"/>
  <c r="BA3" i="84" s="1"/>
  <c r="F55" i="79"/>
  <c r="D54" i="79"/>
  <c r="BH8" i="84"/>
  <c r="BH7" i="84"/>
  <c r="BI8" i="84" l="1"/>
  <c r="BI7" i="84"/>
  <c r="E54" i="79"/>
  <c r="AQ6" i="15"/>
  <c r="AQ8" i="38"/>
  <c r="AF12" i="29"/>
  <c r="AF40" i="29" s="1"/>
  <c r="AT6" i="8"/>
  <c r="F56" i="79"/>
  <c r="D55" i="79"/>
  <c r="AP53" i="38"/>
  <c r="AP62" i="38"/>
  <c r="AP21" i="38"/>
  <c r="AP40" i="38"/>
  <c r="AP80" i="38"/>
  <c r="AP91" i="38" s="1"/>
  <c r="BA11" i="84"/>
  <c r="BA10" i="84"/>
  <c r="BA9" i="84"/>
  <c r="BB5" i="84"/>
  <c r="BC4" i="84" s="1"/>
  <c r="BB2" i="84"/>
  <c r="BB6" i="84"/>
  <c r="BB3" i="84" s="1" a="1"/>
  <c r="BB3" i="84" s="1"/>
  <c r="BA12" i="84" l="1"/>
  <c r="BC5" i="84"/>
  <c r="BD4" i="84" s="1"/>
  <c r="BC2" i="84"/>
  <c r="BC6" i="84"/>
  <c r="BC3" i="84" s="1" a="1"/>
  <c r="BC3" i="84" s="1"/>
  <c r="E55" i="79"/>
  <c r="BJ7" i="84"/>
  <c r="BJ8" i="84"/>
  <c r="D56" i="79"/>
  <c r="F57" i="79"/>
  <c r="BB9" i="84"/>
  <c r="BB10" i="84"/>
  <c r="BB11" i="84"/>
  <c r="AQ53" i="38"/>
  <c r="AQ62" i="38"/>
  <c r="AQ21" i="38"/>
  <c r="AQ40" i="38"/>
  <c r="AQ80" i="38"/>
  <c r="AQ91" i="38" s="1"/>
  <c r="AR8" i="38"/>
  <c r="AR6" i="15"/>
  <c r="AU6" i="8"/>
  <c r="AG12" i="29"/>
  <c r="AG40" i="29" s="1"/>
  <c r="BK8" i="84" l="1"/>
  <c r="BK7" i="84"/>
  <c r="BB12" i="84"/>
  <c r="AS8" i="38"/>
  <c r="AV6" i="8"/>
  <c r="AS6" i="15"/>
  <c r="AH12" i="29"/>
  <c r="AH40" i="29" s="1"/>
  <c r="BC11" i="84"/>
  <c r="BC10" i="84"/>
  <c r="BC9" i="84"/>
  <c r="AR53" i="38"/>
  <c r="AR62" i="38"/>
  <c r="AR21" i="38"/>
  <c r="AR40" i="38"/>
  <c r="AR80" i="38"/>
  <c r="AR91" i="38" s="1"/>
  <c r="BD5" i="84"/>
  <c r="BE4" i="84" s="1"/>
  <c r="BD6" i="84"/>
  <c r="BD3" i="84" s="1" a="1"/>
  <c r="BD3" i="84" s="1"/>
  <c r="BD2" i="84"/>
  <c r="F58" i="79"/>
  <c r="D57" i="79"/>
  <c r="E56" i="79"/>
  <c r="BC12" i="84" l="1"/>
  <c r="E57" i="79"/>
  <c r="D58" i="79"/>
  <c r="F59" i="79"/>
  <c r="AT8" i="38"/>
  <c r="AT6" i="15"/>
  <c r="AW6" i="8"/>
  <c r="AI12" i="29"/>
  <c r="AI40" i="29" s="1"/>
  <c r="BD9" i="84"/>
  <c r="BD10" i="84"/>
  <c r="BD11" i="84"/>
  <c r="BE2" i="84"/>
  <c r="BE5" i="84"/>
  <c r="BF4" i="84" s="1"/>
  <c r="BE6" i="84"/>
  <c r="BE3" i="84" s="1" a="1"/>
  <c r="BE3" i="84" s="1"/>
  <c r="AS40" i="38"/>
  <c r="AS53" i="38"/>
  <c r="AS62" i="38"/>
  <c r="AS21" i="38"/>
  <c r="AS80" i="38"/>
  <c r="AS91" i="38" s="1"/>
  <c r="BL7" i="84"/>
  <c r="BL8" i="84"/>
  <c r="BM8" i="84" l="1"/>
  <c r="BM7" i="84"/>
  <c r="AT40" i="38"/>
  <c r="AT80" i="38"/>
  <c r="AT91" i="38" s="1"/>
  <c r="AT53" i="38"/>
  <c r="AT62" i="38"/>
  <c r="AT21" i="38"/>
  <c r="F60" i="79"/>
  <c r="D59" i="79"/>
  <c r="BE9" i="84"/>
  <c r="BE10" i="84"/>
  <c r="BE11" i="84"/>
  <c r="BD12" i="84"/>
  <c r="E58" i="79"/>
  <c r="BF6" i="84"/>
  <c r="BF3" i="84" s="1" a="1"/>
  <c r="BF3" i="84" s="1"/>
  <c r="BF2" i="84"/>
  <c r="BF5" i="84"/>
  <c r="BG4" i="84" s="1"/>
  <c r="AU8" i="38"/>
  <c r="AU6" i="15"/>
  <c r="AJ12" i="29"/>
  <c r="AJ40" i="29" s="1"/>
  <c r="AX6" i="8"/>
  <c r="E59" i="79" l="1"/>
  <c r="AV8" i="38"/>
  <c r="AV6" i="15"/>
  <c r="AY6" i="8"/>
  <c r="AK12" i="29"/>
  <c r="AK40" i="29" s="1"/>
  <c r="BF9" i="84"/>
  <c r="BF10" i="84"/>
  <c r="BF11" i="84"/>
  <c r="F61" i="79"/>
  <c r="D60" i="79"/>
  <c r="AU21" i="38"/>
  <c r="AU40" i="38"/>
  <c r="AU53" i="38"/>
  <c r="AU62" i="38"/>
  <c r="AU80" i="38"/>
  <c r="AU91" i="38" s="1"/>
  <c r="BE12" i="84"/>
  <c r="BN7" i="84"/>
  <c r="BN8" i="84"/>
  <c r="BG2" i="84"/>
  <c r="BG6" i="84"/>
  <c r="BG3" i="84" s="1" a="1"/>
  <c r="BG3" i="84" s="1"/>
  <c r="BG5" i="84"/>
  <c r="BH4" i="84" s="1"/>
  <c r="BF12" i="84" l="1"/>
  <c r="BO7" i="84"/>
  <c r="BO8" i="84"/>
  <c r="AW8" i="38"/>
  <c r="AW6" i="15"/>
  <c r="AZ6" i="8"/>
  <c r="AL12" i="29"/>
  <c r="AL40" i="29" s="1"/>
  <c r="AV21" i="38"/>
  <c r="AV40" i="38"/>
  <c r="AV53" i="38"/>
  <c r="AV62" i="38"/>
  <c r="AV80" i="38"/>
  <c r="AV91" i="38" s="1"/>
  <c r="BG9" i="84"/>
  <c r="BG10" i="84"/>
  <c r="BG11" i="84"/>
  <c r="BH2" i="84"/>
  <c r="BH6" i="84"/>
  <c r="BH3" i="84" s="1" a="1"/>
  <c r="BH3" i="84" s="1"/>
  <c r="BH5" i="84"/>
  <c r="BI4" i="84" s="1"/>
  <c r="E60" i="79"/>
  <c r="F62" i="79"/>
  <c r="D61" i="79"/>
  <c r="BI5" i="84" l="1"/>
  <c r="BJ4" i="84" s="1"/>
  <c r="BI2" i="84"/>
  <c r="BI6" i="84"/>
  <c r="BI3" i="84" s="1" a="1"/>
  <c r="BI3" i="84" s="1"/>
  <c r="F63" i="79"/>
  <c r="D62" i="79"/>
  <c r="BH9" i="84"/>
  <c r="BH11" i="84"/>
  <c r="BH10" i="84"/>
  <c r="BG12" i="84"/>
  <c r="AW62" i="38"/>
  <c r="AW21" i="38"/>
  <c r="AW40" i="38"/>
  <c r="AW53" i="38"/>
  <c r="AW80" i="38"/>
  <c r="AW91" i="38" s="1"/>
  <c r="E61" i="79"/>
  <c r="BP8" i="84"/>
  <c r="BP7" i="84"/>
  <c r="AX8" i="38"/>
  <c r="AX6" i="15"/>
  <c r="BA6" i="8"/>
  <c r="AM12" i="29"/>
  <c r="AM40" i="29" s="1"/>
  <c r="BH12" i="84" l="1"/>
  <c r="BQ7" i="84"/>
  <c r="BQ8" i="84"/>
  <c r="E62" i="79"/>
  <c r="F64" i="79"/>
  <c r="D63" i="79"/>
  <c r="BI11" i="84"/>
  <c r="BI9" i="84"/>
  <c r="BI10" i="84"/>
  <c r="AY6" i="15"/>
  <c r="AY8" i="38"/>
  <c r="BB6" i="8"/>
  <c r="AN12" i="29"/>
  <c r="AN40" i="29" s="1"/>
  <c r="AX53" i="38"/>
  <c r="AX62" i="38"/>
  <c r="AX21" i="38"/>
  <c r="AX40" i="38"/>
  <c r="AX80" i="38"/>
  <c r="AX91" i="38" s="1"/>
  <c r="BJ5" i="84"/>
  <c r="BK4" i="84" s="1"/>
  <c r="BJ2" i="84"/>
  <c r="BJ6" i="84"/>
  <c r="BJ3" i="84" s="1" a="1"/>
  <c r="BJ3" i="84" s="1"/>
  <c r="BI12" i="84" l="1"/>
  <c r="D64" i="79"/>
  <c r="F65" i="79"/>
  <c r="AY53" i="38"/>
  <c r="AY62" i="38"/>
  <c r="AY21" i="38"/>
  <c r="AY40" i="38"/>
  <c r="AY80" i="38"/>
  <c r="AY91" i="38" s="1"/>
  <c r="BJ9" i="84"/>
  <c r="BJ10" i="84"/>
  <c r="BJ11" i="84"/>
  <c r="AZ8" i="38"/>
  <c r="AZ6" i="15"/>
  <c r="BC6" i="8"/>
  <c r="AO12" i="29"/>
  <c r="AO40" i="29" s="1"/>
  <c r="BK5" i="84"/>
  <c r="BL4" i="84" s="1"/>
  <c r="BK2" i="84"/>
  <c r="BK6" i="84"/>
  <c r="BK3" i="84" s="1" a="1"/>
  <c r="BK3" i="84" s="1"/>
  <c r="BR8" i="84"/>
  <c r="BR7" i="84"/>
  <c r="E63" i="79"/>
  <c r="BJ12" i="84" l="1"/>
  <c r="AZ53" i="38"/>
  <c r="AZ62" i="38"/>
  <c r="AZ21" i="38"/>
  <c r="AZ40" i="38"/>
  <c r="AZ80" i="38"/>
  <c r="AZ91" i="38" s="1"/>
  <c r="BK10" i="84"/>
  <c r="BK11" i="84"/>
  <c r="BK9" i="84"/>
  <c r="BL5" i="84"/>
  <c r="BM4" i="84" s="1"/>
  <c r="BL6" i="84"/>
  <c r="BL3" i="84" s="1" a="1"/>
  <c r="BL3" i="84" s="1"/>
  <c r="BL2" i="84"/>
  <c r="F66" i="79"/>
  <c r="D65" i="79"/>
  <c r="BS8" i="84"/>
  <c r="BS7" i="84"/>
  <c r="E64" i="79"/>
  <c r="BA8" i="38"/>
  <c r="BD6" i="8"/>
  <c r="BA6" i="15"/>
  <c r="AP12" i="29"/>
  <c r="AP40" i="29" s="1"/>
  <c r="BA40" i="38" l="1"/>
  <c r="BA53" i="38"/>
  <c r="BA62" i="38"/>
  <c r="BA21" i="38"/>
  <c r="BA80" i="38"/>
  <c r="BA91" i="38" s="1"/>
  <c r="D66" i="79"/>
  <c r="F67" i="79"/>
  <c r="BK12" i="84"/>
  <c r="BL9" i="84"/>
  <c r="BL10" i="84"/>
  <c r="BL11" i="84"/>
  <c r="BB8" i="38"/>
  <c r="BE6" i="8"/>
  <c r="BB6" i="15"/>
  <c r="AQ12" i="29"/>
  <c r="AQ40" i="29" s="1"/>
  <c r="BT8" i="84"/>
  <c r="BT7" i="84"/>
  <c r="BM2" i="84"/>
  <c r="BM5" i="84"/>
  <c r="BN4" i="84" s="1"/>
  <c r="BM6" i="84"/>
  <c r="BM3" i="84" s="1" a="1"/>
  <c r="BM3" i="84" s="1"/>
  <c r="E65" i="79"/>
  <c r="BL12" i="84" l="1"/>
  <c r="E66" i="79"/>
  <c r="BN6" i="84"/>
  <c r="BN3" i="84" s="1" a="1"/>
  <c r="BN3" i="84" s="1"/>
  <c r="BN5" i="84"/>
  <c r="BO4" i="84" s="1"/>
  <c r="BN2" i="84"/>
  <c r="BC8" i="38"/>
  <c r="BC6" i="15"/>
  <c r="BF6" i="8"/>
  <c r="AR12" i="29"/>
  <c r="AR40" i="29" s="1"/>
  <c r="BM10" i="84"/>
  <c r="BM11" i="84"/>
  <c r="BM9" i="84"/>
  <c r="BM12" i="84" s="1"/>
  <c r="BU7" i="84"/>
  <c r="BU8" i="84"/>
  <c r="BB40" i="38"/>
  <c r="BB80" i="38"/>
  <c r="BB91" i="38" s="1"/>
  <c r="BB53" i="38"/>
  <c r="BB62" i="38"/>
  <c r="BB21" i="38"/>
  <c r="F68" i="79"/>
  <c r="D67" i="79"/>
  <c r="BC21" i="38" l="1"/>
  <c r="BC40" i="38"/>
  <c r="BC53" i="38"/>
  <c r="BC62" i="38"/>
  <c r="BC80" i="38"/>
  <c r="BC91" i="38" s="1"/>
  <c r="E67" i="79"/>
  <c r="F69" i="79"/>
  <c r="D68" i="79"/>
  <c r="BV8" i="84"/>
  <c r="BV7" i="84"/>
  <c r="BO2" i="84"/>
  <c r="BO6" i="84"/>
  <c r="BO3" i="84" s="1" a="1"/>
  <c r="BO3" i="84" s="1"/>
  <c r="BO5" i="84"/>
  <c r="BP4" i="84" s="1"/>
  <c r="BN9" i="84"/>
  <c r="BN10" i="84"/>
  <c r="BN11" i="84"/>
  <c r="BD8" i="38"/>
  <c r="BG6" i="8"/>
  <c r="BD6" i="15"/>
  <c r="AS12" i="29"/>
  <c r="AS40" i="29" s="1"/>
  <c r="BO10" i="84" l="1"/>
  <c r="BO9" i="84"/>
  <c r="BO11" i="84"/>
  <c r="BE8" i="38"/>
  <c r="BE6" i="15"/>
  <c r="BH6" i="8"/>
  <c r="AT12" i="29"/>
  <c r="AT40" i="29" s="1"/>
  <c r="BP2" i="84"/>
  <c r="BP6" i="84"/>
  <c r="BP3" i="84" s="1" a="1"/>
  <c r="BP3" i="84" s="1"/>
  <c r="BP5" i="84"/>
  <c r="BQ4" i="84" s="1"/>
  <c r="BD21" i="38"/>
  <c r="BD40" i="38"/>
  <c r="BD53" i="38"/>
  <c r="BD62" i="38"/>
  <c r="BD80" i="38"/>
  <c r="BD91" i="38" s="1"/>
  <c r="BW7" i="84"/>
  <c r="BW8" i="84"/>
  <c r="E68" i="79"/>
  <c r="BN12" i="84"/>
  <c r="F70" i="79"/>
  <c r="D69" i="79"/>
  <c r="BO12" i="84" l="1"/>
  <c r="BF8" i="38"/>
  <c r="BF6" i="15"/>
  <c r="BI6" i="8"/>
  <c r="AU12" i="29"/>
  <c r="AU40" i="29" s="1"/>
  <c r="BX8" i="84"/>
  <c r="BX7" i="84"/>
  <c r="BE62" i="38"/>
  <c r="BE21" i="38"/>
  <c r="BE40" i="38"/>
  <c r="BE53" i="38"/>
  <c r="BE80" i="38"/>
  <c r="BE91" i="38" s="1"/>
  <c r="E69" i="79"/>
  <c r="F71" i="79"/>
  <c r="D70" i="79"/>
  <c r="BQ2" i="84"/>
  <c r="BQ5" i="84"/>
  <c r="BR4" i="84" s="1"/>
  <c r="BQ6" i="84"/>
  <c r="BQ3" i="84" s="1" a="1"/>
  <c r="BQ3" i="84" s="1"/>
  <c r="BP10" i="84"/>
  <c r="BP9" i="84"/>
  <c r="BP11" i="84"/>
  <c r="BP12" i="84" l="1"/>
  <c r="BR5" i="84"/>
  <c r="BS4" i="84" s="1"/>
  <c r="BR2" i="84"/>
  <c r="BR6" i="84"/>
  <c r="BR3" i="84" s="1" a="1"/>
  <c r="BR3" i="84" s="1"/>
  <c r="E70" i="79"/>
  <c r="BG6" i="15"/>
  <c r="BG8" i="38"/>
  <c r="AV12" i="29"/>
  <c r="AV40" i="29" s="1"/>
  <c r="BJ6" i="8"/>
  <c r="F72" i="79"/>
  <c r="D71" i="79"/>
  <c r="BF53" i="38"/>
  <c r="BF62" i="38"/>
  <c r="BF21" i="38"/>
  <c r="BF40" i="38"/>
  <c r="BF80" i="38"/>
  <c r="BF91" i="38" s="1"/>
  <c r="BQ9" i="84"/>
  <c r="BQ11" i="84"/>
  <c r="BQ10" i="84"/>
  <c r="BY7" i="84"/>
  <c r="BY8" i="84"/>
  <c r="BG53" i="38" l="1"/>
  <c r="BG62" i="38"/>
  <c r="BG21" i="38"/>
  <c r="BG40" i="38"/>
  <c r="BG80" i="38"/>
  <c r="BG91" i="38" s="1"/>
  <c r="E71" i="79"/>
  <c r="BH8" i="38"/>
  <c r="BH6" i="15"/>
  <c r="BK6" i="8"/>
  <c r="AW12" i="29"/>
  <c r="AW40" i="29" s="1"/>
  <c r="D72" i="79"/>
  <c r="F73" i="79"/>
  <c r="BQ12" i="84"/>
  <c r="BR9" i="84"/>
  <c r="BR10" i="84"/>
  <c r="BR11" i="84"/>
  <c r="BZ7" i="84"/>
  <c r="BZ8" i="84"/>
  <c r="BS2" i="84"/>
  <c r="BS6" i="84"/>
  <c r="BS3" i="84" s="1" a="1"/>
  <c r="BS3" i="84" s="1"/>
  <c r="BS5" i="84"/>
  <c r="BT4" i="84" s="1"/>
  <c r="BR12" i="84" l="1"/>
  <c r="F74" i="79"/>
  <c r="D73" i="79"/>
  <c r="E72" i="79"/>
  <c r="BT5" i="84"/>
  <c r="BU4" i="84" s="1"/>
  <c r="BT2" i="84"/>
  <c r="BT6" i="84"/>
  <c r="BT3" i="84" s="1" a="1"/>
  <c r="BT3" i="84" s="1"/>
  <c r="BI8" i="38"/>
  <c r="BL6" i="8"/>
  <c r="BI6" i="15"/>
  <c r="AX12" i="29"/>
  <c r="AX40" i="29" s="1"/>
  <c r="BH53" i="38"/>
  <c r="BH62" i="38"/>
  <c r="BH21" i="38"/>
  <c r="BH40" i="38"/>
  <c r="BH80" i="38"/>
  <c r="BH91" i="38" s="1"/>
  <c r="BS9" i="84"/>
  <c r="BS11" i="84"/>
  <c r="BS10" i="84"/>
  <c r="CA8" i="84"/>
  <c r="CA7" i="84"/>
  <c r="BS12" i="84" l="1"/>
  <c r="BI40" i="38"/>
  <c r="BI53" i="38"/>
  <c r="BI62" i="38"/>
  <c r="BI21" i="38"/>
  <c r="BI80" i="38"/>
  <c r="BI91" i="38" s="1"/>
  <c r="CB7" i="84"/>
  <c r="CB8" i="84"/>
  <c r="E73" i="79"/>
  <c r="BT9" i="84"/>
  <c r="BT10" i="84"/>
  <c r="BT11" i="84"/>
  <c r="D74" i="79"/>
  <c r="F75" i="79"/>
  <c r="BJ8" i="38"/>
  <c r="BM6" i="8"/>
  <c r="BJ6" i="15"/>
  <c r="AY12" i="29"/>
  <c r="AY40" i="29" s="1"/>
  <c r="BU2" i="84"/>
  <c r="BU5" i="84"/>
  <c r="BV4" i="84" s="1"/>
  <c r="BU6" i="84"/>
  <c r="BU3" i="84" s="1" a="1"/>
  <c r="BU3" i="84" s="1"/>
  <c r="BT12" i="84" l="1"/>
  <c r="BJ40" i="38"/>
  <c r="BJ80" i="38"/>
  <c r="BJ91" i="38" s="1"/>
  <c r="BJ53" i="38"/>
  <c r="BJ62" i="38"/>
  <c r="BJ21" i="38"/>
  <c r="E74" i="79"/>
  <c r="BU9" i="84"/>
  <c r="BU11" i="84"/>
  <c r="BU10" i="84"/>
  <c r="BV6" i="84"/>
  <c r="BV3" i="84" s="1" a="1"/>
  <c r="BV3" i="84" s="1"/>
  <c r="BV5" i="84"/>
  <c r="BW4" i="84" s="1"/>
  <c r="BV2" i="84"/>
  <c r="BK8" i="38"/>
  <c r="BN6" i="8"/>
  <c r="AZ12" i="29"/>
  <c r="AZ40" i="29" s="1"/>
  <c r="CC8" i="84"/>
  <c r="CC7" i="84"/>
  <c r="F76" i="79"/>
  <c r="D75" i="79"/>
  <c r="E75" i="79" l="1"/>
  <c r="BU12" i="84"/>
  <c r="BK21" i="38"/>
  <c r="BK40" i="38"/>
  <c r="BK53" i="38"/>
  <c r="BK62" i="38"/>
  <c r="BK80" i="38"/>
  <c r="BK91" i="38" s="1"/>
  <c r="F77" i="79"/>
  <c r="D76" i="79"/>
  <c r="CD7" i="84"/>
  <c r="CD8" i="84"/>
  <c r="BW5" i="84"/>
  <c r="BX4" i="84" s="1"/>
  <c r="BW6" i="84"/>
  <c r="BW3" i="84" s="1" a="1"/>
  <c r="BW3" i="84" s="1"/>
  <c r="BW2" i="84"/>
  <c r="BV9" i="84"/>
  <c r="BV10" i="84"/>
  <c r="BV11" i="84"/>
  <c r="BV12" i="84" l="1"/>
  <c r="E76" i="79"/>
  <c r="F78" i="79"/>
  <c r="D77" i="79"/>
  <c r="CE7" i="84"/>
  <c r="CE8" i="84"/>
  <c r="BW9" i="84"/>
  <c r="BW10" i="84"/>
  <c r="BW11" i="84"/>
  <c r="BX2" i="84"/>
  <c r="BX6" i="84"/>
  <c r="BX3" i="84" s="1" a="1"/>
  <c r="BX3" i="84" s="1"/>
  <c r="BX5" i="84"/>
  <c r="BY4" i="84" s="1"/>
  <c r="BW12" i="84" l="1"/>
  <c r="BX10" i="84"/>
  <c r="BX9" i="84"/>
  <c r="BX11" i="84"/>
  <c r="E77" i="79"/>
  <c r="BY2" i="84"/>
  <c r="BY6" i="84"/>
  <c r="BY3" i="84" s="1" a="1"/>
  <c r="BY3" i="84" s="1"/>
  <c r="BY5" i="84"/>
  <c r="BZ4" i="84" s="1"/>
  <c r="CF8" i="84"/>
  <c r="CF7" i="84"/>
  <c r="F79" i="79"/>
  <c r="D78" i="79"/>
  <c r="F80" i="79" l="1"/>
  <c r="D79" i="79"/>
  <c r="BY11" i="84"/>
  <c r="BY10" i="84"/>
  <c r="BY9" i="84"/>
  <c r="BZ2" i="84"/>
  <c r="BZ6" i="84"/>
  <c r="BZ3" i="84" s="1" a="1"/>
  <c r="BZ3" i="84" s="1"/>
  <c r="BZ5" i="84"/>
  <c r="CA4" i="84" s="1"/>
  <c r="CG7" i="84"/>
  <c r="CG8" i="84"/>
  <c r="E78" i="79"/>
  <c r="BX12" i="84"/>
  <c r="CA5" i="84" l="1"/>
  <c r="CB4" i="84" s="1"/>
  <c r="CA2" i="84"/>
  <c r="CA6" i="84"/>
  <c r="CA3" i="84" s="1" a="1"/>
  <c r="CA3" i="84" s="1"/>
  <c r="BY12" i="84"/>
  <c r="E79" i="79"/>
  <c r="BZ9" i="84"/>
  <c r="BZ10" i="84"/>
  <c r="BZ11" i="84"/>
  <c r="D80" i="79"/>
  <c r="F81" i="79"/>
  <c r="CH7" i="84"/>
  <c r="CH8" i="84"/>
  <c r="F82" i="79" l="1"/>
  <c r="D81" i="79"/>
  <c r="E80" i="79"/>
  <c r="CI7" i="84"/>
  <c r="CI8" i="84"/>
  <c r="BZ12" i="84"/>
  <c r="CA10" i="84"/>
  <c r="CA11" i="84"/>
  <c r="CA9" i="84"/>
  <c r="CB2" i="84"/>
  <c r="CB6" i="84"/>
  <c r="CB3" i="84" s="1" a="1"/>
  <c r="CB3" i="84" s="1"/>
  <c r="CB5" i="84"/>
  <c r="CC4" i="84" s="1"/>
  <c r="CJ8" i="84" l="1"/>
  <c r="CJ7" i="84"/>
  <c r="CA12" i="84"/>
  <c r="CC2" i="84"/>
  <c r="CC5" i="84"/>
  <c r="CD4" i="84" s="1"/>
  <c r="CC6" i="84"/>
  <c r="CC3" i="84" s="1" a="1"/>
  <c r="CC3" i="84" s="1"/>
  <c r="E81" i="79"/>
  <c r="CB9" i="84"/>
  <c r="CB10" i="84"/>
  <c r="CB11" i="84"/>
  <c r="D82" i="79"/>
  <c r="F83" i="79"/>
  <c r="F84" i="79" l="1"/>
  <c r="D83" i="79"/>
  <c r="CB12" i="84"/>
  <c r="E82" i="79"/>
  <c r="CC10" i="84"/>
  <c r="CC11" i="84"/>
  <c r="CC9" i="84"/>
  <c r="CD6" i="84"/>
  <c r="CD3" i="84" s="1" a="1"/>
  <c r="CD3" i="84" s="1"/>
  <c r="CD5" i="84"/>
  <c r="CE4" i="84" s="1"/>
  <c r="CD2" i="84"/>
  <c r="CK8" i="84"/>
  <c r="CK7" i="84"/>
  <c r="CD9" i="84" l="1"/>
  <c r="CD10" i="84"/>
  <c r="CD11" i="84"/>
  <c r="CC12" i="84"/>
  <c r="CL8" i="84"/>
  <c r="CL7" i="84"/>
  <c r="E83" i="79"/>
  <c r="F85" i="79"/>
  <c r="D84" i="79"/>
  <c r="CE5" i="84"/>
  <c r="CF4" i="84" s="1"/>
  <c r="CE2" i="84"/>
  <c r="CE6" i="84"/>
  <c r="CE3" i="84" s="1" a="1"/>
  <c r="CE3" i="84" s="1"/>
  <c r="CF5" i="84" l="1"/>
  <c r="CG4" i="84" s="1"/>
  <c r="CF2" i="84"/>
  <c r="CF6" i="84"/>
  <c r="CF3" i="84" s="1" a="1"/>
  <c r="CF3" i="84" s="1"/>
  <c r="E84" i="79"/>
  <c r="CD12" i="84"/>
  <c r="CE9" i="84"/>
  <c r="CE10" i="84"/>
  <c r="CE11" i="84"/>
  <c r="F86" i="79"/>
  <c r="D85" i="79"/>
  <c r="CM7" i="84"/>
  <c r="CM8" i="84"/>
  <c r="CE12" i="84" l="1"/>
  <c r="E85" i="79"/>
  <c r="CG2" i="84"/>
  <c r="CG6" i="84"/>
  <c r="CG3" i="84" s="1" a="1"/>
  <c r="CG3" i="84" s="1"/>
  <c r="CG5" i="84"/>
  <c r="CH4" i="84" s="1"/>
  <c r="F87" i="79"/>
  <c r="D86" i="79"/>
  <c r="CN8" i="84"/>
  <c r="CN7" i="84"/>
  <c r="CF9" i="84"/>
  <c r="CF10" i="84"/>
  <c r="CF11" i="84"/>
  <c r="E86" i="79" l="1"/>
  <c r="D87" i="79"/>
  <c r="F88" i="79"/>
  <c r="G87" i="79"/>
  <c r="CO8" i="84"/>
  <c r="CO7" i="84"/>
  <c r="CH2" i="84"/>
  <c r="CH6" i="84"/>
  <c r="CH3" i="84" s="1" a="1"/>
  <c r="CH3" i="84" s="1"/>
  <c r="CH5" i="84"/>
  <c r="CI4" i="84" s="1"/>
  <c r="CG11" i="84"/>
  <c r="CG9" i="84"/>
  <c r="CG10" i="84"/>
  <c r="CF12" i="84"/>
  <c r="CG12" i="84" l="1"/>
  <c r="F89" i="79"/>
  <c r="D88" i="79"/>
  <c r="G88" i="79"/>
  <c r="CI2" i="84"/>
  <c r="CI5" i="84"/>
  <c r="CJ4" i="84" s="1"/>
  <c r="CI6" i="84"/>
  <c r="CI3" i="84" s="1" a="1"/>
  <c r="CI3" i="84" s="1"/>
  <c r="CH9" i="84"/>
  <c r="CH10" i="84"/>
  <c r="CH11" i="84"/>
  <c r="E87" i="79"/>
  <c r="CP7" i="84"/>
  <c r="CP8" i="84"/>
  <c r="CJ5" i="84" l="1"/>
  <c r="CK4" i="84" s="1"/>
  <c r="CJ2" i="84"/>
  <c r="CJ6" i="84"/>
  <c r="CJ3" i="84" s="1" a="1"/>
  <c r="CJ3" i="84" s="1"/>
  <c r="E88" i="79"/>
  <c r="F90" i="79"/>
  <c r="D89" i="79"/>
  <c r="G89" i="79"/>
  <c r="CQ7" i="84"/>
  <c r="CQ8" i="84"/>
  <c r="CH12" i="84"/>
  <c r="CI11" i="84"/>
  <c r="CI9" i="84"/>
  <c r="CI10" i="84"/>
  <c r="CK2" i="84" l="1"/>
  <c r="CK5" i="84"/>
  <c r="CL4" i="84" s="1"/>
  <c r="CK6" i="84"/>
  <c r="CK3" i="84" s="1" a="1"/>
  <c r="CK3" i="84" s="1"/>
  <c r="CI12" i="84"/>
  <c r="E89" i="79"/>
  <c r="CJ9" i="84"/>
  <c r="CJ10" i="84"/>
  <c r="CJ11" i="84"/>
  <c r="CR7" i="84"/>
  <c r="CR8" i="84"/>
  <c r="F91" i="79"/>
  <c r="D90" i="79"/>
  <c r="G90" i="79"/>
  <c r="CJ12" i="84" l="1"/>
  <c r="E90" i="79"/>
  <c r="F92" i="79"/>
  <c r="D91" i="79"/>
  <c r="G91" i="79"/>
  <c r="CS8" i="84"/>
  <c r="CS7" i="84"/>
  <c r="CK10" i="84"/>
  <c r="CK9" i="84"/>
  <c r="CK11" i="84"/>
  <c r="CL6" i="84"/>
  <c r="CL3" i="84" s="1" a="1"/>
  <c r="CL3" i="84" s="1"/>
  <c r="CL2" i="84"/>
  <c r="CL5" i="84"/>
  <c r="CM4" i="84" s="1"/>
  <c r="CK12" i="84" l="1"/>
  <c r="E91" i="79"/>
  <c r="F93" i="79"/>
  <c r="D92" i="79"/>
  <c r="G92" i="79"/>
  <c r="CM5" i="84"/>
  <c r="CN4" i="84" s="1"/>
  <c r="CM2" i="84"/>
  <c r="CM6" i="84"/>
  <c r="CM3" i="84" s="1" a="1"/>
  <c r="CM3" i="84" s="1"/>
  <c r="CL9" i="84"/>
  <c r="CL10" i="84"/>
  <c r="CL11" i="84"/>
  <c r="CT7" i="84"/>
  <c r="CT8" i="84"/>
  <c r="CL12" i="84" l="1"/>
  <c r="CU7" i="84"/>
  <c r="CU8" i="84"/>
  <c r="CM10" i="84"/>
  <c r="CM9" i="84"/>
  <c r="CM11" i="84"/>
  <c r="D93" i="79"/>
  <c r="F94" i="79"/>
  <c r="G93" i="79"/>
  <c r="CN5" i="84"/>
  <c r="CO4" i="84" s="1"/>
  <c r="CN2" i="84"/>
  <c r="CN6" i="84"/>
  <c r="CN3" i="84" s="1" a="1"/>
  <c r="CN3" i="84" s="1"/>
  <c r="E92" i="79"/>
  <c r="CM12" i="84" l="1"/>
  <c r="CO5" i="84"/>
  <c r="CP4" i="84" s="1"/>
  <c r="CO6" i="84"/>
  <c r="CO3" i="84" s="1" a="1"/>
  <c r="CO3" i="84" s="1"/>
  <c r="CO2" i="84"/>
  <c r="E93" i="79"/>
  <c r="CV8" i="84"/>
  <c r="CV7" i="84"/>
  <c r="CN10" i="84"/>
  <c r="CN11" i="84"/>
  <c r="CN9" i="84"/>
  <c r="F95" i="79"/>
  <c r="D94" i="79"/>
  <c r="G94" i="79"/>
  <c r="CW7" i="84" l="1"/>
  <c r="CW8" i="84"/>
  <c r="D95" i="79"/>
  <c r="F96" i="79"/>
  <c r="G95" i="79"/>
  <c r="E94" i="79"/>
  <c r="CN12" i="84"/>
  <c r="CO11" i="84"/>
  <c r="CO10" i="84"/>
  <c r="CO9" i="84"/>
  <c r="CP2" i="84"/>
  <c r="CP6" i="84"/>
  <c r="CP3" i="84" s="1" a="1"/>
  <c r="CP3" i="84" s="1"/>
  <c r="CP5" i="84"/>
  <c r="CQ4" i="84" s="1"/>
  <c r="E95" i="79" l="1"/>
  <c r="CP9" i="84"/>
  <c r="CP10" i="84"/>
  <c r="CP11" i="84"/>
  <c r="CX8" i="84"/>
  <c r="CX7" i="84"/>
  <c r="CQ2" i="84"/>
  <c r="CQ6" i="84"/>
  <c r="CQ3" i="84" s="1" a="1"/>
  <c r="CQ3" i="84" s="1"/>
  <c r="CQ5" i="84"/>
  <c r="CR4" i="84" s="1"/>
  <c r="F97" i="79"/>
  <c r="D96" i="79"/>
  <c r="G96" i="79"/>
  <c r="CO12" i="84"/>
  <c r="CP12" i="84" l="1"/>
  <c r="CY7" i="84"/>
  <c r="CY8" i="84"/>
  <c r="E96" i="79"/>
  <c r="F98" i="79"/>
  <c r="D97" i="79"/>
  <c r="G97" i="79"/>
  <c r="CR2" i="84"/>
  <c r="CR6" i="84"/>
  <c r="CR3" i="84" s="1" a="1"/>
  <c r="CR3" i="84" s="1"/>
  <c r="CR5" i="84"/>
  <c r="CS4" i="84" s="1"/>
  <c r="CQ9" i="84"/>
  <c r="CQ11" i="84"/>
  <c r="CQ10" i="84"/>
  <c r="CQ12" i="84" l="1"/>
  <c r="E97" i="79"/>
  <c r="F99" i="79"/>
  <c r="D98" i="79"/>
  <c r="G98" i="79"/>
  <c r="CZ7" i="84"/>
  <c r="CZ8" i="84"/>
  <c r="CS2" i="84"/>
  <c r="CS5" i="84"/>
  <c r="CT4" i="84" s="1"/>
  <c r="CS6" i="84"/>
  <c r="CS3" i="84" s="1" a="1"/>
  <c r="CS3" i="84" s="1"/>
  <c r="CR9" i="84"/>
  <c r="CR11" i="84"/>
  <c r="CR10" i="84"/>
  <c r="CR12" i="84" l="1"/>
  <c r="E98" i="79"/>
  <c r="DA7" i="84"/>
  <c r="DA8" i="84"/>
  <c r="F100" i="79"/>
  <c r="D99" i="79"/>
  <c r="G99" i="79"/>
  <c r="CS9" i="84"/>
  <c r="CS11" i="84"/>
  <c r="CS10" i="84"/>
  <c r="CT6" i="84"/>
  <c r="CT3" i="84" s="1" a="1"/>
  <c r="CT3" i="84" s="1"/>
  <c r="CT5" i="84"/>
  <c r="CU4" i="84" s="1"/>
  <c r="CT2" i="84"/>
  <c r="CU2" i="84" l="1"/>
  <c r="CU6" i="84"/>
  <c r="CU3" i="84" s="1" a="1"/>
  <c r="CU3" i="84" s="1"/>
  <c r="CU5" i="84"/>
  <c r="CV4" i="84" s="1"/>
  <c r="CS12" i="84"/>
  <c r="E99" i="79"/>
  <c r="F101" i="79"/>
  <c r="D100" i="79"/>
  <c r="G100" i="79"/>
  <c r="CT9" i="84"/>
  <c r="CT10" i="84"/>
  <c r="CT11" i="84"/>
  <c r="DB8" i="84"/>
  <c r="DB7" i="84"/>
  <c r="D101" i="79" l="1"/>
  <c r="F102" i="79"/>
  <c r="G101" i="79"/>
  <c r="CV5" i="84"/>
  <c r="CW4" i="84" s="1"/>
  <c r="CV2" i="84"/>
  <c r="CV6" i="84"/>
  <c r="CV3" i="84" s="1" a="1"/>
  <c r="CV3" i="84" s="1"/>
  <c r="CU9" i="84"/>
  <c r="CU11" i="84"/>
  <c r="CU10" i="84"/>
  <c r="DC7" i="84"/>
  <c r="DC8" i="84"/>
  <c r="E100" i="79"/>
  <c r="CT12" i="84"/>
  <c r="CU12" i="84" l="1"/>
  <c r="CV10" i="84"/>
  <c r="CV9" i="84"/>
  <c r="CV11" i="84"/>
  <c r="CW5" i="84"/>
  <c r="CX4" i="84" s="1"/>
  <c r="CW6" i="84"/>
  <c r="CW3" i="84" s="1" a="1"/>
  <c r="CW3" i="84" s="1"/>
  <c r="CW2" i="84"/>
  <c r="F103" i="79"/>
  <c r="D102" i="79"/>
  <c r="G102" i="79"/>
  <c r="DD8" i="84"/>
  <c r="DD7" i="84"/>
  <c r="E101" i="79"/>
  <c r="CV12" i="84" l="1"/>
  <c r="CW11" i="84"/>
  <c r="CW10" i="84"/>
  <c r="CW9" i="84"/>
  <c r="CX5" i="84"/>
  <c r="CY4" i="84" s="1"/>
  <c r="CX2" i="84"/>
  <c r="CX6" i="84"/>
  <c r="CX3" i="84" s="1" a="1"/>
  <c r="CX3" i="84" s="1"/>
  <c r="DE8" i="84"/>
  <c r="DE7" i="84"/>
  <c r="E102" i="79"/>
  <c r="D103" i="79"/>
  <c r="F104" i="79"/>
  <c r="G103" i="79"/>
  <c r="CW12" i="84" l="1"/>
  <c r="CY2" i="84"/>
  <c r="CY6" i="84"/>
  <c r="CY3" i="84" s="1" a="1"/>
  <c r="CY3" i="84" s="1"/>
  <c r="CY5" i="84"/>
  <c r="CZ4" i="84" s="1"/>
  <c r="DF7" i="84"/>
  <c r="DF8" i="84"/>
  <c r="F105" i="79"/>
  <c r="D104" i="79"/>
  <c r="G104" i="79"/>
  <c r="CX9" i="84"/>
  <c r="CX10" i="84"/>
  <c r="CX11" i="84"/>
  <c r="E103" i="79"/>
  <c r="CX12" i="84" l="1"/>
  <c r="E104" i="79"/>
  <c r="F106" i="79"/>
  <c r="D105" i="79"/>
  <c r="G105" i="79"/>
  <c r="CZ2" i="84"/>
  <c r="CZ6" i="84"/>
  <c r="CZ3" i="84" s="1" a="1"/>
  <c r="CZ3" i="84" s="1"/>
  <c r="CZ5" i="84"/>
  <c r="DA4" i="84" s="1"/>
  <c r="CY10" i="84"/>
  <c r="CY11" i="84"/>
  <c r="CY9" i="84"/>
  <c r="DG8" i="84"/>
  <c r="DG7" i="84"/>
  <c r="CY12" i="84" l="1"/>
  <c r="DH7" i="84"/>
  <c r="DH8" i="84"/>
  <c r="E105" i="79"/>
  <c r="DA2" i="84"/>
  <c r="DA5" i="84"/>
  <c r="DB4" i="84" s="1"/>
  <c r="DA6" i="84"/>
  <c r="DA3" i="84" s="1" a="1"/>
  <c r="DA3" i="84" s="1"/>
  <c r="F107" i="79"/>
  <c r="D106" i="79"/>
  <c r="G106" i="79"/>
  <c r="CZ9" i="84"/>
  <c r="CZ10" i="84"/>
  <c r="CZ11" i="84"/>
  <c r="CZ12" i="84" l="1"/>
  <c r="F108" i="79"/>
  <c r="D107" i="79"/>
  <c r="G107" i="79"/>
  <c r="DA10" i="84"/>
  <c r="DA11" i="84"/>
  <c r="DA9" i="84"/>
  <c r="DB6" i="84"/>
  <c r="DB3" i="84" s="1" a="1"/>
  <c r="DB3" i="84" s="1"/>
  <c r="DB2" i="84"/>
  <c r="DB5" i="84"/>
  <c r="DC4" i="84" s="1"/>
  <c r="DI7" i="84"/>
  <c r="DI8" i="84"/>
  <c r="E106" i="79"/>
  <c r="DA12" i="84" l="1"/>
  <c r="DJ7" i="84"/>
  <c r="DJ8" i="84"/>
  <c r="E107" i="79"/>
  <c r="DC5" i="84"/>
  <c r="DD4" i="84" s="1"/>
  <c r="DC2" i="84"/>
  <c r="DC6" i="84"/>
  <c r="DC3" i="84" s="1" a="1"/>
  <c r="DC3" i="84" s="1"/>
  <c r="F109" i="79"/>
  <c r="D108" i="79"/>
  <c r="G108" i="79"/>
  <c r="DB9" i="84"/>
  <c r="DB10" i="84"/>
  <c r="DB11" i="84"/>
  <c r="DB12" i="84" l="1"/>
  <c r="DD2" i="84"/>
  <c r="DD6" i="84"/>
  <c r="DD3" i="84" s="1" a="1"/>
  <c r="DD3" i="84" s="1"/>
  <c r="DD5" i="84"/>
  <c r="DE4" i="84" s="1"/>
  <c r="E108" i="79"/>
  <c r="D109" i="79"/>
  <c r="F110" i="79"/>
  <c r="G109" i="79"/>
  <c r="DC9" i="84"/>
  <c r="DC11" i="84"/>
  <c r="DC10" i="84"/>
  <c r="DC12" i="84" l="1"/>
  <c r="DE5" i="84"/>
  <c r="DF4" i="84" s="1"/>
  <c r="DE2" i="84"/>
  <c r="DE6" i="84"/>
  <c r="DE3" i="84" s="1" a="1"/>
  <c r="DE3" i="84" s="1"/>
  <c r="DD9" i="84"/>
  <c r="DD10" i="84"/>
  <c r="DD11" i="84"/>
  <c r="F111" i="79"/>
  <c r="D110" i="79"/>
  <c r="G110" i="79"/>
  <c r="E109" i="79"/>
  <c r="D111" i="79" l="1"/>
  <c r="F112" i="79"/>
  <c r="G111" i="79"/>
  <c r="DE10" i="84"/>
  <c r="DE11" i="84"/>
  <c r="DE9" i="84"/>
  <c r="DF5" i="84"/>
  <c r="DG4" i="84" s="1"/>
  <c r="DF2" i="84"/>
  <c r="DF6" i="84"/>
  <c r="DF3" i="84" s="1" a="1"/>
  <c r="DF3" i="84" s="1"/>
  <c r="DD12" i="84"/>
  <c r="E110" i="79"/>
  <c r="DE12" i="84" l="1"/>
  <c r="F113" i="79"/>
  <c r="D112" i="79"/>
  <c r="G112" i="79"/>
  <c r="DF9" i="84"/>
  <c r="DF10" i="84"/>
  <c r="DF11" i="84"/>
  <c r="E111" i="79"/>
  <c r="DG5" i="84"/>
  <c r="DH4" i="84" s="1"/>
  <c r="DG6" i="84"/>
  <c r="DG3" i="84" s="1" a="1"/>
  <c r="DG3" i="84" s="1"/>
  <c r="DG2" i="84"/>
  <c r="DF12" i="84" l="1"/>
  <c r="E112" i="79"/>
  <c r="F114" i="79"/>
  <c r="D113" i="79"/>
  <c r="G113" i="79"/>
  <c r="DG9" i="84"/>
  <c r="DG10" i="84"/>
  <c r="DG11" i="84"/>
  <c r="DH2" i="84"/>
  <c r="DH6" i="84"/>
  <c r="DH3" i="84" s="1" a="1"/>
  <c r="DH3" i="84" s="1"/>
  <c r="DH5" i="84"/>
  <c r="DI4" i="84" s="1"/>
  <c r="DI2" i="84" l="1"/>
  <c r="DI5" i="84"/>
  <c r="DJ4" i="84" s="1"/>
  <c r="DI6" i="84"/>
  <c r="DI3" i="84" s="1" a="1"/>
  <c r="DI3" i="84" s="1"/>
  <c r="DH9" i="84"/>
  <c r="DH10" i="84"/>
  <c r="DH11" i="84"/>
  <c r="E113" i="79"/>
  <c r="F115" i="79"/>
  <c r="D114" i="79"/>
  <c r="G114" i="79"/>
  <c r="DG12" i="84"/>
  <c r="DH12" i="84" l="1"/>
  <c r="E114" i="79"/>
  <c r="DI9" i="84"/>
  <c r="DI10" i="84"/>
  <c r="DI11" i="84"/>
  <c r="F116" i="79"/>
  <c r="D115" i="79"/>
  <c r="G115" i="79"/>
  <c r="DJ6" i="84"/>
  <c r="DJ3" i="84" s="1" a="1"/>
  <c r="DJ3" i="84" s="1"/>
  <c r="DJ2" i="84"/>
  <c r="DJ5" i="84"/>
  <c r="E115" i="79" l="1"/>
  <c r="F117" i="79"/>
  <c r="D116" i="79"/>
  <c r="G116" i="79"/>
  <c r="DJ9" i="84"/>
  <c r="DJ10" i="84"/>
  <c r="DJ11" i="84"/>
  <c r="DI12" i="84"/>
  <c r="DJ12" i="84" l="1"/>
  <c r="E116" i="79"/>
  <c r="D117" i="79"/>
  <c r="F118" i="79"/>
  <c r="G117" i="79"/>
  <c r="F119" i="79" l="1"/>
  <c r="D118" i="79"/>
  <c r="G118" i="79"/>
  <c r="E117" i="79"/>
  <c r="E118" i="79" l="1"/>
  <c r="D119" i="79"/>
  <c r="F120" i="79"/>
  <c r="G119" i="79"/>
  <c r="F121" i="79" l="1"/>
  <c r="D120" i="79"/>
  <c r="G120" i="79"/>
  <c r="E119" i="79"/>
  <c r="E120" i="79" l="1"/>
  <c r="F122" i="79"/>
  <c r="D121" i="79"/>
  <c r="G121" i="79"/>
  <c r="E121" i="79" l="1"/>
  <c r="F123" i="79"/>
  <c r="D122" i="79"/>
  <c r="G122" i="79"/>
  <c r="F124" i="79" l="1"/>
  <c r="D123" i="79"/>
  <c r="G123" i="79"/>
  <c r="E122" i="79"/>
  <c r="E123" i="79" l="1"/>
  <c r="F125" i="79"/>
  <c r="D124" i="79"/>
  <c r="G124" i="79"/>
  <c r="E124" i="79" l="1"/>
  <c r="D125" i="79"/>
  <c r="F126" i="79"/>
  <c r="G125" i="79"/>
  <c r="F127" i="79" l="1"/>
  <c r="D126" i="79"/>
  <c r="G126" i="79"/>
  <c r="E125" i="79"/>
  <c r="E126" i="79" l="1"/>
  <c r="D127" i="79"/>
  <c r="F128" i="79"/>
  <c r="G127" i="79"/>
  <c r="F129" i="79" l="1"/>
  <c r="D128" i="79"/>
  <c r="G128" i="79"/>
  <c r="E127" i="79"/>
  <c r="E128" i="79" l="1"/>
  <c r="F130" i="79"/>
  <c r="D129" i="79"/>
  <c r="G129" i="79"/>
  <c r="E129" i="79" l="1"/>
  <c r="F131" i="79"/>
  <c r="D130" i="79"/>
  <c r="G130" i="79"/>
  <c r="E130" i="79" l="1"/>
  <c r="F132" i="79"/>
  <c r="D131" i="79"/>
  <c r="G131" i="79"/>
  <c r="E131" i="79" l="1"/>
  <c r="F133" i="79"/>
  <c r="D132" i="79"/>
  <c r="G132" i="79"/>
  <c r="E132" i="79" l="1"/>
  <c r="D133" i="79"/>
  <c r="F134" i="79"/>
  <c r="G133" i="79"/>
  <c r="F135" i="79" l="1"/>
  <c r="D134" i="79"/>
  <c r="G134" i="79"/>
  <c r="E133" i="79"/>
  <c r="E134" i="79" l="1"/>
  <c r="D135" i="79"/>
  <c r="F136" i="79"/>
  <c r="G135" i="79"/>
  <c r="F137" i="79" l="1"/>
  <c r="D136" i="79"/>
  <c r="G136" i="79"/>
  <c r="E135" i="79"/>
  <c r="E136" i="79" l="1"/>
  <c r="F138" i="79"/>
  <c r="D137" i="79"/>
  <c r="G137" i="79"/>
  <c r="E137" i="79" l="1"/>
  <c r="F139" i="79"/>
  <c r="D138" i="79"/>
  <c r="G138" i="79"/>
  <c r="F140" i="79" l="1"/>
  <c r="D139" i="79"/>
  <c r="G139" i="79"/>
  <c r="E138" i="79"/>
  <c r="E139" i="79" l="1"/>
  <c r="F141" i="79"/>
  <c r="D140" i="79"/>
  <c r="G140" i="79"/>
  <c r="D141" i="79" l="1"/>
  <c r="F142" i="79"/>
  <c r="G141" i="79"/>
  <c r="E140" i="79"/>
  <c r="F143" i="79" l="1"/>
  <c r="D142" i="79"/>
  <c r="G142" i="79"/>
  <c r="E141" i="79"/>
  <c r="E142" i="79" l="1"/>
  <c r="D143" i="79"/>
  <c r="F144" i="79"/>
  <c r="G143" i="79"/>
  <c r="F145" i="79" l="1"/>
  <c r="D144" i="79"/>
  <c r="G144" i="79"/>
  <c r="E143" i="79"/>
  <c r="E144" i="79" l="1"/>
  <c r="F146" i="79"/>
  <c r="D145" i="79"/>
  <c r="G145" i="79"/>
  <c r="F147" i="79" l="1"/>
  <c r="D146" i="79"/>
  <c r="G146" i="79"/>
  <c r="E145" i="79"/>
  <c r="E146" i="79" l="1"/>
  <c r="F148" i="79"/>
  <c r="D147" i="79"/>
  <c r="G147" i="79"/>
  <c r="E147" i="79" l="1"/>
  <c r="F149" i="79"/>
  <c r="D148" i="79"/>
  <c r="G148" i="79"/>
  <c r="D149" i="79" l="1"/>
  <c r="F150" i="79"/>
  <c r="G149" i="79"/>
  <c r="E148" i="79"/>
  <c r="F151" i="79" l="1"/>
  <c r="D150" i="79"/>
  <c r="G150" i="79"/>
  <c r="E149" i="79"/>
  <c r="E150" i="79" l="1"/>
  <c r="D151" i="79"/>
  <c r="F152" i="79"/>
  <c r="G151" i="79"/>
  <c r="F153" i="79" l="1"/>
  <c r="D152" i="79"/>
  <c r="G152" i="79"/>
  <c r="E151" i="79"/>
  <c r="E152" i="79" l="1"/>
  <c r="F154" i="79"/>
  <c r="D153" i="79"/>
  <c r="G153" i="79"/>
  <c r="E153" i="79" l="1"/>
  <c r="F155" i="79"/>
  <c r="D154" i="79"/>
  <c r="G154" i="79"/>
  <c r="F156" i="79" l="1"/>
  <c r="D155" i="79"/>
  <c r="G155" i="79"/>
  <c r="E154" i="79"/>
  <c r="E155" i="79" l="1"/>
  <c r="F157" i="79"/>
  <c r="D156" i="79"/>
  <c r="G156" i="79"/>
  <c r="E156" i="79" l="1"/>
  <c r="D157" i="79"/>
  <c r="F158" i="79"/>
  <c r="G157" i="79"/>
  <c r="F159" i="79" l="1"/>
  <c r="D158" i="79"/>
  <c r="G158" i="79"/>
  <c r="E157" i="79"/>
  <c r="E158" i="79" l="1"/>
  <c r="D159" i="79"/>
  <c r="F160" i="79"/>
  <c r="G159" i="79"/>
  <c r="F161" i="79" l="1"/>
  <c r="D160" i="79"/>
  <c r="G160" i="79"/>
  <c r="E159" i="79"/>
  <c r="E160" i="79" l="1"/>
  <c r="F162" i="79"/>
  <c r="D161" i="79"/>
  <c r="G161" i="79"/>
  <c r="E161" i="79" l="1"/>
  <c r="F163" i="79"/>
  <c r="D162" i="79"/>
  <c r="G162" i="79"/>
  <c r="E162" i="79" l="1"/>
  <c r="F164" i="79"/>
  <c r="D163" i="79"/>
  <c r="G163" i="79"/>
  <c r="E163" i="79" l="1"/>
  <c r="F165" i="79"/>
  <c r="D164" i="79"/>
  <c r="G164" i="79"/>
  <c r="E164" i="79" l="1"/>
  <c r="D165" i="79"/>
  <c r="F166" i="79"/>
  <c r="G165" i="79"/>
  <c r="E165" i="79" l="1"/>
  <c r="F167" i="79"/>
  <c r="D166" i="79"/>
  <c r="G166" i="79"/>
  <c r="E166" i="79" l="1"/>
  <c r="D167" i="79"/>
  <c r="F168" i="79"/>
  <c r="G167" i="79"/>
  <c r="F169" i="79" l="1"/>
  <c r="D168" i="79"/>
  <c r="G168" i="79"/>
  <c r="E167" i="79"/>
  <c r="E168" i="79" l="1"/>
  <c r="F170" i="79"/>
  <c r="D169" i="79"/>
  <c r="G169" i="79"/>
  <c r="E169" i="79" l="1"/>
  <c r="F171" i="79"/>
  <c r="D170" i="79"/>
  <c r="G170" i="79"/>
  <c r="E170" i="79" l="1"/>
  <c r="F172" i="79"/>
  <c r="D171" i="79"/>
  <c r="G171" i="79"/>
  <c r="E171" i="79" l="1"/>
  <c r="F173" i="79"/>
  <c r="D172" i="79"/>
  <c r="G172" i="79"/>
  <c r="E172" i="79" l="1"/>
  <c r="F174" i="79"/>
  <c r="D173" i="79"/>
  <c r="G173" i="79"/>
  <c r="E173" i="79" l="1"/>
  <c r="D174" i="79"/>
  <c r="F175" i="79"/>
  <c r="G174" i="79"/>
  <c r="D175" i="79" l="1"/>
  <c r="F176" i="79"/>
  <c r="G175" i="79"/>
  <c r="E174" i="79"/>
  <c r="F177" i="79" l="1"/>
  <c r="D176" i="79"/>
  <c r="G176" i="79"/>
  <c r="E175" i="79"/>
  <c r="E176" i="79" l="1"/>
  <c r="F178" i="79"/>
  <c r="D177" i="79"/>
  <c r="G177" i="79"/>
  <c r="E177" i="79" l="1"/>
  <c r="F179" i="79"/>
  <c r="D178" i="79"/>
  <c r="G178" i="79"/>
  <c r="E178" i="79" l="1"/>
  <c r="F180" i="79"/>
  <c r="D179" i="79"/>
  <c r="G179" i="79"/>
  <c r="E179" i="79" l="1"/>
  <c r="F181" i="79"/>
  <c r="D180" i="79"/>
  <c r="G180" i="79"/>
  <c r="E180" i="79" l="1"/>
  <c r="D181" i="79"/>
  <c r="F182" i="79"/>
  <c r="G181" i="79"/>
  <c r="F183" i="79" l="1"/>
  <c r="D182" i="79"/>
  <c r="G182" i="79"/>
  <c r="E181" i="79"/>
  <c r="E182" i="79" l="1"/>
  <c r="D183" i="79"/>
  <c r="F184" i="79"/>
  <c r="G183" i="79"/>
  <c r="F185" i="79" l="1"/>
  <c r="D184" i="79"/>
  <c r="G184" i="79"/>
  <c r="E183" i="79"/>
  <c r="E184" i="79" l="1"/>
  <c r="F186" i="79"/>
  <c r="D185" i="79"/>
  <c r="G185" i="79"/>
  <c r="E185" i="79" l="1"/>
  <c r="F187" i="79"/>
  <c r="D186" i="79"/>
  <c r="G186" i="79"/>
  <c r="E186" i="79" l="1"/>
  <c r="F188" i="79"/>
  <c r="D187" i="79"/>
  <c r="G187" i="79"/>
  <c r="E187" i="79" l="1"/>
  <c r="F189" i="79"/>
  <c r="D188" i="79"/>
  <c r="G188" i="79"/>
  <c r="E188" i="79" l="1"/>
  <c r="F190" i="79"/>
  <c r="D189" i="79"/>
  <c r="G189" i="79"/>
  <c r="E189" i="79" l="1"/>
  <c r="D190" i="79"/>
  <c r="F191" i="79"/>
  <c r="G190" i="79"/>
  <c r="D191" i="79" l="1"/>
  <c r="F192" i="79"/>
  <c r="G191" i="79"/>
  <c r="E190" i="79"/>
  <c r="F193" i="79" l="1"/>
  <c r="D192" i="79"/>
  <c r="G192" i="79"/>
  <c r="E191" i="79"/>
  <c r="E192" i="79" l="1"/>
  <c r="F194" i="79"/>
  <c r="D193" i="79"/>
  <c r="G193" i="79"/>
  <c r="E193" i="79" l="1"/>
  <c r="F195" i="79"/>
  <c r="D194" i="79"/>
  <c r="G194" i="79"/>
  <c r="E194" i="79" l="1"/>
  <c r="F196" i="79"/>
  <c r="D195" i="79"/>
  <c r="G195" i="79"/>
  <c r="E195" i="79" l="1"/>
  <c r="F197" i="79"/>
  <c r="D196" i="79"/>
  <c r="G196" i="79"/>
  <c r="E196" i="79" l="1"/>
  <c r="D197" i="79"/>
  <c r="F198" i="79"/>
  <c r="G197" i="79"/>
  <c r="F199" i="79" l="1"/>
  <c r="D198" i="79"/>
  <c r="G198" i="79"/>
  <c r="E197" i="79"/>
  <c r="E198" i="79" l="1"/>
  <c r="D199" i="79"/>
  <c r="F200" i="79"/>
  <c r="G199" i="79"/>
  <c r="F201" i="79" l="1"/>
  <c r="D200" i="79"/>
  <c r="G200" i="79"/>
  <c r="E199" i="79"/>
  <c r="E200" i="79" l="1"/>
  <c r="F202" i="79"/>
  <c r="D201" i="79"/>
  <c r="G201" i="79"/>
  <c r="E201" i="79" l="1"/>
  <c r="F203" i="79"/>
  <c r="D202" i="79"/>
  <c r="G202" i="79"/>
  <c r="E202" i="79" l="1"/>
  <c r="F204" i="79"/>
  <c r="D203" i="79"/>
  <c r="G203" i="79"/>
  <c r="E203" i="79" l="1"/>
  <c r="F205" i="79"/>
  <c r="D204" i="79"/>
  <c r="G204" i="79"/>
  <c r="E204" i="79" l="1"/>
  <c r="F206" i="79"/>
  <c r="D205" i="79"/>
  <c r="G205" i="79"/>
  <c r="E205" i="79" l="1"/>
  <c r="D206" i="79"/>
  <c r="F207" i="79"/>
  <c r="G206" i="79"/>
  <c r="D207" i="79" l="1"/>
  <c r="F208" i="79"/>
  <c r="G207" i="79"/>
  <c r="E206" i="79"/>
  <c r="F209" i="79" l="1"/>
  <c r="D208" i="79"/>
  <c r="G208" i="79"/>
  <c r="E207" i="79"/>
  <c r="E208" i="79" l="1"/>
  <c r="F210" i="79"/>
  <c r="D209" i="79"/>
  <c r="G209" i="79"/>
  <c r="E209" i="79" l="1"/>
  <c r="F211" i="79"/>
  <c r="D210" i="79"/>
  <c r="G210" i="79"/>
  <c r="E210" i="79" l="1"/>
  <c r="F212" i="79"/>
  <c r="D211" i="79"/>
  <c r="G211" i="79"/>
  <c r="E211" i="79" l="1"/>
  <c r="F213" i="79"/>
  <c r="D212" i="79"/>
  <c r="G212" i="79"/>
  <c r="E212" i="79" l="1"/>
  <c r="D213" i="79"/>
  <c r="F214" i="79"/>
  <c r="G213" i="79"/>
  <c r="F215" i="79" l="1"/>
  <c r="D214" i="79"/>
  <c r="G214" i="79"/>
  <c r="E213" i="79"/>
  <c r="E214" i="79" l="1"/>
  <c r="D215" i="79"/>
  <c r="F216" i="79"/>
  <c r="G215" i="79"/>
  <c r="F217" i="79" l="1"/>
  <c r="D216" i="79"/>
  <c r="G216" i="79"/>
  <c r="E215" i="79"/>
  <c r="E216" i="79" l="1"/>
  <c r="F218" i="79"/>
  <c r="D217" i="79"/>
  <c r="G217" i="79"/>
  <c r="E217" i="79" l="1"/>
  <c r="F219" i="79"/>
  <c r="D218" i="79"/>
  <c r="G218" i="79"/>
  <c r="F220" i="79" l="1"/>
  <c r="D219" i="79"/>
  <c r="G219" i="79"/>
  <c r="E218" i="79"/>
  <c r="E219" i="79" l="1"/>
  <c r="F221" i="79"/>
  <c r="D220" i="79"/>
  <c r="G220" i="79"/>
  <c r="E220" i="79" l="1"/>
  <c r="F222" i="79"/>
  <c r="D221" i="79"/>
  <c r="G221" i="79"/>
  <c r="E221" i="79" l="1"/>
  <c r="D222" i="79"/>
  <c r="F223" i="79"/>
  <c r="G222" i="79"/>
  <c r="D223" i="79" l="1"/>
  <c r="F224" i="79"/>
  <c r="G223" i="79"/>
  <c r="E222" i="79"/>
  <c r="F225" i="79" l="1"/>
  <c r="D224" i="79"/>
  <c r="G224" i="79"/>
  <c r="E223" i="79"/>
  <c r="E224" i="79" l="1"/>
  <c r="F226" i="79"/>
  <c r="D225" i="79"/>
  <c r="G225" i="79"/>
  <c r="E225" i="79" l="1"/>
  <c r="D226" i="79"/>
  <c r="F227" i="79"/>
  <c r="G226" i="79"/>
  <c r="F228" i="79" l="1"/>
  <c r="D227" i="79"/>
  <c r="G227" i="79"/>
  <c r="E226" i="79"/>
  <c r="E227" i="79" l="1"/>
  <c r="F229" i="79"/>
  <c r="D228" i="79"/>
  <c r="G228" i="79"/>
  <c r="E228" i="79" l="1"/>
  <c r="F230" i="79"/>
  <c r="D229" i="79"/>
  <c r="G229" i="79"/>
  <c r="D230" i="79" l="1"/>
  <c r="F231" i="79"/>
  <c r="G230" i="79"/>
  <c r="E229" i="79"/>
  <c r="F232" i="79" l="1"/>
  <c r="D231" i="79"/>
  <c r="G231" i="79"/>
  <c r="E230" i="79"/>
  <c r="E231" i="79" l="1"/>
  <c r="D232" i="79"/>
  <c r="F233" i="79"/>
  <c r="G232" i="79"/>
  <c r="F234" i="79" l="1"/>
  <c r="D233" i="79"/>
  <c r="T259" i="79"/>
  <c r="G233" i="79"/>
  <c r="E232" i="79"/>
  <c r="E233" i="79" l="1"/>
  <c r="D234" i="79"/>
  <c r="F235" i="79"/>
  <c r="T260" i="79"/>
  <c r="G234" i="79"/>
  <c r="F236" i="79" l="1"/>
  <c r="D235" i="79"/>
  <c r="T261" i="79"/>
  <c r="G235" i="79"/>
  <c r="E234" i="79"/>
  <c r="E235" i="79" l="1"/>
  <c r="F237" i="79"/>
  <c r="D236" i="79"/>
  <c r="T262" i="79"/>
  <c r="G236" i="79"/>
  <c r="E236" i="79" l="1"/>
  <c r="F238" i="79"/>
  <c r="D237" i="79"/>
  <c r="T263" i="79"/>
  <c r="G237" i="79"/>
  <c r="F239" i="79" l="1"/>
  <c r="D238" i="79"/>
  <c r="T264" i="79"/>
  <c r="G238" i="79"/>
  <c r="E237" i="79"/>
  <c r="E238" i="79" l="1"/>
  <c r="D239" i="79"/>
  <c r="F240" i="79"/>
  <c r="T265" i="79"/>
  <c r="G239" i="79"/>
  <c r="D240" i="79" l="1"/>
  <c r="F241" i="79"/>
  <c r="G248" i="79" s="1"/>
  <c r="G252" i="79"/>
  <c r="T266" i="79"/>
  <c r="G240" i="79"/>
  <c r="G247" i="79"/>
  <c r="G245" i="79"/>
  <c r="G250" i="79"/>
  <c r="E239" i="79"/>
  <c r="G249" i="79"/>
  <c r="G246" i="79"/>
  <c r="G251" i="79" l="1"/>
  <c r="D241" i="79"/>
  <c r="E252" i="79" s="1"/>
  <c r="G253" i="79"/>
  <c r="T267" i="79"/>
  <c r="G241" i="79"/>
  <c r="G242" i="79"/>
  <c r="G243" i="79"/>
  <c r="G244" i="79"/>
  <c r="E240" i="79"/>
  <c r="E253" i="79" l="1"/>
  <c r="E241" i="79"/>
  <c r="E242" i="79"/>
  <c r="E245" i="79"/>
  <c r="E244" i="79"/>
  <c r="E243" i="79"/>
  <c r="E246" i="79"/>
  <c r="E250" i="79"/>
  <c r="E251" i="79"/>
  <c r="E249" i="79"/>
  <c r="E248" i="79"/>
  <c r="E247" i="79"/>
  <c r="BE24" i="29" l="1"/>
  <c r="BD28" i="29"/>
  <c r="BF24" i="29"/>
  <c r="BF28" i="29"/>
  <c r="BD24" i="29"/>
  <c r="BC28" i="29"/>
  <c r="BE28" i="29"/>
  <c r="BC24" i="29"/>
  <c r="L94" i="84" l="1" a="1"/>
  <c r="L94" i="84" s="1"/>
  <c r="BE30" i="29"/>
  <c r="BF30" i="29"/>
  <c r="BD30" i="29"/>
  <c r="L113" i="84" a="1"/>
  <c r="L113" i="84" s="1"/>
  <c r="BC30" i="29"/>
  <c r="L142" i="84"/>
  <c r="L143" i="84" s="1"/>
  <c r="L125" i="84" l="1" a="1"/>
  <c r="L125" i="84" s="1"/>
  <c r="L78" i="84" a="1"/>
  <c r="L78" i="84" s="1"/>
  <c r="L80" i="84" a="1"/>
  <c r="L80" i="84" s="1"/>
  <c r="L93" i="84" a="1"/>
  <c r="L93" i="84" s="1"/>
  <c r="BF31" i="29"/>
  <c r="BE31" i="29"/>
  <c r="BD31" i="29"/>
  <c r="BC31" i="29"/>
  <c r="L127" i="84" l="1" a="1"/>
  <c r="L127" i="84" s="1"/>
  <c r="L120" i="84" a="1"/>
  <c r="L120" i="84" s="1"/>
  <c r="L114" i="84" a="1"/>
  <c r="L114" i="84" s="1"/>
  <c r="BD34" i="29" l="1"/>
  <c r="BF34" i="29"/>
  <c r="BN103" i="15"/>
  <c r="BP103" i="15"/>
  <c r="BE34" i="29"/>
  <c r="BO103" i="15"/>
  <c r="BM103" i="15" l="1"/>
  <c r="BC34" i="29"/>
  <c r="BP41" i="8" l="1"/>
  <c r="BQ85" i="38"/>
  <c r="BM85" i="38"/>
  <c r="BL99" i="15"/>
  <c r="BP68" i="15"/>
  <c r="BL68" i="15"/>
  <c r="BM14" i="15"/>
  <c r="BP85" i="38"/>
  <c r="BK99" i="15"/>
  <c r="BO68" i="15"/>
  <c r="BK68" i="15"/>
  <c r="BP14" i="15"/>
  <c r="BP16" i="15" s="1"/>
  <c r="BL14" i="15"/>
  <c r="BL16" i="15" s="1"/>
  <c r="BT32" i="8"/>
  <c r="BO85" i="38"/>
  <c r="BN68" i="15"/>
  <c r="BO14" i="15"/>
  <c r="BK14" i="15"/>
  <c r="BN85" i="38"/>
  <c r="BM68" i="15"/>
  <c r="BN14" i="15"/>
  <c r="BN16" i="15" s="1"/>
  <c r="BS41" i="8"/>
  <c r="BS9" i="8"/>
  <c r="BT9" i="8"/>
  <c r="BN99" i="15"/>
  <c r="BO99" i="15"/>
  <c r="BP99" i="15"/>
  <c r="BP9" i="8"/>
  <c r="BP15" i="38" l="1"/>
  <c r="BR9" i="8"/>
  <c r="BM99" i="15"/>
  <c r="BN15" i="38"/>
  <c r="BQ9" i="8"/>
  <c r="BQ41" i="8"/>
  <c r="BO15" i="38"/>
  <c r="BT41" i="8"/>
  <c r="BS32" i="8"/>
  <c r="BR32" i="8"/>
  <c r="BQ15" i="38"/>
  <c r="BO9" i="8"/>
  <c r="BQ32" i="8"/>
  <c r="BP32" i="8"/>
  <c r="BO32" i="8"/>
  <c r="BO41" i="8"/>
  <c r="BK16" i="15"/>
  <c r="BM15" i="38"/>
  <c r="BR41" i="8"/>
  <c r="BO16" i="15"/>
  <c r="BL15" i="38"/>
  <c r="BL85" i="38"/>
  <c r="BM16" i="15"/>
  <c r="AS110" i="15"/>
  <c r="AW110" i="15"/>
  <c r="AU110" i="15"/>
  <c r="AV110" i="15"/>
  <c r="AT110" i="15"/>
  <c r="BQ43" i="8" l="1"/>
  <c r="BT43" i="8"/>
  <c r="BS43" i="8"/>
  <c r="BL87" i="38"/>
  <c r="BN87" i="38"/>
  <c r="BQ87" i="38"/>
  <c r="BO87" i="38"/>
  <c r="BM87" i="38"/>
  <c r="BP87" i="38"/>
  <c r="BP43" i="8"/>
  <c r="BR43" i="8"/>
  <c r="BO43" i="8"/>
  <c r="AO110" i="15"/>
  <c r="AP110" i="15"/>
  <c r="AM110" i="15"/>
  <c r="AN110" i="15"/>
  <c r="AQ110" i="15"/>
  <c r="AR110" i="15"/>
  <c r="BK21" i="15" l="1"/>
  <c r="BL21" i="15"/>
  <c r="BM21" i="15" l="1"/>
  <c r="BN21" i="15" l="1"/>
  <c r="BO21" i="15" l="1"/>
  <c r="BP21" i="15" l="1"/>
  <c r="BK63" i="15" l="1"/>
  <c r="BK70" i="15" l="1"/>
  <c r="BL63" i="15" l="1"/>
  <c r="BL70" i="15" l="1"/>
  <c r="BM63" i="15" l="1"/>
  <c r="B63" i="47" s="1"/>
  <c r="B64" i="47" s="1"/>
  <c r="B66" i="47" s="1"/>
  <c r="BM70" i="15" l="1"/>
  <c r="BN63" i="15" l="1"/>
  <c r="BN70" i="15" l="1"/>
  <c r="BO63" i="15" l="1"/>
  <c r="BO70" i="15" l="1"/>
  <c r="BP63" i="15"/>
  <c r="BP70" i="15" l="1"/>
  <c r="D63" i="47"/>
  <c r="D69" i="47" s="1"/>
  <c r="D70" i="47" s="1"/>
  <c r="D64" i="47" l="1"/>
  <c r="D66" i="47" s="1"/>
  <c r="BT103" i="15" l="1"/>
  <c r="BJ34" i="29"/>
  <c r="BR103" i="15"/>
  <c r="BU103" i="15"/>
  <c r="BK34" i="29"/>
  <c r="BS103" i="15"/>
  <c r="BI34" i="29"/>
  <c r="BH34" i="29"/>
  <c r="BV103" i="15" l="1"/>
  <c r="BQ103" i="15"/>
  <c r="BG34" i="29"/>
  <c r="BN89" i="15"/>
  <c r="BN105" i="15" s="1"/>
  <c r="BP89" i="15"/>
  <c r="BP105" i="15" s="1"/>
  <c r="BL34" i="29"/>
  <c r="BO89" i="15"/>
  <c r="BO105" i="15" s="1"/>
  <c r="L68" i="84" l="1" a="1"/>
  <c r="L68" i="84" s="1"/>
  <c r="L67" i="84" l="1" a="1"/>
  <c r="L67" i="84" s="1"/>
  <c r="L31" i="84" l="1"/>
  <c r="L33" i="84" s="1"/>
  <c r="L43" i="84"/>
  <c r="L44" i="84" s="1"/>
  <c r="L52" i="84"/>
  <c r="L56" i="84" s="1"/>
  <c r="L182" i="84" l="1" a="1"/>
  <c r="L182" i="84" s="1"/>
  <c r="L61" i="84" a="1"/>
  <c r="L61" i="84" s="1"/>
  <c r="L36" i="84"/>
  <c r="L40" i="84" s="1"/>
  <c r="L66" i="84" a="1"/>
  <c r="L66" i="84" s="1"/>
  <c r="L60" i="84" a="1"/>
  <c r="L60" i="84" s="1"/>
  <c r="L87" i="84"/>
  <c r="L47" i="84"/>
  <c r="L105" i="84"/>
  <c r="L109" i="84" s="1"/>
  <c r="L64" i="84" a="1"/>
  <c r="L64" i="84" s="1"/>
  <c r="L63" i="84" a="1"/>
  <c r="L63" i="84" s="1"/>
  <c r="L112" i="84"/>
  <c r="L116" i="84" s="1"/>
  <c r="L69" i="84" a="1"/>
  <c r="L69" i="84" s="1"/>
  <c r="L62" i="84" a="1"/>
  <c r="L62" i="84" s="1"/>
  <c r="L65" i="84" a="1"/>
  <c r="L65" i="84" s="1"/>
  <c r="L184" i="84" a="1"/>
  <c r="L184" i="84" s="1"/>
  <c r="L25" i="84"/>
  <c r="L180" i="84" a="1"/>
  <c r="L180" i="84" s="1"/>
  <c r="L191" i="84" l="1" a="1"/>
  <c r="L191" i="84" s="1"/>
  <c r="L119" i="84"/>
  <c r="L92" i="84"/>
  <c r="L102" i="84" s="1"/>
  <c r="L77" i="84"/>
  <c r="L48" i="84"/>
  <c r="L49" i="84" s="1"/>
  <c r="L79" i="84" a="1"/>
  <c r="L79" i="84" s="1"/>
  <c r="L88" i="84" a="1"/>
  <c r="L88" i="84" s="1"/>
  <c r="L89" i="84" s="1"/>
  <c r="L84" i="84" l="1"/>
  <c r="L189" i="84" a="1"/>
  <c r="L189" i="84" s="1"/>
  <c r="L124" i="84" a="1"/>
  <c r="L124" i="84" s="1"/>
  <c r="L70" i="84" l="1" a="1"/>
  <c r="L70" i="84" s="1"/>
  <c r="L59" i="84"/>
  <c r="L71" i="84" l="1"/>
  <c r="L183" i="84" l="1" a="1"/>
  <c r="L183" i="84" s="1"/>
  <c r="L181" i="84" l="1" a="1"/>
  <c r="L181" i="84" s="1"/>
  <c r="E181" i="84" l="1" a="1"/>
  <c r="E181" i="84" s="1"/>
  <c r="L186" i="84"/>
  <c r="E182" i="84" l="1" a="1"/>
  <c r="E182" i="84" s="1"/>
  <c r="E180" i="84" a="1"/>
  <c r="E180" i="84" s="1"/>
  <c r="E184" i="84" a="1"/>
  <c r="E184" i="84" s="1"/>
  <c r="E183" i="84" a="1"/>
  <c r="E183" i="84" s="1"/>
  <c r="L190" i="84" a="1"/>
  <c r="L190" i="84" s="1"/>
  <c r="BZ6" i="46" l="1"/>
  <c r="BZ11" i="46" s="1"/>
  <c r="B63" i="1" s="1"/>
  <c r="M26" i="84" s="1"/>
  <c r="L26" i="84" l="1"/>
  <c r="L28" i="84" s="1"/>
  <c r="B77" i="1"/>
  <c r="J63" i="1"/>
  <c r="H34" i="2" l="1"/>
  <c r="P63" i="1"/>
  <c r="J77" i="1"/>
  <c r="G34" i="2"/>
  <c r="L34" i="2" l="1"/>
  <c r="T63" i="1"/>
  <c r="M36" i="81" l="1"/>
  <c r="R39" i="82"/>
  <c r="N36" i="81" l="1"/>
  <c r="L170" i="84" l="1"/>
  <c r="L175" i="84" l="1" a="1"/>
  <c r="L175" i="84" s="1"/>
  <c r="L153" i="84" a="1"/>
  <c r="L153" i="84" s="1"/>
  <c r="L176" i="84" a="1"/>
  <c r="L176" i="84" s="1"/>
  <c r="L151" i="84" a="1"/>
  <c r="L151" i="84" s="1"/>
  <c r="L173" i="84" a="1"/>
  <c r="L173" i="84" s="1"/>
  <c r="L163" i="84" l="1"/>
  <c r="L150" i="84" l="1" a="1"/>
  <c r="L150" i="84" s="1"/>
  <c r="L172" i="84" a="1"/>
  <c r="L172" i="84" s="1"/>
  <c r="L174" i="84" a="1"/>
  <c r="L174" i="84" s="1"/>
  <c r="L152" i="84" a="1"/>
  <c r="L152" i="84" s="1"/>
  <c r="L171" i="84" a="1"/>
  <c r="L171" i="84" s="1"/>
  <c r="L149" i="84" a="1"/>
  <c r="L149" i="84" s="1"/>
  <c r="L155" i="84" l="1"/>
  <c r="L177" i="84"/>
  <c r="L161" i="84" l="1"/>
  <c r="L162" i="84"/>
  <c r="L122" i="84" a="1"/>
  <c r="L122" i="84" s="1"/>
  <c r="L139" i="84" s="1"/>
  <c r="L165" i="84" l="1"/>
  <c r="CI69" i="38" l="1"/>
  <c r="CH69" i="38"/>
  <c r="CG69" i="38"/>
  <c r="BW69" i="38" l="1"/>
  <c r="BV69" i="38"/>
  <c r="BU69" i="38"/>
  <c r="BT69" i="38"/>
  <c r="BS69" i="38" l="1"/>
  <c r="BS30" i="38" l="1"/>
  <c r="C66" i="38" l="1"/>
  <c r="BR69" i="38" l="1"/>
  <c r="BR30" i="38" l="1"/>
  <c r="BQ69" i="38" l="1"/>
  <c r="BQ30" i="38" l="1"/>
  <c r="BP69" i="38" l="1"/>
  <c r="BN69" i="38"/>
  <c r="BN30" i="38" l="1"/>
  <c r="BP30" i="38"/>
  <c r="BO69" i="38" l="1"/>
  <c r="BO30" i="38" l="1"/>
  <c r="BM69" i="38" l="1"/>
  <c r="BM30" i="38"/>
  <c r="BL69" i="38" l="1"/>
  <c r="BP71" i="38" l="1"/>
  <c r="BO71" i="38"/>
  <c r="BN71" i="38"/>
  <c r="BR71" i="38"/>
  <c r="BW71" i="38"/>
  <c r="BV71" i="38"/>
  <c r="BT71" i="38"/>
  <c r="BU71" i="38"/>
  <c r="BS71" i="38"/>
  <c r="BQ71" i="38"/>
  <c r="BL30" i="38" l="1"/>
  <c r="BL32" i="38" s="1"/>
  <c r="BM32" i="38" l="1"/>
  <c r="BM36" i="38" s="1"/>
  <c r="BN32" i="38"/>
  <c r="BN36" i="38" s="1"/>
  <c r="BO32" i="38"/>
  <c r="BP32" i="38"/>
  <c r="BP36" i="38" s="1"/>
  <c r="BR32" i="38"/>
  <c r="BS32" i="38"/>
  <c r="BQ32" i="38"/>
  <c r="BL36" i="38"/>
  <c r="BO36" i="38" l="1"/>
  <c r="BQ36" i="38"/>
  <c r="BU30" i="38" l="1"/>
  <c r="BV30" i="38"/>
  <c r="BT30" i="38"/>
  <c r="BW30" i="38"/>
  <c r="BT32" i="38" l="1"/>
  <c r="BV32" i="38"/>
  <c r="BW32" i="38"/>
  <c r="BU32" i="38"/>
  <c r="D30" i="8" l="1"/>
  <c r="D27" i="8"/>
  <c r="D26" i="8"/>
  <c r="D25" i="8"/>
  <c r="BK53" i="15"/>
  <c r="BL53" i="15"/>
  <c r="BM53" i="15"/>
  <c r="BN53" i="15"/>
  <c r="BO53" i="15"/>
  <c r="BP53" i="15"/>
  <c r="BK89" i="15"/>
  <c r="BK105" i="15" s="1"/>
  <c r="BL89" i="15"/>
  <c r="BL105" i="15" s="1"/>
  <c r="BM89" i="15"/>
  <c r="BM105" i="15" s="1"/>
  <c r="BM55" i="15" l="1"/>
  <c r="BK55" i="15"/>
  <c r="BL55" i="15"/>
  <c r="BV41" i="8"/>
  <c r="BW41" i="8"/>
  <c r="BP55" i="15"/>
  <c r="BN55" i="15"/>
  <c r="BU85" i="38"/>
  <c r="BT99" i="15"/>
  <c r="BV68" i="15"/>
  <c r="BR14" i="15"/>
  <c r="D28" i="8"/>
  <c r="BS99" i="15"/>
  <c r="BT85" i="38"/>
  <c r="BU68" i="15"/>
  <c r="BV53" i="15"/>
  <c r="BQ14" i="15"/>
  <c r="BQ16" i="15" s="1"/>
  <c r="BW95" i="38"/>
  <c r="BV95" i="38"/>
  <c r="BU95" i="38"/>
  <c r="BT95" i="38"/>
  <c r="D31" i="8"/>
  <c r="BS95" i="38"/>
  <c r="BR95" i="38"/>
  <c r="BR99" i="15"/>
  <c r="BS85" i="38"/>
  <c r="BT68" i="15"/>
  <c r="BU53" i="15"/>
  <c r="BO55" i="15"/>
  <c r="BL80" i="29"/>
  <c r="BD80" i="29"/>
  <c r="AV80" i="29"/>
  <c r="AN80" i="29"/>
  <c r="AF80" i="29"/>
  <c r="X80" i="29"/>
  <c r="BI79" i="29"/>
  <c r="BA79" i="29"/>
  <c r="AS79" i="29"/>
  <c r="AK79" i="29"/>
  <c r="AC79" i="29"/>
  <c r="BF78" i="29"/>
  <c r="AX78" i="29"/>
  <c r="AP78" i="29"/>
  <c r="AH78" i="29"/>
  <c r="Z78" i="29"/>
  <c r="AP79" i="29"/>
  <c r="AE78" i="29"/>
  <c r="BK80" i="29"/>
  <c r="BC80" i="29"/>
  <c r="AU80" i="29"/>
  <c r="AM80" i="29"/>
  <c r="AE80" i="29"/>
  <c r="BH79" i="29"/>
  <c r="AZ79" i="29"/>
  <c r="AR79" i="29"/>
  <c r="AJ79" i="29"/>
  <c r="AB79" i="29"/>
  <c r="BE78" i="29"/>
  <c r="AW78" i="29"/>
  <c r="AO78" i="29"/>
  <c r="AG78" i="29"/>
  <c r="Y78" i="29"/>
  <c r="AX79" i="29"/>
  <c r="BK78" i="29"/>
  <c r="AU78" i="29"/>
  <c r="BJ80" i="29"/>
  <c r="BB80" i="29"/>
  <c r="AT80" i="29"/>
  <c r="AL80" i="29"/>
  <c r="AD80" i="29"/>
  <c r="BG79" i="29"/>
  <c r="AY79" i="29"/>
  <c r="AQ79" i="29"/>
  <c r="AI79" i="29"/>
  <c r="AA79" i="29"/>
  <c r="BL78" i="29"/>
  <c r="BD78" i="29"/>
  <c r="AV78" i="29"/>
  <c r="AN78" i="29"/>
  <c r="AF78" i="29"/>
  <c r="X78" i="29"/>
  <c r="BI80" i="29"/>
  <c r="BA80" i="29"/>
  <c r="AS80" i="29"/>
  <c r="AK80" i="29"/>
  <c r="AC80" i="29"/>
  <c r="BH80" i="29"/>
  <c r="AZ80" i="29"/>
  <c r="AR80" i="29"/>
  <c r="AJ80" i="29"/>
  <c r="AB80" i="29"/>
  <c r="BE79" i="29"/>
  <c r="AW79" i="29"/>
  <c r="AO79" i="29"/>
  <c r="AG79" i="29"/>
  <c r="Y79" i="29"/>
  <c r="BJ78" i="29"/>
  <c r="BB78" i="29"/>
  <c r="AT78" i="29"/>
  <c r="AL78" i="29"/>
  <c r="AD78" i="29"/>
  <c r="Z79" i="29"/>
  <c r="BG80" i="29"/>
  <c r="AY80" i="29"/>
  <c r="AQ80" i="29"/>
  <c r="AI80" i="29"/>
  <c r="AA80" i="29"/>
  <c r="BL79" i="29"/>
  <c r="BD79" i="29"/>
  <c r="AV79" i="29"/>
  <c r="AN79" i="29"/>
  <c r="AF79" i="29"/>
  <c r="X79" i="29"/>
  <c r="BI78" i="29"/>
  <c r="BA78" i="29"/>
  <c r="AS78" i="29"/>
  <c r="AK78" i="29"/>
  <c r="AC78" i="29"/>
  <c r="BF80" i="29"/>
  <c r="AX80" i="29"/>
  <c r="AP80" i="29"/>
  <c r="AH80" i="29"/>
  <c r="Z80" i="29"/>
  <c r="BK79" i="29"/>
  <c r="BC79" i="29"/>
  <c r="AU79" i="29"/>
  <c r="AM79" i="29"/>
  <c r="AE79" i="29"/>
  <c r="BH78" i="29"/>
  <c r="AZ78" i="29"/>
  <c r="AR78" i="29"/>
  <c r="AJ78" i="29"/>
  <c r="AB78" i="29"/>
  <c r="BE80" i="29"/>
  <c r="AW80" i="29"/>
  <c r="AO80" i="29"/>
  <c r="AG80" i="29"/>
  <c r="Y80" i="29"/>
  <c r="BJ79" i="29"/>
  <c r="BB79" i="29"/>
  <c r="AT79" i="29"/>
  <c r="AL79" i="29"/>
  <c r="AD79" i="29"/>
  <c r="BG78" i="29"/>
  <c r="AY78" i="29"/>
  <c r="AQ78" i="29"/>
  <c r="AI78" i="29"/>
  <c r="AA78" i="29"/>
  <c r="BF79" i="29"/>
  <c r="AH79" i="29"/>
  <c r="BC78" i="29"/>
  <c r="AM78" i="29"/>
  <c r="BQ99" i="15"/>
  <c r="BR85" i="38"/>
  <c r="BS68" i="15"/>
  <c r="BT53" i="15"/>
  <c r="BR68" i="15"/>
  <c r="BS53" i="15"/>
  <c r="BV14" i="15"/>
  <c r="BQ68" i="15"/>
  <c r="BR53" i="15"/>
  <c r="BU14" i="15"/>
  <c r="BU16" i="15" s="1"/>
  <c r="BX41" i="8"/>
  <c r="BV99" i="15"/>
  <c r="BQ53" i="15"/>
  <c r="BT14" i="15"/>
  <c r="BY41" i="8"/>
  <c r="BV85" i="38"/>
  <c r="BU99" i="15"/>
  <c r="BS14" i="15"/>
  <c r="BS16" i="15" s="1"/>
  <c r="BZ41" i="8"/>
  <c r="BU41" i="8"/>
  <c r="BU9" i="8"/>
  <c r="BV9" i="8"/>
  <c r="BW9" i="8"/>
  <c r="BX9" i="8"/>
  <c r="BY9" i="8"/>
  <c r="BM107" i="15" l="1"/>
  <c r="BM112" i="15" s="1"/>
  <c r="BP107" i="15"/>
  <c r="BP112" i="15" s="1"/>
  <c r="BN107" i="15"/>
  <c r="BN112" i="15" s="1"/>
  <c r="BK107" i="15"/>
  <c r="BK112" i="15" s="1"/>
  <c r="BL107" i="15"/>
  <c r="BL112" i="15" s="1"/>
  <c r="BJ24" i="29"/>
  <c r="BK24" i="29"/>
  <c r="BS15" i="38"/>
  <c r="BS36" i="38" s="1"/>
  <c r="BI28" i="29"/>
  <c r="BK28" i="29"/>
  <c r="BR87" i="38"/>
  <c r="BU87" i="38"/>
  <c r="BV87" i="38"/>
  <c r="BT87" i="38"/>
  <c r="BS87" i="38"/>
  <c r="BZ9" i="8"/>
  <c r="BH28" i="29"/>
  <c r="BO107" i="15"/>
  <c r="BO112" i="15" s="1"/>
  <c r="BL28" i="29"/>
  <c r="BT16" i="15"/>
  <c r="BW85" i="38"/>
  <c r="BV16" i="15"/>
  <c r="BJ28" i="29"/>
  <c r="BG24" i="29"/>
  <c r="BR16" i="15"/>
  <c r="BR15" i="38"/>
  <c r="BI24" i="29"/>
  <c r="BT15" i="38"/>
  <c r="BG28" i="29"/>
  <c r="BL24" i="29"/>
  <c r="BH24" i="29"/>
  <c r="BU15" i="38"/>
  <c r="BW15" i="38"/>
  <c r="BW97" i="38"/>
  <c r="BV15" i="38"/>
  <c r="BV32" i="8" l="1"/>
  <c r="BY20" i="8"/>
  <c r="BY22" i="8" s="1"/>
  <c r="BY32" i="8"/>
  <c r="D29" i="8"/>
  <c r="BW32" i="8"/>
  <c r="BU32" i="8"/>
  <c r="BX20" i="8"/>
  <c r="BX22" i="8" s="1"/>
  <c r="BX32" i="8"/>
  <c r="BK30" i="29"/>
  <c r="BJ30" i="29"/>
  <c r="BI30" i="29"/>
  <c r="BW101" i="38"/>
  <c r="BG30" i="29"/>
  <c r="BG31" i="29" s="1"/>
  <c r="BW87" i="38"/>
  <c r="BW99" i="38" s="1"/>
  <c r="BV36" i="38"/>
  <c r="BL30" i="29"/>
  <c r="BW36" i="38"/>
  <c r="BH30" i="29"/>
  <c r="BU36" i="38"/>
  <c r="BT36" i="38"/>
  <c r="BR36" i="38"/>
  <c r="BU43" i="8" l="1"/>
  <c r="BX43" i="8"/>
  <c r="BW43" i="8"/>
  <c r="BV43" i="8"/>
  <c r="BK31" i="29"/>
  <c r="BJ31" i="29"/>
  <c r="BH31" i="29"/>
  <c r="BY43" i="8"/>
  <c r="D32" i="8"/>
  <c r="BZ32" i="8"/>
  <c r="BL31" i="29"/>
  <c r="BI31" i="29"/>
  <c r="G12" i="65"/>
  <c r="BZ20" i="8"/>
  <c r="BZ22" i="8" s="1"/>
  <c r="BZ43" i="8" l="1"/>
  <c r="BQ21" i="15" l="1"/>
  <c r="BQ55" i="15" s="1"/>
  <c r="BR21" i="15" l="1"/>
  <c r="BR55" i="15" s="1"/>
  <c r="BS21" i="15" l="1"/>
  <c r="BS55" i="15" s="1"/>
  <c r="BT21" i="15" l="1"/>
  <c r="BT55" i="15" s="1"/>
  <c r="BU21" i="15" l="1"/>
  <c r="BU55" i="15" s="1"/>
  <c r="BV21" i="15" l="1"/>
  <c r="BV55" i="15" l="1"/>
  <c r="BQ63" i="15" l="1"/>
  <c r="BQ70" i="15" s="1"/>
  <c r="BR63" i="15" l="1"/>
  <c r="BR70" i="15" s="1"/>
  <c r="BS63" i="15" l="1"/>
  <c r="BS70" i="15" l="1"/>
  <c r="F63" i="47"/>
  <c r="F64" i="47" l="1"/>
  <c r="F66" i="47" s="1"/>
  <c r="F69" i="47"/>
  <c r="F70" i="47" s="1"/>
  <c r="BT63" i="15"/>
  <c r="BT70" i="15" s="1"/>
  <c r="BU63" i="15" l="1"/>
  <c r="BU70" i="15" s="1"/>
  <c r="BV63" i="15" l="1"/>
  <c r="H63" i="47" l="1"/>
  <c r="N14" i="81"/>
  <c r="BV70" i="15"/>
  <c r="H69" i="47" l="1"/>
  <c r="H64" i="47"/>
  <c r="BQ89" i="15" l="1"/>
  <c r="BQ105" i="15" s="1"/>
  <c r="BQ107" i="15" l="1"/>
  <c r="BQ112" i="15" s="1"/>
  <c r="BR89" i="15" l="1"/>
  <c r="BR105" i="15" s="1"/>
  <c r="BR107" i="15" l="1"/>
  <c r="BR112" i="15" s="1"/>
  <c r="BS89" i="15" l="1"/>
  <c r="BS105" i="15" s="1"/>
  <c r="BS107" i="15" l="1"/>
  <c r="BS112" i="15" s="1"/>
  <c r="BT89" i="15" l="1"/>
  <c r="BT105" i="15" s="1"/>
  <c r="BT107" i="15" l="1"/>
  <c r="BT112" i="15" s="1"/>
  <c r="BU89" i="15" l="1"/>
  <c r="BU105" i="15" s="1"/>
  <c r="BV89" i="15" l="1"/>
  <c r="BU107" i="15"/>
  <c r="BU112" i="15" s="1"/>
  <c r="BV105" i="15" l="1"/>
  <c r="BV107" i="15" l="1"/>
  <c r="BV112" i="15" l="1"/>
  <c r="I43" i="2" l="1"/>
  <c r="P126" i="1" l="1"/>
  <c r="T122" i="1"/>
  <c r="V122" i="1" s="1"/>
  <c r="D54" i="36" s="1"/>
  <c r="H54" i="47" l="1"/>
  <c r="F54" i="36"/>
  <c r="D54" i="68"/>
  <c r="D54" i="89"/>
  <c r="D54" i="70"/>
  <c r="D54" i="87"/>
  <c r="D54" i="62"/>
  <c r="H54" i="36"/>
  <c r="D54" i="86"/>
  <c r="T54" i="60"/>
  <c r="D54" i="88"/>
  <c r="D54" i="61"/>
  <c r="D54" i="85"/>
  <c r="F54" i="62" l="1"/>
  <c r="H54" i="62"/>
  <c r="H54" i="87"/>
  <c r="F54" i="87"/>
  <c r="F54" i="85"/>
  <c r="H54" i="85"/>
  <c r="H54" i="70"/>
  <c r="F54" i="70"/>
  <c r="F54" i="61"/>
  <c r="H54" i="61"/>
  <c r="F54" i="89"/>
  <c r="H54" i="89"/>
  <c r="F54" i="68"/>
  <c r="H54" i="68"/>
  <c r="H54" i="88"/>
  <c r="F54" i="88"/>
  <c r="F54" i="86"/>
  <c r="H54" i="86"/>
  <c r="M185" i="84" l="1" a="1"/>
  <c r="M185" i="84" s="1"/>
  <c r="M176" i="84" l="1" a="1"/>
  <c r="M176" i="84" s="1"/>
  <c r="BT50" i="38" l="1"/>
  <c r="BT44" i="38" s="1"/>
  <c r="BU50" i="38"/>
  <c r="BU44" i="38" s="1"/>
  <c r="BV50" i="38"/>
  <c r="BV44" i="38" s="1"/>
  <c r="BW50" i="38"/>
  <c r="BW44" i="38" s="1"/>
  <c r="CH42" i="38" l="1"/>
  <c r="C44" i="38"/>
  <c r="C42" i="38" s="1"/>
  <c r="BS50" i="38" l="1"/>
  <c r="BS44" i="38" s="1"/>
  <c r="CE42" i="38" s="1"/>
  <c r="BR50" i="38" l="1"/>
  <c r="BR44" i="38" s="1"/>
  <c r="CD42" i="38" s="1"/>
  <c r="BQ50" i="38" l="1"/>
  <c r="BQ44" i="38" s="1"/>
  <c r="CC42" i="38" l="1"/>
  <c r="BS42" i="38"/>
  <c r="BW42" i="38"/>
  <c r="BR42" i="38"/>
  <c r="CB42" i="38"/>
  <c r="BV42" i="38"/>
  <c r="BY42" i="38"/>
  <c r="BQ42" i="38"/>
  <c r="CA42" i="38"/>
  <c r="BX42" i="38"/>
  <c r="BZ42" i="38"/>
  <c r="BT42" i="38"/>
  <c r="BU42" i="38"/>
  <c r="BP50" i="38" l="1"/>
  <c r="BN50" i="38"/>
  <c r="BO50" i="38" l="1"/>
  <c r="BM50" i="38" l="1"/>
  <c r="BL50" i="38" l="1"/>
  <c r="BP58" i="38" l="1"/>
  <c r="AX15" i="38"/>
  <c r="BG110" i="15"/>
  <c r="AY110" i="15"/>
  <c r="BO58" i="38"/>
  <c r="BF110" i="15"/>
  <c r="AX110" i="15"/>
  <c r="BV58" i="38"/>
  <c r="BN58" i="38"/>
  <c r="BK15" i="38"/>
  <c r="BE110" i="15"/>
  <c r="BH15" i="38"/>
  <c r="BU58" i="38"/>
  <c r="BM58" i="38"/>
  <c r="BJ15" i="38"/>
  <c r="BD110" i="15"/>
  <c r="BJ110" i="15"/>
  <c r="BG15" i="38"/>
  <c r="BI110" i="15"/>
  <c r="BA110" i="15"/>
  <c r="BT58" i="38"/>
  <c r="BL58" i="38"/>
  <c r="BI15" i="38"/>
  <c r="BC110" i="15"/>
  <c r="BB110" i="15"/>
  <c r="BQ58" i="38"/>
  <c r="BF15" i="38"/>
  <c r="BH110" i="15"/>
  <c r="BS58" i="38"/>
  <c r="BR58" i="38"/>
  <c r="AZ110" i="15"/>
  <c r="BE58" i="38" l="1"/>
  <c r="BF58" i="38"/>
  <c r="BH58" i="38"/>
  <c r="BI58" i="38"/>
  <c r="BS75" i="38"/>
  <c r="BI36" i="38"/>
  <c r="BU17" i="38"/>
  <c r="BU34" i="38" s="1"/>
  <c r="BB58" i="38"/>
  <c r="BD58" i="38"/>
  <c r="BJ58" i="38"/>
  <c r="BD17" i="38"/>
  <c r="BD34" i="38" s="1"/>
  <c r="BJ17" i="38"/>
  <c r="BJ34" i="38" s="1"/>
  <c r="BC17" i="38"/>
  <c r="BC34" i="38" s="1"/>
  <c r="BB17" i="38"/>
  <c r="BB34" i="38" s="1"/>
  <c r="BI17" i="38"/>
  <c r="BI34" i="38" s="1"/>
  <c r="AX17" i="38"/>
  <c r="AX34" i="38" s="1"/>
  <c r="BH17" i="38"/>
  <c r="BH34" i="38" s="1"/>
  <c r="BF17" i="38"/>
  <c r="BF34" i="38" s="1"/>
  <c r="AY17" i="38"/>
  <c r="AY34" i="38" s="1"/>
  <c r="AZ17" i="38"/>
  <c r="AZ34" i="38" s="1"/>
  <c r="BA17" i="38"/>
  <c r="BA34" i="38" s="1"/>
  <c r="BG17" i="38"/>
  <c r="BG34" i="38" s="1"/>
  <c r="AX36" i="38"/>
  <c r="BE17" i="38"/>
  <c r="BE34" i="38" s="1"/>
  <c r="BR75" i="38"/>
  <c r="BF36" i="38"/>
  <c r="BN17" i="38"/>
  <c r="BN34" i="38" s="1"/>
  <c r="BL17" i="38"/>
  <c r="BL34" i="38" s="1"/>
  <c r="BK17" i="38"/>
  <c r="BK34" i="38" s="1"/>
  <c r="BQ17" i="38"/>
  <c r="BQ34" i="38" s="1"/>
  <c r="BO17" i="38"/>
  <c r="BO34" i="38" s="1"/>
  <c r="BM17" i="38"/>
  <c r="BM34" i="38" s="1"/>
  <c r="BR17" i="38"/>
  <c r="BR34" i="38" s="1"/>
  <c r="C55" i="38"/>
  <c r="BN75" i="38"/>
  <c r="BC58" i="38"/>
  <c r="BU75" i="38"/>
  <c r="BV75" i="38"/>
  <c r="BG58" i="38"/>
  <c r="BK58" i="38"/>
  <c r="BQ75" i="38"/>
  <c r="BT75" i="38"/>
  <c r="BG36" i="38"/>
  <c r="BS17" i="38"/>
  <c r="BS34" i="38" s="1"/>
  <c r="BP75" i="38"/>
  <c r="BJ36" i="38"/>
  <c r="BV17" i="38"/>
  <c r="BV34" i="38" s="1"/>
  <c r="BH36" i="38"/>
  <c r="BT17" i="38"/>
  <c r="BT34" i="38" s="1"/>
  <c r="BP17" i="38"/>
  <c r="BP34" i="38" s="1"/>
  <c r="BK36" i="38"/>
  <c r="BW17" i="38"/>
  <c r="BW34" i="38" s="1"/>
  <c r="BO75" i="38"/>
  <c r="BW58" i="38"/>
  <c r="BT60" i="38" l="1"/>
  <c r="BT73" i="38" s="1"/>
  <c r="BR60" i="38"/>
  <c r="BR73" i="38" s="1"/>
  <c r="BO60" i="38"/>
  <c r="BO73" i="38" s="1"/>
  <c r="BQ60" i="38"/>
  <c r="BQ73" i="38" s="1"/>
  <c r="BS60" i="38"/>
  <c r="BS73" i="38" s="1"/>
  <c r="BV60" i="38"/>
  <c r="BV73" i="38" s="1"/>
  <c r="BU60" i="38"/>
  <c r="BU73" i="38" s="1"/>
  <c r="BW75" i="38"/>
  <c r="BP60" i="38"/>
  <c r="BP73" i="38" s="1"/>
  <c r="BW60" i="38"/>
  <c r="BW73" i="38" s="1"/>
  <c r="BN60" i="38"/>
  <c r="BN73" i="38" s="1"/>
  <c r="BW67" i="8" l="1"/>
  <c r="BX67" i="8"/>
  <c r="BY67" i="8"/>
  <c r="BV67" i="8" l="1"/>
  <c r="BU67" i="8" l="1"/>
  <c r="BT67" i="8" l="1"/>
  <c r="BS67" i="8" l="1"/>
  <c r="BQ67" i="8"/>
  <c r="BR67" i="8" l="1"/>
  <c r="BP67" i="8" l="1"/>
  <c r="BO67" i="8" l="1"/>
  <c r="BK95" i="38" l="1"/>
  <c r="BV97" i="38" s="1"/>
  <c r="BJ95" i="38"/>
  <c r="BI95" i="38"/>
  <c r="BH95" i="38"/>
  <c r="BG95" i="38"/>
  <c r="D17" i="8"/>
  <c r="BF95" i="38"/>
  <c r="AX95" i="38"/>
  <c r="BT97" i="38" l="1"/>
  <c r="BT101" i="38" s="1"/>
  <c r="BS97" i="38"/>
  <c r="BS99" i="38" s="1"/>
  <c r="BU97" i="38"/>
  <c r="BU99" i="38" s="1"/>
  <c r="BR97" i="38"/>
  <c r="BR99" i="38" s="1"/>
  <c r="CM31" i="8"/>
  <c r="F31" i="8"/>
  <c r="BV101" i="38"/>
  <c r="BV99" i="38"/>
  <c r="BM97" i="38"/>
  <c r="BL97" i="38"/>
  <c r="BJ97" i="38"/>
  <c r="BK97" i="38"/>
  <c r="BQ97" i="38"/>
  <c r="BO97" i="38"/>
  <c r="BP97" i="38"/>
  <c r="BN97" i="38"/>
  <c r="CM17" i="8"/>
  <c r="F17" i="8"/>
  <c r="L144" i="1"/>
  <c r="L141" i="53"/>
  <c r="AX97" i="38"/>
  <c r="BC97" i="38"/>
  <c r="BG97" i="38"/>
  <c r="BH97" i="38"/>
  <c r="AY97" i="38"/>
  <c r="BA97" i="38"/>
  <c r="BE97" i="38"/>
  <c r="BB97" i="38"/>
  <c r="BD97" i="38"/>
  <c r="BI97" i="38"/>
  <c r="AZ97" i="38"/>
  <c r="BF97" i="38"/>
  <c r="BT99" i="38" l="1"/>
  <c r="BR101" i="38"/>
  <c r="BS101" i="38"/>
  <c r="BU101" i="38"/>
  <c r="BI101" i="38"/>
  <c r="BI99" i="38"/>
  <c r="BC101" i="38"/>
  <c r="BC99" i="38"/>
  <c r="BM101" i="38"/>
  <c r="BM99" i="38"/>
  <c r="BD101" i="38"/>
  <c r="BD99" i="38"/>
  <c r="AX99" i="38"/>
  <c r="AX101" i="38"/>
  <c r="BN101" i="38"/>
  <c r="BN99" i="38"/>
  <c r="BB99" i="38"/>
  <c r="BB101" i="38"/>
  <c r="BP101" i="38"/>
  <c r="BP99" i="38"/>
  <c r="BE101" i="38"/>
  <c r="BE99" i="38"/>
  <c r="BO101" i="38"/>
  <c r="BO99" i="38"/>
  <c r="BA101" i="38"/>
  <c r="BA99" i="38"/>
  <c r="BQ101" i="38"/>
  <c r="BQ99" i="38"/>
  <c r="AY99" i="38"/>
  <c r="AY101" i="38"/>
  <c r="BK99" i="38"/>
  <c r="BK101" i="38"/>
  <c r="BF101" i="38"/>
  <c r="BF99" i="38"/>
  <c r="BH101" i="38"/>
  <c r="BH99" i="38"/>
  <c r="BJ101" i="38"/>
  <c r="BJ99" i="38"/>
  <c r="AZ101" i="38"/>
  <c r="AZ99" i="38"/>
  <c r="BG101" i="38"/>
  <c r="BG99" i="38"/>
  <c r="L103" i="53"/>
  <c r="L106" i="1"/>
  <c r="BL99" i="38"/>
  <c r="BL101" i="38"/>
  <c r="BK110" i="15" l="1"/>
  <c r="BL110" i="15" l="1"/>
  <c r="BM110" i="15" l="1"/>
  <c r="BN110" i="15" l="1"/>
  <c r="BO110" i="15" l="1"/>
  <c r="BP110" i="15" l="1"/>
  <c r="BQ110" i="15" l="1"/>
  <c r="BR110" i="15" l="1"/>
  <c r="BS110" i="15" l="1"/>
  <c r="BT110" i="15" l="1"/>
  <c r="BU110" i="15" l="1"/>
  <c r="BV110" i="15"/>
  <c r="BY69" i="38" l="1"/>
  <c r="BZ69" i="38"/>
  <c r="CA69" i="38"/>
  <c r="BX69" i="38" l="1"/>
  <c r="BX71" i="38" l="1"/>
  <c r="CA71" i="38"/>
  <c r="BZ71" i="38"/>
  <c r="BY71" i="38"/>
  <c r="CI97" i="15" l="1"/>
  <c r="B97" i="15"/>
  <c r="CM61" i="8" l="1"/>
  <c r="F61" i="8"/>
  <c r="C27" i="38"/>
  <c r="F55" i="8"/>
  <c r="CM55" i="8"/>
  <c r="C94" i="38" l="1"/>
  <c r="B146" i="2" l="1"/>
  <c r="B138" i="2"/>
  <c r="B140" i="2"/>
  <c r="H191" i="2" s="1"/>
  <c r="CI50" i="38"/>
  <c r="CI44" i="38" s="1"/>
  <c r="CI42" i="38" s="1"/>
  <c r="B96" i="2"/>
  <c r="C199" i="2" s="1"/>
  <c r="C14" i="29"/>
  <c r="B95" i="2"/>
  <c r="C198" i="2" s="1"/>
  <c r="C36" i="29"/>
  <c r="CH83" i="38"/>
  <c r="CH50" i="38"/>
  <c r="CH44" i="38" s="1"/>
  <c r="CG83" i="38"/>
  <c r="CG50" i="38"/>
  <c r="CG44" i="38" s="1"/>
  <c r="CG42" i="38" s="1"/>
  <c r="CF83" i="38"/>
  <c r="CF50" i="38"/>
  <c r="CF44" i="38" s="1"/>
  <c r="CF42" i="38" s="1"/>
  <c r="CE83" i="38"/>
  <c r="CE50" i="38"/>
  <c r="CE44" i="38" s="1"/>
  <c r="CD83" i="38"/>
  <c r="CD50" i="38"/>
  <c r="CD44" i="38" s="1"/>
  <c r="CC83" i="38"/>
  <c r="CC50" i="38"/>
  <c r="CC44" i="38" s="1"/>
  <c r="CB83" i="38"/>
  <c r="CB50" i="38"/>
  <c r="CB44" i="38" s="1"/>
  <c r="CA83" i="38"/>
  <c r="CA50" i="38"/>
  <c r="CA44" i="38" s="1"/>
  <c r="BZ83" i="38"/>
  <c r="BZ50" i="38"/>
  <c r="BZ44" i="38" s="1"/>
  <c r="BY83" i="38"/>
  <c r="BY50" i="38"/>
  <c r="BY44" i="38" s="1"/>
  <c r="BX50" i="38"/>
  <c r="BX44" i="38" s="1"/>
  <c r="B100" i="2" l="1"/>
  <c r="C203" i="2" s="1"/>
  <c r="BU34" i="29"/>
  <c r="BR34" i="29"/>
  <c r="BY103" i="15"/>
  <c r="BT34" i="29"/>
  <c r="B141" i="2"/>
  <c r="H188" i="2" s="1"/>
  <c r="CI77" i="15"/>
  <c r="BX83" i="38"/>
  <c r="B77" i="15"/>
  <c r="C130" i="2" s="1"/>
  <c r="B85" i="15"/>
  <c r="C138" i="2" s="1"/>
  <c r="CI85" i="15"/>
  <c r="CF103" i="15"/>
  <c r="CG103" i="15"/>
  <c r="B130" i="2"/>
  <c r="CI83" i="38"/>
  <c r="K30" i="57"/>
  <c r="L30" i="57" s="1"/>
  <c r="H186" i="2"/>
  <c r="R66" i="53"/>
  <c r="T66" i="53" s="1"/>
  <c r="BZ103" i="15"/>
  <c r="CC103" i="15"/>
  <c r="B131" i="2"/>
  <c r="H180" i="2" s="1"/>
  <c r="B14" i="29"/>
  <c r="BO34" i="29"/>
  <c r="CA103" i="15"/>
  <c r="CB103" i="15"/>
  <c r="CE103" i="15"/>
  <c r="B96" i="15"/>
  <c r="C146" i="2" s="1"/>
  <c r="CI96" i="15"/>
  <c r="BN34" i="29"/>
  <c r="CI47" i="15"/>
  <c r="B47" i="15"/>
  <c r="C95" i="2" s="1"/>
  <c r="B198" i="2" s="1"/>
  <c r="B36" i="29"/>
  <c r="B48" i="15"/>
  <c r="C96" i="2" s="1"/>
  <c r="B199" i="2" s="1"/>
  <c r="CI48" i="15"/>
  <c r="CD103" i="15"/>
  <c r="BX103" i="15"/>
  <c r="BP34" i="29"/>
  <c r="BV34" i="29"/>
  <c r="BW34" i="29"/>
  <c r="CI109" i="15"/>
  <c r="BQ34" i="29"/>
  <c r="BS34" i="29"/>
  <c r="R67" i="53"/>
  <c r="T67" i="53" s="1"/>
  <c r="K26" i="57"/>
  <c r="H26" i="57"/>
  <c r="B128" i="2"/>
  <c r="B151" i="2"/>
  <c r="H189" i="2" s="1"/>
  <c r="B135" i="2"/>
  <c r="H184" i="2" s="1"/>
  <c r="B129" i="2"/>
  <c r="H179" i="2" s="1"/>
  <c r="B127" i="2"/>
  <c r="H177" i="2" s="1"/>
  <c r="B94" i="2"/>
  <c r="C197" i="2" s="1"/>
  <c r="B87" i="2"/>
  <c r="B86" i="2"/>
  <c r="C192" i="2" s="1"/>
  <c r="CF69" i="38"/>
  <c r="CE69" i="38"/>
  <c r="CD69" i="38"/>
  <c r="CC69" i="38"/>
  <c r="CI95" i="38"/>
  <c r="CH95" i="38"/>
  <c r="CG95" i="38"/>
  <c r="CF95" i="38"/>
  <c r="CE95" i="38"/>
  <c r="CD95" i="38"/>
  <c r="CC95" i="38"/>
  <c r="CB95" i="38"/>
  <c r="CA95" i="38"/>
  <c r="BZ95" i="38"/>
  <c r="BY95" i="38"/>
  <c r="BX80" i="29"/>
  <c r="BW80" i="29"/>
  <c r="BV80" i="29"/>
  <c r="BU80" i="29"/>
  <c r="BT80" i="29"/>
  <c r="BS80" i="29"/>
  <c r="BR80" i="29"/>
  <c r="BQ80" i="29"/>
  <c r="BP80" i="29"/>
  <c r="BO80" i="29"/>
  <c r="BN80" i="29"/>
  <c r="BM80" i="29"/>
  <c r="CI87" i="15" l="1"/>
  <c r="BS79" i="29"/>
  <c r="BS78" i="29"/>
  <c r="BS28" i="29"/>
  <c r="CG67" i="8"/>
  <c r="CI67" i="8"/>
  <c r="BR24" i="29"/>
  <c r="CI78" i="15"/>
  <c r="BN28" i="29"/>
  <c r="CB67" i="8"/>
  <c r="CI88" i="15"/>
  <c r="BV28" i="29"/>
  <c r="CJ67" i="8"/>
  <c r="CE30" i="38"/>
  <c r="B78" i="15"/>
  <c r="C131" i="2" s="1"/>
  <c r="G180" i="2" s="1"/>
  <c r="CC67" i="8"/>
  <c r="CK67" i="8"/>
  <c r="BS24" i="29"/>
  <c r="CF30" i="38"/>
  <c r="B52" i="15"/>
  <c r="C100" i="2" s="1"/>
  <c r="B203" i="2" s="1"/>
  <c r="B88" i="15"/>
  <c r="C141" i="2" s="1"/>
  <c r="G188" i="2" s="1"/>
  <c r="BP79" i="29"/>
  <c r="BX79" i="29"/>
  <c r="BP78" i="29"/>
  <c r="BX78" i="29"/>
  <c r="BP28" i="29"/>
  <c r="BX28" i="29"/>
  <c r="CD67" i="8"/>
  <c r="CL67" i="8"/>
  <c r="BT24" i="29"/>
  <c r="CA30" i="38"/>
  <c r="CG30" i="38"/>
  <c r="B87" i="15"/>
  <c r="C140" i="2" s="1"/>
  <c r="G191" i="2" s="1"/>
  <c r="BQ79" i="29"/>
  <c r="BQ78" i="29"/>
  <c r="BQ28" i="29"/>
  <c r="CE67" i="8"/>
  <c r="BU24" i="29"/>
  <c r="CB30" i="38"/>
  <c r="CH30" i="38"/>
  <c r="BR79" i="29"/>
  <c r="BR78" i="29"/>
  <c r="CF67" i="8"/>
  <c r="B74" i="15"/>
  <c r="C127" i="2" s="1"/>
  <c r="G177" i="2" s="1"/>
  <c r="CI74" i="15"/>
  <c r="CI46" i="15"/>
  <c r="B46" i="15"/>
  <c r="C94" i="2" s="1"/>
  <c r="B197" i="2" s="1"/>
  <c r="C26" i="29"/>
  <c r="B26" i="29"/>
  <c r="B18" i="29"/>
  <c r="C18" i="29"/>
  <c r="CM56" i="8"/>
  <c r="F56" i="8"/>
  <c r="CM60" i="8"/>
  <c r="F60" i="8"/>
  <c r="CM59" i="8"/>
  <c r="F59" i="8"/>
  <c r="BZ67" i="8"/>
  <c r="BM24" i="29"/>
  <c r="B23" i="29"/>
  <c r="C23" i="29"/>
  <c r="CB69" i="38"/>
  <c r="C67" i="38"/>
  <c r="C69" i="38" s="1"/>
  <c r="B38" i="15"/>
  <c r="C86" i="2" s="1"/>
  <c r="B192" i="2" s="1"/>
  <c r="CI38" i="15"/>
  <c r="CH103" i="15"/>
  <c r="B155" i="2"/>
  <c r="B158" i="2" s="1"/>
  <c r="H190" i="2" s="1"/>
  <c r="C33" i="29"/>
  <c r="G39" i="57" s="1"/>
  <c r="BX34" i="29"/>
  <c r="C34" i="29" s="1"/>
  <c r="H39" i="57" s="1"/>
  <c r="C14" i="38"/>
  <c r="BR28" i="29"/>
  <c r="BN24" i="29"/>
  <c r="BN30" i="29" s="1"/>
  <c r="BV24" i="29"/>
  <c r="C24" i="38"/>
  <c r="CI30" i="38"/>
  <c r="B15" i="29"/>
  <c r="C15" i="29"/>
  <c r="CM66" i="8"/>
  <c r="F66" i="8"/>
  <c r="F48" i="8"/>
  <c r="CM48" i="8"/>
  <c r="L26" i="57"/>
  <c r="C83" i="38"/>
  <c r="BO24" i="29"/>
  <c r="BW24" i="29"/>
  <c r="BX95" i="38"/>
  <c r="C93" i="38"/>
  <c r="C95" i="38" s="1"/>
  <c r="C28" i="38"/>
  <c r="CI82" i="15"/>
  <c r="B82" i="15"/>
  <c r="C135" i="2" s="1"/>
  <c r="G184" i="2" s="1"/>
  <c r="B94" i="15"/>
  <c r="C151" i="2" s="1"/>
  <c r="G189" i="2" s="1"/>
  <c r="CI94" i="15"/>
  <c r="B75" i="15"/>
  <c r="C128" i="2" s="1"/>
  <c r="CI75" i="15"/>
  <c r="BT79" i="29"/>
  <c r="BT78" i="29"/>
  <c r="BT28" i="29"/>
  <c r="CH67" i="8"/>
  <c r="BP24" i="29"/>
  <c r="BX24" i="29"/>
  <c r="C57" i="38"/>
  <c r="BM79" i="29"/>
  <c r="BU79" i="29"/>
  <c r="BM78" i="29"/>
  <c r="BU78" i="29"/>
  <c r="B27" i="29"/>
  <c r="C27" i="29"/>
  <c r="BM28" i="29"/>
  <c r="BU28" i="29"/>
  <c r="CM54" i="8"/>
  <c r="F54" i="8"/>
  <c r="CM58" i="8"/>
  <c r="F58" i="8"/>
  <c r="CM62" i="8"/>
  <c r="F62" i="8"/>
  <c r="CM63" i="8"/>
  <c r="F63" i="8"/>
  <c r="CM64" i="8"/>
  <c r="F64" i="8"/>
  <c r="B19" i="29"/>
  <c r="B20" i="29" s="1"/>
  <c r="F114" i="1" s="1"/>
  <c r="C19" i="29"/>
  <c r="C20" i="29" s="1"/>
  <c r="CM57" i="8"/>
  <c r="F57" i="8"/>
  <c r="C22" i="29"/>
  <c r="B22" i="29"/>
  <c r="BQ24" i="29"/>
  <c r="CD30" i="38"/>
  <c r="B39" i="15"/>
  <c r="C87" i="2" s="1"/>
  <c r="CI39" i="15"/>
  <c r="CI52" i="15"/>
  <c r="BN79" i="29"/>
  <c r="BV78" i="29"/>
  <c r="BY30" i="38"/>
  <c r="C23" i="38"/>
  <c r="CC30" i="38"/>
  <c r="B17" i="29"/>
  <c r="J113" i="1" s="1"/>
  <c r="C17" i="29"/>
  <c r="K26" i="2"/>
  <c r="R69" i="1"/>
  <c r="H26" i="2"/>
  <c r="BV79" i="29"/>
  <c r="BN78" i="29"/>
  <c r="BO79" i="29"/>
  <c r="BW79" i="29"/>
  <c r="BO78" i="29"/>
  <c r="BW78" i="29"/>
  <c r="BO28" i="29"/>
  <c r="BW28" i="29"/>
  <c r="R106" i="1"/>
  <c r="BZ30" i="38"/>
  <c r="C25" i="38"/>
  <c r="C26" i="38"/>
  <c r="BX30" i="38"/>
  <c r="C29" i="38"/>
  <c r="CI76" i="15"/>
  <c r="B76" i="15"/>
  <c r="C129" i="2" s="1"/>
  <c r="G179" i="2" s="1"/>
  <c r="C193" i="2"/>
  <c r="R71" i="53"/>
  <c r="T71" i="53" s="1"/>
  <c r="H178" i="2"/>
  <c r="K27" i="57"/>
  <c r="L27" i="57" s="1"/>
  <c r="CI101" i="15"/>
  <c r="B101" i="15"/>
  <c r="C155" i="2" s="1"/>
  <c r="C158" i="2" s="1"/>
  <c r="G190" i="2" s="1"/>
  <c r="BW103" i="15"/>
  <c r="B33" i="29"/>
  <c r="G40" i="2" s="1"/>
  <c r="BM34" i="29"/>
  <c r="E30" i="2"/>
  <c r="L30" i="2" s="1"/>
  <c r="G186" i="2"/>
  <c r="R68" i="1"/>
  <c r="CC11" i="8" l="1"/>
  <c r="CC29" i="8"/>
  <c r="CI11" i="8"/>
  <c r="CI29" i="8"/>
  <c r="CE29" i="8"/>
  <c r="CE11" i="8"/>
  <c r="CL29" i="8"/>
  <c r="CL11" i="8"/>
  <c r="CJ11" i="8"/>
  <c r="CJ29" i="8"/>
  <c r="CG11" i="8"/>
  <c r="CG29" i="8"/>
  <c r="CD29" i="8"/>
  <c r="CD11" i="8"/>
  <c r="CF11" i="8"/>
  <c r="CF29" i="8"/>
  <c r="CH11" i="8"/>
  <c r="CH29" i="8"/>
  <c r="CB11" i="8"/>
  <c r="CB29" i="8"/>
  <c r="CK11" i="8"/>
  <c r="CK29" i="8"/>
  <c r="BR30" i="29"/>
  <c r="B34" i="29"/>
  <c r="H40" i="2" s="1"/>
  <c r="D40" i="2" s="1"/>
  <c r="L40" i="2" s="1"/>
  <c r="BS30" i="29"/>
  <c r="BW30" i="29"/>
  <c r="BX30" i="29"/>
  <c r="C30" i="29" s="1"/>
  <c r="BO30" i="29"/>
  <c r="BU30" i="29"/>
  <c r="BT30" i="29"/>
  <c r="BV30" i="29"/>
  <c r="D39" i="57"/>
  <c r="L39" i="57" s="1"/>
  <c r="BP30" i="29"/>
  <c r="BQ30" i="29"/>
  <c r="L26" i="2"/>
  <c r="CF32" i="38"/>
  <c r="CH32" i="38"/>
  <c r="BY32" i="38"/>
  <c r="CA32" i="38"/>
  <c r="CB32" i="38"/>
  <c r="CE32" i="38"/>
  <c r="BZ32" i="38"/>
  <c r="CC32" i="38"/>
  <c r="CG32" i="38"/>
  <c r="BX32" i="38"/>
  <c r="CD32" i="38"/>
  <c r="CI32" i="38"/>
  <c r="J110" i="53"/>
  <c r="B28" i="29"/>
  <c r="B116" i="1" s="1"/>
  <c r="BM30" i="29"/>
  <c r="C28" i="29"/>
  <c r="T68" i="1"/>
  <c r="CE97" i="38"/>
  <c r="BX97" i="38"/>
  <c r="CC97" i="38"/>
  <c r="CD97" i="38"/>
  <c r="CB97" i="38"/>
  <c r="CI97" i="38"/>
  <c r="CF97" i="38"/>
  <c r="CH97" i="38"/>
  <c r="CG97" i="38"/>
  <c r="BY97" i="38"/>
  <c r="CA97" i="38"/>
  <c r="BZ97" i="38"/>
  <c r="C30" i="38"/>
  <c r="K27" i="2"/>
  <c r="L27" i="2" s="1"/>
  <c r="G178" i="2"/>
  <c r="CC71" i="38"/>
  <c r="CG71" i="38"/>
  <c r="CD71" i="38"/>
  <c r="CI71" i="38"/>
  <c r="CB71" i="38"/>
  <c r="CF71" i="38"/>
  <c r="CE71" i="38"/>
  <c r="CH71" i="38"/>
  <c r="B193" i="2"/>
  <c r="R73" i="1"/>
  <c r="T73" i="1" s="1"/>
  <c r="L114" i="1"/>
  <c r="F111" i="53"/>
  <c r="T69" i="1"/>
  <c r="B24" i="29"/>
  <c r="J116" i="1" s="1"/>
  <c r="J126" i="1" s="1"/>
  <c r="C24" i="29"/>
  <c r="B103" i="15"/>
  <c r="CI103" i="15"/>
  <c r="R64" i="82"/>
  <c r="R103" i="53"/>
  <c r="R125" i="53" s="1"/>
  <c r="R128" i="1"/>
  <c r="M142" i="84"/>
  <c r="M143" i="84" s="1"/>
  <c r="B16" i="29"/>
  <c r="B109" i="1" s="1"/>
  <c r="C16" i="29"/>
  <c r="CA67" i="8"/>
  <c r="F65" i="8"/>
  <c r="CM65" i="8"/>
  <c r="M113" i="84" a="1"/>
  <c r="M94" i="84" a="1"/>
  <c r="M68" i="84" a="1"/>
  <c r="M67" i="84" a="1"/>
  <c r="M67" i="84" l="1"/>
  <c r="M68" i="84"/>
  <c r="M94" i="84"/>
  <c r="M113" i="84"/>
  <c r="CA11" i="8"/>
  <c r="CA29" i="8"/>
  <c r="CM67" i="8"/>
  <c r="L116" i="1"/>
  <c r="T116" i="1" s="1"/>
  <c r="V116" i="1" s="1"/>
  <c r="D48" i="36" s="1"/>
  <c r="B113" i="53"/>
  <c r="T114" i="1"/>
  <c r="V114" i="1" s="1"/>
  <c r="L111" i="53"/>
  <c r="T111" i="53" s="1"/>
  <c r="V111" i="53" s="1"/>
  <c r="J113" i="53"/>
  <c r="J123" i="53" s="1"/>
  <c r="R129" i="53"/>
  <c r="R138" i="53"/>
  <c r="B106" i="53"/>
  <c r="F109" i="1"/>
  <c r="L109" i="1" s="1"/>
  <c r="H141" i="84" a="1"/>
  <c r="H141" i="84" s="1"/>
  <c r="M42" i="81"/>
  <c r="N42" i="81" s="1"/>
  <c r="R45" i="82"/>
  <c r="R132" i="1"/>
  <c r="R141" i="1"/>
  <c r="BT31" i="29"/>
  <c r="BQ31" i="29"/>
  <c r="BR31" i="29"/>
  <c r="BX31" i="29"/>
  <c r="BO31" i="29"/>
  <c r="BP31" i="29"/>
  <c r="BU31" i="29"/>
  <c r="B30" i="29"/>
  <c r="BV31" i="29"/>
  <c r="BN31" i="29"/>
  <c r="BW31" i="29"/>
  <c r="BS31" i="29"/>
  <c r="BM31" i="29"/>
  <c r="M80" i="84" a="1"/>
  <c r="M78" i="84" a="1"/>
  <c r="M125" i="84" a="1"/>
  <c r="M114" i="84" a="1"/>
  <c r="M114" i="84" l="1"/>
  <c r="M125" i="84"/>
  <c r="M78" i="84"/>
  <c r="M80" i="84"/>
  <c r="T109" i="1"/>
  <c r="L106" i="53"/>
  <c r="M54" i="81"/>
  <c r="N54" i="81" s="1"/>
  <c r="D46" i="36"/>
  <c r="R57" i="82"/>
  <c r="L113" i="53"/>
  <c r="T113" i="53" s="1"/>
  <c r="V113" i="53" s="1"/>
  <c r="F106" i="53"/>
  <c r="F123" i="53" s="1"/>
  <c r="F126" i="1"/>
  <c r="H48" i="36"/>
  <c r="D48" i="85"/>
  <c r="H48" i="47"/>
  <c r="D48" i="68"/>
  <c r="D48" i="88"/>
  <c r="D48" i="89"/>
  <c r="D48" i="86"/>
  <c r="D48" i="61"/>
  <c r="T48" i="60"/>
  <c r="F48" i="36"/>
  <c r="D48" i="62"/>
  <c r="D48" i="70"/>
  <c r="D48" i="87"/>
  <c r="M120" i="84" a="1"/>
  <c r="M127" i="84" a="1"/>
  <c r="M93" i="84" a="1"/>
  <c r="M93" i="84" l="1"/>
  <c r="M127" i="84"/>
  <c r="M120" i="84"/>
  <c r="H48" i="68"/>
  <c r="F48" i="68"/>
  <c r="H48" i="62"/>
  <c r="F48" i="62"/>
  <c r="F48" i="85"/>
  <c r="H48" i="85"/>
  <c r="F46" i="36"/>
  <c r="D46" i="61"/>
  <c r="D46" i="89"/>
  <c r="D46" i="88"/>
  <c r="D46" i="86"/>
  <c r="T46" i="60"/>
  <c r="D46" i="62"/>
  <c r="D46" i="85"/>
  <c r="H46" i="47"/>
  <c r="D46" i="87"/>
  <c r="D46" i="68"/>
  <c r="H46" i="36"/>
  <c r="D46" i="70"/>
  <c r="F48" i="61"/>
  <c r="H48" i="61"/>
  <c r="H48" i="86"/>
  <c r="F48" i="86"/>
  <c r="T106" i="53"/>
  <c r="H48" i="89"/>
  <c r="F48" i="89"/>
  <c r="H48" i="70"/>
  <c r="F48" i="70"/>
  <c r="F48" i="87"/>
  <c r="H48" i="87"/>
  <c r="F48" i="88"/>
  <c r="H48" i="88"/>
  <c r="V109" i="1"/>
  <c r="F46" i="85" l="1"/>
  <c r="H46" i="85"/>
  <c r="H46" i="62"/>
  <c r="F46" i="62"/>
  <c r="F46" i="70"/>
  <c r="H46" i="70"/>
  <c r="H46" i="86"/>
  <c r="F46" i="86"/>
  <c r="H46" i="88"/>
  <c r="F46" i="88"/>
  <c r="D41" i="36"/>
  <c r="F46" i="68"/>
  <c r="H46" i="68"/>
  <c r="H46" i="89"/>
  <c r="F46" i="89"/>
  <c r="V106" i="53"/>
  <c r="W106" i="53" s="1"/>
  <c r="F46" i="87"/>
  <c r="H46" i="87"/>
  <c r="H46" i="61"/>
  <c r="F46" i="61"/>
  <c r="D41" i="61" l="1"/>
  <c r="D41" i="88"/>
  <c r="D41" i="70"/>
  <c r="H41" i="47"/>
  <c r="F41" i="36"/>
  <c r="D41" i="85"/>
  <c r="T41" i="60"/>
  <c r="D41" i="89"/>
  <c r="D41" i="86"/>
  <c r="D41" i="87"/>
  <c r="H41" i="36"/>
  <c r="D41" i="68"/>
  <c r="D41" i="62"/>
  <c r="F41" i="89" l="1"/>
  <c r="H41" i="89"/>
  <c r="H41" i="85"/>
  <c r="F41" i="85"/>
  <c r="F41" i="62"/>
  <c r="H41" i="62"/>
  <c r="F41" i="70"/>
  <c r="H41" i="70"/>
  <c r="F41" i="87"/>
  <c r="H41" i="87"/>
  <c r="F41" i="88"/>
  <c r="H41" i="88"/>
  <c r="H41" i="68"/>
  <c r="F41" i="68"/>
  <c r="H41" i="86"/>
  <c r="F41" i="86"/>
  <c r="F41" i="61"/>
  <c r="H41" i="61"/>
  <c r="L31" i="2" l="1"/>
  <c r="D19" i="8" l="1"/>
  <c r="P141" i="53" l="1"/>
  <c r="P144" i="1"/>
  <c r="B147" i="2"/>
  <c r="F19" i="8" l="1"/>
  <c r="CM19" i="8"/>
  <c r="CI98" i="15"/>
  <c r="B98" i="15"/>
  <c r="C147" i="2" s="1"/>
  <c r="B170" i="1" s="1"/>
  <c r="C22" i="66" l="1"/>
  <c r="B40" i="69"/>
  <c r="P106" i="1"/>
  <c r="P128" i="1" s="1"/>
  <c r="P103" i="53"/>
  <c r="P119" i="53" s="1"/>
  <c r="P132" i="1" l="1"/>
  <c r="P141" i="1"/>
  <c r="T119" i="53"/>
  <c r="V119" i="53" s="1"/>
  <c r="P123" i="53"/>
  <c r="P125" i="53" s="1"/>
  <c r="P138" i="53" l="1"/>
  <c r="P129" i="53"/>
  <c r="D18" i="8" l="1"/>
  <c r="D40" i="8"/>
  <c r="D39" i="8"/>
  <c r="D38" i="8"/>
  <c r="D36" i="8"/>
  <c r="CD41" i="8"/>
  <c r="D16" i="8"/>
  <c r="D15" i="8"/>
  <c r="D14" i="8"/>
  <c r="D13" i="8"/>
  <c r="D12" i="8"/>
  <c r="D8" i="8"/>
  <c r="B58" i="2"/>
  <c r="B59" i="2"/>
  <c r="N53" i="53" s="1"/>
  <c r="N77" i="53" s="1"/>
  <c r="N81" i="53" s="1"/>
  <c r="N90" i="53" s="1"/>
  <c r="B60" i="2"/>
  <c r="D53" i="53" s="1"/>
  <c r="D77" i="53" s="1"/>
  <c r="D81" i="53" s="1"/>
  <c r="D90" i="53" s="1"/>
  <c r="B63" i="2"/>
  <c r="F53" i="53" s="1"/>
  <c r="F77" i="53" s="1"/>
  <c r="F81" i="53" s="1"/>
  <c r="F90" i="53" s="1"/>
  <c r="B74" i="2"/>
  <c r="C180" i="2" s="1"/>
  <c r="B75" i="2"/>
  <c r="C181" i="2" s="1"/>
  <c r="B76" i="2"/>
  <c r="B78" i="2"/>
  <c r="C184" i="2" s="1"/>
  <c r="B79" i="2"/>
  <c r="B80" i="2"/>
  <c r="C186" i="2" s="1"/>
  <c r="B81" i="2"/>
  <c r="B82" i="2"/>
  <c r="C188" i="2" s="1"/>
  <c r="B83" i="2"/>
  <c r="C189" i="2" s="1"/>
  <c r="B84" i="2"/>
  <c r="C190" i="2" s="1"/>
  <c r="B85" i="2"/>
  <c r="C191" i="2" s="1"/>
  <c r="B92" i="2"/>
  <c r="C195" i="2" s="1"/>
  <c r="B93" i="2"/>
  <c r="C196" i="2" s="1"/>
  <c r="B98" i="2"/>
  <c r="B99" i="2"/>
  <c r="B114" i="2"/>
  <c r="B132" i="2"/>
  <c r="H181" i="2" s="1"/>
  <c r="B134" i="2"/>
  <c r="B137" i="2"/>
  <c r="BY84" i="38"/>
  <c r="BZ84" i="38"/>
  <c r="CA84" i="38"/>
  <c r="CB84" i="38"/>
  <c r="CC84" i="38"/>
  <c r="CD84" i="38"/>
  <c r="CE84" i="38"/>
  <c r="CF84" i="38"/>
  <c r="CG84" i="38"/>
  <c r="CH84" i="38"/>
  <c r="B149" i="2"/>
  <c r="H53" i="53" s="1"/>
  <c r="H77" i="53" s="1"/>
  <c r="H81" i="53" s="1"/>
  <c r="H90" i="53" s="1"/>
  <c r="B145" i="2"/>
  <c r="CD32" i="8" l="1"/>
  <c r="CL32" i="8"/>
  <c r="CC41" i="8"/>
  <c r="CG32" i="8"/>
  <c r="CI84" i="38"/>
  <c r="B136" i="2"/>
  <c r="H183" i="2"/>
  <c r="R64" i="53"/>
  <c r="T64" i="53" s="1"/>
  <c r="G28" i="57"/>
  <c r="L28" i="57" s="1"/>
  <c r="CD82" i="38"/>
  <c r="CD85" i="38" s="1"/>
  <c r="CD101" i="38" s="1"/>
  <c r="CC99" i="15"/>
  <c r="BW68" i="15"/>
  <c r="BX10" i="38"/>
  <c r="CI44" i="15"/>
  <c r="B44" i="15"/>
  <c r="C92" i="2" s="1"/>
  <c r="B195" i="2" s="1"/>
  <c r="BY12" i="38"/>
  <c r="BX53" i="15"/>
  <c r="C182" i="2"/>
  <c r="R57" i="53"/>
  <c r="K17" i="57"/>
  <c r="CG40" i="15"/>
  <c r="BY40" i="15"/>
  <c r="F26" i="8"/>
  <c r="CM26" i="8"/>
  <c r="F27" i="8"/>
  <c r="CM27" i="8"/>
  <c r="F36" i="8"/>
  <c r="CM36" i="8"/>
  <c r="N144" i="1"/>
  <c r="N141" i="53"/>
  <c r="CJ20" i="8"/>
  <c r="CB20" i="8"/>
  <c r="CJ9" i="8"/>
  <c r="CB9" i="8"/>
  <c r="CC82" i="38"/>
  <c r="CC85" i="38" s="1"/>
  <c r="CC101" i="38" s="1"/>
  <c r="CB99" i="15"/>
  <c r="B51" i="15"/>
  <c r="C99" i="2" s="1"/>
  <c r="CI51" i="15"/>
  <c r="BX12" i="38"/>
  <c r="BW53" i="15"/>
  <c r="CI37" i="15"/>
  <c r="B37" i="15"/>
  <c r="C85" i="2" s="1"/>
  <c r="B191" i="2" s="1"/>
  <c r="B30" i="15"/>
  <c r="C79" i="2" s="1"/>
  <c r="CI30" i="15"/>
  <c r="CF40" i="15"/>
  <c r="BX40" i="15"/>
  <c r="G33" i="57"/>
  <c r="L33" i="57" s="1"/>
  <c r="L53" i="53"/>
  <c r="L56" i="53" s="1"/>
  <c r="H141" i="53"/>
  <c r="H144" i="1"/>
  <c r="CM13" i="8"/>
  <c r="F13" i="8"/>
  <c r="F16" i="8"/>
  <c r="CM16" i="8"/>
  <c r="CF32" i="8"/>
  <c r="CM11" i="8"/>
  <c r="F11" i="8"/>
  <c r="CI9" i="8"/>
  <c r="F7" i="8"/>
  <c r="CM7" i="8"/>
  <c r="CA9" i="8"/>
  <c r="B93" i="15"/>
  <c r="C149" i="2" s="1"/>
  <c r="H55" i="1" s="1"/>
  <c r="CI93" i="15"/>
  <c r="CI84" i="15"/>
  <c r="B84" i="15"/>
  <c r="C137" i="2" s="1"/>
  <c r="CB82" i="38"/>
  <c r="CB85" i="38" s="1"/>
  <c r="CB101" i="38" s="1"/>
  <c r="CA99" i="15"/>
  <c r="C187" i="2"/>
  <c r="K21" i="57"/>
  <c r="L21" i="57" s="1"/>
  <c r="R59" i="53"/>
  <c r="T59" i="53" s="1"/>
  <c r="B29" i="15"/>
  <c r="C78" i="2" s="1"/>
  <c r="B184" i="2" s="1"/>
  <c r="CI29" i="15"/>
  <c r="CE40" i="15"/>
  <c r="CI24" i="15"/>
  <c r="B24" i="15"/>
  <c r="C73" i="2" s="1"/>
  <c r="BW40" i="15"/>
  <c r="CE41" i="8"/>
  <c r="F38" i="8"/>
  <c r="CM38" i="8"/>
  <c r="CM39" i="8"/>
  <c r="F39" i="8"/>
  <c r="CH9" i="8"/>
  <c r="BX84" i="38"/>
  <c r="B83" i="15"/>
  <c r="C136" i="2" s="1"/>
  <c r="CI83" i="15"/>
  <c r="B81" i="15"/>
  <c r="C134" i="2" s="1"/>
  <c r="CI81" i="15"/>
  <c r="CH99" i="15"/>
  <c r="B150" i="2"/>
  <c r="CI82" i="38"/>
  <c r="CI85" i="38" s="1"/>
  <c r="CI101" i="38" s="1"/>
  <c r="C101" i="38" s="1"/>
  <c r="D52" i="3" s="1"/>
  <c r="L160" i="53" s="1"/>
  <c r="BZ99" i="15"/>
  <c r="CA82" i="38"/>
  <c r="CA85" i="38" s="1"/>
  <c r="CA101" i="38" s="1"/>
  <c r="R68" i="53"/>
  <c r="T68" i="53" s="1"/>
  <c r="C201" i="2"/>
  <c r="H24" i="57"/>
  <c r="K24" i="57"/>
  <c r="B36" i="15"/>
  <c r="C84" i="2" s="1"/>
  <c r="B190" i="2" s="1"/>
  <c r="CI36" i="15"/>
  <c r="CI34" i="15"/>
  <c r="B34" i="15"/>
  <c r="CI33" i="15"/>
  <c r="B33" i="15"/>
  <c r="C82" i="2" s="1"/>
  <c r="B188" i="2" s="1"/>
  <c r="B27" i="15"/>
  <c r="C76" i="2" s="1"/>
  <c r="CI27" i="15"/>
  <c r="CI26" i="15"/>
  <c r="B26" i="15"/>
  <c r="C75" i="2" s="1"/>
  <c r="B181" i="2" s="1"/>
  <c r="CD40" i="15"/>
  <c r="CM8" i="8"/>
  <c r="F8" i="8"/>
  <c r="CF41" i="8"/>
  <c r="CG20" i="8"/>
  <c r="CG9" i="8"/>
  <c r="B164" i="53"/>
  <c r="CH82" i="38"/>
  <c r="CH85" i="38" s="1"/>
  <c r="CH101" i="38" s="1"/>
  <c r="CG99" i="15"/>
  <c r="BY99" i="15"/>
  <c r="BZ82" i="38"/>
  <c r="BZ85" i="38" s="1"/>
  <c r="BZ101" i="38" s="1"/>
  <c r="CI11" i="38"/>
  <c r="B120" i="2"/>
  <c r="CB10" i="38"/>
  <c r="CI35" i="15"/>
  <c r="B35" i="15"/>
  <c r="B25" i="15"/>
  <c r="C74" i="2" s="1"/>
  <c r="B180" i="2" s="1"/>
  <c r="CI25" i="15"/>
  <c r="CC40" i="15"/>
  <c r="CI15" i="15"/>
  <c r="B15" i="15"/>
  <c r="C63" i="2" s="1"/>
  <c r="F55" i="1" s="1"/>
  <c r="B11" i="15"/>
  <c r="C58" i="2" s="1"/>
  <c r="CI11" i="15"/>
  <c r="J141" i="53"/>
  <c r="J144" i="1"/>
  <c r="CH32" i="8"/>
  <c r="CA32" i="8"/>
  <c r="CH20" i="8"/>
  <c r="CF20" i="8"/>
  <c r="CF9" i="8"/>
  <c r="B79" i="15"/>
  <c r="C132" i="2" s="1"/>
  <c r="G181" i="2" s="1"/>
  <c r="CI79" i="15"/>
  <c r="CG82" i="38"/>
  <c r="CG85" i="38" s="1"/>
  <c r="CG101" i="38" s="1"/>
  <c r="CF99" i="15"/>
  <c r="BX99" i="15"/>
  <c r="BY82" i="38"/>
  <c r="BY85" i="38" s="1"/>
  <c r="BY101" i="38" s="1"/>
  <c r="CH11" i="38"/>
  <c r="CH69" i="15"/>
  <c r="CA10" i="38"/>
  <c r="CI45" i="15"/>
  <c r="B45" i="15"/>
  <c r="C93" i="2" s="1"/>
  <c r="B196" i="2" s="1"/>
  <c r="CB12" i="38"/>
  <c r="CA53" i="15"/>
  <c r="B32" i="15"/>
  <c r="C81" i="2" s="1"/>
  <c r="CI32" i="15"/>
  <c r="CB40" i="15"/>
  <c r="B12" i="15"/>
  <c r="C59" i="2" s="1"/>
  <c r="N55" i="1" s="1"/>
  <c r="CI12" i="15"/>
  <c r="F14" i="8"/>
  <c r="CM14" i="8"/>
  <c r="F25" i="8"/>
  <c r="CM25" i="8"/>
  <c r="CI32" i="8"/>
  <c r="CA20" i="8"/>
  <c r="CI20" i="8"/>
  <c r="CE20" i="8"/>
  <c r="CE9" i="8"/>
  <c r="CE99" i="15"/>
  <c r="CF82" i="38"/>
  <c r="CF85" i="38" s="1"/>
  <c r="CF101" i="38" s="1"/>
  <c r="B92" i="15"/>
  <c r="C150" i="2" s="1"/>
  <c r="BW99" i="15"/>
  <c r="BX82" i="38"/>
  <c r="CI92" i="15"/>
  <c r="CG11" i="38"/>
  <c r="CG69" i="15"/>
  <c r="BZ10" i="38"/>
  <c r="C202" i="2"/>
  <c r="R63" i="53"/>
  <c r="T63" i="53" s="1"/>
  <c r="K25" i="57"/>
  <c r="L25" i="57" s="1"/>
  <c r="CI50" i="15"/>
  <c r="B50" i="15"/>
  <c r="C98" i="2" s="1"/>
  <c r="CA12" i="38"/>
  <c r="BZ53" i="15"/>
  <c r="CI31" i="15"/>
  <c r="B31" i="15"/>
  <c r="C80" i="2" s="1"/>
  <c r="B186" i="2" s="1"/>
  <c r="R60" i="53"/>
  <c r="T60" i="53" s="1"/>
  <c r="C185" i="2"/>
  <c r="K19" i="57"/>
  <c r="L19" i="57" s="1"/>
  <c r="CA40" i="15"/>
  <c r="B13" i="15"/>
  <c r="C60" i="2" s="1"/>
  <c r="D55" i="1" s="1"/>
  <c r="CI13" i="15"/>
  <c r="D141" i="53"/>
  <c r="D144" i="1"/>
  <c r="F12" i="8"/>
  <c r="CM12" i="8"/>
  <c r="CA41" i="8"/>
  <c r="F40" i="8"/>
  <c r="CM40" i="8"/>
  <c r="CL20" i="8"/>
  <c r="D11" i="8"/>
  <c r="CD20" i="8"/>
  <c r="CL9" i="8"/>
  <c r="D7" i="8"/>
  <c r="CD9" i="8"/>
  <c r="B95" i="15"/>
  <c r="C145" i="2" s="1"/>
  <c r="CI95" i="15"/>
  <c r="K29" i="57"/>
  <c r="L29" i="57" s="1"/>
  <c r="R65" i="53"/>
  <c r="T65" i="53" s="1"/>
  <c r="H185" i="2"/>
  <c r="CD99" i="15"/>
  <c r="CE82" i="38"/>
  <c r="CE85" i="38" s="1"/>
  <c r="CE101" i="38" s="1"/>
  <c r="BX11" i="38"/>
  <c r="D21" i="90"/>
  <c r="D22" i="90" s="1"/>
  <c r="BY10" i="38"/>
  <c r="CI62" i="15"/>
  <c r="B62" i="15"/>
  <c r="C114" i="2" s="1"/>
  <c r="BY53" i="15"/>
  <c r="BZ12" i="38"/>
  <c r="CH40" i="15"/>
  <c r="B73" i="2"/>
  <c r="BZ40" i="15"/>
  <c r="CM15" i="8"/>
  <c r="F15" i="8"/>
  <c r="CM28" i="8"/>
  <c r="F28" i="8"/>
  <c r="CB41" i="8"/>
  <c r="CK20" i="8"/>
  <c r="CC20" i="8"/>
  <c r="CK9" i="8"/>
  <c r="CC9" i="8"/>
  <c r="CE32" i="8"/>
  <c r="CK32" i="8"/>
  <c r="CC32" i="8"/>
  <c r="CB32" i="8"/>
  <c r="CJ32" i="8"/>
  <c r="B160" i="53" l="1"/>
  <c r="AB160" i="53" s="1"/>
  <c r="B153" i="2"/>
  <c r="C84" i="38"/>
  <c r="CF22" i="8"/>
  <c r="CL22" i="8"/>
  <c r="CF43" i="8"/>
  <c r="CF44" i="8" s="1"/>
  <c r="B164" i="1"/>
  <c r="C16" i="66" s="1"/>
  <c r="CB22" i="8"/>
  <c r="CB43" i="8" s="1"/>
  <c r="CB44" i="8" s="1"/>
  <c r="CD22" i="8"/>
  <c r="CD43" i="8" s="1"/>
  <c r="CD44" i="8" s="1"/>
  <c r="C83" i="2"/>
  <c r="B189" i="2" s="1"/>
  <c r="CA22" i="8"/>
  <c r="CA43" i="8" s="1"/>
  <c r="CA44" i="8" s="1"/>
  <c r="CM20" i="8"/>
  <c r="F20" i="8"/>
  <c r="CM32" i="8"/>
  <c r="C153" i="2"/>
  <c r="B168" i="1"/>
  <c r="CA33" i="8"/>
  <c r="F32" i="8"/>
  <c r="G33" i="2"/>
  <c r="L33" i="2" s="1"/>
  <c r="L55" i="1"/>
  <c r="F9" i="8"/>
  <c r="CM9" i="8"/>
  <c r="P56" i="53"/>
  <c r="L75" i="53"/>
  <c r="L77" i="53" s="1"/>
  <c r="L81" i="53" s="1"/>
  <c r="L90" i="53" s="1"/>
  <c r="BY11" i="38"/>
  <c r="BY15" i="38" s="1"/>
  <c r="BY36" i="38" s="1"/>
  <c r="E21" i="90"/>
  <c r="E22" i="90" s="1"/>
  <c r="R61" i="1"/>
  <c r="K21" i="2"/>
  <c r="L21" i="2" s="1"/>
  <c r="B187" i="2"/>
  <c r="F79" i="1"/>
  <c r="F83" i="1" s="1"/>
  <c r="F92" i="1" s="1"/>
  <c r="M36" i="84"/>
  <c r="M40" i="84" s="1"/>
  <c r="T160" i="53"/>
  <c r="P160" i="53"/>
  <c r="CH22" i="8"/>
  <c r="B40" i="15"/>
  <c r="CI40" i="15"/>
  <c r="CJ22" i="8"/>
  <c r="B144" i="1"/>
  <c r="B141" i="53"/>
  <c r="D9" i="8"/>
  <c r="CG22" i="8"/>
  <c r="B179" i="2"/>
  <c r="D12" i="36"/>
  <c r="B103" i="53"/>
  <c r="B106" i="1"/>
  <c r="BX68" i="15"/>
  <c r="M31" i="84"/>
  <c r="M33" i="84" s="1"/>
  <c r="D79" i="1"/>
  <c r="D83" i="1" s="1"/>
  <c r="D92" i="1" s="1"/>
  <c r="CE22" i="8"/>
  <c r="CE43" i="8" s="1"/>
  <c r="CE44" i="8" s="1"/>
  <c r="CM29" i="8"/>
  <c r="F29" i="8"/>
  <c r="CI22" i="8"/>
  <c r="J106" i="1"/>
  <c r="J103" i="53"/>
  <c r="J125" i="53" s="1"/>
  <c r="CM30" i="8"/>
  <c r="H24" i="2"/>
  <c r="B201" i="2"/>
  <c r="R70" i="1"/>
  <c r="K24" i="2"/>
  <c r="K17" i="2"/>
  <c r="B182" i="2"/>
  <c r="R59" i="1"/>
  <c r="H42" i="57"/>
  <c r="D164" i="53" s="1"/>
  <c r="AB164" i="53" s="1"/>
  <c r="L24" i="57"/>
  <c r="R67" i="1"/>
  <c r="E29" i="2"/>
  <c r="L29" i="2" s="1"/>
  <c r="G185" i="2"/>
  <c r="CC22" i="8"/>
  <c r="CC43" i="8" s="1"/>
  <c r="CC44" i="8" s="1"/>
  <c r="F30" i="8"/>
  <c r="M28" i="81" s="1"/>
  <c r="N28" i="81" s="1"/>
  <c r="C179" i="2"/>
  <c r="B89" i="2"/>
  <c r="F144" i="1"/>
  <c r="T144" i="1" s="1"/>
  <c r="D20" i="8"/>
  <c r="F141" i="53"/>
  <c r="T141" i="53" s="1"/>
  <c r="G28" i="2"/>
  <c r="L28" i="2" s="1"/>
  <c r="G183" i="2"/>
  <c r="R66" i="1"/>
  <c r="F103" i="53"/>
  <c r="F125" i="53" s="1"/>
  <c r="F106" i="1"/>
  <c r="B185" i="2"/>
  <c r="R62" i="1"/>
  <c r="K19" i="2"/>
  <c r="L19" i="2" s="1"/>
  <c r="B202" i="2"/>
  <c r="R65" i="1"/>
  <c r="E25" i="2"/>
  <c r="CK22" i="8"/>
  <c r="R26" i="82"/>
  <c r="M26" i="81"/>
  <c r="N26" i="81" s="1"/>
  <c r="C82" i="38"/>
  <c r="C85" i="38" s="1"/>
  <c r="C99" i="38" s="1"/>
  <c r="D19" i="3" s="1"/>
  <c r="L164" i="1" s="1"/>
  <c r="BX85" i="38"/>
  <c r="CM18" i="8"/>
  <c r="F18" i="8"/>
  <c r="M52" i="84"/>
  <c r="M56" i="84" s="1"/>
  <c r="N79" i="1"/>
  <c r="N83" i="1" s="1"/>
  <c r="N92" i="1" s="1"/>
  <c r="D10" i="36" s="1"/>
  <c r="D103" i="53"/>
  <c r="D106" i="1"/>
  <c r="L17" i="57"/>
  <c r="K42" i="57"/>
  <c r="D16" i="90"/>
  <c r="H106" i="1"/>
  <c r="H103" i="53"/>
  <c r="H125" i="53" s="1"/>
  <c r="CI99" i="15"/>
  <c r="B99" i="15"/>
  <c r="M43" i="84"/>
  <c r="M44" i="84" s="1"/>
  <c r="H79" i="1"/>
  <c r="H83" i="1" s="1"/>
  <c r="H92" i="1" s="1"/>
  <c r="T57" i="53"/>
  <c r="BX15" i="38"/>
  <c r="C89" i="2" l="1"/>
  <c r="B37" i="69"/>
  <c r="R29" i="82"/>
  <c r="S29" i="82" s="1"/>
  <c r="CE87" i="38"/>
  <c r="CE99" i="38" s="1"/>
  <c r="BY87" i="38"/>
  <c r="BY99" i="38" s="1"/>
  <c r="CG87" i="38"/>
  <c r="CG99" i="38" s="1"/>
  <c r="CF87" i="38"/>
  <c r="CF99" i="38" s="1"/>
  <c r="CC87" i="38"/>
  <c r="CC99" i="38" s="1"/>
  <c r="CI87" i="38"/>
  <c r="CI99" i="38" s="1"/>
  <c r="CH87" i="38"/>
  <c r="CH99" i="38" s="1"/>
  <c r="CA87" i="38"/>
  <c r="CA99" i="38" s="1"/>
  <c r="BZ87" i="38"/>
  <c r="BZ99" i="38" s="1"/>
  <c r="BX101" i="38"/>
  <c r="BX87" i="38"/>
  <c r="BX99" i="38" s="1"/>
  <c r="CD87" i="38"/>
  <c r="CD99" i="38" s="1"/>
  <c r="CB87" i="38"/>
  <c r="CB99" i="38" s="1"/>
  <c r="L17" i="2"/>
  <c r="K43" i="2"/>
  <c r="J138" i="53"/>
  <c r="J129" i="53"/>
  <c r="D12" i="88"/>
  <c r="F12" i="88" s="1"/>
  <c r="D12" i="85"/>
  <c r="F12" i="85" s="1"/>
  <c r="D12" i="86"/>
  <c r="F12" i="86" s="1"/>
  <c r="D12" i="87"/>
  <c r="F12" i="87" s="1"/>
  <c r="D12" i="68"/>
  <c r="F12" i="68" s="1"/>
  <c r="D12" i="55"/>
  <c r="F12" i="55" s="1"/>
  <c r="D12" i="89"/>
  <c r="F12" i="89" s="1"/>
  <c r="D12" i="77"/>
  <c r="F12" i="77" s="1"/>
  <c r="F12" i="36"/>
  <c r="T12" i="60"/>
  <c r="D12" i="70"/>
  <c r="F12" i="70" s="1"/>
  <c r="D12" i="61"/>
  <c r="F12" i="61" s="1"/>
  <c r="H12" i="47"/>
  <c r="D12" i="62"/>
  <c r="F12" i="62" s="1"/>
  <c r="D18" i="90"/>
  <c r="D24" i="90"/>
  <c r="BW80" i="15" s="1"/>
  <c r="T65" i="1"/>
  <c r="M18" i="81"/>
  <c r="R18" i="82"/>
  <c r="T164" i="1"/>
  <c r="P164" i="1"/>
  <c r="M112" i="84"/>
  <c r="M116" i="84" s="1"/>
  <c r="J128" i="1"/>
  <c r="C20" i="66"/>
  <c r="M87" i="84"/>
  <c r="B113" i="1"/>
  <c r="D113" i="1"/>
  <c r="T62" i="1"/>
  <c r="T70" i="1"/>
  <c r="T61" i="1"/>
  <c r="T67" i="1"/>
  <c r="T56" i="53"/>
  <c r="P75" i="53"/>
  <c r="H138" i="53"/>
  <c r="H129" i="53"/>
  <c r="D10" i="85"/>
  <c r="F10" i="85" s="1"/>
  <c r="D10" i="89"/>
  <c r="F10" i="89" s="1"/>
  <c r="H10" i="47"/>
  <c r="T10" i="60"/>
  <c r="D10" i="87"/>
  <c r="F10" i="87" s="1"/>
  <c r="F10" i="36"/>
  <c r="D10" i="68"/>
  <c r="F10" i="68" s="1"/>
  <c r="D10" i="88"/>
  <c r="F10" i="88" s="1"/>
  <c r="D10" i="77"/>
  <c r="F10" i="77" s="1"/>
  <c r="D10" i="61"/>
  <c r="F10" i="61" s="1"/>
  <c r="D10" i="86"/>
  <c r="F10" i="86" s="1"/>
  <c r="D10" i="55"/>
  <c r="F10" i="55" s="1"/>
  <c r="D10" i="70"/>
  <c r="F10" i="70" s="1"/>
  <c r="D10" i="62"/>
  <c r="F10" i="62" s="1"/>
  <c r="M92" i="84"/>
  <c r="M102" i="84" s="1"/>
  <c r="F128" i="1"/>
  <c r="H43" i="2"/>
  <c r="D168" i="1" s="1"/>
  <c r="L24" i="2"/>
  <c r="D22" i="8"/>
  <c r="E16" i="90"/>
  <c r="E24" i="90" s="1"/>
  <c r="BX80" i="15" s="1"/>
  <c r="F22" i="8"/>
  <c r="BX36" i="38"/>
  <c r="BX17" i="38"/>
  <c r="BX34" i="38" s="1"/>
  <c r="BY17" i="38"/>
  <c r="BY34" i="38" s="1"/>
  <c r="H128" i="1"/>
  <c r="M105" i="84"/>
  <c r="M109" i="84" s="1"/>
  <c r="F138" i="53"/>
  <c r="F129" i="53"/>
  <c r="D28" i="36"/>
  <c r="M77" i="84"/>
  <c r="V141" i="53"/>
  <c r="CM22" i="8"/>
  <c r="N106" i="1"/>
  <c r="N103" i="53"/>
  <c r="N125" i="53" s="1"/>
  <c r="L25" i="2"/>
  <c r="E43" i="2"/>
  <c r="D162" i="1" s="1"/>
  <c r="T66" i="1"/>
  <c r="T59" i="1"/>
  <c r="V144" i="1"/>
  <c r="BZ11" i="38"/>
  <c r="BZ15" i="38" s="1"/>
  <c r="BZ36" i="38" s="1"/>
  <c r="F21" i="90"/>
  <c r="F22" i="90" s="1"/>
  <c r="BY68" i="15"/>
  <c r="L58" i="1"/>
  <c r="M47" i="84"/>
  <c r="AK110" i="15"/>
  <c r="AI110" i="15"/>
  <c r="AH110" i="15"/>
  <c r="AG110" i="15"/>
  <c r="AJ110" i="15"/>
  <c r="M184" i="84" a="1"/>
  <c r="M182" i="84" a="1"/>
  <c r="H30" i="84" a="1"/>
  <c r="M61" i="84" a="1"/>
  <c r="H42" i="84" a="1"/>
  <c r="H51" i="84" a="1"/>
  <c r="M62" i="84" a="1"/>
  <c r="H35" i="84" a="1"/>
  <c r="M65" i="84" a="1"/>
  <c r="M69" i="84" a="1"/>
  <c r="M60" i="84" a="1"/>
  <c r="M64" i="84" a="1"/>
  <c r="M66" i="84" a="1"/>
  <c r="M66" i="84" l="1"/>
  <c r="M64" i="84"/>
  <c r="M60" i="84"/>
  <c r="M69" i="84"/>
  <c r="M65" i="84"/>
  <c r="H35" i="84"/>
  <c r="M62" i="84"/>
  <c r="H51" i="84"/>
  <c r="H42" i="84"/>
  <c r="M61" i="84"/>
  <c r="H30" i="84"/>
  <c r="M182" i="84"/>
  <c r="M184" i="84"/>
  <c r="E30" i="90"/>
  <c r="E32" i="90" s="1"/>
  <c r="P58" i="1"/>
  <c r="L77" i="1"/>
  <c r="L79" i="1" s="1"/>
  <c r="L83" i="1" s="1"/>
  <c r="L92" i="1" s="1"/>
  <c r="D11" i="36" s="1"/>
  <c r="M48" i="84"/>
  <c r="M49" i="84" s="1"/>
  <c r="F132" i="1"/>
  <c r="F141" i="1"/>
  <c r="T103" i="53"/>
  <c r="V103" i="53" s="1"/>
  <c r="B110" i="53"/>
  <c r="B123" i="53" s="1"/>
  <c r="B125" i="53" s="1"/>
  <c r="B126" i="1"/>
  <c r="B128" i="1" s="1"/>
  <c r="L113" i="1"/>
  <c r="M34" i="81"/>
  <c r="N34" i="81" s="1"/>
  <c r="R37" i="82"/>
  <c r="G16" i="65"/>
  <c r="BZ17" i="38"/>
  <c r="BZ34" i="38" s="1"/>
  <c r="M43" i="81"/>
  <c r="N43" i="81" s="1"/>
  <c r="R46" i="82"/>
  <c r="U17" i="82"/>
  <c r="H132" i="1"/>
  <c r="H141" i="1"/>
  <c r="CA11" i="38"/>
  <c r="CA15" i="38" s="1"/>
  <c r="G21" i="90"/>
  <c r="G22" i="90" s="1"/>
  <c r="BZ68" i="15"/>
  <c r="D28" i="68"/>
  <c r="H28" i="36"/>
  <c r="D28" i="88"/>
  <c r="D28" i="85"/>
  <c r="T28" i="60"/>
  <c r="D28" i="87"/>
  <c r="D28" i="61"/>
  <c r="D28" i="89"/>
  <c r="H28" i="47"/>
  <c r="D28" i="86"/>
  <c r="D28" i="62"/>
  <c r="F28" i="36"/>
  <c r="D28" i="70"/>
  <c r="P17" i="81"/>
  <c r="F16" i="90"/>
  <c r="R38" i="82"/>
  <c r="M35" i="81"/>
  <c r="N35" i="81" s="1"/>
  <c r="N138" i="53"/>
  <c r="N129" i="53"/>
  <c r="J132" i="1"/>
  <c r="J141" i="1"/>
  <c r="R41" i="82"/>
  <c r="M38" i="81"/>
  <c r="N38" i="81" s="1"/>
  <c r="E18" i="90"/>
  <c r="T106" i="1"/>
  <c r="V106" i="1" s="1"/>
  <c r="N128" i="1"/>
  <c r="M119" i="84"/>
  <c r="D29" i="36"/>
  <c r="B39" i="69"/>
  <c r="D110" i="53"/>
  <c r="D123" i="53" s="1"/>
  <c r="D125" i="53" s="1"/>
  <c r="D126" i="1"/>
  <c r="D128" i="1" s="1"/>
  <c r="D30" i="90"/>
  <c r="D32" i="90" s="1"/>
  <c r="M88" i="84" a="1"/>
  <c r="M191" i="84" a="1"/>
  <c r="M79" i="84" a="1"/>
  <c r="H104" i="84" a="1"/>
  <c r="H91" i="84" a="1"/>
  <c r="H111" i="84" a="1"/>
  <c r="H111" i="84" l="1"/>
  <c r="H91" i="84"/>
  <c r="H104" i="84"/>
  <c r="M79" i="84"/>
  <c r="M84" i="84" s="1"/>
  <c r="M191" i="84"/>
  <c r="M88" i="84"/>
  <c r="M89" i="84" s="1"/>
  <c r="F12" i="1"/>
  <c r="F28" i="85"/>
  <c r="H28" i="85"/>
  <c r="F11" i="53"/>
  <c r="N132" i="1"/>
  <c r="N141" i="1"/>
  <c r="D138" i="53"/>
  <c r="D129" i="53"/>
  <c r="F24" i="90"/>
  <c r="BY80" i="15" s="1"/>
  <c r="H28" i="62"/>
  <c r="F28" i="62"/>
  <c r="F28" i="88"/>
  <c r="H28" i="88"/>
  <c r="G16" i="90"/>
  <c r="G24" i="90" s="1"/>
  <c r="BZ80" i="15" s="1"/>
  <c r="F18" i="90"/>
  <c r="F28" i="86"/>
  <c r="H28" i="86"/>
  <c r="CA36" i="38"/>
  <c r="D132" i="1"/>
  <c r="D141" i="1"/>
  <c r="H28" i="70"/>
  <c r="F28" i="70"/>
  <c r="F28" i="68"/>
  <c r="H28" i="68"/>
  <c r="CB11" i="38"/>
  <c r="CB15" i="38" s="1"/>
  <c r="CB17" i="38" s="1"/>
  <c r="CB34" i="38" s="1"/>
  <c r="H21" i="90"/>
  <c r="H22" i="90" s="1"/>
  <c r="CA68" i="15"/>
  <c r="F28" i="89"/>
  <c r="H28" i="89"/>
  <c r="T113" i="1"/>
  <c r="V113" i="1" s="1"/>
  <c r="D45" i="36" s="1"/>
  <c r="L110" i="53"/>
  <c r="T110" i="53" s="1"/>
  <c r="V110" i="53" s="1"/>
  <c r="D29" i="85"/>
  <c r="H29" i="47"/>
  <c r="D31" i="36"/>
  <c r="F29" i="36"/>
  <c r="T29" i="60"/>
  <c r="D29" i="70"/>
  <c r="D29" i="87"/>
  <c r="D29" i="89"/>
  <c r="D29" i="86"/>
  <c r="D29" i="68"/>
  <c r="D29" i="61"/>
  <c r="H29" i="36"/>
  <c r="I33" i="36" s="1"/>
  <c r="D29" i="62"/>
  <c r="D29" i="88"/>
  <c r="H28" i="61"/>
  <c r="F28" i="61"/>
  <c r="B141" i="1"/>
  <c r="B132" i="1"/>
  <c r="D11" i="85"/>
  <c r="F11" i="85" s="1"/>
  <c r="D11" i="61"/>
  <c r="F11" i="61" s="1"/>
  <c r="D11" i="89"/>
  <c r="F11" i="89" s="1"/>
  <c r="D11" i="62"/>
  <c r="F11" i="62" s="1"/>
  <c r="D11" i="86"/>
  <c r="F11" i="86" s="1"/>
  <c r="D11" i="77"/>
  <c r="F11" i="77" s="1"/>
  <c r="T11" i="60"/>
  <c r="H11" i="47"/>
  <c r="D11" i="68"/>
  <c r="F11" i="68" s="1"/>
  <c r="D11" i="55"/>
  <c r="F11" i="55" s="1"/>
  <c r="F11" i="36"/>
  <c r="D11" i="70"/>
  <c r="F11" i="70" s="1"/>
  <c r="D11" i="87"/>
  <c r="F11" i="87" s="1"/>
  <c r="D11" i="88"/>
  <c r="F11" i="88" s="1"/>
  <c r="CA17" i="38"/>
  <c r="CA34" i="38" s="1"/>
  <c r="H28" i="87"/>
  <c r="F28" i="87"/>
  <c r="B129" i="53"/>
  <c r="B138" i="53"/>
  <c r="T58" i="1"/>
  <c r="P77" i="1"/>
  <c r="M124" i="84" a="1"/>
  <c r="H46" i="84" a="1"/>
  <c r="H76" i="84" a="1"/>
  <c r="H86" i="84" a="1"/>
  <c r="H86" i="84" l="1"/>
  <c r="H76" i="84"/>
  <c r="H46" i="84"/>
  <c r="M124" i="84"/>
  <c r="G18" i="90"/>
  <c r="H29" i="61"/>
  <c r="I33" i="61" s="1"/>
  <c r="F29" i="61"/>
  <c r="D31" i="85"/>
  <c r="T31" i="60"/>
  <c r="F31" i="36"/>
  <c r="D31" i="89"/>
  <c r="D31" i="62"/>
  <c r="H31" i="36"/>
  <c r="D31" i="68"/>
  <c r="D31" i="61"/>
  <c r="D31" i="70"/>
  <c r="H31" i="47"/>
  <c r="D31" i="88"/>
  <c r="D31" i="86"/>
  <c r="D31" i="87"/>
  <c r="D33" i="36"/>
  <c r="CC11" i="38"/>
  <c r="I21" i="90"/>
  <c r="I22" i="90" s="1"/>
  <c r="H29" i="68"/>
  <c r="I33" i="68" s="1"/>
  <c r="F29" i="68"/>
  <c r="F30" i="90"/>
  <c r="F32" i="90" s="1"/>
  <c r="H29" i="86"/>
  <c r="I33" i="86" s="1"/>
  <c r="F29" i="86"/>
  <c r="F29" i="85"/>
  <c r="H29" i="85"/>
  <c r="I33" i="85" s="1"/>
  <c r="G30" i="90"/>
  <c r="G32" i="90" s="1"/>
  <c r="F29" i="89"/>
  <c r="H29" i="89"/>
  <c r="I33" i="89" s="1"/>
  <c r="H29" i="87"/>
  <c r="I33" i="87" s="1"/>
  <c r="F29" i="87"/>
  <c r="F29" i="88"/>
  <c r="H29" i="88"/>
  <c r="I33" i="88" s="1"/>
  <c r="F29" i="70"/>
  <c r="H29" i="70"/>
  <c r="I33" i="70" s="1"/>
  <c r="F29" i="62"/>
  <c r="H29" i="62"/>
  <c r="I33" i="62" s="1"/>
  <c r="H16" i="90"/>
  <c r="R35" i="82"/>
  <c r="M32" i="81"/>
  <c r="D45" i="87"/>
  <c r="D45" i="85"/>
  <c r="D45" i="88"/>
  <c r="D45" i="61"/>
  <c r="H45" i="47"/>
  <c r="D45" i="89"/>
  <c r="D45" i="86"/>
  <c r="D45" i="62"/>
  <c r="F45" i="36"/>
  <c r="D45" i="68"/>
  <c r="D45" i="70"/>
  <c r="T45" i="60"/>
  <c r="H45" i="36"/>
  <c r="CB36" i="38"/>
  <c r="H31" i="62" l="1"/>
  <c r="F31" i="62"/>
  <c r="F31" i="86"/>
  <c r="H31" i="86"/>
  <c r="H31" i="89"/>
  <c r="F31" i="89"/>
  <c r="F45" i="61"/>
  <c r="H45" i="61"/>
  <c r="F31" i="88"/>
  <c r="H31" i="88"/>
  <c r="N32" i="81"/>
  <c r="H31" i="87"/>
  <c r="F31" i="87"/>
  <c r="H45" i="70"/>
  <c r="F45" i="70"/>
  <c r="H45" i="88"/>
  <c r="F45" i="88"/>
  <c r="H24" i="90"/>
  <c r="CA80" i="15" s="1"/>
  <c r="F45" i="68"/>
  <c r="H45" i="68"/>
  <c r="H45" i="85"/>
  <c r="F45" i="85"/>
  <c r="I16" i="90"/>
  <c r="I24" i="90" s="1"/>
  <c r="CB80" i="15" s="1"/>
  <c r="H31" i="70"/>
  <c r="F31" i="70"/>
  <c r="H31" i="85"/>
  <c r="F31" i="85"/>
  <c r="H45" i="89"/>
  <c r="F45" i="89"/>
  <c r="F45" i="87"/>
  <c r="H45" i="87"/>
  <c r="F31" i="61"/>
  <c r="H31" i="61"/>
  <c r="F45" i="62"/>
  <c r="H45" i="62"/>
  <c r="H18" i="90"/>
  <c r="CD11" i="38"/>
  <c r="J21" i="90"/>
  <c r="J22" i="90" s="1"/>
  <c r="F31" i="68"/>
  <c r="H31" i="68"/>
  <c r="F45" i="86"/>
  <c r="H45" i="86"/>
  <c r="T33" i="60"/>
  <c r="H33" i="36"/>
  <c r="D33" i="85"/>
  <c r="D33" i="68"/>
  <c r="D33" i="61"/>
  <c r="D33" i="87"/>
  <c r="D33" i="89"/>
  <c r="H33" i="47"/>
  <c r="D33" i="62"/>
  <c r="F33" i="36"/>
  <c r="D33" i="86"/>
  <c r="D33" i="88"/>
  <c r="D33" i="70"/>
  <c r="I18" i="90" l="1"/>
  <c r="I30" i="90"/>
  <c r="I32" i="90" s="1"/>
  <c r="K33" i="36"/>
  <c r="F33" i="89"/>
  <c r="H33" i="89"/>
  <c r="H33" i="62"/>
  <c r="F33" i="62"/>
  <c r="H30" i="90"/>
  <c r="H32" i="90" s="1"/>
  <c r="J16" i="90"/>
  <c r="F33" i="87"/>
  <c r="H33" i="87"/>
  <c r="B67" i="15"/>
  <c r="C120" i="2" s="1"/>
  <c r="CE11" i="38"/>
  <c r="K21" i="90"/>
  <c r="K22" i="90" s="1"/>
  <c r="H33" i="70"/>
  <c r="F33" i="70"/>
  <c r="H33" i="61"/>
  <c r="F33" i="61"/>
  <c r="H33" i="88"/>
  <c r="F33" i="88"/>
  <c r="F33" i="68"/>
  <c r="H33" i="68"/>
  <c r="F33" i="86"/>
  <c r="H33" i="86"/>
  <c r="F33" i="85"/>
  <c r="H33" i="85"/>
  <c r="CF11" i="38" l="1"/>
  <c r="C11" i="38" s="1"/>
  <c r="L21" i="90"/>
  <c r="L22" i="90" s="1"/>
  <c r="K33" i="62"/>
  <c r="K33" i="88"/>
  <c r="K33" i="85"/>
  <c r="K33" i="86"/>
  <c r="K33" i="61"/>
  <c r="K33" i="87"/>
  <c r="K33" i="89"/>
  <c r="K16" i="90"/>
  <c r="K24" i="90" s="1"/>
  <c r="K33" i="68"/>
  <c r="K33" i="70"/>
  <c r="CI67" i="15"/>
  <c r="J24" i="90"/>
  <c r="CC80" i="15" s="1"/>
  <c r="K18" i="90"/>
  <c r="J18" i="90"/>
  <c r="K30" i="90" l="1"/>
  <c r="K32" i="90" s="1"/>
  <c r="CD80" i="15"/>
  <c r="L16" i="90"/>
  <c r="J30" i="90"/>
  <c r="J32" i="90" s="1"/>
  <c r="L24" i="90" l="1"/>
  <c r="CE80" i="15" s="1"/>
  <c r="L18" i="90"/>
  <c r="L30" i="90" l="1"/>
  <c r="L32" i="90" s="1"/>
  <c r="BX21" i="15" l="1"/>
  <c r="BW21" i="15" l="1"/>
  <c r="BY21" i="15"/>
  <c r="BZ21" i="15" l="1"/>
  <c r="CA21" i="15" l="1"/>
  <c r="CB21" i="15" l="1"/>
  <c r="CC21" i="15" l="1"/>
  <c r="CD21" i="15" l="1"/>
  <c r="CE21" i="15" l="1"/>
  <c r="CF21" i="15" l="1"/>
  <c r="CG21" i="15" l="1"/>
  <c r="B67" i="2" l="1"/>
  <c r="CH21" i="15"/>
  <c r="B18" i="15"/>
  <c r="C67" i="2" s="1"/>
  <c r="CI18" i="15"/>
  <c r="CI21" i="15" l="1"/>
  <c r="B21" i="15"/>
  <c r="B176" i="2"/>
  <c r="G15" i="2"/>
  <c r="R76" i="1"/>
  <c r="C71" i="2"/>
  <c r="C176" i="2"/>
  <c r="R74" i="53"/>
  <c r="T74" i="53" s="1"/>
  <c r="B71" i="2"/>
  <c r="G15" i="57"/>
  <c r="G42" i="57" l="1"/>
  <c r="D162" i="53" s="1"/>
  <c r="L15" i="57"/>
  <c r="T76" i="1"/>
  <c r="L15" i="2"/>
  <c r="G43" i="2"/>
  <c r="D166" i="1" s="1"/>
  <c r="M70" i="84" a="1"/>
  <c r="M70" i="84" l="1"/>
  <c r="R49" i="82"/>
  <c r="M46" i="81"/>
  <c r="N46" i="81" s="1"/>
  <c r="BW63" i="15" l="1"/>
  <c r="BW70" i="15" l="1"/>
  <c r="BX63" i="15" l="1"/>
  <c r="BX70" i="15" l="1"/>
  <c r="BY63" i="15" l="1"/>
  <c r="BY70" i="15" l="1"/>
  <c r="BZ63" i="15" l="1"/>
  <c r="BZ70" i="15" l="1"/>
  <c r="CA63" i="15" l="1"/>
  <c r="CA70" i="15" l="1"/>
  <c r="CB63" i="15"/>
  <c r="B112" i="2" l="1"/>
  <c r="B60" i="15"/>
  <c r="C112" i="2" s="1"/>
  <c r="CI60" i="15"/>
  <c r="CI10" i="38" l="1"/>
  <c r="B119" i="2"/>
  <c r="CH68" i="15"/>
  <c r="CG68" i="15"/>
  <c r="CH10" i="38"/>
  <c r="CD68" i="15"/>
  <c r="CE10" i="38"/>
  <c r="D35" i="8"/>
  <c r="B122" i="2" l="1"/>
  <c r="B156" i="53"/>
  <c r="CB53" i="15" l="1"/>
  <c r="CC12" i="38"/>
  <c r="CF68" i="15" l="1"/>
  <c r="CG10" i="38"/>
  <c r="CD10" i="38"/>
  <c r="CC68" i="15"/>
  <c r="CF10" i="38"/>
  <c r="CE68" i="15"/>
  <c r="CC10" i="38"/>
  <c r="CB68" i="15"/>
  <c r="CI65" i="15"/>
  <c r="B65" i="15"/>
  <c r="C119" i="2" s="1"/>
  <c r="F35" i="8"/>
  <c r="CM35" i="8"/>
  <c r="CH41" i="8"/>
  <c r="CH43" i="8" s="1"/>
  <c r="CH44" i="8" s="1"/>
  <c r="CK41" i="8"/>
  <c r="CK43" i="8" s="1"/>
  <c r="CK44" i="8" s="1"/>
  <c r="CG41" i="8"/>
  <c r="CJ41" i="8"/>
  <c r="CJ43" i="8" s="1"/>
  <c r="CJ44" i="8" s="1"/>
  <c r="CI41" i="8"/>
  <c r="CI43" i="8" s="1"/>
  <c r="CI44" i="8" s="1"/>
  <c r="CG43" i="8" l="1"/>
  <c r="CG44" i="8" s="1"/>
  <c r="D37" i="8"/>
  <c r="D41" i="8" s="1"/>
  <c r="D43" i="8" s="1"/>
  <c r="CL41" i="8"/>
  <c r="CL43" i="8" s="1"/>
  <c r="CL44" i="8" s="1"/>
  <c r="B160" i="1"/>
  <c r="C122" i="2"/>
  <c r="F37" i="8"/>
  <c r="CM37" i="8"/>
  <c r="CB70" i="15"/>
  <c r="B68" i="15"/>
  <c r="CI68" i="15"/>
  <c r="CC15" i="38"/>
  <c r="C10" i="38"/>
  <c r="F43" i="8" l="1"/>
  <c r="CM41" i="8"/>
  <c r="CM43" i="8" s="1"/>
  <c r="F41" i="8"/>
  <c r="CC36" i="38"/>
  <c r="CC17" i="38"/>
  <c r="CC34" i="38" s="1"/>
  <c r="C12" i="66"/>
  <c r="M180" i="84" a="1"/>
  <c r="M180" i="84" l="1"/>
  <c r="E23" i="3"/>
  <c r="E56" i="3"/>
  <c r="S13" i="82"/>
  <c r="N13" i="81"/>
  <c r="N15" i="81" s="1"/>
  <c r="CD12" i="38"/>
  <c r="CC53" i="15"/>
  <c r="CM44" i="8"/>
  <c r="CD15" i="38" l="1"/>
  <c r="CE12" i="38"/>
  <c r="CE15" i="38" s="1"/>
  <c r="CE36" i="38" s="1"/>
  <c r="CD53" i="15"/>
  <c r="G3" i="83"/>
  <c r="T13" i="82"/>
  <c r="CC63" i="15"/>
  <c r="CC70" i="15" s="1"/>
  <c r="CE53" i="15" l="1"/>
  <c r="CF12" i="38"/>
  <c r="CF15" i="38" s="1"/>
  <c r="CF36" i="38" s="1"/>
  <c r="CD36" i="38"/>
  <c r="CE17" i="38"/>
  <c r="CE34" i="38" s="1"/>
  <c r="CF17" i="38"/>
  <c r="CF34" i="38" s="1"/>
  <c r="CD17" i="38"/>
  <c r="CD34" i="38" s="1"/>
  <c r="CD63" i="15"/>
  <c r="CD70" i="15" s="1"/>
  <c r="CG12" i="38" l="1"/>
  <c r="CG15" i="38" s="1"/>
  <c r="CF53" i="15"/>
  <c r="B133" i="2" l="1"/>
  <c r="H182" i="2" s="1"/>
  <c r="H207" i="2" s="1"/>
  <c r="CI80" i="15"/>
  <c r="B80" i="15"/>
  <c r="C133" i="2" s="1"/>
  <c r="G182" i="2" s="1"/>
  <c r="G207" i="2" s="1"/>
  <c r="B91" i="2"/>
  <c r="CI12" i="38"/>
  <c r="CH53" i="15"/>
  <c r="CI43" i="15"/>
  <c r="B43" i="15"/>
  <c r="C91" i="2" s="1"/>
  <c r="CG53" i="15"/>
  <c r="CH12" i="38"/>
  <c r="CH15" i="38" s="1"/>
  <c r="CG36" i="38"/>
  <c r="CG17" i="38"/>
  <c r="CG34" i="38" s="1"/>
  <c r="CE63" i="15"/>
  <c r="CE70" i="15" s="1"/>
  <c r="B194" i="2" l="1"/>
  <c r="B206" i="2" s="1"/>
  <c r="I210" i="2" s="1"/>
  <c r="R55" i="1" s="1"/>
  <c r="M59" i="84" s="1"/>
  <c r="R64" i="1"/>
  <c r="C102" i="2"/>
  <c r="D23" i="2"/>
  <c r="CI53" i="15"/>
  <c r="B53" i="15"/>
  <c r="CI15" i="38"/>
  <c r="C12" i="38"/>
  <c r="C15" i="38" s="1"/>
  <c r="C34" i="38" s="1"/>
  <c r="D15" i="3" s="1"/>
  <c r="L160" i="1" s="1"/>
  <c r="D23" i="57"/>
  <c r="R62" i="53"/>
  <c r="B102" i="2"/>
  <c r="C194" i="2"/>
  <c r="C206" i="2" s="1"/>
  <c r="I212" i="2" s="1"/>
  <c r="R53" i="53" s="1"/>
  <c r="CH36" i="38"/>
  <c r="CH17" i="38"/>
  <c r="CH34" i="38" s="1"/>
  <c r="CI36" i="38" l="1"/>
  <c r="C36" i="38" s="1"/>
  <c r="D48" i="3" s="1"/>
  <c r="L156" i="53" s="1"/>
  <c r="CI17" i="38"/>
  <c r="CI34" i="38" s="1"/>
  <c r="D42" i="57"/>
  <c r="D156" i="53" s="1"/>
  <c r="L23" i="57"/>
  <c r="L42" i="57" s="1"/>
  <c r="L23" i="2"/>
  <c r="L43" i="2" s="1"/>
  <c r="D43" i="2"/>
  <c r="D160" i="1" s="1"/>
  <c r="P160" i="1"/>
  <c r="T160" i="1"/>
  <c r="T62" i="53"/>
  <c r="T75" i="53" s="1"/>
  <c r="H13" i="53" s="1"/>
  <c r="R75" i="53"/>
  <c r="R77" i="53" s="1"/>
  <c r="R81" i="53" s="1"/>
  <c r="R90" i="53" s="1"/>
  <c r="T64" i="1"/>
  <c r="R77" i="1"/>
  <c r="R79" i="1" s="1"/>
  <c r="R83" i="1" s="1"/>
  <c r="R92" i="1" s="1"/>
  <c r="D13" i="36" s="1"/>
  <c r="CF63" i="15"/>
  <c r="CF70" i="15" s="1"/>
  <c r="M63" i="84" a="1"/>
  <c r="M63" i="84" l="1"/>
  <c r="M71" i="84" s="1"/>
  <c r="D171" i="1"/>
  <c r="D173" i="1" s="1"/>
  <c r="B24" i="69"/>
  <c r="B35" i="69"/>
  <c r="D13" i="55"/>
  <c r="F13" i="55" s="1"/>
  <c r="D13" i="86"/>
  <c r="F13" i="86" s="1"/>
  <c r="D13" i="85"/>
  <c r="F13" i="85" s="1"/>
  <c r="H13" i="47"/>
  <c r="D13" i="89"/>
  <c r="F13" i="89" s="1"/>
  <c r="F13" i="36"/>
  <c r="T13" i="60"/>
  <c r="D13" i="70"/>
  <c r="F13" i="70" s="1"/>
  <c r="D13" i="77"/>
  <c r="F13" i="77" s="1"/>
  <c r="D13" i="88"/>
  <c r="F13" i="88" s="1"/>
  <c r="D13" i="68"/>
  <c r="F13" i="68" s="1"/>
  <c r="D13" i="62"/>
  <c r="F13" i="62" s="1"/>
  <c r="D13" i="61"/>
  <c r="F13" i="61" s="1"/>
  <c r="D13" i="87"/>
  <c r="F13" i="87" s="1"/>
  <c r="R40" i="82"/>
  <c r="M37" i="81"/>
  <c r="T77" i="1"/>
  <c r="H14" i="1" s="1"/>
  <c r="D167" i="53"/>
  <c r="D169" i="53" s="1"/>
  <c r="AB156" i="53"/>
  <c r="X156" i="53"/>
  <c r="P156" i="53"/>
  <c r="T156" i="53"/>
  <c r="H58" i="84" a="1"/>
  <c r="M189" i="84" a="1"/>
  <c r="M189" i="84" l="1"/>
  <c r="H58" i="84"/>
  <c r="N37" i="81"/>
  <c r="M47" i="81"/>
  <c r="R50" i="82"/>
  <c r="CG63" i="15"/>
  <c r="CG70" i="15" s="1"/>
  <c r="B113" i="2" l="1"/>
  <c r="B116" i="2" s="1"/>
  <c r="CI61" i="15"/>
  <c r="B61" i="15"/>
  <c r="C113" i="2" s="1"/>
  <c r="C116" i="2" s="1"/>
  <c r="CH63" i="15"/>
  <c r="C124" i="2" l="1"/>
  <c r="B166" i="1"/>
  <c r="CH70" i="15"/>
  <c r="S14" i="82"/>
  <c r="CI63" i="15"/>
  <c r="B63" i="15"/>
  <c r="B162" i="53"/>
  <c r="B124" i="2"/>
  <c r="X162" i="53" l="1"/>
  <c r="AB162" i="53"/>
  <c r="G4" i="83"/>
  <c r="G5" i="83" s="1"/>
  <c r="S15" i="82"/>
  <c r="T14" i="82"/>
  <c r="T15" i="82" s="1"/>
  <c r="CN43" i="8"/>
  <c r="CI70" i="15"/>
  <c r="B70" i="15"/>
  <c r="C18" i="66"/>
  <c r="B38" i="69"/>
  <c r="B27" i="69"/>
  <c r="M183" i="84" a="1"/>
  <c r="M183" i="84" l="1"/>
  <c r="S31" i="82"/>
  <c r="G10" i="83" s="1"/>
  <c r="BW14" i="15" l="1"/>
  <c r="BW16" i="15" l="1"/>
  <c r="BX14" i="15" l="1"/>
  <c r="BW55" i="15"/>
  <c r="BW56" i="15" s="1"/>
  <c r="BY14" i="15"/>
  <c r="BY16" i="15" s="1"/>
  <c r="BY55" i="15" s="1"/>
  <c r="BY56" i="15" s="1"/>
  <c r="BX16" i="15" l="1"/>
  <c r="BZ14" i="15"/>
  <c r="BZ16" i="15" s="1"/>
  <c r="BZ55" i="15" s="1"/>
  <c r="BZ56" i="15" s="1"/>
  <c r="D37" i="90" l="1"/>
  <c r="BX55" i="15"/>
  <c r="BX56" i="15" s="1"/>
  <c r="CA14" i="15"/>
  <c r="CA16" i="15" s="1"/>
  <c r="CA55" i="15" s="1"/>
  <c r="CA56" i="15" s="1"/>
  <c r="D40" i="90" l="1"/>
  <c r="BZ57" i="15"/>
  <c r="BW89" i="15"/>
  <c r="BX58" i="38"/>
  <c r="CB14" i="15"/>
  <c r="CB16" i="15" s="1"/>
  <c r="CB55" i="15" s="1"/>
  <c r="CB56" i="15" s="1"/>
  <c r="E37" i="90" l="1"/>
  <c r="CA57" i="15"/>
  <c r="BX60" i="38"/>
  <c r="BX73" i="38" s="1"/>
  <c r="BX75" i="38"/>
  <c r="BW105" i="15"/>
  <c r="BW106" i="15" s="1"/>
  <c r="CC14" i="15"/>
  <c r="CC16" i="15" s="1"/>
  <c r="CC55" i="15" s="1"/>
  <c r="CC56" i="15" s="1"/>
  <c r="BY58" i="38" l="1"/>
  <c r="E40" i="90"/>
  <c r="BX89" i="15"/>
  <c r="BW107" i="15"/>
  <c r="CB57" i="15"/>
  <c r="CD14" i="15"/>
  <c r="CD16" i="15" s="1"/>
  <c r="CD55" i="15" s="1"/>
  <c r="CD56" i="15" s="1"/>
  <c r="BW112" i="15" l="1"/>
  <c r="CC57" i="15"/>
  <c r="BW110" i="15"/>
  <c r="F37" i="90"/>
  <c r="BX105" i="15"/>
  <c r="BX106" i="15" s="1"/>
  <c r="BY75" i="38"/>
  <c r="BY60" i="38"/>
  <c r="BY73" i="38" s="1"/>
  <c r="CE14" i="15"/>
  <c r="CE16" i="15" s="1"/>
  <c r="CE55" i="15" s="1"/>
  <c r="CE56" i="15" s="1"/>
  <c r="BZ58" i="38" l="1"/>
  <c r="F40" i="90"/>
  <c r="BX107" i="15"/>
  <c r="BY89" i="15"/>
  <c r="CD57" i="15"/>
  <c r="CF14" i="15"/>
  <c r="CF16" i="15" s="1"/>
  <c r="CF55" i="15" s="1"/>
  <c r="CF56" i="15" s="1"/>
  <c r="BX110" i="15" l="1"/>
  <c r="CE57" i="15"/>
  <c r="G37" i="90"/>
  <c r="BY105" i="15"/>
  <c r="BY106" i="15" s="1"/>
  <c r="BX112" i="15"/>
  <c r="BZ75" i="38"/>
  <c r="BZ60" i="38"/>
  <c r="BZ73" i="38" s="1"/>
  <c r="CG14" i="15"/>
  <c r="CG16" i="15" s="1"/>
  <c r="CG55" i="15" s="1"/>
  <c r="CG56" i="15" s="1"/>
  <c r="CA58" i="38" l="1"/>
  <c r="BY107" i="15"/>
  <c r="CF57" i="15"/>
  <c r="BZ89" i="15"/>
  <c r="G40" i="90"/>
  <c r="CG57" i="15" l="1"/>
  <c r="H37" i="90"/>
  <c r="CH14" i="15"/>
  <c r="B57" i="2"/>
  <c r="CI10" i="15"/>
  <c r="B10" i="15"/>
  <c r="C57" i="2" s="1"/>
  <c r="BY112" i="15"/>
  <c r="BY110" i="15"/>
  <c r="BZ105" i="15"/>
  <c r="BZ106" i="15" s="1"/>
  <c r="CA75" i="38"/>
  <c r="CA60" i="38"/>
  <c r="CA73" i="38" s="1"/>
  <c r="CA89" i="15" l="1"/>
  <c r="C62" i="2"/>
  <c r="C65" i="2" s="1"/>
  <c r="C104" i="2" s="1"/>
  <c r="B55" i="1"/>
  <c r="B53" i="53"/>
  <c r="B62" i="2"/>
  <c r="B65" i="2" s="1"/>
  <c r="B104" i="2" s="1"/>
  <c r="BZ107" i="15"/>
  <c r="CH16" i="15"/>
  <c r="B14" i="15"/>
  <c r="CI14" i="15"/>
  <c r="CB58" i="38"/>
  <c r="H40" i="90"/>
  <c r="CB75" i="38" l="1"/>
  <c r="CB60" i="38"/>
  <c r="CB73" i="38" s="1"/>
  <c r="B77" i="53"/>
  <c r="B81" i="53" s="1"/>
  <c r="B90" i="53" s="1"/>
  <c r="J53" i="53"/>
  <c r="B79" i="1"/>
  <c r="B83" i="1" s="1"/>
  <c r="B92" i="1" s="1"/>
  <c r="J55" i="1"/>
  <c r="M25" i="84"/>
  <c r="M28" i="84" s="1"/>
  <c r="BZ110" i="15"/>
  <c r="CH55" i="15"/>
  <c r="CH56" i="15" s="1"/>
  <c r="B16" i="15"/>
  <c r="CI16" i="15"/>
  <c r="I37" i="90"/>
  <c r="CC58" i="38"/>
  <c r="CC75" i="38" s="1"/>
  <c r="BZ112" i="15"/>
  <c r="CA105" i="15"/>
  <c r="CA106" i="15" s="1"/>
  <c r="CB89" i="15"/>
  <c r="CB105" i="15" s="1"/>
  <c r="CB106" i="15" s="1"/>
  <c r="H24" i="84" a="1"/>
  <c r="H24" i="84" l="1"/>
  <c r="CA107" i="15"/>
  <c r="J79" i="1"/>
  <c r="J83" i="1" s="1"/>
  <c r="J92" i="1" s="1"/>
  <c r="P55" i="1"/>
  <c r="I40" i="90"/>
  <c r="P53" i="53"/>
  <c r="J77" i="53"/>
  <c r="J81" i="53" s="1"/>
  <c r="J90" i="53" s="1"/>
  <c r="CB107" i="15"/>
  <c r="CB112" i="15" s="1"/>
  <c r="CI55" i="15"/>
  <c r="B55" i="15"/>
  <c r="CC60" i="38"/>
  <c r="CC73" i="38" s="1"/>
  <c r="CB110" i="15"/>
  <c r="CH57" i="15" l="1"/>
  <c r="CI56" i="15"/>
  <c r="E9" i="89"/>
  <c r="E9" i="86"/>
  <c r="E9" i="88"/>
  <c r="E9" i="85"/>
  <c r="E9" i="70"/>
  <c r="E9" i="61"/>
  <c r="D9" i="36"/>
  <c r="E9" i="77"/>
  <c r="E9" i="87"/>
  <c r="E9" i="62"/>
  <c r="E9" i="68"/>
  <c r="J37" i="90"/>
  <c r="J40" i="90" s="1"/>
  <c r="CD58" i="38"/>
  <c r="P79" i="1"/>
  <c r="P83" i="1" s="1"/>
  <c r="P92" i="1" s="1"/>
  <c r="T55" i="1"/>
  <c r="CA112" i="15"/>
  <c r="P77" i="53"/>
  <c r="P81" i="53" s="1"/>
  <c r="P90" i="53" s="1"/>
  <c r="T53" i="53"/>
  <c r="CA110" i="15"/>
  <c r="CC89" i="15"/>
  <c r="CC105" i="15" s="1"/>
  <c r="CC106" i="15" s="1"/>
  <c r="CD75" i="38" l="1"/>
  <c r="CD60" i="38"/>
  <c r="CD73" i="38" s="1"/>
  <c r="F13" i="53"/>
  <c r="T77" i="53"/>
  <c r="T81" i="53" s="1"/>
  <c r="CC107" i="15"/>
  <c r="CC112" i="15" s="1"/>
  <c r="M10" i="81"/>
  <c r="T79" i="1"/>
  <c r="R10" i="82"/>
  <c r="F14" i="1"/>
  <c r="H12" i="36"/>
  <c r="D9" i="87"/>
  <c r="H13" i="36"/>
  <c r="D9" i="77"/>
  <c r="D9" i="68"/>
  <c r="H10" i="36"/>
  <c r="T9" i="60"/>
  <c r="D9" i="89"/>
  <c r="D15" i="36"/>
  <c r="D9" i="88"/>
  <c r="H9" i="36"/>
  <c r="D9" i="61"/>
  <c r="H11" i="36"/>
  <c r="D9" i="86"/>
  <c r="D9" i="85"/>
  <c r="D9" i="62"/>
  <c r="F9" i="36"/>
  <c r="D9" i="70"/>
  <c r="D9" i="55"/>
  <c r="H9" i="47"/>
  <c r="CC110" i="15"/>
  <c r="I9" i="86" l="1"/>
  <c r="F9" i="86"/>
  <c r="H10" i="86"/>
  <c r="H9" i="86"/>
  <c r="H13" i="86"/>
  <c r="H11" i="86"/>
  <c r="H12" i="86"/>
  <c r="T83" i="1"/>
  <c r="M170" i="84"/>
  <c r="H11" i="68"/>
  <c r="H9" i="68"/>
  <c r="H12" i="68"/>
  <c r="I9" i="68"/>
  <c r="H13" i="68"/>
  <c r="F9" i="68"/>
  <c r="H10" i="68"/>
  <c r="S21" i="81"/>
  <c r="S25" i="81"/>
  <c r="H10" i="77"/>
  <c r="H11" i="77"/>
  <c r="H12" i="77"/>
  <c r="H13" i="77"/>
  <c r="H9" i="77"/>
  <c r="I9" i="77"/>
  <c r="F9" i="77"/>
  <c r="H12" i="55"/>
  <c r="H13" i="55"/>
  <c r="F9" i="55"/>
  <c r="H9" i="55"/>
  <c r="H11" i="55"/>
  <c r="H10" i="55"/>
  <c r="I15" i="36"/>
  <c r="H11" i="61"/>
  <c r="H10" i="61"/>
  <c r="I9" i="61"/>
  <c r="H9" i="61"/>
  <c r="H12" i="61"/>
  <c r="F9" i="61"/>
  <c r="H13" i="61"/>
  <c r="H11" i="70"/>
  <c r="F9" i="70"/>
  <c r="H12" i="70"/>
  <c r="H9" i="70"/>
  <c r="H13" i="70"/>
  <c r="I9" i="70"/>
  <c r="H10" i="70"/>
  <c r="H13" i="88"/>
  <c r="H10" i="88"/>
  <c r="H11" i="88"/>
  <c r="H9" i="88"/>
  <c r="I9" i="88"/>
  <c r="F9" i="88"/>
  <c r="H12" i="88"/>
  <c r="F9" i="87"/>
  <c r="H12" i="87"/>
  <c r="I9" i="87"/>
  <c r="H10" i="87"/>
  <c r="H9" i="87"/>
  <c r="H11" i="87"/>
  <c r="H13" i="87"/>
  <c r="H209" i="53"/>
  <c r="T90" i="53"/>
  <c r="N44" i="57"/>
  <c r="D15" i="70"/>
  <c r="D15" i="85"/>
  <c r="D15" i="86"/>
  <c r="D15" i="55"/>
  <c r="D15" i="77"/>
  <c r="H15" i="36"/>
  <c r="D15" i="61"/>
  <c r="H15" i="47"/>
  <c r="H68" i="47" s="1"/>
  <c r="H70" i="47" s="1"/>
  <c r="D15" i="87"/>
  <c r="D15" i="89"/>
  <c r="D15" i="88"/>
  <c r="D15" i="68"/>
  <c r="F15" i="36"/>
  <c r="T15" i="60"/>
  <c r="D15" i="62"/>
  <c r="J13" i="53"/>
  <c r="N13" i="53" s="1"/>
  <c r="F15" i="53"/>
  <c r="K37" i="90"/>
  <c r="K40" i="90" s="1"/>
  <c r="CE58" i="38"/>
  <c r="F9" i="85"/>
  <c r="H9" i="85"/>
  <c r="H12" i="85"/>
  <c r="H13" i="85"/>
  <c r="H10" i="85"/>
  <c r="H11" i="85"/>
  <c r="I9" i="85"/>
  <c r="H13" i="62"/>
  <c r="F9" i="62"/>
  <c r="H11" i="62"/>
  <c r="H12" i="62"/>
  <c r="H9" i="62"/>
  <c r="H10" i="62"/>
  <c r="I9" i="62"/>
  <c r="H11" i="89"/>
  <c r="H13" i="89"/>
  <c r="F9" i="89"/>
  <c r="I9" i="89"/>
  <c r="H10" i="89"/>
  <c r="H9" i="89"/>
  <c r="H12" i="89"/>
  <c r="J14" i="1"/>
  <c r="N14" i="1" s="1"/>
  <c r="F16" i="1"/>
  <c r="X21" i="82"/>
  <c r="X25" i="82"/>
  <c r="CD89" i="15"/>
  <c r="CD105" i="15" s="1"/>
  <c r="CD106" i="15" s="1"/>
  <c r="I15" i="77" l="1"/>
  <c r="H270" i="53"/>
  <c r="H167" i="53"/>
  <c r="K15" i="36"/>
  <c r="I15" i="55"/>
  <c r="F15" i="70"/>
  <c r="H15" i="70"/>
  <c r="I15" i="89"/>
  <c r="H15" i="62"/>
  <c r="F15" i="62"/>
  <c r="I15" i="85"/>
  <c r="F15" i="77"/>
  <c r="H15" i="77"/>
  <c r="I15" i="61"/>
  <c r="I15" i="86"/>
  <c r="I15" i="62"/>
  <c r="H15" i="61"/>
  <c r="F15" i="61"/>
  <c r="H15" i="68"/>
  <c r="F15" i="68"/>
  <c r="H15" i="55"/>
  <c r="F15" i="55"/>
  <c r="I15" i="70"/>
  <c r="I15" i="68"/>
  <c r="F15" i="87"/>
  <c r="H15" i="87"/>
  <c r="H213" i="1"/>
  <c r="N45" i="2"/>
  <c r="T92" i="1"/>
  <c r="CE75" i="38"/>
  <c r="CE60" i="38"/>
  <c r="CE73" i="38" s="1"/>
  <c r="H15" i="88"/>
  <c r="F15" i="88"/>
  <c r="F15" i="86"/>
  <c r="H15" i="86"/>
  <c r="I15" i="87"/>
  <c r="I15" i="88"/>
  <c r="CD110" i="15"/>
  <c r="CD107" i="15"/>
  <c r="CD112" i="15" s="1"/>
  <c r="F15" i="89"/>
  <c r="H15" i="89"/>
  <c r="F15" i="85"/>
  <c r="H15" i="85"/>
  <c r="K15" i="77" l="1"/>
  <c r="K15" i="55"/>
  <c r="K15" i="85"/>
  <c r="K15" i="89"/>
  <c r="O15" i="70"/>
  <c r="K15" i="86"/>
  <c r="O15" i="89"/>
  <c r="K15" i="88"/>
  <c r="O15" i="85"/>
  <c r="O15" i="86"/>
  <c r="L37" i="90"/>
  <c r="L40" i="90" s="1"/>
  <c r="CF58" i="38"/>
  <c r="K15" i="70"/>
  <c r="H274" i="1"/>
  <c r="H171" i="1"/>
  <c r="O15" i="77"/>
  <c r="K15" i="68"/>
  <c r="C19" i="69"/>
  <c r="H169" i="53"/>
  <c r="K15" i="87"/>
  <c r="O15" i="61"/>
  <c r="O15" i="62"/>
  <c r="O15" i="88"/>
  <c r="O15" i="87"/>
  <c r="K15" i="61"/>
  <c r="K15" i="62"/>
  <c r="CE89" i="15"/>
  <c r="CE105" i="15" s="1"/>
  <c r="CE106" i="15" s="1"/>
  <c r="X33" i="82" l="1"/>
  <c r="S45" i="82" s="1"/>
  <c r="CE110" i="15"/>
  <c r="CE107" i="15"/>
  <c r="CE112" i="15" s="1"/>
  <c r="B19" i="69"/>
  <c r="CF75" i="38"/>
  <c r="CF60" i="38"/>
  <c r="CF73" i="38" s="1"/>
  <c r="CG58" i="38"/>
  <c r="S40" i="82" l="1"/>
  <c r="S49" i="82"/>
  <c r="S35" i="82"/>
  <c r="S46" i="82"/>
  <c r="S41" i="82"/>
  <c r="S39" i="82"/>
  <c r="S42" i="82"/>
  <c r="S44" i="82"/>
  <c r="S43" i="82"/>
  <c r="S37" i="82"/>
  <c r="S36" i="82"/>
  <c r="S38" i="82"/>
  <c r="CG75" i="38"/>
  <c r="CG60" i="38"/>
  <c r="CG73" i="38" s="1"/>
  <c r="CF89" i="15"/>
  <c r="CF105" i="15" s="1"/>
  <c r="CF106" i="15" s="1"/>
  <c r="R11" i="90"/>
  <c r="R13" i="90" s="1"/>
  <c r="R14" i="90" s="1"/>
  <c r="CF107" i="15" l="1"/>
  <c r="CF112" i="15" s="1"/>
  <c r="CH58" i="38"/>
  <c r="CF110" i="15"/>
  <c r="CH75" i="38" l="1"/>
  <c r="CH60" i="38"/>
  <c r="CH73" i="38" s="1"/>
  <c r="CG89" i="15"/>
  <c r="CG105" i="15" s="1"/>
  <c r="CG106" i="15" s="1"/>
  <c r="CG107" i="15" l="1"/>
  <c r="CG112" i="15" s="1"/>
  <c r="CG110" i="15"/>
  <c r="CI58" i="38" l="1"/>
  <c r="C56" i="38"/>
  <c r="C58" i="38" s="1"/>
  <c r="C73" i="38" s="1"/>
  <c r="D17" i="3" s="1"/>
  <c r="L162" i="1" s="1"/>
  <c r="B126" i="2" l="1"/>
  <c r="CH89" i="15"/>
  <c r="B73" i="15"/>
  <c r="C126" i="2" s="1"/>
  <c r="CI73" i="15"/>
  <c r="P162" i="1"/>
  <c r="T162" i="1"/>
  <c r="CI75" i="38"/>
  <c r="C75" i="38" s="1"/>
  <c r="D50" i="3" s="1"/>
  <c r="L158" i="53" s="1"/>
  <c r="CI60" i="38"/>
  <c r="CI73" i="38" s="1"/>
  <c r="G14" i="65" l="1"/>
  <c r="B162" i="1"/>
  <c r="C143" i="2"/>
  <c r="C160" i="2" s="1"/>
  <c r="C162" i="2" s="1"/>
  <c r="CH105" i="15"/>
  <c r="CH106" i="15" s="1"/>
  <c r="B89" i="15"/>
  <c r="CI89" i="15"/>
  <c r="P158" i="53"/>
  <c r="T158" i="53"/>
  <c r="B143" i="2"/>
  <c r="B160" i="2" s="1"/>
  <c r="B162" i="2" s="1"/>
  <c r="B158" i="53"/>
  <c r="M190" i="84" a="1"/>
  <c r="M190" i="84" l="1"/>
  <c r="AB158" i="53"/>
  <c r="AB167" i="53" s="1"/>
  <c r="X158" i="53"/>
  <c r="B167" i="53"/>
  <c r="C14" i="66"/>
  <c r="C24" i="66" s="1"/>
  <c r="B36" i="69"/>
  <c r="B25" i="69"/>
  <c r="B171" i="1"/>
  <c r="CH107" i="15"/>
  <c r="CI105" i="15"/>
  <c r="B105" i="15"/>
  <c r="B107" i="15" s="1"/>
  <c r="M181" i="84" a="1"/>
  <c r="M181" i="84" l="1"/>
  <c r="M186" i="84" s="1"/>
  <c r="L10" i="2"/>
  <c r="L45" i="2" s="1"/>
  <c r="N46" i="2" s="1"/>
  <c r="B173" i="1"/>
  <c r="B41" i="69"/>
  <c r="C36" i="69" s="1"/>
  <c r="F171" i="1"/>
  <c r="F173" i="1" s="1"/>
  <c r="B30" i="69"/>
  <c r="CH110" i="15"/>
  <c r="CI110" i="15" s="1"/>
  <c r="CI106" i="15"/>
  <c r="CJ106" i="15" s="1"/>
  <c r="B169" i="53"/>
  <c r="L10" i="57"/>
  <c r="L44" i="57" s="1"/>
  <c r="N45" i="57" s="1"/>
  <c r="F167" i="53"/>
  <c r="F169" i="53" s="1"/>
  <c r="X167" i="53"/>
  <c r="AC158" i="53"/>
  <c r="AB169" i="53"/>
  <c r="AC166" i="53"/>
  <c r="AC160" i="53"/>
  <c r="AC164" i="53"/>
  <c r="AC156" i="53"/>
  <c r="AC162" i="53"/>
  <c r="CH112" i="15"/>
  <c r="CI107" i="15"/>
  <c r="CI112" i="15" s="1"/>
  <c r="H179" i="84" a="1"/>
  <c r="H179" i="84" l="1"/>
  <c r="AC167" i="53"/>
  <c r="C24" i="69"/>
  <c r="C30" i="69"/>
  <c r="C27" i="69"/>
  <c r="Y166" i="53"/>
  <c r="F166" i="53" s="1"/>
  <c r="H166" i="53" s="1"/>
  <c r="J166" i="53" s="1"/>
  <c r="Y160" i="53"/>
  <c r="F160" i="53" s="1"/>
  <c r="H160" i="53" s="1"/>
  <c r="Y164" i="53"/>
  <c r="F164" i="53" s="1"/>
  <c r="H164" i="53" s="1"/>
  <c r="J164" i="53" s="1"/>
  <c r="Y156" i="53"/>
  <c r="Y162" i="53"/>
  <c r="F162" i="53" s="1"/>
  <c r="X169" i="53"/>
  <c r="C25" i="69"/>
  <c r="F162" i="1" s="1"/>
  <c r="Y158" i="53"/>
  <c r="F158" i="53" s="1"/>
  <c r="C35" i="69"/>
  <c r="C41" i="69"/>
  <c r="C40" i="69"/>
  <c r="F170" i="1" s="1"/>
  <c r="C37" i="69"/>
  <c r="F164" i="1" s="1"/>
  <c r="C39" i="69"/>
  <c r="F168" i="1" s="1"/>
  <c r="C38" i="69"/>
  <c r="H168" i="1" l="1"/>
  <c r="E20" i="66"/>
  <c r="G20" i="66" s="1"/>
  <c r="C20" i="65" s="1"/>
  <c r="E16" i="66"/>
  <c r="G16" i="66" s="1"/>
  <c r="C16" i="65" s="1"/>
  <c r="H164" i="1"/>
  <c r="Y167" i="53"/>
  <c r="J167" i="53" s="1"/>
  <c r="J169" i="53" s="1"/>
  <c r="F156" i="53"/>
  <c r="J160" i="53"/>
  <c r="C52" i="3"/>
  <c r="E52" i="3" s="1"/>
  <c r="E22" i="66"/>
  <c r="G22" i="66" s="1"/>
  <c r="C22" i="65" s="1"/>
  <c r="H170" i="1"/>
  <c r="J170" i="1" s="1"/>
  <c r="C5" i="69"/>
  <c r="F166" i="1"/>
  <c r="E14" i="66"/>
  <c r="B5" i="69"/>
  <c r="F160" i="1"/>
  <c r="N160" i="53" l="1"/>
  <c r="R160" i="53"/>
  <c r="V160" i="53"/>
  <c r="F170" i="53"/>
  <c r="C4" i="69"/>
  <c r="E18" i="66"/>
  <c r="J164" i="1"/>
  <c r="C19" i="3"/>
  <c r="E19" i="3" s="1"/>
  <c r="F174" i="1"/>
  <c r="B4" i="69"/>
  <c r="B6" i="69" s="1"/>
  <c r="B9" i="69" s="1"/>
  <c r="E12" i="66"/>
  <c r="J168" i="1"/>
  <c r="M153" i="84" a="1"/>
  <c r="M173" i="84" a="1"/>
  <c r="M175" i="84" a="1"/>
  <c r="M151" i="84" a="1"/>
  <c r="M151" i="84" l="1"/>
  <c r="M175" i="84"/>
  <c r="M173" i="84"/>
  <c r="M153" i="84"/>
  <c r="E24" i="66"/>
  <c r="B12" i="69"/>
  <c r="B17" i="69" s="1"/>
  <c r="B8" i="69"/>
  <c r="B10" i="69" s="1"/>
  <c r="C6" i="69"/>
  <c r="C12" i="69"/>
  <c r="C8" i="69"/>
  <c r="N164" i="1"/>
  <c r="V164" i="1"/>
  <c r="R164" i="1"/>
  <c r="H190" i="53"/>
  <c r="H217" i="53" s="1"/>
  <c r="H251" i="53"/>
  <c r="H278" i="53" s="1"/>
  <c r="C17" i="69" l="1"/>
  <c r="C9" i="69"/>
  <c r="C10" i="69" s="1"/>
  <c r="M163" i="84"/>
  <c r="H194" i="1"/>
  <c r="H221" i="1" s="1"/>
  <c r="H255" i="1"/>
  <c r="H282" i="1" s="1"/>
  <c r="H162" i="1"/>
  <c r="H160" i="1"/>
  <c r="H166" i="1"/>
  <c r="B15" i="69" l="1"/>
  <c r="G18" i="66"/>
  <c r="C18" i="65" s="1"/>
  <c r="J166" i="1"/>
  <c r="B48" i="69"/>
  <c r="X166" i="1"/>
  <c r="G12" i="66"/>
  <c r="X160" i="1"/>
  <c r="J160" i="1"/>
  <c r="B46" i="69"/>
  <c r="C15" i="3"/>
  <c r="H173" i="1"/>
  <c r="J162" i="1"/>
  <c r="X162" i="1"/>
  <c r="G14" i="66"/>
  <c r="C14" i="65" s="1"/>
  <c r="B47" i="69"/>
  <c r="C17" i="3"/>
  <c r="E17" i="3" s="1"/>
  <c r="H162" i="53"/>
  <c r="H158" i="53"/>
  <c r="H156" i="53"/>
  <c r="M174" i="84" a="1"/>
  <c r="M171" i="84" a="1"/>
  <c r="M172" i="84" a="1"/>
  <c r="M150" i="84" a="1"/>
  <c r="M152" i="84" a="1"/>
  <c r="M149" i="84" a="1"/>
  <c r="M149" i="84" l="1"/>
  <c r="M152" i="84"/>
  <c r="M150" i="84"/>
  <c r="M172" i="84"/>
  <c r="M171" i="84"/>
  <c r="M174" i="84"/>
  <c r="M177" i="84"/>
  <c r="C15" i="69"/>
  <c r="AF162" i="53"/>
  <c r="J162" i="53"/>
  <c r="Y166" i="1"/>
  <c r="AA166" i="1"/>
  <c r="AC166" i="1"/>
  <c r="C50" i="3"/>
  <c r="E50" i="3" s="1"/>
  <c r="AF158" i="53"/>
  <c r="J158" i="53"/>
  <c r="C21" i="3"/>
  <c r="E15" i="3"/>
  <c r="E21" i="3" s="1"/>
  <c r="E26" i="3" s="1"/>
  <c r="E29" i="3" s="1"/>
  <c r="L111" i="1" s="1"/>
  <c r="B49" i="69"/>
  <c r="C49" i="69" s="1"/>
  <c r="V166" i="1"/>
  <c r="D23" i="36"/>
  <c r="H261" i="1"/>
  <c r="H288" i="1" s="1"/>
  <c r="R166" i="1"/>
  <c r="N166" i="1"/>
  <c r="H200" i="1"/>
  <c r="G24" i="66"/>
  <c r="C12" i="65"/>
  <c r="C24" i="65" s="1"/>
  <c r="E14" i="65" s="1"/>
  <c r="I14" i="65" s="1"/>
  <c r="J171" i="1"/>
  <c r="J173" i="1" s="1"/>
  <c r="N160" i="1"/>
  <c r="V160" i="1"/>
  <c r="R160" i="1"/>
  <c r="N162" i="1"/>
  <c r="V162" i="1"/>
  <c r="R162" i="1"/>
  <c r="Y160" i="1"/>
  <c r="AC160" i="1"/>
  <c r="AA160" i="1"/>
  <c r="C48" i="3"/>
  <c r="J156" i="53"/>
  <c r="AF156" i="53"/>
  <c r="Y162" i="1"/>
  <c r="AC162" i="1"/>
  <c r="AA162" i="1"/>
  <c r="M155" i="84"/>
  <c r="H169" i="84" a="1"/>
  <c r="H148" i="84" a="1"/>
  <c r="H148" i="84" l="1"/>
  <c r="H169" i="84"/>
  <c r="AF167" i="53"/>
  <c r="AG156" i="53" s="1"/>
  <c r="C46" i="69"/>
  <c r="C48" i="69"/>
  <c r="E12" i="65"/>
  <c r="E22" i="65"/>
  <c r="I22" i="65" s="1"/>
  <c r="E20" i="65"/>
  <c r="I20" i="65" s="1"/>
  <c r="E16" i="65"/>
  <c r="I16" i="65" s="1"/>
  <c r="N156" i="53"/>
  <c r="V156" i="53"/>
  <c r="R156" i="53"/>
  <c r="H227" i="1"/>
  <c r="V9" i="82"/>
  <c r="Q9" i="81"/>
  <c r="C47" i="69"/>
  <c r="H192" i="1"/>
  <c r="H219" i="1" s="1"/>
  <c r="M162" i="84"/>
  <c r="H253" i="1"/>
  <c r="H280" i="1" s="1"/>
  <c r="L126" i="1"/>
  <c r="L128" i="1" s="1"/>
  <c r="T111" i="1"/>
  <c r="H257" i="53"/>
  <c r="H284" i="53" s="1"/>
  <c r="R162" i="53"/>
  <c r="V162" i="53"/>
  <c r="N162" i="53"/>
  <c r="H196" i="53"/>
  <c r="H223" i="53" s="1"/>
  <c r="E48" i="3"/>
  <c r="E54" i="3" s="1"/>
  <c r="E59" i="3" s="1"/>
  <c r="E62" i="3" s="1"/>
  <c r="L108" i="53" s="1"/>
  <c r="C54" i="3"/>
  <c r="P170" i="1"/>
  <c r="N158" i="53"/>
  <c r="V158" i="53"/>
  <c r="R158" i="53"/>
  <c r="AG162" i="53"/>
  <c r="L170" i="1"/>
  <c r="N170" i="1" s="1"/>
  <c r="N171" i="1" s="1"/>
  <c r="D24" i="1" s="1"/>
  <c r="M161" i="84"/>
  <c r="H252" i="1"/>
  <c r="H191" i="1"/>
  <c r="E18" i="65"/>
  <c r="I18" i="65" s="1"/>
  <c r="T170" i="1"/>
  <c r="V170" i="1" s="1"/>
  <c r="V171" i="1" s="1"/>
  <c r="D28" i="1" s="1"/>
  <c r="H23" i="47"/>
  <c r="H23" i="36"/>
  <c r="D23" i="55"/>
  <c r="D23" i="68"/>
  <c r="T23" i="60"/>
  <c r="D23" i="86"/>
  <c r="D23" i="85"/>
  <c r="D23" i="77"/>
  <c r="D23" i="62"/>
  <c r="D23" i="61"/>
  <c r="D23" i="87"/>
  <c r="F23" i="36"/>
  <c r="D23" i="89"/>
  <c r="D23" i="70"/>
  <c r="D23" i="88"/>
  <c r="AG158" i="53"/>
  <c r="M122" i="84" a="1"/>
  <c r="M122" i="84" l="1"/>
  <c r="M139" i="84" s="1"/>
  <c r="V167" i="53"/>
  <c r="D27" i="53" s="1"/>
  <c r="AG167" i="53"/>
  <c r="F23" i="68"/>
  <c r="H23" i="68"/>
  <c r="N167" i="53"/>
  <c r="D23" i="53" s="1"/>
  <c r="H23" i="87"/>
  <c r="F23" i="87"/>
  <c r="F23" i="62"/>
  <c r="H23" i="62"/>
  <c r="H188" i="53"/>
  <c r="H215" i="53" s="1"/>
  <c r="H249" i="53"/>
  <c r="H276" i="53" s="1"/>
  <c r="F23" i="77"/>
  <c r="H23" i="77"/>
  <c r="L123" i="53"/>
  <c r="L125" i="53" s="1"/>
  <c r="T108" i="53"/>
  <c r="R167" i="53"/>
  <c r="D25" i="53" s="1"/>
  <c r="H187" i="53"/>
  <c r="H248" i="53"/>
  <c r="F23" i="61"/>
  <c r="H23" i="61"/>
  <c r="F23" i="88"/>
  <c r="H23" i="88"/>
  <c r="H23" i="85"/>
  <c r="F23" i="85"/>
  <c r="Q25" i="81"/>
  <c r="Q21" i="81"/>
  <c r="F23" i="55"/>
  <c r="H23" i="55"/>
  <c r="H23" i="70"/>
  <c r="F23" i="70"/>
  <c r="H23" i="86"/>
  <c r="F23" i="86"/>
  <c r="M164" i="84"/>
  <c r="M165" i="84" s="1"/>
  <c r="R170" i="1"/>
  <c r="R171" i="1" s="1"/>
  <c r="V111" i="1"/>
  <c r="T126" i="1"/>
  <c r="T128" i="1" s="1"/>
  <c r="V30" i="82"/>
  <c r="V25" i="82"/>
  <c r="V21" i="82"/>
  <c r="I12" i="65"/>
  <c r="I24" i="65" s="1"/>
  <c r="E11" i="67" s="1"/>
  <c r="E24" i="65"/>
  <c r="H218" i="1"/>
  <c r="H223" i="1" s="1"/>
  <c r="D20" i="36" s="1"/>
  <c r="H196" i="1"/>
  <c r="H23" i="89"/>
  <c r="F23" i="89"/>
  <c r="H279" i="1"/>
  <c r="H284" i="1" s="1"/>
  <c r="H257" i="1"/>
  <c r="L141" i="1"/>
  <c r="L132" i="1"/>
  <c r="H157" i="84" a="1"/>
  <c r="H118" i="84" a="1"/>
  <c r="H118" i="84" l="1"/>
  <c r="H157" i="84"/>
  <c r="D2" i="84"/>
  <c r="K23" i="55"/>
  <c r="H275" i="53"/>
  <c r="H280" i="53" s="1"/>
  <c r="H253" i="53"/>
  <c r="H214" i="53"/>
  <c r="H219" i="53" s="1"/>
  <c r="H192" i="53"/>
  <c r="V108" i="53"/>
  <c r="V123" i="53" s="1"/>
  <c r="T123" i="53"/>
  <c r="T125" i="53" s="1"/>
  <c r="I36" i="65"/>
  <c r="I35" i="65" s="1"/>
  <c r="L138" i="53"/>
  <c r="L129" i="53"/>
  <c r="T141" i="1"/>
  <c r="T132" i="1"/>
  <c r="P9" i="81"/>
  <c r="U9" i="82"/>
  <c r="R55" i="82"/>
  <c r="V126" i="1"/>
  <c r="M52" i="81"/>
  <c r="D43" i="36"/>
  <c r="E12" i="67"/>
  <c r="E13" i="67" s="1"/>
  <c r="E14" i="67" s="1"/>
  <c r="E15" i="67" s="1"/>
  <c r="E16" i="67" s="1"/>
  <c r="E17" i="67" s="1"/>
  <c r="E18" i="67" s="1"/>
  <c r="E19" i="67" s="1"/>
  <c r="E20" i="67" s="1"/>
  <c r="E21" i="67" s="1"/>
  <c r="E22" i="67" s="1"/>
  <c r="G11" i="67"/>
  <c r="D20" i="68"/>
  <c r="F20" i="68" s="1"/>
  <c r="H20" i="68" s="1"/>
  <c r="D20" i="62"/>
  <c r="F20" i="62" s="1"/>
  <c r="H20" i="62" s="1"/>
  <c r="D20" i="87"/>
  <c r="F20" i="87" s="1"/>
  <c r="H20" i="87" s="1"/>
  <c r="D20" i="61"/>
  <c r="F20" i="61" s="1"/>
  <c r="H20" i="61" s="1"/>
  <c r="D20" i="77"/>
  <c r="F20" i="77" s="1"/>
  <c r="H20" i="77" s="1"/>
  <c r="D20" i="85"/>
  <c r="F20" i="85" s="1"/>
  <c r="H20" i="85" s="1"/>
  <c r="D20" i="88"/>
  <c r="F20" i="88" s="1"/>
  <c r="H20" i="88" s="1"/>
  <c r="H20" i="47"/>
  <c r="F20" i="36"/>
  <c r="H20" i="36" s="1"/>
  <c r="D20" i="70"/>
  <c r="F20" i="70" s="1"/>
  <c r="H20" i="70" s="1"/>
  <c r="D20" i="86"/>
  <c r="F20" i="86" s="1"/>
  <c r="H20" i="86" s="1"/>
  <c r="D20" i="89"/>
  <c r="F20" i="89" s="1"/>
  <c r="H20" i="89" s="1"/>
  <c r="T20" i="60"/>
  <c r="D20" i="55"/>
  <c r="F20" i="55" s="1"/>
  <c r="H20" i="55" s="1"/>
  <c r="D26" i="1"/>
  <c r="H188" i="84"/>
  <c r="R65" i="82" l="1"/>
  <c r="T129" i="53"/>
  <c r="T138" i="53"/>
  <c r="U20" i="82"/>
  <c r="R24" i="82"/>
  <c r="H11" i="53"/>
  <c r="J11" i="53" s="1"/>
  <c r="V125" i="53"/>
  <c r="N52" i="81"/>
  <c r="M61" i="81"/>
  <c r="H12" i="1"/>
  <c r="J12" i="1" s="1"/>
  <c r="V128" i="1"/>
  <c r="P20" i="81"/>
  <c r="M24" i="81"/>
  <c r="C12" i="67"/>
  <c r="G12" i="67"/>
  <c r="D43" i="86"/>
  <c r="T43" i="60"/>
  <c r="D43" i="89"/>
  <c r="D43" i="68"/>
  <c r="H43" i="47"/>
  <c r="D43" i="87"/>
  <c r="D58" i="36"/>
  <c r="H43" i="36"/>
  <c r="D43" i="62"/>
  <c r="D43" i="70"/>
  <c r="F43" i="36"/>
  <c r="D43" i="85"/>
  <c r="D43" i="61"/>
  <c r="D43" i="88"/>
  <c r="J15" i="53" l="1"/>
  <c r="H184" i="53" s="1"/>
  <c r="H194" i="53" s="1"/>
  <c r="H198" i="53" s="1"/>
  <c r="L25" i="53" s="1"/>
  <c r="N11" i="53"/>
  <c r="N15" i="53" s="1"/>
  <c r="H245" i="53" s="1"/>
  <c r="H255" i="53" s="1"/>
  <c r="H259" i="53" s="1"/>
  <c r="N25" i="53" s="1"/>
  <c r="H43" i="61"/>
  <c r="F43" i="61"/>
  <c r="V138" i="53"/>
  <c r="H268" i="53" s="1"/>
  <c r="H272" i="53" s="1"/>
  <c r="H282" i="53" s="1"/>
  <c r="H286" i="53" s="1"/>
  <c r="N28" i="53" s="1"/>
  <c r="V129" i="53"/>
  <c r="H207" i="53" s="1"/>
  <c r="H211" i="53" s="1"/>
  <c r="H221" i="53" s="1"/>
  <c r="H225" i="53" s="1"/>
  <c r="L28" i="53" s="1"/>
  <c r="F43" i="88"/>
  <c r="H43" i="88"/>
  <c r="V132" i="1"/>
  <c r="H211" i="1" s="1"/>
  <c r="H215" i="1" s="1"/>
  <c r="H225" i="1" s="1"/>
  <c r="H229" i="1" s="1"/>
  <c r="L29" i="1" s="1"/>
  <c r="V141" i="1"/>
  <c r="F58" i="36"/>
  <c r="D58" i="85"/>
  <c r="D36" i="36"/>
  <c r="H58" i="36"/>
  <c r="D58" i="86"/>
  <c r="D58" i="89"/>
  <c r="D58" i="61"/>
  <c r="D58" i="62"/>
  <c r="D58" i="88"/>
  <c r="T58" i="60"/>
  <c r="D58" i="68"/>
  <c r="D58" i="87"/>
  <c r="D58" i="70"/>
  <c r="H58" i="47"/>
  <c r="H43" i="87"/>
  <c r="F43" i="87"/>
  <c r="H43" i="68"/>
  <c r="F43" i="68"/>
  <c r="F43" i="89"/>
  <c r="H43" i="89"/>
  <c r="N12" i="1"/>
  <c r="N16" i="1" s="1"/>
  <c r="H249" i="1" s="1"/>
  <c r="H259" i="1" s="1"/>
  <c r="H263" i="1" s="1"/>
  <c r="N26" i="1" s="1"/>
  <c r="A3" i="15" s="1"/>
  <c r="J16" i="1"/>
  <c r="H188" i="1" s="1"/>
  <c r="H43" i="85"/>
  <c r="F43" i="85"/>
  <c r="H43" i="70"/>
  <c r="F43" i="70"/>
  <c r="G13" i="67"/>
  <c r="C13" i="67"/>
  <c r="H43" i="62"/>
  <c r="F43" i="62"/>
  <c r="H43" i="86"/>
  <c r="F43" i="86"/>
  <c r="H58" i="89" l="1"/>
  <c r="F58" i="89"/>
  <c r="F58" i="87"/>
  <c r="H58" i="87"/>
  <c r="F58" i="86"/>
  <c r="H58" i="86"/>
  <c r="C14" i="67"/>
  <c r="G14" i="67"/>
  <c r="H58" i="68"/>
  <c r="F58" i="68"/>
  <c r="D36" i="61"/>
  <c r="D36" i="86"/>
  <c r="D36" i="89"/>
  <c r="D36" i="68"/>
  <c r="H36" i="36"/>
  <c r="F36" i="36"/>
  <c r="D36" i="87"/>
  <c r="H36" i="47"/>
  <c r="T36" i="60"/>
  <c r="D36" i="62"/>
  <c r="D36" i="85"/>
  <c r="D36" i="88"/>
  <c r="D36" i="70"/>
  <c r="D37" i="36"/>
  <c r="O9" i="81"/>
  <c r="H198" i="1"/>
  <c r="H202" i="1" s="1"/>
  <c r="L26" i="1" s="1"/>
  <c r="T9" i="82"/>
  <c r="H58" i="70"/>
  <c r="F58" i="70"/>
  <c r="F58" i="85"/>
  <c r="H58" i="85"/>
  <c r="F58" i="88"/>
  <c r="H58" i="88"/>
  <c r="H58" i="62"/>
  <c r="F58" i="62"/>
  <c r="H272" i="1"/>
  <c r="H276" i="1" s="1"/>
  <c r="H286" i="1" s="1"/>
  <c r="H290" i="1" s="1"/>
  <c r="N29" i="1" s="1"/>
  <c r="D17" i="36"/>
  <c r="H58" i="61"/>
  <c r="F58" i="61"/>
  <c r="H37" i="36" l="1"/>
  <c r="T37" i="60"/>
  <c r="D37" i="85"/>
  <c r="D37" i="89"/>
  <c r="D37" i="61"/>
  <c r="D37" i="62"/>
  <c r="H37" i="47"/>
  <c r="D37" i="88"/>
  <c r="D37" i="87"/>
  <c r="H38" i="36"/>
  <c r="D37" i="86"/>
  <c r="D37" i="68"/>
  <c r="F37" i="36"/>
  <c r="D37" i="70"/>
  <c r="I36" i="36"/>
  <c r="K36" i="36" s="1"/>
  <c r="I37" i="36"/>
  <c r="H36" i="88"/>
  <c r="F36" i="88"/>
  <c r="F36" i="68"/>
  <c r="H36" i="68"/>
  <c r="G15" i="67"/>
  <c r="C15" i="67"/>
  <c r="H36" i="70"/>
  <c r="F36" i="70"/>
  <c r="H17" i="47"/>
  <c r="H72" i="47" s="1"/>
  <c r="H74" i="47" s="1"/>
  <c r="D19" i="36"/>
  <c r="D17" i="77"/>
  <c r="D17" i="55"/>
  <c r="D17" i="88"/>
  <c r="D17" i="61"/>
  <c r="F17" i="36"/>
  <c r="H17" i="36"/>
  <c r="I19" i="36" s="1"/>
  <c r="D17" i="86"/>
  <c r="T17" i="60"/>
  <c r="D17" i="89"/>
  <c r="D17" i="87"/>
  <c r="D17" i="62"/>
  <c r="D17" i="68"/>
  <c r="D17" i="85"/>
  <c r="D17" i="70"/>
  <c r="H36" i="85"/>
  <c r="F36" i="85"/>
  <c r="H36" i="89"/>
  <c r="F36" i="89"/>
  <c r="U24" i="82"/>
  <c r="U25" i="82" s="1"/>
  <c r="W25" i="82" s="1"/>
  <c r="Y25" i="82" s="1"/>
  <c r="U18" i="82"/>
  <c r="U19" i="82" s="1"/>
  <c r="U21" i="82" s="1"/>
  <c r="W21" i="82" s="1"/>
  <c r="Y21" i="82" s="1"/>
  <c r="S21" i="82"/>
  <c r="G8" i="83" s="1"/>
  <c r="S17" i="82"/>
  <c r="G7" i="83" s="1"/>
  <c r="H36" i="61"/>
  <c r="F36" i="61"/>
  <c r="H36" i="62"/>
  <c r="F36" i="62"/>
  <c r="H36" i="86"/>
  <c r="F36" i="86"/>
  <c r="N21" i="81"/>
  <c r="P24" i="81"/>
  <c r="P25" i="81" s="1"/>
  <c r="R25" i="81" s="1"/>
  <c r="T25" i="81" s="1"/>
  <c r="U25" i="81" s="1"/>
  <c r="P18" i="81"/>
  <c r="P19" i="81" s="1"/>
  <c r="P21" i="81" s="1"/>
  <c r="R21" i="81" s="1"/>
  <c r="T21" i="81" s="1"/>
  <c r="U21" i="81" s="1"/>
  <c r="N17" i="81"/>
  <c r="F36" i="87"/>
  <c r="H36" i="87"/>
  <c r="H38" i="88" l="1"/>
  <c r="H37" i="88"/>
  <c r="F37" i="88"/>
  <c r="H38" i="70"/>
  <c r="H37" i="70"/>
  <c r="F37" i="70"/>
  <c r="F37" i="62"/>
  <c r="H38" i="62"/>
  <c r="H37" i="62"/>
  <c r="H17" i="85"/>
  <c r="I19" i="85" s="1"/>
  <c r="F17" i="85"/>
  <c r="F17" i="68"/>
  <c r="H17" i="68"/>
  <c r="I19" i="68" s="1"/>
  <c r="I36" i="86"/>
  <c r="K36" i="86" s="1"/>
  <c r="I37" i="86"/>
  <c r="H17" i="62"/>
  <c r="I19" i="62" s="1"/>
  <c r="F17" i="62"/>
  <c r="F17" i="88"/>
  <c r="H17" i="88"/>
  <c r="I19" i="88" s="1"/>
  <c r="C16" i="67"/>
  <c r="G16" i="67"/>
  <c r="H37" i="61"/>
  <c r="F37" i="61"/>
  <c r="H38" i="61"/>
  <c r="I36" i="70"/>
  <c r="K36" i="70" s="1"/>
  <c r="I37" i="70"/>
  <c r="F17" i="87"/>
  <c r="H17" i="87"/>
  <c r="I19" i="87" s="1"/>
  <c r="F17" i="55"/>
  <c r="H17" i="55"/>
  <c r="I19" i="55" s="1"/>
  <c r="H37" i="89"/>
  <c r="H38" i="89"/>
  <c r="F37" i="89"/>
  <c r="I36" i="62"/>
  <c r="K36" i="62" s="1"/>
  <c r="I37" i="62"/>
  <c r="I36" i="89"/>
  <c r="K36" i="89" s="1"/>
  <c r="I37" i="89"/>
  <c r="F17" i="89"/>
  <c r="H17" i="89"/>
  <c r="I19" i="89" s="1"/>
  <c r="F17" i="77"/>
  <c r="H17" i="77"/>
  <c r="I19" i="77" s="1"/>
  <c r="H37" i="86"/>
  <c r="H38" i="86"/>
  <c r="F37" i="86"/>
  <c r="F37" i="85"/>
  <c r="H37" i="85"/>
  <c r="H38" i="85"/>
  <c r="H17" i="61"/>
  <c r="I19" i="61" s="1"/>
  <c r="F17" i="61"/>
  <c r="I36" i="87"/>
  <c r="K36" i="87" s="1"/>
  <c r="I37" i="87"/>
  <c r="I36" i="68"/>
  <c r="K36" i="68" s="1"/>
  <c r="I37" i="68"/>
  <c r="F37" i="68"/>
  <c r="H37" i="68"/>
  <c r="H38" i="68"/>
  <c r="D19" i="55"/>
  <c r="F19" i="55" s="1"/>
  <c r="H19" i="55" s="1"/>
  <c r="D22" i="36"/>
  <c r="D19" i="89"/>
  <c r="F19" i="89" s="1"/>
  <c r="H19" i="89" s="1"/>
  <c r="D19" i="88"/>
  <c r="F19" i="88" s="1"/>
  <c r="H19" i="88" s="1"/>
  <c r="D19" i="70"/>
  <c r="F19" i="70" s="1"/>
  <c r="H19" i="70" s="1"/>
  <c r="D19" i="85"/>
  <c r="F19" i="85" s="1"/>
  <c r="H19" i="85" s="1"/>
  <c r="D19" i="68"/>
  <c r="F19" i="68" s="1"/>
  <c r="H19" i="68" s="1"/>
  <c r="H19" i="47"/>
  <c r="T19" i="60"/>
  <c r="D19" i="86"/>
  <c r="F19" i="86" s="1"/>
  <c r="H19" i="86" s="1"/>
  <c r="D19" i="87"/>
  <c r="F19" i="87" s="1"/>
  <c r="H19" i="87" s="1"/>
  <c r="D19" i="62"/>
  <c r="F19" i="62" s="1"/>
  <c r="H19" i="62" s="1"/>
  <c r="F19" i="36"/>
  <c r="H19" i="36" s="1"/>
  <c r="D19" i="77"/>
  <c r="F19" i="77" s="1"/>
  <c r="H19" i="77" s="1"/>
  <c r="D19" i="61"/>
  <c r="F19" i="61" s="1"/>
  <c r="H19" i="61" s="1"/>
  <c r="F17" i="70"/>
  <c r="H17" i="70"/>
  <c r="I19" i="70" s="1"/>
  <c r="I36" i="61"/>
  <c r="K36" i="61" s="1"/>
  <c r="I37" i="61"/>
  <c r="I36" i="85"/>
  <c r="K36" i="85" s="1"/>
  <c r="I37" i="85"/>
  <c r="H17" i="86"/>
  <c r="I19" i="86" s="1"/>
  <c r="F17" i="86"/>
  <c r="I36" i="88"/>
  <c r="K36" i="88" s="1"/>
  <c r="I37" i="88"/>
  <c r="H38" i="87"/>
  <c r="H37" i="87"/>
  <c r="F37" i="87"/>
  <c r="K37" i="36"/>
  <c r="K37" i="87" l="1"/>
  <c r="O17" i="86"/>
  <c r="K37" i="68"/>
  <c r="K37" i="89"/>
  <c r="O17" i="77"/>
  <c r="K37" i="70"/>
  <c r="O17" i="70"/>
  <c r="O17" i="85"/>
  <c r="K19" i="61"/>
  <c r="I22" i="61"/>
  <c r="I22" i="77"/>
  <c r="K19" i="77"/>
  <c r="I22" i="85"/>
  <c r="K19" i="85"/>
  <c r="K37" i="85"/>
  <c r="O17" i="89"/>
  <c r="K37" i="61"/>
  <c r="C17" i="67"/>
  <c r="G17" i="67"/>
  <c r="K19" i="36"/>
  <c r="I22" i="36"/>
  <c r="I22" i="88"/>
  <c r="K19" i="88"/>
  <c r="I22" i="89"/>
  <c r="K19" i="89"/>
  <c r="O17" i="87"/>
  <c r="K19" i="68"/>
  <c r="I22" i="68"/>
  <c r="K19" i="62"/>
  <c r="I22" i="62"/>
  <c r="K19" i="87"/>
  <c r="I22" i="87"/>
  <c r="K19" i="86"/>
  <c r="I22" i="86"/>
  <c r="D22" i="87"/>
  <c r="F22" i="87" s="1"/>
  <c r="H22" i="87" s="1"/>
  <c r="F22" i="36"/>
  <c r="H22" i="36" s="1"/>
  <c r="D22" i="68"/>
  <c r="F22" i="68" s="1"/>
  <c r="H22" i="68" s="1"/>
  <c r="H22" i="47"/>
  <c r="T22" i="60"/>
  <c r="D22" i="77"/>
  <c r="F22" i="77" s="1"/>
  <c r="H22" i="77" s="1"/>
  <c r="D22" i="88"/>
  <c r="F22" i="88" s="1"/>
  <c r="H22" i="88" s="1"/>
  <c r="D22" i="70"/>
  <c r="F22" i="70" s="1"/>
  <c r="H22" i="70" s="1"/>
  <c r="D22" i="61"/>
  <c r="F22" i="61" s="1"/>
  <c r="H22" i="61" s="1"/>
  <c r="D22" i="85"/>
  <c r="F22" i="85" s="1"/>
  <c r="H22" i="85" s="1"/>
  <c r="D22" i="62"/>
  <c r="F22" i="62" s="1"/>
  <c r="H22" i="62" s="1"/>
  <c r="D22" i="89"/>
  <c r="F22" i="89" s="1"/>
  <c r="H22" i="89" s="1"/>
  <c r="D25" i="36"/>
  <c r="D22" i="55"/>
  <c r="F22" i="55" s="1"/>
  <c r="H22" i="55" s="1"/>
  <c r="D22" i="86"/>
  <c r="F22" i="86" s="1"/>
  <c r="H22" i="86" s="1"/>
  <c r="K37" i="86"/>
  <c r="O17" i="88"/>
  <c r="K37" i="88"/>
  <c r="K19" i="70"/>
  <c r="I22" i="70"/>
  <c r="I22" i="55"/>
  <c r="K19" i="55"/>
  <c r="O17" i="61"/>
  <c r="O17" i="62"/>
  <c r="K37" i="62"/>
  <c r="X34" i="82" l="1"/>
  <c r="S59" i="82" s="1"/>
  <c r="D25" i="61"/>
  <c r="H25" i="47"/>
  <c r="H66" i="47" s="1"/>
  <c r="N70" i="81"/>
  <c r="N66" i="81" s="1"/>
  <c r="N64" i="81" s="1"/>
  <c r="D25" i="85"/>
  <c r="D25" i="89"/>
  <c r="D25" i="86"/>
  <c r="D25" i="70"/>
  <c r="T25" i="60"/>
  <c r="D25" i="68"/>
  <c r="D25" i="77"/>
  <c r="D25" i="88"/>
  <c r="H25" i="36"/>
  <c r="D25" i="55"/>
  <c r="D25" i="62"/>
  <c r="D25" i="87"/>
  <c r="F25" i="36"/>
  <c r="S74" i="82"/>
  <c r="I25" i="62"/>
  <c r="K22" i="62"/>
  <c r="K22" i="68"/>
  <c r="I25" i="68"/>
  <c r="I25" i="89"/>
  <c r="K22" i="89"/>
  <c r="K22" i="85"/>
  <c r="I25" i="85"/>
  <c r="I25" i="36"/>
  <c r="K22" i="36"/>
  <c r="G18" i="67"/>
  <c r="C18" i="67"/>
  <c r="I25" i="88"/>
  <c r="K22" i="88"/>
  <c r="I25" i="61"/>
  <c r="K22" i="61"/>
  <c r="I25" i="87"/>
  <c r="K22" i="87"/>
  <c r="I25" i="70"/>
  <c r="K22" i="70"/>
  <c r="K22" i="86"/>
  <c r="I25" i="86"/>
  <c r="I25" i="55"/>
  <c r="K22" i="55"/>
  <c r="I25" i="77"/>
  <c r="K22" i="77"/>
  <c r="S55" i="82" l="1"/>
  <c r="G11" i="83" s="1"/>
  <c r="S26" i="82"/>
  <c r="G9" i="83" s="1"/>
  <c r="S61" i="82"/>
  <c r="S54" i="82"/>
  <c r="S56" i="82"/>
  <c r="G12" i="83" s="1"/>
  <c r="S64" i="82"/>
  <c r="G13" i="83" s="1"/>
  <c r="S57" i="82"/>
  <c r="K25" i="36"/>
  <c r="S62" i="82"/>
  <c r="S58" i="82"/>
  <c r="S60" i="82"/>
  <c r="F25" i="89"/>
  <c r="H25" i="89"/>
  <c r="K25" i="89" s="1"/>
  <c r="H25" i="85"/>
  <c r="K25" i="85" s="1"/>
  <c r="F25" i="85"/>
  <c r="H25" i="77"/>
  <c r="K25" i="77" s="1"/>
  <c r="F25" i="77"/>
  <c r="C19" i="67"/>
  <c r="G19" i="67"/>
  <c r="S70" i="82"/>
  <c r="G16" i="83"/>
  <c r="G18" i="83" s="1"/>
  <c r="H25" i="68"/>
  <c r="K25" i="68" s="1"/>
  <c r="F25" i="68"/>
  <c r="F25" i="61"/>
  <c r="H25" i="61"/>
  <c r="K25" i="61" s="1"/>
  <c r="F25" i="55"/>
  <c r="H25" i="55"/>
  <c r="K25" i="55" s="1"/>
  <c r="F25" i="88"/>
  <c r="H25" i="88"/>
  <c r="K25" i="88" s="1"/>
  <c r="H25" i="87"/>
  <c r="K25" i="87" s="1"/>
  <c r="F25" i="87"/>
  <c r="H25" i="70"/>
  <c r="K25" i="70" s="1"/>
  <c r="F25" i="70"/>
  <c r="H25" i="62"/>
  <c r="K25" i="62" s="1"/>
  <c r="F25" i="62"/>
  <c r="F25" i="86"/>
  <c r="H25" i="86"/>
  <c r="K25" i="86" s="1"/>
  <c r="G14" i="83" l="1"/>
  <c r="S68" i="82"/>
  <c r="G20" i="67"/>
  <c r="C20" i="67"/>
  <c r="C21" i="67" l="1"/>
  <c r="G21" i="67"/>
  <c r="C22" i="67" l="1"/>
  <c r="G22" i="67"/>
  <c r="C31" i="67" s="1"/>
  <c r="A31" i="67" s="1"/>
</calcChain>
</file>

<file path=xl/comments1.xml><?xml version="1.0" encoding="utf-8"?>
<comments xmlns="http://schemas.openxmlformats.org/spreadsheetml/2006/main">
  <authors>
    <author>Hoyos, Nichole</author>
  </authors>
  <commentList>
    <comment ref="AG1" authorId="0" shapeId="0">
      <text>
        <r>
          <rPr>
            <b/>
            <sz val="9"/>
            <color indexed="81"/>
            <rFont val="Tahoma"/>
            <family val="2"/>
          </rPr>
          <t>Hoyos, Nichole: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1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2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3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4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5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6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7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8.xml><?xml version="1.0" encoding="utf-8"?>
<comments xmlns="http://schemas.openxmlformats.org/spreadsheetml/2006/main">
  <authors>
    <author>Anthony Trask x34282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</commentList>
</comments>
</file>

<file path=xl/comments19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2.xml><?xml version="1.0" encoding="utf-8"?>
<comments xmlns="http://schemas.openxmlformats.org/spreadsheetml/2006/main">
  <authors>
    <author>Ascroft, Sean M.</author>
    <author>Valdes, Amnerys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Ascroft, Sean M.:</t>
        </r>
        <r>
          <rPr>
            <sz val="9"/>
            <color indexed="81"/>
            <rFont val="Tahoma"/>
            <family val="2"/>
          </rPr>
          <t xml:space="preserve">
2,947 taken out of the 5,032 (account 114000)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Ascroft, Sean M.:</t>
        </r>
        <r>
          <rPr>
            <sz val="9"/>
            <color indexed="81"/>
            <rFont val="Tahoma"/>
            <family val="2"/>
          </rPr>
          <t xml:space="preserve">
6,637 amort a month out of the 12,429 a month (account 115000) </t>
        </r>
      </text>
    </comment>
    <comment ref="B125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6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8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9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0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1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2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3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4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5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6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7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</commentList>
</comments>
</file>

<file path=xl/comments20.xml><?xml version="1.0" encoding="utf-8"?>
<comments xmlns="http://schemas.openxmlformats.org/spreadsheetml/2006/main">
  <authors>
    <author>Nancy Grove X31766</author>
  </authors>
  <commentList>
    <comment ref="A47" authorId="0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0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21.xml><?xml version="1.0" encoding="utf-8"?>
<comments xmlns="http://schemas.openxmlformats.org/spreadsheetml/2006/main">
  <authors>
    <author>Anthony Trask x34282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</commentList>
</comments>
</file>

<file path=xl/comments22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23.xml><?xml version="1.0" encoding="utf-8"?>
<comments xmlns="http://schemas.openxmlformats.org/spreadsheetml/2006/main">
  <authors>
    <author>Nancy Grove X31766</author>
  </authors>
  <commentList>
    <comment ref="A47" authorId="0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0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3.xml><?xml version="1.0" encoding="utf-8"?>
<comments xmlns="http://schemas.openxmlformats.org/spreadsheetml/2006/main">
  <authors>
    <author>tc={07356C62-FDED-4CD5-ABF3-A072C0795739}</author>
  </authors>
  <commentList>
    <comment ref="A109" authorId="0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Taking out all lease accounts (1040001, 1080901, 1720101, 1720201, 1720202, 2530360) They all zero out in the end.</t>
        </r>
      </text>
    </comment>
  </commentList>
</comments>
</file>

<file path=xl/comments4.xml><?xml version="1.0" encoding="utf-8"?>
<comments xmlns="http://schemas.openxmlformats.org/spreadsheetml/2006/main">
  <authors>
    <author>Paul Higgins</author>
    <author>A satisfied Microsoft Office User</author>
    <author>Coe, Connie P.</author>
  </authors>
  <commentList>
    <comment ref="F114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 (2002), item no. S; Acc 930.05 x 5% disallowance per FAC 25-7.042
</t>
        </r>
        <r>
          <rPr>
            <b/>
            <sz val="8"/>
            <color indexed="10"/>
            <rFont val="Tahoma"/>
            <family val="2"/>
          </rPr>
          <t>Amnerys Valdes:</t>
        </r>
        <r>
          <rPr>
            <sz val="8"/>
            <color indexed="10"/>
            <rFont val="Tahoma"/>
            <family val="2"/>
          </rPr>
          <t xml:space="preserve">
UPDATED FOR DEC 2013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Based on Rate Case Order (item no. V.R); 
Amount comes from Maria Quiñones  Acc 926.01 Analysis report
</t>
        </r>
        <r>
          <rPr>
            <sz val="8"/>
            <color indexed="10"/>
            <rFont val="Tahoma"/>
            <family val="2"/>
          </rPr>
          <t xml:space="preserve">
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Order, item no. V.K; updated for Actuals  (acct 932 x 13.28%). Sue used 13.28% in 2009 &amp; 2010. 
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Per Rate Order, item no. V.K; updated for actuals (acct 886)</t>
        </r>
      </text>
    </comment>
    <comment ref="H119" authorId="1" shapeId="0">
      <text>
        <r>
          <rPr>
            <sz val="8"/>
            <color indexed="81"/>
            <rFont val="Tahoma"/>
            <family val="2"/>
          </rPr>
          <t xml:space="preserve"> this is related to the WFNG non-regulated asset adjustment and needs to stay in</t>
        </r>
      </text>
    </comment>
    <comment ref="B121" authorId="2" shapeId="0">
      <text>
        <r>
          <rPr>
            <b/>
            <sz val="8"/>
            <color indexed="81"/>
            <rFont val="Tahoma"/>
            <family val="2"/>
          </rPr>
          <t>Coe, Connie P.:</t>
        </r>
        <r>
          <rPr>
            <sz val="8"/>
            <color indexed="81"/>
            <rFont val="Tahoma"/>
            <family val="2"/>
          </rPr>
          <t xml:space="preserve">
Revenue for PHFFU
Lease payment usually received Annually in May
</t>
        </r>
        <r>
          <rPr>
            <sz val="8"/>
            <color indexed="10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Valdes, Amnerys</author>
    <author>Sue Richards</author>
    <author>Coe, Connie</author>
    <author>Amnerys Valdes</author>
  </authors>
  <commentList>
    <comment ref="J32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No need to make reclass going forward per Jeff.
01/20/15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No need to make reclass going forward per Jeff.
01/20/15</t>
        </r>
      </text>
    </comment>
    <comment ref="A40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OCI related to Int Rate Swaps</t>
        </r>
      </text>
    </comment>
    <comment ref="D40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This is zeroed out until the Hedge settles - then zero out "G40"</t>
        </r>
      </text>
    </comment>
    <comment ref="G40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Sue Richards:
This is zeroed out until the Hedge settles - then zero out "G40"
On the Report Tab - would need to zero out Unsettled too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taxes related to OCI</t>
        </r>
      </text>
    </comment>
    <comment ref="N46" authorId="2" shapeId="0">
      <text>
        <r>
          <rPr>
            <b/>
            <sz val="9"/>
            <color indexed="81"/>
            <rFont val="Tahoma"/>
            <family val="2"/>
          </rPr>
          <t>Coe, Connie:</t>
        </r>
        <r>
          <rPr>
            <sz val="9"/>
            <color indexed="81"/>
            <rFont val="Tahoma"/>
            <family val="2"/>
          </rPr>
          <t xml:space="preserve">
fix plug on Extracts, line 108
</t>
        </r>
      </text>
    </comment>
    <comment ref="A137" authorId="3" shapeId="0">
      <text>
        <r>
          <rPr>
            <b/>
            <sz val="10"/>
            <color indexed="81"/>
            <rFont val="Tahoma"/>
            <family val="2"/>
          </rPr>
          <t>Amnerys Valdes:</t>
        </r>
        <r>
          <rPr>
            <sz val="10"/>
            <color indexed="81"/>
            <rFont val="Tahoma"/>
            <family val="2"/>
          </rPr>
          <t xml:space="preserve">
Acc 242.98</t>
        </r>
      </text>
    </comment>
  </commentList>
</comments>
</file>

<file path=xl/comments6.xml><?xml version="1.0" encoding="utf-8"?>
<comments xmlns="http://schemas.openxmlformats.org/spreadsheetml/2006/main">
  <authors>
    <author>Paul Higgins</author>
    <author>A satisfied Microsoft Office User</author>
    <author>Coe, Connie P.</author>
  </authors>
  <commentList>
    <comment ref="F111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 (2002), item no. S; Acc 930.05 x 5% disallowance per FAC 25-7.042
</t>
        </r>
        <r>
          <rPr>
            <b/>
            <sz val="8"/>
            <color indexed="10"/>
            <rFont val="Tahoma"/>
            <family val="2"/>
          </rPr>
          <t>Amnerys Valdes:</t>
        </r>
        <r>
          <rPr>
            <sz val="8"/>
            <color indexed="10"/>
            <rFont val="Tahoma"/>
            <family val="2"/>
          </rPr>
          <t xml:space="preserve">
UPDATED FOR DEC 2013</t>
        </r>
      </text>
    </comment>
    <comment ref="F112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Based on Rate Case Order (item no. V.R); 
Amount comes from Maria Quiñones  Acc 926.01 Analysis report
</t>
        </r>
        <r>
          <rPr>
            <sz val="8"/>
            <color indexed="10"/>
            <rFont val="Tahoma"/>
            <family val="2"/>
          </rPr>
          <t xml:space="preserve">
</t>
        </r>
      </text>
    </comment>
    <comment ref="F114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Order, item no. V.K; updated for 2011 with 2011 Actuals  (acct 932 x 13.28%).  Sue used 13.28% in 2009 &amp; 2010. 
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Per Rate Order, item no. V.K; updated for 2010 with 2010 actuals (acct 886) updated 01/05/11</t>
        </r>
      </text>
    </comment>
    <comment ref="H116" authorId="1" shapeId="0">
      <text>
        <r>
          <rPr>
            <sz val="8"/>
            <color indexed="81"/>
            <rFont val="Tahoma"/>
            <family val="2"/>
          </rPr>
          <t xml:space="preserve"> this is related to the WFNG non-regulated asset adjustment and needs to stay in</t>
        </r>
      </text>
    </comment>
    <comment ref="B118" authorId="2" shapeId="0">
      <text>
        <r>
          <rPr>
            <b/>
            <sz val="8"/>
            <color indexed="81"/>
            <rFont val="Tahoma"/>
            <family val="2"/>
          </rPr>
          <t>Coe, Connie P.:</t>
        </r>
        <r>
          <rPr>
            <sz val="8"/>
            <color indexed="81"/>
            <rFont val="Tahoma"/>
            <family val="2"/>
          </rPr>
          <t xml:space="preserve">
Revenue for PHFFU
Lease payment received Annually in May
</t>
        </r>
        <r>
          <rPr>
            <sz val="8"/>
            <color indexed="10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Valdes, Amnerys</author>
    <author>Sue Richards</author>
    <author>Coe, Connie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No need to make reclass going forward per Jeff.
01/20/15</t>
        </r>
      </text>
    </comment>
    <comment ref="A39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OCI related to Int Rate Swaps</t>
        </r>
      </text>
    </comment>
    <comment ref="D39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This is zeroed out until the Hedge settles - then zero out "G40"</t>
        </r>
      </text>
    </comment>
    <comment ref="G39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Sue Richards:
This is zeroed out until the Hedge settles - then zero out "G40"
On the Report Tab - would need to zero out Unsettled too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taxes related to OCI</t>
        </r>
      </text>
    </comment>
    <comment ref="N45" authorId="2" shapeId="0">
      <text>
        <r>
          <rPr>
            <b/>
            <sz val="9"/>
            <color indexed="81"/>
            <rFont val="Tahoma"/>
            <family val="2"/>
          </rPr>
          <t>Coe, Connie:</t>
        </r>
        <r>
          <rPr>
            <sz val="9"/>
            <color indexed="81"/>
            <rFont val="Tahoma"/>
            <family val="2"/>
          </rPr>
          <t xml:space="preserve">
fix plug on Extracts, line 108
</t>
        </r>
      </text>
    </comment>
  </commentList>
</comments>
</file>

<file path=xl/comments8.xml><?xml version="1.0" encoding="utf-8"?>
<comments xmlns="http://schemas.openxmlformats.org/spreadsheetml/2006/main">
  <authors>
    <author>Sue Richards</author>
  </authors>
  <commentList>
    <comment ref="D4" authorId="0" shapeId="0">
      <text>
        <r>
          <rPr>
            <sz val="8"/>
            <color indexed="81"/>
            <rFont val="Tahoma"/>
            <family val="2"/>
          </rPr>
          <t>Summary MSEA Calc Return
--Sue Richards will provide quarterly</t>
        </r>
      </text>
    </comment>
  </commentList>
</comments>
</file>

<file path=xl/comments9.xml><?xml version="1.0" encoding="utf-8"?>
<comments xmlns="http://schemas.openxmlformats.org/spreadsheetml/2006/main">
  <authors>
    <author>Anthony Trask x34282</author>
    <author>Ascroft, Sean M.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Ascroft, Sean M.:</t>
        </r>
        <r>
          <rPr>
            <sz val="9"/>
            <color indexed="81"/>
            <rFont val="Tahoma"/>
            <family val="2"/>
          </rPr>
          <t xml:space="preserve">
Land sale 2.14M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2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2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<sst xmlns="http://schemas.openxmlformats.org/spreadsheetml/2006/main" count="3620" uniqueCount="1262">
  <si>
    <t>Project Sparrow Interface</t>
  </si>
  <si>
    <t>Tolerance:</t>
  </si>
  <si>
    <t>Actual</t>
  </si>
  <si>
    <t>Budget</t>
  </si>
  <si>
    <t>Forecast</t>
  </si>
  <si>
    <t>Timeline Flags and Helpers</t>
  </si>
  <si>
    <t>Year index</t>
  </si>
  <si>
    <t>Timeline index</t>
  </si>
  <si>
    <t>Relative Period</t>
  </si>
  <si>
    <t>Period index</t>
  </si>
  <si>
    <t>Actual Period Flag</t>
  </si>
  <si>
    <t>Flag</t>
  </si>
  <si>
    <t>Budget Period Flag</t>
  </si>
  <si>
    <t>Forecast Period Flag</t>
  </si>
  <si>
    <t>Actual or  Budget Period Flag</t>
  </si>
  <si>
    <t>x</t>
  </si>
  <si>
    <t>SURVEY REPORT</t>
  </si>
  <si>
    <t>Inputs for "SurvReport" Tab, Actuals</t>
  </si>
  <si>
    <t>Updated By:</t>
  </si>
  <si>
    <t>Last Updated:</t>
  </si>
  <si>
    <t>File Name:</t>
  </si>
  <si>
    <t>RATE BASE 13-MONTH AVERAGE</t>
  </si>
  <si>
    <t>BALANCE SHEET</t>
  </si>
  <si>
    <t>Inputs for "SurvReport" Tab, Actuals, Rows 9 - 91</t>
  </si>
  <si>
    <t>Plant In Service</t>
  </si>
  <si>
    <t>System Per Books</t>
  </si>
  <si>
    <t>$000s</t>
  </si>
  <si>
    <t xml:space="preserve"> Non-Utility Allocation</t>
  </si>
  <si>
    <t xml:space="preserve"> Cast Iron/Bare Steel Rider (CIBSR)</t>
  </si>
  <si>
    <t>Plant In Service - FPSC Adjusted</t>
  </si>
  <si>
    <t>Plant Acquisition Adjustment</t>
  </si>
  <si>
    <t xml:space="preserve"> Remove Acquis. Adjustment (WFNG)</t>
  </si>
  <si>
    <t>Plant Acquisition Adjustment - FPSC Adjusted</t>
  </si>
  <si>
    <t>Depreciation &amp; Amortization</t>
  </si>
  <si>
    <t>Depreciation - FPSC Adjusted</t>
  </si>
  <si>
    <t>Customer Advances For Construction</t>
  </si>
  <si>
    <t>Customer Advances for Construction - FPSC Adjusted</t>
  </si>
  <si>
    <t>Property Held for Future Use</t>
  </si>
  <si>
    <t xml:space="preserve"> Property for Future Use</t>
  </si>
  <si>
    <t>PHFFU - FPSC Adjusted</t>
  </si>
  <si>
    <t>CWIP Per Books</t>
  </si>
  <si>
    <t>AFUDC</t>
  </si>
  <si>
    <t>Remove Non-Utility Martin Cty expansion</t>
  </si>
  <si>
    <t>Item removed, left line to tie to actuals</t>
  </si>
  <si>
    <t>&gt;&gt;</t>
  </si>
  <si>
    <t>CWIP - FPSC Adjusted</t>
  </si>
  <si>
    <t xml:space="preserve">Working Capital </t>
  </si>
  <si>
    <t xml:space="preserve"> Temporary Cash Investment</t>
  </si>
  <si>
    <t xml:space="preserve"> Accounts Rec./Pay. - Assoc Companies</t>
  </si>
  <si>
    <t xml:space="preserve"> Other Accounts Receivable</t>
  </si>
  <si>
    <t xml:space="preserve"> Remove Unamort. Debt Expense</t>
  </si>
  <si>
    <t xml:space="preserve"> Remove Unrecovered Gas Cost PGA</t>
  </si>
  <si>
    <t xml:space="preserve"> Remove Dividends Declared</t>
  </si>
  <si>
    <t xml:space="preserve"> Remove Unrec. Conservation Costs</t>
  </si>
  <si>
    <t xml:space="preserve"> Remove Unrec. CIBSR Costs</t>
  </si>
  <si>
    <t xml:space="preserve"> Remove Competitve Rate Adjustment</t>
  </si>
  <si>
    <t xml:space="preserve"> Remove Unamortized Rate Case Expense</t>
  </si>
  <si>
    <t xml:space="preserve"> Remove Investment in Subsidiaries</t>
  </si>
  <si>
    <t>Working Capital - FPSC Adjusted</t>
  </si>
  <si>
    <t>INCOME STATEMENT</t>
  </si>
  <si>
    <t>Inputs for "SurvReport" Tab, Actuals, Rows 112 - 225</t>
  </si>
  <si>
    <t>Revenues</t>
  </si>
  <si>
    <t>Remove Conservation Charges</t>
  </si>
  <si>
    <t>Remove Fuel Revenues</t>
  </si>
  <si>
    <t>Franchise/Gross Receipts Taxes</t>
  </si>
  <si>
    <t>Lease of PHFFU</t>
  </si>
  <si>
    <t>Cast Iron/Bare Steel Rider (CIBSR)</t>
  </si>
  <si>
    <t>Cast Iron/Bare Steel Rider (CIBSR) - ROI</t>
  </si>
  <si>
    <t>Revenues - FPSC Adjusted</t>
  </si>
  <si>
    <t>O&amp;M Gas Expense</t>
  </si>
  <si>
    <t>O&amp;M Gas Expense FPSC Adjusted</t>
  </si>
  <si>
    <t>O&amp;M Other</t>
  </si>
  <si>
    <t>Economic Development Adjustment</t>
  </si>
  <si>
    <t>Employee Activities</t>
  </si>
  <si>
    <t>Intercompany Adjustment</t>
  </si>
  <si>
    <t>Maintenance of General Plant</t>
  </si>
  <si>
    <t>Maint. of Structures and Improvements</t>
  </si>
  <si>
    <t>Lobbying included in Dues (AGA, FNGA)</t>
  </si>
  <si>
    <t>Civic/Social Club Dues</t>
  </si>
  <si>
    <t>O&amp;M Other FPSC Adjusted</t>
  </si>
  <si>
    <t>Non-Utility Allocation</t>
  </si>
  <si>
    <t>Remove Acquisition Adj. Amortiz. (WFNG)</t>
  </si>
  <si>
    <t>Depreciation &amp; Amortization FPSC Adjusted</t>
  </si>
  <si>
    <t>Taxes Other Than Income (TOTI)</t>
  </si>
  <si>
    <t>Taxes Other Than Income FPSC Adjusted</t>
  </si>
  <si>
    <t>Income Taxes (current and deferred)</t>
  </si>
  <si>
    <t>Interest Synchronization</t>
  </si>
  <si>
    <t>Parent Debt Adjustment</t>
  </si>
  <si>
    <t>Gain on Sale of Property</t>
  </si>
  <si>
    <t>Remove  ITC Amortization</t>
  </si>
  <si>
    <t>Income Taxes FPSC Adjusted</t>
  </si>
  <si>
    <t>Gain on Disposal</t>
  </si>
  <si>
    <t>Gain on Disposal FPSC Adjusted</t>
  </si>
  <si>
    <t>ADJUSTED CAPITAL STRUCTURE</t>
  </si>
  <si>
    <t>Inputs for "SurvReport" Tab, Actuals, Rows 306 - 340</t>
  </si>
  <si>
    <t>Capital Structure:</t>
  </si>
  <si>
    <t>Long Term Debt</t>
  </si>
  <si>
    <t>Short Term Debt</t>
  </si>
  <si>
    <t>Customer Deposits</t>
  </si>
  <si>
    <t>Common Equity</t>
  </si>
  <si>
    <t>Deferred Income Tax</t>
  </si>
  <si>
    <t>Tax Credits - Weighted Cost</t>
  </si>
  <si>
    <t xml:space="preserve">Total                            </t>
  </si>
  <si>
    <t>Adjusted Net Operating Income:</t>
  </si>
  <si>
    <t>Adjusted Rate Base - Average</t>
  </si>
  <si>
    <t>%</t>
  </si>
  <si>
    <t>FPSC Adjusted Average Earned Rate Of Return</t>
  </si>
  <si>
    <t>Less: Reconciled Average Retail Weighted Cost Rate</t>
  </si>
  <si>
    <t xml:space="preserve"> Long Term Debt - Average</t>
  </si>
  <si>
    <t xml:space="preserve"> Short Term Debt - Average</t>
  </si>
  <si>
    <t xml:space="preserve"> Customer Deposits - Average</t>
  </si>
  <si>
    <t xml:space="preserve"> Tax Credits-Weighted Cost (Midpoint) - Average</t>
  </si>
  <si>
    <t>Year End Capital Structure Balances</t>
  </si>
  <si>
    <t>Year End Surv Report Data for average calculations</t>
  </si>
  <si>
    <t>FPSC Adjusted Rate Base</t>
  </si>
  <si>
    <t>Tax Credits - Zero Cost</t>
  </si>
  <si>
    <t>Total Year-end Adjusted Capital (for Rate Base)</t>
  </si>
  <si>
    <t>Year end Rate Base Per books</t>
  </si>
  <si>
    <t>Total Year-end Capital Unadjusted (for Rate Base)</t>
  </si>
  <si>
    <t xml:space="preserve">Average Cost Rate for Surv Report </t>
  </si>
  <si>
    <t>COPY MACRO ABOVE ^^^</t>
  </si>
  <si>
    <t>Name:</t>
  </si>
  <si>
    <t>Forecasted Earnings Surveillance Report</t>
  </si>
  <si>
    <t>Purpose:</t>
  </si>
  <si>
    <t>To report forecasted financial information for the calendar year.</t>
  </si>
  <si>
    <t>Model Index:</t>
  </si>
  <si>
    <t>Drivers Tabs</t>
  </si>
  <si>
    <r>
      <t xml:space="preserve">Inputs or assumptions; either linking or hard coded inputs from external files that can be found in the </t>
    </r>
    <r>
      <rPr>
        <b/>
        <u/>
        <sz val="10"/>
        <rFont val="Arial"/>
        <family val="2"/>
      </rPr>
      <t>Support folder</t>
    </r>
    <r>
      <rPr>
        <sz val="10"/>
        <rFont val="Arial"/>
        <family val="2"/>
      </rPr>
      <t>.</t>
    </r>
  </si>
  <si>
    <t>Model Tabs</t>
  </si>
  <si>
    <t>Calculations/External linking for Financial Statements and other.</t>
  </si>
  <si>
    <t>Output Tabs</t>
  </si>
  <si>
    <t>Summary of Reports (Schedules 1-5-2, AFUDC Schedules) produced by the model.</t>
  </si>
  <si>
    <t>Comparison Report Tabs</t>
  </si>
  <si>
    <t>Reports to be compared to prior periods.</t>
  </si>
  <si>
    <t>Financial Model Color Formatting:</t>
  </si>
  <si>
    <t>Blue</t>
  </si>
  <si>
    <t>Inputs, or any hardcoded data, such as historical values, assumptions, and drivers.</t>
  </si>
  <si>
    <t>Black</t>
  </si>
  <si>
    <t>Calculations and references to the same sheet.</t>
  </si>
  <si>
    <t xml:space="preserve">Green </t>
  </si>
  <si>
    <t>Calculations and references to other sheets.</t>
  </si>
  <si>
    <t>Red</t>
  </si>
  <si>
    <t>References to separate files or external links.</t>
  </si>
  <si>
    <t>Light yellow indicates cell is being pulled into Report Tab.</t>
  </si>
  <si>
    <t>Calc Support Surv Rept 13mo Avg:</t>
  </si>
  <si>
    <t>Month:</t>
  </si>
  <si>
    <t>12-month rolling:</t>
  </si>
  <si>
    <t>Forecast:</t>
  </si>
  <si>
    <t>External Links - Balance Sheet and Income Statement</t>
  </si>
  <si>
    <t xml:space="preserve">Calculation </t>
  </si>
  <si>
    <t xml:space="preserve">Link directly to external </t>
  </si>
  <si>
    <t>13-month avg</t>
  </si>
  <si>
    <t>Year-end</t>
  </si>
  <si>
    <t>12 month total</t>
  </si>
  <si>
    <t>total</t>
  </si>
  <si>
    <t>Accum Compet Price Adj (1823070)</t>
  </si>
  <si>
    <t>ECCR Exp Monthly</t>
  </si>
  <si>
    <t>ECCR Deferred Exp Monthly (4073140) (4073141)</t>
  </si>
  <si>
    <t xml:space="preserve">Regulatory Assessment Fee Fuel </t>
  </si>
  <si>
    <t xml:space="preserve">Econom Develop (6790055) </t>
  </si>
  <si>
    <t>5% disallowance per FAC (25-7.042)</t>
  </si>
  <si>
    <t>TOTI-Franchise Fees (6900010)</t>
  </si>
  <si>
    <t>TOTI-Gross Receipts (6900030)</t>
  </si>
  <si>
    <t>Total Franchise Fees/Gross Receipts Exp</t>
  </si>
  <si>
    <t>OthRev-Franchise Fee (4950205)</t>
  </si>
  <si>
    <t>OthRev-Gross Receipt (4950206)</t>
  </si>
  <si>
    <t>Total Franchise Fees/Gross Receipts Rev</t>
  </si>
  <si>
    <t xml:space="preserve">Net Franchise/Gross Receipts </t>
  </si>
  <si>
    <t>12-month Net Franchise/Gross Receipts</t>
  </si>
  <si>
    <t>Other-OCI-INT RATE SWAP (219)</t>
  </si>
  <si>
    <t>Adjust OCI for Tax</t>
  </si>
  <si>
    <t>Accum Provision for Uncollectible - Misc Billing (1440020)</t>
  </si>
  <si>
    <t>External Inputs from Outside Source</t>
  </si>
  <si>
    <t>Update inputs for Actuals &amp; Lobbying for Forecast</t>
  </si>
  <si>
    <r>
      <t>SAP Reports</t>
    </r>
    <r>
      <rPr>
        <sz val="10"/>
        <rFont val="Arial"/>
        <family val="2"/>
      </rPr>
      <t>:</t>
    </r>
  </si>
  <si>
    <t>A&amp;G Gas Maint Gen Plt (Acct 932)</t>
  </si>
  <si>
    <t>Gas Dist Main Struct (ACCT 886)</t>
  </si>
  <si>
    <t>PHFFU CEMEX Annual Lease (ACCT 493)</t>
  </si>
  <si>
    <r>
      <t>ACCT 926-01 File</t>
    </r>
    <r>
      <rPr>
        <sz val="10"/>
        <rFont val="Arial"/>
        <family val="2"/>
      </rPr>
      <t>:</t>
    </r>
  </si>
  <si>
    <t>Wellness</t>
  </si>
  <si>
    <t xml:space="preserve">Education/Tuition Reimbursement </t>
  </si>
  <si>
    <t>Employee Awards</t>
  </si>
  <si>
    <t>Adjustment Total</t>
  </si>
  <si>
    <r>
      <t>Tax Model</t>
    </r>
    <r>
      <rPr>
        <sz val="10"/>
        <rFont val="Arial"/>
        <family val="2"/>
      </rPr>
      <t xml:space="preserve">: </t>
    </r>
  </si>
  <si>
    <t>Lobbying Exp in Industry Dues (D0086456) - Forecast Tax Workbook</t>
  </si>
  <si>
    <r>
      <t>BL021 Competitive Rate File</t>
    </r>
    <r>
      <rPr>
        <sz val="10"/>
        <rFont val="Arial"/>
        <family val="2"/>
      </rPr>
      <t xml:space="preserve">: </t>
    </r>
  </si>
  <si>
    <t>Flex Revenues Monthly</t>
  </si>
  <si>
    <t>CIBSR Over-Under Calculation File:</t>
  </si>
  <si>
    <t>Plant-in-Service</t>
  </si>
  <si>
    <t>Accumulated Depreciation</t>
  </si>
  <si>
    <t>CWIP</t>
  </si>
  <si>
    <t>Regulatory Assessment Fee (CIBSR)</t>
  </si>
  <si>
    <t>Deferred Revenues</t>
  </si>
  <si>
    <t>Deferred Expenses</t>
  </si>
  <si>
    <t>Return on Investment - monthly</t>
  </si>
  <si>
    <t>Depreciation - monthly</t>
  </si>
  <si>
    <t>Property taxes - monthly</t>
  </si>
  <si>
    <t>Checks</t>
  </si>
  <si>
    <t>Revenue adjustment</t>
  </si>
  <si>
    <t>check</t>
  </si>
  <si>
    <t>Accounts 4074071/4074072 CIBS Def Rev</t>
  </si>
  <si>
    <t>Accounts 4073071/4073072 CIBS Def Exp</t>
  </si>
  <si>
    <t>Account 4950271 CIBS Rev/CIBS Reg Stat</t>
  </si>
  <si>
    <t xml:space="preserve">Source: SOP </t>
  </si>
  <si>
    <t>13-Month</t>
  </si>
  <si>
    <t>NON-UTILITY</t>
  </si>
  <si>
    <t>13 MONTH AVG</t>
  </si>
  <si>
    <t>YEAR END</t>
  </si>
  <si>
    <t>Plant Balances for SR</t>
  </si>
  <si>
    <t>Calulation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</si>
  <si>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</si>
  <si>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</si>
  <si>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</si>
  <si>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</si>
  <si>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</si>
  <si>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</si>
  <si>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</si>
  <si>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</si>
  <si>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</si>
  <si>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</si>
  <si>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</si>
  <si>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</si>
  <si>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Average</t>
  </si>
  <si>
    <t>INTANGIBLE SOFTWARE</t>
  </si>
  <si>
    <t>LAND AND LAND RIGHTS</t>
  </si>
  <si>
    <t>STRUCTURES AND IMPROVEMENTS</t>
  </si>
  <si>
    <t>COMPUTER EQUIPMENT</t>
  </si>
  <si>
    <t>Accumulated Depreciation for SR</t>
  </si>
  <si>
    <t xml:space="preserve">12 MONTH </t>
  </si>
  <si>
    <t>Depreciation Expense for SR</t>
  </si>
  <si>
    <t>TOTAL</t>
  </si>
  <si>
    <t>AFUDC CWIP</t>
  </si>
  <si>
    <t>PEOPLES GAS SYSTEM</t>
  </si>
  <si>
    <t xml:space="preserve">ANALYSIS OF AFUDC BASIS </t>
  </si>
  <si>
    <t>13 MONTH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</si>
  <si>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</si>
  <si>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</si>
  <si>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</si>
  <si>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</si>
  <si>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</si>
  <si>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</si>
  <si>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</si>
  <si>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</si>
  <si>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</si>
  <si>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</si>
  <si>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</si>
  <si>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</si>
  <si>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AVERAGE</t>
  </si>
  <si>
    <t>EOP (107)</t>
  </si>
  <si>
    <t>CIBS RIDER CWIP</t>
  </si>
  <si>
    <t>FP Number</t>
  </si>
  <si>
    <t>ELIGIBLE FOR AFUDC</t>
  </si>
  <si>
    <t>NEW-13005</t>
  </si>
  <si>
    <t>Arcadia</t>
  </si>
  <si>
    <t>NEW-13004</t>
  </si>
  <si>
    <t>Sumertville Dade City</t>
  </si>
  <si>
    <t>NEW-13663</t>
  </si>
  <si>
    <t>LNG - Blue Marlin</t>
  </si>
  <si>
    <t>NEW-14683</t>
  </si>
  <si>
    <t>FGT to Big Bend</t>
  </si>
  <si>
    <t>NEW-13703</t>
  </si>
  <si>
    <t>RNG New River</t>
  </si>
  <si>
    <t>NEW-15435</t>
  </si>
  <si>
    <t>RNG Brightmark</t>
  </si>
  <si>
    <t>NEW-15453</t>
  </si>
  <si>
    <t>RNG Pipe Alliance</t>
  </si>
  <si>
    <t>NCP-12429</t>
  </si>
  <si>
    <t>Work Management System</t>
  </si>
  <si>
    <t>CRR-11778</t>
  </si>
  <si>
    <t>Main-Replace Ortega River Crossing</t>
  </si>
  <si>
    <t>PRE-08040</t>
  </si>
  <si>
    <t>Gate-Peters Road</t>
  </si>
  <si>
    <t>NEW-12959</t>
  </si>
  <si>
    <t>Southwest Lakeland Loop</t>
  </si>
  <si>
    <t>NEW-14967</t>
  </si>
  <si>
    <t>Main-Universal Orlando Project P304</t>
  </si>
  <si>
    <t>NEW-12524</t>
  </si>
  <si>
    <t>Rosen Laundry/Destination Pkwy</t>
  </si>
  <si>
    <t>NEW-15491</t>
  </si>
  <si>
    <t>Skysail Development</t>
  </si>
  <si>
    <t>NEW-15454</t>
  </si>
  <si>
    <t>Alliance RNG Equipment</t>
  </si>
  <si>
    <t>NEW-13943</t>
  </si>
  <si>
    <t>Greater Orlando Avaiation Authority</t>
  </si>
  <si>
    <t>CRR-12579</t>
  </si>
  <si>
    <t>Cedar Hills Replace - Phase B</t>
  </si>
  <si>
    <t>RNG Biogas Brightmark</t>
  </si>
  <si>
    <t>CRR-16136</t>
  </si>
  <si>
    <t>Main Replace-Tampa Downtown</t>
  </si>
  <si>
    <t>NCP-16037</t>
  </si>
  <si>
    <t>PGS Project Franklin Structure</t>
  </si>
  <si>
    <t>NCP-16038</t>
  </si>
  <si>
    <t>PGS Project Franklin Land</t>
  </si>
  <si>
    <t>NEW-12952</t>
  </si>
  <si>
    <t>Governor's Park Expansion</t>
  </si>
  <si>
    <t>NEW-12955</t>
  </si>
  <si>
    <t>South St Johns Residential Expansio</t>
  </si>
  <si>
    <t>NEW-13203</t>
  </si>
  <si>
    <t>Sugarmill Woods (FGT) to 301</t>
  </si>
  <si>
    <t>NEW-14964</t>
  </si>
  <si>
    <t>Main-Horizons West Village I</t>
  </si>
  <si>
    <t>NEW-14965</t>
  </si>
  <si>
    <t>Main-Lake Pickett North</t>
  </si>
  <si>
    <t>NEW-14968</t>
  </si>
  <si>
    <t>Main-Wellness Way Expansion</t>
  </si>
  <si>
    <t>NEW-15433</t>
  </si>
  <si>
    <t>NEW-15495</t>
  </si>
  <si>
    <t>Main-Poitras at Lake Nona</t>
  </si>
  <si>
    <t>PRE-08280</t>
  </si>
  <si>
    <t>Mayport/Southside Beaches</t>
  </si>
  <si>
    <t>PRE-09858</t>
  </si>
  <si>
    <t>Combee Rd &amp; East Gate S to Eaton</t>
  </si>
  <si>
    <t>PRE-10100</t>
  </si>
  <si>
    <t>Tampa City Distribution Trunk</t>
  </si>
  <si>
    <t>TOTAL ELIGIBLE FOR AFUDC</t>
  </si>
  <si>
    <t>CWIP included in Rate Base</t>
  </si>
  <si>
    <t>Variance</t>
  </si>
  <si>
    <t>2022 Tax Rate</t>
  </si>
  <si>
    <t>12 M AVG TAX RATE</t>
  </si>
  <si>
    <t xml:space="preserve">OLD </t>
  </si>
  <si>
    <t>12ME</t>
  </si>
  <si>
    <t xml:space="preserve">TAX </t>
  </si>
  <si>
    <t>FORECAST</t>
  </si>
  <si>
    <t>RATE</t>
  </si>
  <si>
    <t>TAX RATE</t>
  </si>
  <si>
    <t>TABS PULLING FROM</t>
  </si>
  <si>
    <t>CALCULATION OF WEST FLORIDA NON-REGULATORY ASSETS (WFNG)</t>
  </si>
  <si>
    <t>ACQ.</t>
  </si>
  <si>
    <t>13 MO.</t>
  </si>
  <si>
    <t>NON-REG</t>
  </si>
  <si>
    <t>ADJ</t>
  </si>
  <si>
    <t>AVG.</t>
  </si>
  <si>
    <t>ACC DEP</t>
  </si>
  <si>
    <t>($6,637.10 AMORT. PER MO.)</t>
  </si>
  <si>
    <t>Dec 2001</t>
  </si>
  <si>
    <t>Jan 2002</t>
  </si>
  <si>
    <t>Feb 2002</t>
  </si>
  <si>
    <t>Mar 2002</t>
  </si>
  <si>
    <t>Apr 2002</t>
  </si>
  <si>
    <t>May 2002</t>
  </si>
  <si>
    <t>Jun 2002</t>
  </si>
  <si>
    <t>Jul 2002</t>
  </si>
  <si>
    <t>Aug 2002</t>
  </si>
  <si>
    <t>Sep 2002</t>
  </si>
  <si>
    <t>Oct 2002</t>
  </si>
  <si>
    <t>Nov 2002</t>
  </si>
  <si>
    <t>Dec 2002</t>
  </si>
  <si>
    <t>Jan 2003</t>
  </si>
  <si>
    <t>Feb 2003</t>
  </si>
  <si>
    <t>Mar 2003</t>
  </si>
  <si>
    <t>Apr 2003</t>
  </si>
  <si>
    <t>May 2003</t>
  </si>
  <si>
    <t>Jun 2003</t>
  </si>
  <si>
    <t>Jul 2003</t>
  </si>
  <si>
    <t>Aug 2003</t>
  </si>
  <si>
    <t>Sep 2003</t>
  </si>
  <si>
    <t>Oct 2003</t>
  </si>
  <si>
    <t>Nov 2003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</si>
  <si>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</si>
  <si>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</si>
  <si>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</si>
  <si>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</si>
  <si>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</si>
  <si>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</si>
  <si>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</si>
  <si>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</si>
  <si>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</si>
  <si>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</si>
  <si>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</si>
  <si>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</si>
  <si>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</si>
  <si>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</si>
  <si>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</si>
  <si>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</si>
  <si>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</si>
  <si>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</si>
  <si>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</si>
  <si>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</si>
  <si>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</si>
  <si>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</si>
  <si>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</si>
  <si>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</si>
  <si>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</si>
  <si>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</si>
  <si>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</si>
  <si>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</si>
  <si>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</si>
  <si>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</si>
  <si>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</si>
  <si>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</si>
  <si>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</si>
  <si>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</si>
  <si>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</si>
  <si>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</si>
  <si>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</si>
  <si>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 xml:space="preserve">WFNG </t>
  </si>
  <si>
    <t>WFNG Left as of Mar 2021</t>
  </si>
  <si>
    <t>WFNG Left as of Dec 2020</t>
  </si>
  <si>
    <t>Balance at end</t>
  </si>
  <si>
    <t>12 Month Rolling Amort</t>
  </si>
  <si>
    <t>Peoples Gas System</t>
  </si>
  <si>
    <t>Income Statement</t>
  </si>
  <si>
    <t>Dollars in Thousands</t>
  </si>
  <si>
    <t>PULL FERC ACTUALS INTO IS</t>
  </si>
  <si>
    <t>Current</t>
  </si>
  <si>
    <t>12-Month</t>
  </si>
  <si>
    <t>Month</t>
  </si>
  <si>
    <t>Ended</t>
  </si>
  <si>
    <t>12 Months Ended</t>
  </si>
  <si>
    <t>Operating Revenue</t>
  </si>
  <si>
    <t>Cost of Gas</t>
  </si>
  <si>
    <t>Net Revenue</t>
  </si>
  <si>
    <t>Operations &amp; Maintenance Expense</t>
  </si>
  <si>
    <t>Depreciation Expense</t>
  </si>
  <si>
    <t>Amort. - Leasehold Improvements</t>
  </si>
  <si>
    <t>Amort. - Acq. Adjustments</t>
  </si>
  <si>
    <t>Amort. - Other</t>
  </si>
  <si>
    <t>Taxes Other than Income</t>
  </si>
  <si>
    <t>Income taxes ATL - Federal &amp; State</t>
  </si>
  <si>
    <t>Def. Taxes - Federal  &amp; State</t>
  </si>
  <si>
    <t>Investment Tax Credits</t>
  </si>
  <si>
    <t>Total Other Oper. Income Deductions</t>
  </si>
  <si>
    <t>Net Utility Operating Income</t>
  </si>
  <si>
    <t>Other Income &amp; Deductions</t>
  </si>
  <si>
    <t>Mdse &amp; Jobbing Income (Expense)</t>
  </si>
  <si>
    <t>Interest &amp; Dividend Income</t>
  </si>
  <si>
    <t>Misc. Non-operating Income</t>
  </si>
  <si>
    <t>Equity Earnings - Subsidiary</t>
  </si>
  <si>
    <t>Misc. Income Deductions</t>
  </si>
  <si>
    <t>Allowance for Other Funds</t>
  </si>
  <si>
    <t>Income taxes BTL - Federal &amp; State</t>
  </si>
  <si>
    <t>Total Other Income &amp; Deductions</t>
  </si>
  <si>
    <t>Interest Expense</t>
  </si>
  <si>
    <t>Interest - L. T. Debt</t>
  </si>
  <si>
    <t>Interest - S. T. Debt</t>
  </si>
  <si>
    <t>Int. - Amort. - Disc. &amp; Expense</t>
  </si>
  <si>
    <t>Interest - Intercompany</t>
  </si>
  <si>
    <t>Interest - Deposits &amp; Other</t>
  </si>
  <si>
    <t>Allowance for Borrowed Funds</t>
  </si>
  <si>
    <t>Total Interest Expense</t>
  </si>
  <si>
    <t>Net Income</t>
  </si>
  <si>
    <t>PGA CLAUSE</t>
  </si>
  <si>
    <t>FUEL_FLADD_RC</t>
  </si>
  <si>
    <t>PGA O&amp;M Expense</t>
  </si>
  <si>
    <t>Empl Exp - Social/Civic Dues</t>
  </si>
  <si>
    <t>A_6030020</t>
  </si>
  <si>
    <t>Donations - Charitable (501c)</t>
  </si>
  <si>
    <t>A_6790090</t>
  </si>
  <si>
    <t>Donations - Non deductible</t>
  </si>
  <si>
    <t>A_6790091</t>
  </si>
  <si>
    <t>Donations - Other</t>
  </si>
  <si>
    <t>A_6790092</t>
  </si>
  <si>
    <t>In-Kind Donations</t>
  </si>
  <si>
    <t>A_6790099</t>
  </si>
  <si>
    <t>Penalties</t>
  </si>
  <si>
    <t>A_6790200</t>
  </si>
  <si>
    <t>Political Contributions</t>
  </si>
  <si>
    <t>A_6790220</t>
  </si>
  <si>
    <t>Settled Political Contributions</t>
  </si>
  <si>
    <t>A_S6790220</t>
  </si>
  <si>
    <t>Remove from O&amp;M</t>
  </si>
  <si>
    <t>Balance Sheet</t>
  </si>
  <si>
    <t>PULL FERC ACTUALS INTO BS</t>
  </si>
  <si>
    <t>13 Month</t>
  </si>
  <si>
    <t>Averages</t>
  </si>
  <si>
    <t>Assets</t>
  </si>
  <si>
    <t>Utility Plant</t>
  </si>
  <si>
    <t>Gas Plant in Service</t>
  </si>
  <si>
    <t>Plant Held for Future Use</t>
  </si>
  <si>
    <t>Gas Plant Acquisition Adjustment</t>
  </si>
  <si>
    <t>Gross Utility Plant</t>
  </si>
  <si>
    <t>Accumulated Provision for Depr.</t>
  </si>
  <si>
    <t>Net Plant</t>
  </si>
  <si>
    <t>Other Investments</t>
  </si>
  <si>
    <t>Sinking Funds</t>
  </si>
  <si>
    <t>Non Utility Property</t>
  </si>
  <si>
    <t>Total Property &amp; Investments</t>
  </si>
  <si>
    <t>Current and Accrued Assets</t>
  </si>
  <si>
    <t>Cash</t>
  </si>
  <si>
    <t>Special Deposits</t>
  </si>
  <si>
    <t>Working Funds</t>
  </si>
  <si>
    <t>Temp. Cash Investments</t>
  </si>
  <si>
    <t>Notes Receivable</t>
  </si>
  <si>
    <t>Customer Accounts Receivable</t>
  </si>
  <si>
    <t>Other Accounts Receivable</t>
  </si>
  <si>
    <t>Accum. Provision Uncoll. Accounts</t>
  </si>
  <si>
    <t>Receivable Assoc. Companies</t>
  </si>
  <si>
    <t>Receivable Assoc. Co. Services</t>
  </si>
  <si>
    <t>Fuel Stock</t>
  </si>
  <si>
    <t>Plant &amp; Other Material and Supplies</t>
  </si>
  <si>
    <t>Stores Expense</t>
  </si>
  <si>
    <t>Prepayments  165</t>
  </si>
  <si>
    <t>Accounts Rec. - Unbilled Revenues 173</t>
  </si>
  <si>
    <t>Derivatives Assets 176****</t>
  </si>
  <si>
    <t>Total Current &amp; Accrued Assets</t>
  </si>
  <si>
    <t>Deferred Charges</t>
  </si>
  <si>
    <t>Unamortized DD&amp;E</t>
  </si>
  <si>
    <t>Deferred Tax Assets</t>
  </si>
  <si>
    <t>Clearing Accounts</t>
  </si>
  <si>
    <t>Other WIP &amp; (1720201/1720202)</t>
  </si>
  <si>
    <t>Conservation Cost True Up (1823040)</t>
  </si>
  <si>
    <t>CIBSR Cost True Up (1823071)</t>
  </si>
  <si>
    <t>Non-Utility WIP/Unbundling Transition</t>
  </si>
  <si>
    <t>Unamortized Rate Case</t>
  </si>
  <si>
    <t>Unrecovered Gas Costs 191****</t>
  </si>
  <si>
    <t xml:space="preserve">Regulatory Derivative (Curr &amp; LT) </t>
  </si>
  <si>
    <t>Total Deferred Charges</t>
  </si>
  <si>
    <t>Total Assets</t>
  </si>
  <si>
    <t>Capitalization &amp; Liabilities</t>
  </si>
  <si>
    <t>Common Stock</t>
  </si>
  <si>
    <t>Additional Capital</t>
  </si>
  <si>
    <t>Unappropriated Retained Earnings</t>
  </si>
  <si>
    <t>Other</t>
  </si>
  <si>
    <t>Total Stockholders Equity</t>
  </si>
  <si>
    <t>FM Bonds &amp; Long Term Notes</t>
  </si>
  <si>
    <t>Revolving Credit</t>
  </si>
  <si>
    <t>Other Long Term Debt</t>
  </si>
  <si>
    <t>Total Long Term Debt</t>
  </si>
  <si>
    <t>Total Capitalization</t>
  </si>
  <si>
    <t>Current &amp; Accrued Liabilities</t>
  </si>
  <si>
    <t>Notes Payable</t>
  </si>
  <si>
    <t>Accounts Payable</t>
  </si>
  <si>
    <t>Accts. Pay. Assoc. Comp 2330711</t>
  </si>
  <si>
    <t>Accts. Pay. Assoc. Co. Services 234</t>
  </si>
  <si>
    <t>Customer Deposits - Current 2350110</t>
  </si>
  <si>
    <t>Taxes Accrued - General</t>
  </si>
  <si>
    <t>Taxes Accrued - Income</t>
  </si>
  <si>
    <t>Interest Accrued</t>
  </si>
  <si>
    <t>Dividends Declared</t>
  </si>
  <si>
    <t>Tax Collections Payable 241 + 2360606</t>
  </si>
  <si>
    <t>Inactive Deposits 2420320</t>
  </si>
  <si>
    <t>Conservation Cost True Up (2540040)</t>
  </si>
  <si>
    <t>CIBSR Cost True Up (2540071)</t>
  </si>
  <si>
    <t>Non-Utility Accrued Liability</t>
  </si>
  <si>
    <t>Derivative Liability 245****</t>
  </si>
  <si>
    <t>Misc. Current Liabilities</t>
  </si>
  <si>
    <t>Total Current &amp; Accrued Liabilities</t>
  </si>
  <si>
    <t>Customer Deposits 2350100</t>
  </si>
  <si>
    <t>Customer Advances for Constr.</t>
  </si>
  <si>
    <t>Other Deferred Credits</t>
  </si>
  <si>
    <t>Accumulated Deferred Income Tax</t>
  </si>
  <si>
    <t>Regulatory Liabilities  - Tax Related</t>
  </si>
  <si>
    <t>Def. Inv. Tax Credit</t>
  </si>
  <si>
    <t>Total Deferred Credits</t>
  </si>
  <si>
    <t>Pensions &amp; Benefits Reserve</t>
  </si>
  <si>
    <t>Other Reserves</t>
  </si>
  <si>
    <t>Total Operating Reserves</t>
  </si>
  <si>
    <t>Total Capital &amp; Liabilities</t>
  </si>
  <si>
    <t>Check Totals</t>
  </si>
  <si>
    <t>Diff in BS is Lease Account 2530360</t>
  </si>
  <si>
    <t>Check</t>
  </si>
  <si>
    <t>Remove from RB from projects removed and SOP not rerun yet</t>
  </si>
  <si>
    <t>AVERAGE DEBT INTEREST RATES</t>
  </si>
  <si>
    <t>LONG TERM DEBT COST RATE CALCULATION</t>
  </si>
  <si>
    <t>LTD Balance</t>
  </si>
  <si>
    <t>Long Term Notes</t>
  </si>
  <si>
    <t>181 &amp; 189</t>
  </si>
  <si>
    <t>A_2190040</t>
  </si>
  <si>
    <t>OCI - Cash Flow Hedges Pretax</t>
  </si>
  <si>
    <t>LTD Balance - 13-month Average</t>
  </si>
  <si>
    <t>LTD Interest</t>
  </si>
  <si>
    <t>A_7500110</t>
  </si>
  <si>
    <t>Interest Expense- L/T Debt</t>
  </si>
  <si>
    <t>A_7500120</t>
  </si>
  <si>
    <t>Amortization of discount L/T Debt</t>
  </si>
  <si>
    <t>A_7500130</t>
  </si>
  <si>
    <t>Interest Exp - Amortiz of Fees on L/T Debt</t>
  </si>
  <si>
    <t>A_S7500110</t>
  </si>
  <si>
    <t>A_S7500120</t>
  </si>
  <si>
    <t>A_S7500130</t>
  </si>
  <si>
    <t>LTD Interest Balance</t>
  </si>
  <si>
    <t>LTD Interest - 12-month ended</t>
  </si>
  <si>
    <t>LTD COST RATE Average</t>
  </si>
  <si>
    <t>LTD COST RATE Year End</t>
  </si>
  <si>
    <t>SHORT TERM DEBT COST RATE CALCULATION</t>
  </si>
  <si>
    <t>Short-Term Debt Interest Rate</t>
  </si>
  <si>
    <t>From Vickie M.</t>
  </si>
  <si>
    <t>13-month average interest rate</t>
  </si>
  <si>
    <t>Month end interest rate</t>
  </si>
  <si>
    <t>Commercial Paper Rate</t>
  </si>
  <si>
    <t>Term Loan Rate</t>
  </si>
  <si>
    <t>Commercial Paper $</t>
  </si>
  <si>
    <t>Term Loan Rate $</t>
  </si>
  <si>
    <t>Blended ST Rate</t>
  </si>
  <si>
    <t>STD Balance</t>
  </si>
  <si>
    <t>A_2310000</t>
  </si>
  <si>
    <t>Notes Pay &lt;1yr Dur</t>
  </si>
  <si>
    <t>A_2319999</t>
  </si>
  <si>
    <t>NP IC Current Postng</t>
  </si>
  <si>
    <t>A_2330711</t>
  </si>
  <si>
    <t>STD Balance - 13-month Average</t>
  </si>
  <si>
    <t>STD Interest</t>
  </si>
  <si>
    <t>A_7500020</t>
  </si>
  <si>
    <t>AR Securitization</t>
  </si>
  <si>
    <t>A_7500080</t>
  </si>
  <si>
    <t>Int Exp Cr Facility</t>
  </si>
  <si>
    <t>A_7500090</t>
  </si>
  <si>
    <t>Int Exp Oth ST Borrw</t>
  </si>
  <si>
    <t>A_7500700</t>
  </si>
  <si>
    <t>Int Exp Intercompany</t>
  </si>
  <si>
    <t>Amortizatoin of Fees in 930.2</t>
  </si>
  <si>
    <t>STD Interest Balance</t>
  </si>
  <si>
    <t>STD Interest - 12-month ended</t>
  </si>
  <si>
    <t>STD COST RATE Average</t>
  </si>
  <si>
    <t>STD COST RATE Year End</t>
  </si>
  <si>
    <t>CUSTOMER DEPOSITS COST RATE CALCULATION</t>
  </si>
  <si>
    <t>Deposits Balance</t>
  </si>
  <si>
    <t>A_2350100</t>
  </si>
  <si>
    <t>CIS Customer Deposits Short-term</t>
  </si>
  <si>
    <t>A_2350110</t>
  </si>
  <si>
    <t>Non-CIS Customer Deposits Short-term</t>
  </si>
  <si>
    <t>A_2420320</t>
  </si>
  <si>
    <t>Misc Accru Liab-Unclaimed Funds</t>
  </si>
  <si>
    <t>Deposits Balance - 13-month Average</t>
  </si>
  <si>
    <t>Deposits Interest</t>
  </si>
  <si>
    <t>A_7500030</t>
  </si>
  <si>
    <t>Interest Exp - Customer Deposits</t>
  </si>
  <si>
    <t>Deposits Interest Balance</t>
  </si>
  <si>
    <t>Deposits Interest - 12-month ended</t>
  </si>
  <si>
    <t>Deposits COST RATE Average</t>
  </si>
  <si>
    <t>Deposits COST RATE Year End</t>
  </si>
  <si>
    <t xml:space="preserve">Adjustments to Capital Structure for 54.70% Equity Ratio </t>
  </si>
  <si>
    <t>ADJUSTED</t>
  </si>
  <si>
    <t>YEAR-END</t>
  </si>
  <si>
    <t>Long-Term Debt ($)</t>
  </si>
  <si>
    <t>Short-term Debt ($)</t>
  </si>
  <si>
    <t>Long-Term Debt (%)</t>
  </si>
  <si>
    <t>Short-term Debt (%)</t>
  </si>
  <si>
    <t>Unadj. Common Equity with LT &amp; ST</t>
  </si>
  <si>
    <t>Targeted Equity Ratio</t>
  </si>
  <si>
    <t>Check to Target Ratio</t>
  </si>
  <si>
    <t>Adjustment to Capital Structure</t>
  </si>
  <si>
    <t>Capital Structure Per Books and Specific</t>
  </si>
  <si>
    <t>(Pro rate only over equity, LTD and STD)</t>
  </si>
  <si>
    <t xml:space="preserve">TOTAL </t>
  </si>
  <si>
    <t>PERCENTAGE</t>
  </si>
  <si>
    <t>(AFUDC over all Sources)</t>
  </si>
  <si>
    <t xml:space="preserve">Capital Structure Total Adjusted Reg. Financial Equity Ratio </t>
  </si>
  <si>
    <t>INTEREST SYNCHRONIZATION</t>
  </si>
  <si>
    <t xml:space="preserve"> WORKSHEET</t>
  </si>
  <si>
    <t>FOR THE MONTH OF:</t>
  </si>
  <si>
    <t>CALCULATED INTEREST BASED ON</t>
  </si>
  <si>
    <t>AVERAGE CAPITAL STRUCTURE:</t>
  </si>
  <si>
    <t>Calculated</t>
  </si>
  <si>
    <t>Account</t>
  </si>
  <si>
    <t>Amount</t>
  </si>
  <si>
    <t>Cost Rate</t>
  </si>
  <si>
    <t>Interest</t>
  </si>
  <si>
    <t xml:space="preserve">   LONG TERM DEBT</t>
  </si>
  <si>
    <t xml:space="preserve">   </t>
  </si>
  <si>
    <t xml:space="preserve"> </t>
  </si>
  <si>
    <t xml:space="preserve">   SHORT TERM DEBT</t>
  </si>
  <si>
    <t xml:space="preserve">   CUSTOMER DEPOSITS</t>
  </si>
  <si>
    <t xml:space="preserve">          TOTAL</t>
  </si>
  <si>
    <t xml:space="preserve">  *ACTUAL INTEREST</t>
  </si>
  <si>
    <t xml:space="preserve">    DIFFERENCE</t>
  </si>
  <si>
    <t xml:space="preserve">    TAX EFFECT ON DIFFERENCE</t>
  </si>
  <si>
    <t xml:space="preserve">Year-end </t>
  </si>
  <si>
    <t>YEAR END CAPITAL STRUCTURE:</t>
  </si>
  <si>
    <t xml:space="preserve">                                PEOPLES GAS SYSTEM</t>
  </si>
  <si>
    <t>SCHEDULE 1</t>
  </si>
  <si>
    <t>EARNINGS SURVEILLANCE REPORT SUMMARY</t>
  </si>
  <si>
    <t>(In $ Thousands)</t>
  </si>
  <si>
    <t>(1)</t>
  </si>
  <si>
    <t>(2)</t>
  </si>
  <si>
    <t>(3)</t>
  </si>
  <si>
    <t>(4)</t>
  </si>
  <si>
    <t>(5)</t>
  </si>
  <si>
    <t>FPSC</t>
  </si>
  <si>
    <t>Pro Forma</t>
  </si>
  <si>
    <t>Per Books</t>
  </si>
  <si>
    <t>Adjustments</t>
  </si>
  <si>
    <t>Adjusted</t>
  </si>
  <si>
    <t>I. AVERAGE RATE OF RETURN</t>
  </si>
  <si>
    <t xml:space="preserve">      (JURISDICTIONAL)</t>
  </si>
  <si>
    <t>NET OPERATING INCOME</t>
  </si>
  <si>
    <t>$</t>
  </si>
  <si>
    <t xml:space="preserve">AVERAGE RATE BASE </t>
  </si>
  <si>
    <t>AVERAGE RATE OF RETURN</t>
  </si>
  <si>
    <t>II. REQUIRED RATES OF RETURN</t>
  </si>
  <si>
    <t xml:space="preserve">III. EARNED RETURN ON EQUITY </t>
  </si>
  <si>
    <t xml:space="preserve">     AVERAGE CAPITAL STRUCTURE</t>
  </si>
  <si>
    <t xml:space="preserve">       (FPSC ADJUSTED BASIS)</t>
  </si>
  <si>
    <t>PRO FORMA</t>
  </si>
  <si>
    <t xml:space="preserve">  LOW</t>
  </si>
  <si>
    <t xml:space="preserve">     A. INCLUDING</t>
  </si>
  <si>
    <t xml:space="preserve">  MIDPOINT</t>
  </si>
  <si>
    <t xml:space="preserve">          FLEX RATE REVENUES</t>
  </si>
  <si>
    <t xml:space="preserve">  HIGH</t>
  </si>
  <si>
    <t xml:space="preserve">     B. EXCLUDING</t>
  </si>
  <si>
    <t xml:space="preserve">                         I am aware that Section 837.06, Florida Statutes, provides:</t>
  </si>
  <si>
    <t xml:space="preserve">    Whoever knowingly makes a false statement in writing with </t>
  </si>
  <si>
    <t>the intent to mislead a public servant in the performance of his or her</t>
  </si>
  <si>
    <t>official duty shall be guilty of a misdemeanor of the second degree</t>
  </si>
  <si>
    <t>punishable as provided in s. 775.082 or s. 775.083.</t>
  </si>
  <si>
    <t>/s/ Rachel B. Parsons, Director Business Planning</t>
  </si>
  <si>
    <t xml:space="preserve">     (Name and Title)</t>
  </si>
  <si>
    <t xml:space="preserve">            (Signature)</t>
  </si>
  <si>
    <t>(Date)</t>
  </si>
  <si>
    <t>PSC/AFA13</t>
  </si>
  <si>
    <t>SCHEDULE 2</t>
  </si>
  <si>
    <t>AVERAGE RATE BASE</t>
  </si>
  <si>
    <t>(7)</t>
  </si>
  <si>
    <t>(8)</t>
  </si>
  <si>
    <t>(9)</t>
  </si>
  <si>
    <t>(10)</t>
  </si>
  <si>
    <t>(11)</t>
  </si>
  <si>
    <t>Plant</t>
  </si>
  <si>
    <t>Accumulated</t>
  </si>
  <si>
    <t>Customer</t>
  </si>
  <si>
    <t>Net</t>
  </si>
  <si>
    <t>Construction</t>
  </si>
  <si>
    <t>Plant in</t>
  </si>
  <si>
    <t>Acquisition</t>
  </si>
  <si>
    <t>Depreciation &amp;</t>
  </si>
  <si>
    <t>Advances for</t>
  </si>
  <si>
    <t>Property Held</t>
  </si>
  <si>
    <t>Work in</t>
  </si>
  <si>
    <t>Working</t>
  </si>
  <si>
    <t>Total</t>
  </si>
  <si>
    <t>Service</t>
  </si>
  <si>
    <t>Adjustment</t>
  </si>
  <si>
    <t>Amortization</t>
  </si>
  <si>
    <t xml:space="preserve"> Service</t>
  </si>
  <si>
    <t>for Future Use</t>
  </si>
  <si>
    <t>Progress</t>
  </si>
  <si>
    <t>Capital</t>
  </si>
  <si>
    <t>Rate Base</t>
  </si>
  <si>
    <t>PER BOOKS</t>
  </si>
  <si>
    <t>FPSC ADJUSTMENTS:</t>
  </si>
  <si>
    <t xml:space="preserve"> Notes Receivable</t>
  </si>
  <si>
    <t xml:space="preserve"> Gain on Sale of Property</t>
  </si>
  <si>
    <t xml:space="preserve"> Remove Derivative (FAS 133)</t>
  </si>
  <si>
    <t xml:space="preserve"> AFUDC - Eligible CWIP</t>
  </si>
  <si>
    <t>TOTAL FPSC ADJUSTMENTS</t>
  </si>
  <si>
    <t>FPSC ADJUSTED</t>
  </si>
  <si>
    <t>FLEX RATE REVENUES</t>
  </si>
  <si>
    <t>ADJUSTED FOR</t>
  </si>
  <si>
    <t>PRO FORMA REVENUE INCREASE AND</t>
  </si>
  <si>
    <t xml:space="preserve">  ANNUALIZATION ADJUSTMENTS:</t>
  </si>
  <si>
    <t>TOTAL PRO FORMA ADJUSTMENTS</t>
  </si>
  <si>
    <t>PRO FORMA ADJUSTED</t>
  </si>
  <si>
    <t>SCHEDULE 3</t>
  </si>
  <si>
    <t>Make sure we capture gain/loss</t>
  </si>
  <si>
    <t>(6)</t>
  </si>
  <si>
    <t/>
  </si>
  <si>
    <t>Deferred</t>
  </si>
  <si>
    <t>Investment</t>
  </si>
  <si>
    <t>Operating</t>
  </si>
  <si>
    <t>O &amp; M</t>
  </si>
  <si>
    <t>Taxes Other</t>
  </si>
  <si>
    <t>Income Taxes</t>
  </si>
  <si>
    <t>Tax Credit</t>
  </si>
  <si>
    <t>Gain/Loss</t>
  </si>
  <si>
    <t>Gas Expense</t>
  </si>
  <si>
    <t>Than Income</t>
  </si>
  <si>
    <t>(Net)</t>
  </si>
  <si>
    <t>on Disposition</t>
  </si>
  <si>
    <t>Expenses</t>
  </si>
  <si>
    <t>Income</t>
  </si>
  <si>
    <t>Q1</t>
  </si>
  <si>
    <t>Q2</t>
  </si>
  <si>
    <t>Q3</t>
  </si>
  <si>
    <t>Q4</t>
  </si>
  <si>
    <t>Must equal zero</t>
  </si>
  <si>
    <t>OSS Adjustment</t>
  </si>
  <si>
    <t xml:space="preserve">Deferred Tax True-up </t>
  </si>
  <si>
    <t>CURRENT MONTH AMOUNT</t>
  </si>
  <si>
    <t>SCHEDULE 4</t>
  </si>
  <si>
    <t>CAPITAL STRUCTURE</t>
  </si>
  <si>
    <t>FPSC ADJUSTED BASIS</t>
  </si>
  <si>
    <t>LOW POINT</t>
  </si>
  <si>
    <t>MIDPOINT</t>
  </si>
  <si>
    <t>HIGH POINT</t>
  </si>
  <si>
    <t>COST</t>
  </si>
  <si>
    <t>WEIGHTED</t>
  </si>
  <si>
    <t>ADJUSTMENTS</t>
  </si>
  <si>
    <t>RATIO</t>
  </si>
  <si>
    <t>SPECIFIC</t>
  </si>
  <si>
    <t>PRO RATA</t>
  </si>
  <si>
    <t xml:space="preserve">ADJUSTED </t>
  </si>
  <si>
    <t>(%)</t>
  </si>
  <si>
    <t>LONG TERM DEBT</t>
  </si>
  <si>
    <t>SHORT TERM DEBT</t>
  </si>
  <si>
    <t>CUSTOMER DEPOSITS</t>
  </si>
  <si>
    <t>COMMON EQUITY</t>
  </si>
  <si>
    <t>DEFERRED INCOME TAX</t>
  </si>
  <si>
    <t>TAX CREDITS - ZERO COST</t>
  </si>
  <si>
    <t xml:space="preserve">  SCHEDULE 5</t>
  </si>
  <si>
    <t>EARNED RETURN ON COMMON EQUITY</t>
  </si>
  <si>
    <t>A. FPSC ADJUSTED AVERAGE JURISDICTIONAL RETURN ON COMMON EQUITY</t>
  </si>
  <si>
    <t xml:space="preserve">     INCLUDING FLEX RATE REVENUES</t>
  </si>
  <si>
    <t>FPSC ADJUSTED AVERAGE EARNED RATE OF RETURN</t>
  </si>
  <si>
    <t xml:space="preserve">  (Schedule 1)</t>
  </si>
  <si>
    <t>LESS: RECONCILED AVERAGE JURISDICTIONAL</t>
  </si>
  <si>
    <t xml:space="preserve">           WEIGHTED COST RATES FOR:</t>
  </si>
  <si>
    <t>PREFERRED STOCK</t>
  </si>
  <si>
    <t>TAX CREDITS-WEIGHTED COST(MIDPOINT)</t>
  </si>
  <si>
    <t xml:space="preserve">    SUBTOTAL</t>
  </si>
  <si>
    <t>DIVIDED BY RECONCILED COMMON EQUITY RATIO</t>
  </si>
  <si>
    <t>JURISDICTIONAL RETURN ON COMMON EQUITY</t>
  </si>
  <si>
    <t>B. FPSC ADJUSTED AVERAGE JURISDICTIONAL RETURN ON COMMON EQUITY</t>
  </si>
  <si>
    <t xml:space="preserve">     EXCLUDING FLEX RATE REVENUES</t>
  </si>
  <si>
    <t>NET OPERATING REVENUE EXCLUDING FLEX RATE REVENUES</t>
  </si>
  <si>
    <t>(Schedule 3)</t>
  </si>
  <si>
    <t xml:space="preserve">RATE BASE EXCLUDING FLEX RATE REVENUES </t>
  </si>
  <si>
    <t>(Schedule 2)</t>
  </si>
  <si>
    <t>SCHEDULE 5-2</t>
  </si>
  <si>
    <t>PRO FORMA ADJUSTED BASIS</t>
  </si>
  <si>
    <t>A. PRO FORMA ADJUSTED AVERAGE JURISDICTIONAL RETURN ON COMMON EQUITY</t>
  </si>
  <si>
    <t>PRO FORMA ADJUSTED AVERAGE EARNED RATE OF RETURN</t>
  </si>
  <si>
    <t>B. PRO FORMA AVERAGE JURISDICTIONAL RETURN ON COMMON EQUITY</t>
  </si>
  <si>
    <t>(Schedule 2, p. 2 of 2)</t>
  </si>
  <si>
    <t>(Schedule 2, p. 1 of 2)</t>
  </si>
  <si>
    <t>.</t>
  </si>
  <si>
    <t>RECONCILIATION OF RATE BASE TO CAPITAL STRUCTURE</t>
  </si>
  <si>
    <t>MONTH OF:</t>
  </si>
  <si>
    <t>All</t>
  </si>
  <si>
    <t>Investor</t>
  </si>
  <si>
    <t>DESCRIPTION</t>
  </si>
  <si>
    <t>L.T.DEBT</t>
  </si>
  <si>
    <t>S.T.DEBT</t>
  </si>
  <si>
    <t>DEPOSITS</t>
  </si>
  <si>
    <t>EQUITY</t>
  </si>
  <si>
    <t>DEF. TAX</t>
  </si>
  <si>
    <t>TAX CREDITS</t>
  </si>
  <si>
    <t>PRORATA</t>
  </si>
  <si>
    <t>NET</t>
  </si>
  <si>
    <r>
      <t>AVERAGE</t>
    </r>
    <r>
      <rPr>
        <sz val="10"/>
        <rFont val="SWISS"/>
      </rPr>
      <t xml:space="preserve"> CAPITAL STRUCTURE (PER BOOKS)</t>
    </r>
  </si>
  <si>
    <t>RECONCILING ITEMS:</t>
  </si>
  <si>
    <t>SINKING FUNDS</t>
  </si>
  <si>
    <t>INVESTMENT IN SUBSIDIARIES</t>
  </si>
  <si>
    <t>NON-UTILITY PROPERTY</t>
  </si>
  <si>
    <t>TEMPORARY CASH INVESTMENTS</t>
  </si>
  <si>
    <t>NOTES RECEIVABLE</t>
  </si>
  <si>
    <t>OTHER ACCTS. REC.</t>
  </si>
  <si>
    <t>PROV. FOR UNCOLLECT. ACCTS. - MDSE.</t>
  </si>
  <si>
    <t>ACCTS REC. - ASSOCIATED COMPANY</t>
  </si>
  <si>
    <t>REMOVE ENVIRONMENTAL WIP</t>
  </si>
  <si>
    <t>UNAMORTIZED D.D.&amp;E.</t>
  </si>
  <si>
    <t>UNAMORTIZED RATE CASE EXPENSE</t>
  </si>
  <si>
    <t>UNRECOVERED GAS COSTS</t>
  </si>
  <si>
    <t>COMPETITIVE RATE ADJUSTMENT</t>
  </si>
  <si>
    <t>ACCTS. PAY - ASSOCIATED COMPANY</t>
  </si>
  <si>
    <t>DIVIDENDS DECLARED</t>
  </si>
  <si>
    <t>CONSERVATION TRUE-UP</t>
  </si>
  <si>
    <t>CIBSR TRUE-UP</t>
  </si>
  <si>
    <t>OTHER DEFERRED CREDITS</t>
  </si>
  <si>
    <t>REMOVE PLANT FOR MSEA</t>
  </si>
  <si>
    <t>PROPERTY HELD FOR FUTURE USE</t>
  </si>
  <si>
    <t xml:space="preserve">PLUGGED </t>
  </si>
  <si>
    <t>NON-UTILITY ADJUSTMENTS TO RATE BASE</t>
  </si>
  <si>
    <t xml:space="preserve">DEFERRED </t>
  </si>
  <si>
    <t>GAIN ON SALE OF PROPERTY</t>
  </si>
  <si>
    <t>CREDITS</t>
  </si>
  <si>
    <t>REMOVE ACQUISITION ADJUSTMENT</t>
  </si>
  <si>
    <t>JOB DEVELOPMENT CREDITS</t>
  </si>
  <si>
    <t>AFUDC - Eligible CWIP</t>
  </si>
  <si>
    <t>OTHER COMP INCOME - Unsettled hedges</t>
  </si>
  <si>
    <t>OTHER COMP INCOME - Settled Hedges</t>
  </si>
  <si>
    <t>TOTAL RECONCILING ITEMS</t>
  </si>
  <si>
    <t>AVERAGE RATE BASE (ADJUSTED)</t>
  </si>
  <si>
    <t>check amt from "Report" tab</t>
  </si>
  <si>
    <t>difference</t>
  </si>
  <si>
    <t>Accum. Depreciation</t>
  </si>
  <si>
    <t>Prepayments</t>
  </si>
  <si>
    <t>Accounts Rec. - Unbilled Revenues</t>
  </si>
  <si>
    <t>Derivatives</t>
  </si>
  <si>
    <t>Other WIP</t>
  </si>
  <si>
    <t>Unrecovered Gas Costs</t>
  </si>
  <si>
    <t>Regulatory Derivative</t>
  </si>
  <si>
    <t>Stockholders Equity</t>
  </si>
  <si>
    <t xml:space="preserve">  LONG TERM DEBT</t>
  </si>
  <si>
    <t>FM Bonds</t>
  </si>
  <si>
    <t>Accounts Payable Assoc. Companies</t>
  </si>
  <si>
    <t>Accts. Payable Assoc. Co. Services</t>
  </si>
  <si>
    <t>Customer Deposits - Current</t>
  </si>
  <si>
    <t>Tax Collections Payable</t>
  </si>
  <si>
    <t>Inactive Deposits</t>
  </si>
  <si>
    <t>Derivative Liability</t>
  </si>
  <si>
    <t>Deferred Credits</t>
  </si>
  <si>
    <t>Regulated Liability - Tax Related</t>
  </si>
  <si>
    <t>Operating Reserves</t>
  </si>
  <si>
    <t>plug to "misc. current liab"</t>
  </si>
  <si>
    <t>WORKING CAPITAL WORKSHEET</t>
  </si>
  <si>
    <t xml:space="preserve">       FOR THE MONTH OF:</t>
  </si>
  <si>
    <t>ASSETS</t>
  </si>
  <si>
    <t>LIABILITIES</t>
  </si>
  <si>
    <t xml:space="preserve">   INVESTMENT IN SUBSIDIARIES</t>
  </si>
  <si>
    <t xml:space="preserve">   SINKING FUNDS</t>
  </si>
  <si>
    <t>ACCOUNTS PAYABLE</t>
  </si>
  <si>
    <t xml:space="preserve">   OTHER INVESTMENTS</t>
  </si>
  <si>
    <t>ACCOUNTS PAY. ASSOC. CO.</t>
  </si>
  <si>
    <t xml:space="preserve">   CASH</t>
  </si>
  <si>
    <t>ACCTS PAY ASSOC CO- SVCS</t>
  </si>
  <si>
    <t xml:space="preserve">   SPECIAL DEPOSITS</t>
  </si>
  <si>
    <t>TAXES ACCRUED-GENERAL</t>
  </si>
  <si>
    <t xml:space="preserve">   WORKING FUNDS</t>
  </si>
  <si>
    <t>TAXES ACCRUED-INCOME</t>
  </si>
  <si>
    <t xml:space="preserve">   TEMP. CASH INVESTMENTS</t>
  </si>
  <si>
    <t>INTEREST ACCRUED</t>
  </si>
  <si>
    <t xml:space="preserve">   NOTES RECEIVABLE</t>
  </si>
  <si>
    <t xml:space="preserve">   CUST. ACCOUNTS REC.-GAS</t>
  </si>
  <si>
    <t>TAX COLLECTIONS PAYABLE</t>
  </si>
  <si>
    <t xml:space="preserve">   MDSE, JOBBING &amp; OTHER</t>
  </si>
  <si>
    <t>CONSERVATION COST TRUE-UP (2540040)</t>
  </si>
  <si>
    <t xml:space="preserve">   ACCUM. PROV. UNCOLLECT. ACCTS.</t>
  </si>
  <si>
    <t>CIBSR COST TRUE-UP (2540071)</t>
  </si>
  <si>
    <t xml:space="preserve">   RECEIVABLE ACCOC. COMPANIES</t>
  </si>
  <si>
    <t>NON-UTILITY CURR. LIABILITY</t>
  </si>
  <si>
    <t xml:space="preserve">   REC.- ASSOC. CO. - SERVICES</t>
  </si>
  <si>
    <t>MISC. CURRENT LIABILITIES</t>
  </si>
  <si>
    <t xml:space="preserve">   PLANT &amp; OPER.MATERIAL &amp; SUPPL.</t>
  </si>
  <si>
    <t xml:space="preserve">   STORES EXPENSE</t>
  </si>
  <si>
    <t>OPERATING RESERVES</t>
  </si>
  <si>
    <t xml:space="preserve">   PREPAYMENTS</t>
  </si>
  <si>
    <t>DERIVATIVE LIABILITY</t>
  </si>
  <si>
    <t xml:space="preserve">   UNBILLED REVENUE &amp; MISC.</t>
  </si>
  <si>
    <t xml:space="preserve">   DERIVATIVE</t>
  </si>
  <si>
    <t xml:space="preserve">   UNAMORT DD &amp; E</t>
  </si>
  <si>
    <t xml:space="preserve">    DEFERRED TAX ASSET</t>
  </si>
  <si>
    <t xml:space="preserve">   CLEARING ACCTS.</t>
  </si>
  <si>
    <t xml:space="preserve">   OTHER WIP</t>
  </si>
  <si>
    <t xml:space="preserve">   CONSERVATION COST TRUE-UP (1823040)</t>
  </si>
  <si>
    <t xml:space="preserve">   CIBSR COST TRUE-UP (1823071)</t>
  </si>
  <si>
    <t xml:space="preserve">   UNBUNDLING TRANSITION CHARGES</t>
  </si>
  <si>
    <t xml:space="preserve">   UNAMORTIZED RATE CASE EXP.</t>
  </si>
  <si>
    <t xml:space="preserve">   UNRECOVERED GAS COSTS</t>
  </si>
  <si>
    <t xml:space="preserve">   REGULATORY DERIVATIVE</t>
  </si>
  <si>
    <t xml:space="preserve">     AVERAGE WORKING CAPITAL</t>
  </si>
  <si>
    <t xml:space="preserve">     YEAR-END WORKING CAPITAL</t>
  </si>
  <si>
    <t>Jeffrey S. Chronister, Controller</t>
  </si>
  <si>
    <t xml:space="preserve">Changed for 2003 surv. report as a result of Rate Order </t>
  </si>
  <si>
    <t>Total Adjusted</t>
  </si>
  <si>
    <t xml:space="preserve"> (pro rata only over equity, LTD and STD)</t>
  </si>
  <si>
    <t xml:space="preserve">AFUDC over all Sources </t>
  </si>
  <si>
    <t>Reg. Financial Equity Ratio</t>
  </si>
  <si>
    <t>Percentage</t>
  </si>
  <si>
    <r>
      <t>YE</t>
    </r>
    <r>
      <rPr>
        <sz val="10"/>
        <rFont val="SWISS"/>
      </rPr>
      <t xml:space="preserve"> CAPITAL STRUCTURE (PER BOOKS)</t>
    </r>
  </si>
  <si>
    <t>Summary MSEA Return</t>
  </si>
  <si>
    <t>Period Ending:</t>
  </si>
  <si>
    <t>Surv. Adj. (ACT Cap - MACC)</t>
  </si>
  <si>
    <t>01050004    Davie Parkside Estates</t>
  </si>
  <si>
    <t>01050029    Parkland Golf &amp; Country Club</t>
  </si>
  <si>
    <t>01050043    Island Enclave at Victora Park</t>
  </si>
  <si>
    <t>01070039    Promenade at Lyons</t>
  </si>
  <si>
    <t>02045024    Bell Chase</t>
  </si>
  <si>
    <t>02045025    Covington Phase IV</t>
  </si>
  <si>
    <t>02050006    Hidden Oaks at Fletcher</t>
  </si>
  <si>
    <t>02050008    Live Oak Phase II</t>
  </si>
  <si>
    <t>02050009    Stonegate</t>
  </si>
  <si>
    <t>02050021    Panther Trace Phase IV</t>
  </si>
  <si>
    <t>02050022    Avelar North and South</t>
  </si>
  <si>
    <t>02060005    Panther Trace Phase IV Sect V8</t>
  </si>
  <si>
    <t>02060008    Panther Trace PH. IV- Par V-10</t>
  </si>
  <si>
    <t>02060029    Grand Hamptons Phase IV</t>
  </si>
  <si>
    <t>02060038    Brookwood</t>
  </si>
  <si>
    <t>02060040    Covington Phase VI</t>
  </si>
  <si>
    <t>02070003    Stonegate Phase II</t>
  </si>
  <si>
    <t>02070008    Misty Glen</t>
  </si>
  <si>
    <t>02070009    Devonwood</t>
  </si>
  <si>
    <t>02070025    Panther Trace V-9</t>
  </si>
  <si>
    <t>02070026    Haven Bend</t>
  </si>
  <si>
    <t>02070037    Terra Bella</t>
  </si>
  <si>
    <t>02090005    Cheval East</t>
  </si>
  <si>
    <t>02090006    Paddock Oaks LP Block Purchase</t>
  </si>
  <si>
    <t>02090008    Highland Park at Racetrack</t>
  </si>
  <si>
    <t>02090027    Cheval West Scattered Propane</t>
  </si>
  <si>
    <t>02090030    Villa Rosa Scattered Propane</t>
  </si>
  <si>
    <t>03050018    Cascades</t>
  </si>
  <si>
    <t>03070007    Southern Hills - Phase I Rev.</t>
  </si>
  <si>
    <t>03080001    Southern Hills Phase III</t>
  </si>
  <si>
    <t>04070001    Millbrook Subdivision off US27</t>
  </si>
  <si>
    <t>04090013    DISNEY  NERP  EC PROJECT</t>
  </si>
  <si>
    <t>05060011    Lakes Of Mount Dora Subd.</t>
  </si>
  <si>
    <t>06010019    I.T. Corporation - Whitehouse</t>
  </si>
  <si>
    <t>06070014    Madeira MESA Project</t>
  </si>
  <si>
    <t>06070015    Tamaya MESA @ Beach Blvd</t>
  </si>
  <si>
    <t>08080009    Grasslands Main Ext</t>
  </si>
  <si>
    <t>11045010    Greenbrook East</t>
  </si>
  <si>
    <t>11045021    Aberdeen</t>
  </si>
  <si>
    <t>11050002    Venetian G &amp; R Club (Phase II)</t>
  </si>
  <si>
    <t>11050012    Secluded Oaks - Ph. 2</t>
  </si>
  <si>
    <t>11050027    Grand Oaks Development</t>
  </si>
  <si>
    <t>11060012    Lake Club - Ph 1</t>
  </si>
  <si>
    <t>11070006    Lake Club Ph II Lakewood Ranch</t>
  </si>
  <si>
    <t>11070008    County Club East Phase I</t>
  </si>
  <si>
    <t>11070017    MSEA &amp; EC      Indian Beach</t>
  </si>
  <si>
    <t>11070021    Legend's Bay</t>
  </si>
  <si>
    <t>11070022    Cottage Walk</t>
  </si>
  <si>
    <t>11070023    Beach Villas</t>
  </si>
  <si>
    <t>11070024    Collier Walker</t>
  </si>
  <si>
    <t>11080017    Marshall's Landing</t>
  </si>
  <si>
    <t>11080020    Central Park at Lakewood Ranch</t>
  </si>
  <si>
    <t>13060003    Jupiter Country Club</t>
  </si>
  <si>
    <t>13060005    Tres Belle</t>
  </si>
  <si>
    <t>13060008    Vintage at Bears Club</t>
  </si>
  <si>
    <t>15045002    Villages btwn 472 &amp; 466A, MSEA</t>
  </si>
  <si>
    <t>15050005    Vinings</t>
  </si>
  <si>
    <t>16060001    Marsala at Tiburon</t>
  </si>
  <si>
    <t>16060002    River Walk</t>
  </si>
  <si>
    <t>16060005    Tesoro @ Tiburon (Parcel 5000)</t>
  </si>
  <si>
    <t>16060018    Treviso Development</t>
  </si>
  <si>
    <t>16070018    4848 Esplanade Street</t>
  </si>
  <si>
    <t>16070023    Residences At Mercato</t>
  </si>
  <si>
    <t>16080014    Liberty Youth Ranch</t>
  </si>
  <si>
    <t>Total MSEA Projects</t>
  </si>
  <si>
    <t>**updated for Sep 2011 from Ryan Coe on 10/14/11</t>
  </si>
  <si>
    <t>Per Anthony, use Sep 2011 for Dec 2011.</t>
  </si>
  <si>
    <t>PEOPLES GAS COMPANY</t>
  </si>
  <si>
    <t>CAPITAL STRUCTURE USED FOR AFUDC CALCULATION</t>
  </si>
  <si>
    <t>SCHEDULE A</t>
  </si>
  <si>
    <t xml:space="preserve">AVERAGE </t>
  </si>
  <si>
    <t>CAPITAL</t>
  </si>
  <si>
    <t>COST OF</t>
  </si>
  <si>
    <t>CAPITAL COMPONENTS</t>
  </si>
  <si>
    <t>BALANCE</t>
  </si>
  <si>
    <t>*</t>
  </si>
  <si>
    <t>INVESTMENT TAX CREDITS</t>
  </si>
  <si>
    <t>* 13-MONTH AVERAGE</t>
  </si>
  <si>
    <t>Note: The current AFUDC rate of 6.00% was authorized in Order No. PSC-2021-0170-PPA-GU Docket No. 20210040-GU, effective January 1, 2021.</t>
  </si>
  <si>
    <t>Debt Ratio 22.50%</t>
  </si>
  <si>
    <t>Equity Ratio 77.50%</t>
  </si>
  <si>
    <t xml:space="preserve">Debt Ratio </t>
  </si>
  <si>
    <t>Equity  Ratio</t>
  </si>
  <si>
    <t>Annual Rate (R) = .0597</t>
  </si>
  <si>
    <t>Monthly Rate = ((1 + R)^(1/12)) - 1 = .0048438</t>
  </si>
  <si>
    <t>annual rate</t>
  </si>
  <si>
    <t>equity rate</t>
  </si>
  <si>
    <t>equity %</t>
  </si>
  <si>
    <t>debt rate</t>
  </si>
  <si>
    <t>debt %</t>
  </si>
  <si>
    <t>SCHEDULE B</t>
  </si>
  <si>
    <t>COMMISSION</t>
  </si>
  <si>
    <t>ADJUSTMENTS*</t>
  </si>
  <si>
    <t>* FOR ADJUSTMENT DETAILS, SEE SCHEDULE 2.</t>
  </si>
  <si>
    <t>Per Order No. PSC-2021-0170-PPA-GU, a 54.7% equity ratio (investor sources with any difference to actual equity ratio spread ratably over long-term and short term debt) shall be used for all purposes including the calculation of the Company’s AFUDC rate.</t>
  </si>
  <si>
    <t>METHODOLOGY FOR MONTHLY COMPOUNDING</t>
  </si>
  <si>
    <t xml:space="preserve"> OF THE AFUDC RATE</t>
  </si>
  <si>
    <t>SCHEDULE C</t>
  </si>
  <si>
    <t>MONTHLY</t>
  </si>
  <si>
    <t>CUMULATIVE</t>
  </si>
  <si>
    <t>MONTHS</t>
  </si>
  <si>
    <t>BASE</t>
  </si>
  <si>
    <t>Annual Rate (R) = .0600</t>
  </si>
  <si>
    <t>Monthly Rate = ((1 + R)^(1/12)) - 1 = 0.0048676</t>
  </si>
  <si>
    <t>PGS</t>
  </si>
  <si>
    <t>Actual Surveillance Report</t>
  </si>
  <si>
    <t>Comparisons</t>
  </si>
  <si>
    <t>($000)</t>
  </si>
  <si>
    <t>2022</t>
  </si>
  <si>
    <t>Effect On</t>
  </si>
  <si>
    <t>Report for:</t>
  </si>
  <si>
    <t>Final Budget</t>
  </si>
  <si>
    <t>Difference</t>
  </si>
  <si>
    <t>ROE</t>
  </si>
  <si>
    <t xml:space="preserve">Schedule 2  </t>
  </si>
  <si>
    <t>PHFFU</t>
  </si>
  <si>
    <t>Working Capital</t>
  </si>
  <si>
    <t>Achieved NOI</t>
  </si>
  <si>
    <t>Earned ROR</t>
  </si>
  <si>
    <t>Other Capital</t>
  </si>
  <si>
    <t>Wtd Return on Equity</t>
  </si>
  <si>
    <t>Equity Ratio</t>
  </si>
  <si>
    <t>Earned Return on Equity</t>
  </si>
  <si>
    <t>Operating Income</t>
  </si>
  <si>
    <t>Income Tax</t>
  </si>
  <si>
    <t>Non-Utility Taxes</t>
  </si>
  <si>
    <t>Total Deductions</t>
  </si>
  <si>
    <t>Pre Adj Expected Change in NOI</t>
  </si>
  <si>
    <t>Pro Forma Adjustments</t>
  </si>
  <si>
    <t>Adjustment Changes</t>
  </si>
  <si>
    <t>Check Figure</t>
  </si>
  <si>
    <t>Schedule 3</t>
  </si>
  <si>
    <t xml:space="preserve">  Remove Conservation Charges</t>
  </si>
  <si>
    <t xml:space="preserve">  Non-Utility Allocation</t>
  </si>
  <si>
    <t xml:space="preserve">  Interest Synchronization</t>
  </si>
  <si>
    <t xml:space="preserve">  Parent Debt Adjustment</t>
  </si>
  <si>
    <t xml:space="preserve">  Remove Fuel Revenues</t>
  </si>
  <si>
    <t xml:space="preserve">  Economic Development Adjustment</t>
  </si>
  <si>
    <t xml:space="preserve">  Employee Activities</t>
  </si>
  <si>
    <t xml:space="preserve">  Intercompany Adjustment</t>
  </si>
  <si>
    <t xml:space="preserve">  Maintenance of General Plant</t>
  </si>
  <si>
    <t xml:space="preserve">  Maint. of Structures and Improvements</t>
  </si>
  <si>
    <t xml:space="preserve">  Remove Acquisition Adj. Amortiz. (WFNG)</t>
  </si>
  <si>
    <t xml:space="preserve">  Gain on Sale of Property</t>
  </si>
  <si>
    <t xml:space="preserve">  Remove  ITC Amortization</t>
  </si>
  <si>
    <t xml:space="preserve">  OSS Adjustment</t>
  </si>
  <si>
    <t>Total Adjustments</t>
  </si>
  <si>
    <t>2016</t>
  </si>
  <si>
    <t>Q2 Budget</t>
  </si>
  <si>
    <t>2016 Q2</t>
  </si>
  <si>
    <t xml:space="preserve">  Lobbying included in Dues (AGA, FNGA)</t>
  </si>
  <si>
    <t xml:space="preserve">  Civic/Social Club Dues</t>
  </si>
  <si>
    <t>ENERGY     MWHs</t>
  </si>
  <si>
    <t>DEMAND    KWs</t>
  </si>
  <si>
    <t>Surveillance Report</t>
  </si>
  <si>
    <t>Q1F</t>
  </si>
  <si>
    <t>NI</t>
  </si>
  <si>
    <t>Simple Avg Equity</t>
  </si>
  <si>
    <t>Accounting ROE</t>
  </si>
  <si>
    <t>Difff in Reg and Actg ROE</t>
  </si>
  <si>
    <t>RB Diff Qtr to Qtr</t>
  </si>
  <si>
    <t>Equity Diff Qtr to Qtr</t>
  </si>
  <si>
    <t>NOI Diff Qtr to Qtr</t>
  </si>
  <si>
    <t>NI Diff Qtr to Qtr</t>
  </si>
  <si>
    <t>December 2021</t>
  </si>
  <si>
    <t>Actuals</t>
  </si>
  <si>
    <t>2+10F</t>
  </si>
  <si>
    <t>Schedule 2</t>
  </si>
  <si>
    <t>PEOPLES GAS</t>
  </si>
  <si>
    <t>MARKET TO REGULATORY ROE RECONCILIATION</t>
  </si>
  <si>
    <t xml:space="preserve">Actual </t>
  </si>
  <si>
    <t>Q3F</t>
  </si>
  <si>
    <t>DESCRIPTION:</t>
  </si>
  <si>
    <t>ROR</t>
  </si>
  <si>
    <t>Debt Cost</t>
  </si>
  <si>
    <t>Per Books RB</t>
  </si>
  <si>
    <t>Simple Average</t>
  </si>
  <si>
    <t>13-Month Average</t>
  </si>
  <si>
    <t>MARKET ROE</t>
  </si>
  <si>
    <t>Equity</t>
  </si>
  <si>
    <t>NET INCOME</t>
  </si>
  <si>
    <t>AVG COMMON EQUITY</t>
  </si>
  <si>
    <t>AFUDC/CWIP</t>
  </si>
  <si>
    <t>AFUDC Equity IS</t>
  </si>
  <si>
    <t>RB</t>
  </si>
  <si>
    <t>CIBSR</t>
  </si>
  <si>
    <t>NOI</t>
  </si>
  <si>
    <t>TPI Earnings (RE dividended to TE)</t>
  </si>
  <si>
    <t>AFUDC Earnings (After Tax)</t>
  </si>
  <si>
    <t>Common Equity (Simple Avg vs 13 month Avg)</t>
  </si>
  <si>
    <t>RATE BASE ITEMS</t>
  </si>
  <si>
    <t>NOI ITEMS - After Tax</t>
  </si>
  <si>
    <t>Gain/Loss on sale</t>
  </si>
  <si>
    <t>OTHER</t>
  </si>
  <si>
    <t>TOTAL DIFFERENCE</t>
  </si>
  <si>
    <t>REGULATORY ROE</t>
  </si>
  <si>
    <t>BOOK FINANCIAL</t>
  </si>
  <si>
    <t>SURVEILLANCE REPORT FINANCIAL</t>
  </si>
  <si>
    <t>SURVEILLANCE REPORT REGULATORY</t>
  </si>
  <si>
    <t>8+4 Forecast</t>
  </si>
  <si>
    <t>2020</t>
  </si>
  <si>
    <t>Strat Plan</t>
  </si>
  <si>
    <t>2020 7+5 Forecast</t>
  </si>
  <si>
    <t>2020 Q1</t>
  </si>
  <si>
    <t>2020 Q2</t>
  </si>
  <si>
    <t>2020 Q3</t>
  </si>
  <si>
    <t>2020 Q4</t>
  </si>
  <si>
    <t>2020 0+12 Budget</t>
  </si>
  <si>
    <t>2020 2+10 Forecast</t>
  </si>
  <si>
    <t>Equity Ratio Investor Sources Only</t>
  </si>
  <si>
    <t xml:space="preserve">7+5F </t>
  </si>
  <si>
    <t>0+12F</t>
  </si>
  <si>
    <t>Step 1:</t>
  </si>
  <si>
    <t>Go to balance sheet and change month you are working in.</t>
  </si>
  <si>
    <t>Step 2:</t>
  </si>
  <si>
    <t>Change forumla in Gain on Sale R108 to the month you are working in. This will pick up the correct gain amount for the 12 month rolling.</t>
  </si>
  <si>
    <t>Step 3:</t>
  </si>
  <si>
    <t>Change WFNG Adj formula to pick up correct month in the amortization schedule.</t>
  </si>
  <si>
    <t>Step 4:</t>
  </si>
  <si>
    <t>Make sure cap str is at 100%, if not plug to Customer Deposits.</t>
  </si>
  <si>
    <t>Step 5:</t>
  </si>
  <si>
    <t>Check ROE on Report 1 against the"COMP Act to Prior" tab, if they don't tie then plug the COMP Act to Prior tab. After this copy paste values to monthly tab.</t>
  </si>
  <si>
    <t>REGULATED BUSINESS ROE</t>
  </si>
  <si>
    <t>2021 Q3F</t>
  </si>
  <si>
    <t>2022 Bud</t>
  </si>
  <si>
    <t>REGULATED ROE</t>
  </si>
  <si>
    <t>ROE Difference</t>
  </si>
  <si>
    <t>NEW-15624</t>
  </si>
  <si>
    <t>Main-The Isles of Old Tampa Bay</t>
  </si>
  <si>
    <t>NEW-15625</t>
  </si>
  <si>
    <t>Main-Two Rivers Sub ph I &amp; II</t>
  </si>
  <si>
    <t>5+7F</t>
  </si>
  <si>
    <t>6+6F</t>
  </si>
  <si>
    <t>Updated?</t>
  </si>
  <si>
    <t>yes</t>
  </si>
  <si>
    <t>Date:</t>
  </si>
  <si>
    <t>NEW-15602</t>
  </si>
  <si>
    <t>NEW-15653</t>
  </si>
  <si>
    <t>Main-Two Rivers Subdivision ph III</t>
  </si>
  <si>
    <t>NEW-15654</t>
  </si>
  <si>
    <t>Main-Two Rivers Subdivision ph IV</t>
  </si>
  <si>
    <t>NEW-15655</t>
  </si>
  <si>
    <t>Main-Two Rivers Subdivision ph V</t>
  </si>
  <si>
    <t>Check to Seg of CWIP</t>
  </si>
  <si>
    <t>Check to Seg of CWIP Actual / Budget Download</t>
  </si>
  <si>
    <t>7+5F</t>
  </si>
  <si>
    <t>A_S7500030</t>
  </si>
  <si>
    <t>Year end non utility</t>
  </si>
  <si>
    <t>DBL check link</t>
  </si>
  <si>
    <t>December 2023</t>
  </si>
  <si>
    <t>(JAN 2023 - DEC 2023)</t>
  </si>
  <si>
    <t>2023 Budget</t>
  </si>
  <si>
    <t>Notes Payable - Intercompany</t>
  </si>
  <si>
    <t>A_S6790090</t>
  </si>
  <si>
    <t>A_S6790091</t>
  </si>
  <si>
    <t>A_S6790092</t>
  </si>
  <si>
    <t>A_S6030020</t>
  </si>
  <si>
    <t>Settled Empl Exp - Social/Civic Dues</t>
  </si>
  <si>
    <t>Settled Donations - Charitable (501c)</t>
  </si>
  <si>
    <t>Settled Donations - Non deductible</t>
  </si>
  <si>
    <t>Settled Donations - Other</t>
  </si>
  <si>
    <t>A_S7500700</t>
  </si>
  <si>
    <t>Settled Interest Exp - Intercompany</t>
  </si>
  <si>
    <t>Pull directly from Tax file, fcst tab</t>
  </si>
  <si>
    <t>2023</t>
  </si>
  <si>
    <t>Int. Accr.</t>
  </si>
  <si>
    <t>Rate base pulled from the c.SR tab of the FINAL 2022 LTF FILE, cells M68-M75</t>
  </si>
  <si>
    <t>Year End Rate base</t>
  </si>
  <si>
    <t>LTF</t>
  </si>
  <si>
    <t>A_7101000</t>
  </si>
  <si>
    <t>Gain Sale of Utility Property</t>
  </si>
  <si>
    <t>less</t>
  </si>
  <si>
    <t>A_7201000</t>
  </si>
  <si>
    <t>Loss Sale of Utility Property</t>
  </si>
  <si>
    <t>Lookup is to a different column count (KEEP)</t>
  </si>
  <si>
    <t>2023 Q2</t>
  </si>
  <si>
    <t>2023 Q3</t>
  </si>
  <si>
    <t>2023 Q4</t>
  </si>
  <si>
    <t>2023 Q1</t>
  </si>
  <si>
    <t>Original Budget</t>
  </si>
  <si>
    <t>Emera Budget</t>
  </si>
  <si>
    <t>Def. Inc Tax Credit</t>
  </si>
  <si>
    <t>ADDED</t>
  </si>
  <si>
    <t>Investment Tax Credit</t>
  </si>
  <si>
    <t>Low Point Weighted Cost ITC</t>
  </si>
  <si>
    <t>Mid Point Weighted Cost</t>
  </si>
  <si>
    <t>High Point Weighted ITC</t>
  </si>
  <si>
    <t>Lobbying Exp in Industry Dues</t>
  </si>
  <si>
    <t>ER_IND_DUE_BTL_1</t>
  </si>
  <si>
    <t>March</t>
  </si>
  <si>
    <t>April</t>
  </si>
  <si>
    <t>June</t>
  </si>
  <si>
    <t>July</t>
  </si>
  <si>
    <t>Sept</t>
  </si>
  <si>
    <t>PC01002</t>
  </si>
  <si>
    <t>PC01001</t>
  </si>
  <si>
    <t>LTD Interest Expense</t>
  </si>
  <si>
    <t>STD Interest Expense</t>
  </si>
  <si>
    <t>STD</t>
  </si>
  <si>
    <t>`</t>
  </si>
  <si>
    <t>TAX CREDITS - WEIGHTED COST</t>
  </si>
  <si>
    <t>Int. Accr. Mthly</t>
  </si>
  <si>
    <t>Int. Accr. Cum</t>
  </si>
  <si>
    <t>LTD</t>
  </si>
  <si>
    <t>Beg Bal</t>
  </si>
  <si>
    <t>"Other Long Term Debt"</t>
  </si>
  <si>
    <t>Balance</t>
  </si>
  <si>
    <t>Heinrich, Joshua R.</t>
  </si>
  <si>
    <t>NEW-15726</t>
  </si>
  <si>
    <t>Grand Cypress Resort 4" PE</t>
  </si>
  <si>
    <t>NEW-15752</t>
  </si>
  <si>
    <t>Eagle LNG</t>
  </si>
  <si>
    <t>ITC DTA Adjustment</t>
  </si>
  <si>
    <t>BPC output/Earnings Model</t>
  </si>
  <si>
    <t>Rate Base Rule of Thumb</t>
  </si>
  <si>
    <t>NOI Rule of Thumb</t>
  </si>
  <si>
    <t>Org. Unamort Amount</t>
  </si>
  <si>
    <t>Keep until 2030</t>
  </si>
  <si>
    <t>Updated 02.06.2023</t>
  </si>
  <si>
    <t>Updated 02.06.2023 MFR G2-22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</si>
</sst>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00%"/>
    <numFmt numFmtId="166" formatCode="dd\-mmm\-yy_)"/>
    <numFmt numFmtId="167" formatCode="_(* #,##0_);_(* \(#,##0\);_(* &quot;-&quot;??_);_(@_)"/>
    <numFmt numFmtId="168" formatCode="_(* #,##0.0_);_(* \(#,##0.0\);_(* &quot;-&quot;??_);_(@_)"/>
    <numFmt numFmtId="169" formatCode="mmmm\-yy"/>
    <numFmt numFmtId="170" formatCode="#,##0;\(#,##0\)"/>
    <numFmt numFmtId="171" formatCode="#,##0,;\(#,##0,\)"/>
    <numFmt numFmtId="172" formatCode="[$-409]mmm\-yy;@"/>
    <numFmt numFmtId="173" formatCode="&quot;$&quot;#,##0"/>
    <numFmt numFmtId="174" formatCode="mmm\-yyyy"/>
    <numFmt numFmtId="175" formatCode="0.0"/>
    <numFmt numFmtId="176" formatCode="0.000000"/>
    <numFmt numFmtId="177" formatCode="mmm\ yyyy"/>
    <numFmt numFmtId="178" formatCode="_(&quot;$&quot;* #,##0_);_(&quot;$&quot;* \(#,##0\);_(&quot;$&quot;* &quot;-&quot;??_);_(@_)"/>
    <numFmt numFmtId="179" formatCode="_(* #,##0.000000000_);_(* \(#,##0.000000000\);_(* &quot;-&quot;??_);_(@_)"/>
    <numFmt numFmtId="180" formatCode="0.0%"/>
    <numFmt numFmtId="181" formatCode="_(* #,##0.000_);_(* \(#,##0.000\);_(* &quot;-&quot;??_);_(@_)"/>
    <numFmt numFmtId="182" formatCode="#,##0.0_);\(#,##0.0\)"/>
    <numFmt numFmtId="183" formatCode="#,###,##0.00;\(#,###,##0.00\)"/>
    <numFmt numFmtId="184" formatCode="_(* #,##0.00000_);_(* \(#,##0.00000\);_(* &quot;-&quot;??_);_(@_)"/>
    <numFmt numFmtId="185" formatCode="0.00000"/>
    <numFmt numFmtId="186" formatCode="&quot;$&quot;#,##0\ ;\(&quot;$&quot;#,##0\)"/>
    <numFmt numFmtId="187" formatCode="###,000"/>
    <numFmt numFmtId="188" formatCode="mmmm\ yyyy"/>
    <numFmt numFmtId="189" formatCode="#,##0.0000000_);\(#,##0.0000000\)"/>
    <numFmt numFmtId="190" formatCode="#,##0.00000000_);\(#,##0.00000000\)"/>
    <numFmt numFmtId="191" formatCode="[$-409]mmmm"/>
    <numFmt numFmtId="192" formatCode="0.0000"/>
    <numFmt numFmtId="193" formatCode="0.0000%"/>
    <numFmt numFmtId="194" formatCode="mm/dd/yy_)"/>
    <numFmt numFmtId="195" formatCode="mmm\ d\,\ yyyy"/>
    <numFmt numFmtId="196" formatCode="#,##0_);[Color9]\(#,##0\);&quot;-&quot;_);[Blue]&quot;Error-&quot;@"/>
    <numFmt numFmtId="197" formatCode="#,##0.0_);[Color9]\(#,##0.0\);&quot;-&quot;_);[Blue]&quot;Error-&quot;@"/>
    <numFmt numFmtId="198" formatCode="[Red]&quot;ERROR&quot;;[Red]&quot;ERROR&quot;;&quot;Ok&quot;"/>
    <numFmt numFmtId="199" formatCode="0.0%_);[Color9]\(0.0%\);\ &quot;-&quot;_);[Blue]&quot;Error-&quot;@"/>
    <numFmt numFmtId="200" formatCode="0.00%_);[Color9]\(0.00%\);\ &quot;-&quot;_);[Blue]&quot;Error-&quot;@"/>
    <numFmt numFmtId="201" formatCode="m/d/yy\ h:mm"/>
    <numFmt numFmtId="202" formatCode="&quot;ERROR - See Checks&quot;;&quot;ERROR - See Checks&quot;;&quot;All Checks OK&quot;"/>
  </numFmts>
  <fonts count="19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SWISS"/>
    </font>
    <font>
      <sz val="8"/>
      <color indexed="12"/>
      <name val="SWISS"/>
    </font>
    <font>
      <sz val="8"/>
      <color indexed="10"/>
      <name val="SWISS"/>
    </font>
    <font>
      <u/>
      <sz val="8"/>
      <name val="SWISS"/>
    </font>
    <font>
      <sz val="8"/>
      <color indexed="81"/>
      <name val="Tahoma"/>
      <family val="2"/>
    </font>
    <font>
      <sz val="10"/>
      <name val="SWISS"/>
    </font>
    <font>
      <b/>
      <sz val="10"/>
      <name val="SWISS"/>
    </font>
    <font>
      <u/>
      <sz val="10"/>
      <name val="SWISS"/>
    </font>
    <font>
      <sz val="8"/>
      <color indexed="32"/>
      <name val="SWISS"/>
    </font>
    <font>
      <b/>
      <sz val="12"/>
      <name val="SWISS"/>
    </font>
    <font>
      <sz val="12"/>
      <name val="SWISS"/>
    </font>
    <font>
      <sz val="9"/>
      <name val="SWISS"/>
    </font>
    <font>
      <sz val="7"/>
      <name val="SWISS"/>
    </font>
    <font>
      <u/>
      <sz val="10"/>
      <name val="Arial"/>
      <family val="2"/>
    </font>
    <font>
      <sz val="8"/>
      <color indexed="16"/>
      <name val="SWISS"/>
    </font>
    <font>
      <sz val="9"/>
      <color indexed="12"/>
      <name val="SWISS"/>
    </font>
    <font>
      <b/>
      <u/>
      <sz val="9"/>
      <name val="SWISS"/>
    </font>
    <font>
      <sz val="10"/>
      <color indexed="12"/>
      <name val="SWISS"/>
    </font>
    <font>
      <b/>
      <sz val="12"/>
      <name val="Arial MT"/>
    </font>
    <font>
      <sz val="12"/>
      <name val="Arial MT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2"/>
      <name val="Arial MT"/>
    </font>
    <font>
      <sz val="12"/>
      <color indexed="12"/>
      <name val="Arial MT"/>
    </font>
    <font>
      <u/>
      <sz val="12"/>
      <name val="Arial MT"/>
    </font>
    <font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b/>
      <i/>
      <sz val="10"/>
      <color indexed="10"/>
      <name val="Arial"/>
      <family val="2"/>
    </font>
    <font>
      <b/>
      <sz val="12"/>
      <name val="Arial"/>
      <family val="2"/>
    </font>
    <font>
      <b/>
      <sz val="9"/>
      <color indexed="12"/>
      <name val="SWISS"/>
    </font>
    <font>
      <sz val="12"/>
      <color indexed="10"/>
      <name val="Arial MT"/>
    </font>
    <font>
      <b/>
      <sz val="8"/>
      <color indexed="12"/>
      <name val="SWISS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2"/>
      <color indexed="12"/>
      <name val="SWISS"/>
    </font>
    <font>
      <u/>
      <sz val="10"/>
      <color indexed="12"/>
      <name val="Arial"/>
      <family val="2"/>
    </font>
    <font>
      <i/>
      <sz val="10"/>
      <color indexed="10"/>
      <name val="Arial"/>
      <family val="2"/>
    </font>
    <font>
      <b/>
      <sz val="8"/>
      <color indexed="10"/>
      <name val="SWISS"/>
    </font>
    <font>
      <sz val="12"/>
      <name val="Arial"/>
      <family val="2"/>
    </font>
    <font>
      <i/>
      <sz val="10"/>
      <name val="Arial"/>
      <family val="2"/>
    </font>
    <font>
      <sz val="8"/>
      <color indexed="10"/>
      <name val="Tahoma"/>
      <family val="2"/>
    </font>
    <font>
      <sz val="8"/>
      <color indexed="61"/>
      <name val="SWISS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b/>
      <sz val="8"/>
      <color indexed="10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u/>
      <sz val="12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10"/>
      <name val="Tahoma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indexed="0"/>
      <name val="Times New Roman"/>
      <family val="1"/>
    </font>
    <font>
      <sz val="10"/>
      <name val="Arial Narrow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0000FF"/>
      <name val="Arial"/>
      <family val="2"/>
    </font>
    <font>
      <sz val="10"/>
      <color rgb="FF0000FF"/>
      <name val="Arial"/>
      <family val="2"/>
    </font>
    <font>
      <b/>
      <sz val="12"/>
      <color rgb="FF0000FF"/>
      <name val="Arial"/>
      <family val="2"/>
    </font>
    <font>
      <sz val="11"/>
      <color rgb="FFFF0000"/>
      <name val="Calibri"/>
      <family val="2"/>
      <scheme val="minor"/>
    </font>
    <font>
      <sz val="10"/>
      <color rgb="FF7030A0"/>
      <name val="Arial"/>
      <family val="2"/>
    </font>
    <font>
      <sz val="8"/>
      <color rgb="FF7030A0"/>
      <name val="SWISS"/>
    </font>
    <font>
      <b/>
      <sz val="12"/>
      <color rgb="FFFF0000"/>
      <name val="Arial"/>
      <family val="2"/>
    </font>
    <font>
      <sz val="11"/>
      <color rgb="FF0000FF"/>
      <name val="Calibri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SWISS"/>
    </font>
    <font>
      <sz val="9"/>
      <color rgb="FF0000FF"/>
      <name val="SWISS"/>
    </font>
    <font>
      <sz val="8"/>
      <color rgb="FFFF0000"/>
      <name val="SWISS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u/>
      <sz val="10"/>
      <color rgb="FF0000FF"/>
      <name val="Arial"/>
      <family val="2"/>
    </font>
    <font>
      <sz val="12"/>
      <color rgb="FFFF0000"/>
      <name val="Arial MT"/>
    </font>
    <font>
      <u/>
      <sz val="12"/>
      <color rgb="FFFF0000"/>
      <name val="Arial MT"/>
    </font>
    <font>
      <b/>
      <sz val="11"/>
      <color theme="1"/>
      <name val="Calibri"/>
      <family val="2"/>
      <scheme val="minor"/>
    </font>
    <font>
      <sz val="12"/>
      <color rgb="FF0000FF"/>
      <name val="Arial MT"/>
    </font>
    <font>
      <b/>
      <sz val="11"/>
      <name val="Calibri"/>
      <family val="2"/>
      <scheme val="minor"/>
    </font>
    <font>
      <u/>
      <sz val="10"/>
      <color rgb="FF0000FF"/>
      <name val="Arial"/>
      <family val="2"/>
    </font>
    <font>
      <sz val="12"/>
      <color rgb="FFFF0000"/>
      <name val="Arial"/>
      <family val="2"/>
    </font>
    <font>
      <b/>
      <sz val="10"/>
      <color rgb="FF0070C0"/>
      <name val="Arial"/>
      <family val="2"/>
    </font>
    <font>
      <sz val="11"/>
      <name val="Calibri"/>
      <family val="2"/>
      <scheme val="minor"/>
    </font>
    <font>
      <sz val="9"/>
      <color rgb="FFFF0000"/>
      <name val="SWISS"/>
    </font>
    <font>
      <b/>
      <u/>
      <sz val="11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5"/>
      <color indexed="12"/>
      <name val="Arial"/>
      <family val="2"/>
    </font>
    <font>
      <u/>
      <sz val="12"/>
      <color indexed="12"/>
      <name val="Times New Roman"/>
      <family val="1"/>
    </font>
    <font>
      <sz val="8"/>
      <name val="TMSRMN"/>
    </font>
    <font>
      <sz val="10"/>
      <name val="Courier"/>
      <family val="3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14"/>
      <color theme="1"/>
      <name val="Calibri"/>
      <family val="2"/>
      <scheme val="minor"/>
    </font>
    <font>
      <b/>
      <sz val="8"/>
      <color rgb="FF000000"/>
      <name val="Verdana"/>
      <family val="2"/>
    </font>
    <font>
      <b/>
      <sz val="8"/>
      <color theme="0"/>
      <name val="Arial"/>
      <family val="2"/>
    </font>
    <font>
      <b/>
      <sz val="8"/>
      <color theme="0"/>
      <name val="Verdana"/>
      <family val="2"/>
    </font>
    <font>
      <sz val="8"/>
      <color rgb="FF1F497D"/>
      <name val="Verdana"/>
      <family val="2"/>
    </font>
    <font>
      <b/>
      <sz val="10"/>
      <color rgb="FF00B050"/>
      <name val="Marlett"/>
      <charset val="2"/>
    </font>
    <font>
      <b/>
      <sz val="12"/>
      <color rgb="FF0070C0"/>
      <name val="Arial"/>
      <family val="2"/>
    </font>
    <font>
      <u/>
      <sz val="12"/>
      <name val="Arial"/>
      <family val="2"/>
    </font>
    <font>
      <sz val="12"/>
      <color theme="7" tint="-0.249977111117893"/>
      <name val="Arial"/>
      <family val="2"/>
    </font>
    <font>
      <sz val="9"/>
      <color rgb="FF00B050"/>
      <name val="SWISS"/>
    </font>
    <font>
      <sz val="8"/>
      <name val="Arial"/>
      <family val="2"/>
    </font>
    <font>
      <sz val="12"/>
      <color rgb="FF0000FF"/>
      <name val="Arial"/>
      <family val="2"/>
    </font>
    <font>
      <b/>
      <sz val="10"/>
      <color rgb="FF0000FF"/>
      <name val="SWISS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0"/>
      <color theme="0"/>
      <name val="Arial"/>
      <family val="2"/>
    </font>
    <font>
      <sz val="11"/>
      <color rgb="FF0000FF"/>
      <name val="Arial"/>
      <family val="2"/>
    </font>
    <font>
      <b/>
      <sz val="10"/>
      <color rgb="FF00B050"/>
      <name val="Arial"/>
      <family val="2"/>
    </font>
    <font>
      <b/>
      <u/>
      <sz val="12"/>
      <color theme="0"/>
      <name val="Arial MT"/>
    </font>
    <font>
      <sz val="12"/>
      <color theme="0"/>
      <name val="Arial MT"/>
    </font>
    <font>
      <b/>
      <sz val="12"/>
      <color theme="0"/>
      <name val="Arial"/>
      <family val="2"/>
    </font>
    <font>
      <b/>
      <u/>
      <sz val="10"/>
      <color theme="3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u/>
      <sz val="11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i/>
      <sz val="9"/>
      <color indexed="62"/>
      <name val="Arial"/>
      <family val="2"/>
    </font>
    <font>
      <sz val="9"/>
      <color theme="0" tint="-0.499984740745262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0" tint="-0.34998626667073579"/>
      <name val="Arial"/>
      <family val="2"/>
    </font>
    <font>
      <b/>
      <sz val="9"/>
      <color theme="1"/>
      <name val="Arial"/>
      <family val="2"/>
    </font>
    <font>
      <sz val="8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i/>
      <sz val="9"/>
      <color theme="1"/>
      <name val="Arial"/>
      <family val="2"/>
    </font>
    <font>
      <b/>
      <sz val="12"/>
      <color rgb="FF000000"/>
      <name val="Arial"/>
      <family val="2"/>
    </font>
  </fonts>
  <fills count="11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FFFDBF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theme="5" tint="0.39994506668294322"/>
        <bgColor rgb="FF000000"/>
      </patternFill>
    </fill>
    <fill>
      <patternFill patternType="solid">
        <fgColor rgb="FF081307"/>
        <bgColor rgb="FF000000"/>
      </patternFill>
    </fill>
    <fill>
      <patternFill patternType="solid">
        <fgColor theme="5" tint="0.39994506668294322"/>
        <bgColor rgb="FFFFFFFF"/>
      </patternFill>
    </fill>
    <fill>
      <patternFill patternType="solid">
        <fgColor rgb="FF001F5C"/>
        <bgColor theme="3" tint="-0.499984740745262"/>
      </patternFill>
    </fill>
    <fill>
      <patternFill patternType="solid">
        <fgColor rgb="FF002060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8C9C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8DB4E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0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</borders>
  <cellStyleXfs count="39630">
    <xf numFmtId="0" fontId="0" fillId="0" borderId="0"/>
    <xf numFmtId="176" fontId="30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5" fontId="4" fillId="0" borderId="0">
      <alignment horizontal="left" wrapText="1"/>
    </xf>
    <xf numFmtId="175" fontId="88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4" fillId="0" borderId="0">
      <alignment horizontal="left" wrapText="1"/>
    </xf>
    <xf numFmtId="176" fontId="30" fillId="0" borderId="0">
      <alignment horizontal="left" wrapText="1"/>
    </xf>
    <xf numFmtId="175" fontId="30" fillId="0" borderId="0">
      <alignment horizontal="left" wrapText="1"/>
    </xf>
    <xf numFmtId="175" fontId="4" fillId="0" borderId="0">
      <alignment horizontal="left" wrapText="1"/>
    </xf>
    <xf numFmtId="175" fontId="88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4" fillId="0" borderId="0">
      <alignment horizontal="left" wrapText="1"/>
    </xf>
    <xf numFmtId="175" fontId="4" fillId="0" borderId="0">
      <alignment horizontal="left" wrapText="1"/>
    </xf>
    <xf numFmtId="175" fontId="88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4" fillId="0" borderId="0">
      <alignment horizontal="left" wrapText="1"/>
    </xf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4" fillId="6" borderId="0" applyNumberFormat="0" applyBorder="0" applyAlignment="0" applyProtection="0"/>
    <xf numFmtId="0" fontId="54" fillId="3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6" borderId="0" applyNumberFormat="0" applyBorder="0" applyAlignment="0" applyProtection="0"/>
    <xf numFmtId="0" fontId="55" fillId="3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7" fillId="16" borderId="1" applyNumberFormat="0" applyAlignment="0" applyProtection="0"/>
    <xf numFmtId="0" fontId="58" fillId="17" borderId="2" applyNumberFormat="0" applyAlignment="0" applyProtection="0"/>
    <xf numFmtId="43" fontId="4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5" fontId="3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30" fillId="0" borderId="0" applyFont="0" applyFill="0" applyBorder="0" applyAlignment="0" applyProtection="0"/>
    <xf numFmtId="14" fontId="30" fillId="0" borderId="0" applyFont="0" applyFill="0" applyBorder="0" applyAlignment="0" applyProtection="0"/>
    <xf numFmtId="1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2" fontId="30" fillId="0" borderId="0" applyFont="0" applyFill="0" applyBorder="0" applyAlignment="0" applyProtection="0"/>
    <xf numFmtId="183" fontId="89" fillId="0" borderId="0"/>
    <xf numFmtId="0" fontId="60" fillId="6" borderId="0" applyNumberFormat="0" applyBorder="0" applyAlignment="0" applyProtection="0"/>
    <xf numFmtId="0" fontId="61" fillId="0" borderId="3" applyNumberFormat="0" applyFill="0" applyAlignment="0" applyProtection="0"/>
    <xf numFmtId="0" fontId="62" fillId="0" borderId="4" applyNumberFormat="0" applyFill="0" applyAlignment="0" applyProtection="0"/>
    <xf numFmtId="0" fontId="63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4" fillId="7" borderId="1" applyNumberFormat="0" applyAlignment="0" applyProtection="0"/>
    <xf numFmtId="0" fontId="65" fillId="0" borderId="6" applyNumberFormat="0" applyFill="0" applyAlignment="0" applyProtection="0"/>
    <xf numFmtId="0" fontId="66" fillId="7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49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5" fillId="0" borderId="0"/>
    <xf numFmtId="0" fontId="49" fillId="0" borderId="0"/>
    <xf numFmtId="0" fontId="95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87" fillId="0" borderId="0"/>
    <xf numFmtId="0" fontId="30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30" fillId="0" borderId="0"/>
    <xf numFmtId="0" fontId="95" fillId="0" borderId="0"/>
    <xf numFmtId="0" fontId="87" fillId="0" borderId="0"/>
    <xf numFmtId="0" fontId="30" fillId="0" borderId="0"/>
    <xf numFmtId="0" fontId="49" fillId="0" borderId="0"/>
    <xf numFmtId="0" fontId="49" fillId="16" borderId="0"/>
    <xf numFmtId="0" fontId="95" fillId="0" borderId="0"/>
    <xf numFmtId="0" fontId="95" fillId="0" borderId="0"/>
    <xf numFmtId="0" fontId="95" fillId="0" borderId="0"/>
    <xf numFmtId="0" fontId="49" fillId="0" borderId="0"/>
    <xf numFmtId="0" fontId="90" fillId="0" borderId="0"/>
    <xf numFmtId="0" fontId="30" fillId="0" borderId="0"/>
    <xf numFmtId="0" fontId="96" fillId="0" borderId="0"/>
    <xf numFmtId="0" fontId="30" fillId="0" borderId="0"/>
    <xf numFmtId="0" fontId="95" fillId="0" borderId="0"/>
    <xf numFmtId="0" fontId="30" fillId="0" borderId="0"/>
    <xf numFmtId="0" fontId="95" fillId="0" borderId="0"/>
    <xf numFmtId="0" fontId="49" fillId="0" borderId="0"/>
    <xf numFmtId="0" fontId="24" fillId="16" borderId="0"/>
    <xf numFmtId="0" fontId="49" fillId="0" borderId="0"/>
    <xf numFmtId="0" fontId="49" fillId="0" borderId="0"/>
    <xf numFmtId="0" fontId="95" fillId="0" borderId="0"/>
    <xf numFmtId="0" fontId="43" fillId="0" borderId="0">
      <alignment vertical="top"/>
    </xf>
    <xf numFmtId="0" fontId="49" fillId="0" borderId="0"/>
    <xf numFmtId="0" fontId="95" fillId="0" borderId="0"/>
    <xf numFmtId="0" fontId="30" fillId="0" borderId="0"/>
    <xf numFmtId="0" fontId="49" fillId="0" borderId="0"/>
    <xf numFmtId="0" fontId="49" fillId="0" borderId="0"/>
    <xf numFmtId="0" fontId="30" fillId="0" borderId="0"/>
    <xf numFmtId="0" fontId="95" fillId="0" borderId="0"/>
    <xf numFmtId="0" fontId="30" fillId="0" borderId="0"/>
    <xf numFmtId="0" fontId="30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9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5" fillId="0" borderId="0"/>
    <xf numFmtId="0" fontId="49" fillId="0" borderId="0"/>
    <xf numFmtId="0" fontId="95" fillId="0" borderId="0"/>
    <xf numFmtId="0" fontId="30" fillId="4" borderId="7" applyNumberFormat="0" applyFont="0" applyAlignment="0" applyProtection="0"/>
    <xf numFmtId="0" fontId="67" fillId="16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176" fontId="4" fillId="0" borderId="0">
      <alignment horizontal="left" wrapText="1"/>
    </xf>
    <xf numFmtId="176" fontId="88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6" fontId="91" fillId="0" borderId="0">
      <alignment horizontal="left" wrapText="1"/>
    </xf>
    <xf numFmtId="176" fontId="30" fillId="0" borderId="0">
      <alignment horizontal="left" wrapText="1"/>
    </xf>
    <xf numFmtId="176" fontId="91" fillId="0" borderId="0">
      <alignment horizontal="left" wrapText="1"/>
    </xf>
    <xf numFmtId="176" fontId="30" fillId="0" borderId="0">
      <alignment horizontal="left" wrapText="1"/>
    </xf>
    <xf numFmtId="176" fontId="94" fillId="0" borderId="0">
      <alignment horizontal="left" wrapText="1"/>
    </xf>
    <xf numFmtId="175" fontId="30" fillId="0" borderId="0">
      <alignment horizontal="left" wrapText="1"/>
    </xf>
    <xf numFmtId="0" fontId="68" fillId="0" borderId="0" applyNumberFormat="0" applyBorder="0" applyAlignment="0"/>
    <xf numFmtId="0" fontId="69" fillId="0" borderId="0" applyNumberFormat="0" applyBorder="0" applyAlignment="0"/>
    <xf numFmtId="0" fontId="70" fillId="0" borderId="0" applyNumberFormat="0" applyBorder="0" applyAlignment="0"/>
    <xf numFmtId="0" fontId="70" fillId="0" borderId="0" applyNumberFormat="0" applyBorder="0" applyAlignment="0"/>
    <xf numFmtId="0" fontId="71" fillId="0" borderId="0" applyNumberFormat="0" applyFill="0" applyBorder="0" applyAlignment="0" applyProtection="0"/>
    <xf numFmtId="0" fontId="72" fillId="0" borderId="9" applyNumberFormat="0" applyFill="0" applyAlignment="0" applyProtection="0"/>
    <xf numFmtId="0" fontId="65" fillId="0" borderId="0" applyNumberForma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37" fontId="4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3" fontId="128" fillId="0" borderId="0" applyProtection="0"/>
    <xf numFmtId="3" fontId="129" fillId="0" borderId="0" applyProtection="0"/>
    <xf numFmtId="3" fontId="130" fillId="0" borderId="0" applyProtection="0"/>
    <xf numFmtId="2" fontId="4" fillId="0" borderId="0" applyFont="0" applyFill="0" applyBorder="0" applyAlignment="0" applyProtection="0"/>
    <xf numFmtId="0" fontId="37" fillId="0" borderId="0" applyNumberFormat="0" applyFont="0" applyFill="0" applyAlignment="0" applyProtection="0"/>
    <xf numFmtId="0" fontId="37" fillId="0" borderId="0" applyNumberFormat="0" applyFont="0" applyFill="0" applyAlignment="0" applyProtection="0"/>
    <xf numFmtId="37" fontId="49" fillId="0" borderId="0"/>
    <xf numFmtId="0" fontId="2" fillId="0" borderId="0"/>
    <xf numFmtId="0" fontId="2" fillId="0" borderId="0"/>
    <xf numFmtId="37" fontId="49" fillId="0" borderId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9" fillId="0" borderId="0"/>
    <xf numFmtId="0" fontId="49" fillId="0" borderId="0"/>
    <xf numFmtId="43" fontId="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0" borderId="0" applyNumberFormat="0" applyFill="0" applyBorder="0" applyAlignment="0" applyProtection="0"/>
    <xf numFmtId="0" fontId="132" fillId="0" borderId="45" applyNumberFormat="0" applyFill="0" applyAlignment="0" applyProtection="0"/>
    <xf numFmtId="0" fontId="133" fillId="0" borderId="46" applyNumberFormat="0" applyFill="0" applyAlignment="0" applyProtection="0"/>
    <xf numFmtId="0" fontId="134" fillId="0" borderId="47" applyNumberFormat="0" applyFill="0" applyAlignment="0" applyProtection="0"/>
    <xf numFmtId="0" fontId="134" fillId="0" borderId="0" applyNumberFormat="0" applyFill="0" applyBorder="0" applyAlignment="0" applyProtection="0"/>
    <xf numFmtId="0" fontId="135" fillId="40" borderId="0" applyNumberFormat="0" applyBorder="0" applyAlignment="0" applyProtection="0"/>
    <xf numFmtId="0" fontId="136" fillId="41" borderId="0" applyNumberFormat="0" applyBorder="0" applyAlignment="0" applyProtection="0"/>
    <xf numFmtId="0" fontId="137" fillId="42" borderId="0" applyNumberFormat="0" applyBorder="0" applyAlignment="0" applyProtection="0"/>
    <xf numFmtId="0" fontId="138" fillId="43" borderId="48" applyNumberFormat="0" applyAlignment="0" applyProtection="0"/>
    <xf numFmtId="0" fontId="140" fillId="44" borderId="48" applyNumberFormat="0" applyAlignment="0" applyProtection="0"/>
    <xf numFmtId="0" fontId="141" fillId="0" borderId="50" applyNumberFormat="0" applyFill="0" applyAlignment="0" applyProtection="0"/>
    <xf numFmtId="0" fontId="142" fillId="45" borderId="51" applyNumberFormat="0" applyAlignment="0" applyProtection="0"/>
    <xf numFmtId="0" fontId="143" fillId="0" borderId="0" applyNumberFormat="0" applyFill="0" applyBorder="0" applyAlignment="0" applyProtection="0"/>
    <xf numFmtId="0" fontId="144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144" fillId="49" borderId="0" applyNumberFormat="0" applyBorder="0" applyAlignment="0" applyProtection="0"/>
    <xf numFmtId="0" fontId="144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144" fillId="53" borderId="0" applyNumberFormat="0" applyBorder="0" applyAlignment="0" applyProtection="0"/>
    <xf numFmtId="0" fontId="144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144" fillId="57" borderId="0" applyNumberFormat="0" applyBorder="0" applyAlignment="0" applyProtection="0"/>
    <xf numFmtId="0" fontId="144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144" fillId="61" borderId="0" applyNumberFormat="0" applyBorder="0" applyAlignment="0" applyProtection="0"/>
    <xf numFmtId="0" fontId="144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144" fillId="64" borderId="0" applyNumberFormat="0" applyBorder="0" applyAlignment="0" applyProtection="0"/>
    <xf numFmtId="0" fontId="144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144" fillId="68" borderId="0" applyNumberFormat="0" applyBorder="0" applyAlignment="0" applyProtection="0"/>
    <xf numFmtId="0" fontId="49" fillId="0" borderId="0"/>
    <xf numFmtId="0" fontId="2" fillId="0" borderId="0"/>
    <xf numFmtId="0" fontId="4" fillId="0" borderId="0"/>
    <xf numFmtId="0" fontId="2" fillId="0" borderId="0"/>
    <xf numFmtId="0" fontId="96" fillId="0" borderId="0"/>
    <xf numFmtId="0" fontId="24" fillId="16" borderId="0"/>
    <xf numFmtId="0" fontId="4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144" fillId="49" borderId="0" applyNumberFormat="0" applyBorder="0" applyAlignment="0" applyProtection="0"/>
    <xf numFmtId="0" fontId="144" fillId="53" borderId="0" applyNumberFormat="0" applyBorder="0" applyAlignment="0" applyProtection="0"/>
    <xf numFmtId="0" fontId="144" fillId="57" borderId="0" applyNumberFormat="0" applyBorder="0" applyAlignment="0" applyProtection="0"/>
    <xf numFmtId="0" fontId="144" fillId="61" borderId="0" applyNumberFormat="0" applyBorder="0" applyAlignment="0" applyProtection="0"/>
    <xf numFmtId="0" fontId="144" fillId="64" borderId="0" applyNumberFormat="0" applyBorder="0" applyAlignment="0" applyProtection="0"/>
    <xf numFmtId="0" fontId="144" fillId="68" borderId="0" applyNumberFormat="0" applyBorder="0" applyAlignment="0" applyProtection="0"/>
    <xf numFmtId="0" fontId="144" fillId="47" borderId="0" applyNumberFormat="0" applyBorder="0" applyAlignment="0" applyProtection="0"/>
    <xf numFmtId="0" fontId="144" fillId="50" borderId="0" applyNumberFormat="0" applyBorder="0" applyAlignment="0" applyProtection="0"/>
    <xf numFmtId="0" fontId="144" fillId="54" borderId="0" applyNumberFormat="0" applyBorder="0" applyAlignment="0" applyProtection="0"/>
    <xf numFmtId="0" fontId="144" fillId="58" borderId="0" applyNumberFormat="0" applyBorder="0" applyAlignment="0" applyProtection="0"/>
    <xf numFmtId="0" fontId="144" fillId="62" borderId="0" applyNumberFormat="0" applyBorder="0" applyAlignment="0" applyProtection="0"/>
    <xf numFmtId="0" fontId="144" fillId="65" borderId="0" applyNumberFormat="0" applyBorder="0" applyAlignment="0" applyProtection="0"/>
    <xf numFmtId="0" fontId="136" fillId="41" borderId="0" applyNumberFormat="0" applyBorder="0" applyAlignment="0" applyProtection="0"/>
    <xf numFmtId="0" fontId="140" fillId="44" borderId="48" applyNumberFormat="0" applyAlignment="0" applyProtection="0"/>
    <xf numFmtId="0" fontId="142" fillId="45" borderId="51" applyNumberFormat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35" fillId="40" borderId="0" applyNumberFormat="0" applyBorder="0" applyAlignment="0" applyProtection="0"/>
    <xf numFmtId="0" fontId="129" fillId="0" borderId="0" applyNumberFormat="0" applyFont="0" applyFill="0" applyAlignment="0" applyProtection="0"/>
    <xf numFmtId="0" fontId="132" fillId="0" borderId="45" applyNumberFormat="0" applyFill="0" applyAlignment="0" applyProtection="0"/>
    <xf numFmtId="0" fontId="133" fillId="0" borderId="46" applyNumberFormat="0" applyFill="0" applyAlignment="0" applyProtection="0"/>
    <xf numFmtId="0" fontId="134" fillId="0" borderId="47" applyNumberFormat="0" applyFill="0" applyAlignment="0" applyProtection="0"/>
    <xf numFmtId="0" fontId="134" fillId="0" borderId="0" applyNumberFormat="0" applyFill="0" applyBorder="0" applyAlignment="0" applyProtection="0"/>
    <xf numFmtId="0" fontId="138" fillId="43" borderId="48" applyNumberFormat="0" applyAlignment="0" applyProtection="0"/>
    <xf numFmtId="0" fontId="141" fillId="0" borderId="50" applyNumberFormat="0" applyFill="0" applyAlignment="0" applyProtection="0"/>
    <xf numFmtId="0" fontId="137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" fillId="46" borderId="52" applyNumberFormat="0" applyFont="0" applyAlignment="0" applyProtection="0"/>
    <xf numFmtId="0" fontId="139" fillId="44" borderId="49" applyNumberFormat="0" applyAlignment="0" applyProtection="0"/>
    <xf numFmtId="9" fontId="49" fillId="0" borderId="0" applyFont="0" applyFill="0" applyBorder="0" applyAlignment="0" applyProtection="0"/>
    <xf numFmtId="0" fontId="4" fillId="0" borderId="54" applyNumberFormat="0" applyFont="0" applyBorder="0" applyAlignment="0" applyProtection="0"/>
    <xf numFmtId="0" fontId="116" fillId="0" borderId="53" applyNumberFormat="0" applyFill="0" applyAlignment="0" applyProtection="0"/>
    <xf numFmtId="0" fontId="101" fillId="0" borderId="0" applyNumberFormat="0" applyFill="0" applyBorder="0" applyAlignment="0" applyProtection="0"/>
    <xf numFmtId="0" fontId="96" fillId="0" borderId="0"/>
    <xf numFmtId="0" fontId="24" fillId="16" borderId="0"/>
    <xf numFmtId="0" fontId="43" fillId="0" borderId="0">
      <alignment vertical="top"/>
    </xf>
    <xf numFmtId="0" fontId="2" fillId="0" borderId="0"/>
    <xf numFmtId="0" fontId="49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6" borderId="0" applyNumberFormat="0" applyBorder="0" applyAlignment="0" applyProtection="0"/>
    <xf numFmtId="0" fontId="2" fillId="63" borderId="0" applyNumberFormat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6" borderId="0" applyNumberFormat="0" applyBorder="0" applyAlignment="0" applyProtection="0"/>
    <xf numFmtId="0" fontId="2" fillId="48" borderId="0" applyNumberFormat="0" applyBorder="0" applyAlignment="0" applyProtection="0"/>
    <xf numFmtId="0" fontId="2" fillId="63" borderId="0" applyNumberFormat="0" applyBorder="0" applyAlignment="0" applyProtection="0"/>
    <xf numFmtId="0" fontId="4" fillId="0" borderId="0"/>
    <xf numFmtId="0" fontId="2" fillId="3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9" fontId="4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7" fillId="0" borderId="0"/>
    <xf numFmtId="0" fontId="2" fillId="0" borderId="0"/>
    <xf numFmtId="0" fontId="87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87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139" fillId="44" borderId="4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6" fillId="0" borderId="53" applyNumberFormat="0" applyFill="0" applyAlignment="0" applyProtection="0"/>
    <xf numFmtId="0" fontId="10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6" borderId="52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6" borderId="0" applyNumberFormat="0" applyBorder="0" applyAlignment="0" applyProtection="0"/>
    <xf numFmtId="0" fontId="2" fillId="63" borderId="0" applyNumberFormat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6" borderId="0" applyNumberFormat="0" applyBorder="0" applyAlignment="0" applyProtection="0"/>
    <xf numFmtId="0" fontId="2" fillId="48" borderId="0" applyNumberFormat="0" applyBorder="0" applyAlignment="0" applyProtection="0"/>
    <xf numFmtId="0" fontId="2" fillId="63" borderId="0" applyNumberFormat="0" applyBorder="0" applyAlignment="0" applyProtection="0"/>
    <xf numFmtId="0" fontId="2" fillId="3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139" fillId="44" borderId="49" applyNumberFormat="0" applyAlignment="0" applyProtection="0"/>
    <xf numFmtId="0" fontId="101" fillId="0" borderId="0" applyNumberFormat="0" applyFill="0" applyBorder="0" applyAlignment="0" applyProtection="0"/>
    <xf numFmtId="0" fontId="147" fillId="0" borderId="0"/>
    <xf numFmtId="0" fontId="49" fillId="0" borderId="0"/>
    <xf numFmtId="0" fontId="129" fillId="0" borderId="0" applyNumberFormat="0" applyFont="0" applyFill="0" applyAlignment="0" applyProtection="0"/>
    <xf numFmtId="0" fontId="37" fillId="0" borderId="0" applyNumberFormat="0" applyFont="0" applyFill="0" applyAlignment="0" applyProtection="0"/>
    <xf numFmtId="0" fontId="4" fillId="0" borderId="54" applyNumberFormat="0" applyFont="0" applyBorder="0" applyAlignment="0" applyProtection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37" fontId="49" fillId="0" borderId="0"/>
    <xf numFmtId="0" fontId="2" fillId="0" borderId="0"/>
    <xf numFmtId="43" fontId="2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4" fillId="6" borderId="0" applyNumberFormat="0" applyBorder="0" applyAlignment="0" applyProtection="0"/>
    <xf numFmtId="0" fontId="54" fillId="3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6" borderId="0" applyNumberFormat="0" applyBorder="0" applyAlignment="0" applyProtection="0"/>
    <xf numFmtId="0" fontId="55" fillId="3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7" fillId="16" borderId="1" applyNumberFormat="0" applyAlignment="0" applyProtection="0"/>
    <xf numFmtId="0" fontId="58" fillId="17" borderId="2" applyNumberFormat="0" applyAlignment="0" applyProtection="0"/>
    <xf numFmtId="0" fontId="59" fillId="0" borderId="0" applyNumberFormat="0" applyFill="0" applyBorder="0" applyAlignment="0" applyProtection="0"/>
    <xf numFmtId="0" fontId="60" fillId="6" borderId="0" applyNumberFormat="0" applyBorder="0" applyAlignment="0" applyProtection="0"/>
    <xf numFmtId="0" fontId="63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64" fillId="7" borderId="1" applyNumberFormat="0" applyAlignment="0" applyProtection="0"/>
    <xf numFmtId="0" fontId="65" fillId="0" borderId="6" applyNumberFormat="0" applyFill="0" applyAlignment="0" applyProtection="0"/>
    <xf numFmtId="0" fontId="66" fillId="7" borderId="0" applyNumberFormat="0" applyBorder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49" fillId="16" borderId="0"/>
    <xf numFmtId="37" fontId="49" fillId="0" borderId="0"/>
    <xf numFmtId="0" fontId="148" fillId="0" borderId="0"/>
    <xf numFmtId="0" fontId="49" fillId="0" borderId="0"/>
    <xf numFmtId="0" fontId="49" fillId="0" borderId="0"/>
    <xf numFmtId="0" fontId="49" fillId="4" borderId="7" applyNumberFormat="0" applyFont="0" applyAlignment="0" applyProtection="0"/>
    <xf numFmtId="0" fontId="49" fillId="4" borderId="7" applyNumberFormat="0" applyFont="0" applyAlignment="0" applyProtection="0"/>
    <xf numFmtId="0" fontId="67" fillId="16" borderId="8" applyNumberFormat="0" applyAlignment="0" applyProtection="0"/>
    <xf numFmtId="9" fontId="4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2" fillId="0" borderId="45" applyNumberFormat="0" applyFill="0" applyAlignment="0" applyProtection="0"/>
    <xf numFmtId="0" fontId="133" fillId="0" borderId="46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2" fillId="46" borderId="52" applyNumberFormat="0" applyFont="0" applyAlignment="0" applyProtection="0"/>
    <xf numFmtId="0" fontId="116" fillId="0" borderId="53" applyNumberFormat="0" applyFill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46" borderId="52" applyNumberFormat="0" applyFont="0" applyAlignment="0" applyProtection="0"/>
    <xf numFmtId="0" fontId="63" fillId="0" borderId="5" applyNumberFormat="0" applyFill="0" applyAlignment="0" applyProtection="0"/>
    <xf numFmtId="0" fontId="49" fillId="16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4" fillId="0" borderId="0">
      <alignment wrapText="1"/>
    </xf>
    <xf numFmtId="187" fontId="149" fillId="69" borderId="55" applyNumberFormat="0" applyProtection="0">
      <alignment horizontal="left" vertical="center" wrapText="1" indent="1"/>
    </xf>
    <xf numFmtId="0" fontId="116" fillId="0" borderId="0">
      <alignment wrapText="1"/>
    </xf>
    <xf numFmtId="49" fontId="158" fillId="89" borderId="56">
      <alignment horizontal="left" vertical="center" wrapText="1" indent="1"/>
    </xf>
    <xf numFmtId="187" fontId="149" fillId="0" borderId="59" applyNumberFormat="0" applyAlignment="0" applyProtection="0">
      <alignment horizontal="right" vertical="center" indent="1"/>
    </xf>
    <xf numFmtId="187" fontId="157" fillId="88" borderId="60" applyNumberFormat="0" applyAlignment="0" applyProtection="0">
      <alignment horizontal="right" vertical="center" indent="1"/>
    </xf>
    <xf numFmtId="187" fontId="149" fillId="70" borderId="56" applyNumberFormat="0" applyAlignment="0" applyProtection="0">
      <alignment horizontal="left" vertical="center" indent="1"/>
    </xf>
    <xf numFmtId="0" fontId="149" fillId="71" borderId="56" applyNumberFormat="0" applyAlignment="0" applyProtection="0">
      <alignment horizontal="left" vertical="center" indent="1"/>
    </xf>
    <xf numFmtId="187" fontId="149" fillId="72" borderId="59" applyNumberFormat="0" applyBorder="0" applyAlignment="0" applyProtection="0">
      <alignment horizontal="right" vertical="center" indent="1"/>
    </xf>
    <xf numFmtId="0" fontId="149" fillId="70" borderId="56" applyNumberFormat="0" applyAlignment="0" applyProtection="0">
      <alignment horizontal="left" vertical="center" indent="1"/>
    </xf>
    <xf numFmtId="187" fontId="157" fillId="79" borderId="60" applyNumberFormat="0" applyAlignment="0" applyProtection="0">
      <alignment horizontal="right" vertical="center" indent="1"/>
    </xf>
    <xf numFmtId="187" fontId="157" fillId="72" borderId="60" applyNumberFormat="0" applyAlignment="0" applyProtection="0">
      <alignment horizontal="right" vertical="center" indent="1"/>
    </xf>
    <xf numFmtId="187" fontId="159" fillId="87" borderId="57" applyNumberFormat="0" applyBorder="0" applyAlignment="0" applyProtection="0">
      <alignment horizontal="right" vertical="center" indent="1"/>
    </xf>
    <xf numFmtId="187" fontId="157" fillId="86" borderId="57" applyNumberFormat="0" applyBorder="0" applyAlignment="0" applyProtection="0">
      <alignment horizontal="right" vertical="center" indent="1"/>
    </xf>
    <xf numFmtId="187" fontId="150" fillId="73" borderId="57" applyNumberFormat="0" applyBorder="0" applyAlignment="0" applyProtection="0">
      <alignment horizontal="right" vertical="center" indent="1"/>
    </xf>
    <xf numFmtId="187" fontId="151" fillId="80" borderId="57" applyNumberFormat="0" applyBorder="0" applyAlignment="0" applyProtection="0">
      <alignment horizontal="right" vertical="center" indent="1"/>
    </xf>
    <xf numFmtId="187" fontId="151" fillId="81" borderId="57" applyNumberFormat="0" applyBorder="0" applyAlignment="0" applyProtection="0">
      <alignment horizontal="right" vertical="center" indent="1"/>
    </xf>
    <xf numFmtId="187" fontId="151" fillId="82" borderId="57" applyNumberFormat="0" applyBorder="0" applyAlignment="0" applyProtection="0">
      <alignment horizontal="right" vertical="center" indent="1"/>
    </xf>
    <xf numFmtId="187" fontId="152" fillId="74" borderId="57" applyNumberFormat="0" applyBorder="0" applyAlignment="0" applyProtection="0">
      <alignment horizontal="right" vertical="center" indent="1"/>
    </xf>
    <xf numFmtId="187" fontId="152" fillId="75" borderId="57" applyNumberFormat="0" applyBorder="0" applyAlignment="0" applyProtection="0">
      <alignment horizontal="right" vertical="center" indent="1"/>
    </xf>
    <xf numFmtId="187" fontId="152" fillId="76" borderId="57" applyNumberFormat="0" applyBorder="0" applyAlignment="0" applyProtection="0">
      <alignment horizontal="right" vertical="center" indent="1"/>
    </xf>
    <xf numFmtId="0" fontId="153" fillId="0" borderId="55" applyNumberFormat="0" applyFont="0" applyFill="0" applyAlignment="0" applyProtection="0"/>
    <xf numFmtId="0" fontId="157" fillId="86" borderId="56" applyNumberFormat="0" applyAlignment="0" applyProtection="0">
      <alignment horizontal="left" vertical="center" indent="1"/>
    </xf>
    <xf numFmtId="0" fontId="154" fillId="0" borderId="58" applyNumberFormat="0" applyFill="0" applyBorder="0" applyAlignment="0" applyProtection="0"/>
    <xf numFmtId="187" fontId="155" fillId="79" borderId="60" applyNumberFormat="0" applyAlignment="0" applyProtection="0">
      <alignment horizontal="right" vertical="center" indent="1"/>
    </xf>
    <xf numFmtId="187" fontId="154" fillId="70" borderId="56" applyNumberFormat="0" applyAlignment="0" applyProtection="0">
      <alignment horizontal="left" vertical="center" indent="1"/>
    </xf>
    <xf numFmtId="0" fontId="154" fillId="70" borderId="56" applyNumberFormat="0" applyAlignment="0" applyProtection="0">
      <alignment horizontal="left" vertical="center" indent="1"/>
    </xf>
    <xf numFmtId="0" fontId="154" fillId="71" borderId="56" applyNumberFormat="0" applyAlignment="0" applyProtection="0">
      <alignment horizontal="left" vertical="center" indent="1"/>
    </xf>
    <xf numFmtId="187" fontId="155" fillId="79" borderId="60" applyNumberFormat="0" applyAlignment="0" applyProtection="0">
      <alignment horizontal="right" vertical="center" indent="1"/>
    </xf>
    <xf numFmtId="187" fontId="154" fillId="72" borderId="59" applyNumberFormat="0" applyBorder="0" applyAlignment="0" applyProtection="0">
      <alignment horizontal="right" vertical="center" indent="1"/>
    </xf>
    <xf numFmtId="187" fontId="155" fillId="72" borderId="60" applyNumberFormat="0" applyAlignment="0" applyProtection="0">
      <alignment horizontal="right" vertical="center" indent="1"/>
    </xf>
    <xf numFmtId="0" fontId="156" fillId="0" borderId="0">
      <alignment horizontal="center" vertical="center"/>
    </xf>
    <xf numFmtId="0" fontId="149" fillId="77" borderId="56" applyNumberFormat="0" applyAlignment="0" applyProtection="0">
      <alignment horizontal="left" vertical="center" indent="1"/>
    </xf>
    <xf numFmtId="0" fontId="149" fillId="78" borderId="56" applyNumberFormat="0" applyAlignment="0" applyProtection="0">
      <alignment horizontal="left" vertical="center" indent="1"/>
    </xf>
    <xf numFmtId="0" fontId="149" fillId="84" borderId="56" applyNumberFormat="0" applyAlignment="0" applyProtection="0">
      <alignment horizontal="left" vertical="center" indent="1"/>
    </xf>
    <xf numFmtId="0" fontId="149" fillId="85" borderId="56" applyNumberFormat="0" applyAlignment="0" applyProtection="0">
      <alignment horizontal="left" vertical="center" indent="1"/>
    </xf>
    <xf numFmtId="0" fontId="149" fillId="71" borderId="56" applyNumberFormat="0" applyAlignment="0" applyProtection="0">
      <alignment horizontal="left" vertical="center" indent="1"/>
    </xf>
    <xf numFmtId="49" fontId="159" fillId="90" borderId="55">
      <alignment vertical="center" wrapText="1"/>
    </xf>
    <xf numFmtId="0" fontId="149" fillId="69" borderId="60" applyNumberFormat="0" applyAlignment="0" applyProtection="0">
      <alignment horizontal="left" vertical="center" indent="1"/>
    </xf>
    <xf numFmtId="0" fontId="149" fillId="83" borderId="60" applyNumberFormat="0" applyAlignment="0" applyProtection="0">
      <alignment horizontal="left" vertical="center" indent="1"/>
    </xf>
    <xf numFmtId="187" fontId="160" fillId="91" borderId="55" applyNumberFormat="0" applyAlignment="0" applyProtection="0">
      <alignment horizontal="left" vertical="center" indent="1"/>
    </xf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178" fillId="0" borderId="0" applyFont="0" applyFill="0" applyBorder="0" applyAlignment="0" applyProtection="0"/>
    <xf numFmtId="0" fontId="181" fillId="100" borderId="0">
      <alignment vertical="center"/>
    </xf>
    <xf numFmtId="0" fontId="25" fillId="0" borderId="0"/>
    <xf numFmtId="0" fontId="184" fillId="0" borderId="0">
      <alignment horizontal="center"/>
    </xf>
    <xf numFmtId="194" fontId="185" fillId="25" borderId="69">
      <alignment horizontal="right"/>
      <protection locked="0"/>
    </xf>
    <xf numFmtId="195" fontId="185" fillId="0" borderId="0">
      <alignment horizontal="center"/>
    </xf>
    <xf numFmtId="196" fontId="185" fillId="25" borderId="69">
      <protection locked="0"/>
    </xf>
    <xf numFmtId="0" fontId="186" fillId="0" borderId="0">
      <alignment vertical="center"/>
    </xf>
    <xf numFmtId="0" fontId="187" fillId="0" borderId="0"/>
    <xf numFmtId="196" fontId="185" fillId="0" borderId="0"/>
    <xf numFmtId="0" fontId="188" fillId="0" borderId="0">
      <alignment horizontal="left" vertical="center"/>
    </xf>
    <xf numFmtId="0" fontId="189" fillId="101" borderId="0">
      <alignment vertical="center"/>
    </xf>
    <xf numFmtId="0" fontId="190" fillId="102" borderId="0">
      <alignment vertical="center"/>
    </xf>
    <xf numFmtId="0" fontId="191" fillId="0" borderId="0">
      <alignment horizontal="center"/>
    </xf>
    <xf numFmtId="198" fontId="193" fillId="0" borderId="70">
      <alignment horizontal="center" vertical="center"/>
    </xf>
    <xf numFmtId="196" fontId="185" fillId="0" borderId="13"/>
    <xf numFmtId="199" fontId="185" fillId="0" borderId="0"/>
    <xf numFmtId="197" fontId="185" fillId="26" borderId="69">
      <protection locked="0"/>
    </xf>
  </cellStyleXfs>
  <cellXfs count="1136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37" fontId="5" fillId="0" borderId="0" xfId="0" applyNumberFormat="1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fill"/>
    </xf>
    <xf numFmtId="0" fontId="5" fillId="0" borderId="0" xfId="0" applyFont="1" applyAlignment="1">
      <alignment horizontal="fill"/>
    </xf>
    <xf numFmtId="5" fontId="5" fillId="0" borderId="0" xfId="0" applyNumberFormat="1" applyFont="1"/>
    <xf numFmtId="0" fontId="10" fillId="0" borderId="0" xfId="0" applyFont="1" applyProtection="1">
      <protection locked="0"/>
    </xf>
    <xf numFmtId="0" fontId="14" fillId="0" borderId="10" xfId="0" applyFont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5" fillId="0" borderId="12" xfId="0" applyFont="1" applyBorder="1" applyAlignment="1">
      <alignment horizontal="centerContinuous"/>
    </xf>
    <xf numFmtId="37" fontId="0" fillId="0" borderId="0" xfId="0" applyNumberFormat="1"/>
    <xf numFmtId="0" fontId="18" fillId="0" borderId="0" xfId="0" applyFont="1"/>
    <xf numFmtId="0" fontId="0" fillId="0" borderId="0" xfId="0" applyAlignment="1">
      <alignment horizontal="centerContinuous"/>
    </xf>
    <xf numFmtId="0" fontId="24" fillId="0" borderId="0" xfId="0" applyFont="1"/>
    <xf numFmtId="0" fontId="24" fillId="0" borderId="0" xfId="0" applyFont="1" applyAlignment="1">
      <alignment horizontal="center"/>
    </xf>
    <xf numFmtId="0" fontId="27" fillId="0" borderId="0" xfId="0" applyFont="1"/>
    <xf numFmtId="37" fontId="24" fillId="0" borderId="0" xfId="0" applyNumberFormat="1" applyFont="1"/>
    <xf numFmtId="0" fontId="30" fillId="0" borderId="0" xfId="0" applyFont="1"/>
    <xf numFmtId="0" fontId="11" fillId="0" borderId="0" xfId="0" applyFont="1"/>
    <xf numFmtId="0" fontId="0" fillId="0" borderId="0" xfId="0" applyAlignment="1">
      <alignment horizontal="left"/>
    </xf>
    <xf numFmtId="0" fontId="2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15" fillId="0" borderId="0" xfId="0" applyFont="1"/>
    <xf numFmtId="0" fontId="42" fillId="0" borderId="0" xfId="0" applyFont="1" applyAlignment="1">
      <alignment horizontal="left"/>
    </xf>
    <xf numFmtId="0" fontId="43" fillId="0" borderId="0" xfId="0" quotePrefix="1" applyFont="1"/>
    <xf numFmtId="0" fontId="44" fillId="0" borderId="0" xfId="0" quotePrefix="1" applyFont="1"/>
    <xf numFmtId="0" fontId="25" fillId="0" borderId="0" xfId="0" applyFont="1"/>
    <xf numFmtId="0" fontId="37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167" fontId="5" fillId="0" borderId="0" xfId="63" applyNumberFormat="1" applyFont="1"/>
    <xf numFmtId="167" fontId="5" fillId="0" borderId="14" xfId="63" applyNumberFormat="1" applyFont="1" applyBorder="1"/>
    <xf numFmtId="167" fontId="0" fillId="0" borderId="0" xfId="63" applyNumberFormat="1" applyFont="1"/>
    <xf numFmtId="167" fontId="5" fillId="0" borderId="0" xfId="63" applyNumberFormat="1" applyFont="1" applyAlignment="1">
      <alignment horizontal="right"/>
    </xf>
    <xf numFmtId="167" fontId="6" fillId="0" borderId="0" xfId="63" applyNumberFormat="1" applyFont="1" applyProtection="1">
      <protection locked="0"/>
    </xf>
    <xf numFmtId="167" fontId="40" fillId="18" borderId="15" xfId="63" applyNumberFormat="1" applyFont="1" applyFill="1" applyBorder="1"/>
    <xf numFmtId="167" fontId="6" fillId="0" borderId="0" xfId="63" applyNumberFormat="1" applyFont="1"/>
    <xf numFmtId="169" fontId="0" fillId="0" borderId="0" xfId="0" applyNumberFormat="1"/>
    <xf numFmtId="0" fontId="47" fillId="0" borderId="0" xfId="0" applyFont="1"/>
    <xf numFmtId="167" fontId="48" fillId="19" borderId="15" xfId="63" applyNumberFormat="1" applyFont="1" applyFill="1" applyBorder="1"/>
    <xf numFmtId="0" fontId="50" fillId="0" borderId="0" xfId="0" applyFont="1"/>
    <xf numFmtId="0" fontId="53" fillId="0" borderId="0" xfId="0" applyFont="1"/>
    <xf numFmtId="0" fontId="74" fillId="0" borderId="0" xfId="0" applyFont="1"/>
    <xf numFmtId="0" fontId="37" fillId="0" borderId="0" xfId="0" applyFont="1" applyAlignment="1">
      <alignment horizontal="center"/>
    </xf>
    <xf numFmtId="0" fontId="73" fillId="0" borderId="0" xfId="0" applyFont="1" applyAlignment="1">
      <alignment horizontal="left"/>
    </xf>
    <xf numFmtId="1" fontId="74" fillId="0" borderId="0" xfId="0" applyNumberFormat="1" applyFont="1" applyAlignment="1">
      <alignment horizontal="center"/>
    </xf>
    <xf numFmtId="10" fontId="74" fillId="0" borderId="0" xfId="239" applyNumberFormat="1" applyFont="1"/>
    <xf numFmtId="0" fontId="73" fillId="0" borderId="0" xfId="0" applyFont="1"/>
    <xf numFmtId="0" fontId="42" fillId="0" borderId="0" xfId="0" applyFont="1" applyAlignment="1">
      <alignment horizontal="center"/>
    </xf>
    <xf numFmtId="3" fontId="37" fillId="0" borderId="0" xfId="0" applyNumberFormat="1" applyFont="1"/>
    <xf numFmtId="6" fontId="37" fillId="0" borderId="0" xfId="0" quotePrefix="1" applyNumberFormat="1" applyFont="1" applyAlignment="1">
      <alignment horizontal="left"/>
    </xf>
    <xf numFmtId="0" fontId="37" fillId="0" borderId="0" xfId="0" applyFont="1"/>
    <xf numFmtId="1" fontId="37" fillId="0" borderId="0" xfId="0" applyNumberFormat="1" applyFont="1" applyAlignment="1">
      <alignment horizontal="center"/>
    </xf>
    <xf numFmtId="10" fontId="37" fillId="0" borderId="0" xfId="239" applyNumberFormat="1" applyFont="1"/>
    <xf numFmtId="0" fontId="37" fillId="0" borderId="0" xfId="0" quotePrefix="1" applyFont="1" applyAlignment="1">
      <alignment horizontal="left"/>
    </xf>
    <xf numFmtId="0" fontId="37" fillId="0" borderId="16" xfId="0" quotePrefix="1" applyFont="1" applyBorder="1" applyAlignment="1">
      <alignment horizontal="center"/>
    </xf>
    <xf numFmtId="1" fontId="37" fillId="0" borderId="16" xfId="0" applyNumberFormat="1" applyFont="1" applyBorder="1" applyAlignment="1">
      <alignment horizontal="center"/>
    </xf>
    <xf numFmtId="3" fontId="41" fillId="0" borderId="0" xfId="0" applyNumberFormat="1" applyFont="1"/>
    <xf numFmtId="0" fontId="77" fillId="0" borderId="0" xfId="0" quotePrefix="1" applyFont="1" applyAlignment="1">
      <alignment horizontal="right"/>
    </xf>
    <xf numFmtId="0" fontId="42" fillId="0" borderId="0" xfId="0" quotePrefix="1" applyFont="1" applyAlignment="1">
      <alignment horizontal="right"/>
    </xf>
    <xf numFmtId="3" fontId="37" fillId="0" borderId="16" xfId="0" applyNumberFormat="1" applyFont="1" applyBorder="1"/>
    <xf numFmtId="6" fontId="37" fillId="0" borderId="0" xfId="0" applyNumberFormat="1" applyFont="1"/>
    <xf numFmtId="173" fontId="37" fillId="0" borderId="0" xfId="0" applyNumberFormat="1" applyFont="1"/>
    <xf numFmtId="1" fontId="42" fillId="0" borderId="0" xfId="0" applyNumberFormat="1" applyFont="1" applyAlignment="1">
      <alignment horizontal="center"/>
    </xf>
    <xf numFmtId="10" fontId="37" fillId="0" borderId="0" xfId="0" applyNumberFormat="1" applyFont="1"/>
    <xf numFmtId="0" fontId="74" fillId="0" borderId="16" xfId="0" applyFont="1" applyBorder="1"/>
    <xf numFmtId="42" fontId="37" fillId="0" borderId="0" xfId="0" applyNumberFormat="1" applyFont="1"/>
    <xf numFmtId="37" fontId="37" fillId="0" borderId="0" xfId="0" applyNumberFormat="1" applyFont="1"/>
    <xf numFmtId="37" fontId="41" fillId="0" borderId="16" xfId="0" applyNumberFormat="1" applyFont="1" applyBorder="1"/>
    <xf numFmtId="0" fontId="34" fillId="0" borderId="16" xfId="0" applyFont="1" applyBorder="1" applyAlignment="1">
      <alignment horizontal="left"/>
    </xf>
    <xf numFmtId="37" fontId="41" fillId="0" borderId="0" xfId="0" applyNumberFormat="1" applyFont="1"/>
    <xf numFmtId="1" fontId="78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1" fontId="41" fillId="0" borderId="0" xfId="239" applyNumberFormat="1" applyFont="1" applyAlignment="1">
      <alignment horizontal="center"/>
    </xf>
    <xf numFmtId="167" fontId="0" fillId="0" borderId="0" xfId="0" applyNumberFormat="1"/>
    <xf numFmtId="0" fontId="49" fillId="0" borderId="0" xfId="0" applyFont="1"/>
    <xf numFmtId="1" fontId="78" fillId="0" borderId="16" xfId="0" applyNumberFormat="1" applyFont="1" applyBorder="1" applyAlignment="1">
      <alignment horizontal="center"/>
    </xf>
    <xf numFmtId="167" fontId="31" fillId="0" borderId="0" xfId="63" applyNumberFormat="1" applyFont="1"/>
    <xf numFmtId="167" fontId="43" fillId="0" borderId="0" xfId="63" applyNumberFormat="1" applyFont="1"/>
    <xf numFmtId="167" fontId="53" fillId="0" borderId="0" xfId="63" applyNumberFormat="1" applyFont="1"/>
    <xf numFmtId="167" fontId="43" fillId="0" borderId="14" xfId="63" applyNumberFormat="1" applyFont="1" applyBorder="1"/>
    <xf numFmtId="167" fontId="43" fillId="0" borderId="16" xfId="63" applyNumberFormat="1" applyFont="1" applyBorder="1"/>
    <xf numFmtId="167" fontId="0" fillId="0" borderId="0" xfId="63" applyNumberFormat="1" applyFont="1" applyAlignment="1">
      <alignment horizontal="centerContinuous"/>
    </xf>
    <xf numFmtId="167" fontId="5" fillId="0" borderId="17" xfId="63" applyNumberFormat="1" applyFont="1" applyBorder="1"/>
    <xf numFmtId="37" fontId="5" fillId="0" borderId="0" xfId="0" applyNumberFormat="1" applyFont="1" applyAlignment="1">
      <alignment horizontal="center"/>
    </xf>
    <xf numFmtId="37" fontId="10" fillId="0" borderId="0" xfId="0" applyNumberFormat="1" applyFont="1"/>
    <xf numFmtId="5" fontId="24" fillId="0" borderId="0" xfId="0" applyNumberFormat="1" applyFont="1"/>
    <xf numFmtId="37" fontId="5" fillId="0" borderId="0" xfId="0" applyNumberFormat="1" applyFont="1" applyAlignment="1">
      <alignment horizontal="right"/>
    </xf>
    <xf numFmtId="167" fontId="30" fillId="0" borderId="0" xfId="68" applyNumberFormat="1"/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36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17" xfId="0" applyFont="1" applyBorder="1"/>
    <xf numFmtId="37" fontId="10" fillId="0" borderId="17" xfId="0" applyNumberFormat="1" applyFont="1" applyBorder="1"/>
    <xf numFmtId="164" fontId="10" fillId="0" borderId="17" xfId="0" applyNumberFormat="1" applyFont="1" applyBorder="1"/>
    <xf numFmtId="164" fontId="10" fillId="0" borderId="0" xfId="0" applyNumberFormat="1" applyFont="1"/>
    <xf numFmtId="164" fontId="5" fillId="0" borderId="0" xfId="0" applyNumberFormat="1" applyFont="1"/>
    <xf numFmtId="0" fontId="10" fillId="0" borderId="18" xfId="0" applyFont="1" applyBorder="1"/>
    <xf numFmtId="0" fontId="5" fillId="0" borderId="18" xfId="0" applyFont="1" applyBorder="1"/>
    <xf numFmtId="0" fontId="12" fillId="0" borderId="0" xfId="0" applyFont="1"/>
    <xf numFmtId="0" fontId="10" fillId="0" borderId="17" xfId="0" applyFont="1" applyBorder="1" applyAlignment="1">
      <alignment horizontal="center"/>
    </xf>
    <xf numFmtId="0" fontId="10" fillId="0" borderId="19" xfId="0" applyFont="1" applyBorder="1"/>
    <xf numFmtId="0" fontId="10" fillId="0" borderId="20" xfId="0" applyFont="1" applyBorder="1"/>
    <xf numFmtId="0" fontId="10" fillId="0" borderId="21" xfId="0" applyFont="1" applyBorder="1"/>
    <xf numFmtId="0" fontId="10" fillId="0" borderId="22" xfId="0" applyFont="1" applyBorder="1"/>
    <xf numFmtId="0" fontId="10" fillId="0" borderId="23" xfId="0" applyFont="1" applyBorder="1"/>
    <xf numFmtId="0" fontId="5" fillId="0" borderId="20" xfId="0" applyFont="1" applyBorder="1"/>
    <xf numFmtId="0" fontId="10" fillId="0" borderId="21" xfId="0" applyFont="1" applyBorder="1" applyAlignment="1">
      <alignment horizontal="center"/>
    </xf>
    <xf numFmtId="0" fontId="10" fillId="0" borderId="24" xfId="0" applyFont="1" applyBorder="1"/>
    <xf numFmtId="0" fontId="10" fillId="0" borderId="25" xfId="0" applyFont="1" applyBorder="1"/>
    <xf numFmtId="0" fontId="10" fillId="0" borderId="0" xfId="0" applyFont="1" applyAlignment="1">
      <alignment horizontal="right"/>
    </xf>
    <xf numFmtId="169" fontId="11" fillId="0" borderId="0" xfId="0" applyNumberFormat="1" applyFont="1" applyAlignment="1">
      <alignment horizontal="centerContinuous"/>
    </xf>
    <xf numFmtId="0" fontId="5" fillId="0" borderId="0" xfId="0" applyFont="1" applyAlignment="1">
      <alignment horizontal="left"/>
    </xf>
    <xf numFmtId="0" fontId="5" fillId="0" borderId="17" xfId="0" applyFont="1" applyBorder="1" applyAlignment="1">
      <alignment horizontal="center"/>
    </xf>
    <xf numFmtId="0" fontId="8" fillId="0" borderId="0" xfId="0" applyFont="1"/>
    <xf numFmtId="167" fontId="7" fillId="0" borderId="0" xfId="63" applyNumberFormat="1" applyFont="1"/>
    <xf numFmtId="167" fontId="13" fillId="0" borderId="0" xfId="63" applyNumberFormat="1" applyFont="1"/>
    <xf numFmtId="167" fontId="5" fillId="0" borderId="16" xfId="63" applyNumberFormat="1" applyFont="1" applyBorder="1"/>
    <xf numFmtId="167" fontId="5" fillId="0" borderId="18" xfId="63" applyNumberFormat="1" applyFont="1" applyBorder="1"/>
    <xf numFmtId="37" fontId="14" fillId="0" borderId="0" xfId="0" applyNumberFormat="1" applyFont="1" applyAlignment="1">
      <alignment horizontal="centerContinuous"/>
    </xf>
    <xf numFmtId="37" fontId="15" fillId="0" borderId="0" xfId="0" applyNumberFormat="1" applyFont="1" applyAlignment="1">
      <alignment horizontal="centerContinuous"/>
    </xf>
    <xf numFmtId="37" fontId="5" fillId="0" borderId="0" xfId="0" applyNumberFormat="1" applyFont="1" applyAlignment="1">
      <alignment horizontal="centerContinuous"/>
    </xf>
    <xf numFmtId="0" fontId="14" fillId="0" borderId="0" xfId="0" applyFont="1" applyAlignment="1">
      <alignment horizontal="centerContinuous"/>
    </xf>
    <xf numFmtId="37" fontId="15" fillId="0" borderId="0" xfId="0" applyNumberFormat="1" applyFont="1" applyAlignment="1">
      <alignment horizontal="left"/>
    </xf>
    <xf numFmtId="169" fontId="14" fillId="0" borderId="0" xfId="0" applyNumberFormat="1" applyFont="1" applyAlignment="1">
      <alignment horizontal="centerContinuous"/>
    </xf>
    <xf numFmtId="37" fontId="5" fillId="0" borderId="17" xfId="0" applyNumberFormat="1" applyFont="1" applyBorder="1" applyAlignment="1">
      <alignment horizontal="center"/>
    </xf>
    <xf numFmtId="0" fontId="6" fillId="0" borderId="0" xfId="0" applyFont="1"/>
    <xf numFmtId="168" fontId="5" fillId="0" borderId="0" xfId="63" applyNumberFormat="1" applyFont="1"/>
    <xf numFmtId="167" fontId="19" fillId="0" borderId="0" xfId="63" applyNumberFormat="1" applyFont="1"/>
    <xf numFmtId="167" fontId="19" fillId="0" borderId="16" xfId="63" applyNumberFormat="1" applyFont="1" applyBorder="1"/>
    <xf numFmtId="167" fontId="6" fillId="0" borderId="18" xfId="63" applyNumberFormat="1" applyFont="1" applyBorder="1" applyProtection="1">
      <protection locked="0"/>
    </xf>
    <xf numFmtId="37" fontId="5" fillId="0" borderId="0" xfId="0" applyNumberFormat="1" applyFont="1" applyAlignment="1">
      <alignment horizontal="left"/>
    </xf>
    <xf numFmtId="0" fontId="16" fillId="0" borderId="0" xfId="0" applyFont="1"/>
    <xf numFmtId="37" fontId="16" fillId="0" borderId="0" xfId="0" applyNumberFormat="1" applyFont="1"/>
    <xf numFmtId="37" fontId="16" fillId="0" borderId="17" xfId="0" applyNumberFormat="1" applyFont="1" applyBorder="1" applyAlignment="1">
      <alignment horizontal="centerContinuous"/>
    </xf>
    <xf numFmtId="37" fontId="16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37" fontId="16" fillId="0" borderId="17" xfId="0" applyNumberFormat="1" applyFont="1" applyBorder="1" applyAlignment="1">
      <alignment horizontal="center"/>
    </xf>
    <xf numFmtId="167" fontId="16" fillId="0" borderId="0" xfId="63" applyNumberFormat="1" applyFont="1"/>
    <xf numFmtId="164" fontId="16" fillId="0" borderId="0" xfId="0" applyNumberFormat="1" applyFont="1"/>
    <xf numFmtId="164" fontId="20" fillId="0" borderId="0" xfId="0" applyNumberFormat="1" applyFont="1"/>
    <xf numFmtId="167" fontId="16" fillId="0" borderId="17" xfId="63" applyNumberFormat="1" applyFont="1" applyBorder="1"/>
    <xf numFmtId="164" fontId="16" fillId="0" borderId="17" xfId="0" applyNumberFormat="1" applyFont="1" applyBorder="1"/>
    <xf numFmtId="37" fontId="16" fillId="0" borderId="18" xfId="0" applyNumberFormat="1" applyFont="1" applyBorder="1"/>
    <xf numFmtId="164" fontId="16" fillId="0" borderId="18" xfId="0" applyNumberFormat="1" applyFont="1" applyBorder="1"/>
    <xf numFmtId="37" fontId="11" fillId="0" borderId="0" xfId="0" applyNumberFormat="1" applyFont="1" applyAlignment="1">
      <alignment horizontal="centerContinuous"/>
    </xf>
    <xf numFmtId="37" fontId="10" fillId="0" borderId="0" xfId="0" applyNumberFormat="1" applyFont="1" applyAlignment="1">
      <alignment horizontal="centerContinuous"/>
    </xf>
    <xf numFmtId="37" fontId="10" fillId="0" borderId="0" xfId="0" applyNumberFormat="1" applyFont="1" applyAlignment="1">
      <alignment horizontal="left"/>
    </xf>
    <xf numFmtId="37" fontId="15" fillId="0" borderId="0" xfId="0" applyNumberFormat="1" applyFont="1"/>
    <xf numFmtId="179" fontId="5" fillId="0" borderId="0" xfId="63" applyNumberFormat="1" applyFont="1"/>
    <xf numFmtId="39" fontId="10" fillId="0" borderId="0" xfId="0" applyNumberFormat="1" applyFont="1"/>
    <xf numFmtId="39" fontId="22" fillId="0" borderId="0" xfId="0" applyNumberFormat="1" applyFont="1"/>
    <xf numFmtId="39" fontId="10" fillId="0" borderId="26" xfId="0" applyNumberFormat="1" applyFont="1" applyBorder="1"/>
    <xf numFmtId="39" fontId="10" fillId="0" borderId="17" xfId="0" applyNumberFormat="1" applyFont="1" applyBorder="1"/>
    <xf numFmtId="39" fontId="10" fillId="0" borderId="18" xfId="0" applyNumberFormat="1" applyFont="1" applyBorder="1"/>
    <xf numFmtId="37" fontId="17" fillId="0" borderId="0" xfId="0" applyNumberFormat="1" applyFont="1"/>
    <xf numFmtId="167" fontId="97" fillId="0" borderId="0" xfId="63" applyNumberFormat="1" applyFont="1" applyAlignment="1">
      <alignment horizontal="center"/>
    </xf>
    <xf numFmtId="169" fontId="5" fillId="0" borderId="0" xfId="0" applyNumberFormat="1" applyFont="1" applyProtection="1">
      <protection locked="0"/>
    </xf>
    <xf numFmtId="37" fontId="8" fillId="0" borderId="0" xfId="0" applyNumberFormat="1" applyFont="1" applyAlignment="1">
      <alignment horizontal="center"/>
    </xf>
    <xf numFmtId="167" fontId="5" fillId="0" borderId="0" xfId="0" applyNumberFormat="1" applyFont="1"/>
    <xf numFmtId="169" fontId="25" fillId="0" borderId="0" xfId="0" applyNumberFormat="1" applyFont="1" applyAlignment="1">
      <alignment horizontal="center"/>
    </xf>
    <xf numFmtId="17" fontId="25" fillId="0" borderId="0" xfId="0" applyNumberFormat="1" applyFont="1" applyAlignment="1">
      <alignment horizontal="center"/>
    </xf>
    <xf numFmtId="17" fontId="26" fillId="0" borderId="0" xfId="0" applyNumberFormat="1" applyFont="1" applyAlignment="1">
      <alignment horizontal="center"/>
    </xf>
    <xf numFmtId="37" fontId="24" fillId="0" borderId="0" xfId="0" applyNumberFormat="1" applyFont="1" applyAlignment="1">
      <alignment horizontal="right"/>
    </xf>
    <xf numFmtId="43" fontId="5" fillId="0" borderId="0" xfId="63" applyFont="1"/>
    <xf numFmtId="167" fontId="19" fillId="0" borderId="0" xfId="63" applyNumberFormat="1" applyFont="1" applyProtection="1">
      <protection locked="0"/>
    </xf>
    <xf numFmtId="164" fontId="38" fillId="0" borderId="0" xfId="0" applyNumberFormat="1" applyFont="1"/>
    <xf numFmtId="0" fontId="0" fillId="0" borderId="27" xfId="0" applyBorder="1"/>
    <xf numFmtId="43" fontId="0" fillId="0" borderId="0" xfId="63" applyFont="1" applyAlignment="1">
      <alignment horizontal="left"/>
    </xf>
    <xf numFmtId="43" fontId="0" fillId="0" borderId="0" xfId="63" applyFont="1"/>
    <xf numFmtId="43" fontId="25" fillId="0" borderId="0" xfId="63" applyFont="1" applyAlignment="1">
      <alignment horizontal="center"/>
    </xf>
    <xf numFmtId="0" fontId="99" fillId="0" borderId="0" xfId="0" applyFont="1"/>
    <xf numFmtId="10" fontId="5" fillId="0" borderId="0" xfId="229" applyNumberFormat="1" applyFont="1"/>
    <xf numFmtId="167" fontId="4" fillId="0" borderId="0" xfId="63" applyNumberFormat="1"/>
    <xf numFmtId="169" fontId="100" fillId="0" borderId="0" xfId="0" applyNumberFormat="1" applyFont="1" applyAlignment="1">
      <alignment horizontal="left"/>
    </xf>
    <xf numFmtId="167" fontId="97" fillId="0" borderId="0" xfId="68" applyNumberFormat="1" applyFont="1"/>
    <xf numFmtId="167" fontId="30" fillId="0" borderId="14" xfId="68" applyNumberFormat="1" applyBorder="1"/>
    <xf numFmtId="164" fontId="10" fillId="20" borderId="17" xfId="0" applyNumberFormat="1" applyFont="1" applyFill="1" applyBorder="1"/>
    <xf numFmtId="0" fontId="49" fillId="0" borderId="0" xfId="0" applyFont="1" applyAlignment="1">
      <alignment horizontal="center"/>
    </xf>
    <xf numFmtId="178" fontId="102" fillId="0" borderId="0" xfId="99" applyNumberFormat="1" applyFont="1"/>
    <xf numFmtId="14" fontId="76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177" fontId="33" fillId="0" borderId="16" xfId="0" applyNumberFormat="1" applyFont="1" applyBorder="1" applyAlignment="1">
      <alignment horizontal="center"/>
    </xf>
    <xf numFmtId="0" fontId="103" fillId="0" borderId="0" xfId="0" applyFont="1" applyAlignment="1">
      <alignment horizontal="left"/>
    </xf>
    <xf numFmtId="10" fontId="104" fillId="0" borderId="0" xfId="0" applyNumberFormat="1" applyFont="1"/>
    <xf numFmtId="37" fontId="49" fillId="0" borderId="0" xfId="0" applyNumberFormat="1" applyFont="1"/>
    <xf numFmtId="37" fontId="49" fillId="0" borderId="16" xfId="0" applyNumberFormat="1" applyFont="1" applyBorder="1"/>
    <xf numFmtId="37" fontId="49" fillId="0" borderId="0" xfId="0" applyNumberFormat="1" applyFont="1" applyAlignment="1">
      <alignment horizontal="right"/>
    </xf>
    <xf numFmtId="10" fontId="107" fillId="0" borderId="0" xfId="0" applyNumberFormat="1" applyFont="1"/>
    <xf numFmtId="37" fontId="108" fillId="0" borderId="0" xfId="0" applyNumberFormat="1" applyFont="1"/>
    <xf numFmtId="10" fontId="107" fillId="0" borderId="17" xfId="0" applyNumberFormat="1" applyFont="1" applyBorder="1"/>
    <xf numFmtId="10" fontId="108" fillId="0" borderId="18" xfId="0" applyNumberFormat="1" applyFont="1" applyBorder="1"/>
    <xf numFmtId="0" fontId="5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167" fontId="109" fillId="0" borderId="0" xfId="63" applyNumberFormat="1" applyFont="1"/>
    <xf numFmtId="0" fontId="49" fillId="0" borderId="0" xfId="0" applyFont="1" applyAlignment="1">
      <alignment horizontal="left" indent="1"/>
    </xf>
    <xf numFmtId="0" fontId="0" fillId="21" borderId="0" xfId="0" applyFill="1"/>
    <xf numFmtId="167" fontId="6" fillId="21" borderId="0" xfId="63" applyNumberFormat="1" applyFont="1" applyFill="1"/>
    <xf numFmtId="167" fontId="109" fillId="21" borderId="0" xfId="63" applyNumberFormat="1" applyFont="1" applyFill="1"/>
    <xf numFmtId="167" fontId="109" fillId="0" borderId="17" xfId="63" applyNumberFormat="1" applyFont="1" applyBorder="1"/>
    <xf numFmtId="170" fontId="102" fillId="0" borderId="0" xfId="0" applyNumberFormat="1" applyFont="1"/>
    <xf numFmtId="0" fontId="24" fillId="0" borderId="0" xfId="0" applyFont="1" applyAlignment="1">
      <alignment horizontal="left"/>
    </xf>
    <xf numFmtId="0" fontId="97" fillId="0" borderId="0" xfId="0" applyFont="1"/>
    <xf numFmtId="0" fontId="0" fillId="0" borderId="0" xfId="0" applyAlignment="1">
      <alignment horizontal="center"/>
    </xf>
    <xf numFmtId="10" fontId="92" fillId="0" borderId="0" xfId="232" applyNumberFormat="1" applyFont="1"/>
    <xf numFmtId="170" fontId="99" fillId="0" borderId="0" xfId="0" applyNumberFormat="1" applyFont="1"/>
    <xf numFmtId="10" fontId="0" fillId="0" borderId="0" xfId="229" applyNumberFormat="1" applyFont="1"/>
    <xf numFmtId="0" fontId="113" fillId="0" borderId="0" xfId="0" applyFont="1"/>
    <xf numFmtId="0" fontId="115" fillId="0" borderId="0" xfId="0" applyFont="1"/>
    <xf numFmtId="0" fontId="106" fillId="0" borderId="0" xfId="0" applyFont="1" applyAlignment="1">
      <alignment horizontal="right"/>
    </xf>
    <xf numFmtId="0" fontId="0" fillId="26" borderId="0" xfId="0" applyFill="1"/>
    <xf numFmtId="184" fontId="5" fillId="0" borderId="0" xfId="63" applyNumberFormat="1" applyFont="1"/>
    <xf numFmtId="0" fontId="0" fillId="0" borderId="32" xfId="0" applyBorder="1"/>
    <xf numFmtId="0" fontId="18" fillId="0" borderId="3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27" xfId="0" applyFont="1" applyBorder="1" applyAlignment="1">
      <alignment horizontal="center"/>
    </xf>
    <xf numFmtId="37" fontId="31" fillId="0" borderId="0" xfId="0" applyNumberFormat="1" applyFont="1" applyProtection="1">
      <protection locked="0"/>
    </xf>
    <xf numFmtId="10" fontId="31" fillId="0" borderId="0" xfId="0" applyNumberFormat="1" applyFont="1" applyProtection="1">
      <protection locked="0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167" fontId="24" fillId="0" borderId="0" xfId="68" applyNumberFormat="1" applyFont="1"/>
    <xf numFmtId="167" fontId="24" fillId="0" borderId="16" xfId="68" applyNumberFormat="1" applyFont="1" applyBorder="1"/>
    <xf numFmtId="167" fontId="24" fillId="0" borderId="0" xfId="68" applyNumberFormat="1" applyFont="1" applyAlignment="1">
      <alignment horizontal="fill"/>
    </xf>
    <xf numFmtId="167" fontId="24" fillId="0" borderId="14" xfId="68" applyNumberFormat="1" applyFont="1" applyBorder="1"/>
    <xf numFmtId="37" fontId="24" fillId="0" borderId="0" xfId="0" applyNumberFormat="1" applyFont="1" applyAlignment="1">
      <alignment horizontal="center"/>
    </xf>
    <xf numFmtId="167" fontId="5" fillId="0" borderId="0" xfId="68" applyNumberFormat="1" applyFont="1"/>
    <xf numFmtId="167" fontId="5" fillId="0" borderId="13" xfId="68" applyNumberFormat="1" applyFont="1" applyBorder="1" applyAlignment="1">
      <alignment horizontal="right"/>
    </xf>
    <xf numFmtId="167" fontId="5" fillId="0" borderId="14" xfId="68" applyNumberFormat="1" applyFont="1" applyBorder="1"/>
    <xf numFmtId="167" fontId="5" fillId="0" borderId="0" xfId="68" applyNumberFormat="1" applyFont="1" applyAlignment="1">
      <alignment horizontal="right"/>
    </xf>
    <xf numFmtId="37" fontId="5" fillId="0" borderId="32" xfId="0" applyNumberFormat="1" applyFont="1" applyBorder="1"/>
    <xf numFmtId="37" fontId="5" fillId="0" borderId="27" xfId="0" applyNumberFormat="1" applyFont="1" applyBorder="1"/>
    <xf numFmtId="37" fontId="40" fillId="0" borderId="32" xfId="0" applyNumberFormat="1" applyFont="1" applyBorder="1"/>
    <xf numFmtId="37" fontId="5" fillId="0" borderId="35" xfId="0" applyNumberFormat="1" applyFont="1" applyBorder="1"/>
    <xf numFmtId="37" fontId="5" fillId="0" borderId="36" xfId="0" applyNumberFormat="1" applyFont="1" applyBorder="1"/>
    <xf numFmtId="37" fontId="5" fillId="0" borderId="37" xfId="0" applyNumberFormat="1" applyFont="1" applyBorder="1"/>
    <xf numFmtId="37" fontId="109" fillId="0" borderId="40" xfId="0" applyNumberFormat="1" applyFont="1" applyBorder="1"/>
    <xf numFmtId="37" fontId="109" fillId="0" borderId="41" xfId="0" applyNumberFormat="1" applyFont="1" applyBorder="1"/>
    <xf numFmtId="37" fontId="109" fillId="0" borderId="42" xfId="0" applyNumberFormat="1" applyFont="1" applyBorder="1"/>
    <xf numFmtId="37" fontId="109" fillId="0" borderId="35" xfId="0" applyNumberFormat="1" applyFont="1" applyBorder="1"/>
    <xf numFmtId="37" fontId="109" fillId="0" borderId="36" xfId="0" applyNumberFormat="1" applyFont="1" applyBorder="1"/>
    <xf numFmtId="0" fontId="97" fillId="0" borderId="37" xfId="0" applyFont="1" applyBorder="1"/>
    <xf numFmtId="167" fontId="52" fillId="0" borderId="0" xfId="63" applyNumberFormat="1" applyFont="1"/>
    <xf numFmtId="167" fontId="5" fillId="0" borderId="16" xfId="63" applyNumberFormat="1" applyFont="1" applyBorder="1" applyAlignment="1">
      <alignment horizontal="right"/>
    </xf>
    <xf numFmtId="37" fontId="45" fillId="0" borderId="0" xfId="0" applyNumberFormat="1" applyFont="1"/>
    <xf numFmtId="0" fontId="97" fillId="21" borderId="0" xfId="0" applyFont="1" applyFill="1"/>
    <xf numFmtId="167" fontId="43" fillId="25" borderId="0" xfId="63" applyNumberFormat="1" applyFont="1" applyFill="1"/>
    <xf numFmtId="167" fontId="4" fillId="25" borderId="0" xfId="63" applyNumberFormat="1" applyFill="1"/>
    <xf numFmtId="167" fontId="43" fillId="25" borderId="30" xfId="63" applyNumberFormat="1" applyFont="1" applyFill="1" applyBorder="1"/>
    <xf numFmtId="43" fontId="43" fillId="25" borderId="30" xfId="63" applyFont="1" applyFill="1" applyBorder="1"/>
    <xf numFmtId="43" fontId="4" fillId="25" borderId="0" xfId="63" applyFill="1"/>
    <xf numFmtId="167" fontId="43" fillId="25" borderId="29" xfId="63" applyNumberFormat="1" applyFont="1" applyFill="1" applyBorder="1"/>
    <xf numFmtId="177" fontId="104" fillId="0" borderId="0" xfId="0" quotePrefix="1" applyNumberFormat="1" applyFont="1" applyAlignment="1">
      <alignment horizontal="center"/>
    </xf>
    <xf numFmtId="182" fontId="5" fillId="0" borderId="0" xfId="0" applyNumberFormat="1" applyFont="1"/>
    <xf numFmtId="180" fontId="5" fillId="0" borderId="0" xfId="229" applyNumberFormat="1" applyFont="1"/>
    <xf numFmtId="167" fontId="25" fillId="21" borderId="0" xfId="68" applyNumberFormat="1" applyFont="1" applyFill="1"/>
    <xf numFmtId="0" fontId="111" fillId="21" borderId="0" xfId="0" applyFont="1" applyFill="1" applyAlignment="1">
      <alignment horizontal="center"/>
    </xf>
    <xf numFmtId="167" fontId="25" fillId="21" borderId="16" xfId="68" applyNumberFormat="1" applyFont="1" applyFill="1" applyBorder="1"/>
    <xf numFmtId="167" fontId="25" fillId="21" borderId="30" xfId="68" applyNumberFormat="1" applyFont="1" applyFill="1" applyBorder="1"/>
    <xf numFmtId="17" fontId="26" fillId="27" borderId="0" xfId="0" applyNumberFormat="1" applyFont="1" applyFill="1" applyAlignment="1">
      <alignment horizontal="center"/>
    </xf>
    <xf numFmtId="0" fontId="24" fillId="27" borderId="0" xfId="0" applyFont="1" applyFill="1" applyAlignment="1">
      <alignment horizontal="center"/>
    </xf>
    <xf numFmtId="172" fontId="39" fillId="27" borderId="0" xfId="68" applyNumberFormat="1" applyFont="1" applyFill="1"/>
    <xf numFmtId="0" fontId="24" fillId="27" borderId="0" xfId="0" applyFont="1" applyFill="1"/>
    <xf numFmtId="5" fontId="117" fillId="27" borderId="0" xfId="0" applyNumberFormat="1" applyFont="1" applyFill="1"/>
    <xf numFmtId="167" fontId="117" fillId="27" borderId="0" xfId="68" applyNumberFormat="1" applyFont="1" applyFill="1"/>
    <xf numFmtId="167" fontId="117" fillId="27" borderId="16" xfId="68" applyNumberFormat="1" applyFont="1" applyFill="1" applyBorder="1"/>
    <xf numFmtId="167" fontId="117" fillId="27" borderId="0" xfId="68" applyNumberFormat="1" applyFont="1" applyFill="1" applyAlignment="1">
      <alignment horizontal="fill"/>
    </xf>
    <xf numFmtId="167" fontId="117" fillId="27" borderId="14" xfId="68" applyNumberFormat="1" applyFont="1" applyFill="1" applyBorder="1"/>
    <xf numFmtId="37" fontId="24" fillId="27" borderId="0" xfId="0" applyNumberFormat="1" applyFont="1" applyFill="1" applyAlignment="1">
      <alignment horizontal="right"/>
    </xf>
    <xf numFmtId="37" fontId="24" fillId="27" borderId="0" xfId="0" applyNumberFormat="1" applyFont="1" applyFill="1"/>
    <xf numFmtId="17" fontId="25" fillId="27" borderId="0" xfId="0" applyNumberFormat="1" applyFont="1" applyFill="1" applyAlignment="1">
      <alignment horizontal="center"/>
    </xf>
    <xf numFmtId="37" fontId="24" fillId="27" borderId="0" xfId="0" applyNumberFormat="1" applyFont="1" applyFill="1" applyAlignment="1">
      <alignment horizontal="center"/>
    </xf>
    <xf numFmtId="37" fontId="15" fillId="27" borderId="0" xfId="0" applyNumberFormat="1" applyFont="1" applyFill="1"/>
    <xf numFmtId="0" fontId="114" fillId="20" borderId="0" xfId="0" applyFont="1" applyFill="1" applyAlignment="1">
      <alignment horizontal="center"/>
    </xf>
    <xf numFmtId="167" fontId="5" fillId="27" borderId="0" xfId="68" applyNumberFormat="1" applyFont="1" applyFill="1"/>
    <xf numFmtId="167" fontId="5" fillId="27" borderId="13" xfId="68" applyNumberFormat="1" applyFont="1" applyFill="1" applyBorder="1" applyAlignment="1">
      <alignment horizontal="right"/>
    </xf>
    <xf numFmtId="167" fontId="5" fillId="27" borderId="14" xfId="68" applyNumberFormat="1" applyFont="1" applyFill="1" applyBorder="1"/>
    <xf numFmtId="0" fontId="5" fillId="27" borderId="0" xfId="0" applyFont="1" applyFill="1" applyAlignment="1">
      <alignment horizontal="center"/>
    </xf>
    <xf numFmtId="0" fontId="8" fillId="27" borderId="0" xfId="0" applyFont="1" applyFill="1" applyAlignment="1">
      <alignment horizontal="center"/>
    </xf>
    <xf numFmtId="37" fontId="5" fillId="27" borderId="0" xfId="0" applyNumberFormat="1" applyFont="1" applyFill="1"/>
    <xf numFmtId="37" fontId="0" fillId="27" borderId="0" xfId="0" applyNumberFormat="1" applyFill="1"/>
    <xf numFmtId="167" fontId="25" fillId="20" borderId="0" xfId="63" applyNumberFormat="1" applyFont="1" applyFill="1"/>
    <xf numFmtId="167" fontId="25" fillId="26" borderId="0" xfId="68" applyNumberFormat="1" applyFont="1" applyFill="1"/>
    <xf numFmtId="167" fontId="10" fillId="0" borderId="0" xfId="63" applyNumberFormat="1" applyFont="1"/>
    <xf numFmtId="43" fontId="16" fillId="0" borderId="0" xfId="63" applyFont="1"/>
    <xf numFmtId="0" fontId="25" fillId="26" borderId="0" xfId="0" applyFont="1" applyFill="1" applyAlignment="1">
      <alignment horizontal="center"/>
    </xf>
    <xf numFmtId="4" fontId="25" fillId="20" borderId="0" xfId="0" applyNumberFormat="1" applyFont="1" applyFill="1" applyAlignment="1">
      <alignment horizontal="center"/>
    </xf>
    <xf numFmtId="167" fontId="25" fillId="26" borderId="16" xfId="68" applyNumberFormat="1" applyFont="1" applyFill="1" applyBorder="1"/>
    <xf numFmtId="167" fontId="25" fillId="0" borderId="0" xfId="63" applyNumberFormat="1" applyFont="1"/>
    <xf numFmtId="167" fontId="25" fillId="20" borderId="16" xfId="63" applyNumberFormat="1" applyFont="1" applyFill="1" applyBorder="1"/>
    <xf numFmtId="10" fontId="92" fillId="24" borderId="0" xfId="232" applyNumberFormat="1" applyFont="1" applyFill="1"/>
    <xf numFmtId="43" fontId="25" fillId="0" borderId="0" xfId="63" applyFont="1" applyAlignment="1">
      <alignment horizontal="left"/>
    </xf>
    <xf numFmtId="177" fontId="104" fillId="0" borderId="0" xfId="0" applyNumberFormat="1" applyFont="1" applyAlignment="1">
      <alignment horizontal="center"/>
    </xf>
    <xf numFmtId="10" fontId="49" fillId="0" borderId="0" xfId="0" applyNumberFormat="1" applyFont="1"/>
    <xf numFmtId="10" fontId="49" fillId="0" borderId="16" xfId="0" applyNumberFormat="1" applyFont="1" applyBorder="1"/>
    <xf numFmtId="0" fontId="49" fillId="0" borderId="0" xfId="0" quotePrefix="1" applyFont="1" applyAlignment="1">
      <alignment horizontal="left"/>
    </xf>
    <xf numFmtId="0" fontId="49" fillId="0" borderId="16" xfId="0" quotePrefix="1" applyFont="1" applyBorder="1" applyAlignment="1">
      <alignment horizontal="left"/>
    </xf>
    <xf numFmtId="37" fontId="49" fillId="0" borderId="0" xfId="0" quotePrefix="1" applyNumberFormat="1" applyFont="1" applyAlignment="1">
      <alignment horizontal="left"/>
    </xf>
    <xf numFmtId="3" fontId="49" fillId="0" borderId="0" xfId="0" applyNumberFormat="1" applyFont="1"/>
    <xf numFmtId="49" fontId="34" fillId="27" borderId="0" xfId="0" applyNumberFormat="1" applyFont="1" applyFill="1" applyAlignment="1">
      <alignment horizontal="left"/>
    </xf>
    <xf numFmtId="0" fontId="0" fillId="27" borderId="0" xfId="0" applyFill="1"/>
    <xf numFmtId="43" fontId="93" fillId="27" borderId="0" xfId="63" applyFont="1" applyFill="1"/>
    <xf numFmtId="43" fontId="0" fillId="27" borderId="0" xfId="0" applyNumberFormat="1" applyFill="1"/>
    <xf numFmtId="49" fontId="0" fillId="27" borderId="0" xfId="0" applyNumberFormat="1" applyFill="1"/>
    <xf numFmtId="43" fontId="119" fillId="27" borderId="0" xfId="63" quotePrefix="1" applyFont="1" applyFill="1" applyAlignment="1">
      <alignment horizontal="center"/>
    </xf>
    <xf numFmtId="0" fontId="31" fillId="27" borderId="0" xfId="0" quotePrefix="1" applyFont="1" applyFill="1"/>
    <xf numFmtId="43" fontId="43" fillId="27" borderId="0" xfId="63" applyFont="1" applyFill="1"/>
    <xf numFmtId="0" fontId="97" fillId="27" borderId="0" xfId="0" applyFont="1" applyFill="1"/>
    <xf numFmtId="0" fontId="44" fillId="27" borderId="0" xfId="0" applyFont="1" applyFill="1"/>
    <xf numFmtId="167" fontId="106" fillId="0" borderId="0" xfId="63" applyNumberFormat="1" applyFont="1" applyAlignment="1">
      <alignment horizontal="center"/>
    </xf>
    <xf numFmtId="37" fontId="120" fillId="0" borderId="16" xfId="0" applyNumberFormat="1" applyFont="1" applyBorder="1"/>
    <xf numFmtId="1" fontId="49" fillId="0" borderId="0" xfId="0" applyNumberFormat="1" applyFont="1" applyAlignment="1">
      <alignment horizontal="center"/>
    </xf>
    <xf numFmtId="16" fontId="5" fillId="0" borderId="0" xfId="0" applyNumberFormat="1" applyFont="1"/>
    <xf numFmtId="43" fontId="25" fillId="21" borderId="0" xfId="68" applyFont="1" applyFill="1"/>
    <xf numFmtId="43" fontId="121" fillId="0" borderId="0" xfId="63" applyFont="1" applyAlignment="1">
      <alignment horizontal="center"/>
    </xf>
    <xf numFmtId="172" fontId="121" fillId="0" borderId="0" xfId="63" applyNumberFormat="1" applyFont="1" applyAlignment="1">
      <alignment horizontal="center"/>
    </xf>
    <xf numFmtId="1" fontId="49" fillId="0" borderId="0" xfId="0" quotePrefix="1" applyNumberFormat="1" applyFont="1" applyAlignment="1">
      <alignment horizontal="fill"/>
    </xf>
    <xf numFmtId="0" fontId="49" fillId="0" borderId="16" xfId="0" applyFont="1" applyBorder="1"/>
    <xf numFmtId="1" fontId="49" fillId="0" borderId="16" xfId="0" applyNumberFormat="1" applyFont="1" applyBorder="1" applyAlignment="1">
      <alignment horizontal="center"/>
    </xf>
    <xf numFmtId="10" fontId="49" fillId="0" borderId="0" xfId="240" applyNumberFormat="1" applyFont="1"/>
    <xf numFmtId="1" fontId="49" fillId="0" borderId="0" xfId="240" applyNumberFormat="1" applyFont="1" applyAlignment="1">
      <alignment horizontal="center"/>
    </xf>
    <xf numFmtId="1" fontId="42" fillId="0" borderId="0" xfId="240" applyNumberFormat="1" applyFont="1" applyAlignment="1">
      <alignment horizontal="center"/>
    </xf>
    <xf numFmtId="173" fontId="49" fillId="0" borderId="16" xfId="0" applyNumberFormat="1" applyFont="1" applyBorder="1"/>
    <xf numFmtId="173" fontId="49" fillId="0" borderId="0" xfId="0" applyNumberFormat="1" applyFont="1"/>
    <xf numFmtId="3" fontId="49" fillId="0" borderId="16" xfId="0" applyNumberFormat="1" applyFont="1" applyBorder="1"/>
    <xf numFmtId="170" fontId="99" fillId="0" borderId="16" xfId="0" applyNumberFormat="1" applyFont="1" applyBorder="1"/>
    <xf numFmtId="37" fontId="5" fillId="0" borderId="28" xfId="0" applyNumberFormat="1" applyFont="1" applyBorder="1" applyAlignment="1">
      <alignment horizontal="center"/>
    </xf>
    <xf numFmtId="37" fontId="5" fillId="0" borderId="28" xfId="0" applyNumberFormat="1" applyFont="1" applyBorder="1"/>
    <xf numFmtId="37" fontId="5" fillId="0" borderId="39" xfId="0" applyNumberFormat="1" applyFont="1" applyBorder="1" applyAlignment="1">
      <alignment horizontal="center"/>
    </xf>
    <xf numFmtId="37" fontId="5" fillId="0" borderId="38" xfId="0" applyNumberFormat="1" applyFont="1" applyBorder="1"/>
    <xf numFmtId="10" fontId="5" fillId="0" borderId="38" xfId="232" applyNumberFormat="1" applyFont="1" applyBorder="1"/>
    <xf numFmtId="37" fontId="5" fillId="0" borderId="39" xfId="0" applyNumberFormat="1" applyFont="1" applyBorder="1"/>
    <xf numFmtId="37" fontId="109" fillId="0" borderId="0" xfId="0" applyNumberFormat="1" applyFont="1"/>
    <xf numFmtId="43" fontId="111" fillId="20" borderId="29" xfId="65" applyFont="1" applyFill="1" applyBorder="1"/>
    <xf numFmtId="43" fontId="25" fillId="0" borderId="0" xfId="65" applyFont="1"/>
    <xf numFmtId="167" fontId="76" fillId="0" borderId="0" xfId="70" applyNumberFormat="1" applyFont="1"/>
    <xf numFmtId="167" fontId="76" fillId="0" borderId="0" xfId="70" applyNumberFormat="1" applyFont="1" applyProtection="1">
      <protection locked="0"/>
    </xf>
    <xf numFmtId="177" fontId="104" fillId="0" borderId="16" xfId="0" quotePrefix="1" applyNumberFormat="1" applyFont="1" applyBorder="1" applyAlignment="1">
      <alignment horizontal="center"/>
    </xf>
    <xf numFmtId="167" fontId="5" fillId="20" borderId="0" xfId="63" applyNumberFormat="1" applyFont="1" applyFill="1"/>
    <xf numFmtId="43" fontId="30" fillId="30" borderId="0" xfId="65" applyFill="1"/>
    <xf numFmtId="167" fontId="99" fillId="20" borderId="0" xfId="63" applyNumberFormat="1" applyFont="1" applyFill="1"/>
    <xf numFmtId="167" fontId="5" fillId="20" borderId="0" xfId="68" applyNumberFormat="1" applyFont="1" applyFill="1"/>
    <xf numFmtId="178" fontId="99" fillId="31" borderId="0" xfId="96" applyNumberFormat="1" applyFont="1" applyFill="1"/>
    <xf numFmtId="167" fontId="99" fillId="31" borderId="0" xfId="63" applyNumberFormat="1" applyFont="1" applyFill="1"/>
    <xf numFmtId="167" fontId="99" fillId="31" borderId="16" xfId="63" applyNumberFormat="1" applyFont="1" applyFill="1" applyBorder="1"/>
    <xf numFmtId="167" fontId="99" fillId="31" borderId="0" xfId="68" applyNumberFormat="1" applyFont="1" applyFill="1"/>
    <xf numFmtId="167" fontId="105" fillId="31" borderId="0" xfId="0" applyNumberFormat="1" applyFont="1" applyFill="1"/>
    <xf numFmtId="167" fontId="97" fillId="31" borderId="0" xfId="68" applyNumberFormat="1" applyFont="1" applyFill="1"/>
    <xf numFmtId="167" fontId="97" fillId="31" borderId="16" xfId="68" applyNumberFormat="1" applyFont="1" applyFill="1" applyBorder="1"/>
    <xf numFmtId="167" fontId="99" fillId="31" borderId="16" xfId="68" applyNumberFormat="1" applyFont="1" applyFill="1" applyBorder="1"/>
    <xf numFmtId="170" fontId="102" fillId="32" borderId="0" xfId="0" applyNumberFormat="1" applyFont="1" applyFill="1"/>
    <xf numFmtId="167" fontId="97" fillId="32" borderId="0" xfId="68" applyNumberFormat="1" applyFont="1" applyFill="1"/>
    <xf numFmtId="170" fontId="97" fillId="32" borderId="0" xfId="0" applyNumberFormat="1" applyFont="1" applyFill="1"/>
    <xf numFmtId="167" fontId="99" fillId="32" borderId="16" xfId="63" applyNumberFormat="1" applyFont="1" applyFill="1" applyBorder="1"/>
    <xf numFmtId="170" fontId="97" fillId="32" borderId="16" xfId="0" applyNumberFormat="1" applyFont="1" applyFill="1" applyBorder="1"/>
    <xf numFmtId="43" fontId="25" fillId="32" borderId="0" xfId="68" applyFont="1" applyFill="1" applyAlignment="1">
      <alignment horizontal="center"/>
    </xf>
    <xf numFmtId="0" fontId="109" fillId="0" borderId="0" xfId="0" applyFont="1"/>
    <xf numFmtId="167" fontId="6" fillId="0" borderId="0" xfId="0" applyNumberFormat="1" applyFont="1" applyProtection="1">
      <protection locked="0"/>
    </xf>
    <xf numFmtId="167" fontId="10" fillId="0" borderId="0" xfId="0" applyNumberFormat="1" applyFont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0" fontId="31" fillId="23" borderId="0" xfId="0" quotePrefix="1" applyFont="1" applyFill="1"/>
    <xf numFmtId="0" fontId="97" fillId="23" borderId="0" xfId="0" applyFont="1" applyFill="1"/>
    <xf numFmtId="167" fontId="109" fillId="0" borderId="0" xfId="68" applyNumberFormat="1" applyFont="1"/>
    <xf numFmtId="167" fontId="109" fillId="27" borderId="0" xfId="68" applyNumberFormat="1" applyFont="1" applyFill="1"/>
    <xf numFmtId="1" fontId="49" fillId="0" borderId="0" xfId="0" applyNumberFormat="1" applyFont="1"/>
    <xf numFmtId="167" fontId="10" fillId="0" borderId="0" xfId="0" applyNumberFormat="1" applyFont="1" applyAlignment="1">
      <alignment horizontal="center"/>
    </xf>
    <xf numFmtId="167" fontId="5" fillId="0" borderId="17" xfId="0" applyNumberFormat="1" applyFont="1" applyBorder="1"/>
    <xf numFmtId="167" fontId="6" fillId="0" borderId="16" xfId="0" applyNumberFormat="1" applyFont="1" applyBorder="1"/>
    <xf numFmtId="164" fontId="123" fillId="0" borderId="0" xfId="0" applyNumberFormat="1" applyFont="1"/>
    <xf numFmtId="167" fontId="5" fillId="23" borderId="0" xfId="63" applyNumberFormat="1" applyFont="1" applyFill="1"/>
    <xf numFmtId="0" fontId="4" fillId="0" borderId="0" xfId="0" applyFont="1"/>
    <xf numFmtId="0" fontId="4" fillId="0" borderId="0" xfId="0" applyFont="1" applyAlignment="1">
      <alignment horizontal="center"/>
    </xf>
    <xf numFmtId="43" fontId="4" fillId="30" borderId="0" xfId="65" applyFont="1" applyFill="1"/>
    <xf numFmtId="10" fontId="98" fillId="23" borderId="0" xfId="232" applyNumberFormat="1" applyFont="1" applyFill="1"/>
    <xf numFmtId="10" fontId="99" fillId="0" borderId="0" xfId="232" applyNumberFormat="1" applyFont="1"/>
    <xf numFmtId="43" fontId="0" fillId="23" borderId="0" xfId="63" applyFont="1" applyFill="1"/>
    <xf numFmtId="167" fontId="0" fillId="23" borderId="0" xfId="63" applyNumberFormat="1" applyFont="1" applyFill="1"/>
    <xf numFmtId="0" fontId="4" fillId="20" borderId="0" xfId="0" applyFont="1" applyFill="1"/>
    <xf numFmtId="0" fontId="4" fillId="0" borderId="0" xfId="267"/>
    <xf numFmtId="17" fontId="116" fillId="0" borderId="0" xfId="267" applyNumberFormat="1" applyFont="1" applyAlignment="1">
      <alignment horizontal="center"/>
    </xf>
    <xf numFmtId="17" fontId="116" fillId="0" borderId="0" xfId="267" applyNumberFormat="1" applyFont="1"/>
    <xf numFmtId="0" fontId="116" fillId="0" borderId="0" xfId="267" applyFont="1"/>
    <xf numFmtId="0" fontId="116" fillId="0" borderId="0" xfId="267" applyFont="1" applyAlignment="1">
      <alignment horizontal="right"/>
    </xf>
    <xf numFmtId="184" fontId="125" fillId="24" borderId="29" xfId="268" applyNumberFormat="1" applyFont="1" applyFill="1" applyBorder="1"/>
    <xf numFmtId="184" fontId="125" fillId="20" borderId="29" xfId="268" applyNumberFormat="1" applyFont="1" applyFill="1" applyBorder="1"/>
    <xf numFmtId="184" fontId="125" fillId="24" borderId="0" xfId="267" applyNumberFormat="1" applyFont="1" applyFill="1"/>
    <xf numFmtId="184" fontId="125" fillId="34" borderId="0" xfId="267" applyNumberFormat="1" applyFont="1" applyFill="1"/>
    <xf numFmtId="0" fontId="125" fillId="0" borderId="0" xfId="267" applyFont="1"/>
    <xf numFmtId="17" fontId="126" fillId="22" borderId="0" xfId="267" applyNumberFormat="1" applyFont="1" applyFill="1" applyAlignment="1">
      <alignment horizontal="center"/>
    </xf>
    <xf numFmtId="0" fontId="127" fillId="0" borderId="0" xfId="267" applyFont="1"/>
    <xf numFmtId="0" fontId="116" fillId="20" borderId="0" xfId="267" applyFont="1" applyFill="1" applyAlignment="1">
      <alignment horizontal="center"/>
    </xf>
    <xf numFmtId="0" fontId="110" fillId="0" borderId="0" xfId="267" applyFont="1" applyAlignment="1">
      <alignment horizontal="center"/>
    </xf>
    <xf numFmtId="0" fontId="4" fillId="0" borderId="0" xfId="267" applyAlignment="1">
      <alignment horizontal="center"/>
    </xf>
    <xf numFmtId="167" fontId="5" fillId="33" borderId="0" xfId="63" applyNumberFormat="1" applyFont="1" applyFill="1"/>
    <xf numFmtId="167" fontId="5" fillId="33" borderId="16" xfId="63" applyNumberFormat="1" applyFont="1" applyFill="1" applyBorder="1"/>
    <xf numFmtId="167" fontId="5" fillId="33" borderId="17" xfId="63" applyNumberFormat="1" applyFont="1" applyFill="1" applyBorder="1"/>
    <xf numFmtId="167" fontId="5" fillId="36" borderId="0" xfId="63" applyNumberFormat="1" applyFont="1" applyFill="1"/>
    <xf numFmtId="165" fontId="31" fillId="33" borderId="0" xfId="0" applyNumberFormat="1" applyFont="1" applyFill="1"/>
    <xf numFmtId="170" fontId="99" fillId="37" borderId="16" xfId="0" applyNumberFormat="1" applyFont="1" applyFill="1" applyBorder="1"/>
    <xf numFmtId="170" fontId="99" fillId="37" borderId="0" xfId="0" applyNumberFormat="1" applyFont="1" applyFill="1"/>
    <xf numFmtId="167" fontId="0" fillId="0" borderId="0" xfId="63" applyNumberFormat="1" applyFont="1" applyProtection="1">
      <protection locked="0"/>
    </xf>
    <xf numFmtId="10" fontId="0" fillId="0" borderId="0" xfId="229" applyNumberFormat="1" applyFont="1" applyProtection="1">
      <protection locked="0"/>
    </xf>
    <xf numFmtId="43" fontId="4" fillId="0" borderId="0" xfId="63" applyAlignment="1">
      <alignment horizontal="center"/>
    </xf>
    <xf numFmtId="170" fontId="99" fillId="35" borderId="0" xfId="0" applyNumberFormat="1" applyFont="1" applyFill="1"/>
    <xf numFmtId="170" fontId="99" fillId="35" borderId="16" xfId="0" applyNumberFormat="1" applyFont="1" applyFill="1" applyBorder="1"/>
    <xf numFmtId="178" fontId="99" fillId="37" borderId="0" xfId="96" applyNumberFormat="1" applyFont="1" applyFill="1"/>
    <xf numFmtId="167" fontId="99" fillId="37" borderId="0" xfId="63" applyNumberFormat="1" applyFont="1" applyFill="1"/>
    <xf numFmtId="167" fontId="99" fillId="37" borderId="16" xfId="63" applyNumberFormat="1" applyFont="1" applyFill="1" applyBorder="1"/>
    <xf numFmtId="167" fontId="99" fillId="37" borderId="0" xfId="68" applyNumberFormat="1" applyFont="1" applyFill="1"/>
    <xf numFmtId="167" fontId="105" fillId="37" borderId="0" xfId="0" applyNumberFormat="1" applyFont="1" applyFill="1"/>
    <xf numFmtId="167" fontId="97" fillId="37" borderId="0" xfId="68" applyNumberFormat="1" applyFont="1" applyFill="1"/>
    <xf numFmtId="167" fontId="97" fillId="37" borderId="16" xfId="68" applyNumberFormat="1" applyFont="1" applyFill="1" applyBorder="1"/>
    <xf numFmtId="167" fontId="99" fillId="37" borderId="16" xfId="68" applyNumberFormat="1" applyFont="1" applyFill="1" applyBorder="1"/>
    <xf numFmtId="43" fontId="25" fillId="26" borderId="0" xfId="68" applyFont="1" applyFill="1"/>
    <xf numFmtId="170" fontId="97" fillId="31" borderId="16" xfId="0" applyNumberFormat="1" applyFont="1" applyFill="1" applyBorder="1"/>
    <xf numFmtId="167" fontId="52" fillId="30" borderId="0" xfId="63" applyNumberFormat="1" applyFont="1" applyFill="1"/>
    <xf numFmtId="17" fontId="18" fillId="0" borderId="0" xfId="0" applyNumberFormat="1" applyFont="1" applyAlignment="1">
      <alignment horizontal="center"/>
    </xf>
    <xf numFmtId="184" fontId="0" fillId="0" borderId="0" xfId="0" applyNumberFormat="1"/>
    <xf numFmtId="43" fontId="0" fillId="0" borderId="0" xfId="0" applyNumberFormat="1"/>
    <xf numFmtId="10" fontId="4" fillId="0" borderId="0" xfId="229" applyNumberFormat="1"/>
    <xf numFmtId="10" fontId="0" fillId="0" borderId="0" xfId="0" applyNumberFormat="1"/>
    <xf numFmtId="185" fontId="37" fillId="0" borderId="0" xfId="0" applyNumberFormat="1" applyFont="1" applyAlignment="1">
      <alignment horizontal="center"/>
    </xf>
    <xf numFmtId="43" fontId="0" fillId="28" borderId="0" xfId="63" applyFont="1" applyFill="1"/>
    <xf numFmtId="167" fontId="0" fillId="28" borderId="0" xfId="63" applyNumberFormat="1" applyFont="1" applyFill="1"/>
    <xf numFmtId="167" fontId="109" fillId="20" borderId="0" xfId="63" applyNumberFormat="1" applyFont="1" applyFill="1"/>
    <xf numFmtId="177" fontId="37" fillId="0" borderId="0" xfId="0" quotePrefix="1" applyNumberFormat="1" applyFont="1" applyAlignment="1">
      <alignment horizontal="center"/>
    </xf>
    <xf numFmtId="177" fontId="37" fillId="0" borderId="16" xfId="0" applyNumberFormat="1" applyFont="1" applyBorder="1" applyAlignment="1">
      <alignment horizontal="center"/>
    </xf>
    <xf numFmtId="6" fontId="49" fillId="0" borderId="0" xfId="0" applyNumberFormat="1" applyFont="1"/>
    <xf numFmtId="6" fontId="49" fillId="20" borderId="16" xfId="0" applyNumberFormat="1" applyFont="1" applyFill="1" applyBorder="1"/>
    <xf numFmtId="37" fontId="49" fillId="0" borderId="0" xfId="79" applyNumberFormat="1" applyFont="1"/>
    <xf numFmtId="43" fontId="25" fillId="21" borderId="14" xfId="68" applyFont="1" applyFill="1" applyBorder="1"/>
    <xf numFmtId="167" fontId="4" fillId="0" borderId="0" xfId="67" applyNumberFormat="1" applyAlignment="1">
      <alignment vertical="center"/>
    </xf>
    <xf numFmtId="167" fontId="25" fillId="0" borderId="0" xfId="67" applyNumberFormat="1" applyFont="1"/>
    <xf numFmtId="167" fontId="4" fillId="0" borderId="0" xfId="67" applyNumberFormat="1"/>
    <xf numFmtId="43" fontId="4" fillId="0" borderId="0" xfId="67" applyAlignment="1">
      <alignment vertical="center"/>
    </xf>
    <xf numFmtId="167" fontId="97" fillId="20" borderId="0" xfId="68" applyNumberFormat="1" applyFont="1" applyFill="1"/>
    <xf numFmtId="49" fontId="122" fillId="0" borderId="0" xfId="63" applyNumberFormat="1" applyFont="1"/>
    <xf numFmtId="0" fontId="0" fillId="0" borderId="16" xfId="0" applyBorder="1"/>
    <xf numFmtId="167" fontId="5" fillId="36" borderId="16" xfId="63" applyNumberFormat="1" applyFont="1" applyFill="1" applyBorder="1"/>
    <xf numFmtId="0" fontId="4" fillId="0" borderId="32" xfId="0" applyFont="1" applyBorder="1"/>
    <xf numFmtId="43" fontId="25" fillId="26" borderId="16" xfId="68" applyFont="1" applyFill="1" applyBorder="1"/>
    <xf numFmtId="167" fontId="0" fillId="0" borderId="16" xfId="63" applyNumberFormat="1" applyFont="1" applyBorder="1"/>
    <xf numFmtId="167" fontId="4" fillId="0" borderId="0" xfId="63" applyNumberFormat="1" applyFont="1"/>
    <xf numFmtId="0" fontId="0" fillId="0" borderId="0" xfId="0" applyAlignment="1">
      <alignment wrapText="1"/>
    </xf>
    <xf numFmtId="167" fontId="0" fillId="0" borderId="0" xfId="63" applyNumberFormat="1" applyFont="1" applyFill="1"/>
    <xf numFmtId="167" fontId="4" fillId="0" borderId="0" xfId="0" applyNumberFormat="1" applyFont="1"/>
    <xf numFmtId="170" fontId="43" fillId="25" borderId="0" xfId="0" applyNumberFormat="1" applyFont="1" applyFill="1"/>
    <xf numFmtId="170" fontId="4" fillId="0" borderId="0" xfId="0" applyNumberFormat="1" applyFont="1"/>
    <xf numFmtId="10" fontId="92" fillId="35" borderId="0" xfId="232" applyNumberFormat="1" applyFont="1" applyFill="1" applyAlignment="1"/>
    <xf numFmtId="167" fontId="25" fillId="20" borderId="0" xfId="63" applyNumberFormat="1" applyFont="1" applyFill="1" applyBorder="1"/>
    <xf numFmtId="0" fontId="4" fillId="0" borderId="16" xfId="0" applyFont="1" applyBorder="1"/>
    <xf numFmtId="0" fontId="25" fillId="0" borderId="16" xfId="0" applyFont="1" applyBorder="1" applyAlignment="1">
      <alignment horizontal="center"/>
    </xf>
    <xf numFmtId="10" fontId="16" fillId="0" borderId="0" xfId="63" applyNumberFormat="1" applyFont="1"/>
    <xf numFmtId="170" fontId="97" fillId="30" borderId="0" xfId="0" applyNumberFormat="1" applyFont="1" applyFill="1"/>
    <xf numFmtId="170" fontId="97" fillId="30" borderId="16" xfId="0" applyNumberFormat="1" applyFont="1" applyFill="1" applyBorder="1"/>
    <xf numFmtId="167" fontId="4" fillId="35" borderId="0" xfId="63" applyNumberFormat="1" applyFont="1" applyFill="1"/>
    <xf numFmtId="177" fontId="37" fillId="0" borderId="16" xfId="0" quotePrefix="1" applyNumberFormat="1" applyFont="1" applyBorder="1" applyAlignment="1">
      <alignment horizontal="center"/>
    </xf>
    <xf numFmtId="167" fontId="97" fillId="33" borderId="0" xfId="68" applyNumberFormat="1" applyFont="1" applyFill="1"/>
    <xf numFmtId="167" fontId="0" fillId="92" borderId="0" xfId="63" applyNumberFormat="1" applyFont="1" applyFill="1"/>
    <xf numFmtId="170" fontId="99" fillId="92" borderId="16" xfId="0" applyNumberFormat="1" applyFont="1" applyFill="1" applyBorder="1"/>
    <xf numFmtId="170" fontId="99" fillId="92" borderId="0" xfId="0" applyNumberFormat="1" applyFont="1" applyFill="1"/>
    <xf numFmtId="167" fontId="0" fillId="92" borderId="16" xfId="63" applyNumberFormat="1" applyFont="1" applyFill="1" applyBorder="1"/>
    <xf numFmtId="167" fontId="4" fillId="33" borderId="0" xfId="63" applyNumberFormat="1" applyFont="1" applyFill="1"/>
    <xf numFmtId="3" fontId="37" fillId="37" borderId="16" xfId="0" applyNumberFormat="1" applyFont="1" applyFill="1" applyBorder="1"/>
    <xf numFmtId="6" fontId="37" fillId="37" borderId="0" xfId="0" applyNumberFormat="1" applyFont="1" applyFill="1"/>
    <xf numFmtId="10" fontId="37" fillId="37" borderId="0" xfId="0" applyNumberFormat="1" applyFont="1" applyFill="1"/>
    <xf numFmtId="37" fontId="41" fillId="37" borderId="16" xfId="0" applyNumberFormat="1" applyFont="1" applyFill="1" applyBorder="1"/>
    <xf numFmtId="37" fontId="41" fillId="37" borderId="0" xfId="0" applyNumberFormat="1" applyFont="1" applyFill="1"/>
    <xf numFmtId="0" fontId="161" fillId="0" borderId="0" xfId="0" applyFont="1"/>
    <xf numFmtId="167" fontId="4" fillId="0" borderId="0" xfId="63" applyNumberFormat="1" applyFont="1" applyFill="1"/>
    <xf numFmtId="0" fontId="37" fillId="93" borderId="0" xfId="0" applyFont="1" applyFill="1"/>
    <xf numFmtId="177" fontId="37" fillId="0" borderId="0" xfId="12739" quotePrefix="1" applyNumberFormat="1" applyFont="1" applyAlignment="1">
      <alignment horizontal="center"/>
    </xf>
    <xf numFmtId="3" fontId="49" fillId="0" borderId="0" xfId="12739" applyNumberFormat="1" applyFont="1"/>
    <xf numFmtId="0" fontId="49" fillId="0" borderId="0" xfId="12739" applyFont="1"/>
    <xf numFmtId="6" fontId="49" fillId="0" borderId="0" xfId="12739" applyNumberFormat="1" applyFont="1"/>
    <xf numFmtId="10" fontId="49" fillId="0" borderId="0" xfId="12739" applyNumberFormat="1" applyFont="1"/>
    <xf numFmtId="0" fontId="49" fillId="0" borderId="0" xfId="12739" quotePrefix="1" applyFont="1" applyAlignment="1">
      <alignment horizontal="left"/>
    </xf>
    <xf numFmtId="0" fontId="37" fillId="94" borderId="0" xfId="0" applyFont="1" applyFill="1"/>
    <xf numFmtId="177" fontId="37" fillId="0" borderId="16" xfId="12739" applyNumberFormat="1" applyFont="1" applyBorder="1" applyAlignment="1">
      <alignment horizontal="center"/>
    </xf>
    <xf numFmtId="0" fontId="162" fillId="0" borderId="16" xfId="0" applyFont="1" applyBorder="1"/>
    <xf numFmtId="6" fontId="162" fillId="0" borderId="16" xfId="0" quotePrefix="1" applyNumberFormat="1" applyFont="1" applyBorder="1" applyAlignment="1">
      <alignment horizontal="left"/>
    </xf>
    <xf numFmtId="0" fontId="162" fillId="0" borderId="0" xfId="0" applyFont="1" applyAlignment="1">
      <alignment horizontal="left"/>
    </xf>
    <xf numFmtId="10" fontId="49" fillId="0" borderId="0" xfId="230" applyNumberFormat="1" applyFont="1" applyFill="1" applyBorder="1" applyAlignment="1"/>
    <xf numFmtId="37" fontId="49" fillId="0" borderId="0" xfId="5623" applyNumberFormat="1" applyFont="1"/>
    <xf numFmtId="37" fontId="37" fillId="0" borderId="0" xfId="5623" applyNumberFormat="1" applyFont="1"/>
    <xf numFmtId="188" fontId="37" fillId="0" borderId="0" xfId="5623" applyNumberFormat="1" applyFont="1" applyAlignment="1">
      <alignment horizontal="centerContinuous"/>
    </xf>
    <xf numFmtId="37" fontId="49" fillId="0" borderId="0" xfId="5623" applyNumberFormat="1" applyFont="1" applyAlignment="1">
      <alignment horizontal="centerContinuous"/>
    </xf>
    <xf numFmtId="39" fontId="49" fillId="0" borderId="0" xfId="5623" applyNumberFormat="1" applyFont="1"/>
    <xf numFmtId="37" fontId="49" fillId="0" borderId="0" xfId="5623" quotePrefix="1" applyNumberFormat="1" applyFont="1" applyAlignment="1">
      <alignment horizontal="center"/>
    </xf>
    <xf numFmtId="37" fontId="49" fillId="0" borderId="0" xfId="5623" applyNumberFormat="1" applyFont="1" applyAlignment="1">
      <alignment horizontal="center"/>
    </xf>
    <xf numFmtId="37" fontId="37" fillId="0" borderId="0" xfId="5623" quotePrefix="1" applyNumberFormat="1" applyFont="1" applyAlignment="1">
      <alignment horizontal="center"/>
    </xf>
    <xf numFmtId="37" fontId="49" fillId="0" borderId="16" xfId="5623" applyNumberFormat="1" applyFont="1" applyBorder="1" applyAlignment="1">
      <alignment horizontal="center"/>
    </xf>
    <xf numFmtId="37" fontId="49" fillId="0" borderId="16" xfId="5623" quotePrefix="1" applyNumberFormat="1" applyFont="1" applyBorder="1" applyAlignment="1">
      <alignment horizontal="center"/>
    </xf>
    <xf numFmtId="37" fontId="75" fillId="0" borderId="0" xfId="5623" applyNumberFormat="1" applyFont="1" applyAlignment="1">
      <alignment horizontal="right"/>
    </xf>
    <xf numFmtId="178" fontId="49" fillId="0" borderId="0" xfId="12289" applyNumberFormat="1" applyFont="1" applyFill="1" applyProtection="1"/>
    <xf numFmtId="10" fontId="49" fillId="0" borderId="0" xfId="39610" applyNumberFormat="1" applyFont="1" applyFill="1" applyAlignment="1"/>
    <xf numFmtId="37" fontId="75" fillId="0" borderId="0" xfId="5623" applyNumberFormat="1" applyFont="1"/>
    <xf numFmtId="10" fontId="120" fillId="0" borderId="0" xfId="39610" applyNumberFormat="1" applyFont="1" applyFill="1" applyAlignment="1"/>
    <xf numFmtId="43" fontId="49" fillId="0" borderId="0" xfId="83" applyFont="1" applyFill="1" applyAlignment="1"/>
    <xf numFmtId="43" fontId="49" fillId="0" borderId="16" xfId="83" applyFont="1" applyFill="1" applyBorder="1" applyAlignment="1"/>
    <xf numFmtId="10" fontId="49" fillId="0" borderId="16" xfId="39610" applyNumberFormat="1" applyFont="1" applyFill="1" applyBorder="1" applyAlignment="1"/>
    <xf numFmtId="10" fontId="49" fillId="0" borderId="0" xfId="39610" applyNumberFormat="1" applyFont="1" applyFill="1" applyBorder="1" applyAlignment="1"/>
    <xf numFmtId="43" fontId="49" fillId="0" borderId="0" xfId="83" applyFont="1" applyFill="1" applyBorder="1" applyAlignment="1"/>
    <xf numFmtId="188" fontId="37" fillId="0" borderId="0" xfId="5623" applyNumberFormat="1" applyFont="1"/>
    <xf numFmtId="188" fontId="37" fillId="0" borderId="0" xfId="5623" quotePrefix="1" applyNumberFormat="1" applyFont="1"/>
    <xf numFmtId="37" fontId="49" fillId="0" borderId="0" xfId="5623" applyNumberFormat="1" applyFont="1" applyAlignment="1">
      <alignment horizontal="right"/>
    </xf>
    <xf numFmtId="189" fontId="49" fillId="0" borderId="0" xfId="5623" applyNumberFormat="1" applyFont="1"/>
    <xf numFmtId="37" fontId="49" fillId="0" borderId="0" xfId="5623" quotePrefix="1" applyNumberFormat="1" applyFont="1" applyAlignment="1">
      <alignment horizontal="left"/>
    </xf>
    <xf numFmtId="165" fontId="4" fillId="0" borderId="0" xfId="230" applyNumberFormat="1" applyFill="1"/>
    <xf numFmtId="9" fontId="4" fillId="0" borderId="0" xfId="230" applyFill="1"/>
    <xf numFmtId="37" fontId="49" fillId="0" borderId="0" xfId="12739" applyNumberFormat="1" applyFont="1" applyAlignment="1">
      <alignment horizontal="centerContinuous"/>
    </xf>
    <xf numFmtId="37" fontId="49" fillId="0" borderId="0" xfId="12739" applyNumberFormat="1" applyFont="1" applyAlignment="1">
      <alignment horizontal="left"/>
    </xf>
    <xf numFmtId="37" fontId="49" fillId="0" borderId="0" xfId="12739" applyNumberFormat="1" applyFont="1"/>
    <xf numFmtId="37" fontId="49" fillId="0" borderId="0" xfId="12739" applyNumberFormat="1" applyFont="1" applyAlignment="1">
      <alignment horizontal="center"/>
    </xf>
    <xf numFmtId="37" fontId="49" fillId="0" borderId="17" xfId="12739" applyNumberFormat="1" applyFont="1" applyBorder="1" applyAlignment="1">
      <alignment horizontal="center"/>
    </xf>
    <xf numFmtId="0" fontId="163" fillId="0" borderId="0" xfId="12739" applyFont="1" applyAlignment="1">
      <alignment horizontal="center"/>
    </xf>
    <xf numFmtId="167" fontId="49" fillId="0" borderId="0" xfId="10761" applyNumberFormat="1" applyFont="1" applyFill="1" applyProtection="1"/>
    <xf numFmtId="164" fontId="49" fillId="0" borderId="0" xfId="12739" applyNumberFormat="1" applyFont="1"/>
    <xf numFmtId="167" fontId="49" fillId="0" borderId="16" xfId="10761" applyNumberFormat="1" applyFont="1" applyFill="1" applyBorder="1" applyProtection="1"/>
    <xf numFmtId="178" fontId="49" fillId="0" borderId="0" xfId="12289" applyNumberFormat="1" applyFont="1" applyFill="1" applyBorder="1" applyProtection="1"/>
    <xf numFmtId="0" fontId="49" fillId="0" borderId="0" xfId="12739" applyFont="1" applyAlignment="1">
      <alignment vertical="top"/>
    </xf>
    <xf numFmtId="10" fontId="49" fillId="0" borderId="0" xfId="39610" applyNumberFormat="1" applyFont="1" applyFill="1" applyProtection="1"/>
    <xf numFmtId="37" fontId="49" fillId="0" borderId="0" xfId="5623" applyNumberFormat="1" applyFont="1" applyAlignment="1">
      <alignment horizontal="fill"/>
    </xf>
    <xf numFmtId="0" fontId="49" fillId="0" borderId="0" xfId="5623" quotePrefix="1" applyFont="1" applyAlignment="1">
      <alignment horizontal="center"/>
    </xf>
    <xf numFmtId="190" fontId="49" fillId="0" borderId="0" xfId="5623" applyNumberFormat="1" applyFont="1" applyAlignment="1">
      <alignment horizontal="center"/>
    </xf>
    <xf numFmtId="189" fontId="49" fillId="0" borderId="0" xfId="5623" quotePrefix="1" applyNumberFormat="1" applyFont="1"/>
    <xf numFmtId="37" fontId="163" fillId="0" borderId="0" xfId="5623" applyNumberFormat="1" applyFont="1"/>
    <xf numFmtId="0" fontId="49" fillId="0" borderId="0" xfId="5623" applyFont="1" applyAlignment="1">
      <alignment horizontal="center"/>
    </xf>
    <xf numFmtId="167" fontId="165" fillId="0" borderId="0" xfId="63" applyNumberFormat="1" applyFont="1"/>
    <xf numFmtId="43" fontId="4" fillId="30" borderId="0" xfId="10761" applyFill="1"/>
    <xf numFmtId="10" fontId="98" fillId="23" borderId="0" xfId="39610" applyNumberFormat="1" applyFont="1" applyFill="1"/>
    <xf numFmtId="37" fontId="49" fillId="0" borderId="0" xfId="0" applyNumberFormat="1" applyFont="1" applyAlignment="1">
      <alignment horizontal="center"/>
    </xf>
    <xf numFmtId="167" fontId="49" fillId="0" borderId="0" xfId="10761" applyNumberFormat="1" applyFont="1" applyFill="1" applyBorder="1" applyAlignment="1"/>
    <xf numFmtId="10" fontId="167" fillId="0" borderId="0" xfId="230" applyNumberFormat="1" applyFont="1" applyFill="1" applyBorder="1" applyAlignment="1"/>
    <xf numFmtId="37" fontId="49" fillId="26" borderId="0" xfId="0" applyNumberFormat="1" applyFont="1" applyFill="1"/>
    <xf numFmtId="49" fontId="168" fillId="0" borderId="0" xfId="0" applyNumberFormat="1" applyFont="1" applyAlignment="1">
      <alignment horizontal="centerContinuous"/>
    </xf>
    <xf numFmtId="0" fontId="4" fillId="0" borderId="0" xfId="0" applyFont="1" applyAlignment="1">
      <alignment horizontal="right"/>
    </xf>
    <xf numFmtId="169" fontId="4" fillId="0" borderId="27" xfId="0" applyNumberFormat="1" applyFont="1" applyBorder="1" applyAlignment="1" applyProtection="1">
      <alignment horizontal="right"/>
      <protection locked="0"/>
    </xf>
    <xf numFmtId="0" fontId="4" fillId="0" borderId="27" xfId="0" applyFont="1" applyBorder="1"/>
    <xf numFmtId="0" fontId="4" fillId="0" borderId="27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37" fontId="4" fillId="0" borderId="0" xfId="0" applyNumberFormat="1" applyFont="1"/>
    <xf numFmtId="10" fontId="4" fillId="0" borderId="0" xfId="0" applyNumberFormat="1" applyFont="1"/>
    <xf numFmtId="37" fontId="4" fillId="0" borderId="27" xfId="0" applyNumberFormat="1" applyFont="1" applyBorder="1"/>
    <xf numFmtId="37" fontId="4" fillId="0" borderId="0" xfId="0" applyNumberFormat="1" applyFont="1" applyProtection="1">
      <protection locked="0"/>
    </xf>
    <xf numFmtId="37" fontId="4" fillId="0" borderId="13" xfId="0" applyNumberFormat="1" applyFont="1" applyBorder="1" applyAlignment="1">
      <alignment horizontal="right"/>
    </xf>
    <xf numFmtId="37" fontId="4" fillId="0" borderId="33" xfId="0" applyNumberFormat="1" applyFont="1" applyBorder="1" applyAlignment="1">
      <alignment horizontal="right"/>
    </xf>
    <xf numFmtId="37" fontId="4" fillId="0" borderId="27" xfId="0" applyNumberFormat="1" applyFont="1" applyBorder="1" applyAlignment="1">
      <alignment horizontal="fill"/>
    </xf>
    <xf numFmtId="37" fontId="4" fillId="0" borderId="27" xfId="0" applyNumberFormat="1" applyFont="1" applyBorder="1" applyProtection="1">
      <protection locked="0"/>
    </xf>
    <xf numFmtId="37" fontId="4" fillId="0" borderId="34" xfId="0" applyNumberFormat="1" applyFont="1" applyBorder="1"/>
    <xf numFmtId="0" fontId="4" fillId="0" borderId="27" xfId="0" applyFont="1" applyBorder="1" applyAlignment="1">
      <alignment horizontal="fill"/>
    </xf>
    <xf numFmtId="178" fontId="49" fillId="0" borderId="13" xfId="96" applyNumberFormat="1" applyFont="1" applyFill="1" applyBorder="1" applyAlignment="1"/>
    <xf numFmtId="10" fontId="49" fillId="0" borderId="16" xfId="230" applyNumberFormat="1" applyFont="1" applyFill="1" applyBorder="1" applyAlignment="1"/>
    <xf numFmtId="167" fontId="25" fillId="21" borderId="14" xfId="68" applyNumberFormat="1" applyFont="1" applyFill="1" applyBorder="1"/>
    <xf numFmtId="167" fontId="4" fillId="30" borderId="0" xfId="10761" applyNumberFormat="1" applyFill="1"/>
    <xf numFmtId="10" fontId="109" fillId="0" borderId="0" xfId="0" applyNumberFormat="1" applyFont="1"/>
    <xf numFmtId="167" fontId="5" fillId="0" borderId="17" xfId="63" applyNumberFormat="1" applyFont="1" applyFill="1" applyBorder="1"/>
    <xf numFmtId="167" fontId="6" fillId="29" borderId="0" xfId="0" applyNumberFormat="1" applyFont="1" applyFill="1" applyProtection="1">
      <protection locked="0"/>
    </xf>
    <xf numFmtId="167" fontId="5" fillId="29" borderId="0" xfId="63" applyNumberFormat="1" applyFont="1" applyFill="1"/>
    <xf numFmtId="167" fontId="6" fillId="29" borderId="17" xfId="63" applyNumberFormat="1" applyFont="1" applyFill="1" applyBorder="1"/>
    <xf numFmtId="167" fontId="5" fillId="29" borderId="0" xfId="0" applyNumberFormat="1" applyFont="1" applyFill="1" applyProtection="1">
      <protection locked="0"/>
    </xf>
    <xf numFmtId="167" fontId="109" fillId="29" borderId="0" xfId="63" applyNumberFormat="1" applyFont="1" applyFill="1"/>
    <xf numFmtId="167" fontId="5" fillId="29" borderId="16" xfId="0" applyNumberFormat="1" applyFont="1" applyFill="1" applyBorder="1" applyProtection="1">
      <protection locked="0"/>
    </xf>
    <xf numFmtId="49" fontId="10" fillId="0" borderId="0" xfId="0" applyNumberFormat="1" applyFont="1" applyAlignment="1">
      <alignment horizontal="centerContinuous"/>
    </xf>
    <xf numFmtId="49" fontId="5" fillId="0" borderId="0" xfId="0" applyNumberFormat="1" applyFont="1" applyAlignment="1">
      <alignment horizontal="centerContinuous"/>
    </xf>
    <xf numFmtId="0" fontId="168" fillId="0" borderId="0" xfId="0" applyFont="1" applyAlignment="1">
      <alignment horizontal="centerContinuous"/>
    </xf>
    <xf numFmtId="49" fontId="34" fillId="0" borderId="0" xfId="0" applyNumberFormat="1" applyFont="1" applyAlignment="1">
      <alignment horizontal="left"/>
    </xf>
    <xf numFmtId="0" fontId="31" fillId="0" borderId="0" xfId="0" quotePrefix="1" applyFont="1"/>
    <xf numFmtId="0" fontId="111" fillId="21" borderId="38" xfId="0" applyFont="1" applyFill="1" applyBorder="1" applyAlignment="1">
      <alignment horizontal="center"/>
    </xf>
    <xf numFmtId="17" fontId="111" fillId="21" borderId="38" xfId="0" quotePrefix="1" applyNumberFormat="1" applyFont="1" applyFill="1" applyBorder="1" applyAlignment="1">
      <alignment horizontal="center"/>
    </xf>
    <xf numFmtId="0" fontId="111" fillId="21" borderId="39" xfId="0" quotePrefix="1" applyFont="1" applyFill="1" applyBorder="1" applyAlignment="1">
      <alignment horizontal="center"/>
    </xf>
    <xf numFmtId="0" fontId="4" fillId="0" borderId="28" xfId="0" applyFont="1" applyBorder="1"/>
    <xf numFmtId="0" fontId="4" fillId="0" borderId="38" xfId="0" applyFont="1" applyBorder="1"/>
    <xf numFmtId="0" fontId="169" fillId="95" borderId="0" xfId="0" applyFont="1" applyFill="1"/>
    <xf numFmtId="0" fontId="169" fillId="95" borderId="0" xfId="0" applyFont="1" applyFill="1" applyAlignment="1">
      <alignment horizontal="center"/>
    </xf>
    <xf numFmtId="4" fontId="25" fillId="27" borderId="0" xfId="0" applyNumberFormat="1" applyFont="1" applyFill="1" applyAlignment="1">
      <alignment horizontal="center"/>
    </xf>
    <xf numFmtId="0" fontId="25" fillId="27" borderId="0" xfId="0" applyFont="1" applyFill="1" applyAlignment="1">
      <alignment horizontal="center"/>
    </xf>
    <xf numFmtId="167" fontId="30" fillId="0" borderId="0" xfId="68" applyNumberFormat="1" applyFill="1"/>
    <xf numFmtId="167" fontId="97" fillId="0" borderId="0" xfId="68" applyNumberFormat="1" applyFont="1" applyFill="1"/>
    <xf numFmtId="170" fontId="97" fillId="0" borderId="0" xfId="0" applyNumberFormat="1" applyFont="1"/>
    <xf numFmtId="170" fontId="97" fillId="0" borderId="16" xfId="0" applyNumberFormat="1" applyFont="1" applyBorder="1"/>
    <xf numFmtId="167" fontId="170" fillId="0" borderId="0" xfId="63" applyNumberFormat="1" applyFont="1"/>
    <xf numFmtId="167" fontId="99" fillId="0" borderId="0" xfId="68" applyNumberFormat="1" applyFont="1" applyFill="1"/>
    <xf numFmtId="167" fontId="99" fillId="0" borderId="0" xfId="63" applyNumberFormat="1" applyFont="1" applyFill="1"/>
    <xf numFmtId="167" fontId="4" fillId="0" borderId="0" xfId="63" applyNumberFormat="1" applyFont="1" applyFill="1" applyBorder="1"/>
    <xf numFmtId="167" fontId="4" fillId="0" borderId="0" xfId="398" applyNumberFormat="1" applyFont="1" applyFill="1" applyBorder="1"/>
    <xf numFmtId="167" fontId="170" fillId="0" borderId="0" xfId="63" applyNumberFormat="1" applyFont="1" applyFill="1"/>
    <xf numFmtId="167" fontId="170" fillId="0" borderId="16" xfId="63" applyNumberFormat="1" applyFont="1" applyFill="1" applyBorder="1"/>
    <xf numFmtId="167" fontId="97" fillId="0" borderId="0" xfId="63" applyNumberFormat="1" applyFont="1"/>
    <xf numFmtId="167" fontId="97" fillId="0" borderId="0" xfId="63" applyNumberFormat="1" applyFont="1" applyFill="1"/>
    <xf numFmtId="167" fontId="97" fillId="0" borderId="16" xfId="63" applyNumberFormat="1" applyFont="1" applyFill="1" applyBorder="1"/>
    <xf numFmtId="171" fontId="97" fillId="0" borderId="0" xfId="0" applyNumberFormat="1" applyFont="1"/>
    <xf numFmtId="167" fontId="4" fillId="0" borderId="0" xfId="63" applyNumberFormat="1" applyFill="1"/>
    <xf numFmtId="0" fontId="26" fillId="0" borderId="0" xfId="0" applyFont="1"/>
    <xf numFmtId="0" fontId="4" fillId="0" borderId="0" xfId="0" quotePrefix="1" applyFont="1"/>
    <xf numFmtId="170" fontId="4" fillId="33" borderId="0" xfId="0" applyNumberFormat="1" applyFont="1" applyFill="1"/>
    <xf numFmtId="167" fontId="4" fillId="33" borderId="0" xfId="68" applyNumberFormat="1" applyFont="1" applyFill="1"/>
    <xf numFmtId="171" fontId="4" fillId="33" borderId="0" xfId="0" applyNumberFormat="1" applyFont="1" applyFill="1"/>
    <xf numFmtId="37" fontId="4" fillId="20" borderId="0" xfId="0" applyNumberFormat="1" applyFont="1" applyFill="1"/>
    <xf numFmtId="43" fontId="4" fillId="0" borderId="0" xfId="63" applyFont="1"/>
    <xf numFmtId="167" fontId="4" fillId="20" borderId="0" xfId="63" applyNumberFormat="1" applyFont="1" applyFill="1"/>
    <xf numFmtId="167" fontId="97" fillId="0" borderId="0" xfId="0" applyNumberFormat="1" applyFont="1"/>
    <xf numFmtId="167" fontId="25" fillId="0" borderId="0" xfId="0" applyNumberFormat="1" applyFont="1"/>
    <xf numFmtId="167" fontId="4" fillId="20" borderId="0" xfId="0" applyNumberFormat="1" applyFont="1" applyFill="1"/>
    <xf numFmtId="0" fontId="169" fillId="95" borderId="0" xfId="0" applyFont="1" applyFill="1" applyAlignment="1">
      <alignment horizontal="left"/>
    </xf>
    <xf numFmtId="0" fontId="4" fillId="27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43" fillId="0" borderId="0" xfId="0" quotePrefix="1" applyFont="1" applyAlignment="1">
      <alignment horizontal="left"/>
    </xf>
    <xf numFmtId="0" fontId="18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43" fillId="0" borderId="0" xfId="0" applyFont="1" applyAlignment="1">
      <alignment horizontal="left" indent="1"/>
    </xf>
    <xf numFmtId="0" fontId="43" fillId="0" borderId="0" xfId="0" quotePrefix="1" applyFont="1" applyAlignment="1">
      <alignment horizontal="left" indent="1"/>
    </xf>
    <xf numFmtId="0" fontId="4" fillId="0" borderId="0" xfId="0" quotePrefix="1" applyFont="1" applyAlignment="1">
      <alignment horizontal="left" indent="1"/>
    </xf>
    <xf numFmtId="0" fontId="0" fillId="0" borderId="0" xfId="0" applyAlignment="1">
      <alignment horizontal="left" indent="1"/>
    </xf>
    <xf numFmtId="167" fontId="50" fillId="0" borderId="0" xfId="0" applyNumberFormat="1" applyFont="1"/>
    <xf numFmtId="6" fontId="50" fillId="0" borderId="0" xfId="0" applyNumberFormat="1" applyFont="1"/>
    <xf numFmtId="167" fontId="50" fillId="0" borderId="0" xfId="63" applyNumberFormat="1" applyFont="1"/>
    <xf numFmtId="43" fontId="50" fillId="0" borderId="0" xfId="0" applyNumberFormat="1" applyFont="1"/>
    <xf numFmtId="0" fontId="25" fillId="26" borderId="28" xfId="0" applyFont="1" applyFill="1" applyBorder="1" applyAlignment="1">
      <alignment horizontal="center"/>
    </xf>
    <xf numFmtId="4" fontId="25" fillId="20" borderId="39" xfId="0" applyNumberFormat="1" applyFont="1" applyFill="1" applyBorder="1" applyAlignment="1">
      <alignment horizontal="center"/>
    </xf>
    <xf numFmtId="167" fontId="99" fillId="0" borderId="0" xfId="0" applyNumberFormat="1" applyFont="1"/>
    <xf numFmtId="43" fontId="25" fillId="0" borderId="29" xfId="65" applyFont="1" applyFill="1" applyBorder="1"/>
    <xf numFmtId="167" fontId="25" fillId="0" borderId="29" xfId="65" applyNumberFormat="1" applyFont="1" applyFill="1" applyBorder="1"/>
    <xf numFmtId="0" fontId="171" fillId="95" borderId="13" xfId="0" applyFont="1" applyFill="1" applyBorder="1" applyAlignment="1">
      <alignment horizontal="center"/>
    </xf>
    <xf numFmtId="0" fontId="171" fillId="95" borderId="0" xfId="0" applyFont="1" applyFill="1" applyAlignment="1">
      <alignment horizontal="center"/>
    </xf>
    <xf numFmtId="0" fontId="171" fillId="95" borderId="16" xfId="0" applyFont="1" applyFill="1" applyBorder="1"/>
    <xf numFmtId="40" fontId="171" fillId="95" borderId="16" xfId="0" applyNumberFormat="1" applyFont="1" applyFill="1" applyBorder="1" applyAlignment="1">
      <alignment horizontal="center"/>
    </xf>
    <xf numFmtId="0" fontId="50" fillId="27" borderId="0" xfId="0" applyFont="1" applyFill="1" applyAlignment="1">
      <alignment horizontal="left"/>
    </xf>
    <xf numFmtId="0" fontId="25" fillId="94" borderId="13" xfId="0" applyFont="1" applyFill="1" applyBorder="1" applyAlignment="1">
      <alignment horizontal="center"/>
    </xf>
    <xf numFmtId="40" fontId="25" fillId="94" borderId="16" xfId="0" applyNumberFormat="1" applyFont="1" applyFill="1" applyBorder="1" applyAlignment="1">
      <alignment horizontal="center"/>
    </xf>
    <xf numFmtId="0" fontId="171" fillId="95" borderId="16" xfId="0" applyFont="1" applyFill="1" applyBorder="1" applyAlignment="1">
      <alignment horizontal="center"/>
    </xf>
    <xf numFmtId="43" fontId="99" fillId="0" borderId="0" xfId="65" applyFont="1" applyFill="1"/>
    <xf numFmtId="0" fontId="0" fillId="0" borderId="63" xfId="0" applyBorder="1"/>
    <xf numFmtId="0" fontId="0" fillId="0" borderId="62" xfId="0" applyBorder="1"/>
    <xf numFmtId="0" fontId="4" fillId="96" borderId="13" xfId="0" applyFont="1" applyFill="1" applyBorder="1"/>
    <xf numFmtId="0" fontId="0" fillId="96" borderId="13" xfId="0" applyFill="1" applyBorder="1"/>
    <xf numFmtId="0" fontId="0" fillId="96" borderId="61" xfId="0" applyFill="1" applyBorder="1"/>
    <xf numFmtId="0" fontId="0" fillId="96" borderId="0" xfId="0" applyFill="1"/>
    <xf numFmtId="0" fontId="0" fillId="96" borderId="63" xfId="0" applyFill="1" applyBorder="1"/>
    <xf numFmtId="0" fontId="4" fillId="96" borderId="62" xfId="0" applyFont="1" applyFill="1" applyBorder="1" applyAlignment="1">
      <alignment horizontal="left" indent="1"/>
    </xf>
    <xf numFmtId="0" fontId="4" fillId="96" borderId="0" xfId="0" applyFont="1" applyFill="1"/>
    <xf numFmtId="0" fontId="106" fillId="96" borderId="62" xfId="0" applyFont="1" applyFill="1" applyBorder="1" applyAlignment="1">
      <alignment horizontal="left" indent="1"/>
    </xf>
    <xf numFmtId="0" fontId="25" fillId="96" borderId="62" xfId="0" applyFont="1" applyFill="1" applyBorder="1" applyAlignment="1">
      <alignment horizontal="left" indent="1"/>
    </xf>
    <xf numFmtId="0" fontId="173" fillId="96" borderId="62" xfId="0" applyFont="1" applyFill="1" applyBorder="1" applyAlignment="1">
      <alignment horizontal="left" indent="1"/>
    </xf>
    <xf numFmtId="0" fontId="4" fillId="96" borderId="16" xfId="0" applyFont="1" applyFill="1" applyBorder="1"/>
    <xf numFmtId="0" fontId="0" fillId="96" borderId="16" xfId="0" applyFill="1" applyBorder="1"/>
    <xf numFmtId="0" fontId="0" fillId="96" borderId="65" xfId="0" applyFill="1" applyBorder="1"/>
    <xf numFmtId="0" fontId="25" fillId="96" borderId="31" xfId="0" applyFont="1" applyFill="1" applyBorder="1" applyAlignment="1">
      <alignment horizontal="left"/>
    </xf>
    <xf numFmtId="0" fontId="25" fillId="96" borderId="62" xfId="0" applyFont="1" applyFill="1" applyBorder="1" applyAlignment="1">
      <alignment horizontal="left"/>
    </xf>
    <xf numFmtId="0" fontId="0" fillId="96" borderId="62" xfId="0" applyFill="1" applyBorder="1" applyAlignment="1">
      <alignment horizontal="left"/>
    </xf>
    <xf numFmtId="184" fontId="99" fillId="0" borderId="0" xfId="267" applyNumberFormat="1" applyFont="1" applyAlignment="1">
      <alignment horizontal="center"/>
    </xf>
    <xf numFmtId="184" fontId="4" fillId="0" borderId="0" xfId="267" applyNumberFormat="1" applyAlignment="1">
      <alignment horizontal="center"/>
    </xf>
    <xf numFmtId="37" fontId="37" fillId="0" borderId="62" xfId="0" applyNumberFormat="1" applyFont="1" applyBorder="1"/>
    <xf numFmtId="37" fontId="37" fillId="0" borderId="63" xfId="0" applyNumberFormat="1" applyFont="1" applyBorder="1"/>
    <xf numFmtId="37" fontId="49" fillId="0" borderId="62" xfId="0" applyNumberFormat="1" applyFont="1" applyBorder="1" applyAlignment="1">
      <alignment horizontal="right"/>
    </xf>
    <xf numFmtId="37" fontId="49" fillId="0" borderId="63" xfId="0" applyNumberFormat="1" applyFont="1" applyBorder="1" applyAlignment="1">
      <alignment horizontal="center"/>
    </xf>
    <xf numFmtId="167" fontId="49" fillId="0" borderId="63" xfId="10761" applyNumberFormat="1" applyFont="1" applyFill="1" applyBorder="1" applyAlignment="1"/>
    <xf numFmtId="180" fontId="5" fillId="0" borderId="62" xfId="229" applyNumberFormat="1" applyFont="1" applyBorder="1" applyAlignment="1">
      <alignment horizontal="right"/>
    </xf>
    <xf numFmtId="178" fontId="49" fillId="0" borderId="61" xfId="96" applyNumberFormat="1" applyFont="1" applyFill="1" applyBorder="1" applyAlignment="1"/>
    <xf numFmtId="37" fontId="5" fillId="0" borderId="62" xfId="0" applyNumberFormat="1" applyFont="1" applyBorder="1" applyAlignment="1">
      <alignment horizontal="right"/>
    </xf>
    <xf numFmtId="37" fontId="5" fillId="0" borderId="63" xfId="0" applyNumberFormat="1" applyFont="1" applyBorder="1"/>
    <xf numFmtId="10" fontId="49" fillId="0" borderId="63" xfId="230" applyNumberFormat="1" applyFont="1" applyFill="1" applyBorder="1" applyAlignment="1"/>
    <xf numFmtId="10" fontId="49" fillId="0" borderId="65" xfId="230" applyNumberFormat="1" applyFont="1" applyFill="1" applyBorder="1" applyAlignment="1"/>
    <xf numFmtId="37" fontId="5" fillId="0" borderId="62" xfId="0" applyNumberFormat="1" applyFont="1" applyBorder="1"/>
    <xf numFmtId="10" fontId="167" fillId="0" borderId="63" xfId="230" applyNumberFormat="1" applyFont="1" applyFill="1" applyBorder="1" applyAlignment="1"/>
    <xf numFmtId="37" fontId="49" fillId="26" borderId="63" xfId="0" applyNumberFormat="1" applyFont="1" applyFill="1" applyBorder="1"/>
    <xf numFmtId="37" fontId="164" fillId="0" borderId="64" xfId="0" applyNumberFormat="1" applyFont="1" applyBorder="1" applyAlignment="1">
      <alignment horizontal="right"/>
    </xf>
    <xf numFmtId="167" fontId="49" fillId="0" borderId="16" xfId="63" applyNumberFormat="1" applyFont="1" applyFill="1" applyBorder="1" applyAlignment="1"/>
    <xf numFmtId="167" fontId="49" fillId="0" borderId="65" xfId="63" applyNumberFormat="1" applyFont="1" applyFill="1" applyBorder="1" applyAlignment="1"/>
    <xf numFmtId="0" fontId="4" fillId="0" borderId="62" xfId="0" applyFont="1" applyBorder="1"/>
    <xf numFmtId="37" fontId="49" fillId="0" borderId="64" xfId="0" applyNumberFormat="1" applyFont="1" applyBorder="1" applyAlignment="1">
      <alignment horizontal="right"/>
    </xf>
    <xf numFmtId="167" fontId="49" fillId="0" borderId="30" xfId="10761" applyNumberFormat="1" applyFont="1" applyFill="1" applyBorder="1" applyAlignment="1"/>
    <xf numFmtId="10" fontId="49" fillId="0" borderId="66" xfId="230" applyNumberFormat="1" applyFont="1" applyFill="1" applyBorder="1" applyAlignment="1"/>
    <xf numFmtId="167" fontId="5" fillId="0" borderId="0" xfId="63" applyNumberFormat="1" applyFont="1" applyFill="1" applyProtection="1"/>
    <xf numFmtId="167" fontId="52" fillId="0" borderId="0" xfId="63" applyNumberFormat="1" applyFont="1" applyFill="1" applyProtection="1"/>
    <xf numFmtId="167" fontId="99" fillId="0" borderId="0" xfId="63" applyNumberFormat="1" applyFont="1"/>
    <xf numFmtId="167" fontId="99" fillId="0" borderId="16" xfId="63" applyNumberFormat="1" applyFont="1" applyFill="1" applyBorder="1"/>
    <xf numFmtId="43" fontId="111" fillId="20" borderId="0" xfId="65" applyFont="1" applyFill="1" applyBorder="1"/>
    <xf numFmtId="43" fontId="25" fillId="0" borderId="0" xfId="65" applyFont="1" applyFill="1" applyBorder="1"/>
    <xf numFmtId="167" fontId="25" fillId="0" borderId="0" xfId="65" applyNumberFormat="1" applyFont="1" applyFill="1" applyBorder="1"/>
    <xf numFmtId="167" fontId="76" fillId="0" borderId="0" xfId="70" applyNumberFormat="1" applyFont="1" applyFill="1" applyBorder="1"/>
    <xf numFmtId="178" fontId="99" fillId="0" borderId="0" xfId="96" applyNumberFormat="1" applyFont="1" applyFill="1"/>
    <xf numFmtId="167" fontId="43" fillId="0" borderId="0" xfId="63" applyNumberFormat="1" applyFont="1" applyFill="1"/>
    <xf numFmtId="167" fontId="105" fillId="0" borderId="0" xfId="0" applyNumberFormat="1" applyFont="1"/>
    <xf numFmtId="167" fontId="97" fillId="0" borderId="16" xfId="68" applyNumberFormat="1" applyFont="1" applyFill="1" applyBorder="1"/>
    <xf numFmtId="167" fontId="53" fillId="0" borderId="0" xfId="63" applyNumberFormat="1" applyFont="1" applyFill="1"/>
    <xf numFmtId="167" fontId="43" fillId="0" borderId="14" xfId="63" applyNumberFormat="1" applyFont="1" applyFill="1" applyBorder="1"/>
    <xf numFmtId="167" fontId="31" fillId="0" borderId="0" xfId="63" applyNumberFormat="1" applyFont="1" applyFill="1"/>
    <xf numFmtId="167" fontId="43" fillId="0" borderId="16" xfId="63" applyNumberFormat="1" applyFont="1" applyFill="1" applyBorder="1"/>
    <xf numFmtId="167" fontId="97" fillId="0" borderId="0" xfId="63" applyNumberFormat="1" applyFont="1" applyFill="1" applyAlignment="1">
      <alignment horizontal="center"/>
    </xf>
    <xf numFmtId="167" fontId="99" fillId="0" borderId="16" xfId="68" applyNumberFormat="1" applyFont="1" applyFill="1" applyBorder="1"/>
    <xf numFmtId="167" fontId="30" fillId="0" borderId="14" xfId="68" applyNumberFormat="1" applyFill="1" applyBorder="1"/>
    <xf numFmtId="43" fontId="0" fillId="0" borderId="0" xfId="63" applyFont="1" applyFill="1"/>
    <xf numFmtId="178" fontId="4" fillId="21" borderId="0" xfId="99" applyNumberFormat="1" applyFont="1" applyFill="1"/>
    <xf numFmtId="167" fontId="4" fillId="21" borderId="0" xfId="63" applyNumberFormat="1" applyFont="1" applyFill="1"/>
    <xf numFmtId="167" fontId="4" fillId="21" borderId="16" xfId="63" applyNumberFormat="1" applyFont="1" applyFill="1" applyBorder="1"/>
    <xf numFmtId="43" fontId="4" fillId="21" borderId="0" xfId="63" applyFont="1" applyFill="1"/>
    <xf numFmtId="43" fontId="4" fillId="21" borderId="14" xfId="63" applyFont="1" applyFill="1" applyBorder="1"/>
    <xf numFmtId="43" fontId="4" fillId="21" borderId="0" xfId="68" applyFont="1" applyFill="1"/>
    <xf numFmtId="167" fontId="4" fillId="21" borderId="14" xfId="63" applyNumberFormat="1" applyFont="1" applyFill="1" applyBorder="1"/>
    <xf numFmtId="184" fontId="4" fillId="0" borderId="0" xfId="0" applyNumberFormat="1" applyFont="1"/>
    <xf numFmtId="10" fontId="4" fillId="0" borderId="0" xfId="229" applyNumberFormat="1" applyFont="1"/>
    <xf numFmtId="167" fontId="4" fillId="0" borderId="0" xfId="63" applyNumberFormat="1" applyFont="1" applyFill="1" applyAlignment="1">
      <alignment horizontal="center"/>
    </xf>
    <xf numFmtId="167" fontId="0" fillId="21" borderId="0" xfId="63" applyNumberFormat="1" applyFont="1" applyFill="1"/>
    <xf numFmtId="167" fontId="25" fillId="0" borderId="0" xfId="63" applyNumberFormat="1" applyFont="1" applyAlignment="1">
      <alignment horizontal="center"/>
    </xf>
    <xf numFmtId="167" fontId="0" fillId="21" borderId="13" xfId="63" applyNumberFormat="1" applyFont="1" applyFill="1" applyBorder="1"/>
    <xf numFmtId="167" fontId="0" fillId="21" borderId="30" xfId="63" applyNumberFormat="1" applyFont="1" applyFill="1" applyBorder="1"/>
    <xf numFmtId="167" fontId="0" fillId="21" borderId="16" xfId="63" applyNumberFormat="1" applyFont="1" applyFill="1" applyBorder="1"/>
    <xf numFmtId="167" fontId="25" fillId="0" borderId="30" xfId="63" applyNumberFormat="1" applyFont="1" applyBorder="1" applyAlignment="1">
      <alignment horizontal="center"/>
    </xf>
    <xf numFmtId="167" fontId="0" fillId="21" borderId="29" xfId="63" applyNumberFormat="1" applyFont="1" applyFill="1" applyBorder="1"/>
    <xf numFmtId="167" fontId="43" fillId="0" borderId="30" xfId="63" applyNumberFormat="1" applyFont="1" applyFill="1" applyBorder="1"/>
    <xf numFmtId="43" fontId="43" fillId="0" borderId="30" xfId="63" applyFont="1" applyFill="1" applyBorder="1"/>
    <xf numFmtId="43" fontId="4" fillId="0" borderId="0" xfId="63" applyFill="1"/>
    <xf numFmtId="167" fontId="43" fillId="0" borderId="29" xfId="63" applyNumberFormat="1" applyFont="1" applyFill="1" applyBorder="1"/>
    <xf numFmtId="43" fontId="4" fillId="0" borderId="0" xfId="63" applyFont="1" applyFill="1" applyAlignment="1">
      <alignment horizontal="center"/>
    </xf>
    <xf numFmtId="43" fontId="99" fillId="0" borderId="0" xfId="68" applyFont="1" applyFill="1" applyAlignment="1">
      <alignment horizontal="center"/>
    </xf>
    <xf numFmtId="43" fontId="97" fillId="0" borderId="0" xfId="63" applyFont="1" applyAlignment="1">
      <alignment horizontal="center"/>
    </xf>
    <xf numFmtId="43" fontId="97" fillId="0" borderId="0" xfId="63" applyFont="1" applyFill="1" applyAlignment="1">
      <alignment horizontal="center"/>
    </xf>
    <xf numFmtId="43" fontId="97" fillId="0" borderId="0" xfId="63" applyFont="1" applyFill="1" applyBorder="1" applyAlignment="1">
      <alignment horizontal="center"/>
    </xf>
    <xf numFmtId="43" fontId="97" fillId="0" borderId="16" xfId="63" applyFont="1" applyFill="1" applyBorder="1" applyAlignment="1">
      <alignment horizontal="center"/>
    </xf>
    <xf numFmtId="43" fontId="99" fillId="0" borderId="0" xfId="63" applyFont="1" applyAlignment="1">
      <alignment horizontal="center"/>
    </xf>
    <xf numFmtId="43" fontId="99" fillId="0" borderId="0" xfId="63" applyFont="1" applyFill="1" applyAlignment="1">
      <alignment horizontal="center"/>
    </xf>
    <xf numFmtId="43" fontId="99" fillId="0" borderId="16" xfId="63" applyFont="1" applyFill="1" applyBorder="1" applyAlignment="1">
      <alignment horizontal="center"/>
    </xf>
    <xf numFmtId="43" fontId="99" fillId="0" borderId="0" xfId="63" applyFont="1" applyFill="1" applyBorder="1" applyAlignment="1">
      <alignment horizontal="center"/>
    </xf>
    <xf numFmtId="17" fontId="4" fillId="94" borderId="16" xfId="0" applyNumberFormat="1" applyFont="1" applyFill="1" applyBorder="1" applyAlignment="1">
      <alignment horizontal="center"/>
    </xf>
    <xf numFmtId="17" fontId="4" fillId="94" borderId="65" xfId="0" applyNumberFormat="1" applyFont="1" applyFill="1" applyBorder="1" applyAlignment="1">
      <alignment horizontal="center"/>
    </xf>
    <xf numFmtId="43" fontId="4" fillId="94" borderId="13" xfId="63" applyFont="1" applyFill="1" applyBorder="1" applyAlignment="1">
      <alignment horizontal="center"/>
    </xf>
    <xf numFmtId="43" fontId="4" fillId="94" borderId="61" xfId="63" applyFont="1" applyFill="1" applyBorder="1" applyAlignment="1">
      <alignment horizontal="center"/>
    </xf>
    <xf numFmtId="167" fontId="25" fillId="0" borderId="0" xfId="63" applyNumberFormat="1" applyFont="1" applyFill="1" applyAlignment="1">
      <alignment horizontal="center"/>
    </xf>
    <xf numFmtId="0" fontId="25" fillId="0" borderId="31" xfId="0" applyFont="1" applyBorder="1"/>
    <xf numFmtId="0" fontId="118" fillId="0" borderId="0" xfId="0" applyFont="1" applyAlignment="1" applyProtection="1">
      <alignment horizontal="left"/>
      <protection locked="0"/>
    </xf>
    <xf numFmtId="0" fontId="118" fillId="0" borderId="0" xfId="82" applyNumberFormat="1" applyFont="1" applyFill="1" applyAlignment="1">
      <alignment horizontal="center"/>
    </xf>
    <xf numFmtId="167" fontId="118" fillId="0" borderId="36" xfId="82" applyNumberFormat="1" applyFont="1" applyFill="1" applyBorder="1" applyAlignment="1">
      <alignment horizontal="center"/>
    </xf>
    <xf numFmtId="16" fontId="25" fillId="0" borderId="28" xfId="0" quotePrefix="1" applyNumberFormat="1" applyFont="1" applyBorder="1" applyAlignment="1">
      <alignment horizontal="centerContinuous"/>
    </xf>
    <xf numFmtId="0" fontId="118" fillId="0" borderId="38" xfId="82" applyNumberFormat="1" applyFont="1" applyFill="1" applyBorder="1" applyAlignment="1">
      <alignment horizontal="center"/>
    </xf>
    <xf numFmtId="167" fontId="118" fillId="0" borderId="39" xfId="82" applyNumberFormat="1" applyFont="1" applyFill="1" applyBorder="1" applyAlignment="1">
      <alignment horizontal="center"/>
    </xf>
    <xf numFmtId="167" fontId="4" fillId="94" borderId="13" xfId="63" applyNumberFormat="1" applyFont="1" applyFill="1" applyBorder="1" applyAlignment="1">
      <alignment horizontal="center"/>
    </xf>
    <xf numFmtId="0" fontId="24" fillId="94" borderId="13" xfId="0" applyFont="1" applyFill="1" applyBorder="1" applyAlignment="1">
      <alignment horizontal="center"/>
    </xf>
    <xf numFmtId="0" fontId="25" fillId="0" borderId="0" xfId="0" applyFont="1" applyAlignment="1">
      <alignment horizontal="right"/>
    </xf>
    <xf numFmtId="10" fontId="76" fillId="0" borderId="0" xfId="232" applyNumberFormat="1" applyFont="1" applyFill="1"/>
    <xf numFmtId="10" fontId="4" fillId="0" borderId="0" xfId="229" applyNumberFormat="1" applyFont="1" applyFill="1"/>
    <xf numFmtId="10" fontId="99" fillId="0" borderId="0" xfId="229" applyNumberFormat="1" applyFont="1" applyFill="1"/>
    <xf numFmtId="0" fontId="174" fillId="95" borderId="0" xfId="0" applyFont="1" applyFill="1"/>
    <xf numFmtId="0" fontId="175" fillId="95" borderId="0" xfId="0" applyFont="1" applyFill="1"/>
    <xf numFmtId="0" fontId="100" fillId="0" borderId="0" xfId="0" applyFont="1" applyAlignment="1">
      <alignment horizontal="centerContinuous"/>
    </xf>
    <xf numFmtId="37" fontId="176" fillId="95" borderId="31" xfId="0" applyNumberFormat="1" applyFont="1" applyFill="1" applyBorder="1"/>
    <xf numFmtId="37" fontId="176" fillId="95" borderId="13" xfId="0" applyNumberFormat="1" applyFont="1" applyFill="1" applyBorder="1"/>
    <xf numFmtId="37" fontId="176" fillId="95" borderId="61" xfId="0" applyNumberFormat="1" applyFont="1" applyFill="1" applyBorder="1"/>
    <xf numFmtId="0" fontId="169" fillId="95" borderId="13" xfId="0" applyFont="1" applyFill="1" applyBorder="1"/>
    <xf numFmtId="0" fontId="169" fillId="95" borderId="61" xfId="0" applyFont="1" applyFill="1" applyBorder="1"/>
    <xf numFmtId="0" fontId="177" fillId="0" borderId="62" xfId="0" applyFont="1" applyBorder="1"/>
    <xf numFmtId="10" fontId="75" fillId="0" borderId="0" xfId="232" applyNumberFormat="1" applyFont="1"/>
    <xf numFmtId="10" fontId="172" fillId="0" borderId="0" xfId="39610" applyNumberFormat="1" applyFont="1" applyFill="1"/>
    <xf numFmtId="10" fontId="75" fillId="0" borderId="0" xfId="232" applyNumberFormat="1" applyFont="1" applyFill="1"/>
    <xf numFmtId="10" fontId="172" fillId="0" borderId="0" xfId="232" applyNumberFormat="1" applyFont="1" applyFill="1"/>
    <xf numFmtId="167" fontId="4" fillId="25" borderId="0" xfId="68" applyNumberFormat="1" applyFont="1" applyFill="1" applyBorder="1"/>
    <xf numFmtId="167" fontId="4" fillId="25" borderId="0" xfId="0" applyNumberFormat="1" applyFont="1" applyFill="1"/>
    <xf numFmtId="167" fontId="4" fillId="25" borderId="0" xfId="63" applyNumberFormat="1" applyFont="1" applyFill="1" applyBorder="1" applyAlignment="1">
      <alignment horizontal="center"/>
    </xf>
    <xf numFmtId="0" fontId="111" fillId="96" borderId="62" xfId="0" applyFont="1" applyFill="1" applyBorder="1" applyAlignment="1">
      <alignment horizontal="left" indent="1"/>
    </xf>
    <xf numFmtId="0" fontId="111" fillId="25" borderId="64" xfId="0" applyFont="1" applyFill="1" applyBorder="1" applyAlignment="1">
      <alignment horizontal="left" indent="1"/>
    </xf>
    <xf numFmtId="170" fontId="97" fillId="21" borderId="0" xfId="0" applyNumberFormat="1" applyFont="1" applyFill="1"/>
    <xf numFmtId="167" fontId="76" fillId="21" borderId="29" xfId="70" applyNumberFormat="1" applyFont="1" applyFill="1" applyBorder="1"/>
    <xf numFmtId="0" fontId="97" fillId="97" borderId="0" xfId="0" applyFont="1" applyFill="1" applyAlignment="1">
      <alignment horizontal="left"/>
    </xf>
    <xf numFmtId="0" fontId="97" fillId="97" borderId="0" xfId="0" applyFont="1" applyFill="1"/>
    <xf numFmtId="0" fontId="97" fillId="97" borderId="0" xfId="0" quotePrefix="1" applyFont="1" applyFill="1"/>
    <xf numFmtId="167" fontId="4" fillId="0" borderId="0" xfId="67" applyNumberFormat="1" applyFill="1"/>
    <xf numFmtId="10" fontId="4" fillId="29" borderId="0" xfId="0" applyNumberFormat="1" applyFont="1" applyFill="1" applyProtection="1">
      <protection locked="0"/>
    </xf>
    <xf numFmtId="37" fontId="4" fillId="29" borderId="34" xfId="0" applyNumberFormat="1" applyFont="1" applyFill="1" applyBorder="1"/>
    <xf numFmtId="167" fontId="4" fillId="0" borderId="0" xfId="63" applyNumberFormat="1" applyFont="1" applyFill="1" applyBorder="1" applyAlignment="1">
      <alignment horizontal="center"/>
    </xf>
    <xf numFmtId="167" fontId="0" fillId="0" borderId="0" xfId="63" applyNumberFormat="1" applyFont="1" applyFill="1" applyAlignment="1">
      <alignment horizontal="centerContinuous"/>
    </xf>
    <xf numFmtId="167" fontId="4" fillId="0" borderId="13" xfId="63" applyNumberFormat="1" applyFont="1" applyFill="1" applyBorder="1" applyAlignment="1">
      <alignment horizontal="center"/>
    </xf>
    <xf numFmtId="17" fontId="4" fillId="0" borderId="16" xfId="0" applyNumberFormat="1" applyFont="1" applyBorder="1" applyAlignment="1">
      <alignment horizontal="center"/>
    </xf>
    <xf numFmtId="43" fontId="99" fillId="98" borderId="0" xfId="10761" applyFont="1" applyFill="1"/>
    <xf numFmtId="43" fontId="99" fillId="98" borderId="0" xfId="65" applyFont="1" applyFill="1"/>
    <xf numFmtId="167" fontId="99" fillId="98" borderId="0" xfId="10761" applyNumberFormat="1" applyFont="1" applyFill="1"/>
    <xf numFmtId="167" fontId="99" fillId="20" borderId="0" xfId="0" applyNumberFormat="1" applyFont="1" applyFill="1"/>
    <xf numFmtId="37" fontId="5" fillId="28" borderId="0" xfId="0" applyNumberFormat="1" applyFont="1" applyFill="1"/>
    <xf numFmtId="43" fontId="97" fillId="20" borderId="0" xfId="68" applyFont="1" applyFill="1" applyAlignment="1">
      <alignment horizontal="center"/>
    </xf>
    <xf numFmtId="167" fontId="99" fillId="28" borderId="0" xfId="0" applyNumberFormat="1" applyFont="1" applyFill="1"/>
    <xf numFmtId="0" fontId="37" fillId="0" borderId="0" xfId="12762" applyFont="1" applyAlignment="1">
      <alignment vertical="center"/>
    </xf>
    <xf numFmtId="0" fontId="4" fillId="0" borderId="0" xfId="12762"/>
    <xf numFmtId="0" fontId="4" fillId="0" borderId="0" xfId="12762" applyAlignment="1">
      <alignment vertical="center"/>
    </xf>
    <xf numFmtId="37" fontId="111" fillId="0" borderId="0" xfId="12762" applyNumberFormat="1" applyFont="1" applyAlignment="1">
      <alignment vertical="center"/>
    </xf>
    <xf numFmtId="0" fontId="106" fillId="0" borderId="0" xfId="12762" applyFont="1" applyAlignment="1">
      <alignment horizontal="center" vertical="center"/>
    </xf>
    <xf numFmtId="0" fontId="25" fillId="0" borderId="0" xfId="12762" applyFont="1" applyAlignment="1">
      <alignment horizontal="center" vertical="center"/>
    </xf>
    <xf numFmtId="0" fontId="25" fillId="0" borderId="0" xfId="12762" applyFont="1" applyAlignment="1">
      <alignment horizontal="center"/>
    </xf>
    <xf numFmtId="0" fontId="25" fillId="0" borderId="0" xfId="12762" applyFont="1" applyAlignment="1">
      <alignment vertical="center"/>
    </xf>
    <xf numFmtId="167" fontId="99" fillId="0" borderId="0" xfId="67" applyNumberFormat="1" applyFont="1" applyAlignment="1">
      <alignment vertical="center"/>
    </xf>
    <xf numFmtId="0" fontId="25" fillId="0" borderId="0" xfId="12762" applyFont="1"/>
    <xf numFmtId="0" fontId="2" fillId="0" borderId="0" xfId="20999"/>
    <xf numFmtId="167" fontId="4" fillId="0" borderId="0" xfId="67" applyNumberFormat="1" applyFont="1" applyFill="1" applyAlignment="1">
      <alignment vertical="center"/>
    </xf>
    <xf numFmtId="0" fontId="4" fillId="0" borderId="0" xfId="39611"/>
    <xf numFmtId="0" fontId="25" fillId="0" borderId="0" xfId="12762" applyFont="1" applyAlignment="1">
      <alignment horizontal="left"/>
    </xf>
    <xf numFmtId="167" fontId="25" fillId="18" borderId="0" xfId="67" applyNumberFormat="1" applyFont="1" applyFill="1" applyAlignment="1">
      <alignment vertical="center"/>
    </xf>
    <xf numFmtId="167" fontId="0" fillId="0" borderId="0" xfId="67" applyNumberFormat="1" applyFont="1"/>
    <xf numFmtId="14" fontId="4" fillId="0" borderId="0" xfId="12762" applyNumberFormat="1"/>
    <xf numFmtId="167" fontId="4" fillId="0" borderId="0" xfId="12762" applyNumberFormat="1"/>
    <xf numFmtId="0" fontId="4" fillId="20" borderId="0" xfId="12762" applyFill="1"/>
    <xf numFmtId="178" fontId="99" fillId="28" borderId="0" xfId="96" applyNumberFormat="1" applyFont="1" applyFill="1"/>
    <xf numFmtId="167" fontId="99" fillId="28" borderId="0" xfId="68" applyNumberFormat="1" applyFont="1" applyFill="1"/>
    <xf numFmtId="167" fontId="99" fillId="20" borderId="0" xfId="68" applyNumberFormat="1" applyFont="1" applyFill="1"/>
    <xf numFmtId="0" fontId="24" fillId="0" borderId="0" xfId="12739" applyFont="1"/>
    <xf numFmtId="0" fontId="24" fillId="0" borderId="0" xfId="12739" applyFont="1" applyAlignment="1">
      <alignment horizontal="centerContinuous"/>
    </xf>
    <xf numFmtId="0" fontId="4" fillId="0" borderId="0" xfId="12739"/>
    <xf numFmtId="0" fontId="23" fillId="0" borderId="0" xfId="12739" applyFont="1"/>
    <xf numFmtId="166" fontId="24" fillId="0" borderId="0" xfId="12739" applyNumberFormat="1" applyFont="1"/>
    <xf numFmtId="0" fontId="24" fillId="0" borderId="0" xfId="12739" applyFont="1" applyAlignment="1">
      <alignment horizontal="center"/>
    </xf>
    <xf numFmtId="0" fontId="29" fillId="0" borderId="0" xfId="12739" applyFont="1" applyAlignment="1">
      <alignment horizontal="center"/>
    </xf>
    <xf numFmtId="39" fontId="24" fillId="0" borderId="0" xfId="12739" applyNumberFormat="1" applyFont="1"/>
    <xf numFmtId="0" fontId="24" fillId="0" borderId="0" xfId="12739" applyFont="1" applyAlignment="1">
      <alignment horizontal="right"/>
    </xf>
    <xf numFmtId="37" fontId="28" fillId="0" borderId="0" xfId="12739" applyNumberFormat="1" applyFont="1" applyProtection="1">
      <protection locked="0"/>
    </xf>
    <xf numFmtId="37" fontId="24" fillId="0" borderId="0" xfId="12739" applyNumberFormat="1" applyFont="1"/>
    <xf numFmtId="39" fontId="28" fillId="0" borderId="0" xfId="12739" applyNumberFormat="1" applyFont="1" applyProtection="1">
      <protection locked="0"/>
    </xf>
    <xf numFmtId="49" fontId="24" fillId="0" borderId="0" xfId="12739" applyNumberFormat="1" applyFont="1" applyAlignment="1">
      <alignment horizontal="left"/>
    </xf>
    <xf numFmtId="49" fontId="24" fillId="0" borderId="0" xfId="12739" applyNumberFormat="1" applyFont="1" applyAlignment="1">
      <alignment horizontal="center"/>
    </xf>
    <xf numFmtId="174" fontId="24" fillId="0" borderId="0" xfId="12739" applyNumberFormat="1" applyFont="1" applyAlignment="1">
      <alignment horizontal="left"/>
    </xf>
    <xf numFmtId="39" fontId="4" fillId="0" borderId="0" xfId="12739" applyNumberFormat="1"/>
    <xf numFmtId="39" fontId="114" fillId="0" borderId="0" xfId="12739" applyNumberFormat="1" applyFont="1"/>
    <xf numFmtId="37" fontId="28" fillId="25" borderId="0" xfId="12739" applyNumberFormat="1" applyFont="1" applyFill="1" applyProtection="1">
      <protection locked="0"/>
    </xf>
    <xf numFmtId="37" fontId="24" fillId="25" borderId="0" xfId="12739" applyNumberFormat="1" applyFont="1" applyFill="1"/>
    <xf numFmtId="0" fontId="4" fillId="0" borderId="16" xfId="12739" applyBorder="1"/>
    <xf numFmtId="0" fontId="49" fillId="0" borderId="0" xfId="0" applyFont="1" applyAlignment="1">
      <alignment horizontal="centerContinuous"/>
    </xf>
    <xf numFmtId="191" fontId="76" fillId="0" borderId="0" xfId="0" applyNumberFormat="1" applyFont="1" applyAlignment="1">
      <alignment horizontal="center"/>
    </xf>
    <xf numFmtId="0" fontId="75" fillId="0" borderId="0" xfId="0" applyFont="1"/>
    <xf numFmtId="0" fontId="179" fillId="0" borderId="0" xfId="0" applyFont="1"/>
    <xf numFmtId="0" fontId="180" fillId="0" borderId="0" xfId="0" quotePrefix="1" applyFont="1" applyAlignment="1">
      <alignment horizontal="center"/>
    </xf>
    <xf numFmtId="0" fontId="180" fillId="0" borderId="0" xfId="0" applyFont="1"/>
    <xf numFmtId="192" fontId="25" fillId="0" borderId="0" xfId="0" applyNumberFormat="1" applyFont="1"/>
    <xf numFmtId="37" fontId="4" fillId="0" borderId="16" xfId="0" applyNumberFormat="1" applyFont="1" applyBorder="1"/>
    <xf numFmtId="167" fontId="4" fillId="0" borderId="0" xfId="39612" applyNumberFormat="1" applyFont="1" applyFill="1"/>
    <xf numFmtId="43" fontId="4" fillId="0" borderId="0" xfId="39612" applyFont="1" applyFill="1" applyBorder="1"/>
    <xf numFmtId="43" fontId="75" fillId="0" borderId="0" xfId="0" applyNumberFormat="1" applyFont="1"/>
    <xf numFmtId="43" fontId="4" fillId="0" borderId="0" xfId="0" applyNumberFormat="1" applyFont="1"/>
    <xf numFmtId="2" fontId="4" fillId="0" borderId="0" xfId="0" applyNumberFormat="1" applyFont="1"/>
    <xf numFmtId="43" fontId="4" fillId="0" borderId="0" xfId="398" applyFont="1" applyFill="1"/>
    <xf numFmtId="0" fontId="75" fillId="0" borderId="0" xfId="0" applyFont="1" applyAlignment="1">
      <alignment horizontal="right"/>
    </xf>
    <xf numFmtId="0" fontId="76" fillId="0" borderId="0" xfId="0" applyFont="1"/>
    <xf numFmtId="2" fontId="75" fillId="0" borderId="0" xfId="0" applyNumberFormat="1" applyFont="1"/>
    <xf numFmtId="43" fontId="76" fillId="0" borderId="0" xfId="39612" applyFont="1" applyFill="1" applyBorder="1"/>
    <xf numFmtId="167" fontId="25" fillId="0" borderId="0" xfId="39612" applyNumberFormat="1" applyFont="1" applyFill="1" applyBorder="1" applyAlignment="1">
      <alignment horizontal="left"/>
    </xf>
    <xf numFmtId="0" fontId="75" fillId="0" borderId="0" xfId="0" applyFont="1" applyAlignment="1">
      <alignment horizontal="left" indent="1"/>
    </xf>
    <xf numFmtId="167" fontId="75" fillId="0" borderId="0" xfId="39612" applyNumberFormat="1" applyFont="1" applyFill="1"/>
    <xf numFmtId="0" fontId="4" fillId="0" borderId="0" xfId="0" quotePrefix="1" applyFont="1" applyAlignment="1">
      <alignment horizontal="right"/>
    </xf>
    <xf numFmtId="0" fontId="25" fillId="0" borderId="0" xfId="0" applyFont="1" applyAlignment="1">
      <alignment horizontal="left"/>
    </xf>
    <xf numFmtId="2" fontId="4" fillId="0" borderId="0" xfId="39612" applyNumberFormat="1" applyFont="1" applyFill="1"/>
    <xf numFmtId="192" fontId="4" fillId="0" borderId="0" xfId="0" quotePrefix="1" applyNumberFormat="1" applyFont="1" applyAlignment="1">
      <alignment horizontal="right"/>
    </xf>
    <xf numFmtId="10" fontId="25" fillId="0" borderId="16" xfId="229" applyNumberFormat="1" applyFont="1" applyFill="1" applyBorder="1"/>
    <xf numFmtId="10" fontId="25" fillId="0" borderId="16" xfId="39612" applyNumberFormat="1" applyFont="1" applyFill="1" applyBorder="1"/>
    <xf numFmtId="10" fontId="4" fillId="0" borderId="30" xfId="229" applyNumberFormat="1" applyFont="1" applyBorder="1"/>
    <xf numFmtId="167" fontId="4" fillId="0" borderId="16" xfId="39612" applyNumberFormat="1" applyFont="1" applyFill="1" applyBorder="1"/>
    <xf numFmtId="0" fontId="75" fillId="0" borderId="0" xfId="0" applyFont="1" applyAlignment="1">
      <alignment horizontal="left"/>
    </xf>
    <xf numFmtId="193" fontId="25" fillId="0" borderId="0" xfId="229" applyNumberFormat="1" applyFont="1"/>
    <xf numFmtId="193" fontId="25" fillId="0" borderId="0" xfId="0" applyNumberFormat="1" applyFont="1"/>
    <xf numFmtId="167" fontId="124" fillId="0" borderId="0" xfId="63" applyNumberFormat="1" applyFont="1"/>
    <xf numFmtId="167" fontId="4" fillId="20" borderId="0" xfId="39612" applyNumberFormat="1" applyFont="1" applyFill="1"/>
    <xf numFmtId="167" fontId="4" fillId="20" borderId="16" xfId="39612" applyNumberFormat="1" applyFont="1" applyFill="1" applyBorder="1"/>
    <xf numFmtId="10" fontId="25" fillId="0" borderId="0" xfId="229" applyNumberFormat="1" applyFont="1" applyFill="1" applyBorder="1"/>
    <xf numFmtId="10" fontId="4" fillId="0" borderId="0" xfId="229" applyNumberFormat="1" applyFont="1" applyBorder="1"/>
    <xf numFmtId="0" fontId="75" fillId="20" borderId="0" xfId="0" applyFont="1" applyFill="1"/>
    <xf numFmtId="2" fontId="4" fillId="20" borderId="0" xfId="0" applyNumberFormat="1" applyFont="1" applyFill="1"/>
    <xf numFmtId="0" fontId="4" fillId="20" borderId="16" xfId="0" applyFont="1" applyFill="1" applyBorder="1"/>
    <xf numFmtId="43" fontId="4" fillId="20" borderId="0" xfId="39612" applyFont="1" applyFill="1" applyBorder="1"/>
    <xf numFmtId="10" fontId="75" fillId="0" borderId="0" xfId="229" applyNumberFormat="1" applyFont="1" applyFill="1"/>
    <xf numFmtId="192" fontId="4" fillId="0" borderId="0" xfId="0" applyNumberFormat="1" applyFont="1"/>
    <xf numFmtId="10" fontId="76" fillId="0" borderId="0" xfId="0" applyNumberFormat="1" applyFont="1"/>
    <xf numFmtId="10" fontId="4" fillId="0" borderId="16" xfId="229" applyNumberFormat="1" applyFont="1" applyBorder="1"/>
    <xf numFmtId="0" fontId="4" fillId="98" borderId="16" xfId="0" applyFont="1" applyFill="1" applyBorder="1"/>
    <xf numFmtId="167" fontId="4" fillId="98" borderId="0" xfId="39612" applyNumberFormat="1" applyFont="1" applyFill="1"/>
    <xf numFmtId="2" fontId="4" fillId="98" borderId="0" xfId="0" applyNumberFormat="1" applyFont="1" applyFill="1"/>
    <xf numFmtId="43" fontId="4" fillId="98" borderId="0" xfId="39612" applyFont="1" applyFill="1" applyBorder="1"/>
    <xf numFmtId="0" fontId="75" fillId="98" borderId="0" xfId="0" applyFont="1" applyFill="1"/>
    <xf numFmtId="180" fontId="4" fillId="0" borderId="0" xfId="229" applyNumberFormat="1" applyFont="1"/>
    <xf numFmtId="180" fontId="4" fillId="0" borderId="0" xfId="0" applyNumberFormat="1" applyFont="1"/>
    <xf numFmtId="180" fontId="4" fillId="20" borderId="0" xfId="0" applyNumberFormat="1" applyFont="1" applyFill="1"/>
    <xf numFmtId="0" fontId="75" fillId="31" borderId="0" xfId="0" applyFont="1" applyFill="1"/>
    <xf numFmtId="167" fontId="4" fillId="31" borderId="0" xfId="39612" applyNumberFormat="1" applyFont="1" applyFill="1"/>
    <xf numFmtId="43" fontId="4" fillId="31" borderId="0" xfId="39612" applyFont="1" applyFill="1" applyBorder="1"/>
    <xf numFmtId="2" fontId="4" fillId="31" borderId="0" xfId="0" applyNumberFormat="1" applyFont="1" applyFill="1"/>
    <xf numFmtId="10" fontId="25" fillId="31" borderId="16" xfId="229" applyNumberFormat="1" applyFont="1" applyFill="1" applyBorder="1"/>
    <xf numFmtId="10" fontId="4" fillId="0" borderId="16" xfId="0" applyNumberFormat="1" applyFont="1" applyBorder="1"/>
    <xf numFmtId="0" fontId="75" fillId="23" borderId="0" xfId="0" applyFont="1" applyFill="1"/>
    <xf numFmtId="167" fontId="4" fillId="23" borderId="0" xfId="39612" applyNumberFormat="1" applyFont="1" applyFill="1"/>
    <xf numFmtId="43" fontId="4" fillId="23" borderId="0" xfId="39612" applyFont="1" applyFill="1" applyBorder="1"/>
    <xf numFmtId="2" fontId="4" fillId="23" borderId="0" xfId="0" applyNumberFormat="1" applyFont="1" applyFill="1"/>
    <xf numFmtId="0" fontId="75" fillId="99" borderId="0" xfId="0" applyFont="1" applyFill="1"/>
    <xf numFmtId="2" fontId="4" fillId="99" borderId="0" xfId="0" applyNumberFormat="1" applyFont="1" applyFill="1"/>
    <xf numFmtId="167" fontId="4" fillId="99" borderId="0" xfId="39612" applyNumberFormat="1" applyFont="1" applyFill="1"/>
    <xf numFmtId="0" fontId="4" fillId="99" borderId="16" xfId="0" applyFont="1" applyFill="1" applyBorder="1"/>
    <xf numFmtId="43" fontId="4" fillId="99" borderId="0" xfId="39612" applyFont="1" applyFill="1" applyBorder="1"/>
    <xf numFmtId="0" fontId="75" fillId="33" borderId="0" xfId="0" applyFont="1" applyFill="1"/>
    <xf numFmtId="167" fontId="4" fillId="33" borderId="0" xfId="39612" applyNumberFormat="1" applyFont="1" applyFill="1"/>
    <xf numFmtId="2" fontId="4" fillId="33" borderId="0" xfId="0" applyNumberFormat="1" applyFont="1" applyFill="1"/>
    <xf numFmtId="167" fontId="4" fillId="0" borderId="0" xfId="39612" applyNumberFormat="1" applyFont="1" applyFill="1" applyBorder="1"/>
    <xf numFmtId="167" fontId="4" fillId="99" borderId="0" xfId="39612" applyNumberFormat="1" applyFont="1" applyFill="1" applyBorder="1"/>
    <xf numFmtId="0" fontId="76" fillId="0" borderId="16" xfId="0" applyFont="1" applyBorder="1" applyAlignment="1">
      <alignment horizontal="center"/>
    </xf>
    <xf numFmtId="2" fontId="0" fillId="0" borderId="0" xfId="0" applyNumberFormat="1"/>
    <xf numFmtId="10" fontId="49" fillId="0" borderId="0" xfId="229" applyNumberFormat="1" applyFont="1" applyAlignment="1">
      <alignment horizontal="right"/>
    </xf>
    <xf numFmtId="10" fontId="49" fillId="0" borderId="0" xfId="229" applyNumberFormat="1" applyFont="1" applyFill="1"/>
    <xf numFmtId="189" fontId="49" fillId="0" borderId="0" xfId="5623" quotePrefix="1" applyNumberFormat="1" applyFont="1" applyAlignment="1">
      <alignment horizontal="left"/>
    </xf>
    <xf numFmtId="10" fontId="49" fillId="0" borderId="0" xfId="229" applyNumberFormat="1" applyFont="1"/>
    <xf numFmtId="167" fontId="172" fillId="0" borderId="0" xfId="232" applyNumberFormat="1" applyFont="1" applyFill="1"/>
    <xf numFmtId="170" fontId="97" fillId="33" borderId="0" xfId="0" applyNumberFormat="1" applyFont="1" applyFill="1"/>
    <xf numFmtId="167" fontId="97" fillId="33" borderId="0" xfId="63" applyNumberFormat="1" applyFont="1" applyFill="1"/>
    <xf numFmtId="43" fontId="170" fillId="33" borderId="0" xfId="65" applyFont="1" applyFill="1"/>
    <xf numFmtId="167" fontId="50" fillId="92" borderId="0" xfId="0" applyNumberFormat="1" applyFont="1" applyFill="1"/>
    <xf numFmtId="43" fontId="50" fillId="92" borderId="0" xfId="0" applyNumberFormat="1" applyFont="1" applyFill="1"/>
    <xf numFmtId="167" fontId="4" fillId="0" borderId="0" xfId="67" applyNumberFormat="1" applyFont="1" applyFill="1" applyBorder="1"/>
    <xf numFmtId="167" fontId="4" fillId="0" borderId="0" xfId="67" applyNumberFormat="1" applyFont="1" applyFill="1"/>
    <xf numFmtId="10" fontId="25" fillId="26" borderId="0" xfId="229" applyNumberFormat="1" applyFont="1" applyFill="1"/>
    <xf numFmtId="0" fontId="182" fillId="100" borderId="13" xfId="39613" applyFont="1" applyBorder="1">
      <alignment vertical="center"/>
    </xf>
    <xf numFmtId="0" fontId="171" fillId="28" borderId="30" xfId="0" applyFont="1" applyFill="1" applyBorder="1" applyAlignment="1">
      <alignment horizontal="centerContinuous"/>
    </xf>
    <xf numFmtId="0" fontId="171" fillId="28" borderId="66" xfId="0" applyFont="1" applyFill="1" applyBorder="1" applyAlignment="1">
      <alignment horizontal="centerContinuous"/>
    </xf>
    <xf numFmtId="0" fontId="183" fillId="0" borderId="0" xfId="39614" applyFont="1" applyAlignment="1">
      <alignment horizontal="center"/>
    </xf>
    <xf numFmtId="0" fontId="181" fillId="100" borderId="0" xfId="39613">
      <alignment vertical="center"/>
    </xf>
    <xf numFmtId="0" fontId="182" fillId="100" borderId="0" xfId="39613" applyFont="1">
      <alignment vertical="center"/>
    </xf>
    <xf numFmtId="0" fontId="185" fillId="0" borderId="68" xfId="39615" applyFont="1" applyBorder="1">
      <alignment horizontal="center"/>
    </xf>
    <xf numFmtId="195" fontId="185" fillId="25" borderId="69" xfId="39616" applyNumberFormat="1" applyAlignment="1">
      <alignment horizontal="center"/>
      <protection locked="0"/>
    </xf>
    <xf numFmtId="195" fontId="185" fillId="0" borderId="0" xfId="39617">
      <alignment horizontal="center"/>
    </xf>
    <xf numFmtId="0" fontId="0" fillId="0" borderId="0" xfId="0" applyAlignment="1">
      <alignment horizontal="right"/>
    </xf>
    <xf numFmtId="197" fontId="185" fillId="25" borderId="69" xfId="39618" applyNumberFormat="1">
      <protection locked="0"/>
    </xf>
    <xf numFmtId="41" fontId="186" fillId="100" borderId="0" xfId="39613" applyNumberFormat="1" applyFont="1">
      <alignment vertical="center"/>
    </xf>
    <xf numFmtId="0" fontId="25" fillId="0" borderId="0" xfId="39614"/>
    <xf numFmtId="0" fontId="186" fillId="0" borderId="0" xfId="39619">
      <alignment vertical="center"/>
    </xf>
    <xf numFmtId="0" fontId="187" fillId="0" borderId="0" xfId="39620" applyAlignment="1">
      <alignment horizontal="right"/>
    </xf>
    <xf numFmtId="196" fontId="185" fillId="0" borderId="0" xfId="39621" applyAlignment="1">
      <alignment horizontal="center"/>
    </xf>
    <xf numFmtId="0" fontId="187" fillId="0" borderId="0" xfId="39620"/>
    <xf numFmtId="0" fontId="188" fillId="0" borderId="0" xfId="39622">
      <alignment horizontal="left" vertical="center"/>
    </xf>
    <xf numFmtId="0" fontId="189" fillId="101" borderId="0" xfId="39623">
      <alignment vertical="center"/>
    </xf>
    <xf numFmtId="0" fontId="190" fillId="102" borderId="0" xfId="39624">
      <alignment vertical="center"/>
    </xf>
    <xf numFmtId="0" fontId="1" fillId="0" borderId="0" xfId="0" applyFont="1"/>
    <xf numFmtId="0" fontId="191" fillId="0" borderId="0" xfId="39625">
      <alignment horizontal="center"/>
    </xf>
    <xf numFmtId="0" fontId="0" fillId="0" borderId="13" xfId="0" applyBorder="1"/>
    <xf numFmtId="198" fontId="193" fillId="0" borderId="70" xfId="39626">
      <alignment horizontal="center" vertical="center"/>
    </xf>
    <xf numFmtId="196" fontId="122" fillId="0" borderId="0" xfId="39621" applyFont="1"/>
    <xf numFmtId="0" fontId="194" fillId="0" borderId="0" xfId="0" applyFont="1"/>
    <xf numFmtId="168" fontId="101" fillId="0" borderId="0" xfId="0" applyNumberFormat="1" applyFont="1"/>
    <xf numFmtId="197" fontId="185" fillId="103" borderId="69" xfId="39618" applyNumberFormat="1" applyFill="1">
      <protection locked="0"/>
    </xf>
    <xf numFmtId="1" fontId="116" fillId="0" borderId="0" xfId="0" applyNumberFormat="1" applyFont="1" applyAlignment="1">
      <alignment horizontal="center"/>
    </xf>
    <xf numFmtId="167" fontId="1" fillId="0" borderId="0" xfId="0" applyNumberFormat="1" applyFont="1"/>
    <xf numFmtId="182" fontId="195" fillId="0" borderId="0" xfId="0" applyNumberFormat="1" applyFont="1"/>
    <xf numFmtId="0" fontId="116" fillId="0" borderId="0" xfId="0" applyFont="1"/>
    <xf numFmtId="0" fontId="0" fillId="103" borderId="0" xfId="0" applyFill="1"/>
    <xf numFmtId="0" fontId="192" fillId="0" borderId="13" xfId="39619" applyFont="1" applyBorder="1" applyAlignment="1">
      <alignment horizontal="left" vertical="center" indent="1"/>
    </xf>
    <xf numFmtId="37" fontId="122" fillId="0" borderId="0" xfId="0" applyNumberFormat="1" applyFont="1"/>
    <xf numFmtId="199" fontId="185" fillId="103" borderId="0" xfId="39628" applyFill="1"/>
    <xf numFmtId="200" fontId="185" fillId="26" borderId="69" xfId="39629" applyNumberFormat="1">
      <protection locked="0"/>
    </xf>
    <xf numFmtId="200" fontId="185" fillId="26" borderId="71" xfId="39629" applyNumberFormat="1" applyBorder="1">
      <protection locked="0"/>
    </xf>
    <xf numFmtId="17" fontId="0" fillId="0" borderId="0" xfId="0" applyNumberFormat="1"/>
    <xf numFmtId="170" fontId="43" fillId="0" borderId="0" xfId="0" quotePrefix="1" applyNumberFormat="1" applyFont="1"/>
    <xf numFmtId="167" fontId="4" fillId="32" borderId="0" xfId="63" applyNumberFormat="1" applyFont="1" applyFill="1"/>
    <xf numFmtId="167" fontId="4" fillId="0" borderId="0" xfId="63" applyNumberFormat="1" applyFont="1" applyAlignment="1">
      <alignment horizontal="center"/>
    </xf>
    <xf numFmtId="168" fontId="4" fillId="0" borderId="0" xfId="63" applyNumberFormat="1" applyFont="1" applyFill="1" applyAlignment="1">
      <alignment horizontal="center"/>
    </xf>
    <xf numFmtId="43" fontId="4" fillId="0" borderId="0" xfId="63" applyFont="1" applyAlignment="1">
      <alignment horizontal="center"/>
    </xf>
    <xf numFmtId="181" fontId="4" fillId="0" borderId="0" xfId="63" applyNumberFormat="1" applyFont="1" applyAlignment="1">
      <alignment horizontal="center"/>
    </xf>
    <xf numFmtId="43" fontId="4" fillId="0" borderId="16" xfId="63" applyFont="1" applyBorder="1" applyAlignment="1">
      <alignment horizontal="center"/>
    </xf>
    <xf numFmtId="43" fontId="4" fillId="28" borderId="16" xfId="63" applyFont="1" applyFill="1" applyBorder="1" applyAlignment="1">
      <alignment horizontal="center"/>
    </xf>
    <xf numFmtId="43" fontId="4" fillId="29" borderId="0" xfId="63" applyFont="1" applyFill="1" applyAlignment="1">
      <alignment horizontal="center"/>
    </xf>
    <xf numFmtId="17" fontId="18" fillId="94" borderId="16" xfId="0" applyNumberFormat="1" applyFont="1" applyFill="1" applyBorder="1" applyAlignment="1">
      <alignment horizontal="center"/>
    </xf>
    <xf numFmtId="169" fontId="4" fillId="0" borderId="27" xfId="0" applyNumberFormat="1" applyFont="1" applyBorder="1" applyProtection="1">
      <protection locked="0"/>
    </xf>
    <xf numFmtId="167" fontId="4" fillId="0" borderId="16" xfId="63" applyNumberFormat="1" applyFont="1" applyBorder="1"/>
    <xf numFmtId="43" fontId="4" fillId="27" borderId="0" xfId="63" applyFont="1" applyFill="1"/>
    <xf numFmtId="167" fontId="4" fillId="27" borderId="0" xfId="63" applyNumberFormat="1" applyFont="1" applyFill="1"/>
    <xf numFmtId="173" fontId="43" fillId="27" borderId="0" xfId="0" applyNumberFormat="1" applyFont="1" applyFill="1"/>
    <xf numFmtId="167" fontId="31" fillId="27" borderId="0" xfId="63" applyNumberFormat="1" applyFont="1" applyFill="1"/>
    <xf numFmtId="167" fontId="43" fillId="27" borderId="0" xfId="63" applyNumberFormat="1" applyFont="1" applyFill="1"/>
    <xf numFmtId="170" fontId="31" fillId="27" borderId="0" xfId="0" applyNumberFormat="1" applyFont="1" applyFill="1"/>
    <xf numFmtId="0" fontId="43" fillId="27" borderId="0" xfId="0" quotePrefix="1" applyFont="1" applyFill="1"/>
    <xf numFmtId="43" fontId="43" fillId="27" borderId="29" xfId="63" applyFont="1" applyFill="1" applyBorder="1"/>
    <xf numFmtId="43" fontId="44" fillId="27" borderId="0" xfId="63" applyFont="1" applyFill="1"/>
    <xf numFmtId="10" fontId="49" fillId="0" borderId="0" xfId="239" applyNumberFormat="1" applyFont="1"/>
    <xf numFmtId="43" fontId="49" fillId="0" borderId="0" xfId="79" applyFont="1"/>
    <xf numFmtId="10" fontId="49" fillId="0" borderId="16" xfId="239" applyNumberFormat="1" applyFont="1" applyBorder="1"/>
    <xf numFmtId="42" fontId="49" fillId="20" borderId="16" xfId="0" applyNumberFormat="1" applyFont="1" applyFill="1" applyBorder="1"/>
    <xf numFmtId="0" fontId="49" fillId="0" borderId="0" xfId="0" applyFont="1" applyAlignment="1">
      <alignment horizontal="left"/>
    </xf>
    <xf numFmtId="167" fontId="49" fillId="0" borderId="0" xfId="79" applyNumberFormat="1" applyFont="1"/>
    <xf numFmtId="8" fontId="49" fillId="0" borderId="0" xfId="0" applyNumberFormat="1" applyFont="1"/>
    <xf numFmtId="42" fontId="49" fillId="0" borderId="16" xfId="0" applyNumberFormat="1" applyFont="1" applyBorder="1"/>
    <xf numFmtId="14" fontId="4" fillId="0" borderId="0" xfId="0" applyNumberFormat="1" applyFont="1" applyAlignment="1">
      <alignment horizontal="center"/>
    </xf>
    <xf numFmtId="0" fontId="49" fillId="93" borderId="0" xfId="0" applyFont="1" applyFill="1"/>
    <xf numFmtId="37" fontId="49" fillId="0" borderId="0" xfId="79" applyNumberFormat="1" applyFont="1" applyFill="1"/>
    <xf numFmtId="0" fontId="49" fillId="94" borderId="0" xfId="0" applyFont="1" applyFill="1"/>
    <xf numFmtId="167" fontId="49" fillId="0" borderId="0" xfId="63" applyNumberFormat="1" applyFont="1"/>
    <xf numFmtId="6" fontId="49" fillId="37" borderId="0" xfId="0" applyNumberFormat="1" applyFont="1" applyFill="1"/>
    <xf numFmtId="3" fontId="49" fillId="37" borderId="0" xfId="0" applyNumberFormat="1" applyFont="1" applyFill="1"/>
    <xf numFmtId="37" fontId="49" fillId="37" borderId="16" xfId="0" applyNumberFormat="1" applyFont="1" applyFill="1" applyBorder="1"/>
    <xf numFmtId="0" fontId="49" fillId="37" borderId="0" xfId="0" quotePrefix="1" applyFont="1" applyFill="1" applyAlignment="1">
      <alignment horizontal="left"/>
    </xf>
    <xf numFmtId="0" fontId="49" fillId="37" borderId="0" xfId="0" applyFont="1" applyFill="1"/>
    <xf numFmtId="10" fontId="49" fillId="37" borderId="0" xfId="0" applyNumberFormat="1" applyFont="1" applyFill="1"/>
    <xf numFmtId="10" fontId="49" fillId="37" borderId="16" xfId="0" applyNumberFormat="1" applyFont="1" applyFill="1" applyBorder="1"/>
    <xf numFmtId="0" fontId="49" fillId="37" borderId="16" xfId="0" quotePrefix="1" applyFont="1" applyFill="1" applyBorder="1" applyAlignment="1">
      <alignment horizontal="left"/>
    </xf>
    <xf numFmtId="6" fontId="49" fillId="37" borderId="16" xfId="0" applyNumberFormat="1" applyFont="1" applyFill="1" applyBorder="1"/>
    <xf numFmtId="37" fontId="49" fillId="37" borderId="0" xfId="79" applyNumberFormat="1" applyFont="1" applyFill="1"/>
    <xf numFmtId="37" fontId="49" fillId="37" borderId="0" xfId="0" quotePrefix="1" applyNumberFormat="1" applyFont="1" applyFill="1" applyAlignment="1">
      <alignment horizontal="left"/>
    </xf>
    <xf numFmtId="37" fontId="49" fillId="37" borderId="0" xfId="0" applyNumberFormat="1" applyFont="1" applyFill="1"/>
    <xf numFmtId="37" fontId="49" fillId="37" borderId="0" xfId="0" applyNumberFormat="1" applyFont="1" applyFill="1" applyAlignment="1">
      <alignment horizontal="right"/>
    </xf>
    <xf numFmtId="0" fontId="186" fillId="0" borderId="0" xfId="39619" applyAlignment="1">
      <alignment horizontal="right" vertical="center"/>
    </xf>
    <xf numFmtId="0" fontId="188" fillId="0" borderId="0" xfId="39622" applyAlignment="1">
      <alignment horizontal="right" vertical="center"/>
    </xf>
    <xf numFmtId="22" fontId="0" fillId="26" borderId="70" xfId="0" applyNumberFormat="1" applyFill="1" applyBorder="1" applyAlignment="1">
      <alignment horizontal="left"/>
    </xf>
    <xf numFmtId="201" fontId="0" fillId="26" borderId="70" xfId="0" applyNumberFormat="1" applyFill="1" applyBorder="1" applyAlignment="1">
      <alignment horizontal="left"/>
    </xf>
    <xf numFmtId="0" fontId="186" fillId="0" borderId="0" xfId="39619" applyAlignment="1">
      <alignment horizontal="left" vertical="center" indent="1"/>
    </xf>
    <xf numFmtId="0" fontId="186" fillId="103" borderId="67" xfId="39619" applyFill="1" applyBorder="1">
      <alignment vertical="center"/>
    </xf>
    <xf numFmtId="0" fontId="0" fillId="103" borderId="30" xfId="0" applyFill="1" applyBorder="1"/>
    <xf numFmtId="0" fontId="0" fillId="103" borderId="66" xfId="0" applyFill="1" applyBorder="1"/>
    <xf numFmtId="9" fontId="25" fillId="0" borderId="13" xfId="229" applyFont="1" applyBorder="1" applyAlignment="1">
      <alignment horizontal="left"/>
    </xf>
    <xf numFmtId="9" fontId="25" fillId="0" borderId="13" xfId="229" applyFont="1" applyBorder="1" applyAlignment="1">
      <alignment horizontal="left" indent="1"/>
    </xf>
    <xf numFmtId="0" fontId="186" fillId="0" borderId="0" xfId="39619" applyAlignment="1">
      <alignment horizontal="left" vertical="center"/>
    </xf>
    <xf numFmtId="10" fontId="172" fillId="37" borderId="0" xfId="232" applyNumberFormat="1" applyFont="1" applyFill="1"/>
    <xf numFmtId="10" fontId="75" fillId="37" borderId="0" xfId="232" applyNumberFormat="1" applyFont="1" applyFill="1"/>
    <xf numFmtId="43" fontId="99" fillId="31" borderId="0" xfId="65" applyFont="1" applyFill="1"/>
    <xf numFmtId="0" fontId="75" fillId="0" borderId="0" xfId="0" applyFont="1" applyAlignment="1">
      <alignment horizontal="center"/>
    </xf>
    <xf numFmtId="192" fontId="4" fillId="0" borderId="0" xfId="0" applyNumberFormat="1" applyFont="1" applyAlignment="1">
      <alignment horizontal="center"/>
    </xf>
    <xf numFmtId="37" fontId="49" fillId="0" borderId="16" xfId="0" applyNumberFormat="1" applyFont="1" applyBorder="1" applyAlignment="1">
      <alignment horizontal="right"/>
    </xf>
    <xf numFmtId="10" fontId="37" fillId="0" borderId="0" xfId="229" applyNumberFormat="1" applyFont="1" applyAlignment="1">
      <alignment horizontal="right"/>
    </xf>
    <xf numFmtId="37" fontId="37" fillId="0" borderId="0" xfId="0" applyNumberFormat="1" applyFont="1" applyAlignment="1">
      <alignment horizontal="right"/>
    </xf>
    <xf numFmtId="202" fontId="171" fillId="28" borderId="67" xfId="0" applyNumberFormat="1" applyFont="1" applyFill="1" applyBorder="1" applyAlignment="1">
      <alignment horizontal="centerContinuous"/>
    </xf>
    <xf numFmtId="199" fontId="185" fillId="0" borderId="0" xfId="39629" applyNumberFormat="1" applyFill="1" applyBorder="1">
      <protection locked="0"/>
    </xf>
    <xf numFmtId="196" fontId="185" fillId="26" borderId="69" xfId="39618" applyFill="1">
      <protection locked="0"/>
    </xf>
    <xf numFmtId="196" fontId="185" fillId="26" borderId="71" xfId="39618" applyFill="1" applyBorder="1">
      <protection locked="0"/>
    </xf>
    <xf numFmtId="196" fontId="183" fillId="26" borderId="72" xfId="39618" applyFont="1" applyFill="1" applyBorder="1">
      <protection locked="0"/>
    </xf>
    <xf numFmtId="200" fontId="183" fillId="26" borderId="72" xfId="39629" applyNumberFormat="1" applyFont="1" applyBorder="1">
      <protection locked="0"/>
    </xf>
    <xf numFmtId="0" fontId="196" fillId="0" borderId="0" xfId="39619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195" fontId="185" fillId="0" borderId="0" xfId="39617" applyAlignment="1">
      <alignment horizontal="center" vertical="top"/>
    </xf>
    <xf numFmtId="170" fontId="97" fillId="28" borderId="16" xfId="0" applyNumberFormat="1" applyFont="1" applyFill="1" applyBorder="1"/>
    <xf numFmtId="170" fontId="99" fillId="28" borderId="0" xfId="0" applyNumberFormat="1" applyFont="1" applyFill="1"/>
    <xf numFmtId="37" fontId="49" fillId="0" borderId="0" xfId="5091" applyNumberFormat="1" applyFont="1" applyFill="1"/>
    <xf numFmtId="37" fontId="49" fillId="0" borderId="0" xfId="5091" applyNumberFormat="1" applyFont="1"/>
    <xf numFmtId="195" fontId="183" fillId="0" borderId="0" xfId="39617" applyFont="1">
      <alignment horizontal="center"/>
    </xf>
    <xf numFmtId="167" fontId="106" fillId="27" borderId="0" xfId="67" applyNumberFormat="1" applyFont="1" applyFill="1" applyAlignment="1">
      <alignment vertical="center"/>
    </xf>
    <xf numFmtId="167" fontId="99" fillId="27" borderId="0" xfId="67" applyNumberFormat="1" applyFont="1" applyFill="1" applyAlignment="1">
      <alignment vertical="center"/>
    </xf>
    <xf numFmtId="0" fontId="4" fillId="20" borderId="0" xfId="12762" applyFill="1" applyAlignment="1">
      <alignment wrapText="1"/>
    </xf>
    <xf numFmtId="167" fontId="4" fillId="20" borderId="0" xfId="12762" applyNumberFormat="1" applyFill="1"/>
    <xf numFmtId="167" fontId="4" fillId="97" borderId="0" xfId="63" applyNumberFormat="1" applyFont="1" applyFill="1" applyBorder="1"/>
    <xf numFmtId="167" fontId="4" fillId="0" borderId="0" xfId="63" applyNumberFormat="1" applyFont="1" applyBorder="1"/>
    <xf numFmtId="167" fontId="6" fillId="104" borderId="0" xfId="0" applyNumberFormat="1" applyFont="1" applyFill="1" applyProtection="1">
      <protection locked="0"/>
    </xf>
    <xf numFmtId="167" fontId="19" fillId="104" borderId="0" xfId="63" applyNumberFormat="1" applyFont="1" applyFill="1" applyProtection="1">
      <protection locked="0"/>
    </xf>
    <xf numFmtId="167" fontId="5" fillId="104" borderId="0" xfId="63" applyNumberFormat="1" applyFont="1" applyFill="1"/>
    <xf numFmtId="167" fontId="6" fillId="104" borderId="17" xfId="63" applyNumberFormat="1" applyFont="1" applyFill="1" applyBorder="1"/>
    <xf numFmtId="167" fontId="5" fillId="104" borderId="0" xfId="0" applyNumberFormat="1" applyFont="1" applyFill="1" applyProtection="1">
      <protection locked="0"/>
    </xf>
    <xf numFmtId="167" fontId="109" fillId="104" borderId="0" xfId="63" applyNumberFormat="1" applyFont="1" applyFill="1"/>
    <xf numFmtId="167" fontId="5" fillId="104" borderId="16" xfId="0" applyNumberFormat="1" applyFont="1" applyFill="1" applyBorder="1" applyProtection="1">
      <protection locked="0"/>
    </xf>
    <xf numFmtId="167" fontId="16" fillId="0" borderId="0" xfId="63" applyNumberFormat="1" applyFont="1" applyFill="1"/>
    <xf numFmtId="167" fontId="16" fillId="0" borderId="17" xfId="63" applyNumberFormat="1" applyFont="1" applyFill="1" applyBorder="1"/>
    <xf numFmtId="167" fontId="0" fillId="20" borderId="0" xfId="63" applyNumberFormat="1" applyFont="1" applyFill="1" applyAlignment="1">
      <alignment horizontal="centerContinuous"/>
    </xf>
    <xf numFmtId="0" fontId="4" fillId="20" borderId="0" xfId="0" applyFont="1" applyFill="1" applyAlignment="1">
      <alignment horizontal="left"/>
    </xf>
    <xf numFmtId="0" fontId="4" fillId="20" borderId="43" xfId="0" applyFont="1" applyFill="1" applyBorder="1" applyAlignment="1">
      <alignment horizontal="center"/>
    </xf>
    <xf numFmtId="0" fontId="4" fillId="20" borderId="44" xfId="0" applyFont="1" applyFill="1" applyBorder="1" applyAlignment="1">
      <alignment horizontal="center"/>
    </xf>
    <xf numFmtId="170" fontId="4" fillId="20" borderId="0" xfId="0" applyNumberFormat="1" applyFont="1" applyFill="1"/>
    <xf numFmtId="170" fontId="4" fillId="20" borderId="16" xfId="0" applyNumberFormat="1" applyFont="1" applyFill="1" applyBorder="1"/>
    <xf numFmtId="167" fontId="4" fillId="20" borderId="0" xfId="68" applyNumberFormat="1" applyFont="1" applyFill="1"/>
    <xf numFmtId="167" fontId="4" fillId="20" borderId="16" xfId="63" applyNumberFormat="1" applyFont="1" applyFill="1" applyBorder="1"/>
    <xf numFmtId="167" fontId="4" fillId="20" borderId="30" xfId="63" applyNumberFormat="1" applyFont="1" applyFill="1" applyBorder="1"/>
    <xf numFmtId="43" fontId="4" fillId="20" borderId="0" xfId="63" applyFont="1" applyFill="1"/>
    <xf numFmtId="167" fontId="4" fillId="20" borderId="29" xfId="63" applyNumberFormat="1" applyFont="1" applyFill="1" applyBorder="1"/>
    <xf numFmtId="167" fontId="4" fillId="20" borderId="0" xfId="63" applyNumberFormat="1" applyFont="1" applyFill="1" applyAlignment="1">
      <alignment horizontal="center"/>
    </xf>
    <xf numFmtId="43" fontId="4" fillId="20" borderId="0" xfId="63" applyFont="1" applyFill="1" applyAlignment="1">
      <alignment horizontal="center"/>
    </xf>
    <xf numFmtId="0" fontId="4" fillId="20" borderId="0" xfId="0" applyFont="1" applyFill="1" applyAlignment="1">
      <alignment horizontal="center"/>
    </xf>
    <xf numFmtId="181" fontId="4" fillId="20" borderId="0" xfId="63" applyNumberFormat="1" applyFont="1" applyFill="1" applyAlignment="1">
      <alignment horizontal="center"/>
    </xf>
    <xf numFmtId="0" fontId="0" fillId="20" borderId="0" xfId="0" applyFill="1"/>
    <xf numFmtId="174" fontId="24" fillId="20" borderId="0" xfId="12739" applyNumberFormat="1" applyFont="1" applyFill="1" applyAlignment="1">
      <alignment horizontal="left"/>
    </xf>
    <xf numFmtId="43" fontId="4" fillId="28" borderId="0" xfId="63" applyFont="1" applyFill="1"/>
    <xf numFmtId="167" fontId="99" fillId="20" borderId="16" xfId="63" applyNumberFormat="1" applyFont="1" applyFill="1" applyBorder="1"/>
    <xf numFmtId="167" fontId="0" fillId="30" borderId="0" xfId="63" applyNumberFormat="1" applyFont="1" applyFill="1"/>
    <xf numFmtId="167" fontId="0" fillId="23" borderId="0" xfId="0" applyNumberFormat="1" applyFill="1"/>
    <xf numFmtId="167" fontId="0" fillId="20" borderId="0" xfId="63" applyNumberFormat="1" applyFont="1" applyFill="1"/>
    <xf numFmtId="167" fontId="25" fillId="0" borderId="0" xfId="63" applyNumberFormat="1" applyFont="1" applyFill="1"/>
    <xf numFmtId="167" fontId="4" fillId="105" borderId="0" xfId="63" applyNumberFormat="1" applyFont="1" applyFill="1"/>
    <xf numFmtId="167" fontId="0" fillId="105" borderId="0" xfId="63" applyNumberFormat="1" applyFont="1" applyFill="1"/>
    <xf numFmtId="167" fontId="99" fillId="105" borderId="0" xfId="63" applyNumberFormat="1" applyFont="1" applyFill="1"/>
    <xf numFmtId="167" fontId="4" fillId="28" borderId="0" xfId="63" applyNumberFormat="1" applyFill="1"/>
    <xf numFmtId="167" fontId="0" fillId="106" borderId="0" xfId="63" applyNumberFormat="1" applyFont="1" applyFill="1"/>
    <xf numFmtId="167" fontId="99" fillId="106" borderId="16" xfId="63" applyNumberFormat="1" applyFont="1" applyFill="1" applyBorder="1"/>
    <xf numFmtId="3" fontId="49" fillId="23" borderId="0" xfId="0" applyNumberFormat="1" applyFont="1" applyFill="1"/>
    <xf numFmtId="37" fontId="120" fillId="23" borderId="16" xfId="0" applyNumberFormat="1" applyFont="1" applyFill="1" applyBorder="1"/>
    <xf numFmtId="3" fontId="74" fillId="0" borderId="0" xfId="0" applyNumberFormat="1" applyFont="1"/>
    <xf numFmtId="6" fontId="74" fillId="0" borderId="0" xfId="0" applyNumberFormat="1" applyFont="1"/>
    <xf numFmtId="43" fontId="74" fillId="0" borderId="0" xfId="63" applyFont="1"/>
    <xf numFmtId="3" fontId="37" fillId="23" borderId="16" xfId="0" applyNumberFormat="1" applyFont="1" applyFill="1" applyBorder="1"/>
    <xf numFmtId="6" fontId="49" fillId="23" borderId="0" xfId="0" applyNumberFormat="1" applyFont="1" applyFill="1"/>
    <xf numFmtId="10" fontId="49" fillId="23" borderId="0" xfId="0" applyNumberFormat="1" applyFont="1" applyFill="1"/>
    <xf numFmtId="6" fontId="37" fillId="23" borderId="0" xfId="0" applyNumberFormat="1" applyFont="1" applyFill="1"/>
    <xf numFmtId="10" fontId="49" fillId="23" borderId="16" xfId="0" applyNumberFormat="1" applyFont="1" applyFill="1" applyBorder="1"/>
    <xf numFmtId="0" fontId="49" fillId="23" borderId="0" xfId="0" applyFont="1" applyFill="1"/>
    <xf numFmtId="37" fontId="5" fillId="23" borderId="0" xfId="0" applyNumberFormat="1" applyFont="1" applyFill="1"/>
    <xf numFmtId="167" fontId="4" fillId="107" borderId="0" xfId="63" applyNumberFormat="1" applyFont="1" applyFill="1" applyBorder="1"/>
    <xf numFmtId="167" fontId="4" fillId="107" borderId="0" xfId="68" applyNumberFormat="1" applyFont="1" applyFill="1" applyBorder="1"/>
    <xf numFmtId="167" fontId="4" fillId="107" borderId="0" xfId="63" applyNumberFormat="1" applyFont="1" applyFill="1" applyBorder="1" applyAlignment="1">
      <alignment horizontal="center"/>
    </xf>
    <xf numFmtId="167" fontId="5" fillId="0" borderId="0" xfId="63" applyNumberFormat="1" applyFont="1" applyFill="1"/>
    <xf numFmtId="167" fontId="5" fillId="0" borderId="16" xfId="63" applyNumberFormat="1" applyFont="1" applyFill="1" applyBorder="1"/>
    <xf numFmtId="167" fontId="19" fillId="0" borderId="0" xfId="63" applyNumberFormat="1" applyFont="1" applyFill="1" applyProtection="1">
      <protection locked="0"/>
    </xf>
    <xf numFmtId="167" fontId="6" fillId="23" borderId="0" xfId="0" applyNumberFormat="1" applyFont="1" applyFill="1" applyProtection="1">
      <protection locked="0"/>
    </xf>
    <xf numFmtId="167" fontId="19" fillId="23" borderId="0" xfId="63" applyNumberFormat="1" applyFont="1" applyFill="1" applyProtection="1">
      <protection locked="0"/>
    </xf>
    <xf numFmtId="164" fontId="16" fillId="23" borderId="0" xfId="0" applyNumberFormat="1" applyFont="1" applyFill="1"/>
    <xf numFmtId="9" fontId="16" fillId="0" borderId="0" xfId="229" applyFont="1"/>
    <xf numFmtId="39" fontId="5" fillId="0" borderId="0" xfId="0" applyNumberFormat="1" applyFont="1"/>
    <xf numFmtId="43" fontId="25" fillId="0" borderId="29" xfId="63" applyFont="1" applyBorder="1"/>
    <xf numFmtId="170" fontId="4" fillId="0" borderId="73" xfId="0" applyNumberFormat="1" applyFont="1" applyBorder="1"/>
    <xf numFmtId="164" fontId="16" fillId="0" borderId="16" xfId="0" applyNumberFormat="1" applyFont="1" applyBorder="1"/>
    <xf numFmtId="43" fontId="25" fillId="0" borderId="0" xfId="63" applyFont="1" applyBorder="1"/>
    <xf numFmtId="14" fontId="116" fillId="20" borderId="15" xfId="12762" applyNumberFormat="1" applyFont="1" applyFill="1" applyBorder="1" applyAlignment="1">
      <alignment horizontal="center" vertical="center"/>
    </xf>
    <xf numFmtId="0" fontId="116" fillId="0" borderId="0" xfId="12762" applyFont="1" applyAlignment="1">
      <alignment horizontal="right" vertical="center"/>
    </xf>
    <xf numFmtId="0" fontId="116" fillId="0" borderId="15" xfId="12762" applyFont="1" applyBorder="1" applyAlignment="1">
      <alignment horizontal="center" vertical="center"/>
    </xf>
    <xf numFmtId="0" fontId="25" fillId="108" borderId="0" xfId="12762" applyFont="1" applyFill="1" applyAlignment="1">
      <alignment horizontal="center" vertical="center"/>
    </xf>
    <xf numFmtId="0" fontId="25" fillId="109" borderId="0" xfId="12762" applyFont="1" applyFill="1" applyAlignment="1">
      <alignment horizontal="center" vertical="center"/>
    </xf>
    <xf numFmtId="167" fontId="4" fillId="0" borderId="0" xfId="67" applyNumberFormat="1" applyAlignment="1">
      <alignment horizontal="left" vertical="center"/>
    </xf>
    <xf numFmtId="167" fontId="25" fillId="0" borderId="0" xfId="67" applyNumberFormat="1" applyFont="1" applyAlignment="1">
      <alignment vertical="center"/>
    </xf>
    <xf numFmtId="167" fontId="25" fillId="0" borderId="73" xfId="67" applyNumberFormat="1" applyFont="1" applyFill="1" applyBorder="1" applyAlignment="1">
      <alignment vertical="center"/>
    </xf>
    <xf numFmtId="43" fontId="4" fillId="27" borderId="0" xfId="67" applyFill="1"/>
    <xf numFmtId="0" fontId="5" fillId="30" borderId="0" xfId="0" applyFont="1" applyFill="1"/>
    <xf numFmtId="167" fontId="5" fillId="30" borderId="0" xfId="63" applyNumberFormat="1" applyFont="1" applyFill="1"/>
    <xf numFmtId="167" fontId="6" fillId="30" borderId="0" xfId="63" applyNumberFormat="1" applyFont="1" applyFill="1" applyProtection="1">
      <protection locked="0"/>
    </xf>
    <xf numFmtId="180" fontId="99" fillId="30" borderId="0" xfId="12762" applyNumberFormat="1" applyFont="1" applyFill="1" applyAlignment="1">
      <alignment horizontal="center"/>
    </xf>
    <xf numFmtId="0" fontId="112" fillId="0" borderId="40" xfId="0" applyFont="1" applyBorder="1" applyAlignment="1">
      <alignment horizontal="center"/>
    </xf>
    <xf numFmtId="0" fontId="112" fillId="0" borderId="41" xfId="0" applyFont="1" applyBorder="1" applyAlignment="1">
      <alignment horizontal="center"/>
    </xf>
    <xf numFmtId="0" fontId="112" fillId="0" borderId="42" xfId="0" applyFont="1" applyBorder="1" applyAlignment="1">
      <alignment horizontal="center"/>
    </xf>
    <xf numFmtId="0" fontId="124" fillId="0" borderId="32" xfId="0" applyFont="1" applyBorder="1" applyAlignment="1">
      <alignment horizontal="center"/>
    </xf>
    <xf numFmtId="0" fontId="124" fillId="0" borderId="0" xfId="0" applyFont="1" applyAlignment="1">
      <alignment horizontal="center"/>
    </xf>
    <xf numFmtId="0" fontId="124" fillId="0" borderId="27" xfId="0" applyFont="1" applyBorder="1" applyAlignment="1">
      <alignment horizontal="center"/>
    </xf>
    <xf numFmtId="0" fontId="7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88" fontId="37" fillId="0" borderId="0" xfId="5623" applyNumberFormat="1" applyFont="1" applyAlignment="1">
      <alignment horizontal="center"/>
    </xf>
    <xf numFmtId="188" fontId="37" fillId="0" borderId="0" xfId="5623" quotePrefix="1" applyNumberFormat="1" applyFont="1" applyAlignment="1">
      <alignment horizontal="center"/>
    </xf>
    <xf numFmtId="169" fontId="37" fillId="0" borderId="0" xfId="12739" applyNumberFormat="1" applyFont="1" applyAlignment="1">
      <alignment horizontal="center"/>
    </xf>
    <xf numFmtId="37" fontId="49" fillId="0" borderId="0" xfId="5623" applyNumberFormat="1" applyFont="1" applyAlignment="1">
      <alignment horizontal="right"/>
    </xf>
    <xf numFmtId="0" fontId="75" fillId="0" borderId="0" xfId="5623" applyFont="1" applyAlignment="1">
      <alignment horizontal="left" vertical="top" wrapText="1"/>
    </xf>
    <xf numFmtId="0" fontId="75" fillId="0" borderId="0" xfId="12739" applyFont="1" applyAlignment="1">
      <alignment vertical="top" wrapText="1"/>
    </xf>
    <xf numFmtId="0" fontId="37" fillId="0" borderId="0" xfId="12739" applyFont="1" applyAlignment="1">
      <alignment horizontal="center"/>
    </xf>
    <xf numFmtId="169" fontId="37" fillId="0" borderId="0" xfId="12739" quotePrefix="1" applyNumberFormat="1" applyFont="1" applyAlignment="1">
      <alignment horizontal="center"/>
    </xf>
    <xf numFmtId="0" fontId="73" fillId="0" borderId="0" xfId="0" applyFont="1" applyAlignment="1">
      <alignment horizontal="center"/>
    </xf>
    <xf numFmtId="0" fontId="37" fillId="0" borderId="0" xfId="0" applyFont="1" applyAlignment="1">
      <alignment horizontal="center"/>
    </xf>
  </cellXfs>
  <cellStyles count="39630">
    <cellStyle name="_2006 Budget FINAL for CASH FLOW" xfId="1"/>
    <cellStyle name="_2007 Budget  FINAL 01_15_07 w. tax" xfId="2"/>
    <cellStyle name="_2008 Reforecast 0+12  03.14.08" xfId="3"/>
    <cellStyle name="_2008_ACCT 17103" xfId="4"/>
    <cellStyle name="_2008_ACCT 17103 2" xfId="5"/>
    <cellStyle name="_2008_ACCT 17103 2 2" xfId="6"/>
    <cellStyle name="_2008_ACCT 17103 2 3" xfId="7"/>
    <cellStyle name="_2008_ACCT 17103 3" xfId="8"/>
    <cellStyle name="_2008_ACCT 17103 4" xfId="9"/>
    <cellStyle name="_2008_ACCT 17103 4 2" xfId="10"/>
    <cellStyle name="_2008_ACCT 17103 5" xfId="11"/>
    <cellStyle name="_2008_ACCT 17103 5 2" xfId="12"/>
    <cellStyle name="_2008_ACCT 17103 6" xfId="13"/>
    <cellStyle name="_2009 Budget 5_02_08  FINAL" xfId="14"/>
    <cellStyle name="_Balance Sheet 0809" xfId="15"/>
    <cellStyle name="_Reformatted Cash Flow Consolidation 0706" xfId="16"/>
    <cellStyle name="_Reformatted Cash Flow Consolidation 0706 2" xfId="17"/>
    <cellStyle name="_Reformatted Cash Flow Consolidation 0706 2 2" xfId="18"/>
    <cellStyle name="_Reformatted Cash Flow Consolidation 0706 2 3" xfId="19"/>
    <cellStyle name="_Reformatted Cash Flow Consolidation 0706 3" xfId="20"/>
    <cellStyle name="_Reformatted Cash Flow Consolidation 0706 4" xfId="21"/>
    <cellStyle name="_Reformatted Cash Flow Consolidation 0706 4 2" xfId="22"/>
    <cellStyle name="_Reformatted Cash Flow Consolidation 0706 5" xfId="23"/>
    <cellStyle name="_Reformatted Cash Flow Consolidation 0706 5 2" xfId="24"/>
    <cellStyle name="_Reformatted Cash Flow Consolidation 0706 6" xfId="25"/>
    <cellStyle name="_Reformatted Cash Flow Consolidation 0906" xfId="26"/>
    <cellStyle name="_Reformatted Cash Flow Consolidation 0906 2" xfId="27"/>
    <cellStyle name="_Reformatted Cash Flow Consolidation 0906 2 2" xfId="28"/>
    <cellStyle name="_Reformatted Cash Flow Consolidation 0906 2 3" xfId="29"/>
    <cellStyle name="_Reformatted Cash Flow Consolidation 0906 3" xfId="30"/>
    <cellStyle name="_Reformatted Cash Flow Consolidation 0906 4" xfId="31"/>
    <cellStyle name="_Reformatted Cash Flow Consolidation 0906 4 2" xfId="32"/>
    <cellStyle name="_Reformatted Cash Flow Consolidation 0906 5" xfId="33"/>
    <cellStyle name="_Reformatted Cash Flow Consolidation 0906 5 2" xfId="34"/>
    <cellStyle name="_Reformatted Cash Flow Consolidation 0906 6" xfId="35"/>
    <cellStyle name="1. CALC Amount" xfId="39621"/>
    <cellStyle name="1. CALC Amount Total" xfId="39627"/>
    <cellStyle name="1. DATA Amount" xfId="39618"/>
    <cellStyle name="2. CALC Percent" xfId="39628"/>
    <cellStyle name="20% - Accent1" xfId="36" builtinId="30" customBuiltin="1"/>
    <cellStyle name="20% - Accent1 10" xfId="14243"/>
    <cellStyle name="20% - Accent1 10 2" xfId="30527"/>
    <cellStyle name="20% - Accent1 11" xfId="17462"/>
    <cellStyle name="20% - Accent1 11 2" xfId="33683"/>
    <cellStyle name="20% - Accent1 12" xfId="26983"/>
    <cellStyle name="20% - Accent1 13" xfId="38902"/>
    <cellStyle name="20% - Accent1 14" xfId="4830"/>
    <cellStyle name="20% - Accent1 2" xfId="4866"/>
    <cellStyle name="20% - Accent1 2 10" xfId="17463"/>
    <cellStyle name="20% - Accent1 2 10 2" xfId="33684"/>
    <cellStyle name="20% - Accent1 2 11" xfId="27002"/>
    <cellStyle name="20% - Accent1 2 12" xfId="38768"/>
    <cellStyle name="20% - Accent1 2 2" xfId="6495"/>
    <cellStyle name="20% - Accent1 2 2 10" xfId="27799"/>
    <cellStyle name="20% - Accent1 2 2 11" xfId="38960"/>
    <cellStyle name="20% - Accent1 2 2 2" xfId="6494"/>
    <cellStyle name="20% - Accent1 2 2 2 10" xfId="39150"/>
    <cellStyle name="20% - Accent1 2 2 2 2" xfId="6493"/>
    <cellStyle name="20% - Accent1 2 2 2 2 2" xfId="6492"/>
    <cellStyle name="20% - Accent1 2 2 2 2 2 2" xfId="6491"/>
    <cellStyle name="20% - Accent1 2 2 2 2 2 2 2" xfId="9604"/>
    <cellStyle name="20% - Accent1 2 2 2 2 2 2 2 2" xfId="19225"/>
    <cellStyle name="20% - Accent1 2 2 2 2 2 2 2 2 2" xfId="35446"/>
    <cellStyle name="20% - Accent1 2 2 2 2 2 2 2 3" xfId="28758"/>
    <cellStyle name="20% - Accent1 2 2 2 2 2 2 3" xfId="17165"/>
    <cellStyle name="20% - Accent1 2 2 2 2 2 2 3 2" xfId="33386"/>
    <cellStyle name="20% - Accent1 2 2 2 2 2 2 4" xfId="17468"/>
    <cellStyle name="20% - Accent1 2 2 2 2 2 2 4 2" xfId="33689"/>
    <cellStyle name="20% - Accent1 2 2 2 2 2 2 5" xfId="27795"/>
    <cellStyle name="20% - Accent1 2 2 2 2 2 3" xfId="9603"/>
    <cellStyle name="20% - Accent1 2 2 2 2 2 3 2" xfId="19224"/>
    <cellStyle name="20% - Accent1 2 2 2 2 2 3 2 2" xfId="35445"/>
    <cellStyle name="20% - Accent1 2 2 2 2 2 3 3" xfId="28757"/>
    <cellStyle name="20% - Accent1 2 2 2 2 2 4" xfId="15580"/>
    <cellStyle name="20% - Accent1 2 2 2 2 2 4 2" xfId="31802"/>
    <cellStyle name="20% - Accent1 2 2 2 2 2 5" xfId="17467"/>
    <cellStyle name="20% - Accent1 2 2 2 2 2 5 2" xfId="33688"/>
    <cellStyle name="20% - Accent1 2 2 2 2 2 6" xfId="27796"/>
    <cellStyle name="20% - Accent1 2 2 2 2 3" xfId="6490"/>
    <cellStyle name="20% - Accent1 2 2 2 2 3 2" xfId="9605"/>
    <cellStyle name="20% - Accent1 2 2 2 2 3 2 2" xfId="19226"/>
    <cellStyle name="20% - Accent1 2 2 2 2 3 2 2 2" xfId="35447"/>
    <cellStyle name="20% - Accent1 2 2 2 2 3 2 3" xfId="28759"/>
    <cellStyle name="20% - Accent1 2 2 2 2 3 3" xfId="16373"/>
    <cellStyle name="20% - Accent1 2 2 2 2 3 3 2" xfId="32594"/>
    <cellStyle name="20% - Accent1 2 2 2 2 3 4" xfId="17469"/>
    <cellStyle name="20% - Accent1 2 2 2 2 3 4 2" xfId="33690"/>
    <cellStyle name="20% - Accent1 2 2 2 2 3 5" xfId="27794"/>
    <cellStyle name="20% - Accent1 2 2 2 2 4" xfId="9602"/>
    <cellStyle name="20% - Accent1 2 2 2 2 4 2" xfId="19223"/>
    <cellStyle name="20% - Accent1 2 2 2 2 4 2 2" xfId="35444"/>
    <cellStyle name="20% - Accent1 2 2 2 2 4 3" xfId="28756"/>
    <cellStyle name="20% - Accent1 2 2 2 2 5" xfId="14788"/>
    <cellStyle name="20% - Accent1 2 2 2 2 5 2" xfId="31010"/>
    <cellStyle name="20% - Accent1 2 2 2 2 6" xfId="17466"/>
    <cellStyle name="20% - Accent1 2 2 2 2 6 2" xfId="33687"/>
    <cellStyle name="20% - Accent1 2 2 2 2 7" xfId="27797"/>
    <cellStyle name="20% - Accent1 2 2 2 3" xfId="6489"/>
    <cellStyle name="20% - Accent1 2 2 2 3 2" xfId="6488"/>
    <cellStyle name="20% - Accent1 2 2 2 3 2 2" xfId="6487"/>
    <cellStyle name="20% - Accent1 2 2 2 3 2 2 2" xfId="9608"/>
    <cellStyle name="20% - Accent1 2 2 2 3 2 2 2 2" xfId="19229"/>
    <cellStyle name="20% - Accent1 2 2 2 3 2 2 2 2 2" xfId="35450"/>
    <cellStyle name="20% - Accent1 2 2 2 3 2 2 2 3" xfId="28762"/>
    <cellStyle name="20% - Accent1 2 2 2 3 2 2 3" xfId="17429"/>
    <cellStyle name="20% - Accent1 2 2 2 3 2 2 3 2" xfId="33650"/>
    <cellStyle name="20% - Accent1 2 2 2 3 2 2 4" xfId="17472"/>
    <cellStyle name="20% - Accent1 2 2 2 3 2 2 4 2" xfId="33693"/>
    <cellStyle name="20% - Accent1 2 2 2 3 2 2 5" xfId="27791"/>
    <cellStyle name="20% - Accent1 2 2 2 3 2 3" xfId="9607"/>
    <cellStyle name="20% - Accent1 2 2 2 3 2 3 2" xfId="19228"/>
    <cellStyle name="20% - Accent1 2 2 2 3 2 3 2 2" xfId="35449"/>
    <cellStyle name="20% - Accent1 2 2 2 3 2 3 3" xfId="28761"/>
    <cellStyle name="20% - Accent1 2 2 2 3 2 4" xfId="15844"/>
    <cellStyle name="20% - Accent1 2 2 2 3 2 4 2" xfId="32066"/>
    <cellStyle name="20% - Accent1 2 2 2 3 2 5" xfId="17471"/>
    <cellStyle name="20% - Accent1 2 2 2 3 2 5 2" xfId="33692"/>
    <cellStyle name="20% - Accent1 2 2 2 3 2 6" xfId="27792"/>
    <cellStyle name="20% - Accent1 2 2 2 3 3" xfId="6486"/>
    <cellStyle name="20% - Accent1 2 2 2 3 3 2" xfId="9609"/>
    <cellStyle name="20% - Accent1 2 2 2 3 3 2 2" xfId="19230"/>
    <cellStyle name="20% - Accent1 2 2 2 3 3 2 2 2" xfId="35451"/>
    <cellStyle name="20% - Accent1 2 2 2 3 3 2 3" xfId="28763"/>
    <cellStyle name="20% - Accent1 2 2 2 3 3 3" xfId="16637"/>
    <cellStyle name="20% - Accent1 2 2 2 3 3 3 2" xfId="32858"/>
    <cellStyle name="20% - Accent1 2 2 2 3 3 4" xfId="17473"/>
    <cellStyle name="20% - Accent1 2 2 2 3 3 4 2" xfId="33694"/>
    <cellStyle name="20% - Accent1 2 2 2 3 3 5" xfId="27790"/>
    <cellStyle name="20% - Accent1 2 2 2 3 4" xfId="9606"/>
    <cellStyle name="20% - Accent1 2 2 2 3 4 2" xfId="19227"/>
    <cellStyle name="20% - Accent1 2 2 2 3 4 2 2" xfId="35448"/>
    <cellStyle name="20% - Accent1 2 2 2 3 4 3" xfId="28760"/>
    <cellStyle name="20% - Accent1 2 2 2 3 5" xfId="15052"/>
    <cellStyle name="20% - Accent1 2 2 2 3 5 2" xfId="31274"/>
    <cellStyle name="20% - Accent1 2 2 2 3 6" xfId="17470"/>
    <cellStyle name="20% - Accent1 2 2 2 3 6 2" xfId="33691"/>
    <cellStyle name="20% - Accent1 2 2 2 3 7" xfId="27793"/>
    <cellStyle name="20% - Accent1 2 2 2 4" xfId="6485"/>
    <cellStyle name="20% - Accent1 2 2 2 4 2" xfId="6484"/>
    <cellStyle name="20% - Accent1 2 2 2 4 2 2" xfId="9611"/>
    <cellStyle name="20% - Accent1 2 2 2 4 2 2 2" xfId="19232"/>
    <cellStyle name="20% - Accent1 2 2 2 4 2 2 2 2" xfId="35453"/>
    <cellStyle name="20% - Accent1 2 2 2 4 2 2 3" xfId="28765"/>
    <cellStyle name="20% - Accent1 2 2 2 4 2 3" xfId="16901"/>
    <cellStyle name="20% - Accent1 2 2 2 4 2 3 2" xfId="33122"/>
    <cellStyle name="20% - Accent1 2 2 2 4 2 4" xfId="17475"/>
    <cellStyle name="20% - Accent1 2 2 2 4 2 4 2" xfId="33696"/>
    <cellStyle name="20% - Accent1 2 2 2 4 2 5" xfId="27788"/>
    <cellStyle name="20% - Accent1 2 2 2 4 3" xfId="9610"/>
    <cellStyle name="20% - Accent1 2 2 2 4 3 2" xfId="19231"/>
    <cellStyle name="20% - Accent1 2 2 2 4 3 2 2" xfId="35452"/>
    <cellStyle name="20% - Accent1 2 2 2 4 3 3" xfId="28764"/>
    <cellStyle name="20% - Accent1 2 2 2 4 4" xfId="15316"/>
    <cellStyle name="20% - Accent1 2 2 2 4 4 2" xfId="31538"/>
    <cellStyle name="20% - Accent1 2 2 2 4 5" xfId="17474"/>
    <cellStyle name="20% - Accent1 2 2 2 4 5 2" xfId="33695"/>
    <cellStyle name="20% - Accent1 2 2 2 4 6" xfId="27789"/>
    <cellStyle name="20% - Accent1 2 2 2 5" xfId="6483"/>
    <cellStyle name="20% - Accent1 2 2 2 5 2" xfId="9612"/>
    <cellStyle name="20% - Accent1 2 2 2 5 2 2" xfId="19233"/>
    <cellStyle name="20% - Accent1 2 2 2 5 2 2 2" xfId="35454"/>
    <cellStyle name="20% - Accent1 2 2 2 5 2 3" xfId="28766"/>
    <cellStyle name="20% - Accent1 2 2 2 5 3" xfId="16109"/>
    <cellStyle name="20% - Accent1 2 2 2 5 3 2" xfId="32330"/>
    <cellStyle name="20% - Accent1 2 2 2 5 4" xfId="17476"/>
    <cellStyle name="20% - Accent1 2 2 2 5 4 2" xfId="33697"/>
    <cellStyle name="20% - Accent1 2 2 2 5 5" xfId="27787"/>
    <cellStyle name="20% - Accent1 2 2 2 6" xfId="9601"/>
    <cellStyle name="20% - Accent1 2 2 2 6 2" xfId="19222"/>
    <cellStyle name="20% - Accent1 2 2 2 6 2 2" xfId="35443"/>
    <cellStyle name="20% - Accent1 2 2 2 6 3" xfId="28755"/>
    <cellStyle name="20% - Accent1 2 2 2 7" xfId="14524"/>
    <cellStyle name="20% - Accent1 2 2 2 7 2" xfId="30746"/>
    <cellStyle name="20% - Accent1 2 2 2 8" xfId="17465"/>
    <cellStyle name="20% - Accent1 2 2 2 8 2" xfId="33686"/>
    <cellStyle name="20% - Accent1 2 2 2 9" xfId="27798"/>
    <cellStyle name="20% - Accent1 2 2 3" xfId="6482"/>
    <cellStyle name="20% - Accent1 2 2 3 2" xfId="6481"/>
    <cellStyle name="20% - Accent1 2 2 3 2 2" xfId="6480"/>
    <cellStyle name="20% - Accent1 2 2 3 2 2 2" xfId="9615"/>
    <cellStyle name="20% - Accent1 2 2 3 2 2 2 2" xfId="19236"/>
    <cellStyle name="20% - Accent1 2 2 3 2 2 2 2 2" xfId="35457"/>
    <cellStyle name="20% - Accent1 2 2 3 2 2 2 3" xfId="28769"/>
    <cellStyle name="20% - Accent1 2 2 3 2 2 3" xfId="17033"/>
    <cellStyle name="20% - Accent1 2 2 3 2 2 3 2" xfId="33254"/>
    <cellStyle name="20% - Accent1 2 2 3 2 2 4" xfId="17479"/>
    <cellStyle name="20% - Accent1 2 2 3 2 2 4 2" xfId="33700"/>
    <cellStyle name="20% - Accent1 2 2 3 2 2 5" xfId="27784"/>
    <cellStyle name="20% - Accent1 2 2 3 2 3" xfId="9614"/>
    <cellStyle name="20% - Accent1 2 2 3 2 3 2" xfId="19235"/>
    <cellStyle name="20% - Accent1 2 2 3 2 3 2 2" xfId="35456"/>
    <cellStyle name="20% - Accent1 2 2 3 2 3 3" xfId="28768"/>
    <cellStyle name="20% - Accent1 2 2 3 2 4" xfId="15448"/>
    <cellStyle name="20% - Accent1 2 2 3 2 4 2" xfId="31670"/>
    <cellStyle name="20% - Accent1 2 2 3 2 5" xfId="17478"/>
    <cellStyle name="20% - Accent1 2 2 3 2 5 2" xfId="33699"/>
    <cellStyle name="20% - Accent1 2 2 3 2 6" xfId="27785"/>
    <cellStyle name="20% - Accent1 2 2 3 3" xfId="6479"/>
    <cellStyle name="20% - Accent1 2 2 3 3 2" xfId="9616"/>
    <cellStyle name="20% - Accent1 2 2 3 3 2 2" xfId="19237"/>
    <cellStyle name="20% - Accent1 2 2 3 3 2 2 2" xfId="35458"/>
    <cellStyle name="20% - Accent1 2 2 3 3 2 3" xfId="28770"/>
    <cellStyle name="20% - Accent1 2 2 3 3 3" xfId="16241"/>
    <cellStyle name="20% - Accent1 2 2 3 3 3 2" xfId="32462"/>
    <cellStyle name="20% - Accent1 2 2 3 3 4" xfId="17480"/>
    <cellStyle name="20% - Accent1 2 2 3 3 4 2" xfId="33701"/>
    <cellStyle name="20% - Accent1 2 2 3 3 5" xfId="27783"/>
    <cellStyle name="20% - Accent1 2 2 3 4" xfId="9613"/>
    <cellStyle name="20% - Accent1 2 2 3 4 2" xfId="19234"/>
    <cellStyle name="20% - Accent1 2 2 3 4 2 2" xfId="35455"/>
    <cellStyle name="20% - Accent1 2 2 3 4 3" xfId="28767"/>
    <cellStyle name="20% - Accent1 2 2 3 5" xfId="14656"/>
    <cellStyle name="20% - Accent1 2 2 3 5 2" xfId="30878"/>
    <cellStyle name="20% - Accent1 2 2 3 6" xfId="17477"/>
    <cellStyle name="20% - Accent1 2 2 3 6 2" xfId="33698"/>
    <cellStyle name="20% - Accent1 2 2 3 7" xfId="27786"/>
    <cellStyle name="20% - Accent1 2 2 3 8" xfId="39298"/>
    <cellStyle name="20% - Accent1 2 2 4" xfId="6478"/>
    <cellStyle name="20% - Accent1 2 2 4 2" xfId="6477"/>
    <cellStyle name="20% - Accent1 2 2 4 2 2" xfId="6476"/>
    <cellStyle name="20% - Accent1 2 2 4 2 2 2" xfId="9619"/>
    <cellStyle name="20% - Accent1 2 2 4 2 2 2 2" xfId="19240"/>
    <cellStyle name="20% - Accent1 2 2 4 2 2 2 2 2" xfId="35461"/>
    <cellStyle name="20% - Accent1 2 2 4 2 2 2 3" xfId="28773"/>
    <cellStyle name="20% - Accent1 2 2 4 2 2 3" xfId="17297"/>
    <cellStyle name="20% - Accent1 2 2 4 2 2 3 2" xfId="33518"/>
    <cellStyle name="20% - Accent1 2 2 4 2 2 4" xfId="17483"/>
    <cellStyle name="20% - Accent1 2 2 4 2 2 4 2" xfId="33704"/>
    <cellStyle name="20% - Accent1 2 2 4 2 2 5" xfId="27780"/>
    <cellStyle name="20% - Accent1 2 2 4 2 3" xfId="9618"/>
    <cellStyle name="20% - Accent1 2 2 4 2 3 2" xfId="19239"/>
    <cellStyle name="20% - Accent1 2 2 4 2 3 2 2" xfId="35460"/>
    <cellStyle name="20% - Accent1 2 2 4 2 3 3" xfId="28772"/>
    <cellStyle name="20% - Accent1 2 2 4 2 4" xfId="15712"/>
    <cellStyle name="20% - Accent1 2 2 4 2 4 2" xfId="31934"/>
    <cellStyle name="20% - Accent1 2 2 4 2 5" xfId="17482"/>
    <cellStyle name="20% - Accent1 2 2 4 2 5 2" xfId="33703"/>
    <cellStyle name="20% - Accent1 2 2 4 2 6" xfId="27781"/>
    <cellStyle name="20% - Accent1 2 2 4 3" xfId="6475"/>
    <cellStyle name="20% - Accent1 2 2 4 3 2" xfId="9620"/>
    <cellStyle name="20% - Accent1 2 2 4 3 2 2" xfId="19241"/>
    <cellStyle name="20% - Accent1 2 2 4 3 2 2 2" xfId="35462"/>
    <cellStyle name="20% - Accent1 2 2 4 3 2 3" xfId="28774"/>
    <cellStyle name="20% - Accent1 2 2 4 3 3" xfId="16505"/>
    <cellStyle name="20% - Accent1 2 2 4 3 3 2" xfId="32726"/>
    <cellStyle name="20% - Accent1 2 2 4 3 4" xfId="17484"/>
    <cellStyle name="20% - Accent1 2 2 4 3 4 2" xfId="33705"/>
    <cellStyle name="20% - Accent1 2 2 4 3 5" xfId="27779"/>
    <cellStyle name="20% - Accent1 2 2 4 4" xfId="9617"/>
    <cellStyle name="20% - Accent1 2 2 4 4 2" xfId="19238"/>
    <cellStyle name="20% - Accent1 2 2 4 4 2 2" xfId="35459"/>
    <cellStyle name="20% - Accent1 2 2 4 4 3" xfId="28771"/>
    <cellStyle name="20% - Accent1 2 2 4 5" xfId="14920"/>
    <cellStyle name="20% - Accent1 2 2 4 5 2" xfId="31142"/>
    <cellStyle name="20% - Accent1 2 2 4 6" xfId="17481"/>
    <cellStyle name="20% - Accent1 2 2 4 6 2" xfId="33702"/>
    <cellStyle name="20% - Accent1 2 2 4 7" xfId="27782"/>
    <cellStyle name="20% - Accent1 2 2 4 8" xfId="39447"/>
    <cellStyle name="20% - Accent1 2 2 5" xfId="6474"/>
    <cellStyle name="20% - Accent1 2 2 5 2" xfId="6473"/>
    <cellStyle name="20% - Accent1 2 2 5 2 2" xfId="9622"/>
    <cellStyle name="20% - Accent1 2 2 5 2 2 2" xfId="19243"/>
    <cellStyle name="20% - Accent1 2 2 5 2 2 2 2" xfId="35464"/>
    <cellStyle name="20% - Accent1 2 2 5 2 2 3" xfId="28776"/>
    <cellStyle name="20% - Accent1 2 2 5 2 3" xfId="16769"/>
    <cellStyle name="20% - Accent1 2 2 5 2 3 2" xfId="32990"/>
    <cellStyle name="20% - Accent1 2 2 5 2 4" xfId="17486"/>
    <cellStyle name="20% - Accent1 2 2 5 2 4 2" xfId="33707"/>
    <cellStyle name="20% - Accent1 2 2 5 2 5" xfId="27777"/>
    <cellStyle name="20% - Accent1 2 2 5 3" xfId="9621"/>
    <cellStyle name="20% - Accent1 2 2 5 3 2" xfId="19242"/>
    <cellStyle name="20% - Accent1 2 2 5 3 2 2" xfId="35463"/>
    <cellStyle name="20% - Accent1 2 2 5 3 3" xfId="28775"/>
    <cellStyle name="20% - Accent1 2 2 5 4" xfId="15184"/>
    <cellStyle name="20% - Accent1 2 2 5 4 2" xfId="31406"/>
    <cellStyle name="20% - Accent1 2 2 5 5" xfId="17485"/>
    <cellStyle name="20% - Accent1 2 2 5 5 2" xfId="33706"/>
    <cellStyle name="20% - Accent1 2 2 5 6" xfId="27778"/>
    <cellStyle name="20% - Accent1 2 2 6" xfId="6472"/>
    <cellStyle name="20% - Accent1 2 2 6 2" xfId="9623"/>
    <cellStyle name="20% - Accent1 2 2 6 2 2" xfId="19244"/>
    <cellStyle name="20% - Accent1 2 2 6 2 2 2" xfId="35465"/>
    <cellStyle name="20% - Accent1 2 2 6 2 3" xfId="28777"/>
    <cellStyle name="20% - Accent1 2 2 6 3" xfId="15977"/>
    <cellStyle name="20% - Accent1 2 2 6 3 2" xfId="32198"/>
    <cellStyle name="20% - Accent1 2 2 6 4" xfId="17487"/>
    <cellStyle name="20% - Accent1 2 2 6 4 2" xfId="33708"/>
    <cellStyle name="20% - Accent1 2 2 6 5" xfId="27776"/>
    <cellStyle name="20% - Accent1 2 2 7" xfId="9600"/>
    <cellStyle name="20% - Accent1 2 2 7 2" xfId="19221"/>
    <cellStyle name="20% - Accent1 2 2 7 2 2" xfId="35442"/>
    <cellStyle name="20% - Accent1 2 2 7 3" xfId="28754"/>
    <cellStyle name="20% - Accent1 2 2 8" xfId="14392"/>
    <cellStyle name="20% - Accent1 2 2 8 2" xfId="30614"/>
    <cellStyle name="20% - Accent1 2 2 9" xfId="17464"/>
    <cellStyle name="20% - Accent1 2 2 9 2" xfId="33685"/>
    <cellStyle name="20% - Accent1 2 3" xfId="6471"/>
    <cellStyle name="20% - Accent1 2 3 10" xfId="39094"/>
    <cellStyle name="20% - Accent1 2 3 2" xfId="5720"/>
    <cellStyle name="20% - Accent1 2 3 2 2" xfId="6469"/>
    <cellStyle name="20% - Accent1 2 3 2 2 2" xfId="6468"/>
    <cellStyle name="20% - Accent1 2 3 2 2 2 2" xfId="9627"/>
    <cellStyle name="20% - Accent1 2 3 2 2 2 2 2" xfId="19248"/>
    <cellStyle name="20% - Accent1 2 3 2 2 2 2 2 2" xfId="35469"/>
    <cellStyle name="20% - Accent1 2 3 2 2 2 2 3" xfId="28781"/>
    <cellStyle name="20% - Accent1 2 3 2 2 2 3" xfId="17099"/>
    <cellStyle name="20% - Accent1 2 3 2 2 2 3 2" xfId="33320"/>
    <cellStyle name="20% - Accent1 2 3 2 2 2 4" xfId="17491"/>
    <cellStyle name="20% - Accent1 2 3 2 2 2 4 2" xfId="33712"/>
    <cellStyle name="20% - Accent1 2 3 2 2 2 5" xfId="27773"/>
    <cellStyle name="20% - Accent1 2 3 2 2 3" xfId="9626"/>
    <cellStyle name="20% - Accent1 2 3 2 2 3 2" xfId="19247"/>
    <cellStyle name="20% - Accent1 2 3 2 2 3 2 2" xfId="35468"/>
    <cellStyle name="20% - Accent1 2 3 2 2 3 3" xfId="28780"/>
    <cellStyle name="20% - Accent1 2 3 2 2 4" xfId="15514"/>
    <cellStyle name="20% - Accent1 2 3 2 2 4 2" xfId="31736"/>
    <cellStyle name="20% - Accent1 2 3 2 2 5" xfId="17490"/>
    <cellStyle name="20% - Accent1 2 3 2 2 5 2" xfId="33711"/>
    <cellStyle name="20% - Accent1 2 3 2 2 6" xfId="27774"/>
    <cellStyle name="20% - Accent1 2 3 2 3" xfId="6467"/>
    <cellStyle name="20% - Accent1 2 3 2 3 2" xfId="9628"/>
    <cellStyle name="20% - Accent1 2 3 2 3 2 2" xfId="19249"/>
    <cellStyle name="20% - Accent1 2 3 2 3 2 2 2" xfId="35470"/>
    <cellStyle name="20% - Accent1 2 3 2 3 2 3" xfId="28782"/>
    <cellStyle name="20% - Accent1 2 3 2 3 3" xfId="16307"/>
    <cellStyle name="20% - Accent1 2 3 2 3 3 2" xfId="32528"/>
    <cellStyle name="20% - Accent1 2 3 2 3 4" xfId="17492"/>
    <cellStyle name="20% - Accent1 2 3 2 3 4 2" xfId="33713"/>
    <cellStyle name="20% - Accent1 2 3 2 3 5" xfId="27772"/>
    <cellStyle name="20% - Accent1 2 3 2 4" xfId="9625"/>
    <cellStyle name="20% - Accent1 2 3 2 4 2" xfId="19246"/>
    <cellStyle name="20% - Accent1 2 3 2 4 2 2" xfId="35467"/>
    <cellStyle name="20% - Accent1 2 3 2 4 3" xfId="28779"/>
    <cellStyle name="20% - Accent1 2 3 2 5" xfId="14722"/>
    <cellStyle name="20% - Accent1 2 3 2 5 2" xfId="30944"/>
    <cellStyle name="20% - Accent1 2 3 2 6" xfId="17489"/>
    <cellStyle name="20% - Accent1 2 3 2 6 2" xfId="33710"/>
    <cellStyle name="20% - Accent1 2 3 2 7" xfId="27026"/>
    <cellStyle name="20% - Accent1 2 3 3" xfId="6466"/>
    <cellStyle name="20% - Accent1 2 3 3 2" xfId="6465"/>
    <cellStyle name="20% - Accent1 2 3 3 2 2" xfId="6464"/>
    <cellStyle name="20% - Accent1 2 3 3 2 2 2" xfId="9631"/>
    <cellStyle name="20% - Accent1 2 3 3 2 2 2 2" xfId="19252"/>
    <cellStyle name="20% - Accent1 2 3 3 2 2 2 2 2" xfId="35473"/>
    <cellStyle name="20% - Accent1 2 3 3 2 2 2 3" xfId="28785"/>
    <cellStyle name="20% - Accent1 2 3 3 2 2 3" xfId="17363"/>
    <cellStyle name="20% - Accent1 2 3 3 2 2 3 2" xfId="33584"/>
    <cellStyle name="20% - Accent1 2 3 3 2 2 4" xfId="17495"/>
    <cellStyle name="20% - Accent1 2 3 3 2 2 4 2" xfId="33716"/>
    <cellStyle name="20% - Accent1 2 3 3 2 2 5" xfId="27769"/>
    <cellStyle name="20% - Accent1 2 3 3 2 3" xfId="9630"/>
    <cellStyle name="20% - Accent1 2 3 3 2 3 2" xfId="19251"/>
    <cellStyle name="20% - Accent1 2 3 3 2 3 2 2" xfId="35472"/>
    <cellStyle name="20% - Accent1 2 3 3 2 3 3" xfId="28784"/>
    <cellStyle name="20% - Accent1 2 3 3 2 4" xfId="15778"/>
    <cellStyle name="20% - Accent1 2 3 3 2 4 2" xfId="32000"/>
    <cellStyle name="20% - Accent1 2 3 3 2 5" xfId="17494"/>
    <cellStyle name="20% - Accent1 2 3 3 2 5 2" xfId="33715"/>
    <cellStyle name="20% - Accent1 2 3 3 2 6" xfId="27770"/>
    <cellStyle name="20% - Accent1 2 3 3 3" xfId="6463"/>
    <cellStyle name="20% - Accent1 2 3 3 3 2" xfId="9632"/>
    <cellStyle name="20% - Accent1 2 3 3 3 2 2" xfId="19253"/>
    <cellStyle name="20% - Accent1 2 3 3 3 2 2 2" xfId="35474"/>
    <cellStyle name="20% - Accent1 2 3 3 3 2 3" xfId="28786"/>
    <cellStyle name="20% - Accent1 2 3 3 3 3" xfId="16571"/>
    <cellStyle name="20% - Accent1 2 3 3 3 3 2" xfId="32792"/>
    <cellStyle name="20% - Accent1 2 3 3 3 4" xfId="17496"/>
    <cellStyle name="20% - Accent1 2 3 3 3 4 2" xfId="33717"/>
    <cellStyle name="20% - Accent1 2 3 3 3 5" xfId="27768"/>
    <cellStyle name="20% - Accent1 2 3 3 4" xfId="9629"/>
    <cellStyle name="20% - Accent1 2 3 3 4 2" xfId="19250"/>
    <cellStyle name="20% - Accent1 2 3 3 4 2 2" xfId="35471"/>
    <cellStyle name="20% - Accent1 2 3 3 4 3" xfId="28783"/>
    <cellStyle name="20% - Accent1 2 3 3 5" xfId="14986"/>
    <cellStyle name="20% - Accent1 2 3 3 5 2" xfId="31208"/>
    <cellStyle name="20% - Accent1 2 3 3 6" xfId="17493"/>
    <cellStyle name="20% - Accent1 2 3 3 6 2" xfId="33714"/>
    <cellStyle name="20% - Accent1 2 3 3 7" xfId="27771"/>
    <cellStyle name="20% - Accent1 2 3 4" xfId="6462"/>
    <cellStyle name="20% - Accent1 2 3 4 2" xfId="6461"/>
    <cellStyle name="20% - Accent1 2 3 4 2 2" xfId="9634"/>
    <cellStyle name="20% - Accent1 2 3 4 2 2 2" xfId="19255"/>
    <cellStyle name="20% - Accent1 2 3 4 2 2 2 2" xfId="35476"/>
    <cellStyle name="20% - Accent1 2 3 4 2 2 3" xfId="28788"/>
    <cellStyle name="20% - Accent1 2 3 4 2 3" xfId="16835"/>
    <cellStyle name="20% - Accent1 2 3 4 2 3 2" xfId="33056"/>
    <cellStyle name="20% - Accent1 2 3 4 2 4" xfId="17498"/>
    <cellStyle name="20% - Accent1 2 3 4 2 4 2" xfId="33719"/>
    <cellStyle name="20% - Accent1 2 3 4 2 5" xfId="27766"/>
    <cellStyle name="20% - Accent1 2 3 4 3" xfId="9633"/>
    <cellStyle name="20% - Accent1 2 3 4 3 2" xfId="19254"/>
    <cellStyle name="20% - Accent1 2 3 4 3 2 2" xfId="35475"/>
    <cellStyle name="20% - Accent1 2 3 4 3 3" xfId="28787"/>
    <cellStyle name="20% - Accent1 2 3 4 4" xfId="15250"/>
    <cellStyle name="20% - Accent1 2 3 4 4 2" xfId="31472"/>
    <cellStyle name="20% - Accent1 2 3 4 5" xfId="17497"/>
    <cellStyle name="20% - Accent1 2 3 4 5 2" xfId="33718"/>
    <cellStyle name="20% - Accent1 2 3 4 6" xfId="27767"/>
    <cellStyle name="20% - Accent1 2 3 5" xfId="6460"/>
    <cellStyle name="20% - Accent1 2 3 5 2" xfId="9635"/>
    <cellStyle name="20% - Accent1 2 3 5 2 2" xfId="19256"/>
    <cellStyle name="20% - Accent1 2 3 5 2 2 2" xfId="35477"/>
    <cellStyle name="20% - Accent1 2 3 5 2 3" xfId="28789"/>
    <cellStyle name="20% - Accent1 2 3 5 3" xfId="16043"/>
    <cellStyle name="20% - Accent1 2 3 5 3 2" xfId="32264"/>
    <cellStyle name="20% - Accent1 2 3 5 4" xfId="17499"/>
    <cellStyle name="20% - Accent1 2 3 5 4 2" xfId="33720"/>
    <cellStyle name="20% - Accent1 2 3 5 5" xfId="27765"/>
    <cellStyle name="20% - Accent1 2 3 6" xfId="9624"/>
    <cellStyle name="20% - Accent1 2 3 6 2" xfId="19245"/>
    <cellStyle name="20% - Accent1 2 3 6 2 2" xfId="35466"/>
    <cellStyle name="20% - Accent1 2 3 6 3" xfId="28778"/>
    <cellStyle name="20% - Accent1 2 3 7" xfId="14458"/>
    <cellStyle name="20% - Accent1 2 3 7 2" xfId="30680"/>
    <cellStyle name="20% - Accent1 2 3 8" xfId="17488"/>
    <cellStyle name="20% - Accent1 2 3 8 2" xfId="33709"/>
    <cellStyle name="20% - Accent1 2 3 9" xfId="27775"/>
    <cellStyle name="20% - Accent1 2 4" xfId="6459"/>
    <cellStyle name="20% - Accent1 2 4 2" xfId="6458"/>
    <cellStyle name="20% - Accent1 2 4 2 2" xfId="6457"/>
    <cellStyle name="20% - Accent1 2 4 2 2 2" xfId="9638"/>
    <cellStyle name="20% - Accent1 2 4 2 2 2 2" xfId="19259"/>
    <cellStyle name="20% - Accent1 2 4 2 2 2 2 2" xfId="35480"/>
    <cellStyle name="20% - Accent1 2 4 2 2 2 3" xfId="28792"/>
    <cellStyle name="20% - Accent1 2 4 2 2 3" xfId="16967"/>
    <cellStyle name="20% - Accent1 2 4 2 2 3 2" xfId="33188"/>
    <cellStyle name="20% - Accent1 2 4 2 2 4" xfId="17502"/>
    <cellStyle name="20% - Accent1 2 4 2 2 4 2" xfId="33723"/>
    <cellStyle name="20% - Accent1 2 4 2 2 5" xfId="27762"/>
    <cellStyle name="20% - Accent1 2 4 2 3" xfId="9637"/>
    <cellStyle name="20% - Accent1 2 4 2 3 2" xfId="19258"/>
    <cellStyle name="20% - Accent1 2 4 2 3 2 2" xfId="35479"/>
    <cellStyle name="20% - Accent1 2 4 2 3 3" xfId="28791"/>
    <cellStyle name="20% - Accent1 2 4 2 4" xfId="15382"/>
    <cellStyle name="20% - Accent1 2 4 2 4 2" xfId="31604"/>
    <cellStyle name="20% - Accent1 2 4 2 5" xfId="17501"/>
    <cellStyle name="20% - Accent1 2 4 2 5 2" xfId="33722"/>
    <cellStyle name="20% - Accent1 2 4 2 6" xfId="27763"/>
    <cellStyle name="20% - Accent1 2 4 3" xfId="6456"/>
    <cellStyle name="20% - Accent1 2 4 3 2" xfId="9639"/>
    <cellStyle name="20% - Accent1 2 4 3 2 2" xfId="19260"/>
    <cellStyle name="20% - Accent1 2 4 3 2 2 2" xfId="35481"/>
    <cellStyle name="20% - Accent1 2 4 3 2 3" xfId="28793"/>
    <cellStyle name="20% - Accent1 2 4 3 3" xfId="16175"/>
    <cellStyle name="20% - Accent1 2 4 3 3 2" xfId="32396"/>
    <cellStyle name="20% - Accent1 2 4 3 4" xfId="17503"/>
    <cellStyle name="20% - Accent1 2 4 3 4 2" xfId="33724"/>
    <cellStyle name="20% - Accent1 2 4 3 5" xfId="27761"/>
    <cellStyle name="20% - Accent1 2 4 4" xfId="9636"/>
    <cellStyle name="20% - Accent1 2 4 4 2" xfId="19257"/>
    <cellStyle name="20% - Accent1 2 4 4 2 2" xfId="35478"/>
    <cellStyle name="20% - Accent1 2 4 4 3" xfId="28790"/>
    <cellStyle name="20% - Accent1 2 4 5" xfId="14590"/>
    <cellStyle name="20% - Accent1 2 4 5 2" xfId="30812"/>
    <cellStyle name="20% - Accent1 2 4 6" xfId="17500"/>
    <cellStyle name="20% - Accent1 2 4 6 2" xfId="33721"/>
    <cellStyle name="20% - Accent1 2 4 7" xfId="27764"/>
    <cellStyle name="20% - Accent1 2 4 8" xfId="39242"/>
    <cellStyle name="20% - Accent1 2 5" xfId="6455"/>
    <cellStyle name="20% - Accent1 2 5 2" xfId="5723"/>
    <cellStyle name="20% - Accent1 2 5 2 2" xfId="6454"/>
    <cellStyle name="20% - Accent1 2 5 2 2 2" xfId="9642"/>
    <cellStyle name="20% - Accent1 2 5 2 2 2 2" xfId="19263"/>
    <cellStyle name="20% - Accent1 2 5 2 2 2 2 2" xfId="35484"/>
    <cellStyle name="20% - Accent1 2 5 2 2 2 3" xfId="28796"/>
    <cellStyle name="20% - Accent1 2 5 2 2 3" xfId="17231"/>
    <cellStyle name="20% - Accent1 2 5 2 2 3 2" xfId="33452"/>
    <cellStyle name="20% - Accent1 2 5 2 2 4" xfId="17506"/>
    <cellStyle name="20% - Accent1 2 5 2 2 4 2" xfId="33727"/>
    <cellStyle name="20% - Accent1 2 5 2 2 5" xfId="27759"/>
    <cellStyle name="20% - Accent1 2 5 2 3" xfId="9641"/>
    <cellStyle name="20% - Accent1 2 5 2 3 2" xfId="19262"/>
    <cellStyle name="20% - Accent1 2 5 2 3 2 2" xfId="35483"/>
    <cellStyle name="20% - Accent1 2 5 2 3 3" xfId="28795"/>
    <cellStyle name="20% - Accent1 2 5 2 4" xfId="15646"/>
    <cellStyle name="20% - Accent1 2 5 2 4 2" xfId="31868"/>
    <cellStyle name="20% - Accent1 2 5 2 5" xfId="17505"/>
    <cellStyle name="20% - Accent1 2 5 2 5 2" xfId="33726"/>
    <cellStyle name="20% - Accent1 2 5 2 6" xfId="27029"/>
    <cellStyle name="20% - Accent1 2 5 3" xfId="6453"/>
    <cellStyle name="20% - Accent1 2 5 3 2" xfId="9643"/>
    <cellStyle name="20% - Accent1 2 5 3 2 2" xfId="19264"/>
    <cellStyle name="20% - Accent1 2 5 3 2 2 2" xfId="35485"/>
    <cellStyle name="20% - Accent1 2 5 3 2 3" xfId="28797"/>
    <cellStyle name="20% - Accent1 2 5 3 3" xfId="16439"/>
    <cellStyle name="20% - Accent1 2 5 3 3 2" xfId="32660"/>
    <cellStyle name="20% - Accent1 2 5 3 4" xfId="17507"/>
    <cellStyle name="20% - Accent1 2 5 3 4 2" xfId="33728"/>
    <cellStyle name="20% - Accent1 2 5 3 5" xfId="27758"/>
    <cellStyle name="20% - Accent1 2 5 4" xfId="9640"/>
    <cellStyle name="20% - Accent1 2 5 4 2" xfId="19261"/>
    <cellStyle name="20% - Accent1 2 5 4 2 2" xfId="35482"/>
    <cellStyle name="20% - Accent1 2 5 4 3" xfId="28794"/>
    <cellStyle name="20% - Accent1 2 5 5" xfId="14854"/>
    <cellStyle name="20% - Accent1 2 5 5 2" xfId="31076"/>
    <cellStyle name="20% - Accent1 2 5 6" xfId="17504"/>
    <cellStyle name="20% - Accent1 2 5 6 2" xfId="33725"/>
    <cellStyle name="20% - Accent1 2 5 7" xfId="27760"/>
    <cellStyle name="20% - Accent1 2 5 8" xfId="39391"/>
    <cellStyle name="20% - Accent1 2 6" xfId="6452"/>
    <cellStyle name="20% - Accent1 2 6 2" xfId="6451"/>
    <cellStyle name="20% - Accent1 2 6 2 2" xfId="9645"/>
    <cellStyle name="20% - Accent1 2 6 2 2 2" xfId="19266"/>
    <cellStyle name="20% - Accent1 2 6 2 2 2 2" xfId="35487"/>
    <cellStyle name="20% - Accent1 2 6 2 2 3" xfId="28799"/>
    <cellStyle name="20% - Accent1 2 6 2 3" xfId="16703"/>
    <cellStyle name="20% - Accent1 2 6 2 3 2" xfId="32924"/>
    <cellStyle name="20% - Accent1 2 6 2 4" xfId="17509"/>
    <cellStyle name="20% - Accent1 2 6 2 4 2" xfId="33730"/>
    <cellStyle name="20% - Accent1 2 6 2 5" xfId="27756"/>
    <cellStyle name="20% - Accent1 2 6 3" xfId="9644"/>
    <cellStyle name="20% - Accent1 2 6 3 2" xfId="19265"/>
    <cellStyle name="20% - Accent1 2 6 3 2 2" xfId="35486"/>
    <cellStyle name="20% - Accent1 2 6 3 3" xfId="28798"/>
    <cellStyle name="20% - Accent1 2 6 4" xfId="15118"/>
    <cellStyle name="20% - Accent1 2 6 4 2" xfId="31340"/>
    <cellStyle name="20% - Accent1 2 6 5" xfId="17508"/>
    <cellStyle name="20% - Accent1 2 6 5 2" xfId="33729"/>
    <cellStyle name="20% - Accent1 2 6 6" xfId="27757"/>
    <cellStyle name="20% - Accent1 2 7" xfId="6450"/>
    <cellStyle name="20% - Accent1 2 7 2" xfId="9646"/>
    <cellStyle name="20% - Accent1 2 7 2 2" xfId="19267"/>
    <cellStyle name="20% - Accent1 2 7 2 2 2" xfId="35488"/>
    <cellStyle name="20% - Accent1 2 7 2 3" xfId="28800"/>
    <cellStyle name="20% - Accent1 2 7 3" xfId="15911"/>
    <cellStyle name="20% - Accent1 2 7 3 2" xfId="32132"/>
    <cellStyle name="20% - Accent1 2 7 4" xfId="17510"/>
    <cellStyle name="20% - Accent1 2 7 4 2" xfId="33731"/>
    <cellStyle name="20% - Accent1 2 7 5" xfId="27755"/>
    <cellStyle name="20% - Accent1 2 8" xfId="9599"/>
    <cellStyle name="20% - Accent1 2 8 2" xfId="19220"/>
    <cellStyle name="20% - Accent1 2 8 2 2" xfId="35441"/>
    <cellStyle name="20% - Accent1 2 8 3" xfId="28753"/>
    <cellStyle name="20% - Accent1 2 9" xfId="14326"/>
    <cellStyle name="20% - Accent1 2 9 2" xfId="30548"/>
    <cellStyle name="20% - Accent1 3" xfId="6449"/>
    <cellStyle name="20% - Accent1 3 10" xfId="27754"/>
    <cellStyle name="20% - Accent1 3 11" xfId="38973"/>
    <cellStyle name="20% - Accent1 3 2" xfId="6448"/>
    <cellStyle name="20% - Accent1 3 2 10" xfId="39015"/>
    <cellStyle name="20% - Accent1 3 2 2" xfId="6447"/>
    <cellStyle name="20% - Accent1 3 2 2 2" xfId="6446"/>
    <cellStyle name="20% - Accent1 3 2 2 2 2" xfId="6445"/>
    <cellStyle name="20% - Accent1 3 2 2 2 2 2" xfId="9651"/>
    <cellStyle name="20% - Accent1 3 2 2 2 2 2 2" xfId="19272"/>
    <cellStyle name="20% - Accent1 3 2 2 2 2 2 2 2" xfId="35493"/>
    <cellStyle name="20% - Accent1 3 2 2 2 2 2 3" xfId="28805"/>
    <cellStyle name="20% - Accent1 3 2 2 2 2 3" xfId="17132"/>
    <cellStyle name="20% - Accent1 3 2 2 2 2 3 2" xfId="33353"/>
    <cellStyle name="20% - Accent1 3 2 2 2 2 4" xfId="17515"/>
    <cellStyle name="20% - Accent1 3 2 2 2 2 4 2" xfId="33736"/>
    <cellStyle name="20% - Accent1 3 2 2 2 2 5" xfId="27750"/>
    <cellStyle name="20% - Accent1 3 2 2 2 3" xfId="9650"/>
    <cellStyle name="20% - Accent1 3 2 2 2 3 2" xfId="19271"/>
    <cellStyle name="20% - Accent1 3 2 2 2 3 2 2" xfId="35492"/>
    <cellStyle name="20% - Accent1 3 2 2 2 3 3" xfId="28804"/>
    <cellStyle name="20% - Accent1 3 2 2 2 4" xfId="15547"/>
    <cellStyle name="20% - Accent1 3 2 2 2 4 2" xfId="31769"/>
    <cellStyle name="20% - Accent1 3 2 2 2 5" xfId="17514"/>
    <cellStyle name="20% - Accent1 3 2 2 2 5 2" xfId="33735"/>
    <cellStyle name="20% - Accent1 3 2 2 2 6" xfId="27751"/>
    <cellStyle name="20% - Accent1 3 2 2 3" xfId="6444"/>
    <cellStyle name="20% - Accent1 3 2 2 3 2" xfId="9652"/>
    <cellStyle name="20% - Accent1 3 2 2 3 2 2" xfId="19273"/>
    <cellStyle name="20% - Accent1 3 2 2 3 2 2 2" xfId="35494"/>
    <cellStyle name="20% - Accent1 3 2 2 3 2 3" xfId="28806"/>
    <cellStyle name="20% - Accent1 3 2 2 3 3" xfId="16340"/>
    <cellStyle name="20% - Accent1 3 2 2 3 3 2" xfId="32561"/>
    <cellStyle name="20% - Accent1 3 2 2 3 4" xfId="17516"/>
    <cellStyle name="20% - Accent1 3 2 2 3 4 2" xfId="33737"/>
    <cellStyle name="20% - Accent1 3 2 2 3 5" xfId="27749"/>
    <cellStyle name="20% - Accent1 3 2 2 4" xfId="9649"/>
    <cellStyle name="20% - Accent1 3 2 2 4 2" xfId="19270"/>
    <cellStyle name="20% - Accent1 3 2 2 4 2 2" xfId="35491"/>
    <cellStyle name="20% - Accent1 3 2 2 4 3" xfId="28803"/>
    <cellStyle name="20% - Accent1 3 2 2 5" xfId="14755"/>
    <cellStyle name="20% - Accent1 3 2 2 5 2" xfId="30977"/>
    <cellStyle name="20% - Accent1 3 2 2 6" xfId="17513"/>
    <cellStyle name="20% - Accent1 3 2 2 6 2" xfId="33734"/>
    <cellStyle name="20% - Accent1 3 2 2 7" xfId="27752"/>
    <cellStyle name="20% - Accent1 3 2 2 8" xfId="39163"/>
    <cellStyle name="20% - Accent1 3 2 3" xfId="6443"/>
    <cellStyle name="20% - Accent1 3 2 3 2" xfId="6442"/>
    <cellStyle name="20% - Accent1 3 2 3 2 2" xfId="6441"/>
    <cellStyle name="20% - Accent1 3 2 3 2 2 2" xfId="9655"/>
    <cellStyle name="20% - Accent1 3 2 3 2 2 2 2" xfId="19276"/>
    <cellStyle name="20% - Accent1 3 2 3 2 2 2 2 2" xfId="35497"/>
    <cellStyle name="20% - Accent1 3 2 3 2 2 2 3" xfId="28809"/>
    <cellStyle name="20% - Accent1 3 2 3 2 2 3" xfId="17396"/>
    <cellStyle name="20% - Accent1 3 2 3 2 2 3 2" xfId="33617"/>
    <cellStyle name="20% - Accent1 3 2 3 2 2 4" xfId="17519"/>
    <cellStyle name="20% - Accent1 3 2 3 2 2 4 2" xfId="33740"/>
    <cellStyle name="20% - Accent1 3 2 3 2 2 5" xfId="27746"/>
    <cellStyle name="20% - Accent1 3 2 3 2 3" xfId="9654"/>
    <cellStyle name="20% - Accent1 3 2 3 2 3 2" xfId="19275"/>
    <cellStyle name="20% - Accent1 3 2 3 2 3 2 2" xfId="35496"/>
    <cellStyle name="20% - Accent1 3 2 3 2 3 3" xfId="28808"/>
    <cellStyle name="20% - Accent1 3 2 3 2 4" xfId="15811"/>
    <cellStyle name="20% - Accent1 3 2 3 2 4 2" xfId="32033"/>
    <cellStyle name="20% - Accent1 3 2 3 2 5" xfId="17518"/>
    <cellStyle name="20% - Accent1 3 2 3 2 5 2" xfId="33739"/>
    <cellStyle name="20% - Accent1 3 2 3 2 6" xfId="27747"/>
    <cellStyle name="20% - Accent1 3 2 3 3" xfId="6440"/>
    <cellStyle name="20% - Accent1 3 2 3 3 2" xfId="9656"/>
    <cellStyle name="20% - Accent1 3 2 3 3 2 2" xfId="19277"/>
    <cellStyle name="20% - Accent1 3 2 3 3 2 2 2" xfId="35498"/>
    <cellStyle name="20% - Accent1 3 2 3 3 2 3" xfId="28810"/>
    <cellStyle name="20% - Accent1 3 2 3 3 3" xfId="16604"/>
    <cellStyle name="20% - Accent1 3 2 3 3 3 2" xfId="32825"/>
    <cellStyle name="20% - Accent1 3 2 3 3 4" xfId="17520"/>
    <cellStyle name="20% - Accent1 3 2 3 3 4 2" xfId="33741"/>
    <cellStyle name="20% - Accent1 3 2 3 3 5" xfId="27745"/>
    <cellStyle name="20% - Accent1 3 2 3 4" xfId="9653"/>
    <cellStyle name="20% - Accent1 3 2 3 4 2" xfId="19274"/>
    <cellStyle name="20% - Accent1 3 2 3 4 2 2" xfId="35495"/>
    <cellStyle name="20% - Accent1 3 2 3 4 3" xfId="28807"/>
    <cellStyle name="20% - Accent1 3 2 3 5" xfId="15019"/>
    <cellStyle name="20% - Accent1 3 2 3 5 2" xfId="31241"/>
    <cellStyle name="20% - Accent1 3 2 3 6" xfId="17517"/>
    <cellStyle name="20% - Accent1 3 2 3 6 2" xfId="33738"/>
    <cellStyle name="20% - Accent1 3 2 3 7" xfId="27748"/>
    <cellStyle name="20% - Accent1 3 2 3 8" xfId="39311"/>
    <cellStyle name="20% - Accent1 3 2 4" xfId="6439"/>
    <cellStyle name="20% - Accent1 3 2 4 2" xfId="6438"/>
    <cellStyle name="20% - Accent1 3 2 4 2 2" xfId="9658"/>
    <cellStyle name="20% - Accent1 3 2 4 2 2 2" xfId="19279"/>
    <cellStyle name="20% - Accent1 3 2 4 2 2 2 2" xfId="35500"/>
    <cellStyle name="20% - Accent1 3 2 4 2 2 3" xfId="28812"/>
    <cellStyle name="20% - Accent1 3 2 4 2 3" xfId="16868"/>
    <cellStyle name="20% - Accent1 3 2 4 2 3 2" xfId="33089"/>
    <cellStyle name="20% - Accent1 3 2 4 2 4" xfId="17522"/>
    <cellStyle name="20% - Accent1 3 2 4 2 4 2" xfId="33743"/>
    <cellStyle name="20% - Accent1 3 2 4 2 5" xfId="27743"/>
    <cellStyle name="20% - Accent1 3 2 4 3" xfId="9657"/>
    <cellStyle name="20% - Accent1 3 2 4 3 2" xfId="19278"/>
    <cellStyle name="20% - Accent1 3 2 4 3 2 2" xfId="35499"/>
    <cellStyle name="20% - Accent1 3 2 4 3 3" xfId="28811"/>
    <cellStyle name="20% - Accent1 3 2 4 4" xfId="15283"/>
    <cellStyle name="20% - Accent1 3 2 4 4 2" xfId="31505"/>
    <cellStyle name="20% - Accent1 3 2 4 5" xfId="17521"/>
    <cellStyle name="20% - Accent1 3 2 4 5 2" xfId="33742"/>
    <cellStyle name="20% - Accent1 3 2 4 6" xfId="27744"/>
    <cellStyle name="20% - Accent1 3 2 4 7" xfId="39460"/>
    <cellStyle name="20% - Accent1 3 2 5" xfId="6437"/>
    <cellStyle name="20% - Accent1 3 2 5 2" xfId="9659"/>
    <cellStyle name="20% - Accent1 3 2 5 2 2" xfId="19280"/>
    <cellStyle name="20% - Accent1 3 2 5 2 2 2" xfId="35501"/>
    <cellStyle name="20% - Accent1 3 2 5 2 3" xfId="28813"/>
    <cellStyle name="20% - Accent1 3 2 5 3" xfId="16076"/>
    <cellStyle name="20% - Accent1 3 2 5 3 2" xfId="32297"/>
    <cellStyle name="20% - Accent1 3 2 5 4" xfId="17523"/>
    <cellStyle name="20% - Accent1 3 2 5 4 2" xfId="33744"/>
    <cellStyle name="20% - Accent1 3 2 5 5" xfId="27742"/>
    <cellStyle name="20% - Accent1 3 2 6" xfId="9648"/>
    <cellStyle name="20% - Accent1 3 2 6 2" xfId="19269"/>
    <cellStyle name="20% - Accent1 3 2 6 2 2" xfId="35490"/>
    <cellStyle name="20% - Accent1 3 2 6 3" xfId="28802"/>
    <cellStyle name="20% - Accent1 3 2 7" xfId="14491"/>
    <cellStyle name="20% - Accent1 3 2 7 2" xfId="30713"/>
    <cellStyle name="20% - Accent1 3 2 8" xfId="17512"/>
    <cellStyle name="20% - Accent1 3 2 8 2" xfId="33733"/>
    <cellStyle name="20% - Accent1 3 2 9" xfId="27753"/>
    <cellStyle name="20% - Accent1 3 3" xfId="6436"/>
    <cellStyle name="20% - Accent1 3 3 2" xfId="6435"/>
    <cellStyle name="20% - Accent1 3 3 2 2" xfId="6434"/>
    <cellStyle name="20% - Accent1 3 3 2 2 2" xfId="9662"/>
    <cellStyle name="20% - Accent1 3 3 2 2 2 2" xfId="19283"/>
    <cellStyle name="20% - Accent1 3 3 2 2 2 2 2" xfId="35504"/>
    <cellStyle name="20% - Accent1 3 3 2 2 2 3" xfId="28816"/>
    <cellStyle name="20% - Accent1 3 3 2 2 3" xfId="17000"/>
    <cellStyle name="20% - Accent1 3 3 2 2 3 2" xfId="33221"/>
    <cellStyle name="20% - Accent1 3 3 2 2 4" xfId="17526"/>
    <cellStyle name="20% - Accent1 3 3 2 2 4 2" xfId="33747"/>
    <cellStyle name="20% - Accent1 3 3 2 2 5" xfId="27739"/>
    <cellStyle name="20% - Accent1 3 3 2 3" xfId="9661"/>
    <cellStyle name="20% - Accent1 3 3 2 3 2" xfId="19282"/>
    <cellStyle name="20% - Accent1 3 3 2 3 2 2" xfId="35503"/>
    <cellStyle name="20% - Accent1 3 3 2 3 3" xfId="28815"/>
    <cellStyle name="20% - Accent1 3 3 2 4" xfId="15415"/>
    <cellStyle name="20% - Accent1 3 3 2 4 2" xfId="31637"/>
    <cellStyle name="20% - Accent1 3 3 2 5" xfId="17525"/>
    <cellStyle name="20% - Accent1 3 3 2 5 2" xfId="33746"/>
    <cellStyle name="20% - Accent1 3 3 2 6" xfId="27740"/>
    <cellStyle name="20% - Accent1 3 3 3" xfId="6433"/>
    <cellStyle name="20% - Accent1 3 3 3 2" xfId="9663"/>
    <cellStyle name="20% - Accent1 3 3 3 2 2" xfId="19284"/>
    <cellStyle name="20% - Accent1 3 3 3 2 2 2" xfId="35505"/>
    <cellStyle name="20% - Accent1 3 3 3 2 3" xfId="28817"/>
    <cellStyle name="20% - Accent1 3 3 3 3" xfId="16208"/>
    <cellStyle name="20% - Accent1 3 3 3 3 2" xfId="32429"/>
    <cellStyle name="20% - Accent1 3 3 3 4" xfId="17527"/>
    <cellStyle name="20% - Accent1 3 3 3 4 2" xfId="33748"/>
    <cellStyle name="20% - Accent1 3 3 3 5" xfId="27738"/>
    <cellStyle name="20% - Accent1 3 3 4" xfId="9660"/>
    <cellStyle name="20% - Accent1 3 3 4 2" xfId="19281"/>
    <cellStyle name="20% - Accent1 3 3 4 2 2" xfId="35502"/>
    <cellStyle name="20% - Accent1 3 3 4 3" xfId="28814"/>
    <cellStyle name="20% - Accent1 3 3 5" xfId="14623"/>
    <cellStyle name="20% - Accent1 3 3 5 2" xfId="30845"/>
    <cellStyle name="20% - Accent1 3 3 6" xfId="17524"/>
    <cellStyle name="20% - Accent1 3 3 6 2" xfId="33745"/>
    <cellStyle name="20% - Accent1 3 3 7" xfId="27741"/>
    <cellStyle name="20% - Accent1 3 3 8" xfId="39107"/>
    <cellStyle name="20% - Accent1 3 4" xfId="6432"/>
    <cellStyle name="20% - Accent1 3 4 2" xfId="6431"/>
    <cellStyle name="20% - Accent1 3 4 2 2" xfId="6430"/>
    <cellStyle name="20% - Accent1 3 4 2 2 2" xfId="9666"/>
    <cellStyle name="20% - Accent1 3 4 2 2 2 2" xfId="19287"/>
    <cellStyle name="20% - Accent1 3 4 2 2 2 2 2" xfId="35508"/>
    <cellStyle name="20% - Accent1 3 4 2 2 2 3" xfId="28820"/>
    <cellStyle name="20% - Accent1 3 4 2 2 3" xfId="17264"/>
    <cellStyle name="20% - Accent1 3 4 2 2 3 2" xfId="33485"/>
    <cellStyle name="20% - Accent1 3 4 2 2 4" xfId="17530"/>
    <cellStyle name="20% - Accent1 3 4 2 2 4 2" xfId="33751"/>
    <cellStyle name="20% - Accent1 3 4 2 2 5" xfId="27735"/>
    <cellStyle name="20% - Accent1 3 4 2 3" xfId="9665"/>
    <cellStyle name="20% - Accent1 3 4 2 3 2" xfId="19286"/>
    <cellStyle name="20% - Accent1 3 4 2 3 2 2" xfId="35507"/>
    <cellStyle name="20% - Accent1 3 4 2 3 3" xfId="28819"/>
    <cellStyle name="20% - Accent1 3 4 2 4" xfId="15679"/>
    <cellStyle name="20% - Accent1 3 4 2 4 2" xfId="31901"/>
    <cellStyle name="20% - Accent1 3 4 2 5" xfId="17529"/>
    <cellStyle name="20% - Accent1 3 4 2 5 2" xfId="33750"/>
    <cellStyle name="20% - Accent1 3 4 2 6" xfId="27736"/>
    <cellStyle name="20% - Accent1 3 4 3" xfId="6429"/>
    <cellStyle name="20% - Accent1 3 4 3 2" xfId="9667"/>
    <cellStyle name="20% - Accent1 3 4 3 2 2" xfId="19288"/>
    <cellStyle name="20% - Accent1 3 4 3 2 2 2" xfId="35509"/>
    <cellStyle name="20% - Accent1 3 4 3 2 3" xfId="28821"/>
    <cellStyle name="20% - Accent1 3 4 3 3" xfId="16472"/>
    <cellStyle name="20% - Accent1 3 4 3 3 2" xfId="32693"/>
    <cellStyle name="20% - Accent1 3 4 3 4" xfId="17531"/>
    <cellStyle name="20% - Accent1 3 4 3 4 2" xfId="33752"/>
    <cellStyle name="20% - Accent1 3 4 3 5" xfId="27734"/>
    <cellStyle name="20% - Accent1 3 4 4" xfId="9664"/>
    <cellStyle name="20% - Accent1 3 4 4 2" xfId="19285"/>
    <cellStyle name="20% - Accent1 3 4 4 2 2" xfId="35506"/>
    <cellStyle name="20% - Accent1 3 4 4 3" xfId="28818"/>
    <cellStyle name="20% - Accent1 3 4 5" xfId="14887"/>
    <cellStyle name="20% - Accent1 3 4 5 2" xfId="31109"/>
    <cellStyle name="20% - Accent1 3 4 6" xfId="17528"/>
    <cellStyle name="20% - Accent1 3 4 6 2" xfId="33749"/>
    <cellStyle name="20% - Accent1 3 4 7" xfId="27737"/>
    <cellStyle name="20% - Accent1 3 4 8" xfId="39255"/>
    <cellStyle name="20% - Accent1 3 5" xfId="6428"/>
    <cellStyle name="20% - Accent1 3 5 2" xfId="6427"/>
    <cellStyle name="20% - Accent1 3 5 2 2" xfId="9669"/>
    <cellStyle name="20% - Accent1 3 5 2 2 2" xfId="19290"/>
    <cellStyle name="20% - Accent1 3 5 2 2 2 2" xfId="35511"/>
    <cellStyle name="20% - Accent1 3 5 2 2 3" xfId="28823"/>
    <cellStyle name="20% - Accent1 3 5 2 3" xfId="16736"/>
    <cellStyle name="20% - Accent1 3 5 2 3 2" xfId="32957"/>
    <cellStyle name="20% - Accent1 3 5 2 4" xfId="17533"/>
    <cellStyle name="20% - Accent1 3 5 2 4 2" xfId="33754"/>
    <cellStyle name="20% - Accent1 3 5 2 5" xfId="27732"/>
    <cellStyle name="20% - Accent1 3 5 3" xfId="9668"/>
    <cellStyle name="20% - Accent1 3 5 3 2" xfId="19289"/>
    <cellStyle name="20% - Accent1 3 5 3 2 2" xfId="35510"/>
    <cellStyle name="20% - Accent1 3 5 3 3" xfId="28822"/>
    <cellStyle name="20% - Accent1 3 5 4" xfId="15151"/>
    <cellStyle name="20% - Accent1 3 5 4 2" xfId="31373"/>
    <cellStyle name="20% - Accent1 3 5 5" xfId="17532"/>
    <cellStyle name="20% - Accent1 3 5 5 2" xfId="33753"/>
    <cellStyle name="20% - Accent1 3 5 6" xfId="27733"/>
    <cellStyle name="20% - Accent1 3 5 7" xfId="39404"/>
    <cellStyle name="20% - Accent1 3 6" xfId="6426"/>
    <cellStyle name="20% - Accent1 3 6 2" xfId="9670"/>
    <cellStyle name="20% - Accent1 3 6 2 2" xfId="19291"/>
    <cellStyle name="20% - Accent1 3 6 2 2 2" xfId="35512"/>
    <cellStyle name="20% - Accent1 3 6 2 3" xfId="28824"/>
    <cellStyle name="20% - Accent1 3 6 3" xfId="15944"/>
    <cellStyle name="20% - Accent1 3 6 3 2" xfId="32165"/>
    <cellStyle name="20% - Accent1 3 6 4" xfId="17534"/>
    <cellStyle name="20% - Accent1 3 6 4 2" xfId="33755"/>
    <cellStyle name="20% - Accent1 3 6 5" xfId="27731"/>
    <cellStyle name="20% - Accent1 3 7" xfId="9647"/>
    <cellStyle name="20% - Accent1 3 7 2" xfId="19268"/>
    <cellStyle name="20% - Accent1 3 7 2 2" xfId="35489"/>
    <cellStyle name="20% - Accent1 3 7 3" xfId="28801"/>
    <cellStyle name="20% - Accent1 3 8" xfId="14359"/>
    <cellStyle name="20% - Accent1 3 8 2" xfId="30581"/>
    <cellStyle name="20% - Accent1 3 9" xfId="17511"/>
    <cellStyle name="20% - Accent1 3 9 2" xfId="33732"/>
    <cellStyle name="20% - Accent1 4" xfId="6425"/>
    <cellStyle name="20% - Accent1 4 10" xfId="38986"/>
    <cellStyle name="20% - Accent1 4 2" xfId="6424"/>
    <cellStyle name="20% - Accent1 4 2 2" xfId="6423"/>
    <cellStyle name="20% - Accent1 4 2 2 2" xfId="6422"/>
    <cellStyle name="20% - Accent1 4 2 2 2 2" xfId="9674"/>
    <cellStyle name="20% - Accent1 4 2 2 2 2 2" xfId="19295"/>
    <cellStyle name="20% - Accent1 4 2 2 2 2 2 2" xfId="35516"/>
    <cellStyle name="20% - Accent1 4 2 2 2 2 3" xfId="28828"/>
    <cellStyle name="20% - Accent1 4 2 2 2 3" xfId="17066"/>
    <cellStyle name="20% - Accent1 4 2 2 2 3 2" xfId="33287"/>
    <cellStyle name="20% - Accent1 4 2 2 2 4" xfId="17538"/>
    <cellStyle name="20% - Accent1 4 2 2 2 4 2" xfId="33759"/>
    <cellStyle name="20% - Accent1 4 2 2 2 5" xfId="27727"/>
    <cellStyle name="20% - Accent1 4 2 2 3" xfId="9673"/>
    <cellStyle name="20% - Accent1 4 2 2 3 2" xfId="19294"/>
    <cellStyle name="20% - Accent1 4 2 2 3 2 2" xfId="35515"/>
    <cellStyle name="20% - Accent1 4 2 2 3 3" xfId="28827"/>
    <cellStyle name="20% - Accent1 4 2 2 4" xfId="15481"/>
    <cellStyle name="20% - Accent1 4 2 2 4 2" xfId="31703"/>
    <cellStyle name="20% - Accent1 4 2 2 5" xfId="17537"/>
    <cellStyle name="20% - Accent1 4 2 2 5 2" xfId="33758"/>
    <cellStyle name="20% - Accent1 4 2 2 6" xfId="27728"/>
    <cellStyle name="20% - Accent1 4 2 2 7" xfId="39176"/>
    <cellStyle name="20% - Accent1 4 2 3" xfId="6421"/>
    <cellStyle name="20% - Accent1 4 2 3 2" xfId="9675"/>
    <cellStyle name="20% - Accent1 4 2 3 2 2" xfId="19296"/>
    <cellStyle name="20% - Accent1 4 2 3 2 2 2" xfId="35517"/>
    <cellStyle name="20% - Accent1 4 2 3 2 3" xfId="28829"/>
    <cellStyle name="20% - Accent1 4 2 3 3" xfId="16274"/>
    <cellStyle name="20% - Accent1 4 2 3 3 2" xfId="32495"/>
    <cellStyle name="20% - Accent1 4 2 3 4" xfId="17539"/>
    <cellStyle name="20% - Accent1 4 2 3 4 2" xfId="33760"/>
    <cellStyle name="20% - Accent1 4 2 3 5" xfId="27726"/>
    <cellStyle name="20% - Accent1 4 2 3 6" xfId="39324"/>
    <cellStyle name="20% - Accent1 4 2 4" xfId="9672"/>
    <cellStyle name="20% - Accent1 4 2 4 2" xfId="19293"/>
    <cellStyle name="20% - Accent1 4 2 4 2 2" xfId="35514"/>
    <cellStyle name="20% - Accent1 4 2 4 3" xfId="28826"/>
    <cellStyle name="20% - Accent1 4 2 4 4" xfId="39473"/>
    <cellStyle name="20% - Accent1 4 2 5" xfId="14689"/>
    <cellStyle name="20% - Accent1 4 2 5 2" xfId="30911"/>
    <cellStyle name="20% - Accent1 4 2 6" xfId="17536"/>
    <cellStyle name="20% - Accent1 4 2 6 2" xfId="33757"/>
    <cellStyle name="20% - Accent1 4 2 7" xfId="27729"/>
    <cellStyle name="20% - Accent1 4 2 8" xfId="39028"/>
    <cellStyle name="20% - Accent1 4 3" xfId="6420"/>
    <cellStyle name="20% - Accent1 4 3 2" xfId="6419"/>
    <cellStyle name="20% - Accent1 4 3 2 2" xfId="6418"/>
    <cellStyle name="20% - Accent1 4 3 2 2 2" xfId="9678"/>
    <cellStyle name="20% - Accent1 4 3 2 2 2 2" xfId="19299"/>
    <cellStyle name="20% - Accent1 4 3 2 2 2 2 2" xfId="35520"/>
    <cellStyle name="20% - Accent1 4 3 2 2 2 3" xfId="28832"/>
    <cellStyle name="20% - Accent1 4 3 2 2 3" xfId="17330"/>
    <cellStyle name="20% - Accent1 4 3 2 2 3 2" xfId="33551"/>
    <cellStyle name="20% - Accent1 4 3 2 2 4" xfId="17542"/>
    <cellStyle name="20% - Accent1 4 3 2 2 4 2" xfId="33763"/>
    <cellStyle name="20% - Accent1 4 3 2 2 5" xfId="27723"/>
    <cellStyle name="20% - Accent1 4 3 2 3" xfId="9677"/>
    <cellStyle name="20% - Accent1 4 3 2 3 2" xfId="19298"/>
    <cellStyle name="20% - Accent1 4 3 2 3 2 2" xfId="35519"/>
    <cellStyle name="20% - Accent1 4 3 2 3 3" xfId="28831"/>
    <cellStyle name="20% - Accent1 4 3 2 4" xfId="15745"/>
    <cellStyle name="20% - Accent1 4 3 2 4 2" xfId="31967"/>
    <cellStyle name="20% - Accent1 4 3 2 5" xfId="17541"/>
    <cellStyle name="20% - Accent1 4 3 2 5 2" xfId="33762"/>
    <cellStyle name="20% - Accent1 4 3 2 6" xfId="27724"/>
    <cellStyle name="20% - Accent1 4 3 3" xfId="6417"/>
    <cellStyle name="20% - Accent1 4 3 3 2" xfId="9679"/>
    <cellStyle name="20% - Accent1 4 3 3 2 2" xfId="19300"/>
    <cellStyle name="20% - Accent1 4 3 3 2 2 2" xfId="35521"/>
    <cellStyle name="20% - Accent1 4 3 3 2 3" xfId="28833"/>
    <cellStyle name="20% - Accent1 4 3 3 3" xfId="16538"/>
    <cellStyle name="20% - Accent1 4 3 3 3 2" xfId="32759"/>
    <cellStyle name="20% - Accent1 4 3 3 4" xfId="17543"/>
    <cellStyle name="20% - Accent1 4 3 3 4 2" xfId="33764"/>
    <cellStyle name="20% - Accent1 4 3 3 5" xfId="27722"/>
    <cellStyle name="20% - Accent1 4 3 4" xfId="9676"/>
    <cellStyle name="20% - Accent1 4 3 4 2" xfId="19297"/>
    <cellStyle name="20% - Accent1 4 3 4 2 2" xfId="35518"/>
    <cellStyle name="20% - Accent1 4 3 4 3" xfId="28830"/>
    <cellStyle name="20% - Accent1 4 3 5" xfId="14953"/>
    <cellStyle name="20% - Accent1 4 3 5 2" xfId="31175"/>
    <cellStyle name="20% - Accent1 4 3 6" xfId="17540"/>
    <cellStyle name="20% - Accent1 4 3 6 2" xfId="33761"/>
    <cellStyle name="20% - Accent1 4 3 7" xfId="27725"/>
    <cellStyle name="20% - Accent1 4 3 8" xfId="39120"/>
    <cellStyle name="20% - Accent1 4 4" xfId="6416"/>
    <cellStyle name="20% - Accent1 4 4 2" xfId="6415"/>
    <cellStyle name="20% - Accent1 4 4 2 2" xfId="9681"/>
    <cellStyle name="20% - Accent1 4 4 2 2 2" xfId="19302"/>
    <cellStyle name="20% - Accent1 4 4 2 2 2 2" xfId="35523"/>
    <cellStyle name="20% - Accent1 4 4 2 2 3" xfId="28835"/>
    <cellStyle name="20% - Accent1 4 4 2 3" xfId="16802"/>
    <cellStyle name="20% - Accent1 4 4 2 3 2" xfId="33023"/>
    <cellStyle name="20% - Accent1 4 4 2 4" xfId="17545"/>
    <cellStyle name="20% - Accent1 4 4 2 4 2" xfId="33766"/>
    <cellStyle name="20% - Accent1 4 4 2 5" xfId="27720"/>
    <cellStyle name="20% - Accent1 4 4 3" xfId="9680"/>
    <cellStyle name="20% - Accent1 4 4 3 2" xfId="19301"/>
    <cellStyle name="20% - Accent1 4 4 3 2 2" xfId="35522"/>
    <cellStyle name="20% - Accent1 4 4 3 3" xfId="28834"/>
    <cellStyle name="20% - Accent1 4 4 4" xfId="15217"/>
    <cellStyle name="20% - Accent1 4 4 4 2" xfId="31439"/>
    <cellStyle name="20% - Accent1 4 4 5" xfId="17544"/>
    <cellStyle name="20% - Accent1 4 4 5 2" xfId="33765"/>
    <cellStyle name="20% - Accent1 4 4 6" xfId="27721"/>
    <cellStyle name="20% - Accent1 4 4 7" xfId="39268"/>
    <cellStyle name="20% - Accent1 4 5" xfId="6414"/>
    <cellStyle name="20% - Accent1 4 5 2" xfId="9682"/>
    <cellStyle name="20% - Accent1 4 5 2 2" xfId="19303"/>
    <cellStyle name="20% - Accent1 4 5 2 2 2" xfId="35524"/>
    <cellStyle name="20% - Accent1 4 5 2 3" xfId="28836"/>
    <cellStyle name="20% - Accent1 4 5 3" xfId="16010"/>
    <cellStyle name="20% - Accent1 4 5 3 2" xfId="32231"/>
    <cellStyle name="20% - Accent1 4 5 4" xfId="17546"/>
    <cellStyle name="20% - Accent1 4 5 4 2" xfId="33767"/>
    <cellStyle name="20% - Accent1 4 5 5" xfId="27719"/>
    <cellStyle name="20% - Accent1 4 5 6" xfId="39417"/>
    <cellStyle name="20% - Accent1 4 6" xfId="9671"/>
    <cellStyle name="20% - Accent1 4 6 2" xfId="19292"/>
    <cellStyle name="20% - Accent1 4 6 2 2" xfId="35513"/>
    <cellStyle name="20% - Accent1 4 6 3" xfId="28825"/>
    <cellStyle name="20% - Accent1 4 7" xfId="14425"/>
    <cellStyle name="20% - Accent1 4 7 2" xfId="30647"/>
    <cellStyle name="20% - Accent1 4 8" xfId="17535"/>
    <cellStyle name="20% - Accent1 4 8 2" xfId="33756"/>
    <cellStyle name="20% - Accent1 4 9" xfId="27730"/>
    <cellStyle name="20% - Accent1 5" xfId="6413"/>
    <cellStyle name="20% - Accent1 5 2" xfId="6412"/>
    <cellStyle name="20% - Accent1 5 2 2" xfId="6411"/>
    <cellStyle name="20% - Accent1 5 2 2 2" xfId="9685"/>
    <cellStyle name="20% - Accent1 5 2 2 2 2" xfId="19306"/>
    <cellStyle name="20% - Accent1 5 2 2 2 2 2" xfId="35527"/>
    <cellStyle name="20% - Accent1 5 2 2 2 3" xfId="28839"/>
    <cellStyle name="20% - Accent1 5 2 2 3" xfId="16934"/>
    <cellStyle name="20% - Accent1 5 2 2 3 2" xfId="33155"/>
    <cellStyle name="20% - Accent1 5 2 2 4" xfId="17549"/>
    <cellStyle name="20% - Accent1 5 2 2 4 2" xfId="33770"/>
    <cellStyle name="20% - Accent1 5 2 2 5" xfId="27716"/>
    <cellStyle name="20% - Accent1 5 2 3" xfId="9684"/>
    <cellStyle name="20% - Accent1 5 2 3 2" xfId="19305"/>
    <cellStyle name="20% - Accent1 5 2 3 2 2" xfId="35526"/>
    <cellStyle name="20% - Accent1 5 2 3 3" xfId="28838"/>
    <cellStyle name="20% - Accent1 5 2 4" xfId="15349"/>
    <cellStyle name="20% - Accent1 5 2 4 2" xfId="31571"/>
    <cellStyle name="20% - Accent1 5 2 5" xfId="17548"/>
    <cellStyle name="20% - Accent1 5 2 5 2" xfId="33769"/>
    <cellStyle name="20% - Accent1 5 2 6" xfId="27717"/>
    <cellStyle name="20% - Accent1 5 2 7" xfId="39132"/>
    <cellStyle name="20% - Accent1 5 3" xfId="5737"/>
    <cellStyle name="20% - Accent1 5 3 2" xfId="9686"/>
    <cellStyle name="20% - Accent1 5 3 2 2" xfId="19307"/>
    <cellStyle name="20% - Accent1 5 3 2 2 2" xfId="35528"/>
    <cellStyle name="20% - Accent1 5 3 2 3" xfId="28840"/>
    <cellStyle name="20% - Accent1 5 3 3" xfId="16142"/>
    <cellStyle name="20% - Accent1 5 3 3 2" xfId="32363"/>
    <cellStyle name="20% - Accent1 5 3 4" xfId="17550"/>
    <cellStyle name="20% - Accent1 5 3 4 2" xfId="33771"/>
    <cellStyle name="20% - Accent1 5 3 5" xfId="27043"/>
    <cellStyle name="20% - Accent1 5 3 6" xfId="39280"/>
    <cellStyle name="20% - Accent1 5 4" xfId="9683"/>
    <cellStyle name="20% - Accent1 5 4 2" xfId="19304"/>
    <cellStyle name="20% - Accent1 5 4 2 2" xfId="35525"/>
    <cellStyle name="20% - Accent1 5 4 3" xfId="28837"/>
    <cellStyle name="20% - Accent1 5 4 4" xfId="39429"/>
    <cellStyle name="20% - Accent1 5 5" xfId="14557"/>
    <cellStyle name="20% - Accent1 5 5 2" xfId="30779"/>
    <cellStyle name="20% - Accent1 5 6" xfId="17547"/>
    <cellStyle name="20% - Accent1 5 6 2" xfId="33768"/>
    <cellStyle name="20% - Accent1 5 7" xfId="27718"/>
    <cellStyle name="20% - Accent1 5 8" xfId="38998"/>
    <cellStyle name="20% - Accent1 6" xfId="6410"/>
    <cellStyle name="20% - Accent1 6 2" xfId="6409"/>
    <cellStyle name="20% - Accent1 6 2 2" xfId="6408"/>
    <cellStyle name="20% - Accent1 6 2 2 2" xfId="9689"/>
    <cellStyle name="20% - Accent1 6 2 2 2 2" xfId="19310"/>
    <cellStyle name="20% - Accent1 6 2 2 2 2 2" xfId="35531"/>
    <cellStyle name="20% - Accent1 6 2 2 2 3" xfId="28843"/>
    <cellStyle name="20% - Accent1 6 2 2 3" xfId="17198"/>
    <cellStyle name="20% - Accent1 6 2 2 3 2" xfId="33419"/>
    <cellStyle name="20% - Accent1 6 2 2 4" xfId="17553"/>
    <cellStyle name="20% - Accent1 6 2 2 4 2" xfId="33774"/>
    <cellStyle name="20% - Accent1 6 2 2 5" xfId="27713"/>
    <cellStyle name="20% - Accent1 6 2 3" xfId="9688"/>
    <cellStyle name="20% - Accent1 6 2 3 2" xfId="19309"/>
    <cellStyle name="20% - Accent1 6 2 3 2 2" xfId="35530"/>
    <cellStyle name="20% - Accent1 6 2 3 3" xfId="28842"/>
    <cellStyle name="20% - Accent1 6 2 4" xfId="15613"/>
    <cellStyle name="20% - Accent1 6 2 4 2" xfId="31835"/>
    <cellStyle name="20% - Accent1 6 2 5" xfId="17552"/>
    <cellStyle name="20% - Accent1 6 2 5 2" xfId="33773"/>
    <cellStyle name="20% - Accent1 6 2 6" xfId="27714"/>
    <cellStyle name="20% - Accent1 6 3" xfId="6407"/>
    <cellStyle name="20% - Accent1 6 3 2" xfId="9690"/>
    <cellStyle name="20% - Accent1 6 3 2 2" xfId="19311"/>
    <cellStyle name="20% - Accent1 6 3 2 2 2" xfId="35532"/>
    <cellStyle name="20% - Accent1 6 3 2 3" xfId="28844"/>
    <cellStyle name="20% - Accent1 6 3 3" xfId="16406"/>
    <cellStyle name="20% - Accent1 6 3 3 2" xfId="32627"/>
    <cellStyle name="20% - Accent1 6 3 4" xfId="17554"/>
    <cellStyle name="20% - Accent1 6 3 4 2" xfId="33775"/>
    <cellStyle name="20% - Accent1 6 3 5" xfId="27712"/>
    <cellStyle name="20% - Accent1 6 4" xfId="9687"/>
    <cellStyle name="20% - Accent1 6 4 2" xfId="19308"/>
    <cellStyle name="20% - Accent1 6 4 2 2" xfId="35529"/>
    <cellStyle name="20% - Accent1 6 4 3" xfId="28841"/>
    <cellStyle name="20% - Accent1 6 5" xfId="14821"/>
    <cellStyle name="20% - Accent1 6 5 2" xfId="31043"/>
    <cellStyle name="20% - Accent1 6 6" xfId="17551"/>
    <cellStyle name="20% - Accent1 6 6 2" xfId="33772"/>
    <cellStyle name="20% - Accent1 6 7" xfId="27715"/>
    <cellStyle name="20% - Accent1 6 8" xfId="39076"/>
    <cellStyle name="20% - Accent1 7" xfId="6406"/>
    <cellStyle name="20% - Accent1 7 2" xfId="6405"/>
    <cellStyle name="20% - Accent1 7 2 2" xfId="9692"/>
    <cellStyle name="20% - Accent1 7 2 2 2" xfId="19313"/>
    <cellStyle name="20% - Accent1 7 2 2 2 2" xfId="35534"/>
    <cellStyle name="20% - Accent1 7 2 2 3" xfId="28846"/>
    <cellStyle name="20% - Accent1 7 2 3" xfId="16670"/>
    <cellStyle name="20% - Accent1 7 2 3 2" xfId="32891"/>
    <cellStyle name="20% - Accent1 7 2 4" xfId="17556"/>
    <cellStyle name="20% - Accent1 7 2 4 2" xfId="33777"/>
    <cellStyle name="20% - Accent1 7 2 5" xfId="27710"/>
    <cellStyle name="20% - Accent1 7 3" xfId="9691"/>
    <cellStyle name="20% - Accent1 7 3 2" xfId="19312"/>
    <cellStyle name="20% - Accent1 7 3 2 2" xfId="35533"/>
    <cellStyle name="20% - Accent1 7 3 3" xfId="28845"/>
    <cellStyle name="20% - Accent1 7 4" xfId="15085"/>
    <cellStyle name="20% - Accent1 7 4 2" xfId="31307"/>
    <cellStyle name="20% - Accent1 7 5" xfId="17555"/>
    <cellStyle name="20% - Accent1 7 5 2" xfId="33776"/>
    <cellStyle name="20% - Accent1 7 6" xfId="27711"/>
    <cellStyle name="20% - Accent1 7 7" xfId="39224"/>
    <cellStyle name="20% - Accent1 8" xfId="6404"/>
    <cellStyle name="20% - Accent1 8 2" xfId="9693"/>
    <cellStyle name="20% - Accent1 8 2 2" xfId="19314"/>
    <cellStyle name="20% - Accent1 8 2 2 2" xfId="35535"/>
    <cellStyle name="20% - Accent1 8 2 3" xfId="28847"/>
    <cellStyle name="20% - Accent1 8 3" xfId="15878"/>
    <cellStyle name="20% - Accent1 8 3 2" xfId="32099"/>
    <cellStyle name="20% - Accent1 8 4" xfId="17557"/>
    <cellStyle name="20% - Accent1 8 4 2" xfId="33778"/>
    <cellStyle name="20% - Accent1 8 5" xfId="27709"/>
    <cellStyle name="20% - Accent1 8 6" xfId="39373"/>
    <cellStyle name="20% - Accent1 9" xfId="9598"/>
    <cellStyle name="20% - Accent1 9 2" xfId="19219"/>
    <cellStyle name="20% - Accent1 9 2 2" xfId="35440"/>
    <cellStyle name="20% - Accent1 9 3" xfId="28752"/>
    <cellStyle name="20% - Accent2" xfId="37" builtinId="34" customBuiltin="1"/>
    <cellStyle name="20% - Accent2 10" xfId="14242"/>
    <cellStyle name="20% - Accent2 10 2" xfId="30526"/>
    <cellStyle name="20% - Accent2 11" xfId="17558"/>
    <cellStyle name="20% - Accent2 11 2" xfId="33779"/>
    <cellStyle name="20% - Accent2 12" xfId="26985"/>
    <cellStyle name="20% - Accent2 13" xfId="38904"/>
    <cellStyle name="20% - Accent2 14" xfId="4834"/>
    <cellStyle name="20% - Accent2 2" xfId="4867"/>
    <cellStyle name="20% - Accent2 2 10" xfId="17559"/>
    <cellStyle name="20% - Accent2 2 10 2" xfId="33780"/>
    <cellStyle name="20% - Accent2 2 11" xfId="27003"/>
    <cellStyle name="20% - Accent2 2 12" xfId="38769"/>
    <cellStyle name="20% - Accent2 2 2" xfId="6403"/>
    <cellStyle name="20% - Accent2 2 2 10" xfId="27708"/>
    <cellStyle name="20% - Accent2 2 2 11" xfId="38962"/>
    <cellStyle name="20% - Accent2 2 2 2" xfId="5734"/>
    <cellStyle name="20% - Accent2 2 2 2 10" xfId="39152"/>
    <cellStyle name="20% - Accent2 2 2 2 2" xfId="6402"/>
    <cellStyle name="20% - Accent2 2 2 2 2 2" xfId="6401"/>
    <cellStyle name="20% - Accent2 2 2 2 2 2 2" xfId="6400"/>
    <cellStyle name="20% - Accent2 2 2 2 2 2 2 2" xfId="9700"/>
    <cellStyle name="20% - Accent2 2 2 2 2 2 2 2 2" xfId="19321"/>
    <cellStyle name="20% - Accent2 2 2 2 2 2 2 2 2 2" xfId="35542"/>
    <cellStyle name="20% - Accent2 2 2 2 2 2 2 2 3" xfId="28854"/>
    <cellStyle name="20% - Accent2 2 2 2 2 2 2 3" xfId="17166"/>
    <cellStyle name="20% - Accent2 2 2 2 2 2 2 3 2" xfId="33387"/>
    <cellStyle name="20% - Accent2 2 2 2 2 2 2 4" xfId="17564"/>
    <cellStyle name="20% - Accent2 2 2 2 2 2 2 4 2" xfId="33785"/>
    <cellStyle name="20% - Accent2 2 2 2 2 2 2 5" xfId="27705"/>
    <cellStyle name="20% - Accent2 2 2 2 2 2 3" xfId="9699"/>
    <cellStyle name="20% - Accent2 2 2 2 2 2 3 2" xfId="19320"/>
    <cellStyle name="20% - Accent2 2 2 2 2 2 3 2 2" xfId="35541"/>
    <cellStyle name="20% - Accent2 2 2 2 2 2 3 3" xfId="28853"/>
    <cellStyle name="20% - Accent2 2 2 2 2 2 4" xfId="15581"/>
    <cellStyle name="20% - Accent2 2 2 2 2 2 4 2" xfId="31803"/>
    <cellStyle name="20% - Accent2 2 2 2 2 2 5" xfId="17563"/>
    <cellStyle name="20% - Accent2 2 2 2 2 2 5 2" xfId="33784"/>
    <cellStyle name="20% - Accent2 2 2 2 2 2 6" xfId="27706"/>
    <cellStyle name="20% - Accent2 2 2 2 2 3" xfId="5724"/>
    <cellStyle name="20% - Accent2 2 2 2 2 3 2" xfId="9701"/>
    <cellStyle name="20% - Accent2 2 2 2 2 3 2 2" xfId="19322"/>
    <cellStyle name="20% - Accent2 2 2 2 2 3 2 2 2" xfId="35543"/>
    <cellStyle name="20% - Accent2 2 2 2 2 3 2 3" xfId="28855"/>
    <cellStyle name="20% - Accent2 2 2 2 2 3 3" xfId="16374"/>
    <cellStyle name="20% - Accent2 2 2 2 2 3 3 2" xfId="32595"/>
    <cellStyle name="20% - Accent2 2 2 2 2 3 4" xfId="17565"/>
    <cellStyle name="20% - Accent2 2 2 2 2 3 4 2" xfId="33786"/>
    <cellStyle name="20% - Accent2 2 2 2 2 3 5" xfId="27030"/>
    <cellStyle name="20% - Accent2 2 2 2 2 4" xfId="9698"/>
    <cellStyle name="20% - Accent2 2 2 2 2 4 2" xfId="19319"/>
    <cellStyle name="20% - Accent2 2 2 2 2 4 2 2" xfId="35540"/>
    <cellStyle name="20% - Accent2 2 2 2 2 4 3" xfId="28852"/>
    <cellStyle name="20% - Accent2 2 2 2 2 5" xfId="14789"/>
    <cellStyle name="20% - Accent2 2 2 2 2 5 2" xfId="31011"/>
    <cellStyle name="20% - Accent2 2 2 2 2 6" xfId="17562"/>
    <cellStyle name="20% - Accent2 2 2 2 2 6 2" xfId="33783"/>
    <cellStyle name="20% - Accent2 2 2 2 2 7" xfId="27707"/>
    <cellStyle name="20% - Accent2 2 2 2 3" xfId="6399"/>
    <cellStyle name="20% - Accent2 2 2 2 3 2" xfId="6398"/>
    <cellStyle name="20% - Accent2 2 2 2 3 2 2" xfId="6397"/>
    <cellStyle name="20% - Accent2 2 2 2 3 2 2 2" xfId="9704"/>
    <cellStyle name="20% - Accent2 2 2 2 3 2 2 2 2" xfId="19325"/>
    <cellStyle name="20% - Accent2 2 2 2 3 2 2 2 2 2" xfId="35546"/>
    <cellStyle name="20% - Accent2 2 2 2 3 2 2 2 3" xfId="28858"/>
    <cellStyle name="20% - Accent2 2 2 2 3 2 2 3" xfId="17430"/>
    <cellStyle name="20% - Accent2 2 2 2 3 2 2 3 2" xfId="33651"/>
    <cellStyle name="20% - Accent2 2 2 2 3 2 2 4" xfId="17568"/>
    <cellStyle name="20% - Accent2 2 2 2 3 2 2 4 2" xfId="33789"/>
    <cellStyle name="20% - Accent2 2 2 2 3 2 2 5" xfId="27702"/>
    <cellStyle name="20% - Accent2 2 2 2 3 2 3" xfId="9703"/>
    <cellStyle name="20% - Accent2 2 2 2 3 2 3 2" xfId="19324"/>
    <cellStyle name="20% - Accent2 2 2 2 3 2 3 2 2" xfId="35545"/>
    <cellStyle name="20% - Accent2 2 2 2 3 2 3 3" xfId="28857"/>
    <cellStyle name="20% - Accent2 2 2 2 3 2 4" xfId="15845"/>
    <cellStyle name="20% - Accent2 2 2 2 3 2 4 2" xfId="32067"/>
    <cellStyle name="20% - Accent2 2 2 2 3 2 5" xfId="17567"/>
    <cellStyle name="20% - Accent2 2 2 2 3 2 5 2" xfId="33788"/>
    <cellStyle name="20% - Accent2 2 2 2 3 2 6" xfId="27703"/>
    <cellStyle name="20% - Accent2 2 2 2 3 3" xfId="6396"/>
    <cellStyle name="20% - Accent2 2 2 2 3 3 2" xfId="9705"/>
    <cellStyle name="20% - Accent2 2 2 2 3 3 2 2" xfId="19326"/>
    <cellStyle name="20% - Accent2 2 2 2 3 3 2 2 2" xfId="35547"/>
    <cellStyle name="20% - Accent2 2 2 2 3 3 2 3" xfId="28859"/>
    <cellStyle name="20% - Accent2 2 2 2 3 3 3" xfId="16638"/>
    <cellStyle name="20% - Accent2 2 2 2 3 3 3 2" xfId="32859"/>
    <cellStyle name="20% - Accent2 2 2 2 3 3 4" xfId="17569"/>
    <cellStyle name="20% - Accent2 2 2 2 3 3 4 2" xfId="33790"/>
    <cellStyle name="20% - Accent2 2 2 2 3 3 5" xfId="27701"/>
    <cellStyle name="20% - Accent2 2 2 2 3 4" xfId="9702"/>
    <cellStyle name="20% - Accent2 2 2 2 3 4 2" xfId="19323"/>
    <cellStyle name="20% - Accent2 2 2 2 3 4 2 2" xfId="35544"/>
    <cellStyle name="20% - Accent2 2 2 2 3 4 3" xfId="28856"/>
    <cellStyle name="20% - Accent2 2 2 2 3 5" xfId="15053"/>
    <cellStyle name="20% - Accent2 2 2 2 3 5 2" xfId="31275"/>
    <cellStyle name="20% - Accent2 2 2 2 3 6" xfId="17566"/>
    <cellStyle name="20% - Accent2 2 2 2 3 6 2" xfId="33787"/>
    <cellStyle name="20% - Accent2 2 2 2 3 7" xfId="27704"/>
    <cellStyle name="20% - Accent2 2 2 2 4" xfId="6395"/>
    <cellStyle name="20% - Accent2 2 2 2 4 2" xfId="6394"/>
    <cellStyle name="20% - Accent2 2 2 2 4 2 2" xfId="9707"/>
    <cellStyle name="20% - Accent2 2 2 2 4 2 2 2" xfId="19328"/>
    <cellStyle name="20% - Accent2 2 2 2 4 2 2 2 2" xfId="35549"/>
    <cellStyle name="20% - Accent2 2 2 2 4 2 2 3" xfId="28861"/>
    <cellStyle name="20% - Accent2 2 2 2 4 2 3" xfId="16902"/>
    <cellStyle name="20% - Accent2 2 2 2 4 2 3 2" xfId="33123"/>
    <cellStyle name="20% - Accent2 2 2 2 4 2 4" xfId="17571"/>
    <cellStyle name="20% - Accent2 2 2 2 4 2 4 2" xfId="33792"/>
    <cellStyle name="20% - Accent2 2 2 2 4 2 5" xfId="27699"/>
    <cellStyle name="20% - Accent2 2 2 2 4 3" xfId="9706"/>
    <cellStyle name="20% - Accent2 2 2 2 4 3 2" xfId="19327"/>
    <cellStyle name="20% - Accent2 2 2 2 4 3 2 2" xfId="35548"/>
    <cellStyle name="20% - Accent2 2 2 2 4 3 3" xfId="28860"/>
    <cellStyle name="20% - Accent2 2 2 2 4 4" xfId="15317"/>
    <cellStyle name="20% - Accent2 2 2 2 4 4 2" xfId="31539"/>
    <cellStyle name="20% - Accent2 2 2 2 4 5" xfId="17570"/>
    <cellStyle name="20% - Accent2 2 2 2 4 5 2" xfId="33791"/>
    <cellStyle name="20% - Accent2 2 2 2 4 6" xfId="27700"/>
    <cellStyle name="20% - Accent2 2 2 2 5" xfId="6393"/>
    <cellStyle name="20% - Accent2 2 2 2 5 2" xfId="9708"/>
    <cellStyle name="20% - Accent2 2 2 2 5 2 2" xfId="19329"/>
    <cellStyle name="20% - Accent2 2 2 2 5 2 2 2" xfId="35550"/>
    <cellStyle name="20% - Accent2 2 2 2 5 2 3" xfId="28862"/>
    <cellStyle name="20% - Accent2 2 2 2 5 3" xfId="16110"/>
    <cellStyle name="20% - Accent2 2 2 2 5 3 2" xfId="32331"/>
    <cellStyle name="20% - Accent2 2 2 2 5 4" xfId="17572"/>
    <cellStyle name="20% - Accent2 2 2 2 5 4 2" xfId="33793"/>
    <cellStyle name="20% - Accent2 2 2 2 5 5" xfId="27698"/>
    <cellStyle name="20% - Accent2 2 2 2 6" xfId="9697"/>
    <cellStyle name="20% - Accent2 2 2 2 6 2" xfId="19318"/>
    <cellStyle name="20% - Accent2 2 2 2 6 2 2" xfId="35539"/>
    <cellStyle name="20% - Accent2 2 2 2 6 3" xfId="28851"/>
    <cellStyle name="20% - Accent2 2 2 2 7" xfId="14525"/>
    <cellStyle name="20% - Accent2 2 2 2 7 2" xfId="30747"/>
    <cellStyle name="20% - Accent2 2 2 2 8" xfId="17561"/>
    <cellStyle name="20% - Accent2 2 2 2 8 2" xfId="33782"/>
    <cellStyle name="20% - Accent2 2 2 2 9" xfId="27040"/>
    <cellStyle name="20% - Accent2 2 2 3" xfId="6392"/>
    <cellStyle name="20% - Accent2 2 2 3 2" xfId="6391"/>
    <cellStyle name="20% - Accent2 2 2 3 2 2" xfId="5717"/>
    <cellStyle name="20% - Accent2 2 2 3 2 2 2" xfId="9711"/>
    <cellStyle name="20% - Accent2 2 2 3 2 2 2 2" xfId="19332"/>
    <cellStyle name="20% - Accent2 2 2 3 2 2 2 2 2" xfId="35553"/>
    <cellStyle name="20% - Accent2 2 2 3 2 2 2 3" xfId="28865"/>
    <cellStyle name="20% - Accent2 2 2 3 2 2 3" xfId="17034"/>
    <cellStyle name="20% - Accent2 2 2 3 2 2 3 2" xfId="33255"/>
    <cellStyle name="20% - Accent2 2 2 3 2 2 4" xfId="17575"/>
    <cellStyle name="20% - Accent2 2 2 3 2 2 4 2" xfId="33796"/>
    <cellStyle name="20% - Accent2 2 2 3 2 2 5" xfId="27023"/>
    <cellStyle name="20% - Accent2 2 2 3 2 3" xfId="9710"/>
    <cellStyle name="20% - Accent2 2 2 3 2 3 2" xfId="19331"/>
    <cellStyle name="20% - Accent2 2 2 3 2 3 2 2" xfId="35552"/>
    <cellStyle name="20% - Accent2 2 2 3 2 3 3" xfId="28864"/>
    <cellStyle name="20% - Accent2 2 2 3 2 4" xfId="15449"/>
    <cellStyle name="20% - Accent2 2 2 3 2 4 2" xfId="31671"/>
    <cellStyle name="20% - Accent2 2 2 3 2 5" xfId="17574"/>
    <cellStyle name="20% - Accent2 2 2 3 2 5 2" xfId="33795"/>
    <cellStyle name="20% - Accent2 2 2 3 2 6" xfId="27696"/>
    <cellStyle name="20% - Accent2 2 2 3 3" xfId="6390"/>
    <cellStyle name="20% - Accent2 2 2 3 3 2" xfId="9712"/>
    <cellStyle name="20% - Accent2 2 2 3 3 2 2" xfId="19333"/>
    <cellStyle name="20% - Accent2 2 2 3 3 2 2 2" xfId="35554"/>
    <cellStyle name="20% - Accent2 2 2 3 3 2 3" xfId="28866"/>
    <cellStyle name="20% - Accent2 2 2 3 3 3" xfId="16242"/>
    <cellStyle name="20% - Accent2 2 2 3 3 3 2" xfId="32463"/>
    <cellStyle name="20% - Accent2 2 2 3 3 4" xfId="17576"/>
    <cellStyle name="20% - Accent2 2 2 3 3 4 2" xfId="33797"/>
    <cellStyle name="20% - Accent2 2 2 3 3 5" xfId="27695"/>
    <cellStyle name="20% - Accent2 2 2 3 4" xfId="9709"/>
    <cellStyle name="20% - Accent2 2 2 3 4 2" xfId="19330"/>
    <cellStyle name="20% - Accent2 2 2 3 4 2 2" xfId="35551"/>
    <cellStyle name="20% - Accent2 2 2 3 4 3" xfId="28863"/>
    <cellStyle name="20% - Accent2 2 2 3 5" xfId="14657"/>
    <cellStyle name="20% - Accent2 2 2 3 5 2" xfId="30879"/>
    <cellStyle name="20% - Accent2 2 2 3 6" xfId="17573"/>
    <cellStyle name="20% - Accent2 2 2 3 6 2" xfId="33794"/>
    <cellStyle name="20% - Accent2 2 2 3 7" xfId="27697"/>
    <cellStyle name="20% - Accent2 2 2 3 8" xfId="39300"/>
    <cellStyle name="20% - Accent2 2 2 4" xfId="6389"/>
    <cellStyle name="20% - Accent2 2 2 4 2" xfId="6388"/>
    <cellStyle name="20% - Accent2 2 2 4 2 2" xfId="6387"/>
    <cellStyle name="20% - Accent2 2 2 4 2 2 2" xfId="9715"/>
    <cellStyle name="20% - Accent2 2 2 4 2 2 2 2" xfId="19336"/>
    <cellStyle name="20% - Accent2 2 2 4 2 2 2 2 2" xfId="35557"/>
    <cellStyle name="20% - Accent2 2 2 4 2 2 2 3" xfId="28869"/>
    <cellStyle name="20% - Accent2 2 2 4 2 2 3" xfId="17298"/>
    <cellStyle name="20% - Accent2 2 2 4 2 2 3 2" xfId="33519"/>
    <cellStyle name="20% - Accent2 2 2 4 2 2 4" xfId="17579"/>
    <cellStyle name="20% - Accent2 2 2 4 2 2 4 2" xfId="33800"/>
    <cellStyle name="20% - Accent2 2 2 4 2 2 5" xfId="27692"/>
    <cellStyle name="20% - Accent2 2 2 4 2 3" xfId="9714"/>
    <cellStyle name="20% - Accent2 2 2 4 2 3 2" xfId="19335"/>
    <cellStyle name="20% - Accent2 2 2 4 2 3 2 2" xfId="35556"/>
    <cellStyle name="20% - Accent2 2 2 4 2 3 3" xfId="28868"/>
    <cellStyle name="20% - Accent2 2 2 4 2 4" xfId="15713"/>
    <cellStyle name="20% - Accent2 2 2 4 2 4 2" xfId="31935"/>
    <cellStyle name="20% - Accent2 2 2 4 2 5" xfId="17578"/>
    <cellStyle name="20% - Accent2 2 2 4 2 5 2" xfId="33799"/>
    <cellStyle name="20% - Accent2 2 2 4 2 6" xfId="27693"/>
    <cellStyle name="20% - Accent2 2 2 4 3" xfId="6386"/>
    <cellStyle name="20% - Accent2 2 2 4 3 2" xfId="9716"/>
    <cellStyle name="20% - Accent2 2 2 4 3 2 2" xfId="19337"/>
    <cellStyle name="20% - Accent2 2 2 4 3 2 2 2" xfId="35558"/>
    <cellStyle name="20% - Accent2 2 2 4 3 2 3" xfId="28870"/>
    <cellStyle name="20% - Accent2 2 2 4 3 3" xfId="16506"/>
    <cellStyle name="20% - Accent2 2 2 4 3 3 2" xfId="32727"/>
    <cellStyle name="20% - Accent2 2 2 4 3 4" xfId="17580"/>
    <cellStyle name="20% - Accent2 2 2 4 3 4 2" xfId="33801"/>
    <cellStyle name="20% - Accent2 2 2 4 3 5" xfId="27691"/>
    <cellStyle name="20% - Accent2 2 2 4 4" xfId="9713"/>
    <cellStyle name="20% - Accent2 2 2 4 4 2" xfId="19334"/>
    <cellStyle name="20% - Accent2 2 2 4 4 2 2" xfId="35555"/>
    <cellStyle name="20% - Accent2 2 2 4 4 3" xfId="28867"/>
    <cellStyle name="20% - Accent2 2 2 4 5" xfId="14921"/>
    <cellStyle name="20% - Accent2 2 2 4 5 2" xfId="31143"/>
    <cellStyle name="20% - Accent2 2 2 4 6" xfId="17577"/>
    <cellStyle name="20% - Accent2 2 2 4 6 2" xfId="33798"/>
    <cellStyle name="20% - Accent2 2 2 4 7" xfId="27694"/>
    <cellStyle name="20% - Accent2 2 2 4 8" xfId="39449"/>
    <cellStyle name="20% - Accent2 2 2 5" xfId="6385"/>
    <cellStyle name="20% - Accent2 2 2 5 2" xfId="6384"/>
    <cellStyle name="20% - Accent2 2 2 5 2 2" xfId="9718"/>
    <cellStyle name="20% - Accent2 2 2 5 2 2 2" xfId="19339"/>
    <cellStyle name="20% - Accent2 2 2 5 2 2 2 2" xfId="35560"/>
    <cellStyle name="20% - Accent2 2 2 5 2 2 3" xfId="28872"/>
    <cellStyle name="20% - Accent2 2 2 5 2 3" xfId="16770"/>
    <cellStyle name="20% - Accent2 2 2 5 2 3 2" xfId="32991"/>
    <cellStyle name="20% - Accent2 2 2 5 2 4" xfId="17582"/>
    <cellStyle name="20% - Accent2 2 2 5 2 4 2" xfId="33803"/>
    <cellStyle name="20% - Accent2 2 2 5 2 5" xfId="27689"/>
    <cellStyle name="20% - Accent2 2 2 5 3" xfId="9717"/>
    <cellStyle name="20% - Accent2 2 2 5 3 2" xfId="19338"/>
    <cellStyle name="20% - Accent2 2 2 5 3 2 2" xfId="35559"/>
    <cellStyle name="20% - Accent2 2 2 5 3 3" xfId="28871"/>
    <cellStyle name="20% - Accent2 2 2 5 4" xfId="15185"/>
    <cellStyle name="20% - Accent2 2 2 5 4 2" xfId="31407"/>
    <cellStyle name="20% - Accent2 2 2 5 5" xfId="17581"/>
    <cellStyle name="20% - Accent2 2 2 5 5 2" xfId="33802"/>
    <cellStyle name="20% - Accent2 2 2 5 6" xfId="27690"/>
    <cellStyle name="20% - Accent2 2 2 6" xfId="6383"/>
    <cellStyle name="20% - Accent2 2 2 6 2" xfId="9719"/>
    <cellStyle name="20% - Accent2 2 2 6 2 2" xfId="19340"/>
    <cellStyle name="20% - Accent2 2 2 6 2 2 2" xfId="35561"/>
    <cellStyle name="20% - Accent2 2 2 6 2 3" xfId="28873"/>
    <cellStyle name="20% - Accent2 2 2 6 3" xfId="15978"/>
    <cellStyle name="20% - Accent2 2 2 6 3 2" xfId="32199"/>
    <cellStyle name="20% - Accent2 2 2 6 4" xfId="17583"/>
    <cellStyle name="20% - Accent2 2 2 6 4 2" xfId="33804"/>
    <cellStyle name="20% - Accent2 2 2 6 5" xfId="27688"/>
    <cellStyle name="20% - Accent2 2 2 7" xfId="9696"/>
    <cellStyle name="20% - Accent2 2 2 7 2" xfId="19317"/>
    <cellStyle name="20% - Accent2 2 2 7 2 2" xfId="35538"/>
    <cellStyle name="20% - Accent2 2 2 7 3" xfId="28850"/>
    <cellStyle name="20% - Accent2 2 2 8" xfId="14393"/>
    <cellStyle name="20% - Accent2 2 2 8 2" xfId="30615"/>
    <cellStyle name="20% - Accent2 2 2 9" xfId="17560"/>
    <cellStyle name="20% - Accent2 2 2 9 2" xfId="33781"/>
    <cellStyle name="20% - Accent2 2 3" xfId="6382"/>
    <cellStyle name="20% - Accent2 2 3 10" xfId="39096"/>
    <cellStyle name="20% - Accent2 2 3 2" xfId="6381"/>
    <cellStyle name="20% - Accent2 2 3 2 2" xfId="6380"/>
    <cellStyle name="20% - Accent2 2 3 2 2 2" xfId="6379"/>
    <cellStyle name="20% - Accent2 2 3 2 2 2 2" xfId="9723"/>
    <cellStyle name="20% - Accent2 2 3 2 2 2 2 2" xfId="19344"/>
    <cellStyle name="20% - Accent2 2 3 2 2 2 2 2 2" xfId="35565"/>
    <cellStyle name="20% - Accent2 2 3 2 2 2 2 3" xfId="28877"/>
    <cellStyle name="20% - Accent2 2 3 2 2 2 3" xfId="17100"/>
    <cellStyle name="20% - Accent2 2 3 2 2 2 3 2" xfId="33321"/>
    <cellStyle name="20% - Accent2 2 3 2 2 2 4" xfId="17587"/>
    <cellStyle name="20% - Accent2 2 3 2 2 2 4 2" xfId="33808"/>
    <cellStyle name="20% - Accent2 2 3 2 2 2 5" xfId="27684"/>
    <cellStyle name="20% - Accent2 2 3 2 2 3" xfId="9722"/>
    <cellStyle name="20% - Accent2 2 3 2 2 3 2" xfId="19343"/>
    <cellStyle name="20% - Accent2 2 3 2 2 3 2 2" xfId="35564"/>
    <cellStyle name="20% - Accent2 2 3 2 2 3 3" xfId="28876"/>
    <cellStyle name="20% - Accent2 2 3 2 2 4" xfId="15515"/>
    <cellStyle name="20% - Accent2 2 3 2 2 4 2" xfId="31737"/>
    <cellStyle name="20% - Accent2 2 3 2 2 5" xfId="17586"/>
    <cellStyle name="20% - Accent2 2 3 2 2 5 2" xfId="33807"/>
    <cellStyle name="20% - Accent2 2 3 2 2 6" xfId="27685"/>
    <cellStyle name="20% - Accent2 2 3 2 3" xfId="6378"/>
    <cellStyle name="20% - Accent2 2 3 2 3 2" xfId="9724"/>
    <cellStyle name="20% - Accent2 2 3 2 3 2 2" xfId="19345"/>
    <cellStyle name="20% - Accent2 2 3 2 3 2 2 2" xfId="35566"/>
    <cellStyle name="20% - Accent2 2 3 2 3 2 3" xfId="28878"/>
    <cellStyle name="20% - Accent2 2 3 2 3 3" xfId="16308"/>
    <cellStyle name="20% - Accent2 2 3 2 3 3 2" xfId="32529"/>
    <cellStyle name="20% - Accent2 2 3 2 3 4" xfId="17588"/>
    <cellStyle name="20% - Accent2 2 3 2 3 4 2" xfId="33809"/>
    <cellStyle name="20% - Accent2 2 3 2 3 5" xfId="27683"/>
    <cellStyle name="20% - Accent2 2 3 2 4" xfId="9721"/>
    <cellStyle name="20% - Accent2 2 3 2 4 2" xfId="19342"/>
    <cellStyle name="20% - Accent2 2 3 2 4 2 2" xfId="35563"/>
    <cellStyle name="20% - Accent2 2 3 2 4 3" xfId="28875"/>
    <cellStyle name="20% - Accent2 2 3 2 5" xfId="14723"/>
    <cellStyle name="20% - Accent2 2 3 2 5 2" xfId="30945"/>
    <cellStyle name="20% - Accent2 2 3 2 6" xfId="17585"/>
    <cellStyle name="20% - Accent2 2 3 2 6 2" xfId="33806"/>
    <cellStyle name="20% - Accent2 2 3 2 7" xfId="27686"/>
    <cellStyle name="20% - Accent2 2 3 3" xfId="6377"/>
    <cellStyle name="20% - Accent2 2 3 3 2" xfId="6376"/>
    <cellStyle name="20% - Accent2 2 3 3 2 2" xfId="6375"/>
    <cellStyle name="20% - Accent2 2 3 3 2 2 2" xfId="9727"/>
    <cellStyle name="20% - Accent2 2 3 3 2 2 2 2" xfId="19348"/>
    <cellStyle name="20% - Accent2 2 3 3 2 2 2 2 2" xfId="35569"/>
    <cellStyle name="20% - Accent2 2 3 3 2 2 2 3" xfId="28881"/>
    <cellStyle name="20% - Accent2 2 3 3 2 2 3" xfId="17364"/>
    <cellStyle name="20% - Accent2 2 3 3 2 2 3 2" xfId="33585"/>
    <cellStyle name="20% - Accent2 2 3 3 2 2 4" xfId="17591"/>
    <cellStyle name="20% - Accent2 2 3 3 2 2 4 2" xfId="33812"/>
    <cellStyle name="20% - Accent2 2 3 3 2 2 5" xfId="27680"/>
    <cellStyle name="20% - Accent2 2 3 3 2 3" xfId="9726"/>
    <cellStyle name="20% - Accent2 2 3 3 2 3 2" xfId="19347"/>
    <cellStyle name="20% - Accent2 2 3 3 2 3 2 2" xfId="35568"/>
    <cellStyle name="20% - Accent2 2 3 3 2 3 3" xfId="28880"/>
    <cellStyle name="20% - Accent2 2 3 3 2 4" xfId="15779"/>
    <cellStyle name="20% - Accent2 2 3 3 2 4 2" xfId="32001"/>
    <cellStyle name="20% - Accent2 2 3 3 2 5" xfId="17590"/>
    <cellStyle name="20% - Accent2 2 3 3 2 5 2" xfId="33811"/>
    <cellStyle name="20% - Accent2 2 3 3 2 6" xfId="27681"/>
    <cellStyle name="20% - Accent2 2 3 3 3" xfId="6374"/>
    <cellStyle name="20% - Accent2 2 3 3 3 2" xfId="9728"/>
    <cellStyle name="20% - Accent2 2 3 3 3 2 2" xfId="19349"/>
    <cellStyle name="20% - Accent2 2 3 3 3 2 2 2" xfId="35570"/>
    <cellStyle name="20% - Accent2 2 3 3 3 2 3" xfId="28882"/>
    <cellStyle name="20% - Accent2 2 3 3 3 3" xfId="16572"/>
    <cellStyle name="20% - Accent2 2 3 3 3 3 2" xfId="32793"/>
    <cellStyle name="20% - Accent2 2 3 3 3 4" xfId="17592"/>
    <cellStyle name="20% - Accent2 2 3 3 3 4 2" xfId="33813"/>
    <cellStyle name="20% - Accent2 2 3 3 3 5" xfId="27679"/>
    <cellStyle name="20% - Accent2 2 3 3 4" xfId="9725"/>
    <cellStyle name="20% - Accent2 2 3 3 4 2" xfId="19346"/>
    <cellStyle name="20% - Accent2 2 3 3 4 2 2" xfId="35567"/>
    <cellStyle name="20% - Accent2 2 3 3 4 3" xfId="28879"/>
    <cellStyle name="20% - Accent2 2 3 3 5" xfId="14987"/>
    <cellStyle name="20% - Accent2 2 3 3 5 2" xfId="31209"/>
    <cellStyle name="20% - Accent2 2 3 3 6" xfId="17589"/>
    <cellStyle name="20% - Accent2 2 3 3 6 2" xfId="33810"/>
    <cellStyle name="20% - Accent2 2 3 3 7" xfId="27682"/>
    <cellStyle name="20% - Accent2 2 3 4" xfId="6373"/>
    <cellStyle name="20% - Accent2 2 3 4 2" xfId="5729"/>
    <cellStyle name="20% - Accent2 2 3 4 2 2" xfId="9730"/>
    <cellStyle name="20% - Accent2 2 3 4 2 2 2" xfId="19351"/>
    <cellStyle name="20% - Accent2 2 3 4 2 2 2 2" xfId="35572"/>
    <cellStyle name="20% - Accent2 2 3 4 2 2 3" xfId="28884"/>
    <cellStyle name="20% - Accent2 2 3 4 2 3" xfId="16836"/>
    <cellStyle name="20% - Accent2 2 3 4 2 3 2" xfId="33057"/>
    <cellStyle name="20% - Accent2 2 3 4 2 4" xfId="17594"/>
    <cellStyle name="20% - Accent2 2 3 4 2 4 2" xfId="33815"/>
    <cellStyle name="20% - Accent2 2 3 4 2 5" xfId="27035"/>
    <cellStyle name="20% - Accent2 2 3 4 3" xfId="9729"/>
    <cellStyle name="20% - Accent2 2 3 4 3 2" xfId="19350"/>
    <cellStyle name="20% - Accent2 2 3 4 3 2 2" xfId="35571"/>
    <cellStyle name="20% - Accent2 2 3 4 3 3" xfId="28883"/>
    <cellStyle name="20% - Accent2 2 3 4 4" xfId="15251"/>
    <cellStyle name="20% - Accent2 2 3 4 4 2" xfId="31473"/>
    <cellStyle name="20% - Accent2 2 3 4 5" xfId="17593"/>
    <cellStyle name="20% - Accent2 2 3 4 5 2" xfId="33814"/>
    <cellStyle name="20% - Accent2 2 3 4 6" xfId="27678"/>
    <cellStyle name="20% - Accent2 2 3 5" xfId="5731"/>
    <cellStyle name="20% - Accent2 2 3 5 2" xfId="9731"/>
    <cellStyle name="20% - Accent2 2 3 5 2 2" xfId="19352"/>
    <cellStyle name="20% - Accent2 2 3 5 2 2 2" xfId="35573"/>
    <cellStyle name="20% - Accent2 2 3 5 2 3" xfId="28885"/>
    <cellStyle name="20% - Accent2 2 3 5 3" xfId="16044"/>
    <cellStyle name="20% - Accent2 2 3 5 3 2" xfId="32265"/>
    <cellStyle name="20% - Accent2 2 3 5 4" xfId="17595"/>
    <cellStyle name="20% - Accent2 2 3 5 4 2" xfId="33816"/>
    <cellStyle name="20% - Accent2 2 3 5 5" xfId="27037"/>
    <cellStyle name="20% - Accent2 2 3 6" xfId="9720"/>
    <cellStyle name="20% - Accent2 2 3 6 2" xfId="19341"/>
    <cellStyle name="20% - Accent2 2 3 6 2 2" xfId="35562"/>
    <cellStyle name="20% - Accent2 2 3 6 3" xfId="28874"/>
    <cellStyle name="20% - Accent2 2 3 7" xfId="14459"/>
    <cellStyle name="20% - Accent2 2 3 7 2" xfId="30681"/>
    <cellStyle name="20% - Accent2 2 3 8" xfId="17584"/>
    <cellStyle name="20% - Accent2 2 3 8 2" xfId="33805"/>
    <cellStyle name="20% - Accent2 2 3 9" xfId="27687"/>
    <cellStyle name="20% - Accent2 2 4" xfId="6372"/>
    <cellStyle name="20% - Accent2 2 4 2" xfId="6371"/>
    <cellStyle name="20% - Accent2 2 4 2 2" xfId="6370"/>
    <cellStyle name="20% - Accent2 2 4 2 2 2" xfId="9734"/>
    <cellStyle name="20% - Accent2 2 4 2 2 2 2" xfId="19355"/>
    <cellStyle name="20% - Accent2 2 4 2 2 2 2 2" xfId="35576"/>
    <cellStyle name="20% - Accent2 2 4 2 2 2 3" xfId="28888"/>
    <cellStyle name="20% - Accent2 2 4 2 2 3" xfId="16968"/>
    <cellStyle name="20% - Accent2 2 4 2 2 3 2" xfId="33189"/>
    <cellStyle name="20% - Accent2 2 4 2 2 4" xfId="17598"/>
    <cellStyle name="20% - Accent2 2 4 2 2 4 2" xfId="33819"/>
    <cellStyle name="20% - Accent2 2 4 2 2 5" xfId="27675"/>
    <cellStyle name="20% - Accent2 2 4 2 3" xfId="9733"/>
    <cellStyle name="20% - Accent2 2 4 2 3 2" xfId="19354"/>
    <cellStyle name="20% - Accent2 2 4 2 3 2 2" xfId="35575"/>
    <cellStyle name="20% - Accent2 2 4 2 3 3" xfId="28887"/>
    <cellStyle name="20% - Accent2 2 4 2 4" xfId="15383"/>
    <cellStyle name="20% - Accent2 2 4 2 4 2" xfId="31605"/>
    <cellStyle name="20% - Accent2 2 4 2 5" xfId="17597"/>
    <cellStyle name="20% - Accent2 2 4 2 5 2" xfId="33818"/>
    <cellStyle name="20% - Accent2 2 4 2 6" xfId="27676"/>
    <cellStyle name="20% - Accent2 2 4 3" xfId="6369"/>
    <cellStyle name="20% - Accent2 2 4 3 2" xfId="9735"/>
    <cellStyle name="20% - Accent2 2 4 3 2 2" xfId="19356"/>
    <cellStyle name="20% - Accent2 2 4 3 2 2 2" xfId="35577"/>
    <cellStyle name="20% - Accent2 2 4 3 2 3" xfId="28889"/>
    <cellStyle name="20% - Accent2 2 4 3 3" xfId="16176"/>
    <cellStyle name="20% - Accent2 2 4 3 3 2" xfId="32397"/>
    <cellStyle name="20% - Accent2 2 4 3 4" xfId="17599"/>
    <cellStyle name="20% - Accent2 2 4 3 4 2" xfId="33820"/>
    <cellStyle name="20% - Accent2 2 4 3 5" xfId="27674"/>
    <cellStyle name="20% - Accent2 2 4 4" xfId="9732"/>
    <cellStyle name="20% - Accent2 2 4 4 2" xfId="19353"/>
    <cellStyle name="20% - Accent2 2 4 4 2 2" xfId="35574"/>
    <cellStyle name="20% - Accent2 2 4 4 3" xfId="28886"/>
    <cellStyle name="20% - Accent2 2 4 5" xfId="14591"/>
    <cellStyle name="20% - Accent2 2 4 5 2" xfId="30813"/>
    <cellStyle name="20% - Accent2 2 4 6" xfId="17596"/>
    <cellStyle name="20% - Accent2 2 4 6 2" xfId="33817"/>
    <cellStyle name="20% - Accent2 2 4 7" xfId="27677"/>
    <cellStyle name="20% - Accent2 2 4 8" xfId="39244"/>
    <cellStyle name="20% - Accent2 2 5" xfId="6368"/>
    <cellStyle name="20% - Accent2 2 5 2" xfId="6367"/>
    <cellStyle name="20% - Accent2 2 5 2 2" xfId="6366"/>
    <cellStyle name="20% - Accent2 2 5 2 2 2" xfId="9738"/>
    <cellStyle name="20% - Accent2 2 5 2 2 2 2" xfId="19359"/>
    <cellStyle name="20% - Accent2 2 5 2 2 2 2 2" xfId="35580"/>
    <cellStyle name="20% - Accent2 2 5 2 2 2 3" xfId="28892"/>
    <cellStyle name="20% - Accent2 2 5 2 2 3" xfId="17232"/>
    <cellStyle name="20% - Accent2 2 5 2 2 3 2" xfId="33453"/>
    <cellStyle name="20% - Accent2 2 5 2 2 4" xfId="17602"/>
    <cellStyle name="20% - Accent2 2 5 2 2 4 2" xfId="33823"/>
    <cellStyle name="20% - Accent2 2 5 2 2 5" xfId="27671"/>
    <cellStyle name="20% - Accent2 2 5 2 3" xfId="9737"/>
    <cellStyle name="20% - Accent2 2 5 2 3 2" xfId="19358"/>
    <cellStyle name="20% - Accent2 2 5 2 3 2 2" xfId="35579"/>
    <cellStyle name="20% - Accent2 2 5 2 3 3" xfId="28891"/>
    <cellStyle name="20% - Accent2 2 5 2 4" xfId="15647"/>
    <cellStyle name="20% - Accent2 2 5 2 4 2" xfId="31869"/>
    <cellStyle name="20% - Accent2 2 5 2 5" xfId="17601"/>
    <cellStyle name="20% - Accent2 2 5 2 5 2" xfId="33822"/>
    <cellStyle name="20% - Accent2 2 5 2 6" xfId="27672"/>
    <cellStyle name="20% - Accent2 2 5 3" xfId="6365"/>
    <cellStyle name="20% - Accent2 2 5 3 2" xfId="9739"/>
    <cellStyle name="20% - Accent2 2 5 3 2 2" xfId="19360"/>
    <cellStyle name="20% - Accent2 2 5 3 2 2 2" xfId="35581"/>
    <cellStyle name="20% - Accent2 2 5 3 2 3" xfId="28893"/>
    <cellStyle name="20% - Accent2 2 5 3 3" xfId="16440"/>
    <cellStyle name="20% - Accent2 2 5 3 3 2" xfId="32661"/>
    <cellStyle name="20% - Accent2 2 5 3 4" xfId="17603"/>
    <cellStyle name="20% - Accent2 2 5 3 4 2" xfId="33824"/>
    <cellStyle name="20% - Accent2 2 5 3 5" xfId="27670"/>
    <cellStyle name="20% - Accent2 2 5 4" xfId="9736"/>
    <cellStyle name="20% - Accent2 2 5 4 2" xfId="19357"/>
    <cellStyle name="20% - Accent2 2 5 4 2 2" xfId="35578"/>
    <cellStyle name="20% - Accent2 2 5 4 3" xfId="28890"/>
    <cellStyle name="20% - Accent2 2 5 5" xfId="14855"/>
    <cellStyle name="20% - Accent2 2 5 5 2" xfId="31077"/>
    <cellStyle name="20% - Accent2 2 5 6" xfId="17600"/>
    <cellStyle name="20% - Accent2 2 5 6 2" xfId="33821"/>
    <cellStyle name="20% - Accent2 2 5 7" xfId="27673"/>
    <cellStyle name="20% - Accent2 2 5 8" xfId="39393"/>
    <cellStyle name="20% - Accent2 2 6" xfId="6364"/>
    <cellStyle name="20% - Accent2 2 6 2" xfId="6363"/>
    <cellStyle name="20% - Accent2 2 6 2 2" xfId="9741"/>
    <cellStyle name="20% - Accent2 2 6 2 2 2" xfId="19362"/>
    <cellStyle name="20% - Accent2 2 6 2 2 2 2" xfId="35583"/>
    <cellStyle name="20% - Accent2 2 6 2 2 3" xfId="28895"/>
    <cellStyle name="20% - Accent2 2 6 2 3" xfId="16704"/>
    <cellStyle name="20% - Accent2 2 6 2 3 2" xfId="32925"/>
    <cellStyle name="20% - Accent2 2 6 2 4" xfId="17605"/>
    <cellStyle name="20% - Accent2 2 6 2 4 2" xfId="33826"/>
    <cellStyle name="20% - Accent2 2 6 2 5" xfId="27668"/>
    <cellStyle name="20% - Accent2 2 6 3" xfId="9740"/>
    <cellStyle name="20% - Accent2 2 6 3 2" xfId="19361"/>
    <cellStyle name="20% - Accent2 2 6 3 2 2" xfId="35582"/>
    <cellStyle name="20% - Accent2 2 6 3 3" xfId="28894"/>
    <cellStyle name="20% - Accent2 2 6 4" xfId="15119"/>
    <cellStyle name="20% - Accent2 2 6 4 2" xfId="31341"/>
    <cellStyle name="20% - Accent2 2 6 5" xfId="17604"/>
    <cellStyle name="20% - Accent2 2 6 5 2" xfId="33825"/>
    <cellStyle name="20% - Accent2 2 6 6" xfId="27669"/>
    <cellStyle name="20% - Accent2 2 7" xfId="6362"/>
    <cellStyle name="20% - Accent2 2 7 2" xfId="9742"/>
    <cellStyle name="20% - Accent2 2 7 2 2" xfId="19363"/>
    <cellStyle name="20% - Accent2 2 7 2 2 2" xfId="35584"/>
    <cellStyle name="20% - Accent2 2 7 2 3" xfId="28896"/>
    <cellStyle name="20% - Accent2 2 7 3" xfId="15912"/>
    <cellStyle name="20% - Accent2 2 7 3 2" xfId="32133"/>
    <cellStyle name="20% - Accent2 2 7 4" xfId="17606"/>
    <cellStyle name="20% - Accent2 2 7 4 2" xfId="33827"/>
    <cellStyle name="20% - Accent2 2 7 5" xfId="27667"/>
    <cellStyle name="20% - Accent2 2 8" xfId="9695"/>
    <cellStyle name="20% - Accent2 2 8 2" xfId="19316"/>
    <cellStyle name="20% - Accent2 2 8 2 2" xfId="35537"/>
    <cellStyle name="20% - Accent2 2 8 3" xfId="28849"/>
    <cellStyle name="20% - Accent2 2 9" xfId="14327"/>
    <cellStyle name="20% - Accent2 2 9 2" xfId="30549"/>
    <cellStyle name="20% - Accent2 3" xfId="6361"/>
    <cellStyle name="20% - Accent2 3 10" xfId="27666"/>
    <cellStyle name="20% - Accent2 3 11" xfId="38975"/>
    <cellStyle name="20% - Accent2 3 2" xfId="6360"/>
    <cellStyle name="20% - Accent2 3 2 10" xfId="39017"/>
    <cellStyle name="20% - Accent2 3 2 2" xfId="6359"/>
    <cellStyle name="20% - Accent2 3 2 2 2" xfId="6358"/>
    <cellStyle name="20% - Accent2 3 2 2 2 2" xfId="6357"/>
    <cellStyle name="20% - Accent2 3 2 2 2 2 2" xfId="9747"/>
    <cellStyle name="20% - Accent2 3 2 2 2 2 2 2" xfId="19368"/>
    <cellStyle name="20% - Accent2 3 2 2 2 2 2 2 2" xfId="35589"/>
    <cellStyle name="20% - Accent2 3 2 2 2 2 2 3" xfId="28901"/>
    <cellStyle name="20% - Accent2 3 2 2 2 2 3" xfId="17133"/>
    <cellStyle name="20% - Accent2 3 2 2 2 2 3 2" xfId="33354"/>
    <cellStyle name="20% - Accent2 3 2 2 2 2 4" xfId="17611"/>
    <cellStyle name="20% - Accent2 3 2 2 2 2 4 2" xfId="33832"/>
    <cellStyle name="20% - Accent2 3 2 2 2 2 5" xfId="27662"/>
    <cellStyle name="20% - Accent2 3 2 2 2 3" xfId="9746"/>
    <cellStyle name="20% - Accent2 3 2 2 2 3 2" xfId="19367"/>
    <cellStyle name="20% - Accent2 3 2 2 2 3 2 2" xfId="35588"/>
    <cellStyle name="20% - Accent2 3 2 2 2 3 3" xfId="28900"/>
    <cellStyle name="20% - Accent2 3 2 2 2 4" xfId="15548"/>
    <cellStyle name="20% - Accent2 3 2 2 2 4 2" xfId="31770"/>
    <cellStyle name="20% - Accent2 3 2 2 2 5" xfId="17610"/>
    <cellStyle name="20% - Accent2 3 2 2 2 5 2" xfId="33831"/>
    <cellStyle name="20% - Accent2 3 2 2 2 6" xfId="27663"/>
    <cellStyle name="20% - Accent2 3 2 2 3" xfId="6356"/>
    <cellStyle name="20% - Accent2 3 2 2 3 2" xfId="9748"/>
    <cellStyle name="20% - Accent2 3 2 2 3 2 2" xfId="19369"/>
    <cellStyle name="20% - Accent2 3 2 2 3 2 2 2" xfId="35590"/>
    <cellStyle name="20% - Accent2 3 2 2 3 2 3" xfId="28902"/>
    <cellStyle name="20% - Accent2 3 2 2 3 3" xfId="16341"/>
    <cellStyle name="20% - Accent2 3 2 2 3 3 2" xfId="32562"/>
    <cellStyle name="20% - Accent2 3 2 2 3 4" xfId="17612"/>
    <cellStyle name="20% - Accent2 3 2 2 3 4 2" xfId="33833"/>
    <cellStyle name="20% - Accent2 3 2 2 3 5" xfId="27661"/>
    <cellStyle name="20% - Accent2 3 2 2 4" xfId="9745"/>
    <cellStyle name="20% - Accent2 3 2 2 4 2" xfId="19366"/>
    <cellStyle name="20% - Accent2 3 2 2 4 2 2" xfId="35587"/>
    <cellStyle name="20% - Accent2 3 2 2 4 3" xfId="28899"/>
    <cellStyle name="20% - Accent2 3 2 2 5" xfId="14756"/>
    <cellStyle name="20% - Accent2 3 2 2 5 2" xfId="30978"/>
    <cellStyle name="20% - Accent2 3 2 2 6" xfId="17609"/>
    <cellStyle name="20% - Accent2 3 2 2 6 2" xfId="33830"/>
    <cellStyle name="20% - Accent2 3 2 2 7" xfId="27664"/>
    <cellStyle name="20% - Accent2 3 2 2 8" xfId="39165"/>
    <cellStyle name="20% - Accent2 3 2 3" xfId="6355"/>
    <cellStyle name="20% - Accent2 3 2 3 2" xfId="6354"/>
    <cellStyle name="20% - Accent2 3 2 3 2 2" xfId="6353"/>
    <cellStyle name="20% - Accent2 3 2 3 2 2 2" xfId="9751"/>
    <cellStyle name="20% - Accent2 3 2 3 2 2 2 2" xfId="19372"/>
    <cellStyle name="20% - Accent2 3 2 3 2 2 2 2 2" xfId="35593"/>
    <cellStyle name="20% - Accent2 3 2 3 2 2 2 3" xfId="28905"/>
    <cellStyle name="20% - Accent2 3 2 3 2 2 3" xfId="17397"/>
    <cellStyle name="20% - Accent2 3 2 3 2 2 3 2" xfId="33618"/>
    <cellStyle name="20% - Accent2 3 2 3 2 2 4" xfId="17615"/>
    <cellStyle name="20% - Accent2 3 2 3 2 2 4 2" xfId="33836"/>
    <cellStyle name="20% - Accent2 3 2 3 2 2 5" xfId="27658"/>
    <cellStyle name="20% - Accent2 3 2 3 2 3" xfId="9750"/>
    <cellStyle name="20% - Accent2 3 2 3 2 3 2" xfId="19371"/>
    <cellStyle name="20% - Accent2 3 2 3 2 3 2 2" xfId="35592"/>
    <cellStyle name="20% - Accent2 3 2 3 2 3 3" xfId="28904"/>
    <cellStyle name="20% - Accent2 3 2 3 2 4" xfId="15812"/>
    <cellStyle name="20% - Accent2 3 2 3 2 4 2" xfId="32034"/>
    <cellStyle name="20% - Accent2 3 2 3 2 5" xfId="17614"/>
    <cellStyle name="20% - Accent2 3 2 3 2 5 2" xfId="33835"/>
    <cellStyle name="20% - Accent2 3 2 3 2 6" xfId="27659"/>
    <cellStyle name="20% - Accent2 3 2 3 3" xfId="6352"/>
    <cellStyle name="20% - Accent2 3 2 3 3 2" xfId="9752"/>
    <cellStyle name="20% - Accent2 3 2 3 3 2 2" xfId="19373"/>
    <cellStyle name="20% - Accent2 3 2 3 3 2 2 2" xfId="35594"/>
    <cellStyle name="20% - Accent2 3 2 3 3 2 3" xfId="28906"/>
    <cellStyle name="20% - Accent2 3 2 3 3 3" xfId="16605"/>
    <cellStyle name="20% - Accent2 3 2 3 3 3 2" xfId="32826"/>
    <cellStyle name="20% - Accent2 3 2 3 3 4" xfId="17616"/>
    <cellStyle name="20% - Accent2 3 2 3 3 4 2" xfId="33837"/>
    <cellStyle name="20% - Accent2 3 2 3 3 5" xfId="27657"/>
    <cellStyle name="20% - Accent2 3 2 3 4" xfId="9749"/>
    <cellStyle name="20% - Accent2 3 2 3 4 2" xfId="19370"/>
    <cellStyle name="20% - Accent2 3 2 3 4 2 2" xfId="35591"/>
    <cellStyle name="20% - Accent2 3 2 3 4 3" xfId="28903"/>
    <cellStyle name="20% - Accent2 3 2 3 5" xfId="15020"/>
    <cellStyle name="20% - Accent2 3 2 3 5 2" xfId="31242"/>
    <cellStyle name="20% - Accent2 3 2 3 6" xfId="17613"/>
    <cellStyle name="20% - Accent2 3 2 3 6 2" xfId="33834"/>
    <cellStyle name="20% - Accent2 3 2 3 7" xfId="27660"/>
    <cellStyle name="20% - Accent2 3 2 3 8" xfId="39313"/>
    <cellStyle name="20% - Accent2 3 2 4" xfId="6351"/>
    <cellStyle name="20% - Accent2 3 2 4 2" xfId="6350"/>
    <cellStyle name="20% - Accent2 3 2 4 2 2" xfId="9754"/>
    <cellStyle name="20% - Accent2 3 2 4 2 2 2" xfId="19375"/>
    <cellStyle name="20% - Accent2 3 2 4 2 2 2 2" xfId="35596"/>
    <cellStyle name="20% - Accent2 3 2 4 2 2 3" xfId="28908"/>
    <cellStyle name="20% - Accent2 3 2 4 2 3" xfId="16869"/>
    <cellStyle name="20% - Accent2 3 2 4 2 3 2" xfId="33090"/>
    <cellStyle name="20% - Accent2 3 2 4 2 4" xfId="17618"/>
    <cellStyle name="20% - Accent2 3 2 4 2 4 2" xfId="33839"/>
    <cellStyle name="20% - Accent2 3 2 4 2 5" xfId="27655"/>
    <cellStyle name="20% - Accent2 3 2 4 3" xfId="9753"/>
    <cellStyle name="20% - Accent2 3 2 4 3 2" xfId="19374"/>
    <cellStyle name="20% - Accent2 3 2 4 3 2 2" xfId="35595"/>
    <cellStyle name="20% - Accent2 3 2 4 3 3" xfId="28907"/>
    <cellStyle name="20% - Accent2 3 2 4 4" xfId="15284"/>
    <cellStyle name="20% - Accent2 3 2 4 4 2" xfId="31506"/>
    <cellStyle name="20% - Accent2 3 2 4 5" xfId="17617"/>
    <cellStyle name="20% - Accent2 3 2 4 5 2" xfId="33838"/>
    <cellStyle name="20% - Accent2 3 2 4 6" xfId="27656"/>
    <cellStyle name="20% - Accent2 3 2 4 7" xfId="39462"/>
    <cellStyle name="20% - Accent2 3 2 5" xfId="6349"/>
    <cellStyle name="20% - Accent2 3 2 5 2" xfId="9755"/>
    <cellStyle name="20% - Accent2 3 2 5 2 2" xfId="19376"/>
    <cellStyle name="20% - Accent2 3 2 5 2 2 2" xfId="35597"/>
    <cellStyle name="20% - Accent2 3 2 5 2 3" xfId="28909"/>
    <cellStyle name="20% - Accent2 3 2 5 3" xfId="16077"/>
    <cellStyle name="20% - Accent2 3 2 5 3 2" xfId="32298"/>
    <cellStyle name="20% - Accent2 3 2 5 4" xfId="17619"/>
    <cellStyle name="20% - Accent2 3 2 5 4 2" xfId="33840"/>
    <cellStyle name="20% - Accent2 3 2 5 5" xfId="27654"/>
    <cellStyle name="20% - Accent2 3 2 6" xfId="9744"/>
    <cellStyle name="20% - Accent2 3 2 6 2" xfId="19365"/>
    <cellStyle name="20% - Accent2 3 2 6 2 2" xfId="35586"/>
    <cellStyle name="20% - Accent2 3 2 6 3" xfId="28898"/>
    <cellStyle name="20% - Accent2 3 2 7" xfId="14492"/>
    <cellStyle name="20% - Accent2 3 2 7 2" xfId="30714"/>
    <cellStyle name="20% - Accent2 3 2 8" xfId="17608"/>
    <cellStyle name="20% - Accent2 3 2 8 2" xfId="33829"/>
    <cellStyle name="20% - Accent2 3 2 9" xfId="27665"/>
    <cellStyle name="20% - Accent2 3 3" xfId="6348"/>
    <cellStyle name="20% - Accent2 3 3 2" xfId="6347"/>
    <cellStyle name="20% - Accent2 3 3 2 2" xfId="6346"/>
    <cellStyle name="20% - Accent2 3 3 2 2 2" xfId="9758"/>
    <cellStyle name="20% - Accent2 3 3 2 2 2 2" xfId="19379"/>
    <cellStyle name="20% - Accent2 3 3 2 2 2 2 2" xfId="35600"/>
    <cellStyle name="20% - Accent2 3 3 2 2 2 3" xfId="28912"/>
    <cellStyle name="20% - Accent2 3 3 2 2 3" xfId="17001"/>
    <cellStyle name="20% - Accent2 3 3 2 2 3 2" xfId="33222"/>
    <cellStyle name="20% - Accent2 3 3 2 2 4" xfId="17622"/>
    <cellStyle name="20% - Accent2 3 3 2 2 4 2" xfId="33843"/>
    <cellStyle name="20% - Accent2 3 3 2 2 5" xfId="27651"/>
    <cellStyle name="20% - Accent2 3 3 2 3" xfId="9757"/>
    <cellStyle name="20% - Accent2 3 3 2 3 2" xfId="19378"/>
    <cellStyle name="20% - Accent2 3 3 2 3 2 2" xfId="35599"/>
    <cellStyle name="20% - Accent2 3 3 2 3 3" xfId="28911"/>
    <cellStyle name="20% - Accent2 3 3 2 4" xfId="15416"/>
    <cellStyle name="20% - Accent2 3 3 2 4 2" xfId="31638"/>
    <cellStyle name="20% - Accent2 3 3 2 5" xfId="17621"/>
    <cellStyle name="20% - Accent2 3 3 2 5 2" xfId="33842"/>
    <cellStyle name="20% - Accent2 3 3 2 6" xfId="27652"/>
    <cellStyle name="20% - Accent2 3 3 3" xfId="6345"/>
    <cellStyle name="20% - Accent2 3 3 3 2" xfId="9759"/>
    <cellStyle name="20% - Accent2 3 3 3 2 2" xfId="19380"/>
    <cellStyle name="20% - Accent2 3 3 3 2 2 2" xfId="35601"/>
    <cellStyle name="20% - Accent2 3 3 3 2 3" xfId="28913"/>
    <cellStyle name="20% - Accent2 3 3 3 3" xfId="16209"/>
    <cellStyle name="20% - Accent2 3 3 3 3 2" xfId="32430"/>
    <cellStyle name="20% - Accent2 3 3 3 4" xfId="17623"/>
    <cellStyle name="20% - Accent2 3 3 3 4 2" xfId="33844"/>
    <cellStyle name="20% - Accent2 3 3 3 5" xfId="27650"/>
    <cellStyle name="20% - Accent2 3 3 4" xfId="9756"/>
    <cellStyle name="20% - Accent2 3 3 4 2" xfId="19377"/>
    <cellStyle name="20% - Accent2 3 3 4 2 2" xfId="35598"/>
    <cellStyle name="20% - Accent2 3 3 4 3" xfId="28910"/>
    <cellStyle name="20% - Accent2 3 3 5" xfId="14624"/>
    <cellStyle name="20% - Accent2 3 3 5 2" xfId="30846"/>
    <cellStyle name="20% - Accent2 3 3 6" xfId="17620"/>
    <cellStyle name="20% - Accent2 3 3 6 2" xfId="33841"/>
    <cellStyle name="20% - Accent2 3 3 7" xfId="27653"/>
    <cellStyle name="20% - Accent2 3 3 8" xfId="39109"/>
    <cellStyle name="20% - Accent2 3 4" xfId="6344"/>
    <cellStyle name="20% - Accent2 3 4 2" xfId="6343"/>
    <cellStyle name="20% - Accent2 3 4 2 2" xfId="6342"/>
    <cellStyle name="20% - Accent2 3 4 2 2 2" xfId="9762"/>
    <cellStyle name="20% - Accent2 3 4 2 2 2 2" xfId="19383"/>
    <cellStyle name="20% - Accent2 3 4 2 2 2 2 2" xfId="35604"/>
    <cellStyle name="20% - Accent2 3 4 2 2 2 3" xfId="28916"/>
    <cellStyle name="20% - Accent2 3 4 2 2 3" xfId="17265"/>
    <cellStyle name="20% - Accent2 3 4 2 2 3 2" xfId="33486"/>
    <cellStyle name="20% - Accent2 3 4 2 2 4" xfId="17626"/>
    <cellStyle name="20% - Accent2 3 4 2 2 4 2" xfId="33847"/>
    <cellStyle name="20% - Accent2 3 4 2 2 5" xfId="27647"/>
    <cellStyle name="20% - Accent2 3 4 2 3" xfId="9761"/>
    <cellStyle name="20% - Accent2 3 4 2 3 2" xfId="19382"/>
    <cellStyle name="20% - Accent2 3 4 2 3 2 2" xfId="35603"/>
    <cellStyle name="20% - Accent2 3 4 2 3 3" xfId="28915"/>
    <cellStyle name="20% - Accent2 3 4 2 4" xfId="15680"/>
    <cellStyle name="20% - Accent2 3 4 2 4 2" xfId="31902"/>
    <cellStyle name="20% - Accent2 3 4 2 5" xfId="17625"/>
    <cellStyle name="20% - Accent2 3 4 2 5 2" xfId="33846"/>
    <cellStyle name="20% - Accent2 3 4 2 6" xfId="27648"/>
    <cellStyle name="20% - Accent2 3 4 3" xfId="6341"/>
    <cellStyle name="20% - Accent2 3 4 3 2" xfId="9763"/>
    <cellStyle name="20% - Accent2 3 4 3 2 2" xfId="19384"/>
    <cellStyle name="20% - Accent2 3 4 3 2 2 2" xfId="35605"/>
    <cellStyle name="20% - Accent2 3 4 3 2 3" xfId="28917"/>
    <cellStyle name="20% - Accent2 3 4 3 3" xfId="16473"/>
    <cellStyle name="20% - Accent2 3 4 3 3 2" xfId="32694"/>
    <cellStyle name="20% - Accent2 3 4 3 4" xfId="17627"/>
    <cellStyle name="20% - Accent2 3 4 3 4 2" xfId="33848"/>
    <cellStyle name="20% - Accent2 3 4 3 5" xfId="27646"/>
    <cellStyle name="20% - Accent2 3 4 4" xfId="9760"/>
    <cellStyle name="20% - Accent2 3 4 4 2" xfId="19381"/>
    <cellStyle name="20% - Accent2 3 4 4 2 2" xfId="35602"/>
    <cellStyle name="20% - Accent2 3 4 4 3" xfId="28914"/>
    <cellStyle name="20% - Accent2 3 4 5" xfId="14888"/>
    <cellStyle name="20% - Accent2 3 4 5 2" xfId="31110"/>
    <cellStyle name="20% - Accent2 3 4 6" xfId="17624"/>
    <cellStyle name="20% - Accent2 3 4 6 2" xfId="33845"/>
    <cellStyle name="20% - Accent2 3 4 7" xfId="27649"/>
    <cellStyle name="20% - Accent2 3 4 8" xfId="39257"/>
    <cellStyle name="20% - Accent2 3 5" xfId="6340"/>
    <cellStyle name="20% - Accent2 3 5 2" xfId="6339"/>
    <cellStyle name="20% - Accent2 3 5 2 2" xfId="9765"/>
    <cellStyle name="20% - Accent2 3 5 2 2 2" xfId="19386"/>
    <cellStyle name="20% - Accent2 3 5 2 2 2 2" xfId="35607"/>
    <cellStyle name="20% - Accent2 3 5 2 2 3" xfId="28919"/>
    <cellStyle name="20% - Accent2 3 5 2 3" xfId="16737"/>
    <cellStyle name="20% - Accent2 3 5 2 3 2" xfId="32958"/>
    <cellStyle name="20% - Accent2 3 5 2 4" xfId="17629"/>
    <cellStyle name="20% - Accent2 3 5 2 4 2" xfId="33850"/>
    <cellStyle name="20% - Accent2 3 5 2 5" xfId="27644"/>
    <cellStyle name="20% - Accent2 3 5 3" xfId="9764"/>
    <cellStyle name="20% - Accent2 3 5 3 2" xfId="19385"/>
    <cellStyle name="20% - Accent2 3 5 3 2 2" xfId="35606"/>
    <cellStyle name="20% - Accent2 3 5 3 3" xfId="28918"/>
    <cellStyle name="20% - Accent2 3 5 4" xfId="15152"/>
    <cellStyle name="20% - Accent2 3 5 4 2" xfId="31374"/>
    <cellStyle name="20% - Accent2 3 5 5" xfId="17628"/>
    <cellStyle name="20% - Accent2 3 5 5 2" xfId="33849"/>
    <cellStyle name="20% - Accent2 3 5 6" xfId="27645"/>
    <cellStyle name="20% - Accent2 3 5 7" xfId="39406"/>
    <cellStyle name="20% - Accent2 3 6" xfId="6338"/>
    <cellStyle name="20% - Accent2 3 6 2" xfId="9766"/>
    <cellStyle name="20% - Accent2 3 6 2 2" xfId="19387"/>
    <cellStyle name="20% - Accent2 3 6 2 2 2" xfId="35608"/>
    <cellStyle name="20% - Accent2 3 6 2 3" xfId="28920"/>
    <cellStyle name="20% - Accent2 3 6 3" xfId="15945"/>
    <cellStyle name="20% - Accent2 3 6 3 2" xfId="32166"/>
    <cellStyle name="20% - Accent2 3 6 4" xfId="17630"/>
    <cellStyle name="20% - Accent2 3 6 4 2" xfId="33851"/>
    <cellStyle name="20% - Accent2 3 6 5" xfId="27643"/>
    <cellStyle name="20% - Accent2 3 7" xfId="9743"/>
    <cellStyle name="20% - Accent2 3 7 2" xfId="19364"/>
    <cellStyle name="20% - Accent2 3 7 2 2" xfId="35585"/>
    <cellStyle name="20% - Accent2 3 7 3" xfId="28897"/>
    <cellStyle name="20% - Accent2 3 8" xfId="14360"/>
    <cellStyle name="20% - Accent2 3 8 2" xfId="30582"/>
    <cellStyle name="20% - Accent2 3 9" xfId="17607"/>
    <cellStyle name="20% - Accent2 3 9 2" xfId="33828"/>
    <cellStyle name="20% - Accent2 4" xfId="6337"/>
    <cellStyle name="20% - Accent2 4 10" xfId="38988"/>
    <cellStyle name="20% - Accent2 4 2" xfId="6336"/>
    <cellStyle name="20% - Accent2 4 2 2" xfId="5727"/>
    <cellStyle name="20% - Accent2 4 2 2 2" xfId="6335"/>
    <cellStyle name="20% - Accent2 4 2 2 2 2" xfId="9770"/>
    <cellStyle name="20% - Accent2 4 2 2 2 2 2" xfId="19391"/>
    <cellStyle name="20% - Accent2 4 2 2 2 2 2 2" xfId="35612"/>
    <cellStyle name="20% - Accent2 4 2 2 2 2 3" xfId="28924"/>
    <cellStyle name="20% - Accent2 4 2 2 2 3" xfId="17067"/>
    <cellStyle name="20% - Accent2 4 2 2 2 3 2" xfId="33288"/>
    <cellStyle name="20% - Accent2 4 2 2 2 4" xfId="17634"/>
    <cellStyle name="20% - Accent2 4 2 2 2 4 2" xfId="33855"/>
    <cellStyle name="20% - Accent2 4 2 2 2 5" xfId="27640"/>
    <cellStyle name="20% - Accent2 4 2 2 3" xfId="9769"/>
    <cellStyle name="20% - Accent2 4 2 2 3 2" xfId="19390"/>
    <cellStyle name="20% - Accent2 4 2 2 3 2 2" xfId="35611"/>
    <cellStyle name="20% - Accent2 4 2 2 3 3" xfId="28923"/>
    <cellStyle name="20% - Accent2 4 2 2 4" xfId="15482"/>
    <cellStyle name="20% - Accent2 4 2 2 4 2" xfId="31704"/>
    <cellStyle name="20% - Accent2 4 2 2 5" xfId="17633"/>
    <cellStyle name="20% - Accent2 4 2 2 5 2" xfId="33854"/>
    <cellStyle name="20% - Accent2 4 2 2 6" xfId="27033"/>
    <cellStyle name="20% - Accent2 4 2 2 7" xfId="39178"/>
    <cellStyle name="20% - Accent2 4 2 3" xfId="6334"/>
    <cellStyle name="20% - Accent2 4 2 3 2" xfId="9771"/>
    <cellStyle name="20% - Accent2 4 2 3 2 2" xfId="19392"/>
    <cellStyle name="20% - Accent2 4 2 3 2 2 2" xfId="35613"/>
    <cellStyle name="20% - Accent2 4 2 3 2 3" xfId="28925"/>
    <cellStyle name="20% - Accent2 4 2 3 3" xfId="16275"/>
    <cellStyle name="20% - Accent2 4 2 3 3 2" xfId="32496"/>
    <cellStyle name="20% - Accent2 4 2 3 4" xfId="17635"/>
    <cellStyle name="20% - Accent2 4 2 3 4 2" xfId="33856"/>
    <cellStyle name="20% - Accent2 4 2 3 5" xfId="27639"/>
    <cellStyle name="20% - Accent2 4 2 3 6" xfId="39326"/>
    <cellStyle name="20% - Accent2 4 2 4" xfId="9768"/>
    <cellStyle name="20% - Accent2 4 2 4 2" xfId="19389"/>
    <cellStyle name="20% - Accent2 4 2 4 2 2" xfId="35610"/>
    <cellStyle name="20% - Accent2 4 2 4 3" xfId="28922"/>
    <cellStyle name="20% - Accent2 4 2 4 4" xfId="39475"/>
    <cellStyle name="20% - Accent2 4 2 5" xfId="14690"/>
    <cellStyle name="20% - Accent2 4 2 5 2" xfId="30912"/>
    <cellStyle name="20% - Accent2 4 2 6" xfId="17632"/>
    <cellStyle name="20% - Accent2 4 2 6 2" xfId="33853"/>
    <cellStyle name="20% - Accent2 4 2 7" xfId="27641"/>
    <cellStyle name="20% - Accent2 4 2 8" xfId="39030"/>
    <cellStyle name="20% - Accent2 4 3" xfId="6333"/>
    <cellStyle name="20% - Accent2 4 3 2" xfId="6332"/>
    <cellStyle name="20% - Accent2 4 3 2 2" xfId="6331"/>
    <cellStyle name="20% - Accent2 4 3 2 2 2" xfId="9774"/>
    <cellStyle name="20% - Accent2 4 3 2 2 2 2" xfId="19395"/>
    <cellStyle name="20% - Accent2 4 3 2 2 2 2 2" xfId="35616"/>
    <cellStyle name="20% - Accent2 4 3 2 2 2 3" xfId="28928"/>
    <cellStyle name="20% - Accent2 4 3 2 2 3" xfId="17331"/>
    <cellStyle name="20% - Accent2 4 3 2 2 3 2" xfId="33552"/>
    <cellStyle name="20% - Accent2 4 3 2 2 4" xfId="17638"/>
    <cellStyle name="20% - Accent2 4 3 2 2 4 2" xfId="33859"/>
    <cellStyle name="20% - Accent2 4 3 2 2 5" xfId="27636"/>
    <cellStyle name="20% - Accent2 4 3 2 3" xfId="9773"/>
    <cellStyle name="20% - Accent2 4 3 2 3 2" xfId="19394"/>
    <cellStyle name="20% - Accent2 4 3 2 3 2 2" xfId="35615"/>
    <cellStyle name="20% - Accent2 4 3 2 3 3" xfId="28927"/>
    <cellStyle name="20% - Accent2 4 3 2 4" xfId="15746"/>
    <cellStyle name="20% - Accent2 4 3 2 4 2" xfId="31968"/>
    <cellStyle name="20% - Accent2 4 3 2 5" xfId="17637"/>
    <cellStyle name="20% - Accent2 4 3 2 5 2" xfId="33858"/>
    <cellStyle name="20% - Accent2 4 3 2 6" xfId="27637"/>
    <cellStyle name="20% - Accent2 4 3 3" xfId="6330"/>
    <cellStyle name="20% - Accent2 4 3 3 2" xfId="9775"/>
    <cellStyle name="20% - Accent2 4 3 3 2 2" xfId="19396"/>
    <cellStyle name="20% - Accent2 4 3 3 2 2 2" xfId="35617"/>
    <cellStyle name="20% - Accent2 4 3 3 2 3" xfId="28929"/>
    <cellStyle name="20% - Accent2 4 3 3 3" xfId="16539"/>
    <cellStyle name="20% - Accent2 4 3 3 3 2" xfId="32760"/>
    <cellStyle name="20% - Accent2 4 3 3 4" xfId="17639"/>
    <cellStyle name="20% - Accent2 4 3 3 4 2" xfId="33860"/>
    <cellStyle name="20% - Accent2 4 3 3 5" xfId="27635"/>
    <cellStyle name="20% - Accent2 4 3 4" xfId="9772"/>
    <cellStyle name="20% - Accent2 4 3 4 2" xfId="19393"/>
    <cellStyle name="20% - Accent2 4 3 4 2 2" xfId="35614"/>
    <cellStyle name="20% - Accent2 4 3 4 3" xfId="28926"/>
    <cellStyle name="20% - Accent2 4 3 5" xfId="14954"/>
    <cellStyle name="20% - Accent2 4 3 5 2" xfId="31176"/>
    <cellStyle name="20% - Accent2 4 3 6" xfId="17636"/>
    <cellStyle name="20% - Accent2 4 3 6 2" xfId="33857"/>
    <cellStyle name="20% - Accent2 4 3 7" xfId="27638"/>
    <cellStyle name="20% - Accent2 4 3 8" xfId="39122"/>
    <cellStyle name="20% - Accent2 4 4" xfId="6329"/>
    <cellStyle name="20% - Accent2 4 4 2" xfId="6328"/>
    <cellStyle name="20% - Accent2 4 4 2 2" xfId="9777"/>
    <cellStyle name="20% - Accent2 4 4 2 2 2" xfId="19398"/>
    <cellStyle name="20% - Accent2 4 4 2 2 2 2" xfId="35619"/>
    <cellStyle name="20% - Accent2 4 4 2 2 3" xfId="28931"/>
    <cellStyle name="20% - Accent2 4 4 2 3" xfId="16803"/>
    <cellStyle name="20% - Accent2 4 4 2 3 2" xfId="33024"/>
    <cellStyle name="20% - Accent2 4 4 2 4" xfId="17641"/>
    <cellStyle name="20% - Accent2 4 4 2 4 2" xfId="33862"/>
    <cellStyle name="20% - Accent2 4 4 2 5" xfId="27633"/>
    <cellStyle name="20% - Accent2 4 4 3" xfId="9776"/>
    <cellStyle name="20% - Accent2 4 4 3 2" xfId="19397"/>
    <cellStyle name="20% - Accent2 4 4 3 2 2" xfId="35618"/>
    <cellStyle name="20% - Accent2 4 4 3 3" xfId="28930"/>
    <cellStyle name="20% - Accent2 4 4 4" xfId="15218"/>
    <cellStyle name="20% - Accent2 4 4 4 2" xfId="31440"/>
    <cellStyle name="20% - Accent2 4 4 5" xfId="17640"/>
    <cellStyle name="20% - Accent2 4 4 5 2" xfId="33861"/>
    <cellStyle name="20% - Accent2 4 4 6" xfId="27634"/>
    <cellStyle name="20% - Accent2 4 4 7" xfId="39270"/>
    <cellStyle name="20% - Accent2 4 5" xfId="6327"/>
    <cellStyle name="20% - Accent2 4 5 2" xfId="9778"/>
    <cellStyle name="20% - Accent2 4 5 2 2" xfId="19399"/>
    <cellStyle name="20% - Accent2 4 5 2 2 2" xfId="35620"/>
    <cellStyle name="20% - Accent2 4 5 2 3" xfId="28932"/>
    <cellStyle name="20% - Accent2 4 5 3" xfId="16011"/>
    <cellStyle name="20% - Accent2 4 5 3 2" xfId="32232"/>
    <cellStyle name="20% - Accent2 4 5 4" xfId="17642"/>
    <cellStyle name="20% - Accent2 4 5 4 2" xfId="33863"/>
    <cellStyle name="20% - Accent2 4 5 5" xfId="27632"/>
    <cellStyle name="20% - Accent2 4 5 6" xfId="39419"/>
    <cellStyle name="20% - Accent2 4 6" xfId="9767"/>
    <cellStyle name="20% - Accent2 4 6 2" xfId="19388"/>
    <cellStyle name="20% - Accent2 4 6 2 2" xfId="35609"/>
    <cellStyle name="20% - Accent2 4 6 3" xfId="28921"/>
    <cellStyle name="20% - Accent2 4 7" xfId="14426"/>
    <cellStyle name="20% - Accent2 4 7 2" xfId="30648"/>
    <cellStyle name="20% - Accent2 4 8" xfId="17631"/>
    <cellStyle name="20% - Accent2 4 8 2" xfId="33852"/>
    <cellStyle name="20% - Accent2 4 9" xfId="27642"/>
    <cellStyle name="20% - Accent2 5" xfId="6326"/>
    <cellStyle name="20% - Accent2 5 2" xfId="5725"/>
    <cellStyle name="20% - Accent2 5 2 2" xfId="6325"/>
    <cellStyle name="20% - Accent2 5 2 2 2" xfId="9781"/>
    <cellStyle name="20% - Accent2 5 2 2 2 2" xfId="19402"/>
    <cellStyle name="20% - Accent2 5 2 2 2 2 2" xfId="35623"/>
    <cellStyle name="20% - Accent2 5 2 2 2 3" xfId="28935"/>
    <cellStyle name="20% - Accent2 5 2 2 3" xfId="16935"/>
    <cellStyle name="20% - Accent2 5 2 2 3 2" xfId="33156"/>
    <cellStyle name="20% - Accent2 5 2 2 4" xfId="17645"/>
    <cellStyle name="20% - Accent2 5 2 2 4 2" xfId="33866"/>
    <cellStyle name="20% - Accent2 5 2 2 5" xfId="27630"/>
    <cellStyle name="20% - Accent2 5 2 3" xfId="9780"/>
    <cellStyle name="20% - Accent2 5 2 3 2" xfId="19401"/>
    <cellStyle name="20% - Accent2 5 2 3 2 2" xfId="35622"/>
    <cellStyle name="20% - Accent2 5 2 3 3" xfId="28934"/>
    <cellStyle name="20% - Accent2 5 2 4" xfId="15350"/>
    <cellStyle name="20% - Accent2 5 2 4 2" xfId="31572"/>
    <cellStyle name="20% - Accent2 5 2 5" xfId="17644"/>
    <cellStyle name="20% - Accent2 5 2 5 2" xfId="33865"/>
    <cellStyle name="20% - Accent2 5 2 6" xfId="27031"/>
    <cellStyle name="20% - Accent2 5 2 7" xfId="39133"/>
    <cellStyle name="20% - Accent2 5 3" xfId="6324"/>
    <cellStyle name="20% - Accent2 5 3 2" xfId="9782"/>
    <cellStyle name="20% - Accent2 5 3 2 2" xfId="19403"/>
    <cellStyle name="20% - Accent2 5 3 2 2 2" xfId="35624"/>
    <cellStyle name="20% - Accent2 5 3 2 3" xfId="28936"/>
    <cellStyle name="20% - Accent2 5 3 3" xfId="16143"/>
    <cellStyle name="20% - Accent2 5 3 3 2" xfId="32364"/>
    <cellStyle name="20% - Accent2 5 3 4" xfId="17646"/>
    <cellStyle name="20% - Accent2 5 3 4 2" xfId="33867"/>
    <cellStyle name="20% - Accent2 5 3 5" xfId="27629"/>
    <cellStyle name="20% - Accent2 5 3 6" xfId="39281"/>
    <cellStyle name="20% - Accent2 5 4" xfId="9779"/>
    <cellStyle name="20% - Accent2 5 4 2" xfId="19400"/>
    <cellStyle name="20% - Accent2 5 4 2 2" xfId="35621"/>
    <cellStyle name="20% - Accent2 5 4 3" xfId="28933"/>
    <cellStyle name="20% - Accent2 5 4 4" xfId="39430"/>
    <cellStyle name="20% - Accent2 5 5" xfId="14558"/>
    <cellStyle name="20% - Accent2 5 5 2" xfId="30780"/>
    <cellStyle name="20% - Accent2 5 6" xfId="17643"/>
    <cellStyle name="20% - Accent2 5 6 2" xfId="33864"/>
    <cellStyle name="20% - Accent2 5 7" xfId="27631"/>
    <cellStyle name="20% - Accent2 5 8" xfId="38999"/>
    <cellStyle name="20% - Accent2 6" xfId="6323"/>
    <cellStyle name="20% - Accent2 6 2" xfId="6322"/>
    <cellStyle name="20% - Accent2 6 2 2" xfId="6321"/>
    <cellStyle name="20% - Accent2 6 2 2 2" xfId="9785"/>
    <cellStyle name="20% - Accent2 6 2 2 2 2" xfId="19406"/>
    <cellStyle name="20% - Accent2 6 2 2 2 2 2" xfId="35627"/>
    <cellStyle name="20% - Accent2 6 2 2 2 3" xfId="28939"/>
    <cellStyle name="20% - Accent2 6 2 2 3" xfId="17199"/>
    <cellStyle name="20% - Accent2 6 2 2 3 2" xfId="33420"/>
    <cellStyle name="20% - Accent2 6 2 2 4" xfId="17649"/>
    <cellStyle name="20% - Accent2 6 2 2 4 2" xfId="33870"/>
    <cellStyle name="20% - Accent2 6 2 2 5" xfId="27626"/>
    <cellStyle name="20% - Accent2 6 2 3" xfId="9784"/>
    <cellStyle name="20% - Accent2 6 2 3 2" xfId="19405"/>
    <cellStyle name="20% - Accent2 6 2 3 2 2" xfId="35626"/>
    <cellStyle name="20% - Accent2 6 2 3 3" xfId="28938"/>
    <cellStyle name="20% - Accent2 6 2 4" xfId="15614"/>
    <cellStyle name="20% - Accent2 6 2 4 2" xfId="31836"/>
    <cellStyle name="20% - Accent2 6 2 5" xfId="17648"/>
    <cellStyle name="20% - Accent2 6 2 5 2" xfId="33869"/>
    <cellStyle name="20% - Accent2 6 2 6" xfId="27627"/>
    <cellStyle name="20% - Accent2 6 3" xfId="6320"/>
    <cellStyle name="20% - Accent2 6 3 2" xfId="9786"/>
    <cellStyle name="20% - Accent2 6 3 2 2" xfId="19407"/>
    <cellStyle name="20% - Accent2 6 3 2 2 2" xfId="35628"/>
    <cellStyle name="20% - Accent2 6 3 2 3" xfId="28940"/>
    <cellStyle name="20% - Accent2 6 3 3" xfId="16407"/>
    <cellStyle name="20% - Accent2 6 3 3 2" xfId="32628"/>
    <cellStyle name="20% - Accent2 6 3 4" xfId="17650"/>
    <cellStyle name="20% - Accent2 6 3 4 2" xfId="33871"/>
    <cellStyle name="20% - Accent2 6 3 5" xfId="27625"/>
    <cellStyle name="20% - Accent2 6 4" xfId="9783"/>
    <cellStyle name="20% - Accent2 6 4 2" xfId="19404"/>
    <cellStyle name="20% - Accent2 6 4 2 2" xfId="35625"/>
    <cellStyle name="20% - Accent2 6 4 3" xfId="28937"/>
    <cellStyle name="20% - Accent2 6 5" xfId="14822"/>
    <cellStyle name="20% - Accent2 6 5 2" xfId="31044"/>
    <cellStyle name="20% - Accent2 6 6" xfId="17647"/>
    <cellStyle name="20% - Accent2 6 6 2" xfId="33868"/>
    <cellStyle name="20% - Accent2 6 7" xfId="27628"/>
    <cellStyle name="20% - Accent2 6 8" xfId="39078"/>
    <cellStyle name="20% - Accent2 7" xfId="6319"/>
    <cellStyle name="20% - Accent2 7 2" xfId="6318"/>
    <cellStyle name="20% - Accent2 7 2 2" xfId="9788"/>
    <cellStyle name="20% - Accent2 7 2 2 2" xfId="19409"/>
    <cellStyle name="20% - Accent2 7 2 2 2 2" xfId="35630"/>
    <cellStyle name="20% - Accent2 7 2 2 3" xfId="28942"/>
    <cellStyle name="20% - Accent2 7 2 3" xfId="16671"/>
    <cellStyle name="20% - Accent2 7 2 3 2" xfId="32892"/>
    <cellStyle name="20% - Accent2 7 2 4" xfId="17652"/>
    <cellStyle name="20% - Accent2 7 2 4 2" xfId="33873"/>
    <cellStyle name="20% - Accent2 7 2 5" xfId="27623"/>
    <cellStyle name="20% - Accent2 7 3" xfId="9787"/>
    <cellStyle name="20% - Accent2 7 3 2" xfId="19408"/>
    <cellStyle name="20% - Accent2 7 3 2 2" xfId="35629"/>
    <cellStyle name="20% - Accent2 7 3 3" xfId="28941"/>
    <cellStyle name="20% - Accent2 7 4" xfId="15086"/>
    <cellStyle name="20% - Accent2 7 4 2" xfId="31308"/>
    <cellStyle name="20% - Accent2 7 5" xfId="17651"/>
    <cellStyle name="20% - Accent2 7 5 2" xfId="33872"/>
    <cellStyle name="20% - Accent2 7 6" xfId="27624"/>
    <cellStyle name="20% - Accent2 7 7" xfId="39226"/>
    <cellStyle name="20% - Accent2 8" xfId="6317"/>
    <cellStyle name="20% - Accent2 8 2" xfId="9789"/>
    <cellStyle name="20% - Accent2 8 2 2" xfId="19410"/>
    <cellStyle name="20% - Accent2 8 2 2 2" xfId="35631"/>
    <cellStyle name="20% - Accent2 8 2 3" xfId="28943"/>
    <cellStyle name="20% - Accent2 8 3" xfId="15879"/>
    <cellStyle name="20% - Accent2 8 3 2" xfId="32100"/>
    <cellStyle name="20% - Accent2 8 4" xfId="17653"/>
    <cellStyle name="20% - Accent2 8 4 2" xfId="33874"/>
    <cellStyle name="20% - Accent2 8 5" xfId="27622"/>
    <cellStyle name="20% - Accent2 8 6" xfId="39375"/>
    <cellStyle name="20% - Accent2 9" xfId="9694"/>
    <cellStyle name="20% - Accent2 9 2" xfId="19315"/>
    <cellStyle name="20% - Accent2 9 2 2" xfId="35536"/>
    <cellStyle name="20% - Accent2 9 3" xfId="28848"/>
    <cellStyle name="20% - Accent3" xfId="38" builtinId="38" customBuiltin="1"/>
    <cellStyle name="20% - Accent3 10" xfId="14241"/>
    <cellStyle name="20% - Accent3 10 2" xfId="30525"/>
    <cellStyle name="20% - Accent3 11" xfId="17654"/>
    <cellStyle name="20% - Accent3 11 2" xfId="33875"/>
    <cellStyle name="20% - Accent3 12" xfId="26987"/>
    <cellStyle name="20% - Accent3 13" xfId="38906"/>
    <cellStyle name="20% - Accent3 14" xfId="4838"/>
    <cellStyle name="20% - Accent3 2" xfId="4868"/>
    <cellStyle name="20% - Accent3 2 10" xfId="17655"/>
    <cellStyle name="20% - Accent3 2 10 2" xfId="33876"/>
    <cellStyle name="20% - Accent3 2 11" xfId="27004"/>
    <cellStyle name="20% - Accent3 2 12" xfId="38770"/>
    <cellStyle name="20% - Accent3 2 2" xfId="6316"/>
    <cellStyle name="20% - Accent3 2 2 10" xfId="27621"/>
    <cellStyle name="20% - Accent3 2 2 11" xfId="38964"/>
    <cellStyle name="20% - Accent3 2 2 2" xfId="5721"/>
    <cellStyle name="20% - Accent3 2 2 2 10" xfId="39154"/>
    <cellStyle name="20% - Accent3 2 2 2 2" xfId="6315"/>
    <cellStyle name="20% - Accent3 2 2 2 2 2" xfId="6314"/>
    <cellStyle name="20% - Accent3 2 2 2 2 2 2" xfId="6313"/>
    <cellStyle name="20% - Accent3 2 2 2 2 2 2 2" xfId="9796"/>
    <cellStyle name="20% - Accent3 2 2 2 2 2 2 2 2" xfId="19417"/>
    <cellStyle name="20% - Accent3 2 2 2 2 2 2 2 2 2" xfId="35638"/>
    <cellStyle name="20% - Accent3 2 2 2 2 2 2 2 3" xfId="28950"/>
    <cellStyle name="20% - Accent3 2 2 2 2 2 2 3" xfId="17167"/>
    <cellStyle name="20% - Accent3 2 2 2 2 2 2 3 2" xfId="33388"/>
    <cellStyle name="20% - Accent3 2 2 2 2 2 2 4" xfId="17660"/>
    <cellStyle name="20% - Accent3 2 2 2 2 2 2 4 2" xfId="33881"/>
    <cellStyle name="20% - Accent3 2 2 2 2 2 2 5" xfId="27618"/>
    <cellStyle name="20% - Accent3 2 2 2 2 2 3" xfId="9795"/>
    <cellStyle name="20% - Accent3 2 2 2 2 2 3 2" xfId="19416"/>
    <cellStyle name="20% - Accent3 2 2 2 2 2 3 2 2" xfId="35637"/>
    <cellStyle name="20% - Accent3 2 2 2 2 2 3 3" xfId="28949"/>
    <cellStyle name="20% - Accent3 2 2 2 2 2 4" xfId="15582"/>
    <cellStyle name="20% - Accent3 2 2 2 2 2 4 2" xfId="31804"/>
    <cellStyle name="20% - Accent3 2 2 2 2 2 5" xfId="17659"/>
    <cellStyle name="20% - Accent3 2 2 2 2 2 5 2" xfId="33880"/>
    <cellStyle name="20% - Accent3 2 2 2 2 2 6" xfId="27619"/>
    <cellStyle name="20% - Accent3 2 2 2 2 3" xfId="6312"/>
    <cellStyle name="20% - Accent3 2 2 2 2 3 2" xfId="9797"/>
    <cellStyle name="20% - Accent3 2 2 2 2 3 2 2" xfId="19418"/>
    <cellStyle name="20% - Accent3 2 2 2 2 3 2 2 2" xfId="35639"/>
    <cellStyle name="20% - Accent3 2 2 2 2 3 2 3" xfId="28951"/>
    <cellStyle name="20% - Accent3 2 2 2 2 3 3" xfId="16375"/>
    <cellStyle name="20% - Accent3 2 2 2 2 3 3 2" xfId="32596"/>
    <cellStyle name="20% - Accent3 2 2 2 2 3 4" xfId="17661"/>
    <cellStyle name="20% - Accent3 2 2 2 2 3 4 2" xfId="33882"/>
    <cellStyle name="20% - Accent3 2 2 2 2 3 5" xfId="27617"/>
    <cellStyle name="20% - Accent3 2 2 2 2 4" xfId="9794"/>
    <cellStyle name="20% - Accent3 2 2 2 2 4 2" xfId="19415"/>
    <cellStyle name="20% - Accent3 2 2 2 2 4 2 2" xfId="35636"/>
    <cellStyle name="20% - Accent3 2 2 2 2 4 3" xfId="28948"/>
    <cellStyle name="20% - Accent3 2 2 2 2 5" xfId="14790"/>
    <cellStyle name="20% - Accent3 2 2 2 2 5 2" xfId="31012"/>
    <cellStyle name="20% - Accent3 2 2 2 2 6" xfId="17658"/>
    <cellStyle name="20% - Accent3 2 2 2 2 6 2" xfId="33879"/>
    <cellStyle name="20% - Accent3 2 2 2 2 7" xfId="27620"/>
    <cellStyle name="20% - Accent3 2 2 2 3" xfId="6311"/>
    <cellStyle name="20% - Accent3 2 2 2 3 2" xfId="6310"/>
    <cellStyle name="20% - Accent3 2 2 2 3 2 2" xfId="6309"/>
    <cellStyle name="20% - Accent3 2 2 2 3 2 2 2" xfId="9800"/>
    <cellStyle name="20% - Accent3 2 2 2 3 2 2 2 2" xfId="19421"/>
    <cellStyle name="20% - Accent3 2 2 2 3 2 2 2 2 2" xfId="35642"/>
    <cellStyle name="20% - Accent3 2 2 2 3 2 2 2 3" xfId="28954"/>
    <cellStyle name="20% - Accent3 2 2 2 3 2 2 3" xfId="17431"/>
    <cellStyle name="20% - Accent3 2 2 2 3 2 2 3 2" xfId="33652"/>
    <cellStyle name="20% - Accent3 2 2 2 3 2 2 4" xfId="17664"/>
    <cellStyle name="20% - Accent3 2 2 2 3 2 2 4 2" xfId="33885"/>
    <cellStyle name="20% - Accent3 2 2 2 3 2 2 5" xfId="27614"/>
    <cellStyle name="20% - Accent3 2 2 2 3 2 3" xfId="9799"/>
    <cellStyle name="20% - Accent3 2 2 2 3 2 3 2" xfId="19420"/>
    <cellStyle name="20% - Accent3 2 2 2 3 2 3 2 2" xfId="35641"/>
    <cellStyle name="20% - Accent3 2 2 2 3 2 3 3" xfId="28953"/>
    <cellStyle name="20% - Accent3 2 2 2 3 2 4" xfId="15846"/>
    <cellStyle name="20% - Accent3 2 2 2 3 2 4 2" xfId="32068"/>
    <cellStyle name="20% - Accent3 2 2 2 3 2 5" xfId="17663"/>
    <cellStyle name="20% - Accent3 2 2 2 3 2 5 2" xfId="33884"/>
    <cellStyle name="20% - Accent3 2 2 2 3 2 6" xfId="27615"/>
    <cellStyle name="20% - Accent3 2 2 2 3 3" xfId="6308"/>
    <cellStyle name="20% - Accent3 2 2 2 3 3 2" xfId="9801"/>
    <cellStyle name="20% - Accent3 2 2 2 3 3 2 2" xfId="19422"/>
    <cellStyle name="20% - Accent3 2 2 2 3 3 2 2 2" xfId="35643"/>
    <cellStyle name="20% - Accent3 2 2 2 3 3 2 3" xfId="28955"/>
    <cellStyle name="20% - Accent3 2 2 2 3 3 3" xfId="16639"/>
    <cellStyle name="20% - Accent3 2 2 2 3 3 3 2" xfId="32860"/>
    <cellStyle name="20% - Accent3 2 2 2 3 3 4" xfId="17665"/>
    <cellStyle name="20% - Accent3 2 2 2 3 3 4 2" xfId="33886"/>
    <cellStyle name="20% - Accent3 2 2 2 3 3 5" xfId="27613"/>
    <cellStyle name="20% - Accent3 2 2 2 3 4" xfId="9798"/>
    <cellStyle name="20% - Accent3 2 2 2 3 4 2" xfId="19419"/>
    <cellStyle name="20% - Accent3 2 2 2 3 4 2 2" xfId="35640"/>
    <cellStyle name="20% - Accent3 2 2 2 3 4 3" xfId="28952"/>
    <cellStyle name="20% - Accent3 2 2 2 3 5" xfId="15054"/>
    <cellStyle name="20% - Accent3 2 2 2 3 5 2" xfId="31276"/>
    <cellStyle name="20% - Accent3 2 2 2 3 6" xfId="17662"/>
    <cellStyle name="20% - Accent3 2 2 2 3 6 2" xfId="33883"/>
    <cellStyle name="20% - Accent3 2 2 2 3 7" xfId="27616"/>
    <cellStyle name="20% - Accent3 2 2 2 4" xfId="6307"/>
    <cellStyle name="20% - Accent3 2 2 2 4 2" xfId="6306"/>
    <cellStyle name="20% - Accent3 2 2 2 4 2 2" xfId="9803"/>
    <cellStyle name="20% - Accent3 2 2 2 4 2 2 2" xfId="19424"/>
    <cellStyle name="20% - Accent3 2 2 2 4 2 2 2 2" xfId="35645"/>
    <cellStyle name="20% - Accent3 2 2 2 4 2 2 3" xfId="28957"/>
    <cellStyle name="20% - Accent3 2 2 2 4 2 3" xfId="16903"/>
    <cellStyle name="20% - Accent3 2 2 2 4 2 3 2" xfId="33124"/>
    <cellStyle name="20% - Accent3 2 2 2 4 2 4" xfId="17667"/>
    <cellStyle name="20% - Accent3 2 2 2 4 2 4 2" xfId="33888"/>
    <cellStyle name="20% - Accent3 2 2 2 4 2 5" xfId="27611"/>
    <cellStyle name="20% - Accent3 2 2 2 4 3" xfId="9802"/>
    <cellStyle name="20% - Accent3 2 2 2 4 3 2" xfId="19423"/>
    <cellStyle name="20% - Accent3 2 2 2 4 3 2 2" xfId="35644"/>
    <cellStyle name="20% - Accent3 2 2 2 4 3 3" xfId="28956"/>
    <cellStyle name="20% - Accent3 2 2 2 4 4" xfId="15318"/>
    <cellStyle name="20% - Accent3 2 2 2 4 4 2" xfId="31540"/>
    <cellStyle name="20% - Accent3 2 2 2 4 5" xfId="17666"/>
    <cellStyle name="20% - Accent3 2 2 2 4 5 2" xfId="33887"/>
    <cellStyle name="20% - Accent3 2 2 2 4 6" xfId="27612"/>
    <cellStyle name="20% - Accent3 2 2 2 5" xfId="6305"/>
    <cellStyle name="20% - Accent3 2 2 2 5 2" xfId="9804"/>
    <cellStyle name="20% - Accent3 2 2 2 5 2 2" xfId="19425"/>
    <cellStyle name="20% - Accent3 2 2 2 5 2 2 2" xfId="35646"/>
    <cellStyle name="20% - Accent3 2 2 2 5 2 3" xfId="28958"/>
    <cellStyle name="20% - Accent3 2 2 2 5 3" xfId="16111"/>
    <cellStyle name="20% - Accent3 2 2 2 5 3 2" xfId="32332"/>
    <cellStyle name="20% - Accent3 2 2 2 5 4" xfId="17668"/>
    <cellStyle name="20% - Accent3 2 2 2 5 4 2" xfId="33889"/>
    <cellStyle name="20% - Accent3 2 2 2 5 5" xfId="27610"/>
    <cellStyle name="20% - Accent3 2 2 2 6" xfId="9793"/>
    <cellStyle name="20% - Accent3 2 2 2 6 2" xfId="19414"/>
    <cellStyle name="20% - Accent3 2 2 2 6 2 2" xfId="35635"/>
    <cellStyle name="20% - Accent3 2 2 2 6 3" xfId="28947"/>
    <cellStyle name="20% - Accent3 2 2 2 7" xfId="14526"/>
    <cellStyle name="20% - Accent3 2 2 2 7 2" xfId="30748"/>
    <cellStyle name="20% - Accent3 2 2 2 8" xfId="17657"/>
    <cellStyle name="20% - Accent3 2 2 2 8 2" xfId="33878"/>
    <cellStyle name="20% - Accent3 2 2 2 9" xfId="27027"/>
    <cellStyle name="20% - Accent3 2 2 3" xfId="6304"/>
    <cellStyle name="20% - Accent3 2 2 3 2" xfId="6303"/>
    <cellStyle name="20% - Accent3 2 2 3 2 2" xfId="6302"/>
    <cellStyle name="20% - Accent3 2 2 3 2 2 2" xfId="9807"/>
    <cellStyle name="20% - Accent3 2 2 3 2 2 2 2" xfId="19428"/>
    <cellStyle name="20% - Accent3 2 2 3 2 2 2 2 2" xfId="35649"/>
    <cellStyle name="20% - Accent3 2 2 3 2 2 2 3" xfId="28961"/>
    <cellStyle name="20% - Accent3 2 2 3 2 2 3" xfId="17035"/>
    <cellStyle name="20% - Accent3 2 2 3 2 2 3 2" xfId="33256"/>
    <cellStyle name="20% - Accent3 2 2 3 2 2 4" xfId="17671"/>
    <cellStyle name="20% - Accent3 2 2 3 2 2 4 2" xfId="33892"/>
    <cellStyle name="20% - Accent3 2 2 3 2 2 5" xfId="27607"/>
    <cellStyle name="20% - Accent3 2 2 3 2 3" xfId="9806"/>
    <cellStyle name="20% - Accent3 2 2 3 2 3 2" xfId="19427"/>
    <cellStyle name="20% - Accent3 2 2 3 2 3 2 2" xfId="35648"/>
    <cellStyle name="20% - Accent3 2 2 3 2 3 3" xfId="28960"/>
    <cellStyle name="20% - Accent3 2 2 3 2 4" xfId="15450"/>
    <cellStyle name="20% - Accent3 2 2 3 2 4 2" xfId="31672"/>
    <cellStyle name="20% - Accent3 2 2 3 2 5" xfId="17670"/>
    <cellStyle name="20% - Accent3 2 2 3 2 5 2" xfId="33891"/>
    <cellStyle name="20% - Accent3 2 2 3 2 6" xfId="27608"/>
    <cellStyle name="20% - Accent3 2 2 3 3" xfId="6301"/>
    <cellStyle name="20% - Accent3 2 2 3 3 2" xfId="9808"/>
    <cellStyle name="20% - Accent3 2 2 3 3 2 2" xfId="19429"/>
    <cellStyle name="20% - Accent3 2 2 3 3 2 2 2" xfId="35650"/>
    <cellStyle name="20% - Accent3 2 2 3 3 2 3" xfId="28962"/>
    <cellStyle name="20% - Accent3 2 2 3 3 3" xfId="16243"/>
    <cellStyle name="20% - Accent3 2 2 3 3 3 2" xfId="32464"/>
    <cellStyle name="20% - Accent3 2 2 3 3 4" xfId="17672"/>
    <cellStyle name="20% - Accent3 2 2 3 3 4 2" xfId="33893"/>
    <cellStyle name="20% - Accent3 2 2 3 3 5" xfId="27606"/>
    <cellStyle name="20% - Accent3 2 2 3 4" xfId="9805"/>
    <cellStyle name="20% - Accent3 2 2 3 4 2" xfId="19426"/>
    <cellStyle name="20% - Accent3 2 2 3 4 2 2" xfId="35647"/>
    <cellStyle name="20% - Accent3 2 2 3 4 3" xfId="28959"/>
    <cellStyle name="20% - Accent3 2 2 3 5" xfId="14658"/>
    <cellStyle name="20% - Accent3 2 2 3 5 2" xfId="30880"/>
    <cellStyle name="20% - Accent3 2 2 3 6" xfId="17669"/>
    <cellStyle name="20% - Accent3 2 2 3 6 2" xfId="33890"/>
    <cellStyle name="20% - Accent3 2 2 3 7" xfId="27609"/>
    <cellStyle name="20% - Accent3 2 2 3 8" xfId="39302"/>
    <cellStyle name="20% - Accent3 2 2 4" xfId="6300"/>
    <cellStyle name="20% - Accent3 2 2 4 2" xfId="6299"/>
    <cellStyle name="20% - Accent3 2 2 4 2 2" xfId="6298"/>
    <cellStyle name="20% - Accent3 2 2 4 2 2 2" xfId="9811"/>
    <cellStyle name="20% - Accent3 2 2 4 2 2 2 2" xfId="19432"/>
    <cellStyle name="20% - Accent3 2 2 4 2 2 2 2 2" xfId="35653"/>
    <cellStyle name="20% - Accent3 2 2 4 2 2 2 3" xfId="28965"/>
    <cellStyle name="20% - Accent3 2 2 4 2 2 3" xfId="17299"/>
    <cellStyle name="20% - Accent3 2 2 4 2 2 3 2" xfId="33520"/>
    <cellStyle name="20% - Accent3 2 2 4 2 2 4" xfId="17675"/>
    <cellStyle name="20% - Accent3 2 2 4 2 2 4 2" xfId="33896"/>
    <cellStyle name="20% - Accent3 2 2 4 2 2 5" xfId="27603"/>
    <cellStyle name="20% - Accent3 2 2 4 2 3" xfId="9810"/>
    <cellStyle name="20% - Accent3 2 2 4 2 3 2" xfId="19431"/>
    <cellStyle name="20% - Accent3 2 2 4 2 3 2 2" xfId="35652"/>
    <cellStyle name="20% - Accent3 2 2 4 2 3 3" xfId="28964"/>
    <cellStyle name="20% - Accent3 2 2 4 2 4" xfId="15714"/>
    <cellStyle name="20% - Accent3 2 2 4 2 4 2" xfId="31936"/>
    <cellStyle name="20% - Accent3 2 2 4 2 5" xfId="17674"/>
    <cellStyle name="20% - Accent3 2 2 4 2 5 2" xfId="33895"/>
    <cellStyle name="20% - Accent3 2 2 4 2 6" xfId="27604"/>
    <cellStyle name="20% - Accent3 2 2 4 3" xfId="6297"/>
    <cellStyle name="20% - Accent3 2 2 4 3 2" xfId="9812"/>
    <cellStyle name="20% - Accent3 2 2 4 3 2 2" xfId="19433"/>
    <cellStyle name="20% - Accent3 2 2 4 3 2 2 2" xfId="35654"/>
    <cellStyle name="20% - Accent3 2 2 4 3 2 3" xfId="28966"/>
    <cellStyle name="20% - Accent3 2 2 4 3 3" xfId="16507"/>
    <cellStyle name="20% - Accent3 2 2 4 3 3 2" xfId="32728"/>
    <cellStyle name="20% - Accent3 2 2 4 3 4" xfId="17676"/>
    <cellStyle name="20% - Accent3 2 2 4 3 4 2" xfId="33897"/>
    <cellStyle name="20% - Accent3 2 2 4 3 5" xfId="27602"/>
    <cellStyle name="20% - Accent3 2 2 4 4" xfId="9809"/>
    <cellStyle name="20% - Accent3 2 2 4 4 2" xfId="19430"/>
    <cellStyle name="20% - Accent3 2 2 4 4 2 2" xfId="35651"/>
    <cellStyle name="20% - Accent3 2 2 4 4 3" xfId="28963"/>
    <cellStyle name="20% - Accent3 2 2 4 5" xfId="14922"/>
    <cellStyle name="20% - Accent3 2 2 4 5 2" xfId="31144"/>
    <cellStyle name="20% - Accent3 2 2 4 6" xfId="17673"/>
    <cellStyle name="20% - Accent3 2 2 4 6 2" xfId="33894"/>
    <cellStyle name="20% - Accent3 2 2 4 7" xfId="27605"/>
    <cellStyle name="20% - Accent3 2 2 4 8" xfId="39451"/>
    <cellStyle name="20% - Accent3 2 2 5" xfId="5722"/>
    <cellStyle name="20% - Accent3 2 2 5 2" xfId="6296"/>
    <cellStyle name="20% - Accent3 2 2 5 2 2" xfId="9814"/>
    <cellStyle name="20% - Accent3 2 2 5 2 2 2" xfId="19435"/>
    <cellStyle name="20% - Accent3 2 2 5 2 2 2 2" xfId="35656"/>
    <cellStyle name="20% - Accent3 2 2 5 2 2 3" xfId="28968"/>
    <cellStyle name="20% - Accent3 2 2 5 2 3" xfId="16771"/>
    <cellStyle name="20% - Accent3 2 2 5 2 3 2" xfId="32992"/>
    <cellStyle name="20% - Accent3 2 2 5 2 4" xfId="17678"/>
    <cellStyle name="20% - Accent3 2 2 5 2 4 2" xfId="33899"/>
    <cellStyle name="20% - Accent3 2 2 5 2 5" xfId="27601"/>
    <cellStyle name="20% - Accent3 2 2 5 3" xfId="9813"/>
    <cellStyle name="20% - Accent3 2 2 5 3 2" xfId="19434"/>
    <cellStyle name="20% - Accent3 2 2 5 3 2 2" xfId="35655"/>
    <cellStyle name="20% - Accent3 2 2 5 3 3" xfId="28967"/>
    <cellStyle name="20% - Accent3 2 2 5 4" xfId="15186"/>
    <cellStyle name="20% - Accent3 2 2 5 4 2" xfId="31408"/>
    <cellStyle name="20% - Accent3 2 2 5 5" xfId="17677"/>
    <cellStyle name="20% - Accent3 2 2 5 5 2" xfId="33898"/>
    <cellStyle name="20% - Accent3 2 2 5 6" xfId="27028"/>
    <cellStyle name="20% - Accent3 2 2 6" xfId="6295"/>
    <cellStyle name="20% - Accent3 2 2 6 2" xfId="9815"/>
    <cellStyle name="20% - Accent3 2 2 6 2 2" xfId="19436"/>
    <cellStyle name="20% - Accent3 2 2 6 2 2 2" xfId="35657"/>
    <cellStyle name="20% - Accent3 2 2 6 2 3" xfId="28969"/>
    <cellStyle name="20% - Accent3 2 2 6 3" xfId="15979"/>
    <cellStyle name="20% - Accent3 2 2 6 3 2" xfId="32200"/>
    <cellStyle name="20% - Accent3 2 2 6 4" xfId="17679"/>
    <cellStyle name="20% - Accent3 2 2 6 4 2" xfId="33900"/>
    <cellStyle name="20% - Accent3 2 2 6 5" xfId="27600"/>
    <cellStyle name="20% - Accent3 2 2 7" xfId="9792"/>
    <cellStyle name="20% - Accent3 2 2 7 2" xfId="19413"/>
    <cellStyle name="20% - Accent3 2 2 7 2 2" xfId="35634"/>
    <cellStyle name="20% - Accent3 2 2 7 3" xfId="28946"/>
    <cellStyle name="20% - Accent3 2 2 8" xfId="14394"/>
    <cellStyle name="20% - Accent3 2 2 8 2" xfId="30616"/>
    <cellStyle name="20% - Accent3 2 2 9" xfId="17656"/>
    <cellStyle name="20% - Accent3 2 2 9 2" xfId="33877"/>
    <cellStyle name="20% - Accent3 2 3" xfId="6294"/>
    <cellStyle name="20% - Accent3 2 3 10" xfId="39098"/>
    <cellStyle name="20% - Accent3 2 3 2" xfId="6293"/>
    <cellStyle name="20% - Accent3 2 3 2 2" xfId="6292"/>
    <cellStyle name="20% - Accent3 2 3 2 2 2" xfId="6291"/>
    <cellStyle name="20% - Accent3 2 3 2 2 2 2" xfId="9819"/>
    <cellStyle name="20% - Accent3 2 3 2 2 2 2 2" xfId="19440"/>
    <cellStyle name="20% - Accent3 2 3 2 2 2 2 2 2" xfId="35661"/>
    <cellStyle name="20% - Accent3 2 3 2 2 2 2 3" xfId="28973"/>
    <cellStyle name="20% - Accent3 2 3 2 2 2 3" xfId="17101"/>
    <cellStyle name="20% - Accent3 2 3 2 2 2 3 2" xfId="33322"/>
    <cellStyle name="20% - Accent3 2 3 2 2 2 4" xfId="17683"/>
    <cellStyle name="20% - Accent3 2 3 2 2 2 4 2" xfId="33904"/>
    <cellStyle name="20% - Accent3 2 3 2 2 2 5" xfId="27596"/>
    <cellStyle name="20% - Accent3 2 3 2 2 3" xfId="9818"/>
    <cellStyle name="20% - Accent3 2 3 2 2 3 2" xfId="19439"/>
    <cellStyle name="20% - Accent3 2 3 2 2 3 2 2" xfId="35660"/>
    <cellStyle name="20% - Accent3 2 3 2 2 3 3" xfId="28972"/>
    <cellStyle name="20% - Accent3 2 3 2 2 4" xfId="15516"/>
    <cellStyle name="20% - Accent3 2 3 2 2 4 2" xfId="31738"/>
    <cellStyle name="20% - Accent3 2 3 2 2 5" xfId="17682"/>
    <cellStyle name="20% - Accent3 2 3 2 2 5 2" xfId="33903"/>
    <cellStyle name="20% - Accent3 2 3 2 2 6" xfId="27597"/>
    <cellStyle name="20% - Accent3 2 3 2 3" xfId="6290"/>
    <cellStyle name="20% - Accent3 2 3 2 3 2" xfId="9820"/>
    <cellStyle name="20% - Accent3 2 3 2 3 2 2" xfId="19441"/>
    <cellStyle name="20% - Accent3 2 3 2 3 2 2 2" xfId="35662"/>
    <cellStyle name="20% - Accent3 2 3 2 3 2 3" xfId="28974"/>
    <cellStyle name="20% - Accent3 2 3 2 3 3" xfId="16309"/>
    <cellStyle name="20% - Accent3 2 3 2 3 3 2" xfId="32530"/>
    <cellStyle name="20% - Accent3 2 3 2 3 4" xfId="17684"/>
    <cellStyle name="20% - Accent3 2 3 2 3 4 2" xfId="33905"/>
    <cellStyle name="20% - Accent3 2 3 2 3 5" xfId="27595"/>
    <cellStyle name="20% - Accent3 2 3 2 4" xfId="9817"/>
    <cellStyle name="20% - Accent3 2 3 2 4 2" xfId="19438"/>
    <cellStyle name="20% - Accent3 2 3 2 4 2 2" xfId="35659"/>
    <cellStyle name="20% - Accent3 2 3 2 4 3" xfId="28971"/>
    <cellStyle name="20% - Accent3 2 3 2 5" xfId="14724"/>
    <cellStyle name="20% - Accent3 2 3 2 5 2" xfId="30946"/>
    <cellStyle name="20% - Accent3 2 3 2 6" xfId="17681"/>
    <cellStyle name="20% - Accent3 2 3 2 6 2" xfId="33902"/>
    <cellStyle name="20% - Accent3 2 3 2 7" xfId="27598"/>
    <cellStyle name="20% - Accent3 2 3 3" xfId="6289"/>
    <cellStyle name="20% - Accent3 2 3 3 2" xfId="6288"/>
    <cellStyle name="20% - Accent3 2 3 3 2 2" xfId="6287"/>
    <cellStyle name="20% - Accent3 2 3 3 2 2 2" xfId="9823"/>
    <cellStyle name="20% - Accent3 2 3 3 2 2 2 2" xfId="19444"/>
    <cellStyle name="20% - Accent3 2 3 3 2 2 2 2 2" xfId="35665"/>
    <cellStyle name="20% - Accent3 2 3 3 2 2 2 3" xfId="28977"/>
    <cellStyle name="20% - Accent3 2 3 3 2 2 3" xfId="17365"/>
    <cellStyle name="20% - Accent3 2 3 3 2 2 3 2" xfId="33586"/>
    <cellStyle name="20% - Accent3 2 3 3 2 2 4" xfId="17687"/>
    <cellStyle name="20% - Accent3 2 3 3 2 2 4 2" xfId="33908"/>
    <cellStyle name="20% - Accent3 2 3 3 2 2 5" xfId="27592"/>
    <cellStyle name="20% - Accent3 2 3 3 2 3" xfId="9822"/>
    <cellStyle name="20% - Accent3 2 3 3 2 3 2" xfId="19443"/>
    <cellStyle name="20% - Accent3 2 3 3 2 3 2 2" xfId="35664"/>
    <cellStyle name="20% - Accent3 2 3 3 2 3 3" xfId="28976"/>
    <cellStyle name="20% - Accent3 2 3 3 2 4" xfId="15780"/>
    <cellStyle name="20% - Accent3 2 3 3 2 4 2" xfId="32002"/>
    <cellStyle name="20% - Accent3 2 3 3 2 5" xfId="17686"/>
    <cellStyle name="20% - Accent3 2 3 3 2 5 2" xfId="33907"/>
    <cellStyle name="20% - Accent3 2 3 3 2 6" xfId="27593"/>
    <cellStyle name="20% - Accent3 2 3 3 3" xfId="6286"/>
    <cellStyle name="20% - Accent3 2 3 3 3 2" xfId="9824"/>
    <cellStyle name="20% - Accent3 2 3 3 3 2 2" xfId="19445"/>
    <cellStyle name="20% - Accent3 2 3 3 3 2 2 2" xfId="35666"/>
    <cellStyle name="20% - Accent3 2 3 3 3 2 3" xfId="28978"/>
    <cellStyle name="20% - Accent3 2 3 3 3 3" xfId="16573"/>
    <cellStyle name="20% - Accent3 2 3 3 3 3 2" xfId="32794"/>
    <cellStyle name="20% - Accent3 2 3 3 3 4" xfId="17688"/>
    <cellStyle name="20% - Accent3 2 3 3 3 4 2" xfId="33909"/>
    <cellStyle name="20% - Accent3 2 3 3 3 5" xfId="27591"/>
    <cellStyle name="20% - Accent3 2 3 3 4" xfId="9821"/>
    <cellStyle name="20% - Accent3 2 3 3 4 2" xfId="19442"/>
    <cellStyle name="20% - Accent3 2 3 3 4 2 2" xfId="35663"/>
    <cellStyle name="20% - Accent3 2 3 3 4 3" xfId="28975"/>
    <cellStyle name="20% - Accent3 2 3 3 5" xfId="14988"/>
    <cellStyle name="20% - Accent3 2 3 3 5 2" xfId="31210"/>
    <cellStyle name="20% - Accent3 2 3 3 6" xfId="17685"/>
    <cellStyle name="20% - Accent3 2 3 3 6 2" xfId="33906"/>
    <cellStyle name="20% - Accent3 2 3 3 7" xfId="27594"/>
    <cellStyle name="20% - Accent3 2 3 4" xfId="6285"/>
    <cellStyle name="20% - Accent3 2 3 4 2" xfId="6284"/>
    <cellStyle name="20% - Accent3 2 3 4 2 2" xfId="9826"/>
    <cellStyle name="20% - Accent3 2 3 4 2 2 2" xfId="19447"/>
    <cellStyle name="20% - Accent3 2 3 4 2 2 2 2" xfId="35668"/>
    <cellStyle name="20% - Accent3 2 3 4 2 2 3" xfId="28980"/>
    <cellStyle name="20% - Accent3 2 3 4 2 3" xfId="16837"/>
    <cellStyle name="20% - Accent3 2 3 4 2 3 2" xfId="33058"/>
    <cellStyle name="20% - Accent3 2 3 4 2 4" xfId="17690"/>
    <cellStyle name="20% - Accent3 2 3 4 2 4 2" xfId="33911"/>
    <cellStyle name="20% - Accent3 2 3 4 2 5" xfId="27589"/>
    <cellStyle name="20% - Accent3 2 3 4 3" xfId="9825"/>
    <cellStyle name="20% - Accent3 2 3 4 3 2" xfId="19446"/>
    <cellStyle name="20% - Accent3 2 3 4 3 2 2" xfId="35667"/>
    <cellStyle name="20% - Accent3 2 3 4 3 3" xfId="28979"/>
    <cellStyle name="20% - Accent3 2 3 4 4" xfId="15252"/>
    <cellStyle name="20% - Accent3 2 3 4 4 2" xfId="31474"/>
    <cellStyle name="20% - Accent3 2 3 4 5" xfId="17689"/>
    <cellStyle name="20% - Accent3 2 3 4 5 2" xfId="33910"/>
    <cellStyle name="20% - Accent3 2 3 4 6" xfId="27590"/>
    <cellStyle name="20% - Accent3 2 3 5" xfId="6283"/>
    <cellStyle name="20% - Accent3 2 3 5 2" xfId="9827"/>
    <cellStyle name="20% - Accent3 2 3 5 2 2" xfId="19448"/>
    <cellStyle name="20% - Accent3 2 3 5 2 2 2" xfId="35669"/>
    <cellStyle name="20% - Accent3 2 3 5 2 3" xfId="28981"/>
    <cellStyle name="20% - Accent3 2 3 5 3" xfId="16045"/>
    <cellStyle name="20% - Accent3 2 3 5 3 2" xfId="32266"/>
    <cellStyle name="20% - Accent3 2 3 5 4" xfId="17691"/>
    <cellStyle name="20% - Accent3 2 3 5 4 2" xfId="33912"/>
    <cellStyle name="20% - Accent3 2 3 5 5" xfId="27588"/>
    <cellStyle name="20% - Accent3 2 3 6" xfId="9816"/>
    <cellStyle name="20% - Accent3 2 3 6 2" xfId="19437"/>
    <cellStyle name="20% - Accent3 2 3 6 2 2" xfId="35658"/>
    <cellStyle name="20% - Accent3 2 3 6 3" xfId="28970"/>
    <cellStyle name="20% - Accent3 2 3 7" xfId="14460"/>
    <cellStyle name="20% - Accent3 2 3 7 2" xfId="30682"/>
    <cellStyle name="20% - Accent3 2 3 8" xfId="17680"/>
    <cellStyle name="20% - Accent3 2 3 8 2" xfId="33901"/>
    <cellStyle name="20% - Accent3 2 3 9" xfId="27599"/>
    <cellStyle name="20% - Accent3 2 4" xfId="6282"/>
    <cellStyle name="20% - Accent3 2 4 2" xfId="6281"/>
    <cellStyle name="20% - Accent3 2 4 2 2" xfId="6280"/>
    <cellStyle name="20% - Accent3 2 4 2 2 2" xfId="9830"/>
    <cellStyle name="20% - Accent3 2 4 2 2 2 2" xfId="19451"/>
    <cellStyle name="20% - Accent3 2 4 2 2 2 2 2" xfId="35672"/>
    <cellStyle name="20% - Accent3 2 4 2 2 2 3" xfId="28984"/>
    <cellStyle name="20% - Accent3 2 4 2 2 3" xfId="16969"/>
    <cellStyle name="20% - Accent3 2 4 2 2 3 2" xfId="33190"/>
    <cellStyle name="20% - Accent3 2 4 2 2 4" xfId="17694"/>
    <cellStyle name="20% - Accent3 2 4 2 2 4 2" xfId="33915"/>
    <cellStyle name="20% - Accent3 2 4 2 2 5" xfId="27585"/>
    <cellStyle name="20% - Accent3 2 4 2 3" xfId="9829"/>
    <cellStyle name="20% - Accent3 2 4 2 3 2" xfId="19450"/>
    <cellStyle name="20% - Accent3 2 4 2 3 2 2" xfId="35671"/>
    <cellStyle name="20% - Accent3 2 4 2 3 3" xfId="28983"/>
    <cellStyle name="20% - Accent3 2 4 2 4" xfId="15384"/>
    <cellStyle name="20% - Accent3 2 4 2 4 2" xfId="31606"/>
    <cellStyle name="20% - Accent3 2 4 2 5" xfId="17693"/>
    <cellStyle name="20% - Accent3 2 4 2 5 2" xfId="33914"/>
    <cellStyle name="20% - Accent3 2 4 2 6" xfId="27586"/>
    <cellStyle name="20% - Accent3 2 4 3" xfId="6279"/>
    <cellStyle name="20% - Accent3 2 4 3 2" xfId="9831"/>
    <cellStyle name="20% - Accent3 2 4 3 2 2" xfId="19452"/>
    <cellStyle name="20% - Accent3 2 4 3 2 2 2" xfId="35673"/>
    <cellStyle name="20% - Accent3 2 4 3 2 3" xfId="28985"/>
    <cellStyle name="20% - Accent3 2 4 3 3" xfId="16177"/>
    <cellStyle name="20% - Accent3 2 4 3 3 2" xfId="32398"/>
    <cellStyle name="20% - Accent3 2 4 3 4" xfId="17695"/>
    <cellStyle name="20% - Accent3 2 4 3 4 2" xfId="33916"/>
    <cellStyle name="20% - Accent3 2 4 3 5" xfId="27584"/>
    <cellStyle name="20% - Accent3 2 4 4" xfId="9828"/>
    <cellStyle name="20% - Accent3 2 4 4 2" xfId="19449"/>
    <cellStyle name="20% - Accent3 2 4 4 2 2" xfId="35670"/>
    <cellStyle name="20% - Accent3 2 4 4 3" xfId="28982"/>
    <cellStyle name="20% - Accent3 2 4 5" xfId="14592"/>
    <cellStyle name="20% - Accent3 2 4 5 2" xfId="30814"/>
    <cellStyle name="20% - Accent3 2 4 6" xfId="17692"/>
    <cellStyle name="20% - Accent3 2 4 6 2" xfId="33913"/>
    <cellStyle name="20% - Accent3 2 4 7" xfId="27587"/>
    <cellStyle name="20% - Accent3 2 4 8" xfId="39246"/>
    <cellStyle name="20% - Accent3 2 5" xfId="6278"/>
    <cellStyle name="20% - Accent3 2 5 2" xfId="6277"/>
    <cellStyle name="20% - Accent3 2 5 2 2" xfId="6276"/>
    <cellStyle name="20% - Accent3 2 5 2 2 2" xfId="9834"/>
    <cellStyle name="20% - Accent3 2 5 2 2 2 2" xfId="19455"/>
    <cellStyle name="20% - Accent3 2 5 2 2 2 2 2" xfId="35676"/>
    <cellStyle name="20% - Accent3 2 5 2 2 2 3" xfId="28988"/>
    <cellStyle name="20% - Accent3 2 5 2 2 3" xfId="17233"/>
    <cellStyle name="20% - Accent3 2 5 2 2 3 2" xfId="33454"/>
    <cellStyle name="20% - Accent3 2 5 2 2 4" xfId="17698"/>
    <cellStyle name="20% - Accent3 2 5 2 2 4 2" xfId="33919"/>
    <cellStyle name="20% - Accent3 2 5 2 2 5" xfId="27581"/>
    <cellStyle name="20% - Accent3 2 5 2 3" xfId="9833"/>
    <cellStyle name="20% - Accent3 2 5 2 3 2" xfId="19454"/>
    <cellStyle name="20% - Accent3 2 5 2 3 2 2" xfId="35675"/>
    <cellStyle name="20% - Accent3 2 5 2 3 3" xfId="28987"/>
    <cellStyle name="20% - Accent3 2 5 2 4" xfId="15648"/>
    <cellStyle name="20% - Accent3 2 5 2 4 2" xfId="31870"/>
    <cellStyle name="20% - Accent3 2 5 2 5" xfId="17697"/>
    <cellStyle name="20% - Accent3 2 5 2 5 2" xfId="33918"/>
    <cellStyle name="20% - Accent3 2 5 2 6" xfId="27582"/>
    <cellStyle name="20% - Accent3 2 5 3" xfId="6275"/>
    <cellStyle name="20% - Accent3 2 5 3 2" xfId="9835"/>
    <cellStyle name="20% - Accent3 2 5 3 2 2" xfId="19456"/>
    <cellStyle name="20% - Accent3 2 5 3 2 2 2" xfId="35677"/>
    <cellStyle name="20% - Accent3 2 5 3 2 3" xfId="28989"/>
    <cellStyle name="20% - Accent3 2 5 3 3" xfId="16441"/>
    <cellStyle name="20% - Accent3 2 5 3 3 2" xfId="32662"/>
    <cellStyle name="20% - Accent3 2 5 3 4" xfId="17699"/>
    <cellStyle name="20% - Accent3 2 5 3 4 2" xfId="33920"/>
    <cellStyle name="20% - Accent3 2 5 3 5" xfId="27580"/>
    <cellStyle name="20% - Accent3 2 5 4" xfId="9832"/>
    <cellStyle name="20% - Accent3 2 5 4 2" xfId="19453"/>
    <cellStyle name="20% - Accent3 2 5 4 2 2" xfId="35674"/>
    <cellStyle name="20% - Accent3 2 5 4 3" xfId="28986"/>
    <cellStyle name="20% - Accent3 2 5 5" xfId="14856"/>
    <cellStyle name="20% - Accent3 2 5 5 2" xfId="31078"/>
    <cellStyle name="20% - Accent3 2 5 6" xfId="17696"/>
    <cellStyle name="20% - Accent3 2 5 6 2" xfId="33917"/>
    <cellStyle name="20% - Accent3 2 5 7" xfId="27583"/>
    <cellStyle name="20% - Accent3 2 5 8" xfId="39395"/>
    <cellStyle name="20% - Accent3 2 6" xfId="6274"/>
    <cellStyle name="20% - Accent3 2 6 2" xfId="6273"/>
    <cellStyle name="20% - Accent3 2 6 2 2" xfId="9837"/>
    <cellStyle name="20% - Accent3 2 6 2 2 2" xfId="19458"/>
    <cellStyle name="20% - Accent3 2 6 2 2 2 2" xfId="35679"/>
    <cellStyle name="20% - Accent3 2 6 2 2 3" xfId="28991"/>
    <cellStyle name="20% - Accent3 2 6 2 3" xfId="16705"/>
    <cellStyle name="20% - Accent3 2 6 2 3 2" xfId="32926"/>
    <cellStyle name="20% - Accent3 2 6 2 4" xfId="17701"/>
    <cellStyle name="20% - Accent3 2 6 2 4 2" xfId="33922"/>
    <cellStyle name="20% - Accent3 2 6 2 5" xfId="27578"/>
    <cellStyle name="20% - Accent3 2 6 3" xfId="9836"/>
    <cellStyle name="20% - Accent3 2 6 3 2" xfId="19457"/>
    <cellStyle name="20% - Accent3 2 6 3 2 2" xfId="35678"/>
    <cellStyle name="20% - Accent3 2 6 3 3" xfId="28990"/>
    <cellStyle name="20% - Accent3 2 6 4" xfId="15120"/>
    <cellStyle name="20% - Accent3 2 6 4 2" xfId="31342"/>
    <cellStyle name="20% - Accent3 2 6 5" xfId="17700"/>
    <cellStyle name="20% - Accent3 2 6 5 2" xfId="33921"/>
    <cellStyle name="20% - Accent3 2 6 6" xfId="27579"/>
    <cellStyle name="20% - Accent3 2 7" xfId="6272"/>
    <cellStyle name="20% - Accent3 2 7 2" xfId="9838"/>
    <cellStyle name="20% - Accent3 2 7 2 2" xfId="19459"/>
    <cellStyle name="20% - Accent3 2 7 2 2 2" xfId="35680"/>
    <cellStyle name="20% - Accent3 2 7 2 3" xfId="28992"/>
    <cellStyle name="20% - Accent3 2 7 3" xfId="15913"/>
    <cellStyle name="20% - Accent3 2 7 3 2" xfId="32134"/>
    <cellStyle name="20% - Accent3 2 7 4" xfId="17702"/>
    <cellStyle name="20% - Accent3 2 7 4 2" xfId="33923"/>
    <cellStyle name="20% - Accent3 2 7 5" xfId="27577"/>
    <cellStyle name="20% - Accent3 2 8" xfId="9791"/>
    <cellStyle name="20% - Accent3 2 8 2" xfId="19412"/>
    <cellStyle name="20% - Accent3 2 8 2 2" xfId="35633"/>
    <cellStyle name="20% - Accent3 2 8 3" xfId="28945"/>
    <cellStyle name="20% - Accent3 2 9" xfId="14328"/>
    <cellStyle name="20% - Accent3 2 9 2" xfId="30550"/>
    <cellStyle name="20% - Accent3 3" xfId="6271"/>
    <cellStyle name="20% - Accent3 3 10" xfId="27576"/>
    <cellStyle name="20% - Accent3 3 11" xfId="38977"/>
    <cellStyle name="20% - Accent3 3 2" xfId="6270"/>
    <cellStyle name="20% - Accent3 3 2 10" xfId="39019"/>
    <cellStyle name="20% - Accent3 3 2 2" xfId="6269"/>
    <cellStyle name="20% - Accent3 3 2 2 2" xfId="6268"/>
    <cellStyle name="20% - Accent3 3 2 2 2 2" xfId="6267"/>
    <cellStyle name="20% - Accent3 3 2 2 2 2 2" xfId="9843"/>
    <cellStyle name="20% - Accent3 3 2 2 2 2 2 2" xfId="19464"/>
    <cellStyle name="20% - Accent3 3 2 2 2 2 2 2 2" xfId="35685"/>
    <cellStyle name="20% - Accent3 3 2 2 2 2 2 3" xfId="28997"/>
    <cellStyle name="20% - Accent3 3 2 2 2 2 3" xfId="17134"/>
    <cellStyle name="20% - Accent3 3 2 2 2 2 3 2" xfId="33355"/>
    <cellStyle name="20% - Accent3 3 2 2 2 2 4" xfId="17707"/>
    <cellStyle name="20% - Accent3 3 2 2 2 2 4 2" xfId="33928"/>
    <cellStyle name="20% - Accent3 3 2 2 2 2 5" xfId="27572"/>
    <cellStyle name="20% - Accent3 3 2 2 2 3" xfId="9842"/>
    <cellStyle name="20% - Accent3 3 2 2 2 3 2" xfId="19463"/>
    <cellStyle name="20% - Accent3 3 2 2 2 3 2 2" xfId="35684"/>
    <cellStyle name="20% - Accent3 3 2 2 2 3 3" xfId="28996"/>
    <cellStyle name="20% - Accent3 3 2 2 2 4" xfId="15549"/>
    <cellStyle name="20% - Accent3 3 2 2 2 4 2" xfId="31771"/>
    <cellStyle name="20% - Accent3 3 2 2 2 5" xfId="17706"/>
    <cellStyle name="20% - Accent3 3 2 2 2 5 2" xfId="33927"/>
    <cellStyle name="20% - Accent3 3 2 2 2 6" xfId="27573"/>
    <cellStyle name="20% - Accent3 3 2 2 3" xfId="6266"/>
    <cellStyle name="20% - Accent3 3 2 2 3 2" xfId="9844"/>
    <cellStyle name="20% - Accent3 3 2 2 3 2 2" xfId="19465"/>
    <cellStyle name="20% - Accent3 3 2 2 3 2 2 2" xfId="35686"/>
    <cellStyle name="20% - Accent3 3 2 2 3 2 3" xfId="28998"/>
    <cellStyle name="20% - Accent3 3 2 2 3 3" xfId="16342"/>
    <cellStyle name="20% - Accent3 3 2 2 3 3 2" xfId="32563"/>
    <cellStyle name="20% - Accent3 3 2 2 3 4" xfId="17708"/>
    <cellStyle name="20% - Accent3 3 2 2 3 4 2" xfId="33929"/>
    <cellStyle name="20% - Accent3 3 2 2 3 5" xfId="27571"/>
    <cellStyle name="20% - Accent3 3 2 2 4" xfId="9841"/>
    <cellStyle name="20% - Accent3 3 2 2 4 2" xfId="19462"/>
    <cellStyle name="20% - Accent3 3 2 2 4 2 2" xfId="35683"/>
    <cellStyle name="20% - Accent3 3 2 2 4 3" xfId="28995"/>
    <cellStyle name="20% - Accent3 3 2 2 5" xfId="14757"/>
    <cellStyle name="20% - Accent3 3 2 2 5 2" xfId="30979"/>
    <cellStyle name="20% - Accent3 3 2 2 6" xfId="17705"/>
    <cellStyle name="20% - Accent3 3 2 2 6 2" xfId="33926"/>
    <cellStyle name="20% - Accent3 3 2 2 7" xfId="27574"/>
    <cellStyle name="20% - Accent3 3 2 2 8" xfId="39167"/>
    <cellStyle name="20% - Accent3 3 2 3" xfId="6265"/>
    <cellStyle name="20% - Accent3 3 2 3 2" xfId="6264"/>
    <cellStyle name="20% - Accent3 3 2 3 2 2" xfId="6263"/>
    <cellStyle name="20% - Accent3 3 2 3 2 2 2" xfId="9847"/>
    <cellStyle name="20% - Accent3 3 2 3 2 2 2 2" xfId="19468"/>
    <cellStyle name="20% - Accent3 3 2 3 2 2 2 2 2" xfId="35689"/>
    <cellStyle name="20% - Accent3 3 2 3 2 2 2 3" xfId="29001"/>
    <cellStyle name="20% - Accent3 3 2 3 2 2 3" xfId="17398"/>
    <cellStyle name="20% - Accent3 3 2 3 2 2 3 2" xfId="33619"/>
    <cellStyle name="20% - Accent3 3 2 3 2 2 4" xfId="17711"/>
    <cellStyle name="20% - Accent3 3 2 3 2 2 4 2" xfId="33932"/>
    <cellStyle name="20% - Accent3 3 2 3 2 2 5" xfId="27568"/>
    <cellStyle name="20% - Accent3 3 2 3 2 3" xfId="9846"/>
    <cellStyle name="20% - Accent3 3 2 3 2 3 2" xfId="19467"/>
    <cellStyle name="20% - Accent3 3 2 3 2 3 2 2" xfId="35688"/>
    <cellStyle name="20% - Accent3 3 2 3 2 3 3" xfId="29000"/>
    <cellStyle name="20% - Accent3 3 2 3 2 4" xfId="15813"/>
    <cellStyle name="20% - Accent3 3 2 3 2 4 2" xfId="32035"/>
    <cellStyle name="20% - Accent3 3 2 3 2 5" xfId="17710"/>
    <cellStyle name="20% - Accent3 3 2 3 2 5 2" xfId="33931"/>
    <cellStyle name="20% - Accent3 3 2 3 2 6" xfId="27569"/>
    <cellStyle name="20% - Accent3 3 2 3 3" xfId="6262"/>
    <cellStyle name="20% - Accent3 3 2 3 3 2" xfId="9848"/>
    <cellStyle name="20% - Accent3 3 2 3 3 2 2" xfId="19469"/>
    <cellStyle name="20% - Accent3 3 2 3 3 2 2 2" xfId="35690"/>
    <cellStyle name="20% - Accent3 3 2 3 3 2 3" xfId="29002"/>
    <cellStyle name="20% - Accent3 3 2 3 3 3" xfId="16606"/>
    <cellStyle name="20% - Accent3 3 2 3 3 3 2" xfId="32827"/>
    <cellStyle name="20% - Accent3 3 2 3 3 4" xfId="17712"/>
    <cellStyle name="20% - Accent3 3 2 3 3 4 2" xfId="33933"/>
    <cellStyle name="20% - Accent3 3 2 3 3 5" xfId="27567"/>
    <cellStyle name="20% - Accent3 3 2 3 4" xfId="9845"/>
    <cellStyle name="20% - Accent3 3 2 3 4 2" xfId="19466"/>
    <cellStyle name="20% - Accent3 3 2 3 4 2 2" xfId="35687"/>
    <cellStyle name="20% - Accent3 3 2 3 4 3" xfId="28999"/>
    <cellStyle name="20% - Accent3 3 2 3 5" xfId="15021"/>
    <cellStyle name="20% - Accent3 3 2 3 5 2" xfId="31243"/>
    <cellStyle name="20% - Accent3 3 2 3 6" xfId="17709"/>
    <cellStyle name="20% - Accent3 3 2 3 6 2" xfId="33930"/>
    <cellStyle name="20% - Accent3 3 2 3 7" xfId="27570"/>
    <cellStyle name="20% - Accent3 3 2 3 8" xfId="39315"/>
    <cellStyle name="20% - Accent3 3 2 4" xfId="6261"/>
    <cellStyle name="20% - Accent3 3 2 4 2" xfId="6260"/>
    <cellStyle name="20% - Accent3 3 2 4 2 2" xfId="9850"/>
    <cellStyle name="20% - Accent3 3 2 4 2 2 2" xfId="19471"/>
    <cellStyle name="20% - Accent3 3 2 4 2 2 2 2" xfId="35692"/>
    <cellStyle name="20% - Accent3 3 2 4 2 2 3" xfId="29004"/>
    <cellStyle name="20% - Accent3 3 2 4 2 3" xfId="16870"/>
    <cellStyle name="20% - Accent3 3 2 4 2 3 2" xfId="33091"/>
    <cellStyle name="20% - Accent3 3 2 4 2 4" xfId="17714"/>
    <cellStyle name="20% - Accent3 3 2 4 2 4 2" xfId="33935"/>
    <cellStyle name="20% - Accent3 3 2 4 2 5" xfId="27565"/>
    <cellStyle name="20% - Accent3 3 2 4 3" xfId="9849"/>
    <cellStyle name="20% - Accent3 3 2 4 3 2" xfId="19470"/>
    <cellStyle name="20% - Accent3 3 2 4 3 2 2" xfId="35691"/>
    <cellStyle name="20% - Accent3 3 2 4 3 3" xfId="29003"/>
    <cellStyle name="20% - Accent3 3 2 4 4" xfId="15285"/>
    <cellStyle name="20% - Accent3 3 2 4 4 2" xfId="31507"/>
    <cellStyle name="20% - Accent3 3 2 4 5" xfId="17713"/>
    <cellStyle name="20% - Accent3 3 2 4 5 2" xfId="33934"/>
    <cellStyle name="20% - Accent3 3 2 4 6" xfId="27566"/>
    <cellStyle name="20% - Accent3 3 2 4 7" xfId="39464"/>
    <cellStyle name="20% - Accent3 3 2 5" xfId="6259"/>
    <cellStyle name="20% - Accent3 3 2 5 2" xfId="9851"/>
    <cellStyle name="20% - Accent3 3 2 5 2 2" xfId="19472"/>
    <cellStyle name="20% - Accent3 3 2 5 2 2 2" xfId="35693"/>
    <cellStyle name="20% - Accent3 3 2 5 2 3" xfId="29005"/>
    <cellStyle name="20% - Accent3 3 2 5 3" xfId="16078"/>
    <cellStyle name="20% - Accent3 3 2 5 3 2" xfId="32299"/>
    <cellStyle name="20% - Accent3 3 2 5 4" xfId="17715"/>
    <cellStyle name="20% - Accent3 3 2 5 4 2" xfId="33936"/>
    <cellStyle name="20% - Accent3 3 2 5 5" xfId="27564"/>
    <cellStyle name="20% - Accent3 3 2 6" xfId="9840"/>
    <cellStyle name="20% - Accent3 3 2 6 2" xfId="19461"/>
    <cellStyle name="20% - Accent3 3 2 6 2 2" xfId="35682"/>
    <cellStyle name="20% - Accent3 3 2 6 3" xfId="28994"/>
    <cellStyle name="20% - Accent3 3 2 7" xfId="14493"/>
    <cellStyle name="20% - Accent3 3 2 7 2" xfId="30715"/>
    <cellStyle name="20% - Accent3 3 2 8" xfId="17704"/>
    <cellStyle name="20% - Accent3 3 2 8 2" xfId="33925"/>
    <cellStyle name="20% - Accent3 3 2 9" xfId="27575"/>
    <cellStyle name="20% - Accent3 3 3" xfId="6258"/>
    <cellStyle name="20% - Accent3 3 3 2" xfId="6257"/>
    <cellStyle name="20% - Accent3 3 3 2 2" xfId="6256"/>
    <cellStyle name="20% - Accent3 3 3 2 2 2" xfId="9854"/>
    <cellStyle name="20% - Accent3 3 3 2 2 2 2" xfId="19475"/>
    <cellStyle name="20% - Accent3 3 3 2 2 2 2 2" xfId="35696"/>
    <cellStyle name="20% - Accent3 3 3 2 2 2 3" xfId="29008"/>
    <cellStyle name="20% - Accent3 3 3 2 2 3" xfId="17002"/>
    <cellStyle name="20% - Accent3 3 3 2 2 3 2" xfId="33223"/>
    <cellStyle name="20% - Accent3 3 3 2 2 4" xfId="17718"/>
    <cellStyle name="20% - Accent3 3 3 2 2 4 2" xfId="33939"/>
    <cellStyle name="20% - Accent3 3 3 2 2 5" xfId="27561"/>
    <cellStyle name="20% - Accent3 3 3 2 3" xfId="9853"/>
    <cellStyle name="20% - Accent3 3 3 2 3 2" xfId="19474"/>
    <cellStyle name="20% - Accent3 3 3 2 3 2 2" xfId="35695"/>
    <cellStyle name="20% - Accent3 3 3 2 3 3" xfId="29007"/>
    <cellStyle name="20% - Accent3 3 3 2 4" xfId="15417"/>
    <cellStyle name="20% - Accent3 3 3 2 4 2" xfId="31639"/>
    <cellStyle name="20% - Accent3 3 3 2 5" xfId="17717"/>
    <cellStyle name="20% - Accent3 3 3 2 5 2" xfId="33938"/>
    <cellStyle name="20% - Accent3 3 3 2 6" xfId="27562"/>
    <cellStyle name="20% - Accent3 3 3 3" xfId="6255"/>
    <cellStyle name="20% - Accent3 3 3 3 2" xfId="9855"/>
    <cellStyle name="20% - Accent3 3 3 3 2 2" xfId="19476"/>
    <cellStyle name="20% - Accent3 3 3 3 2 2 2" xfId="35697"/>
    <cellStyle name="20% - Accent3 3 3 3 2 3" xfId="29009"/>
    <cellStyle name="20% - Accent3 3 3 3 3" xfId="16210"/>
    <cellStyle name="20% - Accent3 3 3 3 3 2" xfId="32431"/>
    <cellStyle name="20% - Accent3 3 3 3 4" xfId="17719"/>
    <cellStyle name="20% - Accent3 3 3 3 4 2" xfId="33940"/>
    <cellStyle name="20% - Accent3 3 3 3 5" xfId="27560"/>
    <cellStyle name="20% - Accent3 3 3 4" xfId="9852"/>
    <cellStyle name="20% - Accent3 3 3 4 2" xfId="19473"/>
    <cellStyle name="20% - Accent3 3 3 4 2 2" xfId="35694"/>
    <cellStyle name="20% - Accent3 3 3 4 3" xfId="29006"/>
    <cellStyle name="20% - Accent3 3 3 5" xfId="14625"/>
    <cellStyle name="20% - Accent3 3 3 5 2" xfId="30847"/>
    <cellStyle name="20% - Accent3 3 3 6" xfId="17716"/>
    <cellStyle name="20% - Accent3 3 3 6 2" xfId="33937"/>
    <cellStyle name="20% - Accent3 3 3 7" xfId="27563"/>
    <cellStyle name="20% - Accent3 3 3 8" xfId="39111"/>
    <cellStyle name="20% - Accent3 3 4" xfId="6254"/>
    <cellStyle name="20% - Accent3 3 4 2" xfId="6253"/>
    <cellStyle name="20% - Accent3 3 4 2 2" xfId="6252"/>
    <cellStyle name="20% - Accent3 3 4 2 2 2" xfId="9858"/>
    <cellStyle name="20% - Accent3 3 4 2 2 2 2" xfId="19479"/>
    <cellStyle name="20% - Accent3 3 4 2 2 2 2 2" xfId="35700"/>
    <cellStyle name="20% - Accent3 3 4 2 2 2 3" xfId="29012"/>
    <cellStyle name="20% - Accent3 3 4 2 2 3" xfId="17266"/>
    <cellStyle name="20% - Accent3 3 4 2 2 3 2" xfId="33487"/>
    <cellStyle name="20% - Accent3 3 4 2 2 4" xfId="17722"/>
    <cellStyle name="20% - Accent3 3 4 2 2 4 2" xfId="33943"/>
    <cellStyle name="20% - Accent3 3 4 2 2 5" xfId="27557"/>
    <cellStyle name="20% - Accent3 3 4 2 3" xfId="9857"/>
    <cellStyle name="20% - Accent3 3 4 2 3 2" xfId="19478"/>
    <cellStyle name="20% - Accent3 3 4 2 3 2 2" xfId="35699"/>
    <cellStyle name="20% - Accent3 3 4 2 3 3" xfId="29011"/>
    <cellStyle name="20% - Accent3 3 4 2 4" xfId="15681"/>
    <cellStyle name="20% - Accent3 3 4 2 4 2" xfId="31903"/>
    <cellStyle name="20% - Accent3 3 4 2 5" xfId="17721"/>
    <cellStyle name="20% - Accent3 3 4 2 5 2" xfId="33942"/>
    <cellStyle name="20% - Accent3 3 4 2 6" xfId="27558"/>
    <cellStyle name="20% - Accent3 3 4 3" xfId="6251"/>
    <cellStyle name="20% - Accent3 3 4 3 2" xfId="9859"/>
    <cellStyle name="20% - Accent3 3 4 3 2 2" xfId="19480"/>
    <cellStyle name="20% - Accent3 3 4 3 2 2 2" xfId="35701"/>
    <cellStyle name="20% - Accent3 3 4 3 2 3" xfId="29013"/>
    <cellStyle name="20% - Accent3 3 4 3 3" xfId="16474"/>
    <cellStyle name="20% - Accent3 3 4 3 3 2" xfId="32695"/>
    <cellStyle name="20% - Accent3 3 4 3 4" xfId="17723"/>
    <cellStyle name="20% - Accent3 3 4 3 4 2" xfId="33944"/>
    <cellStyle name="20% - Accent3 3 4 3 5" xfId="27556"/>
    <cellStyle name="20% - Accent3 3 4 4" xfId="9856"/>
    <cellStyle name="20% - Accent3 3 4 4 2" xfId="19477"/>
    <cellStyle name="20% - Accent3 3 4 4 2 2" xfId="35698"/>
    <cellStyle name="20% - Accent3 3 4 4 3" xfId="29010"/>
    <cellStyle name="20% - Accent3 3 4 5" xfId="14889"/>
    <cellStyle name="20% - Accent3 3 4 5 2" xfId="31111"/>
    <cellStyle name="20% - Accent3 3 4 6" xfId="17720"/>
    <cellStyle name="20% - Accent3 3 4 6 2" xfId="33941"/>
    <cellStyle name="20% - Accent3 3 4 7" xfId="27559"/>
    <cellStyle name="20% - Accent3 3 4 8" xfId="39259"/>
    <cellStyle name="20% - Accent3 3 5" xfId="6250"/>
    <cellStyle name="20% - Accent3 3 5 2" xfId="6249"/>
    <cellStyle name="20% - Accent3 3 5 2 2" xfId="9861"/>
    <cellStyle name="20% - Accent3 3 5 2 2 2" xfId="19482"/>
    <cellStyle name="20% - Accent3 3 5 2 2 2 2" xfId="35703"/>
    <cellStyle name="20% - Accent3 3 5 2 2 3" xfId="29015"/>
    <cellStyle name="20% - Accent3 3 5 2 3" xfId="16738"/>
    <cellStyle name="20% - Accent3 3 5 2 3 2" xfId="32959"/>
    <cellStyle name="20% - Accent3 3 5 2 4" xfId="17725"/>
    <cellStyle name="20% - Accent3 3 5 2 4 2" xfId="33946"/>
    <cellStyle name="20% - Accent3 3 5 2 5" xfId="27554"/>
    <cellStyle name="20% - Accent3 3 5 3" xfId="9860"/>
    <cellStyle name="20% - Accent3 3 5 3 2" xfId="19481"/>
    <cellStyle name="20% - Accent3 3 5 3 2 2" xfId="35702"/>
    <cellStyle name="20% - Accent3 3 5 3 3" xfId="29014"/>
    <cellStyle name="20% - Accent3 3 5 4" xfId="15153"/>
    <cellStyle name="20% - Accent3 3 5 4 2" xfId="31375"/>
    <cellStyle name="20% - Accent3 3 5 5" xfId="17724"/>
    <cellStyle name="20% - Accent3 3 5 5 2" xfId="33945"/>
    <cellStyle name="20% - Accent3 3 5 6" xfId="27555"/>
    <cellStyle name="20% - Accent3 3 5 7" xfId="39408"/>
    <cellStyle name="20% - Accent3 3 6" xfId="6248"/>
    <cellStyle name="20% - Accent3 3 6 2" xfId="9862"/>
    <cellStyle name="20% - Accent3 3 6 2 2" xfId="19483"/>
    <cellStyle name="20% - Accent3 3 6 2 2 2" xfId="35704"/>
    <cellStyle name="20% - Accent3 3 6 2 3" xfId="29016"/>
    <cellStyle name="20% - Accent3 3 6 3" xfId="15946"/>
    <cellStyle name="20% - Accent3 3 6 3 2" xfId="32167"/>
    <cellStyle name="20% - Accent3 3 6 4" xfId="17726"/>
    <cellStyle name="20% - Accent3 3 6 4 2" xfId="33947"/>
    <cellStyle name="20% - Accent3 3 6 5" xfId="27553"/>
    <cellStyle name="20% - Accent3 3 7" xfId="9839"/>
    <cellStyle name="20% - Accent3 3 7 2" xfId="19460"/>
    <cellStyle name="20% - Accent3 3 7 2 2" xfId="35681"/>
    <cellStyle name="20% - Accent3 3 7 3" xfId="28993"/>
    <cellStyle name="20% - Accent3 3 8" xfId="14361"/>
    <cellStyle name="20% - Accent3 3 8 2" xfId="30583"/>
    <cellStyle name="20% - Accent3 3 9" xfId="17703"/>
    <cellStyle name="20% - Accent3 3 9 2" xfId="33924"/>
    <cellStyle name="20% - Accent3 4" xfId="6247"/>
    <cellStyle name="20% - Accent3 4 10" xfId="38990"/>
    <cellStyle name="20% - Accent3 4 2" xfId="6246"/>
    <cellStyle name="20% - Accent3 4 2 2" xfId="6245"/>
    <cellStyle name="20% - Accent3 4 2 2 2" xfId="6244"/>
    <cellStyle name="20% - Accent3 4 2 2 2 2" xfId="9866"/>
    <cellStyle name="20% - Accent3 4 2 2 2 2 2" xfId="19487"/>
    <cellStyle name="20% - Accent3 4 2 2 2 2 2 2" xfId="35708"/>
    <cellStyle name="20% - Accent3 4 2 2 2 2 3" xfId="29020"/>
    <cellStyle name="20% - Accent3 4 2 2 2 3" xfId="17068"/>
    <cellStyle name="20% - Accent3 4 2 2 2 3 2" xfId="33289"/>
    <cellStyle name="20% - Accent3 4 2 2 2 4" xfId="17730"/>
    <cellStyle name="20% - Accent3 4 2 2 2 4 2" xfId="33951"/>
    <cellStyle name="20% - Accent3 4 2 2 2 5" xfId="27549"/>
    <cellStyle name="20% - Accent3 4 2 2 3" xfId="9865"/>
    <cellStyle name="20% - Accent3 4 2 2 3 2" xfId="19486"/>
    <cellStyle name="20% - Accent3 4 2 2 3 2 2" xfId="35707"/>
    <cellStyle name="20% - Accent3 4 2 2 3 3" xfId="29019"/>
    <cellStyle name="20% - Accent3 4 2 2 4" xfId="15483"/>
    <cellStyle name="20% - Accent3 4 2 2 4 2" xfId="31705"/>
    <cellStyle name="20% - Accent3 4 2 2 5" xfId="17729"/>
    <cellStyle name="20% - Accent3 4 2 2 5 2" xfId="33950"/>
    <cellStyle name="20% - Accent3 4 2 2 6" xfId="27550"/>
    <cellStyle name="20% - Accent3 4 2 2 7" xfId="39180"/>
    <cellStyle name="20% - Accent3 4 2 3" xfId="6243"/>
    <cellStyle name="20% - Accent3 4 2 3 2" xfId="9867"/>
    <cellStyle name="20% - Accent3 4 2 3 2 2" xfId="19488"/>
    <cellStyle name="20% - Accent3 4 2 3 2 2 2" xfId="35709"/>
    <cellStyle name="20% - Accent3 4 2 3 2 3" xfId="29021"/>
    <cellStyle name="20% - Accent3 4 2 3 3" xfId="16276"/>
    <cellStyle name="20% - Accent3 4 2 3 3 2" xfId="32497"/>
    <cellStyle name="20% - Accent3 4 2 3 4" xfId="17731"/>
    <cellStyle name="20% - Accent3 4 2 3 4 2" xfId="33952"/>
    <cellStyle name="20% - Accent3 4 2 3 5" xfId="27548"/>
    <cellStyle name="20% - Accent3 4 2 3 6" xfId="39328"/>
    <cellStyle name="20% - Accent3 4 2 4" xfId="9864"/>
    <cellStyle name="20% - Accent3 4 2 4 2" xfId="19485"/>
    <cellStyle name="20% - Accent3 4 2 4 2 2" xfId="35706"/>
    <cellStyle name="20% - Accent3 4 2 4 3" xfId="29018"/>
    <cellStyle name="20% - Accent3 4 2 4 4" xfId="39477"/>
    <cellStyle name="20% - Accent3 4 2 5" xfId="14691"/>
    <cellStyle name="20% - Accent3 4 2 5 2" xfId="30913"/>
    <cellStyle name="20% - Accent3 4 2 6" xfId="17728"/>
    <cellStyle name="20% - Accent3 4 2 6 2" xfId="33949"/>
    <cellStyle name="20% - Accent3 4 2 7" xfId="27551"/>
    <cellStyle name="20% - Accent3 4 2 8" xfId="39032"/>
    <cellStyle name="20% - Accent3 4 3" xfId="6242"/>
    <cellStyle name="20% - Accent3 4 3 2" xfId="6241"/>
    <cellStyle name="20% - Accent3 4 3 2 2" xfId="6240"/>
    <cellStyle name="20% - Accent3 4 3 2 2 2" xfId="9870"/>
    <cellStyle name="20% - Accent3 4 3 2 2 2 2" xfId="19491"/>
    <cellStyle name="20% - Accent3 4 3 2 2 2 2 2" xfId="35712"/>
    <cellStyle name="20% - Accent3 4 3 2 2 2 3" xfId="29024"/>
    <cellStyle name="20% - Accent3 4 3 2 2 3" xfId="17332"/>
    <cellStyle name="20% - Accent3 4 3 2 2 3 2" xfId="33553"/>
    <cellStyle name="20% - Accent3 4 3 2 2 4" xfId="17734"/>
    <cellStyle name="20% - Accent3 4 3 2 2 4 2" xfId="33955"/>
    <cellStyle name="20% - Accent3 4 3 2 2 5" xfId="27545"/>
    <cellStyle name="20% - Accent3 4 3 2 3" xfId="9869"/>
    <cellStyle name="20% - Accent3 4 3 2 3 2" xfId="19490"/>
    <cellStyle name="20% - Accent3 4 3 2 3 2 2" xfId="35711"/>
    <cellStyle name="20% - Accent3 4 3 2 3 3" xfId="29023"/>
    <cellStyle name="20% - Accent3 4 3 2 4" xfId="15747"/>
    <cellStyle name="20% - Accent3 4 3 2 4 2" xfId="31969"/>
    <cellStyle name="20% - Accent3 4 3 2 5" xfId="17733"/>
    <cellStyle name="20% - Accent3 4 3 2 5 2" xfId="33954"/>
    <cellStyle name="20% - Accent3 4 3 2 6" xfId="27546"/>
    <cellStyle name="20% - Accent3 4 3 3" xfId="6239"/>
    <cellStyle name="20% - Accent3 4 3 3 2" xfId="9871"/>
    <cellStyle name="20% - Accent3 4 3 3 2 2" xfId="19492"/>
    <cellStyle name="20% - Accent3 4 3 3 2 2 2" xfId="35713"/>
    <cellStyle name="20% - Accent3 4 3 3 2 3" xfId="29025"/>
    <cellStyle name="20% - Accent3 4 3 3 3" xfId="16540"/>
    <cellStyle name="20% - Accent3 4 3 3 3 2" xfId="32761"/>
    <cellStyle name="20% - Accent3 4 3 3 4" xfId="17735"/>
    <cellStyle name="20% - Accent3 4 3 3 4 2" xfId="33956"/>
    <cellStyle name="20% - Accent3 4 3 3 5" xfId="27544"/>
    <cellStyle name="20% - Accent3 4 3 4" xfId="9868"/>
    <cellStyle name="20% - Accent3 4 3 4 2" xfId="19489"/>
    <cellStyle name="20% - Accent3 4 3 4 2 2" xfId="35710"/>
    <cellStyle name="20% - Accent3 4 3 4 3" xfId="29022"/>
    <cellStyle name="20% - Accent3 4 3 5" xfId="14955"/>
    <cellStyle name="20% - Accent3 4 3 5 2" xfId="31177"/>
    <cellStyle name="20% - Accent3 4 3 6" xfId="17732"/>
    <cellStyle name="20% - Accent3 4 3 6 2" xfId="33953"/>
    <cellStyle name="20% - Accent3 4 3 7" xfId="27547"/>
    <cellStyle name="20% - Accent3 4 3 8" xfId="39124"/>
    <cellStyle name="20% - Accent3 4 4" xfId="6238"/>
    <cellStyle name="20% - Accent3 4 4 2" xfId="6237"/>
    <cellStyle name="20% - Accent3 4 4 2 2" xfId="9873"/>
    <cellStyle name="20% - Accent3 4 4 2 2 2" xfId="19494"/>
    <cellStyle name="20% - Accent3 4 4 2 2 2 2" xfId="35715"/>
    <cellStyle name="20% - Accent3 4 4 2 2 3" xfId="29027"/>
    <cellStyle name="20% - Accent3 4 4 2 3" xfId="16804"/>
    <cellStyle name="20% - Accent3 4 4 2 3 2" xfId="33025"/>
    <cellStyle name="20% - Accent3 4 4 2 4" xfId="17737"/>
    <cellStyle name="20% - Accent3 4 4 2 4 2" xfId="33958"/>
    <cellStyle name="20% - Accent3 4 4 2 5" xfId="27542"/>
    <cellStyle name="20% - Accent3 4 4 3" xfId="9872"/>
    <cellStyle name="20% - Accent3 4 4 3 2" xfId="19493"/>
    <cellStyle name="20% - Accent3 4 4 3 2 2" xfId="35714"/>
    <cellStyle name="20% - Accent3 4 4 3 3" xfId="29026"/>
    <cellStyle name="20% - Accent3 4 4 4" xfId="15219"/>
    <cellStyle name="20% - Accent3 4 4 4 2" xfId="31441"/>
    <cellStyle name="20% - Accent3 4 4 5" xfId="17736"/>
    <cellStyle name="20% - Accent3 4 4 5 2" xfId="33957"/>
    <cellStyle name="20% - Accent3 4 4 6" xfId="27543"/>
    <cellStyle name="20% - Accent3 4 4 7" xfId="39272"/>
    <cellStyle name="20% - Accent3 4 5" xfId="6236"/>
    <cellStyle name="20% - Accent3 4 5 2" xfId="9874"/>
    <cellStyle name="20% - Accent3 4 5 2 2" xfId="19495"/>
    <cellStyle name="20% - Accent3 4 5 2 2 2" xfId="35716"/>
    <cellStyle name="20% - Accent3 4 5 2 3" xfId="29028"/>
    <cellStyle name="20% - Accent3 4 5 3" xfId="16012"/>
    <cellStyle name="20% - Accent3 4 5 3 2" xfId="32233"/>
    <cellStyle name="20% - Accent3 4 5 4" xfId="17738"/>
    <cellStyle name="20% - Accent3 4 5 4 2" xfId="33959"/>
    <cellStyle name="20% - Accent3 4 5 5" xfId="27541"/>
    <cellStyle name="20% - Accent3 4 5 6" xfId="39421"/>
    <cellStyle name="20% - Accent3 4 6" xfId="9863"/>
    <cellStyle name="20% - Accent3 4 6 2" xfId="19484"/>
    <cellStyle name="20% - Accent3 4 6 2 2" xfId="35705"/>
    <cellStyle name="20% - Accent3 4 6 3" xfId="29017"/>
    <cellStyle name="20% - Accent3 4 7" xfId="14427"/>
    <cellStyle name="20% - Accent3 4 7 2" xfId="30649"/>
    <cellStyle name="20% - Accent3 4 8" xfId="17727"/>
    <cellStyle name="20% - Accent3 4 8 2" xfId="33948"/>
    <cellStyle name="20% - Accent3 4 9" xfId="27552"/>
    <cellStyle name="20% - Accent3 5" xfId="6235"/>
    <cellStyle name="20% - Accent3 5 2" xfId="6234"/>
    <cellStyle name="20% - Accent3 5 2 2" xfId="6233"/>
    <cellStyle name="20% - Accent3 5 2 2 2" xfId="9877"/>
    <cellStyle name="20% - Accent3 5 2 2 2 2" xfId="19498"/>
    <cellStyle name="20% - Accent3 5 2 2 2 2 2" xfId="35719"/>
    <cellStyle name="20% - Accent3 5 2 2 2 3" xfId="29031"/>
    <cellStyle name="20% - Accent3 5 2 2 3" xfId="16936"/>
    <cellStyle name="20% - Accent3 5 2 2 3 2" xfId="33157"/>
    <cellStyle name="20% - Accent3 5 2 2 4" xfId="17741"/>
    <cellStyle name="20% - Accent3 5 2 2 4 2" xfId="33962"/>
    <cellStyle name="20% - Accent3 5 2 2 5" xfId="27538"/>
    <cellStyle name="20% - Accent3 5 2 3" xfId="9876"/>
    <cellStyle name="20% - Accent3 5 2 3 2" xfId="19497"/>
    <cellStyle name="20% - Accent3 5 2 3 2 2" xfId="35718"/>
    <cellStyle name="20% - Accent3 5 2 3 3" xfId="29030"/>
    <cellStyle name="20% - Accent3 5 2 4" xfId="15351"/>
    <cellStyle name="20% - Accent3 5 2 4 2" xfId="31573"/>
    <cellStyle name="20% - Accent3 5 2 5" xfId="17740"/>
    <cellStyle name="20% - Accent3 5 2 5 2" xfId="33961"/>
    <cellStyle name="20% - Accent3 5 2 6" xfId="27539"/>
    <cellStyle name="20% - Accent3 5 2 7" xfId="39134"/>
    <cellStyle name="20% - Accent3 5 3" xfId="6232"/>
    <cellStyle name="20% - Accent3 5 3 2" xfId="9878"/>
    <cellStyle name="20% - Accent3 5 3 2 2" xfId="19499"/>
    <cellStyle name="20% - Accent3 5 3 2 2 2" xfId="35720"/>
    <cellStyle name="20% - Accent3 5 3 2 3" xfId="29032"/>
    <cellStyle name="20% - Accent3 5 3 3" xfId="16144"/>
    <cellStyle name="20% - Accent3 5 3 3 2" xfId="32365"/>
    <cellStyle name="20% - Accent3 5 3 4" xfId="17742"/>
    <cellStyle name="20% - Accent3 5 3 4 2" xfId="33963"/>
    <cellStyle name="20% - Accent3 5 3 5" xfId="27537"/>
    <cellStyle name="20% - Accent3 5 3 6" xfId="39282"/>
    <cellStyle name="20% - Accent3 5 4" xfId="9875"/>
    <cellStyle name="20% - Accent3 5 4 2" xfId="19496"/>
    <cellStyle name="20% - Accent3 5 4 2 2" xfId="35717"/>
    <cellStyle name="20% - Accent3 5 4 3" xfId="29029"/>
    <cellStyle name="20% - Accent3 5 4 4" xfId="39431"/>
    <cellStyle name="20% - Accent3 5 5" xfId="14559"/>
    <cellStyle name="20% - Accent3 5 5 2" xfId="30781"/>
    <cellStyle name="20% - Accent3 5 6" xfId="17739"/>
    <cellStyle name="20% - Accent3 5 6 2" xfId="33960"/>
    <cellStyle name="20% - Accent3 5 7" xfId="27540"/>
    <cellStyle name="20% - Accent3 5 8" xfId="39000"/>
    <cellStyle name="20% - Accent3 6" xfId="6231"/>
    <cellStyle name="20% - Accent3 6 2" xfId="6230"/>
    <cellStyle name="20% - Accent3 6 2 2" xfId="6229"/>
    <cellStyle name="20% - Accent3 6 2 2 2" xfId="9881"/>
    <cellStyle name="20% - Accent3 6 2 2 2 2" xfId="19502"/>
    <cellStyle name="20% - Accent3 6 2 2 2 2 2" xfId="35723"/>
    <cellStyle name="20% - Accent3 6 2 2 2 3" xfId="29035"/>
    <cellStyle name="20% - Accent3 6 2 2 3" xfId="17200"/>
    <cellStyle name="20% - Accent3 6 2 2 3 2" xfId="33421"/>
    <cellStyle name="20% - Accent3 6 2 2 4" xfId="17745"/>
    <cellStyle name="20% - Accent3 6 2 2 4 2" xfId="33966"/>
    <cellStyle name="20% - Accent3 6 2 2 5" xfId="27534"/>
    <cellStyle name="20% - Accent3 6 2 3" xfId="9880"/>
    <cellStyle name="20% - Accent3 6 2 3 2" xfId="19501"/>
    <cellStyle name="20% - Accent3 6 2 3 2 2" xfId="35722"/>
    <cellStyle name="20% - Accent3 6 2 3 3" xfId="29034"/>
    <cellStyle name="20% - Accent3 6 2 4" xfId="15615"/>
    <cellStyle name="20% - Accent3 6 2 4 2" xfId="31837"/>
    <cellStyle name="20% - Accent3 6 2 5" xfId="17744"/>
    <cellStyle name="20% - Accent3 6 2 5 2" xfId="33965"/>
    <cellStyle name="20% - Accent3 6 2 6" xfId="27535"/>
    <cellStyle name="20% - Accent3 6 3" xfId="6228"/>
    <cellStyle name="20% - Accent3 6 3 2" xfId="9882"/>
    <cellStyle name="20% - Accent3 6 3 2 2" xfId="19503"/>
    <cellStyle name="20% - Accent3 6 3 2 2 2" xfId="35724"/>
    <cellStyle name="20% - Accent3 6 3 2 3" xfId="29036"/>
    <cellStyle name="20% - Accent3 6 3 3" xfId="16408"/>
    <cellStyle name="20% - Accent3 6 3 3 2" xfId="32629"/>
    <cellStyle name="20% - Accent3 6 3 4" xfId="17746"/>
    <cellStyle name="20% - Accent3 6 3 4 2" xfId="33967"/>
    <cellStyle name="20% - Accent3 6 3 5" xfId="27533"/>
    <cellStyle name="20% - Accent3 6 4" xfId="9879"/>
    <cellStyle name="20% - Accent3 6 4 2" xfId="19500"/>
    <cellStyle name="20% - Accent3 6 4 2 2" xfId="35721"/>
    <cellStyle name="20% - Accent3 6 4 3" xfId="29033"/>
    <cellStyle name="20% - Accent3 6 5" xfId="14823"/>
    <cellStyle name="20% - Accent3 6 5 2" xfId="31045"/>
    <cellStyle name="20% - Accent3 6 6" xfId="17743"/>
    <cellStyle name="20% - Accent3 6 6 2" xfId="33964"/>
    <cellStyle name="20% - Accent3 6 7" xfId="27536"/>
    <cellStyle name="20% - Accent3 6 8" xfId="39080"/>
    <cellStyle name="20% - Accent3 7" xfId="6227"/>
    <cellStyle name="20% - Accent3 7 2" xfId="6226"/>
    <cellStyle name="20% - Accent3 7 2 2" xfId="9884"/>
    <cellStyle name="20% - Accent3 7 2 2 2" xfId="19505"/>
    <cellStyle name="20% - Accent3 7 2 2 2 2" xfId="35726"/>
    <cellStyle name="20% - Accent3 7 2 2 3" xfId="29038"/>
    <cellStyle name="20% - Accent3 7 2 3" xfId="16672"/>
    <cellStyle name="20% - Accent3 7 2 3 2" xfId="32893"/>
    <cellStyle name="20% - Accent3 7 2 4" xfId="17748"/>
    <cellStyle name="20% - Accent3 7 2 4 2" xfId="33969"/>
    <cellStyle name="20% - Accent3 7 2 5" xfId="27531"/>
    <cellStyle name="20% - Accent3 7 3" xfId="9883"/>
    <cellStyle name="20% - Accent3 7 3 2" xfId="19504"/>
    <cellStyle name="20% - Accent3 7 3 2 2" xfId="35725"/>
    <cellStyle name="20% - Accent3 7 3 3" xfId="29037"/>
    <cellStyle name="20% - Accent3 7 4" xfId="15087"/>
    <cellStyle name="20% - Accent3 7 4 2" xfId="31309"/>
    <cellStyle name="20% - Accent3 7 5" xfId="17747"/>
    <cellStyle name="20% - Accent3 7 5 2" xfId="33968"/>
    <cellStyle name="20% - Accent3 7 6" xfId="27532"/>
    <cellStyle name="20% - Accent3 7 7" xfId="39228"/>
    <cellStyle name="20% - Accent3 8" xfId="6225"/>
    <cellStyle name="20% - Accent3 8 2" xfId="9885"/>
    <cellStyle name="20% - Accent3 8 2 2" xfId="19506"/>
    <cellStyle name="20% - Accent3 8 2 2 2" xfId="35727"/>
    <cellStyle name="20% - Accent3 8 2 3" xfId="29039"/>
    <cellStyle name="20% - Accent3 8 3" xfId="15881"/>
    <cellStyle name="20% - Accent3 8 3 2" xfId="32102"/>
    <cellStyle name="20% - Accent3 8 4" xfId="17749"/>
    <cellStyle name="20% - Accent3 8 4 2" xfId="33970"/>
    <cellStyle name="20% - Accent3 8 5" xfId="27530"/>
    <cellStyle name="20% - Accent3 8 6" xfId="39377"/>
    <cellStyle name="20% - Accent3 9" xfId="9790"/>
    <cellStyle name="20% - Accent3 9 2" xfId="19411"/>
    <cellStyle name="20% - Accent3 9 2 2" xfId="35632"/>
    <cellStyle name="20% - Accent3 9 3" xfId="28944"/>
    <cellStyle name="20% - Accent4" xfId="39" builtinId="42" customBuiltin="1"/>
    <cellStyle name="20% - Accent4 10" xfId="14227"/>
    <cellStyle name="20% - Accent4 10 2" xfId="30514"/>
    <cellStyle name="20% - Accent4 11" xfId="17750"/>
    <cellStyle name="20% - Accent4 11 2" xfId="33971"/>
    <cellStyle name="20% - Accent4 12" xfId="26989"/>
    <cellStyle name="20% - Accent4 13" xfId="38908"/>
    <cellStyle name="20% - Accent4 14" xfId="4842"/>
    <cellStyle name="20% - Accent4 2" xfId="4869"/>
    <cellStyle name="20% - Accent4 2 10" xfId="17751"/>
    <cellStyle name="20% - Accent4 2 10 2" xfId="33972"/>
    <cellStyle name="20% - Accent4 2 11" xfId="27005"/>
    <cellStyle name="20% - Accent4 2 12" xfId="38771"/>
    <cellStyle name="20% - Accent4 2 2" xfId="6224"/>
    <cellStyle name="20% - Accent4 2 2 10" xfId="27529"/>
    <cellStyle name="20% - Accent4 2 2 11" xfId="38966"/>
    <cellStyle name="20% - Accent4 2 2 2" xfId="6223"/>
    <cellStyle name="20% - Accent4 2 2 2 10" xfId="39156"/>
    <cellStyle name="20% - Accent4 2 2 2 2" xfId="6222"/>
    <cellStyle name="20% - Accent4 2 2 2 2 2" xfId="6221"/>
    <cellStyle name="20% - Accent4 2 2 2 2 2 2" xfId="6220"/>
    <cellStyle name="20% - Accent4 2 2 2 2 2 2 2" xfId="9892"/>
    <cellStyle name="20% - Accent4 2 2 2 2 2 2 2 2" xfId="19513"/>
    <cellStyle name="20% - Accent4 2 2 2 2 2 2 2 2 2" xfId="35734"/>
    <cellStyle name="20% - Accent4 2 2 2 2 2 2 2 3" xfId="29046"/>
    <cellStyle name="20% - Accent4 2 2 2 2 2 2 3" xfId="17168"/>
    <cellStyle name="20% - Accent4 2 2 2 2 2 2 3 2" xfId="33389"/>
    <cellStyle name="20% - Accent4 2 2 2 2 2 2 4" xfId="17756"/>
    <cellStyle name="20% - Accent4 2 2 2 2 2 2 4 2" xfId="33977"/>
    <cellStyle name="20% - Accent4 2 2 2 2 2 2 5" xfId="27525"/>
    <cellStyle name="20% - Accent4 2 2 2 2 2 3" xfId="9891"/>
    <cellStyle name="20% - Accent4 2 2 2 2 2 3 2" xfId="19512"/>
    <cellStyle name="20% - Accent4 2 2 2 2 2 3 2 2" xfId="35733"/>
    <cellStyle name="20% - Accent4 2 2 2 2 2 3 3" xfId="29045"/>
    <cellStyle name="20% - Accent4 2 2 2 2 2 4" xfId="15583"/>
    <cellStyle name="20% - Accent4 2 2 2 2 2 4 2" xfId="31805"/>
    <cellStyle name="20% - Accent4 2 2 2 2 2 5" xfId="17755"/>
    <cellStyle name="20% - Accent4 2 2 2 2 2 5 2" xfId="33976"/>
    <cellStyle name="20% - Accent4 2 2 2 2 2 6" xfId="27526"/>
    <cellStyle name="20% - Accent4 2 2 2 2 3" xfId="6219"/>
    <cellStyle name="20% - Accent4 2 2 2 2 3 2" xfId="9893"/>
    <cellStyle name="20% - Accent4 2 2 2 2 3 2 2" xfId="19514"/>
    <cellStyle name="20% - Accent4 2 2 2 2 3 2 2 2" xfId="35735"/>
    <cellStyle name="20% - Accent4 2 2 2 2 3 2 3" xfId="29047"/>
    <cellStyle name="20% - Accent4 2 2 2 2 3 3" xfId="16376"/>
    <cellStyle name="20% - Accent4 2 2 2 2 3 3 2" xfId="32597"/>
    <cellStyle name="20% - Accent4 2 2 2 2 3 4" xfId="17757"/>
    <cellStyle name="20% - Accent4 2 2 2 2 3 4 2" xfId="33978"/>
    <cellStyle name="20% - Accent4 2 2 2 2 3 5" xfId="27524"/>
    <cellStyle name="20% - Accent4 2 2 2 2 4" xfId="9890"/>
    <cellStyle name="20% - Accent4 2 2 2 2 4 2" xfId="19511"/>
    <cellStyle name="20% - Accent4 2 2 2 2 4 2 2" xfId="35732"/>
    <cellStyle name="20% - Accent4 2 2 2 2 4 3" xfId="29044"/>
    <cellStyle name="20% - Accent4 2 2 2 2 5" xfId="14791"/>
    <cellStyle name="20% - Accent4 2 2 2 2 5 2" xfId="31013"/>
    <cellStyle name="20% - Accent4 2 2 2 2 6" xfId="17754"/>
    <cellStyle name="20% - Accent4 2 2 2 2 6 2" xfId="33975"/>
    <cellStyle name="20% - Accent4 2 2 2 2 7" xfId="27527"/>
    <cellStyle name="20% - Accent4 2 2 2 3" xfId="6218"/>
    <cellStyle name="20% - Accent4 2 2 2 3 2" xfId="6217"/>
    <cellStyle name="20% - Accent4 2 2 2 3 2 2" xfId="6216"/>
    <cellStyle name="20% - Accent4 2 2 2 3 2 2 2" xfId="9896"/>
    <cellStyle name="20% - Accent4 2 2 2 3 2 2 2 2" xfId="19517"/>
    <cellStyle name="20% - Accent4 2 2 2 3 2 2 2 2 2" xfId="35738"/>
    <cellStyle name="20% - Accent4 2 2 2 3 2 2 2 3" xfId="29050"/>
    <cellStyle name="20% - Accent4 2 2 2 3 2 2 3" xfId="17432"/>
    <cellStyle name="20% - Accent4 2 2 2 3 2 2 3 2" xfId="33653"/>
    <cellStyle name="20% - Accent4 2 2 2 3 2 2 4" xfId="17760"/>
    <cellStyle name="20% - Accent4 2 2 2 3 2 2 4 2" xfId="33981"/>
    <cellStyle name="20% - Accent4 2 2 2 3 2 2 5" xfId="27521"/>
    <cellStyle name="20% - Accent4 2 2 2 3 2 3" xfId="9895"/>
    <cellStyle name="20% - Accent4 2 2 2 3 2 3 2" xfId="19516"/>
    <cellStyle name="20% - Accent4 2 2 2 3 2 3 2 2" xfId="35737"/>
    <cellStyle name="20% - Accent4 2 2 2 3 2 3 3" xfId="29049"/>
    <cellStyle name="20% - Accent4 2 2 2 3 2 4" xfId="15847"/>
    <cellStyle name="20% - Accent4 2 2 2 3 2 4 2" xfId="32069"/>
    <cellStyle name="20% - Accent4 2 2 2 3 2 5" xfId="17759"/>
    <cellStyle name="20% - Accent4 2 2 2 3 2 5 2" xfId="33980"/>
    <cellStyle name="20% - Accent4 2 2 2 3 2 6" xfId="27522"/>
    <cellStyle name="20% - Accent4 2 2 2 3 3" xfId="6215"/>
    <cellStyle name="20% - Accent4 2 2 2 3 3 2" xfId="9897"/>
    <cellStyle name="20% - Accent4 2 2 2 3 3 2 2" xfId="19518"/>
    <cellStyle name="20% - Accent4 2 2 2 3 3 2 2 2" xfId="35739"/>
    <cellStyle name="20% - Accent4 2 2 2 3 3 2 3" xfId="29051"/>
    <cellStyle name="20% - Accent4 2 2 2 3 3 3" xfId="16640"/>
    <cellStyle name="20% - Accent4 2 2 2 3 3 3 2" xfId="32861"/>
    <cellStyle name="20% - Accent4 2 2 2 3 3 4" xfId="17761"/>
    <cellStyle name="20% - Accent4 2 2 2 3 3 4 2" xfId="33982"/>
    <cellStyle name="20% - Accent4 2 2 2 3 3 5" xfId="27520"/>
    <cellStyle name="20% - Accent4 2 2 2 3 4" xfId="9894"/>
    <cellStyle name="20% - Accent4 2 2 2 3 4 2" xfId="19515"/>
    <cellStyle name="20% - Accent4 2 2 2 3 4 2 2" xfId="35736"/>
    <cellStyle name="20% - Accent4 2 2 2 3 4 3" xfId="29048"/>
    <cellStyle name="20% - Accent4 2 2 2 3 5" xfId="15055"/>
    <cellStyle name="20% - Accent4 2 2 2 3 5 2" xfId="31277"/>
    <cellStyle name="20% - Accent4 2 2 2 3 6" xfId="17758"/>
    <cellStyle name="20% - Accent4 2 2 2 3 6 2" xfId="33979"/>
    <cellStyle name="20% - Accent4 2 2 2 3 7" xfId="27523"/>
    <cellStyle name="20% - Accent4 2 2 2 4" xfId="6214"/>
    <cellStyle name="20% - Accent4 2 2 2 4 2" xfId="6213"/>
    <cellStyle name="20% - Accent4 2 2 2 4 2 2" xfId="9899"/>
    <cellStyle name="20% - Accent4 2 2 2 4 2 2 2" xfId="19520"/>
    <cellStyle name="20% - Accent4 2 2 2 4 2 2 2 2" xfId="35741"/>
    <cellStyle name="20% - Accent4 2 2 2 4 2 2 3" xfId="29053"/>
    <cellStyle name="20% - Accent4 2 2 2 4 2 3" xfId="16904"/>
    <cellStyle name="20% - Accent4 2 2 2 4 2 3 2" xfId="33125"/>
    <cellStyle name="20% - Accent4 2 2 2 4 2 4" xfId="17763"/>
    <cellStyle name="20% - Accent4 2 2 2 4 2 4 2" xfId="33984"/>
    <cellStyle name="20% - Accent4 2 2 2 4 2 5" xfId="27518"/>
    <cellStyle name="20% - Accent4 2 2 2 4 3" xfId="9898"/>
    <cellStyle name="20% - Accent4 2 2 2 4 3 2" xfId="19519"/>
    <cellStyle name="20% - Accent4 2 2 2 4 3 2 2" xfId="35740"/>
    <cellStyle name="20% - Accent4 2 2 2 4 3 3" xfId="29052"/>
    <cellStyle name="20% - Accent4 2 2 2 4 4" xfId="15319"/>
    <cellStyle name="20% - Accent4 2 2 2 4 4 2" xfId="31541"/>
    <cellStyle name="20% - Accent4 2 2 2 4 5" xfId="17762"/>
    <cellStyle name="20% - Accent4 2 2 2 4 5 2" xfId="33983"/>
    <cellStyle name="20% - Accent4 2 2 2 4 6" xfId="27519"/>
    <cellStyle name="20% - Accent4 2 2 2 5" xfId="6212"/>
    <cellStyle name="20% - Accent4 2 2 2 5 2" xfId="9900"/>
    <cellStyle name="20% - Accent4 2 2 2 5 2 2" xfId="19521"/>
    <cellStyle name="20% - Accent4 2 2 2 5 2 2 2" xfId="35742"/>
    <cellStyle name="20% - Accent4 2 2 2 5 2 3" xfId="29054"/>
    <cellStyle name="20% - Accent4 2 2 2 5 3" xfId="16112"/>
    <cellStyle name="20% - Accent4 2 2 2 5 3 2" xfId="32333"/>
    <cellStyle name="20% - Accent4 2 2 2 5 4" xfId="17764"/>
    <cellStyle name="20% - Accent4 2 2 2 5 4 2" xfId="33985"/>
    <cellStyle name="20% - Accent4 2 2 2 5 5" xfId="27517"/>
    <cellStyle name="20% - Accent4 2 2 2 6" xfId="9889"/>
    <cellStyle name="20% - Accent4 2 2 2 6 2" xfId="19510"/>
    <cellStyle name="20% - Accent4 2 2 2 6 2 2" xfId="35731"/>
    <cellStyle name="20% - Accent4 2 2 2 6 3" xfId="29043"/>
    <cellStyle name="20% - Accent4 2 2 2 7" xfId="14527"/>
    <cellStyle name="20% - Accent4 2 2 2 7 2" xfId="30749"/>
    <cellStyle name="20% - Accent4 2 2 2 8" xfId="17753"/>
    <cellStyle name="20% - Accent4 2 2 2 8 2" xfId="33974"/>
    <cellStyle name="20% - Accent4 2 2 2 9" xfId="27528"/>
    <cellStyle name="20% - Accent4 2 2 3" xfId="6211"/>
    <cellStyle name="20% - Accent4 2 2 3 2" xfId="6210"/>
    <cellStyle name="20% - Accent4 2 2 3 2 2" xfId="6209"/>
    <cellStyle name="20% - Accent4 2 2 3 2 2 2" xfId="9903"/>
    <cellStyle name="20% - Accent4 2 2 3 2 2 2 2" xfId="19524"/>
    <cellStyle name="20% - Accent4 2 2 3 2 2 2 2 2" xfId="35745"/>
    <cellStyle name="20% - Accent4 2 2 3 2 2 2 3" xfId="29057"/>
    <cellStyle name="20% - Accent4 2 2 3 2 2 3" xfId="17036"/>
    <cellStyle name="20% - Accent4 2 2 3 2 2 3 2" xfId="33257"/>
    <cellStyle name="20% - Accent4 2 2 3 2 2 4" xfId="17767"/>
    <cellStyle name="20% - Accent4 2 2 3 2 2 4 2" xfId="33988"/>
    <cellStyle name="20% - Accent4 2 2 3 2 2 5" xfId="27514"/>
    <cellStyle name="20% - Accent4 2 2 3 2 3" xfId="9902"/>
    <cellStyle name="20% - Accent4 2 2 3 2 3 2" xfId="19523"/>
    <cellStyle name="20% - Accent4 2 2 3 2 3 2 2" xfId="35744"/>
    <cellStyle name="20% - Accent4 2 2 3 2 3 3" xfId="29056"/>
    <cellStyle name="20% - Accent4 2 2 3 2 4" xfId="15451"/>
    <cellStyle name="20% - Accent4 2 2 3 2 4 2" xfId="31673"/>
    <cellStyle name="20% - Accent4 2 2 3 2 5" xfId="17766"/>
    <cellStyle name="20% - Accent4 2 2 3 2 5 2" xfId="33987"/>
    <cellStyle name="20% - Accent4 2 2 3 2 6" xfId="27515"/>
    <cellStyle name="20% - Accent4 2 2 3 3" xfId="6208"/>
    <cellStyle name="20% - Accent4 2 2 3 3 2" xfId="9904"/>
    <cellStyle name="20% - Accent4 2 2 3 3 2 2" xfId="19525"/>
    <cellStyle name="20% - Accent4 2 2 3 3 2 2 2" xfId="35746"/>
    <cellStyle name="20% - Accent4 2 2 3 3 2 3" xfId="29058"/>
    <cellStyle name="20% - Accent4 2 2 3 3 3" xfId="16244"/>
    <cellStyle name="20% - Accent4 2 2 3 3 3 2" xfId="32465"/>
    <cellStyle name="20% - Accent4 2 2 3 3 4" xfId="17768"/>
    <cellStyle name="20% - Accent4 2 2 3 3 4 2" xfId="33989"/>
    <cellStyle name="20% - Accent4 2 2 3 3 5" xfId="27513"/>
    <cellStyle name="20% - Accent4 2 2 3 4" xfId="9901"/>
    <cellStyle name="20% - Accent4 2 2 3 4 2" xfId="19522"/>
    <cellStyle name="20% - Accent4 2 2 3 4 2 2" xfId="35743"/>
    <cellStyle name="20% - Accent4 2 2 3 4 3" xfId="29055"/>
    <cellStyle name="20% - Accent4 2 2 3 5" xfId="14659"/>
    <cellStyle name="20% - Accent4 2 2 3 5 2" xfId="30881"/>
    <cellStyle name="20% - Accent4 2 2 3 6" xfId="17765"/>
    <cellStyle name="20% - Accent4 2 2 3 6 2" xfId="33986"/>
    <cellStyle name="20% - Accent4 2 2 3 7" xfId="27516"/>
    <cellStyle name="20% - Accent4 2 2 3 8" xfId="39304"/>
    <cellStyle name="20% - Accent4 2 2 4" xfId="6207"/>
    <cellStyle name="20% - Accent4 2 2 4 2" xfId="6206"/>
    <cellStyle name="20% - Accent4 2 2 4 2 2" xfId="6205"/>
    <cellStyle name="20% - Accent4 2 2 4 2 2 2" xfId="9907"/>
    <cellStyle name="20% - Accent4 2 2 4 2 2 2 2" xfId="19528"/>
    <cellStyle name="20% - Accent4 2 2 4 2 2 2 2 2" xfId="35749"/>
    <cellStyle name="20% - Accent4 2 2 4 2 2 2 3" xfId="29061"/>
    <cellStyle name="20% - Accent4 2 2 4 2 2 3" xfId="17300"/>
    <cellStyle name="20% - Accent4 2 2 4 2 2 3 2" xfId="33521"/>
    <cellStyle name="20% - Accent4 2 2 4 2 2 4" xfId="17771"/>
    <cellStyle name="20% - Accent4 2 2 4 2 2 4 2" xfId="33992"/>
    <cellStyle name="20% - Accent4 2 2 4 2 2 5" xfId="27510"/>
    <cellStyle name="20% - Accent4 2 2 4 2 3" xfId="9906"/>
    <cellStyle name="20% - Accent4 2 2 4 2 3 2" xfId="19527"/>
    <cellStyle name="20% - Accent4 2 2 4 2 3 2 2" xfId="35748"/>
    <cellStyle name="20% - Accent4 2 2 4 2 3 3" xfId="29060"/>
    <cellStyle name="20% - Accent4 2 2 4 2 4" xfId="15715"/>
    <cellStyle name="20% - Accent4 2 2 4 2 4 2" xfId="31937"/>
    <cellStyle name="20% - Accent4 2 2 4 2 5" xfId="17770"/>
    <cellStyle name="20% - Accent4 2 2 4 2 5 2" xfId="33991"/>
    <cellStyle name="20% - Accent4 2 2 4 2 6" xfId="27511"/>
    <cellStyle name="20% - Accent4 2 2 4 3" xfId="6204"/>
    <cellStyle name="20% - Accent4 2 2 4 3 2" xfId="9908"/>
    <cellStyle name="20% - Accent4 2 2 4 3 2 2" xfId="19529"/>
    <cellStyle name="20% - Accent4 2 2 4 3 2 2 2" xfId="35750"/>
    <cellStyle name="20% - Accent4 2 2 4 3 2 3" xfId="29062"/>
    <cellStyle name="20% - Accent4 2 2 4 3 3" xfId="16508"/>
    <cellStyle name="20% - Accent4 2 2 4 3 3 2" xfId="32729"/>
    <cellStyle name="20% - Accent4 2 2 4 3 4" xfId="17772"/>
    <cellStyle name="20% - Accent4 2 2 4 3 4 2" xfId="33993"/>
    <cellStyle name="20% - Accent4 2 2 4 3 5" xfId="27509"/>
    <cellStyle name="20% - Accent4 2 2 4 4" xfId="9905"/>
    <cellStyle name="20% - Accent4 2 2 4 4 2" xfId="19526"/>
    <cellStyle name="20% - Accent4 2 2 4 4 2 2" xfId="35747"/>
    <cellStyle name="20% - Accent4 2 2 4 4 3" xfId="29059"/>
    <cellStyle name="20% - Accent4 2 2 4 5" xfId="14923"/>
    <cellStyle name="20% - Accent4 2 2 4 5 2" xfId="31145"/>
    <cellStyle name="20% - Accent4 2 2 4 6" xfId="17769"/>
    <cellStyle name="20% - Accent4 2 2 4 6 2" xfId="33990"/>
    <cellStyle name="20% - Accent4 2 2 4 7" xfId="27512"/>
    <cellStyle name="20% - Accent4 2 2 4 8" xfId="39453"/>
    <cellStyle name="20% - Accent4 2 2 5" xfId="6203"/>
    <cellStyle name="20% - Accent4 2 2 5 2" xfId="6202"/>
    <cellStyle name="20% - Accent4 2 2 5 2 2" xfId="9910"/>
    <cellStyle name="20% - Accent4 2 2 5 2 2 2" xfId="19531"/>
    <cellStyle name="20% - Accent4 2 2 5 2 2 2 2" xfId="35752"/>
    <cellStyle name="20% - Accent4 2 2 5 2 2 3" xfId="29064"/>
    <cellStyle name="20% - Accent4 2 2 5 2 3" xfId="16772"/>
    <cellStyle name="20% - Accent4 2 2 5 2 3 2" xfId="32993"/>
    <cellStyle name="20% - Accent4 2 2 5 2 4" xfId="17774"/>
    <cellStyle name="20% - Accent4 2 2 5 2 4 2" xfId="33995"/>
    <cellStyle name="20% - Accent4 2 2 5 2 5" xfId="27507"/>
    <cellStyle name="20% - Accent4 2 2 5 3" xfId="9909"/>
    <cellStyle name="20% - Accent4 2 2 5 3 2" xfId="19530"/>
    <cellStyle name="20% - Accent4 2 2 5 3 2 2" xfId="35751"/>
    <cellStyle name="20% - Accent4 2 2 5 3 3" xfId="29063"/>
    <cellStyle name="20% - Accent4 2 2 5 4" xfId="15187"/>
    <cellStyle name="20% - Accent4 2 2 5 4 2" xfId="31409"/>
    <cellStyle name="20% - Accent4 2 2 5 5" xfId="17773"/>
    <cellStyle name="20% - Accent4 2 2 5 5 2" xfId="33994"/>
    <cellStyle name="20% - Accent4 2 2 5 6" xfId="27508"/>
    <cellStyle name="20% - Accent4 2 2 6" xfId="6201"/>
    <cellStyle name="20% - Accent4 2 2 6 2" xfId="9911"/>
    <cellStyle name="20% - Accent4 2 2 6 2 2" xfId="19532"/>
    <cellStyle name="20% - Accent4 2 2 6 2 2 2" xfId="35753"/>
    <cellStyle name="20% - Accent4 2 2 6 2 3" xfId="29065"/>
    <cellStyle name="20% - Accent4 2 2 6 3" xfId="15980"/>
    <cellStyle name="20% - Accent4 2 2 6 3 2" xfId="32201"/>
    <cellStyle name="20% - Accent4 2 2 6 4" xfId="17775"/>
    <cellStyle name="20% - Accent4 2 2 6 4 2" xfId="33996"/>
    <cellStyle name="20% - Accent4 2 2 6 5" xfId="27506"/>
    <cellStyle name="20% - Accent4 2 2 7" xfId="9888"/>
    <cellStyle name="20% - Accent4 2 2 7 2" xfId="19509"/>
    <cellStyle name="20% - Accent4 2 2 7 2 2" xfId="35730"/>
    <cellStyle name="20% - Accent4 2 2 7 3" xfId="29042"/>
    <cellStyle name="20% - Accent4 2 2 8" xfId="14395"/>
    <cellStyle name="20% - Accent4 2 2 8 2" xfId="30617"/>
    <cellStyle name="20% - Accent4 2 2 9" xfId="17752"/>
    <cellStyle name="20% - Accent4 2 2 9 2" xfId="33973"/>
    <cellStyle name="20% - Accent4 2 3" xfId="6200"/>
    <cellStyle name="20% - Accent4 2 3 10" xfId="39100"/>
    <cellStyle name="20% - Accent4 2 3 2" xfId="6199"/>
    <cellStyle name="20% - Accent4 2 3 2 2" xfId="6198"/>
    <cellStyle name="20% - Accent4 2 3 2 2 2" xfId="6197"/>
    <cellStyle name="20% - Accent4 2 3 2 2 2 2" xfId="9915"/>
    <cellStyle name="20% - Accent4 2 3 2 2 2 2 2" xfId="19536"/>
    <cellStyle name="20% - Accent4 2 3 2 2 2 2 2 2" xfId="35757"/>
    <cellStyle name="20% - Accent4 2 3 2 2 2 2 3" xfId="29069"/>
    <cellStyle name="20% - Accent4 2 3 2 2 2 3" xfId="17102"/>
    <cellStyle name="20% - Accent4 2 3 2 2 2 3 2" xfId="33323"/>
    <cellStyle name="20% - Accent4 2 3 2 2 2 4" xfId="17779"/>
    <cellStyle name="20% - Accent4 2 3 2 2 2 4 2" xfId="34000"/>
    <cellStyle name="20% - Accent4 2 3 2 2 2 5" xfId="27502"/>
    <cellStyle name="20% - Accent4 2 3 2 2 3" xfId="9914"/>
    <cellStyle name="20% - Accent4 2 3 2 2 3 2" xfId="19535"/>
    <cellStyle name="20% - Accent4 2 3 2 2 3 2 2" xfId="35756"/>
    <cellStyle name="20% - Accent4 2 3 2 2 3 3" xfId="29068"/>
    <cellStyle name="20% - Accent4 2 3 2 2 4" xfId="15517"/>
    <cellStyle name="20% - Accent4 2 3 2 2 4 2" xfId="31739"/>
    <cellStyle name="20% - Accent4 2 3 2 2 5" xfId="17778"/>
    <cellStyle name="20% - Accent4 2 3 2 2 5 2" xfId="33999"/>
    <cellStyle name="20% - Accent4 2 3 2 2 6" xfId="27503"/>
    <cellStyle name="20% - Accent4 2 3 2 3" xfId="6196"/>
    <cellStyle name="20% - Accent4 2 3 2 3 2" xfId="9916"/>
    <cellStyle name="20% - Accent4 2 3 2 3 2 2" xfId="19537"/>
    <cellStyle name="20% - Accent4 2 3 2 3 2 2 2" xfId="35758"/>
    <cellStyle name="20% - Accent4 2 3 2 3 2 3" xfId="29070"/>
    <cellStyle name="20% - Accent4 2 3 2 3 3" xfId="16310"/>
    <cellStyle name="20% - Accent4 2 3 2 3 3 2" xfId="32531"/>
    <cellStyle name="20% - Accent4 2 3 2 3 4" xfId="17780"/>
    <cellStyle name="20% - Accent4 2 3 2 3 4 2" xfId="34001"/>
    <cellStyle name="20% - Accent4 2 3 2 3 5" xfId="27501"/>
    <cellStyle name="20% - Accent4 2 3 2 4" xfId="9913"/>
    <cellStyle name="20% - Accent4 2 3 2 4 2" xfId="19534"/>
    <cellStyle name="20% - Accent4 2 3 2 4 2 2" xfId="35755"/>
    <cellStyle name="20% - Accent4 2 3 2 4 3" xfId="29067"/>
    <cellStyle name="20% - Accent4 2 3 2 5" xfId="14725"/>
    <cellStyle name="20% - Accent4 2 3 2 5 2" xfId="30947"/>
    <cellStyle name="20% - Accent4 2 3 2 6" xfId="17777"/>
    <cellStyle name="20% - Accent4 2 3 2 6 2" xfId="33998"/>
    <cellStyle name="20% - Accent4 2 3 2 7" xfId="27504"/>
    <cellStyle name="20% - Accent4 2 3 3" xfId="6195"/>
    <cellStyle name="20% - Accent4 2 3 3 2" xfId="6194"/>
    <cellStyle name="20% - Accent4 2 3 3 2 2" xfId="6193"/>
    <cellStyle name="20% - Accent4 2 3 3 2 2 2" xfId="9919"/>
    <cellStyle name="20% - Accent4 2 3 3 2 2 2 2" xfId="19540"/>
    <cellStyle name="20% - Accent4 2 3 3 2 2 2 2 2" xfId="35761"/>
    <cellStyle name="20% - Accent4 2 3 3 2 2 2 3" xfId="29073"/>
    <cellStyle name="20% - Accent4 2 3 3 2 2 3" xfId="17366"/>
    <cellStyle name="20% - Accent4 2 3 3 2 2 3 2" xfId="33587"/>
    <cellStyle name="20% - Accent4 2 3 3 2 2 4" xfId="17783"/>
    <cellStyle name="20% - Accent4 2 3 3 2 2 4 2" xfId="34004"/>
    <cellStyle name="20% - Accent4 2 3 3 2 2 5" xfId="27498"/>
    <cellStyle name="20% - Accent4 2 3 3 2 3" xfId="9918"/>
    <cellStyle name="20% - Accent4 2 3 3 2 3 2" xfId="19539"/>
    <cellStyle name="20% - Accent4 2 3 3 2 3 2 2" xfId="35760"/>
    <cellStyle name="20% - Accent4 2 3 3 2 3 3" xfId="29072"/>
    <cellStyle name="20% - Accent4 2 3 3 2 4" xfId="15781"/>
    <cellStyle name="20% - Accent4 2 3 3 2 4 2" xfId="32003"/>
    <cellStyle name="20% - Accent4 2 3 3 2 5" xfId="17782"/>
    <cellStyle name="20% - Accent4 2 3 3 2 5 2" xfId="34003"/>
    <cellStyle name="20% - Accent4 2 3 3 2 6" xfId="27499"/>
    <cellStyle name="20% - Accent4 2 3 3 3" xfId="6192"/>
    <cellStyle name="20% - Accent4 2 3 3 3 2" xfId="9920"/>
    <cellStyle name="20% - Accent4 2 3 3 3 2 2" xfId="19541"/>
    <cellStyle name="20% - Accent4 2 3 3 3 2 2 2" xfId="35762"/>
    <cellStyle name="20% - Accent4 2 3 3 3 2 3" xfId="29074"/>
    <cellStyle name="20% - Accent4 2 3 3 3 3" xfId="16574"/>
    <cellStyle name="20% - Accent4 2 3 3 3 3 2" xfId="32795"/>
    <cellStyle name="20% - Accent4 2 3 3 3 4" xfId="17784"/>
    <cellStyle name="20% - Accent4 2 3 3 3 4 2" xfId="34005"/>
    <cellStyle name="20% - Accent4 2 3 3 3 5" xfId="27497"/>
    <cellStyle name="20% - Accent4 2 3 3 4" xfId="9917"/>
    <cellStyle name="20% - Accent4 2 3 3 4 2" xfId="19538"/>
    <cellStyle name="20% - Accent4 2 3 3 4 2 2" xfId="35759"/>
    <cellStyle name="20% - Accent4 2 3 3 4 3" xfId="29071"/>
    <cellStyle name="20% - Accent4 2 3 3 5" xfId="14989"/>
    <cellStyle name="20% - Accent4 2 3 3 5 2" xfId="31211"/>
    <cellStyle name="20% - Accent4 2 3 3 6" xfId="17781"/>
    <cellStyle name="20% - Accent4 2 3 3 6 2" xfId="34002"/>
    <cellStyle name="20% - Accent4 2 3 3 7" xfId="27500"/>
    <cellStyle name="20% - Accent4 2 3 4" xfId="6191"/>
    <cellStyle name="20% - Accent4 2 3 4 2" xfId="6190"/>
    <cellStyle name="20% - Accent4 2 3 4 2 2" xfId="9922"/>
    <cellStyle name="20% - Accent4 2 3 4 2 2 2" xfId="19543"/>
    <cellStyle name="20% - Accent4 2 3 4 2 2 2 2" xfId="35764"/>
    <cellStyle name="20% - Accent4 2 3 4 2 2 3" xfId="29076"/>
    <cellStyle name="20% - Accent4 2 3 4 2 3" xfId="16838"/>
    <cellStyle name="20% - Accent4 2 3 4 2 3 2" xfId="33059"/>
    <cellStyle name="20% - Accent4 2 3 4 2 4" xfId="17786"/>
    <cellStyle name="20% - Accent4 2 3 4 2 4 2" xfId="34007"/>
    <cellStyle name="20% - Accent4 2 3 4 2 5" xfId="27495"/>
    <cellStyle name="20% - Accent4 2 3 4 3" xfId="9921"/>
    <cellStyle name="20% - Accent4 2 3 4 3 2" xfId="19542"/>
    <cellStyle name="20% - Accent4 2 3 4 3 2 2" xfId="35763"/>
    <cellStyle name="20% - Accent4 2 3 4 3 3" xfId="29075"/>
    <cellStyle name="20% - Accent4 2 3 4 4" xfId="15253"/>
    <cellStyle name="20% - Accent4 2 3 4 4 2" xfId="31475"/>
    <cellStyle name="20% - Accent4 2 3 4 5" xfId="17785"/>
    <cellStyle name="20% - Accent4 2 3 4 5 2" xfId="34006"/>
    <cellStyle name="20% - Accent4 2 3 4 6" xfId="27496"/>
    <cellStyle name="20% - Accent4 2 3 5" xfId="6189"/>
    <cellStyle name="20% - Accent4 2 3 5 2" xfId="9923"/>
    <cellStyle name="20% - Accent4 2 3 5 2 2" xfId="19544"/>
    <cellStyle name="20% - Accent4 2 3 5 2 2 2" xfId="35765"/>
    <cellStyle name="20% - Accent4 2 3 5 2 3" xfId="29077"/>
    <cellStyle name="20% - Accent4 2 3 5 3" xfId="16046"/>
    <cellStyle name="20% - Accent4 2 3 5 3 2" xfId="32267"/>
    <cellStyle name="20% - Accent4 2 3 5 4" xfId="17787"/>
    <cellStyle name="20% - Accent4 2 3 5 4 2" xfId="34008"/>
    <cellStyle name="20% - Accent4 2 3 5 5" xfId="27494"/>
    <cellStyle name="20% - Accent4 2 3 6" xfId="9912"/>
    <cellStyle name="20% - Accent4 2 3 6 2" xfId="19533"/>
    <cellStyle name="20% - Accent4 2 3 6 2 2" xfId="35754"/>
    <cellStyle name="20% - Accent4 2 3 6 3" xfId="29066"/>
    <cellStyle name="20% - Accent4 2 3 7" xfId="14461"/>
    <cellStyle name="20% - Accent4 2 3 7 2" xfId="30683"/>
    <cellStyle name="20% - Accent4 2 3 8" xfId="17776"/>
    <cellStyle name="20% - Accent4 2 3 8 2" xfId="33997"/>
    <cellStyle name="20% - Accent4 2 3 9" xfId="27505"/>
    <cellStyle name="20% - Accent4 2 4" xfId="6188"/>
    <cellStyle name="20% - Accent4 2 4 2" xfId="6187"/>
    <cellStyle name="20% - Accent4 2 4 2 2" xfId="6186"/>
    <cellStyle name="20% - Accent4 2 4 2 2 2" xfId="9926"/>
    <cellStyle name="20% - Accent4 2 4 2 2 2 2" xfId="19547"/>
    <cellStyle name="20% - Accent4 2 4 2 2 2 2 2" xfId="35768"/>
    <cellStyle name="20% - Accent4 2 4 2 2 2 3" xfId="29080"/>
    <cellStyle name="20% - Accent4 2 4 2 2 3" xfId="16970"/>
    <cellStyle name="20% - Accent4 2 4 2 2 3 2" xfId="33191"/>
    <cellStyle name="20% - Accent4 2 4 2 2 4" xfId="17790"/>
    <cellStyle name="20% - Accent4 2 4 2 2 4 2" xfId="34011"/>
    <cellStyle name="20% - Accent4 2 4 2 2 5" xfId="27491"/>
    <cellStyle name="20% - Accent4 2 4 2 3" xfId="9925"/>
    <cellStyle name="20% - Accent4 2 4 2 3 2" xfId="19546"/>
    <cellStyle name="20% - Accent4 2 4 2 3 2 2" xfId="35767"/>
    <cellStyle name="20% - Accent4 2 4 2 3 3" xfId="29079"/>
    <cellStyle name="20% - Accent4 2 4 2 4" xfId="15385"/>
    <cellStyle name="20% - Accent4 2 4 2 4 2" xfId="31607"/>
    <cellStyle name="20% - Accent4 2 4 2 5" xfId="17789"/>
    <cellStyle name="20% - Accent4 2 4 2 5 2" xfId="34010"/>
    <cellStyle name="20% - Accent4 2 4 2 6" xfId="27492"/>
    <cellStyle name="20% - Accent4 2 4 3" xfId="6185"/>
    <cellStyle name="20% - Accent4 2 4 3 2" xfId="9927"/>
    <cellStyle name="20% - Accent4 2 4 3 2 2" xfId="19548"/>
    <cellStyle name="20% - Accent4 2 4 3 2 2 2" xfId="35769"/>
    <cellStyle name="20% - Accent4 2 4 3 2 3" xfId="29081"/>
    <cellStyle name="20% - Accent4 2 4 3 3" xfId="16178"/>
    <cellStyle name="20% - Accent4 2 4 3 3 2" xfId="32399"/>
    <cellStyle name="20% - Accent4 2 4 3 4" xfId="17791"/>
    <cellStyle name="20% - Accent4 2 4 3 4 2" xfId="34012"/>
    <cellStyle name="20% - Accent4 2 4 3 5" xfId="27490"/>
    <cellStyle name="20% - Accent4 2 4 4" xfId="9924"/>
    <cellStyle name="20% - Accent4 2 4 4 2" xfId="19545"/>
    <cellStyle name="20% - Accent4 2 4 4 2 2" xfId="35766"/>
    <cellStyle name="20% - Accent4 2 4 4 3" xfId="29078"/>
    <cellStyle name="20% - Accent4 2 4 5" xfId="14593"/>
    <cellStyle name="20% - Accent4 2 4 5 2" xfId="30815"/>
    <cellStyle name="20% - Accent4 2 4 6" xfId="17788"/>
    <cellStyle name="20% - Accent4 2 4 6 2" xfId="34009"/>
    <cellStyle name="20% - Accent4 2 4 7" xfId="27493"/>
    <cellStyle name="20% - Accent4 2 4 8" xfId="39248"/>
    <cellStyle name="20% - Accent4 2 5" xfId="6184"/>
    <cellStyle name="20% - Accent4 2 5 2" xfId="6183"/>
    <cellStyle name="20% - Accent4 2 5 2 2" xfId="6182"/>
    <cellStyle name="20% - Accent4 2 5 2 2 2" xfId="9930"/>
    <cellStyle name="20% - Accent4 2 5 2 2 2 2" xfId="19551"/>
    <cellStyle name="20% - Accent4 2 5 2 2 2 2 2" xfId="35772"/>
    <cellStyle name="20% - Accent4 2 5 2 2 2 3" xfId="29084"/>
    <cellStyle name="20% - Accent4 2 5 2 2 3" xfId="17234"/>
    <cellStyle name="20% - Accent4 2 5 2 2 3 2" xfId="33455"/>
    <cellStyle name="20% - Accent4 2 5 2 2 4" xfId="17794"/>
    <cellStyle name="20% - Accent4 2 5 2 2 4 2" xfId="34015"/>
    <cellStyle name="20% - Accent4 2 5 2 2 5" xfId="27487"/>
    <cellStyle name="20% - Accent4 2 5 2 3" xfId="9929"/>
    <cellStyle name="20% - Accent4 2 5 2 3 2" xfId="19550"/>
    <cellStyle name="20% - Accent4 2 5 2 3 2 2" xfId="35771"/>
    <cellStyle name="20% - Accent4 2 5 2 3 3" xfId="29083"/>
    <cellStyle name="20% - Accent4 2 5 2 4" xfId="15649"/>
    <cellStyle name="20% - Accent4 2 5 2 4 2" xfId="31871"/>
    <cellStyle name="20% - Accent4 2 5 2 5" xfId="17793"/>
    <cellStyle name="20% - Accent4 2 5 2 5 2" xfId="34014"/>
    <cellStyle name="20% - Accent4 2 5 2 6" xfId="27488"/>
    <cellStyle name="20% - Accent4 2 5 3" xfId="6181"/>
    <cellStyle name="20% - Accent4 2 5 3 2" xfId="9931"/>
    <cellStyle name="20% - Accent4 2 5 3 2 2" xfId="19552"/>
    <cellStyle name="20% - Accent4 2 5 3 2 2 2" xfId="35773"/>
    <cellStyle name="20% - Accent4 2 5 3 2 3" xfId="29085"/>
    <cellStyle name="20% - Accent4 2 5 3 3" xfId="16442"/>
    <cellStyle name="20% - Accent4 2 5 3 3 2" xfId="32663"/>
    <cellStyle name="20% - Accent4 2 5 3 4" xfId="17795"/>
    <cellStyle name="20% - Accent4 2 5 3 4 2" xfId="34016"/>
    <cellStyle name="20% - Accent4 2 5 3 5" xfId="27486"/>
    <cellStyle name="20% - Accent4 2 5 4" xfId="9928"/>
    <cellStyle name="20% - Accent4 2 5 4 2" xfId="19549"/>
    <cellStyle name="20% - Accent4 2 5 4 2 2" xfId="35770"/>
    <cellStyle name="20% - Accent4 2 5 4 3" xfId="29082"/>
    <cellStyle name="20% - Accent4 2 5 5" xfId="14857"/>
    <cellStyle name="20% - Accent4 2 5 5 2" xfId="31079"/>
    <cellStyle name="20% - Accent4 2 5 6" xfId="17792"/>
    <cellStyle name="20% - Accent4 2 5 6 2" xfId="34013"/>
    <cellStyle name="20% - Accent4 2 5 7" xfId="27489"/>
    <cellStyle name="20% - Accent4 2 5 8" xfId="39397"/>
    <cellStyle name="20% - Accent4 2 6" xfId="6180"/>
    <cellStyle name="20% - Accent4 2 6 2" xfId="6179"/>
    <cellStyle name="20% - Accent4 2 6 2 2" xfId="9933"/>
    <cellStyle name="20% - Accent4 2 6 2 2 2" xfId="19554"/>
    <cellStyle name="20% - Accent4 2 6 2 2 2 2" xfId="35775"/>
    <cellStyle name="20% - Accent4 2 6 2 2 3" xfId="29087"/>
    <cellStyle name="20% - Accent4 2 6 2 3" xfId="16706"/>
    <cellStyle name="20% - Accent4 2 6 2 3 2" xfId="32927"/>
    <cellStyle name="20% - Accent4 2 6 2 4" xfId="17797"/>
    <cellStyle name="20% - Accent4 2 6 2 4 2" xfId="34018"/>
    <cellStyle name="20% - Accent4 2 6 2 5" xfId="27484"/>
    <cellStyle name="20% - Accent4 2 6 3" xfId="9932"/>
    <cellStyle name="20% - Accent4 2 6 3 2" xfId="19553"/>
    <cellStyle name="20% - Accent4 2 6 3 2 2" xfId="35774"/>
    <cellStyle name="20% - Accent4 2 6 3 3" xfId="29086"/>
    <cellStyle name="20% - Accent4 2 6 4" xfId="15121"/>
    <cellStyle name="20% - Accent4 2 6 4 2" xfId="31343"/>
    <cellStyle name="20% - Accent4 2 6 5" xfId="17796"/>
    <cellStyle name="20% - Accent4 2 6 5 2" xfId="34017"/>
    <cellStyle name="20% - Accent4 2 6 6" xfId="27485"/>
    <cellStyle name="20% - Accent4 2 7" xfId="6178"/>
    <cellStyle name="20% - Accent4 2 7 2" xfId="9934"/>
    <cellStyle name="20% - Accent4 2 7 2 2" xfId="19555"/>
    <cellStyle name="20% - Accent4 2 7 2 2 2" xfId="35776"/>
    <cellStyle name="20% - Accent4 2 7 2 3" xfId="29088"/>
    <cellStyle name="20% - Accent4 2 7 3" xfId="15914"/>
    <cellStyle name="20% - Accent4 2 7 3 2" xfId="32135"/>
    <cellStyle name="20% - Accent4 2 7 4" xfId="17798"/>
    <cellStyle name="20% - Accent4 2 7 4 2" xfId="34019"/>
    <cellStyle name="20% - Accent4 2 7 5" xfId="27483"/>
    <cellStyle name="20% - Accent4 2 8" xfId="9887"/>
    <cellStyle name="20% - Accent4 2 8 2" xfId="19508"/>
    <cellStyle name="20% - Accent4 2 8 2 2" xfId="35729"/>
    <cellStyle name="20% - Accent4 2 8 3" xfId="29041"/>
    <cellStyle name="20% - Accent4 2 9" xfId="14329"/>
    <cellStyle name="20% - Accent4 2 9 2" xfId="30551"/>
    <cellStyle name="20% - Accent4 3" xfId="6177"/>
    <cellStyle name="20% - Accent4 3 10" xfId="27482"/>
    <cellStyle name="20% - Accent4 3 11" xfId="38979"/>
    <cellStyle name="20% - Accent4 3 2" xfId="6176"/>
    <cellStyle name="20% - Accent4 3 2 10" xfId="39021"/>
    <cellStyle name="20% - Accent4 3 2 2" xfId="6175"/>
    <cellStyle name="20% - Accent4 3 2 2 2" xfId="6174"/>
    <cellStyle name="20% - Accent4 3 2 2 2 2" xfId="6173"/>
    <cellStyle name="20% - Accent4 3 2 2 2 2 2" xfId="9939"/>
    <cellStyle name="20% - Accent4 3 2 2 2 2 2 2" xfId="19560"/>
    <cellStyle name="20% - Accent4 3 2 2 2 2 2 2 2" xfId="35781"/>
    <cellStyle name="20% - Accent4 3 2 2 2 2 2 3" xfId="29093"/>
    <cellStyle name="20% - Accent4 3 2 2 2 2 3" xfId="17135"/>
    <cellStyle name="20% - Accent4 3 2 2 2 2 3 2" xfId="33356"/>
    <cellStyle name="20% - Accent4 3 2 2 2 2 4" xfId="17803"/>
    <cellStyle name="20% - Accent4 3 2 2 2 2 4 2" xfId="34024"/>
    <cellStyle name="20% - Accent4 3 2 2 2 2 5" xfId="27478"/>
    <cellStyle name="20% - Accent4 3 2 2 2 3" xfId="9938"/>
    <cellStyle name="20% - Accent4 3 2 2 2 3 2" xfId="19559"/>
    <cellStyle name="20% - Accent4 3 2 2 2 3 2 2" xfId="35780"/>
    <cellStyle name="20% - Accent4 3 2 2 2 3 3" xfId="29092"/>
    <cellStyle name="20% - Accent4 3 2 2 2 4" xfId="15550"/>
    <cellStyle name="20% - Accent4 3 2 2 2 4 2" xfId="31772"/>
    <cellStyle name="20% - Accent4 3 2 2 2 5" xfId="17802"/>
    <cellStyle name="20% - Accent4 3 2 2 2 5 2" xfId="34023"/>
    <cellStyle name="20% - Accent4 3 2 2 2 6" xfId="27479"/>
    <cellStyle name="20% - Accent4 3 2 2 3" xfId="6172"/>
    <cellStyle name="20% - Accent4 3 2 2 3 2" xfId="9940"/>
    <cellStyle name="20% - Accent4 3 2 2 3 2 2" xfId="19561"/>
    <cellStyle name="20% - Accent4 3 2 2 3 2 2 2" xfId="35782"/>
    <cellStyle name="20% - Accent4 3 2 2 3 2 3" xfId="29094"/>
    <cellStyle name="20% - Accent4 3 2 2 3 3" xfId="16343"/>
    <cellStyle name="20% - Accent4 3 2 2 3 3 2" xfId="32564"/>
    <cellStyle name="20% - Accent4 3 2 2 3 4" xfId="17804"/>
    <cellStyle name="20% - Accent4 3 2 2 3 4 2" xfId="34025"/>
    <cellStyle name="20% - Accent4 3 2 2 3 5" xfId="27477"/>
    <cellStyle name="20% - Accent4 3 2 2 4" xfId="9937"/>
    <cellStyle name="20% - Accent4 3 2 2 4 2" xfId="19558"/>
    <cellStyle name="20% - Accent4 3 2 2 4 2 2" xfId="35779"/>
    <cellStyle name="20% - Accent4 3 2 2 4 3" xfId="29091"/>
    <cellStyle name="20% - Accent4 3 2 2 5" xfId="14758"/>
    <cellStyle name="20% - Accent4 3 2 2 5 2" xfId="30980"/>
    <cellStyle name="20% - Accent4 3 2 2 6" xfId="17801"/>
    <cellStyle name="20% - Accent4 3 2 2 6 2" xfId="34022"/>
    <cellStyle name="20% - Accent4 3 2 2 7" xfId="27480"/>
    <cellStyle name="20% - Accent4 3 2 2 8" xfId="39169"/>
    <cellStyle name="20% - Accent4 3 2 3" xfId="6171"/>
    <cellStyle name="20% - Accent4 3 2 3 2" xfId="6170"/>
    <cellStyle name="20% - Accent4 3 2 3 2 2" xfId="6169"/>
    <cellStyle name="20% - Accent4 3 2 3 2 2 2" xfId="9943"/>
    <cellStyle name="20% - Accent4 3 2 3 2 2 2 2" xfId="19564"/>
    <cellStyle name="20% - Accent4 3 2 3 2 2 2 2 2" xfId="35785"/>
    <cellStyle name="20% - Accent4 3 2 3 2 2 2 3" xfId="29097"/>
    <cellStyle name="20% - Accent4 3 2 3 2 2 3" xfId="17399"/>
    <cellStyle name="20% - Accent4 3 2 3 2 2 3 2" xfId="33620"/>
    <cellStyle name="20% - Accent4 3 2 3 2 2 4" xfId="17807"/>
    <cellStyle name="20% - Accent4 3 2 3 2 2 4 2" xfId="34028"/>
    <cellStyle name="20% - Accent4 3 2 3 2 2 5" xfId="27474"/>
    <cellStyle name="20% - Accent4 3 2 3 2 3" xfId="9942"/>
    <cellStyle name="20% - Accent4 3 2 3 2 3 2" xfId="19563"/>
    <cellStyle name="20% - Accent4 3 2 3 2 3 2 2" xfId="35784"/>
    <cellStyle name="20% - Accent4 3 2 3 2 3 3" xfId="29096"/>
    <cellStyle name="20% - Accent4 3 2 3 2 4" xfId="15814"/>
    <cellStyle name="20% - Accent4 3 2 3 2 4 2" xfId="32036"/>
    <cellStyle name="20% - Accent4 3 2 3 2 5" xfId="17806"/>
    <cellStyle name="20% - Accent4 3 2 3 2 5 2" xfId="34027"/>
    <cellStyle name="20% - Accent4 3 2 3 2 6" xfId="27475"/>
    <cellStyle name="20% - Accent4 3 2 3 3" xfId="6168"/>
    <cellStyle name="20% - Accent4 3 2 3 3 2" xfId="9944"/>
    <cellStyle name="20% - Accent4 3 2 3 3 2 2" xfId="19565"/>
    <cellStyle name="20% - Accent4 3 2 3 3 2 2 2" xfId="35786"/>
    <cellStyle name="20% - Accent4 3 2 3 3 2 3" xfId="29098"/>
    <cellStyle name="20% - Accent4 3 2 3 3 3" xfId="16607"/>
    <cellStyle name="20% - Accent4 3 2 3 3 3 2" xfId="32828"/>
    <cellStyle name="20% - Accent4 3 2 3 3 4" xfId="17808"/>
    <cellStyle name="20% - Accent4 3 2 3 3 4 2" xfId="34029"/>
    <cellStyle name="20% - Accent4 3 2 3 3 5" xfId="27473"/>
    <cellStyle name="20% - Accent4 3 2 3 4" xfId="9941"/>
    <cellStyle name="20% - Accent4 3 2 3 4 2" xfId="19562"/>
    <cellStyle name="20% - Accent4 3 2 3 4 2 2" xfId="35783"/>
    <cellStyle name="20% - Accent4 3 2 3 4 3" xfId="29095"/>
    <cellStyle name="20% - Accent4 3 2 3 5" xfId="15022"/>
    <cellStyle name="20% - Accent4 3 2 3 5 2" xfId="31244"/>
    <cellStyle name="20% - Accent4 3 2 3 6" xfId="17805"/>
    <cellStyle name="20% - Accent4 3 2 3 6 2" xfId="34026"/>
    <cellStyle name="20% - Accent4 3 2 3 7" xfId="27476"/>
    <cellStyle name="20% - Accent4 3 2 3 8" xfId="39317"/>
    <cellStyle name="20% - Accent4 3 2 4" xfId="6167"/>
    <cellStyle name="20% - Accent4 3 2 4 2" xfId="6166"/>
    <cellStyle name="20% - Accent4 3 2 4 2 2" xfId="9946"/>
    <cellStyle name="20% - Accent4 3 2 4 2 2 2" xfId="19567"/>
    <cellStyle name="20% - Accent4 3 2 4 2 2 2 2" xfId="35788"/>
    <cellStyle name="20% - Accent4 3 2 4 2 2 3" xfId="29100"/>
    <cellStyle name="20% - Accent4 3 2 4 2 3" xfId="16871"/>
    <cellStyle name="20% - Accent4 3 2 4 2 3 2" xfId="33092"/>
    <cellStyle name="20% - Accent4 3 2 4 2 4" xfId="17810"/>
    <cellStyle name="20% - Accent4 3 2 4 2 4 2" xfId="34031"/>
    <cellStyle name="20% - Accent4 3 2 4 2 5" xfId="27471"/>
    <cellStyle name="20% - Accent4 3 2 4 3" xfId="9945"/>
    <cellStyle name="20% - Accent4 3 2 4 3 2" xfId="19566"/>
    <cellStyle name="20% - Accent4 3 2 4 3 2 2" xfId="35787"/>
    <cellStyle name="20% - Accent4 3 2 4 3 3" xfId="29099"/>
    <cellStyle name="20% - Accent4 3 2 4 4" xfId="15286"/>
    <cellStyle name="20% - Accent4 3 2 4 4 2" xfId="31508"/>
    <cellStyle name="20% - Accent4 3 2 4 5" xfId="17809"/>
    <cellStyle name="20% - Accent4 3 2 4 5 2" xfId="34030"/>
    <cellStyle name="20% - Accent4 3 2 4 6" xfId="27472"/>
    <cellStyle name="20% - Accent4 3 2 4 7" xfId="39466"/>
    <cellStyle name="20% - Accent4 3 2 5" xfId="6165"/>
    <cellStyle name="20% - Accent4 3 2 5 2" xfId="9947"/>
    <cellStyle name="20% - Accent4 3 2 5 2 2" xfId="19568"/>
    <cellStyle name="20% - Accent4 3 2 5 2 2 2" xfId="35789"/>
    <cellStyle name="20% - Accent4 3 2 5 2 3" xfId="29101"/>
    <cellStyle name="20% - Accent4 3 2 5 3" xfId="16079"/>
    <cellStyle name="20% - Accent4 3 2 5 3 2" xfId="32300"/>
    <cellStyle name="20% - Accent4 3 2 5 4" xfId="17811"/>
    <cellStyle name="20% - Accent4 3 2 5 4 2" xfId="34032"/>
    <cellStyle name="20% - Accent4 3 2 5 5" xfId="27470"/>
    <cellStyle name="20% - Accent4 3 2 6" xfId="9936"/>
    <cellStyle name="20% - Accent4 3 2 6 2" xfId="19557"/>
    <cellStyle name="20% - Accent4 3 2 6 2 2" xfId="35778"/>
    <cellStyle name="20% - Accent4 3 2 6 3" xfId="29090"/>
    <cellStyle name="20% - Accent4 3 2 7" xfId="14494"/>
    <cellStyle name="20% - Accent4 3 2 7 2" xfId="30716"/>
    <cellStyle name="20% - Accent4 3 2 8" xfId="17800"/>
    <cellStyle name="20% - Accent4 3 2 8 2" xfId="34021"/>
    <cellStyle name="20% - Accent4 3 2 9" xfId="27481"/>
    <cellStyle name="20% - Accent4 3 3" xfId="6164"/>
    <cellStyle name="20% - Accent4 3 3 2" xfId="6163"/>
    <cellStyle name="20% - Accent4 3 3 2 2" xfId="6162"/>
    <cellStyle name="20% - Accent4 3 3 2 2 2" xfId="9950"/>
    <cellStyle name="20% - Accent4 3 3 2 2 2 2" xfId="19571"/>
    <cellStyle name="20% - Accent4 3 3 2 2 2 2 2" xfId="35792"/>
    <cellStyle name="20% - Accent4 3 3 2 2 2 3" xfId="29104"/>
    <cellStyle name="20% - Accent4 3 3 2 2 3" xfId="17003"/>
    <cellStyle name="20% - Accent4 3 3 2 2 3 2" xfId="33224"/>
    <cellStyle name="20% - Accent4 3 3 2 2 4" xfId="17814"/>
    <cellStyle name="20% - Accent4 3 3 2 2 4 2" xfId="34035"/>
    <cellStyle name="20% - Accent4 3 3 2 2 5" xfId="27467"/>
    <cellStyle name="20% - Accent4 3 3 2 3" xfId="9949"/>
    <cellStyle name="20% - Accent4 3 3 2 3 2" xfId="19570"/>
    <cellStyle name="20% - Accent4 3 3 2 3 2 2" xfId="35791"/>
    <cellStyle name="20% - Accent4 3 3 2 3 3" xfId="29103"/>
    <cellStyle name="20% - Accent4 3 3 2 4" xfId="15418"/>
    <cellStyle name="20% - Accent4 3 3 2 4 2" xfId="31640"/>
    <cellStyle name="20% - Accent4 3 3 2 5" xfId="17813"/>
    <cellStyle name="20% - Accent4 3 3 2 5 2" xfId="34034"/>
    <cellStyle name="20% - Accent4 3 3 2 6" xfId="27468"/>
    <cellStyle name="20% - Accent4 3 3 3" xfId="6161"/>
    <cellStyle name="20% - Accent4 3 3 3 2" xfId="9951"/>
    <cellStyle name="20% - Accent4 3 3 3 2 2" xfId="19572"/>
    <cellStyle name="20% - Accent4 3 3 3 2 2 2" xfId="35793"/>
    <cellStyle name="20% - Accent4 3 3 3 2 3" xfId="29105"/>
    <cellStyle name="20% - Accent4 3 3 3 3" xfId="16211"/>
    <cellStyle name="20% - Accent4 3 3 3 3 2" xfId="32432"/>
    <cellStyle name="20% - Accent4 3 3 3 4" xfId="17815"/>
    <cellStyle name="20% - Accent4 3 3 3 4 2" xfId="34036"/>
    <cellStyle name="20% - Accent4 3 3 3 5" xfId="27466"/>
    <cellStyle name="20% - Accent4 3 3 4" xfId="9948"/>
    <cellStyle name="20% - Accent4 3 3 4 2" xfId="19569"/>
    <cellStyle name="20% - Accent4 3 3 4 2 2" xfId="35790"/>
    <cellStyle name="20% - Accent4 3 3 4 3" xfId="29102"/>
    <cellStyle name="20% - Accent4 3 3 5" xfId="14626"/>
    <cellStyle name="20% - Accent4 3 3 5 2" xfId="30848"/>
    <cellStyle name="20% - Accent4 3 3 6" xfId="17812"/>
    <cellStyle name="20% - Accent4 3 3 6 2" xfId="34033"/>
    <cellStyle name="20% - Accent4 3 3 7" xfId="27469"/>
    <cellStyle name="20% - Accent4 3 3 8" xfId="39113"/>
    <cellStyle name="20% - Accent4 3 4" xfId="6160"/>
    <cellStyle name="20% - Accent4 3 4 2" xfId="6159"/>
    <cellStyle name="20% - Accent4 3 4 2 2" xfId="6158"/>
    <cellStyle name="20% - Accent4 3 4 2 2 2" xfId="9954"/>
    <cellStyle name="20% - Accent4 3 4 2 2 2 2" xfId="19575"/>
    <cellStyle name="20% - Accent4 3 4 2 2 2 2 2" xfId="35796"/>
    <cellStyle name="20% - Accent4 3 4 2 2 2 3" xfId="29108"/>
    <cellStyle name="20% - Accent4 3 4 2 2 3" xfId="17267"/>
    <cellStyle name="20% - Accent4 3 4 2 2 3 2" xfId="33488"/>
    <cellStyle name="20% - Accent4 3 4 2 2 4" xfId="17818"/>
    <cellStyle name="20% - Accent4 3 4 2 2 4 2" xfId="34039"/>
    <cellStyle name="20% - Accent4 3 4 2 2 5" xfId="27463"/>
    <cellStyle name="20% - Accent4 3 4 2 3" xfId="9953"/>
    <cellStyle name="20% - Accent4 3 4 2 3 2" xfId="19574"/>
    <cellStyle name="20% - Accent4 3 4 2 3 2 2" xfId="35795"/>
    <cellStyle name="20% - Accent4 3 4 2 3 3" xfId="29107"/>
    <cellStyle name="20% - Accent4 3 4 2 4" xfId="15682"/>
    <cellStyle name="20% - Accent4 3 4 2 4 2" xfId="31904"/>
    <cellStyle name="20% - Accent4 3 4 2 5" xfId="17817"/>
    <cellStyle name="20% - Accent4 3 4 2 5 2" xfId="34038"/>
    <cellStyle name="20% - Accent4 3 4 2 6" xfId="27464"/>
    <cellStyle name="20% - Accent4 3 4 3" xfId="6157"/>
    <cellStyle name="20% - Accent4 3 4 3 2" xfId="9955"/>
    <cellStyle name="20% - Accent4 3 4 3 2 2" xfId="19576"/>
    <cellStyle name="20% - Accent4 3 4 3 2 2 2" xfId="35797"/>
    <cellStyle name="20% - Accent4 3 4 3 2 3" xfId="29109"/>
    <cellStyle name="20% - Accent4 3 4 3 3" xfId="16475"/>
    <cellStyle name="20% - Accent4 3 4 3 3 2" xfId="32696"/>
    <cellStyle name="20% - Accent4 3 4 3 4" xfId="17819"/>
    <cellStyle name="20% - Accent4 3 4 3 4 2" xfId="34040"/>
    <cellStyle name="20% - Accent4 3 4 3 5" xfId="27462"/>
    <cellStyle name="20% - Accent4 3 4 4" xfId="9952"/>
    <cellStyle name="20% - Accent4 3 4 4 2" xfId="19573"/>
    <cellStyle name="20% - Accent4 3 4 4 2 2" xfId="35794"/>
    <cellStyle name="20% - Accent4 3 4 4 3" xfId="29106"/>
    <cellStyle name="20% - Accent4 3 4 5" xfId="14890"/>
    <cellStyle name="20% - Accent4 3 4 5 2" xfId="31112"/>
    <cellStyle name="20% - Accent4 3 4 6" xfId="17816"/>
    <cellStyle name="20% - Accent4 3 4 6 2" xfId="34037"/>
    <cellStyle name="20% - Accent4 3 4 7" xfId="27465"/>
    <cellStyle name="20% - Accent4 3 4 8" xfId="39261"/>
    <cellStyle name="20% - Accent4 3 5" xfId="6156"/>
    <cellStyle name="20% - Accent4 3 5 2" xfId="6155"/>
    <cellStyle name="20% - Accent4 3 5 2 2" xfId="9957"/>
    <cellStyle name="20% - Accent4 3 5 2 2 2" xfId="19578"/>
    <cellStyle name="20% - Accent4 3 5 2 2 2 2" xfId="35799"/>
    <cellStyle name="20% - Accent4 3 5 2 2 3" xfId="29111"/>
    <cellStyle name="20% - Accent4 3 5 2 3" xfId="16739"/>
    <cellStyle name="20% - Accent4 3 5 2 3 2" xfId="32960"/>
    <cellStyle name="20% - Accent4 3 5 2 4" xfId="17821"/>
    <cellStyle name="20% - Accent4 3 5 2 4 2" xfId="34042"/>
    <cellStyle name="20% - Accent4 3 5 2 5" xfId="27460"/>
    <cellStyle name="20% - Accent4 3 5 3" xfId="9956"/>
    <cellStyle name="20% - Accent4 3 5 3 2" xfId="19577"/>
    <cellStyle name="20% - Accent4 3 5 3 2 2" xfId="35798"/>
    <cellStyle name="20% - Accent4 3 5 3 3" xfId="29110"/>
    <cellStyle name="20% - Accent4 3 5 4" xfId="15154"/>
    <cellStyle name="20% - Accent4 3 5 4 2" xfId="31376"/>
    <cellStyle name="20% - Accent4 3 5 5" xfId="17820"/>
    <cellStyle name="20% - Accent4 3 5 5 2" xfId="34041"/>
    <cellStyle name="20% - Accent4 3 5 6" xfId="27461"/>
    <cellStyle name="20% - Accent4 3 5 7" xfId="39410"/>
    <cellStyle name="20% - Accent4 3 6" xfId="6154"/>
    <cellStyle name="20% - Accent4 3 6 2" xfId="9958"/>
    <cellStyle name="20% - Accent4 3 6 2 2" xfId="19579"/>
    <cellStyle name="20% - Accent4 3 6 2 2 2" xfId="35800"/>
    <cellStyle name="20% - Accent4 3 6 2 3" xfId="29112"/>
    <cellStyle name="20% - Accent4 3 6 3" xfId="15947"/>
    <cellStyle name="20% - Accent4 3 6 3 2" xfId="32168"/>
    <cellStyle name="20% - Accent4 3 6 4" xfId="17822"/>
    <cellStyle name="20% - Accent4 3 6 4 2" xfId="34043"/>
    <cellStyle name="20% - Accent4 3 6 5" xfId="27459"/>
    <cellStyle name="20% - Accent4 3 7" xfId="9935"/>
    <cellStyle name="20% - Accent4 3 7 2" xfId="19556"/>
    <cellStyle name="20% - Accent4 3 7 2 2" xfId="35777"/>
    <cellStyle name="20% - Accent4 3 7 3" xfId="29089"/>
    <cellStyle name="20% - Accent4 3 8" xfId="14362"/>
    <cellStyle name="20% - Accent4 3 8 2" xfId="30584"/>
    <cellStyle name="20% - Accent4 3 9" xfId="17799"/>
    <cellStyle name="20% - Accent4 3 9 2" xfId="34020"/>
    <cellStyle name="20% - Accent4 4" xfId="6153"/>
    <cellStyle name="20% - Accent4 4 10" xfId="38992"/>
    <cellStyle name="20% - Accent4 4 2" xfId="6152"/>
    <cellStyle name="20% - Accent4 4 2 2" xfId="6151"/>
    <cellStyle name="20% - Accent4 4 2 2 2" xfId="6150"/>
    <cellStyle name="20% - Accent4 4 2 2 2 2" xfId="9962"/>
    <cellStyle name="20% - Accent4 4 2 2 2 2 2" xfId="19583"/>
    <cellStyle name="20% - Accent4 4 2 2 2 2 2 2" xfId="35804"/>
    <cellStyle name="20% - Accent4 4 2 2 2 2 3" xfId="29116"/>
    <cellStyle name="20% - Accent4 4 2 2 2 3" xfId="17069"/>
    <cellStyle name="20% - Accent4 4 2 2 2 3 2" xfId="33290"/>
    <cellStyle name="20% - Accent4 4 2 2 2 4" xfId="17826"/>
    <cellStyle name="20% - Accent4 4 2 2 2 4 2" xfId="34047"/>
    <cellStyle name="20% - Accent4 4 2 2 2 5" xfId="27455"/>
    <cellStyle name="20% - Accent4 4 2 2 3" xfId="9961"/>
    <cellStyle name="20% - Accent4 4 2 2 3 2" xfId="19582"/>
    <cellStyle name="20% - Accent4 4 2 2 3 2 2" xfId="35803"/>
    <cellStyle name="20% - Accent4 4 2 2 3 3" xfId="29115"/>
    <cellStyle name="20% - Accent4 4 2 2 4" xfId="15484"/>
    <cellStyle name="20% - Accent4 4 2 2 4 2" xfId="31706"/>
    <cellStyle name="20% - Accent4 4 2 2 5" xfId="17825"/>
    <cellStyle name="20% - Accent4 4 2 2 5 2" xfId="34046"/>
    <cellStyle name="20% - Accent4 4 2 2 6" xfId="27456"/>
    <cellStyle name="20% - Accent4 4 2 2 7" xfId="39182"/>
    <cellStyle name="20% - Accent4 4 2 3" xfId="6149"/>
    <cellStyle name="20% - Accent4 4 2 3 2" xfId="9963"/>
    <cellStyle name="20% - Accent4 4 2 3 2 2" xfId="19584"/>
    <cellStyle name="20% - Accent4 4 2 3 2 2 2" xfId="35805"/>
    <cellStyle name="20% - Accent4 4 2 3 2 3" xfId="29117"/>
    <cellStyle name="20% - Accent4 4 2 3 3" xfId="16277"/>
    <cellStyle name="20% - Accent4 4 2 3 3 2" xfId="32498"/>
    <cellStyle name="20% - Accent4 4 2 3 4" xfId="17827"/>
    <cellStyle name="20% - Accent4 4 2 3 4 2" xfId="34048"/>
    <cellStyle name="20% - Accent4 4 2 3 5" xfId="27454"/>
    <cellStyle name="20% - Accent4 4 2 3 6" xfId="39330"/>
    <cellStyle name="20% - Accent4 4 2 4" xfId="9960"/>
    <cellStyle name="20% - Accent4 4 2 4 2" xfId="19581"/>
    <cellStyle name="20% - Accent4 4 2 4 2 2" xfId="35802"/>
    <cellStyle name="20% - Accent4 4 2 4 3" xfId="29114"/>
    <cellStyle name="20% - Accent4 4 2 4 4" xfId="39479"/>
    <cellStyle name="20% - Accent4 4 2 5" xfId="14692"/>
    <cellStyle name="20% - Accent4 4 2 5 2" xfId="30914"/>
    <cellStyle name="20% - Accent4 4 2 6" xfId="17824"/>
    <cellStyle name="20% - Accent4 4 2 6 2" xfId="34045"/>
    <cellStyle name="20% - Accent4 4 2 7" xfId="27457"/>
    <cellStyle name="20% - Accent4 4 2 8" xfId="39034"/>
    <cellStyle name="20% - Accent4 4 3" xfId="6148"/>
    <cellStyle name="20% - Accent4 4 3 2" xfId="6147"/>
    <cellStyle name="20% - Accent4 4 3 2 2" xfId="6146"/>
    <cellStyle name="20% - Accent4 4 3 2 2 2" xfId="9966"/>
    <cellStyle name="20% - Accent4 4 3 2 2 2 2" xfId="19587"/>
    <cellStyle name="20% - Accent4 4 3 2 2 2 2 2" xfId="35808"/>
    <cellStyle name="20% - Accent4 4 3 2 2 2 3" xfId="29120"/>
    <cellStyle name="20% - Accent4 4 3 2 2 3" xfId="17333"/>
    <cellStyle name="20% - Accent4 4 3 2 2 3 2" xfId="33554"/>
    <cellStyle name="20% - Accent4 4 3 2 2 4" xfId="17830"/>
    <cellStyle name="20% - Accent4 4 3 2 2 4 2" xfId="34051"/>
    <cellStyle name="20% - Accent4 4 3 2 2 5" xfId="27451"/>
    <cellStyle name="20% - Accent4 4 3 2 3" xfId="9965"/>
    <cellStyle name="20% - Accent4 4 3 2 3 2" xfId="19586"/>
    <cellStyle name="20% - Accent4 4 3 2 3 2 2" xfId="35807"/>
    <cellStyle name="20% - Accent4 4 3 2 3 3" xfId="29119"/>
    <cellStyle name="20% - Accent4 4 3 2 4" xfId="15748"/>
    <cellStyle name="20% - Accent4 4 3 2 4 2" xfId="31970"/>
    <cellStyle name="20% - Accent4 4 3 2 5" xfId="17829"/>
    <cellStyle name="20% - Accent4 4 3 2 5 2" xfId="34050"/>
    <cellStyle name="20% - Accent4 4 3 2 6" xfId="27452"/>
    <cellStyle name="20% - Accent4 4 3 3" xfId="6145"/>
    <cellStyle name="20% - Accent4 4 3 3 2" xfId="9967"/>
    <cellStyle name="20% - Accent4 4 3 3 2 2" xfId="19588"/>
    <cellStyle name="20% - Accent4 4 3 3 2 2 2" xfId="35809"/>
    <cellStyle name="20% - Accent4 4 3 3 2 3" xfId="29121"/>
    <cellStyle name="20% - Accent4 4 3 3 3" xfId="16541"/>
    <cellStyle name="20% - Accent4 4 3 3 3 2" xfId="32762"/>
    <cellStyle name="20% - Accent4 4 3 3 4" xfId="17831"/>
    <cellStyle name="20% - Accent4 4 3 3 4 2" xfId="34052"/>
    <cellStyle name="20% - Accent4 4 3 3 5" xfId="27450"/>
    <cellStyle name="20% - Accent4 4 3 4" xfId="9964"/>
    <cellStyle name="20% - Accent4 4 3 4 2" xfId="19585"/>
    <cellStyle name="20% - Accent4 4 3 4 2 2" xfId="35806"/>
    <cellStyle name="20% - Accent4 4 3 4 3" xfId="29118"/>
    <cellStyle name="20% - Accent4 4 3 5" xfId="14956"/>
    <cellStyle name="20% - Accent4 4 3 5 2" xfId="31178"/>
    <cellStyle name="20% - Accent4 4 3 6" xfId="17828"/>
    <cellStyle name="20% - Accent4 4 3 6 2" xfId="34049"/>
    <cellStyle name="20% - Accent4 4 3 7" xfId="27453"/>
    <cellStyle name="20% - Accent4 4 3 8" xfId="39126"/>
    <cellStyle name="20% - Accent4 4 4" xfId="6144"/>
    <cellStyle name="20% - Accent4 4 4 2" xfId="6143"/>
    <cellStyle name="20% - Accent4 4 4 2 2" xfId="9969"/>
    <cellStyle name="20% - Accent4 4 4 2 2 2" xfId="19590"/>
    <cellStyle name="20% - Accent4 4 4 2 2 2 2" xfId="35811"/>
    <cellStyle name="20% - Accent4 4 4 2 2 3" xfId="29123"/>
    <cellStyle name="20% - Accent4 4 4 2 3" xfId="16805"/>
    <cellStyle name="20% - Accent4 4 4 2 3 2" xfId="33026"/>
    <cellStyle name="20% - Accent4 4 4 2 4" xfId="17833"/>
    <cellStyle name="20% - Accent4 4 4 2 4 2" xfId="34054"/>
    <cellStyle name="20% - Accent4 4 4 2 5" xfId="27448"/>
    <cellStyle name="20% - Accent4 4 4 3" xfId="9968"/>
    <cellStyle name="20% - Accent4 4 4 3 2" xfId="19589"/>
    <cellStyle name="20% - Accent4 4 4 3 2 2" xfId="35810"/>
    <cellStyle name="20% - Accent4 4 4 3 3" xfId="29122"/>
    <cellStyle name="20% - Accent4 4 4 4" xfId="15220"/>
    <cellStyle name="20% - Accent4 4 4 4 2" xfId="31442"/>
    <cellStyle name="20% - Accent4 4 4 5" xfId="17832"/>
    <cellStyle name="20% - Accent4 4 4 5 2" xfId="34053"/>
    <cellStyle name="20% - Accent4 4 4 6" xfId="27449"/>
    <cellStyle name="20% - Accent4 4 4 7" xfId="39274"/>
    <cellStyle name="20% - Accent4 4 5" xfId="6142"/>
    <cellStyle name="20% - Accent4 4 5 2" xfId="9970"/>
    <cellStyle name="20% - Accent4 4 5 2 2" xfId="19591"/>
    <cellStyle name="20% - Accent4 4 5 2 2 2" xfId="35812"/>
    <cellStyle name="20% - Accent4 4 5 2 3" xfId="29124"/>
    <cellStyle name="20% - Accent4 4 5 3" xfId="16013"/>
    <cellStyle name="20% - Accent4 4 5 3 2" xfId="32234"/>
    <cellStyle name="20% - Accent4 4 5 4" xfId="17834"/>
    <cellStyle name="20% - Accent4 4 5 4 2" xfId="34055"/>
    <cellStyle name="20% - Accent4 4 5 5" xfId="27447"/>
    <cellStyle name="20% - Accent4 4 5 6" xfId="39423"/>
    <cellStyle name="20% - Accent4 4 6" xfId="9959"/>
    <cellStyle name="20% - Accent4 4 6 2" xfId="19580"/>
    <cellStyle name="20% - Accent4 4 6 2 2" xfId="35801"/>
    <cellStyle name="20% - Accent4 4 6 3" xfId="29113"/>
    <cellStyle name="20% - Accent4 4 7" xfId="14428"/>
    <cellStyle name="20% - Accent4 4 7 2" xfId="30650"/>
    <cellStyle name="20% - Accent4 4 8" xfId="17823"/>
    <cellStyle name="20% - Accent4 4 8 2" xfId="34044"/>
    <cellStyle name="20% - Accent4 4 9" xfId="27458"/>
    <cellStyle name="20% - Accent4 5" xfId="6141"/>
    <cellStyle name="20% - Accent4 5 2" xfId="6140"/>
    <cellStyle name="20% - Accent4 5 2 2" xfId="6139"/>
    <cellStyle name="20% - Accent4 5 2 2 2" xfId="9973"/>
    <cellStyle name="20% - Accent4 5 2 2 2 2" xfId="19594"/>
    <cellStyle name="20% - Accent4 5 2 2 2 2 2" xfId="35815"/>
    <cellStyle name="20% - Accent4 5 2 2 2 3" xfId="29127"/>
    <cellStyle name="20% - Accent4 5 2 2 3" xfId="16937"/>
    <cellStyle name="20% - Accent4 5 2 2 3 2" xfId="33158"/>
    <cellStyle name="20% - Accent4 5 2 2 4" xfId="17837"/>
    <cellStyle name="20% - Accent4 5 2 2 4 2" xfId="34058"/>
    <cellStyle name="20% - Accent4 5 2 2 5" xfId="27444"/>
    <cellStyle name="20% - Accent4 5 2 3" xfId="9972"/>
    <cellStyle name="20% - Accent4 5 2 3 2" xfId="19593"/>
    <cellStyle name="20% - Accent4 5 2 3 2 2" xfId="35814"/>
    <cellStyle name="20% - Accent4 5 2 3 3" xfId="29126"/>
    <cellStyle name="20% - Accent4 5 2 4" xfId="15352"/>
    <cellStyle name="20% - Accent4 5 2 4 2" xfId="31574"/>
    <cellStyle name="20% - Accent4 5 2 5" xfId="17836"/>
    <cellStyle name="20% - Accent4 5 2 5 2" xfId="34057"/>
    <cellStyle name="20% - Accent4 5 2 6" xfId="27445"/>
    <cellStyle name="20% - Accent4 5 2 7" xfId="39135"/>
    <cellStyle name="20% - Accent4 5 3" xfId="6138"/>
    <cellStyle name="20% - Accent4 5 3 2" xfId="9974"/>
    <cellStyle name="20% - Accent4 5 3 2 2" xfId="19595"/>
    <cellStyle name="20% - Accent4 5 3 2 2 2" xfId="35816"/>
    <cellStyle name="20% - Accent4 5 3 2 3" xfId="29128"/>
    <cellStyle name="20% - Accent4 5 3 3" xfId="16145"/>
    <cellStyle name="20% - Accent4 5 3 3 2" xfId="32366"/>
    <cellStyle name="20% - Accent4 5 3 4" xfId="17838"/>
    <cellStyle name="20% - Accent4 5 3 4 2" xfId="34059"/>
    <cellStyle name="20% - Accent4 5 3 5" xfId="27443"/>
    <cellStyle name="20% - Accent4 5 3 6" xfId="39283"/>
    <cellStyle name="20% - Accent4 5 4" xfId="9971"/>
    <cellStyle name="20% - Accent4 5 4 2" xfId="19592"/>
    <cellStyle name="20% - Accent4 5 4 2 2" xfId="35813"/>
    <cellStyle name="20% - Accent4 5 4 3" xfId="29125"/>
    <cellStyle name="20% - Accent4 5 4 4" xfId="39432"/>
    <cellStyle name="20% - Accent4 5 5" xfId="14560"/>
    <cellStyle name="20% - Accent4 5 5 2" xfId="30782"/>
    <cellStyle name="20% - Accent4 5 6" xfId="17835"/>
    <cellStyle name="20% - Accent4 5 6 2" xfId="34056"/>
    <cellStyle name="20% - Accent4 5 7" xfId="27446"/>
    <cellStyle name="20% - Accent4 5 8" xfId="39001"/>
    <cellStyle name="20% - Accent4 6" xfId="6137"/>
    <cellStyle name="20% - Accent4 6 2" xfId="6136"/>
    <cellStyle name="20% - Accent4 6 2 2" xfId="6135"/>
    <cellStyle name="20% - Accent4 6 2 2 2" xfId="9977"/>
    <cellStyle name="20% - Accent4 6 2 2 2 2" xfId="19598"/>
    <cellStyle name="20% - Accent4 6 2 2 2 2 2" xfId="35819"/>
    <cellStyle name="20% - Accent4 6 2 2 2 3" xfId="29131"/>
    <cellStyle name="20% - Accent4 6 2 2 3" xfId="17201"/>
    <cellStyle name="20% - Accent4 6 2 2 3 2" xfId="33422"/>
    <cellStyle name="20% - Accent4 6 2 2 4" xfId="17841"/>
    <cellStyle name="20% - Accent4 6 2 2 4 2" xfId="34062"/>
    <cellStyle name="20% - Accent4 6 2 2 5" xfId="27440"/>
    <cellStyle name="20% - Accent4 6 2 3" xfId="9976"/>
    <cellStyle name="20% - Accent4 6 2 3 2" xfId="19597"/>
    <cellStyle name="20% - Accent4 6 2 3 2 2" xfId="35818"/>
    <cellStyle name="20% - Accent4 6 2 3 3" xfId="29130"/>
    <cellStyle name="20% - Accent4 6 2 4" xfId="15616"/>
    <cellStyle name="20% - Accent4 6 2 4 2" xfId="31838"/>
    <cellStyle name="20% - Accent4 6 2 5" xfId="17840"/>
    <cellStyle name="20% - Accent4 6 2 5 2" xfId="34061"/>
    <cellStyle name="20% - Accent4 6 2 6" xfId="27441"/>
    <cellStyle name="20% - Accent4 6 3" xfId="6134"/>
    <cellStyle name="20% - Accent4 6 3 2" xfId="9978"/>
    <cellStyle name="20% - Accent4 6 3 2 2" xfId="19599"/>
    <cellStyle name="20% - Accent4 6 3 2 2 2" xfId="35820"/>
    <cellStyle name="20% - Accent4 6 3 2 3" xfId="29132"/>
    <cellStyle name="20% - Accent4 6 3 3" xfId="16409"/>
    <cellStyle name="20% - Accent4 6 3 3 2" xfId="32630"/>
    <cellStyle name="20% - Accent4 6 3 4" xfId="17842"/>
    <cellStyle name="20% - Accent4 6 3 4 2" xfId="34063"/>
    <cellStyle name="20% - Accent4 6 3 5" xfId="27439"/>
    <cellStyle name="20% - Accent4 6 4" xfId="9975"/>
    <cellStyle name="20% - Accent4 6 4 2" xfId="19596"/>
    <cellStyle name="20% - Accent4 6 4 2 2" xfId="35817"/>
    <cellStyle name="20% - Accent4 6 4 3" xfId="29129"/>
    <cellStyle name="20% - Accent4 6 5" xfId="14824"/>
    <cellStyle name="20% - Accent4 6 5 2" xfId="31046"/>
    <cellStyle name="20% - Accent4 6 6" xfId="17839"/>
    <cellStyle name="20% - Accent4 6 6 2" xfId="34060"/>
    <cellStyle name="20% - Accent4 6 7" xfId="27442"/>
    <cellStyle name="20% - Accent4 6 8" xfId="39082"/>
    <cellStyle name="20% - Accent4 7" xfId="6133"/>
    <cellStyle name="20% - Accent4 7 2" xfId="6132"/>
    <cellStyle name="20% - Accent4 7 2 2" xfId="9980"/>
    <cellStyle name="20% - Accent4 7 2 2 2" xfId="19601"/>
    <cellStyle name="20% - Accent4 7 2 2 2 2" xfId="35822"/>
    <cellStyle name="20% - Accent4 7 2 2 3" xfId="29134"/>
    <cellStyle name="20% - Accent4 7 2 3" xfId="16673"/>
    <cellStyle name="20% - Accent4 7 2 3 2" xfId="32894"/>
    <cellStyle name="20% - Accent4 7 2 4" xfId="17844"/>
    <cellStyle name="20% - Accent4 7 2 4 2" xfId="34065"/>
    <cellStyle name="20% - Accent4 7 2 5" xfId="27437"/>
    <cellStyle name="20% - Accent4 7 3" xfId="9979"/>
    <cellStyle name="20% - Accent4 7 3 2" xfId="19600"/>
    <cellStyle name="20% - Accent4 7 3 2 2" xfId="35821"/>
    <cellStyle name="20% - Accent4 7 3 3" xfId="29133"/>
    <cellStyle name="20% - Accent4 7 4" xfId="15088"/>
    <cellStyle name="20% - Accent4 7 4 2" xfId="31310"/>
    <cellStyle name="20% - Accent4 7 5" xfId="17843"/>
    <cellStyle name="20% - Accent4 7 5 2" xfId="34064"/>
    <cellStyle name="20% - Accent4 7 6" xfId="27438"/>
    <cellStyle name="20% - Accent4 7 7" xfId="39230"/>
    <cellStyle name="20% - Accent4 8" xfId="5735"/>
    <cellStyle name="20% - Accent4 8 2" xfId="9981"/>
    <cellStyle name="20% - Accent4 8 2 2" xfId="19602"/>
    <cellStyle name="20% - Accent4 8 2 2 2" xfId="35823"/>
    <cellStyle name="20% - Accent4 8 2 3" xfId="29135"/>
    <cellStyle name="20% - Accent4 8 3" xfId="15880"/>
    <cellStyle name="20% - Accent4 8 3 2" xfId="32101"/>
    <cellStyle name="20% - Accent4 8 4" xfId="17845"/>
    <cellStyle name="20% - Accent4 8 4 2" xfId="34066"/>
    <cellStyle name="20% - Accent4 8 5" xfId="27041"/>
    <cellStyle name="20% - Accent4 8 6" xfId="39379"/>
    <cellStyle name="20% - Accent4 9" xfId="9886"/>
    <cellStyle name="20% - Accent4 9 2" xfId="19507"/>
    <cellStyle name="20% - Accent4 9 2 2" xfId="35728"/>
    <cellStyle name="20% - Accent4 9 3" xfId="29040"/>
    <cellStyle name="20% - Accent5" xfId="40" builtinId="46" customBuiltin="1"/>
    <cellStyle name="20% - Accent5 10" xfId="14228"/>
    <cellStyle name="20% - Accent5 10 2" xfId="30515"/>
    <cellStyle name="20% - Accent5 11" xfId="17846"/>
    <cellStyle name="20% - Accent5 11 2" xfId="34067"/>
    <cellStyle name="20% - Accent5 12" xfId="26991"/>
    <cellStyle name="20% - Accent5 13" xfId="38910"/>
    <cellStyle name="20% - Accent5 14" xfId="4846"/>
    <cellStyle name="20% - Accent5 2" xfId="4870"/>
    <cellStyle name="20% - Accent5 2 10" xfId="17847"/>
    <cellStyle name="20% - Accent5 2 10 2" xfId="34068"/>
    <cellStyle name="20% - Accent5 2 11" xfId="27006"/>
    <cellStyle name="20% - Accent5 2 12" xfId="38772"/>
    <cellStyle name="20% - Accent5 2 2" xfId="6131"/>
    <cellStyle name="20% - Accent5 2 2 10" xfId="27436"/>
    <cellStyle name="20% - Accent5 2 2 11" xfId="38968"/>
    <cellStyle name="20% - Accent5 2 2 2" xfId="6130"/>
    <cellStyle name="20% - Accent5 2 2 2 10" xfId="39158"/>
    <cellStyle name="20% - Accent5 2 2 2 2" xfId="6129"/>
    <cellStyle name="20% - Accent5 2 2 2 2 2" xfId="6128"/>
    <cellStyle name="20% - Accent5 2 2 2 2 2 2" xfId="6127"/>
    <cellStyle name="20% - Accent5 2 2 2 2 2 2 2" xfId="9988"/>
    <cellStyle name="20% - Accent5 2 2 2 2 2 2 2 2" xfId="19609"/>
    <cellStyle name="20% - Accent5 2 2 2 2 2 2 2 2 2" xfId="35830"/>
    <cellStyle name="20% - Accent5 2 2 2 2 2 2 2 3" xfId="29142"/>
    <cellStyle name="20% - Accent5 2 2 2 2 2 2 3" xfId="17169"/>
    <cellStyle name="20% - Accent5 2 2 2 2 2 2 3 2" xfId="33390"/>
    <cellStyle name="20% - Accent5 2 2 2 2 2 2 4" xfId="17852"/>
    <cellStyle name="20% - Accent5 2 2 2 2 2 2 4 2" xfId="34073"/>
    <cellStyle name="20% - Accent5 2 2 2 2 2 2 5" xfId="27432"/>
    <cellStyle name="20% - Accent5 2 2 2 2 2 3" xfId="9987"/>
    <cellStyle name="20% - Accent5 2 2 2 2 2 3 2" xfId="19608"/>
    <cellStyle name="20% - Accent5 2 2 2 2 2 3 2 2" xfId="35829"/>
    <cellStyle name="20% - Accent5 2 2 2 2 2 3 3" xfId="29141"/>
    <cellStyle name="20% - Accent5 2 2 2 2 2 4" xfId="15584"/>
    <cellStyle name="20% - Accent5 2 2 2 2 2 4 2" xfId="31806"/>
    <cellStyle name="20% - Accent5 2 2 2 2 2 5" xfId="17851"/>
    <cellStyle name="20% - Accent5 2 2 2 2 2 5 2" xfId="34072"/>
    <cellStyle name="20% - Accent5 2 2 2 2 2 6" xfId="27433"/>
    <cellStyle name="20% - Accent5 2 2 2 2 3" xfId="6126"/>
    <cellStyle name="20% - Accent5 2 2 2 2 3 2" xfId="9989"/>
    <cellStyle name="20% - Accent5 2 2 2 2 3 2 2" xfId="19610"/>
    <cellStyle name="20% - Accent5 2 2 2 2 3 2 2 2" xfId="35831"/>
    <cellStyle name="20% - Accent5 2 2 2 2 3 2 3" xfId="29143"/>
    <cellStyle name="20% - Accent5 2 2 2 2 3 3" xfId="16377"/>
    <cellStyle name="20% - Accent5 2 2 2 2 3 3 2" xfId="32598"/>
    <cellStyle name="20% - Accent5 2 2 2 2 3 4" xfId="17853"/>
    <cellStyle name="20% - Accent5 2 2 2 2 3 4 2" xfId="34074"/>
    <cellStyle name="20% - Accent5 2 2 2 2 3 5" xfId="27431"/>
    <cellStyle name="20% - Accent5 2 2 2 2 4" xfId="9986"/>
    <cellStyle name="20% - Accent5 2 2 2 2 4 2" xfId="19607"/>
    <cellStyle name="20% - Accent5 2 2 2 2 4 2 2" xfId="35828"/>
    <cellStyle name="20% - Accent5 2 2 2 2 4 3" xfId="29140"/>
    <cellStyle name="20% - Accent5 2 2 2 2 5" xfId="14792"/>
    <cellStyle name="20% - Accent5 2 2 2 2 5 2" xfId="31014"/>
    <cellStyle name="20% - Accent5 2 2 2 2 6" xfId="17850"/>
    <cellStyle name="20% - Accent5 2 2 2 2 6 2" xfId="34071"/>
    <cellStyle name="20% - Accent5 2 2 2 2 7" xfId="27434"/>
    <cellStyle name="20% - Accent5 2 2 2 3" xfId="6125"/>
    <cellStyle name="20% - Accent5 2 2 2 3 2" xfId="6124"/>
    <cellStyle name="20% - Accent5 2 2 2 3 2 2" xfId="6123"/>
    <cellStyle name="20% - Accent5 2 2 2 3 2 2 2" xfId="9992"/>
    <cellStyle name="20% - Accent5 2 2 2 3 2 2 2 2" xfId="19613"/>
    <cellStyle name="20% - Accent5 2 2 2 3 2 2 2 2 2" xfId="35834"/>
    <cellStyle name="20% - Accent5 2 2 2 3 2 2 2 3" xfId="29146"/>
    <cellStyle name="20% - Accent5 2 2 2 3 2 2 3" xfId="17433"/>
    <cellStyle name="20% - Accent5 2 2 2 3 2 2 3 2" xfId="33654"/>
    <cellStyle name="20% - Accent5 2 2 2 3 2 2 4" xfId="17856"/>
    <cellStyle name="20% - Accent5 2 2 2 3 2 2 4 2" xfId="34077"/>
    <cellStyle name="20% - Accent5 2 2 2 3 2 2 5" xfId="27428"/>
    <cellStyle name="20% - Accent5 2 2 2 3 2 3" xfId="9991"/>
    <cellStyle name="20% - Accent5 2 2 2 3 2 3 2" xfId="19612"/>
    <cellStyle name="20% - Accent5 2 2 2 3 2 3 2 2" xfId="35833"/>
    <cellStyle name="20% - Accent5 2 2 2 3 2 3 3" xfId="29145"/>
    <cellStyle name="20% - Accent5 2 2 2 3 2 4" xfId="15848"/>
    <cellStyle name="20% - Accent5 2 2 2 3 2 4 2" xfId="32070"/>
    <cellStyle name="20% - Accent5 2 2 2 3 2 5" xfId="17855"/>
    <cellStyle name="20% - Accent5 2 2 2 3 2 5 2" xfId="34076"/>
    <cellStyle name="20% - Accent5 2 2 2 3 2 6" xfId="27429"/>
    <cellStyle name="20% - Accent5 2 2 2 3 3" xfId="6122"/>
    <cellStyle name="20% - Accent5 2 2 2 3 3 2" xfId="9993"/>
    <cellStyle name="20% - Accent5 2 2 2 3 3 2 2" xfId="19614"/>
    <cellStyle name="20% - Accent5 2 2 2 3 3 2 2 2" xfId="35835"/>
    <cellStyle name="20% - Accent5 2 2 2 3 3 2 3" xfId="29147"/>
    <cellStyle name="20% - Accent5 2 2 2 3 3 3" xfId="16641"/>
    <cellStyle name="20% - Accent5 2 2 2 3 3 3 2" xfId="32862"/>
    <cellStyle name="20% - Accent5 2 2 2 3 3 4" xfId="17857"/>
    <cellStyle name="20% - Accent5 2 2 2 3 3 4 2" xfId="34078"/>
    <cellStyle name="20% - Accent5 2 2 2 3 3 5" xfId="27427"/>
    <cellStyle name="20% - Accent5 2 2 2 3 4" xfId="9990"/>
    <cellStyle name="20% - Accent5 2 2 2 3 4 2" xfId="19611"/>
    <cellStyle name="20% - Accent5 2 2 2 3 4 2 2" xfId="35832"/>
    <cellStyle name="20% - Accent5 2 2 2 3 4 3" xfId="29144"/>
    <cellStyle name="20% - Accent5 2 2 2 3 5" xfId="15056"/>
    <cellStyle name="20% - Accent5 2 2 2 3 5 2" xfId="31278"/>
    <cellStyle name="20% - Accent5 2 2 2 3 6" xfId="17854"/>
    <cellStyle name="20% - Accent5 2 2 2 3 6 2" xfId="34075"/>
    <cellStyle name="20% - Accent5 2 2 2 3 7" xfId="27430"/>
    <cellStyle name="20% - Accent5 2 2 2 4" xfId="6075"/>
    <cellStyle name="20% - Accent5 2 2 2 4 2" xfId="6121"/>
    <cellStyle name="20% - Accent5 2 2 2 4 2 2" xfId="9995"/>
    <cellStyle name="20% - Accent5 2 2 2 4 2 2 2" xfId="19616"/>
    <cellStyle name="20% - Accent5 2 2 2 4 2 2 2 2" xfId="35837"/>
    <cellStyle name="20% - Accent5 2 2 2 4 2 2 3" xfId="29149"/>
    <cellStyle name="20% - Accent5 2 2 2 4 2 3" xfId="16905"/>
    <cellStyle name="20% - Accent5 2 2 2 4 2 3 2" xfId="33126"/>
    <cellStyle name="20% - Accent5 2 2 2 4 2 4" xfId="17859"/>
    <cellStyle name="20% - Accent5 2 2 2 4 2 4 2" xfId="34080"/>
    <cellStyle name="20% - Accent5 2 2 2 4 2 5" xfId="27426"/>
    <cellStyle name="20% - Accent5 2 2 2 4 3" xfId="9994"/>
    <cellStyle name="20% - Accent5 2 2 2 4 3 2" xfId="19615"/>
    <cellStyle name="20% - Accent5 2 2 2 4 3 2 2" xfId="35836"/>
    <cellStyle name="20% - Accent5 2 2 2 4 3 3" xfId="29148"/>
    <cellStyle name="20% - Accent5 2 2 2 4 4" xfId="15320"/>
    <cellStyle name="20% - Accent5 2 2 2 4 4 2" xfId="31542"/>
    <cellStyle name="20% - Accent5 2 2 2 4 5" xfId="17858"/>
    <cellStyle name="20% - Accent5 2 2 2 4 5 2" xfId="34079"/>
    <cellStyle name="20% - Accent5 2 2 2 4 6" xfId="27380"/>
    <cellStyle name="20% - Accent5 2 2 2 5" xfId="6120"/>
    <cellStyle name="20% - Accent5 2 2 2 5 2" xfId="9996"/>
    <cellStyle name="20% - Accent5 2 2 2 5 2 2" xfId="19617"/>
    <cellStyle name="20% - Accent5 2 2 2 5 2 2 2" xfId="35838"/>
    <cellStyle name="20% - Accent5 2 2 2 5 2 3" xfId="29150"/>
    <cellStyle name="20% - Accent5 2 2 2 5 3" xfId="16113"/>
    <cellStyle name="20% - Accent5 2 2 2 5 3 2" xfId="32334"/>
    <cellStyle name="20% - Accent5 2 2 2 5 4" xfId="17860"/>
    <cellStyle name="20% - Accent5 2 2 2 5 4 2" xfId="34081"/>
    <cellStyle name="20% - Accent5 2 2 2 5 5" xfId="27425"/>
    <cellStyle name="20% - Accent5 2 2 2 6" xfId="9985"/>
    <cellStyle name="20% - Accent5 2 2 2 6 2" xfId="19606"/>
    <cellStyle name="20% - Accent5 2 2 2 6 2 2" xfId="35827"/>
    <cellStyle name="20% - Accent5 2 2 2 6 3" xfId="29139"/>
    <cellStyle name="20% - Accent5 2 2 2 7" xfId="14528"/>
    <cellStyle name="20% - Accent5 2 2 2 7 2" xfId="30750"/>
    <cellStyle name="20% - Accent5 2 2 2 8" xfId="17849"/>
    <cellStyle name="20% - Accent5 2 2 2 8 2" xfId="34070"/>
    <cellStyle name="20% - Accent5 2 2 2 9" xfId="27435"/>
    <cellStyle name="20% - Accent5 2 2 3" xfId="6119"/>
    <cellStyle name="20% - Accent5 2 2 3 2" xfId="6118"/>
    <cellStyle name="20% - Accent5 2 2 3 2 2" xfId="6117"/>
    <cellStyle name="20% - Accent5 2 2 3 2 2 2" xfId="9999"/>
    <cellStyle name="20% - Accent5 2 2 3 2 2 2 2" xfId="19620"/>
    <cellStyle name="20% - Accent5 2 2 3 2 2 2 2 2" xfId="35841"/>
    <cellStyle name="20% - Accent5 2 2 3 2 2 2 3" xfId="29153"/>
    <cellStyle name="20% - Accent5 2 2 3 2 2 3" xfId="17037"/>
    <cellStyle name="20% - Accent5 2 2 3 2 2 3 2" xfId="33258"/>
    <cellStyle name="20% - Accent5 2 2 3 2 2 4" xfId="17863"/>
    <cellStyle name="20% - Accent5 2 2 3 2 2 4 2" xfId="34084"/>
    <cellStyle name="20% - Accent5 2 2 3 2 2 5" xfId="27422"/>
    <cellStyle name="20% - Accent5 2 2 3 2 3" xfId="9998"/>
    <cellStyle name="20% - Accent5 2 2 3 2 3 2" xfId="19619"/>
    <cellStyle name="20% - Accent5 2 2 3 2 3 2 2" xfId="35840"/>
    <cellStyle name="20% - Accent5 2 2 3 2 3 3" xfId="29152"/>
    <cellStyle name="20% - Accent5 2 2 3 2 4" xfId="15452"/>
    <cellStyle name="20% - Accent5 2 2 3 2 4 2" xfId="31674"/>
    <cellStyle name="20% - Accent5 2 2 3 2 5" xfId="17862"/>
    <cellStyle name="20% - Accent5 2 2 3 2 5 2" xfId="34083"/>
    <cellStyle name="20% - Accent5 2 2 3 2 6" xfId="27423"/>
    <cellStyle name="20% - Accent5 2 2 3 3" xfId="6116"/>
    <cellStyle name="20% - Accent5 2 2 3 3 2" xfId="10000"/>
    <cellStyle name="20% - Accent5 2 2 3 3 2 2" xfId="19621"/>
    <cellStyle name="20% - Accent5 2 2 3 3 2 2 2" xfId="35842"/>
    <cellStyle name="20% - Accent5 2 2 3 3 2 3" xfId="29154"/>
    <cellStyle name="20% - Accent5 2 2 3 3 3" xfId="16245"/>
    <cellStyle name="20% - Accent5 2 2 3 3 3 2" xfId="32466"/>
    <cellStyle name="20% - Accent5 2 2 3 3 4" xfId="17864"/>
    <cellStyle name="20% - Accent5 2 2 3 3 4 2" xfId="34085"/>
    <cellStyle name="20% - Accent5 2 2 3 3 5" xfId="27421"/>
    <cellStyle name="20% - Accent5 2 2 3 4" xfId="9997"/>
    <cellStyle name="20% - Accent5 2 2 3 4 2" xfId="19618"/>
    <cellStyle name="20% - Accent5 2 2 3 4 2 2" xfId="35839"/>
    <cellStyle name="20% - Accent5 2 2 3 4 3" xfId="29151"/>
    <cellStyle name="20% - Accent5 2 2 3 5" xfId="14660"/>
    <cellStyle name="20% - Accent5 2 2 3 5 2" xfId="30882"/>
    <cellStyle name="20% - Accent5 2 2 3 6" xfId="17861"/>
    <cellStyle name="20% - Accent5 2 2 3 6 2" xfId="34082"/>
    <cellStyle name="20% - Accent5 2 2 3 7" xfId="27424"/>
    <cellStyle name="20% - Accent5 2 2 3 8" xfId="39306"/>
    <cellStyle name="20% - Accent5 2 2 4" xfId="6115"/>
    <cellStyle name="20% - Accent5 2 2 4 2" xfId="6114"/>
    <cellStyle name="20% - Accent5 2 2 4 2 2" xfId="6113"/>
    <cellStyle name="20% - Accent5 2 2 4 2 2 2" xfId="10003"/>
    <cellStyle name="20% - Accent5 2 2 4 2 2 2 2" xfId="19624"/>
    <cellStyle name="20% - Accent5 2 2 4 2 2 2 2 2" xfId="35845"/>
    <cellStyle name="20% - Accent5 2 2 4 2 2 2 3" xfId="29157"/>
    <cellStyle name="20% - Accent5 2 2 4 2 2 3" xfId="17301"/>
    <cellStyle name="20% - Accent5 2 2 4 2 2 3 2" xfId="33522"/>
    <cellStyle name="20% - Accent5 2 2 4 2 2 4" xfId="17867"/>
    <cellStyle name="20% - Accent5 2 2 4 2 2 4 2" xfId="34088"/>
    <cellStyle name="20% - Accent5 2 2 4 2 2 5" xfId="27418"/>
    <cellStyle name="20% - Accent5 2 2 4 2 3" xfId="10002"/>
    <cellStyle name="20% - Accent5 2 2 4 2 3 2" xfId="19623"/>
    <cellStyle name="20% - Accent5 2 2 4 2 3 2 2" xfId="35844"/>
    <cellStyle name="20% - Accent5 2 2 4 2 3 3" xfId="29156"/>
    <cellStyle name="20% - Accent5 2 2 4 2 4" xfId="15716"/>
    <cellStyle name="20% - Accent5 2 2 4 2 4 2" xfId="31938"/>
    <cellStyle name="20% - Accent5 2 2 4 2 5" xfId="17866"/>
    <cellStyle name="20% - Accent5 2 2 4 2 5 2" xfId="34087"/>
    <cellStyle name="20% - Accent5 2 2 4 2 6" xfId="27419"/>
    <cellStyle name="20% - Accent5 2 2 4 3" xfId="6112"/>
    <cellStyle name="20% - Accent5 2 2 4 3 2" xfId="10004"/>
    <cellStyle name="20% - Accent5 2 2 4 3 2 2" xfId="19625"/>
    <cellStyle name="20% - Accent5 2 2 4 3 2 2 2" xfId="35846"/>
    <cellStyle name="20% - Accent5 2 2 4 3 2 3" xfId="29158"/>
    <cellStyle name="20% - Accent5 2 2 4 3 3" xfId="16509"/>
    <cellStyle name="20% - Accent5 2 2 4 3 3 2" xfId="32730"/>
    <cellStyle name="20% - Accent5 2 2 4 3 4" xfId="17868"/>
    <cellStyle name="20% - Accent5 2 2 4 3 4 2" xfId="34089"/>
    <cellStyle name="20% - Accent5 2 2 4 3 5" xfId="27417"/>
    <cellStyle name="20% - Accent5 2 2 4 4" xfId="10001"/>
    <cellStyle name="20% - Accent5 2 2 4 4 2" xfId="19622"/>
    <cellStyle name="20% - Accent5 2 2 4 4 2 2" xfId="35843"/>
    <cellStyle name="20% - Accent5 2 2 4 4 3" xfId="29155"/>
    <cellStyle name="20% - Accent5 2 2 4 5" xfId="14924"/>
    <cellStyle name="20% - Accent5 2 2 4 5 2" xfId="31146"/>
    <cellStyle name="20% - Accent5 2 2 4 6" xfId="17865"/>
    <cellStyle name="20% - Accent5 2 2 4 6 2" xfId="34086"/>
    <cellStyle name="20% - Accent5 2 2 4 7" xfId="27420"/>
    <cellStyle name="20% - Accent5 2 2 4 8" xfId="39455"/>
    <cellStyle name="20% - Accent5 2 2 5" xfId="6111"/>
    <cellStyle name="20% - Accent5 2 2 5 2" xfId="6110"/>
    <cellStyle name="20% - Accent5 2 2 5 2 2" xfId="10006"/>
    <cellStyle name="20% - Accent5 2 2 5 2 2 2" xfId="19627"/>
    <cellStyle name="20% - Accent5 2 2 5 2 2 2 2" xfId="35848"/>
    <cellStyle name="20% - Accent5 2 2 5 2 2 3" xfId="29160"/>
    <cellStyle name="20% - Accent5 2 2 5 2 3" xfId="16773"/>
    <cellStyle name="20% - Accent5 2 2 5 2 3 2" xfId="32994"/>
    <cellStyle name="20% - Accent5 2 2 5 2 4" xfId="17870"/>
    <cellStyle name="20% - Accent5 2 2 5 2 4 2" xfId="34091"/>
    <cellStyle name="20% - Accent5 2 2 5 2 5" xfId="27415"/>
    <cellStyle name="20% - Accent5 2 2 5 3" xfId="10005"/>
    <cellStyle name="20% - Accent5 2 2 5 3 2" xfId="19626"/>
    <cellStyle name="20% - Accent5 2 2 5 3 2 2" xfId="35847"/>
    <cellStyle name="20% - Accent5 2 2 5 3 3" xfId="29159"/>
    <cellStyle name="20% - Accent5 2 2 5 4" xfId="15188"/>
    <cellStyle name="20% - Accent5 2 2 5 4 2" xfId="31410"/>
    <cellStyle name="20% - Accent5 2 2 5 5" xfId="17869"/>
    <cellStyle name="20% - Accent5 2 2 5 5 2" xfId="34090"/>
    <cellStyle name="20% - Accent5 2 2 5 6" xfId="27416"/>
    <cellStyle name="20% - Accent5 2 2 6" xfId="6109"/>
    <cellStyle name="20% - Accent5 2 2 6 2" xfId="10007"/>
    <cellStyle name="20% - Accent5 2 2 6 2 2" xfId="19628"/>
    <cellStyle name="20% - Accent5 2 2 6 2 2 2" xfId="35849"/>
    <cellStyle name="20% - Accent5 2 2 6 2 3" xfId="29161"/>
    <cellStyle name="20% - Accent5 2 2 6 3" xfId="15981"/>
    <cellStyle name="20% - Accent5 2 2 6 3 2" xfId="32202"/>
    <cellStyle name="20% - Accent5 2 2 6 4" xfId="17871"/>
    <cellStyle name="20% - Accent5 2 2 6 4 2" xfId="34092"/>
    <cellStyle name="20% - Accent5 2 2 6 5" xfId="27414"/>
    <cellStyle name="20% - Accent5 2 2 7" xfId="9984"/>
    <cellStyle name="20% - Accent5 2 2 7 2" xfId="19605"/>
    <cellStyle name="20% - Accent5 2 2 7 2 2" xfId="35826"/>
    <cellStyle name="20% - Accent5 2 2 7 3" xfId="29138"/>
    <cellStyle name="20% - Accent5 2 2 8" xfId="14396"/>
    <cellStyle name="20% - Accent5 2 2 8 2" xfId="30618"/>
    <cellStyle name="20% - Accent5 2 2 9" xfId="17848"/>
    <cellStyle name="20% - Accent5 2 2 9 2" xfId="34069"/>
    <cellStyle name="20% - Accent5 2 3" xfId="6108"/>
    <cellStyle name="20% - Accent5 2 3 10" xfId="39102"/>
    <cellStyle name="20% - Accent5 2 3 2" xfId="6107"/>
    <cellStyle name="20% - Accent5 2 3 2 2" xfId="6106"/>
    <cellStyle name="20% - Accent5 2 3 2 2 2" xfId="6105"/>
    <cellStyle name="20% - Accent5 2 3 2 2 2 2" xfId="10011"/>
    <cellStyle name="20% - Accent5 2 3 2 2 2 2 2" xfId="19632"/>
    <cellStyle name="20% - Accent5 2 3 2 2 2 2 2 2" xfId="35853"/>
    <cellStyle name="20% - Accent5 2 3 2 2 2 2 3" xfId="29165"/>
    <cellStyle name="20% - Accent5 2 3 2 2 2 3" xfId="17103"/>
    <cellStyle name="20% - Accent5 2 3 2 2 2 3 2" xfId="33324"/>
    <cellStyle name="20% - Accent5 2 3 2 2 2 4" xfId="17875"/>
    <cellStyle name="20% - Accent5 2 3 2 2 2 4 2" xfId="34096"/>
    <cellStyle name="20% - Accent5 2 3 2 2 2 5" xfId="27410"/>
    <cellStyle name="20% - Accent5 2 3 2 2 3" xfId="10010"/>
    <cellStyle name="20% - Accent5 2 3 2 2 3 2" xfId="19631"/>
    <cellStyle name="20% - Accent5 2 3 2 2 3 2 2" xfId="35852"/>
    <cellStyle name="20% - Accent5 2 3 2 2 3 3" xfId="29164"/>
    <cellStyle name="20% - Accent5 2 3 2 2 4" xfId="15518"/>
    <cellStyle name="20% - Accent5 2 3 2 2 4 2" xfId="31740"/>
    <cellStyle name="20% - Accent5 2 3 2 2 5" xfId="17874"/>
    <cellStyle name="20% - Accent5 2 3 2 2 5 2" xfId="34095"/>
    <cellStyle name="20% - Accent5 2 3 2 2 6" xfId="27411"/>
    <cellStyle name="20% - Accent5 2 3 2 3" xfId="6104"/>
    <cellStyle name="20% - Accent5 2 3 2 3 2" xfId="10012"/>
    <cellStyle name="20% - Accent5 2 3 2 3 2 2" xfId="19633"/>
    <cellStyle name="20% - Accent5 2 3 2 3 2 2 2" xfId="35854"/>
    <cellStyle name="20% - Accent5 2 3 2 3 2 3" xfId="29166"/>
    <cellStyle name="20% - Accent5 2 3 2 3 3" xfId="16311"/>
    <cellStyle name="20% - Accent5 2 3 2 3 3 2" xfId="32532"/>
    <cellStyle name="20% - Accent5 2 3 2 3 4" xfId="17876"/>
    <cellStyle name="20% - Accent5 2 3 2 3 4 2" xfId="34097"/>
    <cellStyle name="20% - Accent5 2 3 2 3 5" xfId="27409"/>
    <cellStyle name="20% - Accent5 2 3 2 4" xfId="10009"/>
    <cellStyle name="20% - Accent5 2 3 2 4 2" xfId="19630"/>
    <cellStyle name="20% - Accent5 2 3 2 4 2 2" xfId="35851"/>
    <cellStyle name="20% - Accent5 2 3 2 4 3" xfId="29163"/>
    <cellStyle name="20% - Accent5 2 3 2 5" xfId="14726"/>
    <cellStyle name="20% - Accent5 2 3 2 5 2" xfId="30948"/>
    <cellStyle name="20% - Accent5 2 3 2 6" xfId="17873"/>
    <cellStyle name="20% - Accent5 2 3 2 6 2" xfId="34094"/>
    <cellStyle name="20% - Accent5 2 3 2 7" xfId="27412"/>
    <cellStyle name="20% - Accent5 2 3 3" xfId="6103"/>
    <cellStyle name="20% - Accent5 2 3 3 2" xfId="6102"/>
    <cellStyle name="20% - Accent5 2 3 3 2 2" xfId="6101"/>
    <cellStyle name="20% - Accent5 2 3 3 2 2 2" xfId="10015"/>
    <cellStyle name="20% - Accent5 2 3 3 2 2 2 2" xfId="19636"/>
    <cellStyle name="20% - Accent5 2 3 3 2 2 2 2 2" xfId="35857"/>
    <cellStyle name="20% - Accent5 2 3 3 2 2 2 3" xfId="29169"/>
    <cellStyle name="20% - Accent5 2 3 3 2 2 3" xfId="17367"/>
    <cellStyle name="20% - Accent5 2 3 3 2 2 3 2" xfId="33588"/>
    <cellStyle name="20% - Accent5 2 3 3 2 2 4" xfId="17879"/>
    <cellStyle name="20% - Accent5 2 3 3 2 2 4 2" xfId="34100"/>
    <cellStyle name="20% - Accent5 2 3 3 2 2 5" xfId="27406"/>
    <cellStyle name="20% - Accent5 2 3 3 2 3" xfId="10014"/>
    <cellStyle name="20% - Accent5 2 3 3 2 3 2" xfId="19635"/>
    <cellStyle name="20% - Accent5 2 3 3 2 3 2 2" xfId="35856"/>
    <cellStyle name="20% - Accent5 2 3 3 2 3 3" xfId="29168"/>
    <cellStyle name="20% - Accent5 2 3 3 2 4" xfId="15782"/>
    <cellStyle name="20% - Accent5 2 3 3 2 4 2" xfId="32004"/>
    <cellStyle name="20% - Accent5 2 3 3 2 5" xfId="17878"/>
    <cellStyle name="20% - Accent5 2 3 3 2 5 2" xfId="34099"/>
    <cellStyle name="20% - Accent5 2 3 3 2 6" xfId="27407"/>
    <cellStyle name="20% - Accent5 2 3 3 3" xfId="6100"/>
    <cellStyle name="20% - Accent5 2 3 3 3 2" xfId="10016"/>
    <cellStyle name="20% - Accent5 2 3 3 3 2 2" xfId="19637"/>
    <cellStyle name="20% - Accent5 2 3 3 3 2 2 2" xfId="35858"/>
    <cellStyle name="20% - Accent5 2 3 3 3 2 3" xfId="29170"/>
    <cellStyle name="20% - Accent5 2 3 3 3 3" xfId="16575"/>
    <cellStyle name="20% - Accent5 2 3 3 3 3 2" xfId="32796"/>
    <cellStyle name="20% - Accent5 2 3 3 3 4" xfId="17880"/>
    <cellStyle name="20% - Accent5 2 3 3 3 4 2" xfId="34101"/>
    <cellStyle name="20% - Accent5 2 3 3 3 5" xfId="27405"/>
    <cellStyle name="20% - Accent5 2 3 3 4" xfId="10013"/>
    <cellStyle name="20% - Accent5 2 3 3 4 2" xfId="19634"/>
    <cellStyle name="20% - Accent5 2 3 3 4 2 2" xfId="35855"/>
    <cellStyle name="20% - Accent5 2 3 3 4 3" xfId="29167"/>
    <cellStyle name="20% - Accent5 2 3 3 5" xfId="14990"/>
    <cellStyle name="20% - Accent5 2 3 3 5 2" xfId="31212"/>
    <cellStyle name="20% - Accent5 2 3 3 6" xfId="17877"/>
    <cellStyle name="20% - Accent5 2 3 3 6 2" xfId="34098"/>
    <cellStyle name="20% - Accent5 2 3 3 7" xfId="27408"/>
    <cellStyle name="20% - Accent5 2 3 4" xfId="6099"/>
    <cellStyle name="20% - Accent5 2 3 4 2" xfId="6098"/>
    <cellStyle name="20% - Accent5 2 3 4 2 2" xfId="10018"/>
    <cellStyle name="20% - Accent5 2 3 4 2 2 2" xfId="19639"/>
    <cellStyle name="20% - Accent5 2 3 4 2 2 2 2" xfId="35860"/>
    <cellStyle name="20% - Accent5 2 3 4 2 2 3" xfId="29172"/>
    <cellStyle name="20% - Accent5 2 3 4 2 3" xfId="16839"/>
    <cellStyle name="20% - Accent5 2 3 4 2 3 2" xfId="33060"/>
    <cellStyle name="20% - Accent5 2 3 4 2 4" xfId="17882"/>
    <cellStyle name="20% - Accent5 2 3 4 2 4 2" xfId="34103"/>
    <cellStyle name="20% - Accent5 2 3 4 2 5" xfId="27403"/>
    <cellStyle name="20% - Accent5 2 3 4 3" xfId="10017"/>
    <cellStyle name="20% - Accent5 2 3 4 3 2" xfId="19638"/>
    <cellStyle name="20% - Accent5 2 3 4 3 2 2" xfId="35859"/>
    <cellStyle name="20% - Accent5 2 3 4 3 3" xfId="29171"/>
    <cellStyle name="20% - Accent5 2 3 4 4" xfId="15254"/>
    <cellStyle name="20% - Accent5 2 3 4 4 2" xfId="31476"/>
    <cellStyle name="20% - Accent5 2 3 4 5" xfId="17881"/>
    <cellStyle name="20% - Accent5 2 3 4 5 2" xfId="34102"/>
    <cellStyle name="20% - Accent5 2 3 4 6" xfId="27404"/>
    <cellStyle name="20% - Accent5 2 3 5" xfId="6097"/>
    <cellStyle name="20% - Accent5 2 3 5 2" xfId="10019"/>
    <cellStyle name="20% - Accent5 2 3 5 2 2" xfId="19640"/>
    <cellStyle name="20% - Accent5 2 3 5 2 2 2" xfId="35861"/>
    <cellStyle name="20% - Accent5 2 3 5 2 3" xfId="29173"/>
    <cellStyle name="20% - Accent5 2 3 5 3" xfId="16047"/>
    <cellStyle name="20% - Accent5 2 3 5 3 2" xfId="32268"/>
    <cellStyle name="20% - Accent5 2 3 5 4" xfId="17883"/>
    <cellStyle name="20% - Accent5 2 3 5 4 2" xfId="34104"/>
    <cellStyle name="20% - Accent5 2 3 5 5" xfId="27402"/>
    <cellStyle name="20% - Accent5 2 3 6" xfId="10008"/>
    <cellStyle name="20% - Accent5 2 3 6 2" xfId="19629"/>
    <cellStyle name="20% - Accent5 2 3 6 2 2" xfId="35850"/>
    <cellStyle name="20% - Accent5 2 3 6 3" xfId="29162"/>
    <cellStyle name="20% - Accent5 2 3 7" xfId="14462"/>
    <cellStyle name="20% - Accent5 2 3 7 2" xfId="30684"/>
    <cellStyle name="20% - Accent5 2 3 8" xfId="17872"/>
    <cellStyle name="20% - Accent5 2 3 8 2" xfId="34093"/>
    <cellStyle name="20% - Accent5 2 3 9" xfId="27413"/>
    <cellStyle name="20% - Accent5 2 4" xfId="6096"/>
    <cellStyle name="20% - Accent5 2 4 2" xfId="6095"/>
    <cellStyle name="20% - Accent5 2 4 2 2" xfId="6094"/>
    <cellStyle name="20% - Accent5 2 4 2 2 2" xfId="10022"/>
    <cellStyle name="20% - Accent5 2 4 2 2 2 2" xfId="19643"/>
    <cellStyle name="20% - Accent5 2 4 2 2 2 2 2" xfId="35864"/>
    <cellStyle name="20% - Accent5 2 4 2 2 2 3" xfId="29176"/>
    <cellStyle name="20% - Accent5 2 4 2 2 3" xfId="16971"/>
    <cellStyle name="20% - Accent5 2 4 2 2 3 2" xfId="33192"/>
    <cellStyle name="20% - Accent5 2 4 2 2 4" xfId="17886"/>
    <cellStyle name="20% - Accent5 2 4 2 2 4 2" xfId="34107"/>
    <cellStyle name="20% - Accent5 2 4 2 2 5" xfId="27399"/>
    <cellStyle name="20% - Accent5 2 4 2 3" xfId="10021"/>
    <cellStyle name="20% - Accent5 2 4 2 3 2" xfId="19642"/>
    <cellStyle name="20% - Accent5 2 4 2 3 2 2" xfId="35863"/>
    <cellStyle name="20% - Accent5 2 4 2 3 3" xfId="29175"/>
    <cellStyle name="20% - Accent5 2 4 2 4" xfId="15386"/>
    <cellStyle name="20% - Accent5 2 4 2 4 2" xfId="31608"/>
    <cellStyle name="20% - Accent5 2 4 2 5" xfId="17885"/>
    <cellStyle name="20% - Accent5 2 4 2 5 2" xfId="34106"/>
    <cellStyle name="20% - Accent5 2 4 2 6" xfId="27400"/>
    <cellStyle name="20% - Accent5 2 4 3" xfId="6093"/>
    <cellStyle name="20% - Accent5 2 4 3 2" xfId="10023"/>
    <cellStyle name="20% - Accent5 2 4 3 2 2" xfId="19644"/>
    <cellStyle name="20% - Accent5 2 4 3 2 2 2" xfId="35865"/>
    <cellStyle name="20% - Accent5 2 4 3 2 3" xfId="29177"/>
    <cellStyle name="20% - Accent5 2 4 3 3" xfId="16179"/>
    <cellStyle name="20% - Accent5 2 4 3 3 2" xfId="32400"/>
    <cellStyle name="20% - Accent5 2 4 3 4" xfId="17887"/>
    <cellStyle name="20% - Accent5 2 4 3 4 2" xfId="34108"/>
    <cellStyle name="20% - Accent5 2 4 3 5" xfId="27398"/>
    <cellStyle name="20% - Accent5 2 4 4" xfId="10020"/>
    <cellStyle name="20% - Accent5 2 4 4 2" xfId="19641"/>
    <cellStyle name="20% - Accent5 2 4 4 2 2" xfId="35862"/>
    <cellStyle name="20% - Accent5 2 4 4 3" xfId="29174"/>
    <cellStyle name="20% - Accent5 2 4 5" xfId="14594"/>
    <cellStyle name="20% - Accent5 2 4 5 2" xfId="30816"/>
    <cellStyle name="20% - Accent5 2 4 6" xfId="17884"/>
    <cellStyle name="20% - Accent5 2 4 6 2" xfId="34105"/>
    <cellStyle name="20% - Accent5 2 4 7" xfId="27401"/>
    <cellStyle name="20% - Accent5 2 4 8" xfId="39250"/>
    <cellStyle name="20% - Accent5 2 5" xfId="6092"/>
    <cellStyle name="20% - Accent5 2 5 2" xfId="6091"/>
    <cellStyle name="20% - Accent5 2 5 2 2" xfId="6090"/>
    <cellStyle name="20% - Accent5 2 5 2 2 2" xfId="10026"/>
    <cellStyle name="20% - Accent5 2 5 2 2 2 2" xfId="19647"/>
    <cellStyle name="20% - Accent5 2 5 2 2 2 2 2" xfId="35868"/>
    <cellStyle name="20% - Accent5 2 5 2 2 2 3" xfId="29180"/>
    <cellStyle name="20% - Accent5 2 5 2 2 3" xfId="17235"/>
    <cellStyle name="20% - Accent5 2 5 2 2 3 2" xfId="33456"/>
    <cellStyle name="20% - Accent5 2 5 2 2 4" xfId="17890"/>
    <cellStyle name="20% - Accent5 2 5 2 2 4 2" xfId="34111"/>
    <cellStyle name="20% - Accent5 2 5 2 2 5" xfId="27395"/>
    <cellStyle name="20% - Accent5 2 5 2 3" xfId="10025"/>
    <cellStyle name="20% - Accent5 2 5 2 3 2" xfId="19646"/>
    <cellStyle name="20% - Accent5 2 5 2 3 2 2" xfId="35867"/>
    <cellStyle name="20% - Accent5 2 5 2 3 3" xfId="29179"/>
    <cellStyle name="20% - Accent5 2 5 2 4" xfId="15650"/>
    <cellStyle name="20% - Accent5 2 5 2 4 2" xfId="31872"/>
    <cellStyle name="20% - Accent5 2 5 2 5" xfId="17889"/>
    <cellStyle name="20% - Accent5 2 5 2 5 2" xfId="34110"/>
    <cellStyle name="20% - Accent5 2 5 2 6" xfId="27396"/>
    <cellStyle name="20% - Accent5 2 5 3" xfId="6089"/>
    <cellStyle name="20% - Accent5 2 5 3 2" xfId="10027"/>
    <cellStyle name="20% - Accent5 2 5 3 2 2" xfId="19648"/>
    <cellStyle name="20% - Accent5 2 5 3 2 2 2" xfId="35869"/>
    <cellStyle name="20% - Accent5 2 5 3 2 3" xfId="29181"/>
    <cellStyle name="20% - Accent5 2 5 3 3" xfId="16443"/>
    <cellStyle name="20% - Accent5 2 5 3 3 2" xfId="32664"/>
    <cellStyle name="20% - Accent5 2 5 3 4" xfId="17891"/>
    <cellStyle name="20% - Accent5 2 5 3 4 2" xfId="34112"/>
    <cellStyle name="20% - Accent5 2 5 3 5" xfId="27394"/>
    <cellStyle name="20% - Accent5 2 5 4" xfId="10024"/>
    <cellStyle name="20% - Accent5 2 5 4 2" xfId="19645"/>
    <cellStyle name="20% - Accent5 2 5 4 2 2" xfId="35866"/>
    <cellStyle name="20% - Accent5 2 5 4 3" xfId="29178"/>
    <cellStyle name="20% - Accent5 2 5 5" xfId="14858"/>
    <cellStyle name="20% - Accent5 2 5 5 2" xfId="31080"/>
    <cellStyle name="20% - Accent5 2 5 6" xfId="17888"/>
    <cellStyle name="20% - Accent5 2 5 6 2" xfId="34109"/>
    <cellStyle name="20% - Accent5 2 5 7" xfId="27397"/>
    <cellStyle name="20% - Accent5 2 5 8" xfId="39399"/>
    <cellStyle name="20% - Accent5 2 6" xfId="6088"/>
    <cellStyle name="20% - Accent5 2 6 2" xfId="6087"/>
    <cellStyle name="20% - Accent5 2 6 2 2" xfId="10029"/>
    <cellStyle name="20% - Accent5 2 6 2 2 2" xfId="19650"/>
    <cellStyle name="20% - Accent5 2 6 2 2 2 2" xfId="35871"/>
    <cellStyle name="20% - Accent5 2 6 2 2 3" xfId="29183"/>
    <cellStyle name="20% - Accent5 2 6 2 3" xfId="16707"/>
    <cellStyle name="20% - Accent5 2 6 2 3 2" xfId="32928"/>
    <cellStyle name="20% - Accent5 2 6 2 4" xfId="17893"/>
    <cellStyle name="20% - Accent5 2 6 2 4 2" xfId="34114"/>
    <cellStyle name="20% - Accent5 2 6 2 5" xfId="27392"/>
    <cellStyle name="20% - Accent5 2 6 3" xfId="10028"/>
    <cellStyle name="20% - Accent5 2 6 3 2" xfId="19649"/>
    <cellStyle name="20% - Accent5 2 6 3 2 2" xfId="35870"/>
    <cellStyle name="20% - Accent5 2 6 3 3" xfId="29182"/>
    <cellStyle name="20% - Accent5 2 6 4" xfId="15122"/>
    <cellStyle name="20% - Accent5 2 6 4 2" xfId="31344"/>
    <cellStyle name="20% - Accent5 2 6 5" xfId="17892"/>
    <cellStyle name="20% - Accent5 2 6 5 2" xfId="34113"/>
    <cellStyle name="20% - Accent5 2 6 6" xfId="27393"/>
    <cellStyle name="20% - Accent5 2 7" xfId="6086"/>
    <cellStyle name="20% - Accent5 2 7 2" xfId="10030"/>
    <cellStyle name="20% - Accent5 2 7 2 2" xfId="19651"/>
    <cellStyle name="20% - Accent5 2 7 2 2 2" xfId="35872"/>
    <cellStyle name="20% - Accent5 2 7 2 3" xfId="29184"/>
    <cellStyle name="20% - Accent5 2 7 3" xfId="15915"/>
    <cellStyle name="20% - Accent5 2 7 3 2" xfId="32136"/>
    <cellStyle name="20% - Accent5 2 7 4" xfId="17894"/>
    <cellStyle name="20% - Accent5 2 7 4 2" xfId="34115"/>
    <cellStyle name="20% - Accent5 2 7 5" xfId="27391"/>
    <cellStyle name="20% - Accent5 2 8" xfId="9983"/>
    <cellStyle name="20% - Accent5 2 8 2" xfId="19604"/>
    <cellStyle name="20% - Accent5 2 8 2 2" xfId="35825"/>
    <cellStyle name="20% - Accent5 2 8 3" xfId="29137"/>
    <cellStyle name="20% - Accent5 2 9" xfId="14330"/>
    <cellStyle name="20% - Accent5 2 9 2" xfId="30552"/>
    <cellStyle name="20% - Accent5 3" xfId="6085"/>
    <cellStyle name="20% - Accent5 3 10" xfId="27390"/>
    <cellStyle name="20% - Accent5 3 11" xfId="38981"/>
    <cellStyle name="20% - Accent5 3 2" xfId="6084"/>
    <cellStyle name="20% - Accent5 3 2 10" xfId="39023"/>
    <cellStyle name="20% - Accent5 3 2 2" xfId="6083"/>
    <cellStyle name="20% - Accent5 3 2 2 2" xfId="6082"/>
    <cellStyle name="20% - Accent5 3 2 2 2 2" xfId="6081"/>
    <cellStyle name="20% - Accent5 3 2 2 2 2 2" xfId="10035"/>
    <cellStyle name="20% - Accent5 3 2 2 2 2 2 2" xfId="19656"/>
    <cellStyle name="20% - Accent5 3 2 2 2 2 2 2 2" xfId="35877"/>
    <cellStyle name="20% - Accent5 3 2 2 2 2 2 3" xfId="29189"/>
    <cellStyle name="20% - Accent5 3 2 2 2 2 3" xfId="17136"/>
    <cellStyle name="20% - Accent5 3 2 2 2 2 3 2" xfId="33357"/>
    <cellStyle name="20% - Accent5 3 2 2 2 2 4" xfId="17899"/>
    <cellStyle name="20% - Accent5 3 2 2 2 2 4 2" xfId="34120"/>
    <cellStyle name="20% - Accent5 3 2 2 2 2 5" xfId="27386"/>
    <cellStyle name="20% - Accent5 3 2 2 2 3" xfId="10034"/>
    <cellStyle name="20% - Accent5 3 2 2 2 3 2" xfId="19655"/>
    <cellStyle name="20% - Accent5 3 2 2 2 3 2 2" xfId="35876"/>
    <cellStyle name="20% - Accent5 3 2 2 2 3 3" xfId="29188"/>
    <cellStyle name="20% - Accent5 3 2 2 2 4" xfId="15551"/>
    <cellStyle name="20% - Accent5 3 2 2 2 4 2" xfId="31773"/>
    <cellStyle name="20% - Accent5 3 2 2 2 5" xfId="17898"/>
    <cellStyle name="20% - Accent5 3 2 2 2 5 2" xfId="34119"/>
    <cellStyle name="20% - Accent5 3 2 2 2 6" xfId="27387"/>
    <cellStyle name="20% - Accent5 3 2 2 3" xfId="6080"/>
    <cellStyle name="20% - Accent5 3 2 2 3 2" xfId="10036"/>
    <cellStyle name="20% - Accent5 3 2 2 3 2 2" xfId="19657"/>
    <cellStyle name="20% - Accent5 3 2 2 3 2 2 2" xfId="35878"/>
    <cellStyle name="20% - Accent5 3 2 2 3 2 3" xfId="29190"/>
    <cellStyle name="20% - Accent5 3 2 2 3 3" xfId="16344"/>
    <cellStyle name="20% - Accent5 3 2 2 3 3 2" xfId="32565"/>
    <cellStyle name="20% - Accent5 3 2 2 3 4" xfId="17900"/>
    <cellStyle name="20% - Accent5 3 2 2 3 4 2" xfId="34121"/>
    <cellStyle name="20% - Accent5 3 2 2 3 5" xfId="27385"/>
    <cellStyle name="20% - Accent5 3 2 2 4" xfId="10033"/>
    <cellStyle name="20% - Accent5 3 2 2 4 2" xfId="19654"/>
    <cellStyle name="20% - Accent5 3 2 2 4 2 2" xfId="35875"/>
    <cellStyle name="20% - Accent5 3 2 2 4 3" xfId="29187"/>
    <cellStyle name="20% - Accent5 3 2 2 5" xfId="14759"/>
    <cellStyle name="20% - Accent5 3 2 2 5 2" xfId="30981"/>
    <cellStyle name="20% - Accent5 3 2 2 6" xfId="17897"/>
    <cellStyle name="20% - Accent5 3 2 2 6 2" xfId="34118"/>
    <cellStyle name="20% - Accent5 3 2 2 7" xfId="27388"/>
    <cellStyle name="20% - Accent5 3 2 2 8" xfId="39171"/>
    <cellStyle name="20% - Accent5 3 2 3" xfId="6079"/>
    <cellStyle name="20% - Accent5 3 2 3 2" xfId="6078"/>
    <cellStyle name="20% - Accent5 3 2 3 2 2" xfId="6077"/>
    <cellStyle name="20% - Accent5 3 2 3 2 2 2" xfId="10039"/>
    <cellStyle name="20% - Accent5 3 2 3 2 2 2 2" xfId="19660"/>
    <cellStyle name="20% - Accent5 3 2 3 2 2 2 2 2" xfId="35881"/>
    <cellStyle name="20% - Accent5 3 2 3 2 2 2 3" xfId="29193"/>
    <cellStyle name="20% - Accent5 3 2 3 2 2 3" xfId="17400"/>
    <cellStyle name="20% - Accent5 3 2 3 2 2 3 2" xfId="33621"/>
    <cellStyle name="20% - Accent5 3 2 3 2 2 4" xfId="17903"/>
    <cellStyle name="20% - Accent5 3 2 3 2 2 4 2" xfId="34124"/>
    <cellStyle name="20% - Accent5 3 2 3 2 2 5" xfId="27382"/>
    <cellStyle name="20% - Accent5 3 2 3 2 3" xfId="10038"/>
    <cellStyle name="20% - Accent5 3 2 3 2 3 2" xfId="19659"/>
    <cellStyle name="20% - Accent5 3 2 3 2 3 2 2" xfId="35880"/>
    <cellStyle name="20% - Accent5 3 2 3 2 3 3" xfId="29192"/>
    <cellStyle name="20% - Accent5 3 2 3 2 4" xfId="15815"/>
    <cellStyle name="20% - Accent5 3 2 3 2 4 2" xfId="32037"/>
    <cellStyle name="20% - Accent5 3 2 3 2 5" xfId="17902"/>
    <cellStyle name="20% - Accent5 3 2 3 2 5 2" xfId="34123"/>
    <cellStyle name="20% - Accent5 3 2 3 2 6" xfId="27383"/>
    <cellStyle name="20% - Accent5 3 2 3 3" xfId="6076"/>
    <cellStyle name="20% - Accent5 3 2 3 3 2" xfId="10040"/>
    <cellStyle name="20% - Accent5 3 2 3 3 2 2" xfId="19661"/>
    <cellStyle name="20% - Accent5 3 2 3 3 2 2 2" xfId="35882"/>
    <cellStyle name="20% - Accent5 3 2 3 3 2 3" xfId="29194"/>
    <cellStyle name="20% - Accent5 3 2 3 3 3" xfId="16608"/>
    <cellStyle name="20% - Accent5 3 2 3 3 3 2" xfId="32829"/>
    <cellStyle name="20% - Accent5 3 2 3 3 4" xfId="17904"/>
    <cellStyle name="20% - Accent5 3 2 3 3 4 2" xfId="34125"/>
    <cellStyle name="20% - Accent5 3 2 3 3 5" xfId="27381"/>
    <cellStyle name="20% - Accent5 3 2 3 4" xfId="10037"/>
    <cellStyle name="20% - Accent5 3 2 3 4 2" xfId="19658"/>
    <cellStyle name="20% - Accent5 3 2 3 4 2 2" xfId="35879"/>
    <cellStyle name="20% - Accent5 3 2 3 4 3" xfId="29191"/>
    <cellStyle name="20% - Accent5 3 2 3 5" xfId="15023"/>
    <cellStyle name="20% - Accent5 3 2 3 5 2" xfId="31245"/>
    <cellStyle name="20% - Accent5 3 2 3 6" xfId="17901"/>
    <cellStyle name="20% - Accent5 3 2 3 6 2" xfId="34122"/>
    <cellStyle name="20% - Accent5 3 2 3 7" xfId="27384"/>
    <cellStyle name="20% - Accent5 3 2 3 8" xfId="39319"/>
    <cellStyle name="20% - Accent5 3 2 4" xfId="5738"/>
    <cellStyle name="20% - Accent5 3 2 4 2" xfId="5719"/>
    <cellStyle name="20% - Accent5 3 2 4 2 2" xfId="10042"/>
    <cellStyle name="20% - Accent5 3 2 4 2 2 2" xfId="19663"/>
    <cellStyle name="20% - Accent5 3 2 4 2 2 2 2" xfId="35884"/>
    <cellStyle name="20% - Accent5 3 2 4 2 2 3" xfId="29196"/>
    <cellStyle name="20% - Accent5 3 2 4 2 3" xfId="16872"/>
    <cellStyle name="20% - Accent5 3 2 4 2 3 2" xfId="33093"/>
    <cellStyle name="20% - Accent5 3 2 4 2 4" xfId="17906"/>
    <cellStyle name="20% - Accent5 3 2 4 2 4 2" xfId="34127"/>
    <cellStyle name="20% - Accent5 3 2 4 2 5" xfId="27025"/>
    <cellStyle name="20% - Accent5 3 2 4 3" xfId="10041"/>
    <cellStyle name="20% - Accent5 3 2 4 3 2" xfId="19662"/>
    <cellStyle name="20% - Accent5 3 2 4 3 2 2" xfId="35883"/>
    <cellStyle name="20% - Accent5 3 2 4 3 3" xfId="29195"/>
    <cellStyle name="20% - Accent5 3 2 4 4" xfId="15287"/>
    <cellStyle name="20% - Accent5 3 2 4 4 2" xfId="31509"/>
    <cellStyle name="20% - Accent5 3 2 4 5" xfId="17905"/>
    <cellStyle name="20% - Accent5 3 2 4 5 2" xfId="34126"/>
    <cellStyle name="20% - Accent5 3 2 4 6" xfId="27044"/>
    <cellStyle name="20% - Accent5 3 2 4 7" xfId="39468"/>
    <cellStyle name="20% - Accent5 3 2 5" xfId="6074"/>
    <cellStyle name="20% - Accent5 3 2 5 2" xfId="10043"/>
    <cellStyle name="20% - Accent5 3 2 5 2 2" xfId="19664"/>
    <cellStyle name="20% - Accent5 3 2 5 2 2 2" xfId="35885"/>
    <cellStyle name="20% - Accent5 3 2 5 2 3" xfId="29197"/>
    <cellStyle name="20% - Accent5 3 2 5 3" xfId="16080"/>
    <cellStyle name="20% - Accent5 3 2 5 3 2" xfId="32301"/>
    <cellStyle name="20% - Accent5 3 2 5 4" xfId="17907"/>
    <cellStyle name="20% - Accent5 3 2 5 4 2" xfId="34128"/>
    <cellStyle name="20% - Accent5 3 2 5 5" xfId="27379"/>
    <cellStyle name="20% - Accent5 3 2 6" xfId="10032"/>
    <cellStyle name="20% - Accent5 3 2 6 2" xfId="19653"/>
    <cellStyle name="20% - Accent5 3 2 6 2 2" xfId="35874"/>
    <cellStyle name="20% - Accent5 3 2 6 3" xfId="29186"/>
    <cellStyle name="20% - Accent5 3 2 7" xfId="14495"/>
    <cellStyle name="20% - Accent5 3 2 7 2" xfId="30717"/>
    <cellStyle name="20% - Accent5 3 2 8" xfId="17896"/>
    <cellStyle name="20% - Accent5 3 2 8 2" xfId="34117"/>
    <cellStyle name="20% - Accent5 3 2 9" xfId="27389"/>
    <cellStyle name="20% - Accent5 3 3" xfId="6073"/>
    <cellStyle name="20% - Accent5 3 3 2" xfId="6072"/>
    <cellStyle name="20% - Accent5 3 3 2 2" xfId="6071"/>
    <cellStyle name="20% - Accent5 3 3 2 2 2" xfId="10046"/>
    <cellStyle name="20% - Accent5 3 3 2 2 2 2" xfId="19667"/>
    <cellStyle name="20% - Accent5 3 3 2 2 2 2 2" xfId="35888"/>
    <cellStyle name="20% - Accent5 3 3 2 2 2 3" xfId="29200"/>
    <cellStyle name="20% - Accent5 3 3 2 2 3" xfId="17004"/>
    <cellStyle name="20% - Accent5 3 3 2 2 3 2" xfId="33225"/>
    <cellStyle name="20% - Accent5 3 3 2 2 4" xfId="17910"/>
    <cellStyle name="20% - Accent5 3 3 2 2 4 2" xfId="34131"/>
    <cellStyle name="20% - Accent5 3 3 2 2 5" xfId="27376"/>
    <cellStyle name="20% - Accent5 3 3 2 3" xfId="10045"/>
    <cellStyle name="20% - Accent5 3 3 2 3 2" xfId="19666"/>
    <cellStyle name="20% - Accent5 3 3 2 3 2 2" xfId="35887"/>
    <cellStyle name="20% - Accent5 3 3 2 3 3" xfId="29199"/>
    <cellStyle name="20% - Accent5 3 3 2 4" xfId="15419"/>
    <cellStyle name="20% - Accent5 3 3 2 4 2" xfId="31641"/>
    <cellStyle name="20% - Accent5 3 3 2 5" xfId="17909"/>
    <cellStyle name="20% - Accent5 3 3 2 5 2" xfId="34130"/>
    <cellStyle name="20% - Accent5 3 3 2 6" xfId="27377"/>
    <cellStyle name="20% - Accent5 3 3 3" xfId="6070"/>
    <cellStyle name="20% - Accent5 3 3 3 2" xfId="10047"/>
    <cellStyle name="20% - Accent5 3 3 3 2 2" xfId="19668"/>
    <cellStyle name="20% - Accent5 3 3 3 2 2 2" xfId="35889"/>
    <cellStyle name="20% - Accent5 3 3 3 2 3" xfId="29201"/>
    <cellStyle name="20% - Accent5 3 3 3 3" xfId="16212"/>
    <cellStyle name="20% - Accent5 3 3 3 3 2" xfId="32433"/>
    <cellStyle name="20% - Accent5 3 3 3 4" xfId="17911"/>
    <cellStyle name="20% - Accent5 3 3 3 4 2" xfId="34132"/>
    <cellStyle name="20% - Accent5 3 3 3 5" xfId="27375"/>
    <cellStyle name="20% - Accent5 3 3 4" xfId="10044"/>
    <cellStyle name="20% - Accent5 3 3 4 2" xfId="19665"/>
    <cellStyle name="20% - Accent5 3 3 4 2 2" xfId="35886"/>
    <cellStyle name="20% - Accent5 3 3 4 3" xfId="29198"/>
    <cellStyle name="20% - Accent5 3 3 5" xfId="14627"/>
    <cellStyle name="20% - Accent5 3 3 5 2" xfId="30849"/>
    <cellStyle name="20% - Accent5 3 3 6" xfId="17908"/>
    <cellStyle name="20% - Accent5 3 3 6 2" xfId="34129"/>
    <cellStyle name="20% - Accent5 3 3 7" xfId="27378"/>
    <cellStyle name="20% - Accent5 3 3 8" xfId="39115"/>
    <cellStyle name="20% - Accent5 3 4" xfId="6069"/>
    <cellStyle name="20% - Accent5 3 4 2" xfId="6068"/>
    <cellStyle name="20% - Accent5 3 4 2 2" xfId="6067"/>
    <cellStyle name="20% - Accent5 3 4 2 2 2" xfId="10050"/>
    <cellStyle name="20% - Accent5 3 4 2 2 2 2" xfId="19671"/>
    <cellStyle name="20% - Accent5 3 4 2 2 2 2 2" xfId="35892"/>
    <cellStyle name="20% - Accent5 3 4 2 2 2 3" xfId="29204"/>
    <cellStyle name="20% - Accent5 3 4 2 2 3" xfId="17268"/>
    <cellStyle name="20% - Accent5 3 4 2 2 3 2" xfId="33489"/>
    <cellStyle name="20% - Accent5 3 4 2 2 4" xfId="17914"/>
    <cellStyle name="20% - Accent5 3 4 2 2 4 2" xfId="34135"/>
    <cellStyle name="20% - Accent5 3 4 2 2 5" xfId="27372"/>
    <cellStyle name="20% - Accent5 3 4 2 3" xfId="10049"/>
    <cellStyle name="20% - Accent5 3 4 2 3 2" xfId="19670"/>
    <cellStyle name="20% - Accent5 3 4 2 3 2 2" xfId="35891"/>
    <cellStyle name="20% - Accent5 3 4 2 3 3" xfId="29203"/>
    <cellStyle name="20% - Accent5 3 4 2 4" xfId="15683"/>
    <cellStyle name="20% - Accent5 3 4 2 4 2" xfId="31905"/>
    <cellStyle name="20% - Accent5 3 4 2 5" xfId="17913"/>
    <cellStyle name="20% - Accent5 3 4 2 5 2" xfId="34134"/>
    <cellStyle name="20% - Accent5 3 4 2 6" xfId="27373"/>
    <cellStyle name="20% - Accent5 3 4 3" xfId="6066"/>
    <cellStyle name="20% - Accent5 3 4 3 2" xfId="10051"/>
    <cellStyle name="20% - Accent5 3 4 3 2 2" xfId="19672"/>
    <cellStyle name="20% - Accent5 3 4 3 2 2 2" xfId="35893"/>
    <cellStyle name="20% - Accent5 3 4 3 2 3" xfId="29205"/>
    <cellStyle name="20% - Accent5 3 4 3 3" xfId="16476"/>
    <cellStyle name="20% - Accent5 3 4 3 3 2" xfId="32697"/>
    <cellStyle name="20% - Accent5 3 4 3 4" xfId="17915"/>
    <cellStyle name="20% - Accent5 3 4 3 4 2" xfId="34136"/>
    <cellStyle name="20% - Accent5 3 4 3 5" xfId="27371"/>
    <cellStyle name="20% - Accent5 3 4 4" xfId="10048"/>
    <cellStyle name="20% - Accent5 3 4 4 2" xfId="19669"/>
    <cellStyle name="20% - Accent5 3 4 4 2 2" xfId="35890"/>
    <cellStyle name="20% - Accent5 3 4 4 3" xfId="29202"/>
    <cellStyle name="20% - Accent5 3 4 5" xfId="14891"/>
    <cellStyle name="20% - Accent5 3 4 5 2" xfId="31113"/>
    <cellStyle name="20% - Accent5 3 4 6" xfId="17912"/>
    <cellStyle name="20% - Accent5 3 4 6 2" xfId="34133"/>
    <cellStyle name="20% - Accent5 3 4 7" xfId="27374"/>
    <cellStyle name="20% - Accent5 3 4 8" xfId="39263"/>
    <cellStyle name="20% - Accent5 3 5" xfId="6065"/>
    <cellStyle name="20% - Accent5 3 5 2" xfId="6064"/>
    <cellStyle name="20% - Accent5 3 5 2 2" xfId="10053"/>
    <cellStyle name="20% - Accent5 3 5 2 2 2" xfId="19674"/>
    <cellStyle name="20% - Accent5 3 5 2 2 2 2" xfId="35895"/>
    <cellStyle name="20% - Accent5 3 5 2 2 3" xfId="29207"/>
    <cellStyle name="20% - Accent5 3 5 2 3" xfId="16740"/>
    <cellStyle name="20% - Accent5 3 5 2 3 2" xfId="32961"/>
    <cellStyle name="20% - Accent5 3 5 2 4" xfId="17917"/>
    <cellStyle name="20% - Accent5 3 5 2 4 2" xfId="34138"/>
    <cellStyle name="20% - Accent5 3 5 2 5" xfId="27369"/>
    <cellStyle name="20% - Accent5 3 5 3" xfId="10052"/>
    <cellStyle name="20% - Accent5 3 5 3 2" xfId="19673"/>
    <cellStyle name="20% - Accent5 3 5 3 2 2" xfId="35894"/>
    <cellStyle name="20% - Accent5 3 5 3 3" xfId="29206"/>
    <cellStyle name="20% - Accent5 3 5 4" xfId="15155"/>
    <cellStyle name="20% - Accent5 3 5 4 2" xfId="31377"/>
    <cellStyle name="20% - Accent5 3 5 5" xfId="17916"/>
    <cellStyle name="20% - Accent5 3 5 5 2" xfId="34137"/>
    <cellStyle name="20% - Accent5 3 5 6" xfId="27370"/>
    <cellStyle name="20% - Accent5 3 5 7" xfId="39412"/>
    <cellStyle name="20% - Accent5 3 6" xfId="6063"/>
    <cellStyle name="20% - Accent5 3 6 2" xfId="10054"/>
    <cellStyle name="20% - Accent5 3 6 2 2" xfId="19675"/>
    <cellStyle name="20% - Accent5 3 6 2 2 2" xfId="35896"/>
    <cellStyle name="20% - Accent5 3 6 2 3" xfId="29208"/>
    <cellStyle name="20% - Accent5 3 6 3" xfId="15948"/>
    <cellStyle name="20% - Accent5 3 6 3 2" xfId="32169"/>
    <cellStyle name="20% - Accent5 3 6 4" xfId="17918"/>
    <cellStyle name="20% - Accent5 3 6 4 2" xfId="34139"/>
    <cellStyle name="20% - Accent5 3 6 5" xfId="27368"/>
    <cellStyle name="20% - Accent5 3 7" xfId="10031"/>
    <cellStyle name="20% - Accent5 3 7 2" xfId="19652"/>
    <cellStyle name="20% - Accent5 3 7 2 2" xfId="35873"/>
    <cellStyle name="20% - Accent5 3 7 3" xfId="29185"/>
    <cellStyle name="20% - Accent5 3 8" xfId="14363"/>
    <cellStyle name="20% - Accent5 3 8 2" xfId="30585"/>
    <cellStyle name="20% - Accent5 3 9" xfId="17895"/>
    <cellStyle name="20% - Accent5 3 9 2" xfId="34116"/>
    <cellStyle name="20% - Accent5 4" xfId="6062"/>
    <cellStyle name="20% - Accent5 4 10" xfId="38994"/>
    <cellStyle name="20% - Accent5 4 2" xfId="5728"/>
    <cellStyle name="20% - Accent5 4 2 2" xfId="5732"/>
    <cellStyle name="20% - Accent5 4 2 2 2" xfId="5730"/>
    <cellStyle name="20% - Accent5 4 2 2 2 2" xfId="10058"/>
    <cellStyle name="20% - Accent5 4 2 2 2 2 2" xfId="19679"/>
    <cellStyle name="20% - Accent5 4 2 2 2 2 2 2" xfId="35900"/>
    <cellStyle name="20% - Accent5 4 2 2 2 2 3" xfId="29212"/>
    <cellStyle name="20% - Accent5 4 2 2 2 3" xfId="17070"/>
    <cellStyle name="20% - Accent5 4 2 2 2 3 2" xfId="33291"/>
    <cellStyle name="20% - Accent5 4 2 2 2 4" xfId="17922"/>
    <cellStyle name="20% - Accent5 4 2 2 2 4 2" xfId="34143"/>
    <cellStyle name="20% - Accent5 4 2 2 2 5" xfId="27036"/>
    <cellStyle name="20% - Accent5 4 2 2 3" xfId="10057"/>
    <cellStyle name="20% - Accent5 4 2 2 3 2" xfId="19678"/>
    <cellStyle name="20% - Accent5 4 2 2 3 2 2" xfId="35899"/>
    <cellStyle name="20% - Accent5 4 2 2 3 3" xfId="29211"/>
    <cellStyle name="20% - Accent5 4 2 2 4" xfId="15485"/>
    <cellStyle name="20% - Accent5 4 2 2 4 2" xfId="31707"/>
    <cellStyle name="20% - Accent5 4 2 2 5" xfId="17921"/>
    <cellStyle name="20% - Accent5 4 2 2 5 2" xfId="34142"/>
    <cellStyle name="20% - Accent5 4 2 2 6" xfId="27038"/>
    <cellStyle name="20% - Accent5 4 2 2 7" xfId="39184"/>
    <cellStyle name="20% - Accent5 4 2 3" xfId="6061"/>
    <cellStyle name="20% - Accent5 4 2 3 2" xfId="10059"/>
    <cellStyle name="20% - Accent5 4 2 3 2 2" xfId="19680"/>
    <cellStyle name="20% - Accent5 4 2 3 2 2 2" xfId="35901"/>
    <cellStyle name="20% - Accent5 4 2 3 2 3" xfId="29213"/>
    <cellStyle name="20% - Accent5 4 2 3 3" xfId="16278"/>
    <cellStyle name="20% - Accent5 4 2 3 3 2" xfId="32499"/>
    <cellStyle name="20% - Accent5 4 2 3 4" xfId="17923"/>
    <cellStyle name="20% - Accent5 4 2 3 4 2" xfId="34144"/>
    <cellStyle name="20% - Accent5 4 2 3 5" xfId="27366"/>
    <cellStyle name="20% - Accent5 4 2 3 6" xfId="39332"/>
    <cellStyle name="20% - Accent5 4 2 4" xfId="10056"/>
    <cellStyle name="20% - Accent5 4 2 4 2" xfId="19677"/>
    <cellStyle name="20% - Accent5 4 2 4 2 2" xfId="35898"/>
    <cellStyle name="20% - Accent5 4 2 4 3" xfId="29210"/>
    <cellStyle name="20% - Accent5 4 2 4 4" xfId="39481"/>
    <cellStyle name="20% - Accent5 4 2 5" xfId="14693"/>
    <cellStyle name="20% - Accent5 4 2 5 2" xfId="30915"/>
    <cellStyle name="20% - Accent5 4 2 6" xfId="17920"/>
    <cellStyle name="20% - Accent5 4 2 6 2" xfId="34141"/>
    <cellStyle name="20% - Accent5 4 2 7" xfId="27034"/>
    <cellStyle name="20% - Accent5 4 2 8" xfId="39036"/>
    <cellStyle name="20% - Accent5 4 3" xfId="6060"/>
    <cellStyle name="20% - Accent5 4 3 2" xfId="5726"/>
    <cellStyle name="20% - Accent5 4 3 2 2" xfId="6059"/>
    <cellStyle name="20% - Accent5 4 3 2 2 2" xfId="10062"/>
    <cellStyle name="20% - Accent5 4 3 2 2 2 2" xfId="19683"/>
    <cellStyle name="20% - Accent5 4 3 2 2 2 2 2" xfId="35904"/>
    <cellStyle name="20% - Accent5 4 3 2 2 2 3" xfId="29216"/>
    <cellStyle name="20% - Accent5 4 3 2 2 3" xfId="17334"/>
    <cellStyle name="20% - Accent5 4 3 2 2 3 2" xfId="33555"/>
    <cellStyle name="20% - Accent5 4 3 2 2 4" xfId="17926"/>
    <cellStyle name="20% - Accent5 4 3 2 2 4 2" xfId="34147"/>
    <cellStyle name="20% - Accent5 4 3 2 2 5" xfId="27364"/>
    <cellStyle name="20% - Accent5 4 3 2 3" xfId="10061"/>
    <cellStyle name="20% - Accent5 4 3 2 3 2" xfId="19682"/>
    <cellStyle name="20% - Accent5 4 3 2 3 2 2" xfId="35903"/>
    <cellStyle name="20% - Accent5 4 3 2 3 3" xfId="29215"/>
    <cellStyle name="20% - Accent5 4 3 2 4" xfId="15749"/>
    <cellStyle name="20% - Accent5 4 3 2 4 2" xfId="31971"/>
    <cellStyle name="20% - Accent5 4 3 2 5" xfId="17925"/>
    <cellStyle name="20% - Accent5 4 3 2 5 2" xfId="34146"/>
    <cellStyle name="20% - Accent5 4 3 2 6" xfId="27032"/>
    <cellStyle name="20% - Accent5 4 3 3" xfId="6058"/>
    <cellStyle name="20% - Accent5 4 3 3 2" xfId="10063"/>
    <cellStyle name="20% - Accent5 4 3 3 2 2" xfId="19684"/>
    <cellStyle name="20% - Accent5 4 3 3 2 2 2" xfId="35905"/>
    <cellStyle name="20% - Accent5 4 3 3 2 3" xfId="29217"/>
    <cellStyle name="20% - Accent5 4 3 3 3" xfId="16542"/>
    <cellStyle name="20% - Accent5 4 3 3 3 2" xfId="32763"/>
    <cellStyle name="20% - Accent5 4 3 3 4" xfId="17927"/>
    <cellStyle name="20% - Accent5 4 3 3 4 2" xfId="34148"/>
    <cellStyle name="20% - Accent5 4 3 3 5" xfId="27363"/>
    <cellStyle name="20% - Accent5 4 3 4" xfId="10060"/>
    <cellStyle name="20% - Accent5 4 3 4 2" xfId="19681"/>
    <cellStyle name="20% - Accent5 4 3 4 2 2" xfId="35902"/>
    <cellStyle name="20% - Accent5 4 3 4 3" xfId="29214"/>
    <cellStyle name="20% - Accent5 4 3 5" xfId="14957"/>
    <cellStyle name="20% - Accent5 4 3 5 2" xfId="31179"/>
    <cellStyle name="20% - Accent5 4 3 6" xfId="17924"/>
    <cellStyle name="20% - Accent5 4 3 6 2" xfId="34145"/>
    <cellStyle name="20% - Accent5 4 3 7" xfId="27365"/>
    <cellStyle name="20% - Accent5 4 3 8" xfId="39128"/>
    <cellStyle name="20% - Accent5 4 4" xfId="6057"/>
    <cellStyle name="20% - Accent5 4 4 2" xfId="6056"/>
    <cellStyle name="20% - Accent5 4 4 2 2" xfId="10065"/>
    <cellStyle name="20% - Accent5 4 4 2 2 2" xfId="19686"/>
    <cellStyle name="20% - Accent5 4 4 2 2 2 2" xfId="35907"/>
    <cellStyle name="20% - Accent5 4 4 2 2 3" xfId="29219"/>
    <cellStyle name="20% - Accent5 4 4 2 3" xfId="16806"/>
    <cellStyle name="20% - Accent5 4 4 2 3 2" xfId="33027"/>
    <cellStyle name="20% - Accent5 4 4 2 4" xfId="17929"/>
    <cellStyle name="20% - Accent5 4 4 2 4 2" xfId="34150"/>
    <cellStyle name="20% - Accent5 4 4 2 5" xfId="27361"/>
    <cellStyle name="20% - Accent5 4 4 3" xfId="10064"/>
    <cellStyle name="20% - Accent5 4 4 3 2" xfId="19685"/>
    <cellStyle name="20% - Accent5 4 4 3 2 2" xfId="35906"/>
    <cellStyle name="20% - Accent5 4 4 3 3" xfId="29218"/>
    <cellStyle name="20% - Accent5 4 4 4" xfId="15221"/>
    <cellStyle name="20% - Accent5 4 4 4 2" xfId="31443"/>
    <cellStyle name="20% - Accent5 4 4 5" xfId="17928"/>
    <cellStyle name="20% - Accent5 4 4 5 2" xfId="34149"/>
    <cellStyle name="20% - Accent5 4 4 6" xfId="27362"/>
    <cellStyle name="20% - Accent5 4 4 7" xfId="39276"/>
    <cellStyle name="20% - Accent5 4 5" xfId="6055"/>
    <cellStyle name="20% - Accent5 4 5 2" xfId="10066"/>
    <cellStyle name="20% - Accent5 4 5 2 2" xfId="19687"/>
    <cellStyle name="20% - Accent5 4 5 2 2 2" xfId="35908"/>
    <cellStyle name="20% - Accent5 4 5 2 3" xfId="29220"/>
    <cellStyle name="20% - Accent5 4 5 3" xfId="16014"/>
    <cellStyle name="20% - Accent5 4 5 3 2" xfId="32235"/>
    <cellStyle name="20% - Accent5 4 5 4" xfId="17930"/>
    <cellStyle name="20% - Accent5 4 5 4 2" xfId="34151"/>
    <cellStyle name="20% - Accent5 4 5 5" xfId="27360"/>
    <cellStyle name="20% - Accent5 4 5 6" xfId="39425"/>
    <cellStyle name="20% - Accent5 4 6" xfId="10055"/>
    <cellStyle name="20% - Accent5 4 6 2" xfId="19676"/>
    <cellStyle name="20% - Accent5 4 6 2 2" xfId="35897"/>
    <cellStyle name="20% - Accent5 4 6 3" xfId="29209"/>
    <cellStyle name="20% - Accent5 4 7" xfId="14429"/>
    <cellStyle name="20% - Accent5 4 7 2" xfId="30651"/>
    <cellStyle name="20% - Accent5 4 8" xfId="17919"/>
    <cellStyle name="20% - Accent5 4 8 2" xfId="34140"/>
    <cellStyle name="20% - Accent5 4 9" xfId="27367"/>
    <cellStyle name="20% - Accent5 5" xfId="6054"/>
    <cellStyle name="20% - Accent5 5 2" xfId="6053"/>
    <cellStyle name="20% - Accent5 5 2 2" xfId="6052"/>
    <cellStyle name="20% - Accent5 5 2 2 2" xfId="10069"/>
    <cellStyle name="20% - Accent5 5 2 2 2 2" xfId="19690"/>
    <cellStyle name="20% - Accent5 5 2 2 2 2 2" xfId="35911"/>
    <cellStyle name="20% - Accent5 5 2 2 2 3" xfId="29223"/>
    <cellStyle name="20% - Accent5 5 2 2 3" xfId="16938"/>
    <cellStyle name="20% - Accent5 5 2 2 3 2" xfId="33159"/>
    <cellStyle name="20% - Accent5 5 2 2 4" xfId="17933"/>
    <cellStyle name="20% - Accent5 5 2 2 4 2" xfId="34154"/>
    <cellStyle name="20% - Accent5 5 2 2 5" xfId="27357"/>
    <cellStyle name="20% - Accent5 5 2 3" xfId="10068"/>
    <cellStyle name="20% - Accent5 5 2 3 2" xfId="19689"/>
    <cellStyle name="20% - Accent5 5 2 3 2 2" xfId="35910"/>
    <cellStyle name="20% - Accent5 5 2 3 3" xfId="29222"/>
    <cellStyle name="20% - Accent5 5 2 4" xfId="15353"/>
    <cellStyle name="20% - Accent5 5 2 4 2" xfId="31575"/>
    <cellStyle name="20% - Accent5 5 2 5" xfId="17932"/>
    <cellStyle name="20% - Accent5 5 2 5 2" xfId="34153"/>
    <cellStyle name="20% - Accent5 5 2 6" xfId="27358"/>
    <cellStyle name="20% - Accent5 5 2 7" xfId="39136"/>
    <cellStyle name="20% - Accent5 5 3" xfId="6051"/>
    <cellStyle name="20% - Accent5 5 3 2" xfId="10070"/>
    <cellStyle name="20% - Accent5 5 3 2 2" xfId="19691"/>
    <cellStyle name="20% - Accent5 5 3 2 2 2" xfId="35912"/>
    <cellStyle name="20% - Accent5 5 3 2 3" xfId="29224"/>
    <cellStyle name="20% - Accent5 5 3 3" xfId="16146"/>
    <cellStyle name="20% - Accent5 5 3 3 2" xfId="32367"/>
    <cellStyle name="20% - Accent5 5 3 4" xfId="17934"/>
    <cellStyle name="20% - Accent5 5 3 4 2" xfId="34155"/>
    <cellStyle name="20% - Accent5 5 3 5" xfId="27356"/>
    <cellStyle name="20% - Accent5 5 3 6" xfId="39284"/>
    <cellStyle name="20% - Accent5 5 4" xfId="10067"/>
    <cellStyle name="20% - Accent5 5 4 2" xfId="19688"/>
    <cellStyle name="20% - Accent5 5 4 2 2" xfId="35909"/>
    <cellStyle name="20% - Accent5 5 4 3" xfId="29221"/>
    <cellStyle name="20% - Accent5 5 4 4" xfId="39433"/>
    <cellStyle name="20% - Accent5 5 5" xfId="14561"/>
    <cellStyle name="20% - Accent5 5 5 2" xfId="30783"/>
    <cellStyle name="20% - Accent5 5 6" xfId="17931"/>
    <cellStyle name="20% - Accent5 5 6 2" xfId="34152"/>
    <cellStyle name="20% - Accent5 5 7" xfId="27359"/>
    <cellStyle name="20% - Accent5 5 8" xfId="39002"/>
    <cellStyle name="20% - Accent5 6" xfId="6050"/>
    <cellStyle name="20% - Accent5 6 2" xfId="6049"/>
    <cellStyle name="20% - Accent5 6 2 2" xfId="6048"/>
    <cellStyle name="20% - Accent5 6 2 2 2" xfId="10073"/>
    <cellStyle name="20% - Accent5 6 2 2 2 2" xfId="19694"/>
    <cellStyle name="20% - Accent5 6 2 2 2 2 2" xfId="35915"/>
    <cellStyle name="20% - Accent5 6 2 2 2 3" xfId="29227"/>
    <cellStyle name="20% - Accent5 6 2 2 3" xfId="17202"/>
    <cellStyle name="20% - Accent5 6 2 2 3 2" xfId="33423"/>
    <cellStyle name="20% - Accent5 6 2 2 4" xfId="17937"/>
    <cellStyle name="20% - Accent5 6 2 2 4 2" xfId="34158"/>
    <cellStyle name="20% - Accent5 6 2 2 5" xfId="27353"/>
    <cellStyle name="20% - Accent5 6 2 3" xfId="10072"/>
    <cellStyle name="20% - Accent5 6 2 3 2" xfId="19693"/>
    <cellStyle name="20% - Accent5 6 2 3 2 2" xfId="35914"/>
    <cellStyle name="20% - Accent5 6 2 3 3" xfId="29226"/>
    <cellStyle name="20% - Accent5 6 2 4" xfId="15617"/>
    <cellStyle name="20% - Accent5 6 2 4 2" xfId="31839"/>
    <cellStyle name="20% - Accent5 6 2 5" xfId="17936"/>
    <cellStyle name="20% - Accent5 6 2 5 2" xfId="34157"/>
    <cellStyle name="20% - Accent5 6 2 6" xfId="27354"/>
    <cellStyle name="20% - Accent5 6 3" xfId="6047"/>
    <cellStyle name="20% - Accent5 6 3 2" xfId="10074"/>
    <cellStyle name="20% - Accent5 6 3 2 2" xfId="19695"/>
    <cellStyle name="20% - Accent5 6 3 2 2 2" xfId="35916"/>
    <cellStyle name="20% - Accent5 6 3 2 3" xfId="29228"/>
    <cellStyle name="20% - Accent5 6 3 3" xfId="16410"/>
    <cellStyle name="20% - Accent5 6 3 3 2" xfId="32631"/>
    <cellStyle name="20% - Accent5 6 3 4" xfId="17938"/>
    <cellStyle name="20% - Accent5 6 3 4 2" xfId="34159"/>
    <cellStyle name="20% - Accent5 6 3 5" xfId="27352"/>
    <cellStyle name="20% - Accent5 6 4" xfId="10071"/>
    <cellStyle name="20% - Accent5 6 4 2" xfId="19692"/>
    <cellStyle name="20% - Accent5 6 4 2 2" xfId="35913"/>
    <cellStyle name="20% - Accent5 6 4 3" xfId="29225"/>
    <cellStyle name="20% - Accent5 6 5" xfId="14825"/>
    <cellStyle name="20% - Accent5 6 5 2" xfId="31047"/>
    <cellStyle name="20% - Accent5 6 6" xfId="17935"/>
    <cellStyle name="20% - Accent5 6 6 2" xfId="34156"/>
    <cellStyle name="20% - Accent5 6 7" xfId="27355"/>
    <cellStyle name="20% - Accent5 6 8" xfId="39084"/>
    <cellStyle name="20% - Accent5 7" xfId="6046"/>
    <cellStyle name="20% - Accent5 7 2" xfId="6045"/>
    <cellStyle name="20% - Accent5 7 2 2" xfId="10076"/>
    <cellStyle name="20% - Accent5 7 2 2 2" xfId="19697"/>
    <cellStyle name="20% - Accent5 7 2 2 2 2" xfId="35918"/>
    <cellStyle name="20% - Accent5 7 2 2 3" xfId="29230"/>
    <cellStyle name="20% - Accent5 7 2 3" xfId="16674"/>
    <cellStyle name="20% - Accent5 7 2 3 2" xfId="32895"/>
    <cellStyle name="20% - Accent5 7 2 4" xfId="17940"/>
    <cellStyle name="20% - Accent5 7 2 4 2" xfId="34161"/>
    <cellStyle name="20% - Accent5 7 2 5" xfId="27350"/>
    <cellStyle name="20% - Accent5 7 3" xfId="10075"/>
    <cellStyle name="20% - Accent5 7 3 2" xfId="19696"/>
    <cellStyle name="20% - Accent5 7 3 2 2" xfId="35917"/>
    <cellStyle name="20% - Accent5 7 3 3" xfId="29229"/>
    <cellStyle name="20% - Accent5 7 4" xfId="15089"/>
    <cellStyle name="20% - Accent5 7 4 2" xfId="31311"/>
    <cellStyle name="20% - Accent5 7 5" xfId="17939"/>
    <cellStyle name="20% - Accent5 7 5 2" xfId="34160"/>
    <cellStyle name="20% - Accent5 7 6" xfId="27351"/>
    <cellStyle name="20% - Accent5 7 7" xfId="39232"/>
    <cellStyle name="20% - Accent5 8" xfId="6044"/>
    <cellStyle name="20% - Accent5 8 2" xfId="10077"/>
    <cellStyle name="20% - Accent5 8 2 2" xfId="19698"/>
    <cellStyle name="20% - Accent5 8 2 2 2" xfId="35919"/>
    <cellStyle name="20% - Accent5 8 2 3" xfId="29231"/>
    <cellStyle name="20% - Accent5 8 3" xfId="15882"/>
    <cellStyle name="20% - Accent5 8 3 2" xfId="32103"/>
    <cellStyle name="20% - Accent5 8 4" xfId="17941"/>
    <cellStyle name="20% - Accent5 8 4 2" xfId="34162"/>
    <cellStyle name="20% - Accent5 8 5" xfId="27349"/>
    <cellStyle name="20% - Accent5 8 6" xfId="39381"/>
    <cellStyle name="20% - Accent5 9" xfId="9982"/>
    <cellStyle name="20% - Accent5 9 2" xfId="19603"/>
    <cellStyle name="20% - Accent5 9 2 2" xfId="35824"/>
    <cellStyle name="20% - Accent5 9 3" xfId="29136"/>
    <cellStyle name="20% - Accent6" xfId="41" builtinId="50" customBuiltin="1"/>
    <cellStyle name="20% - Accent6 10" xfId="14229"/>
    <cellStyle name="20% - Accent6 10 2" xfId="30516"/>
    <cellStyle name="20% - Accent6 11" xfId="17942"/>
    <cellStyle name="20% - Accent6 11 2" xfId="34163"/>
    <cellStyle name="20% - Accent6 12" xfId="26993"/>
    <cellStyle name="20% - Accent6 13" xfId="38912"/>
    <cellStyle name="20% - Accent6 14" xfId="4850"/>
    <cellStyle name="20% - Accent6 2" xfId="4871"/>
    <cellStyle name="20% - Accent6 2 10" xfId="17943"/>
    <cellStyle name="20% - Accent6 2 10 2" xfId="34164"/>
    <cellStyle name="20% - Accent6 2 11" xfId="27007"/>
    <cellStyle name="20% - Accent6 2 12" xfId="38773"/>
    <cellStyle name="20% - Accent6 2 2" xfId="6043"/>
    <cellStyle name="20% - Accent6 2 2 10" xfId="27348"/>
    <cellStyle name="20% - Accent6 2 2 11" xfId="38970"/>
    <cellStyle name="20% - Accent6 2 2 2" xfId="6042"/>
    <cellStyle name="20% - Accent6 2 2 2 10" xfId="39160"/>
    <cellStyle name="20% - Accent6 2 2 2 2" xfId="6041"/>
    <cellStyle name="20% - Accent6 2 2 2 2 2" xfId="6040"/>
    <cellStyle name="20% - Accent6 2 2 2 2 2 2" xfId="6039"/>
    <cellStyle name="20% - Accent6 2 2 2 2 2 2 2" xfId="10084"/>
    <cellStyle name="20% - Accent6 2 2 2 2 2 2 2 2" xfId="19705"/>
    <cellStyle name="20% - Accent6 2 2 2 2 2 2 2 2 2" xfId="35926"/>
    <cellStyle name="20% - Accent6 2 2 2 2 2 2 2 3" xfId="29238"/>
    <cellStyle name="20% - Accent6 2 2 2 2 2 2 3" xfId="17170"/>
    <cellStyle name="20% - Accent6 2 2 2 2 2 2 3 2" xfId="33391"/>
    <cellStyle name="20% - Accent6 2 2 2 2 2 2 4" xfId="17948"/>
    <cellStyle name="20% - Accent6 2 2 2 2 2 2 4 2" xfId="34169"/>
    <cellStyle name="20% - Accent6 2 2 2 2 2 2 5" xfId="27344"/>
    <cellStyle name="20% - Accent6 2 2 2 2 2 3" xfId="10083"/>
    <cellStyle name="20% - Accent6 2 2 2 2 2 3 2" xfId="19704"/>
    <cellStyle name="20% - Accent6 2 2 2 2 2 3 2 2" xfId="35925"/>
    <cellStyle name="20% - Accent6 2 2 2 2 2 3 3" xfId="29237"/>
    <cellStyle name="20% - Accent6 2 2 2 2 2 4" xfId="15585"/>
    <cellStyle name="20% - Accent6 2 2 2 2 2 4 2" xfId="31807"/>
    <cellStyle name="20% - Accent6 2 2 2 2 2 5" xfId="17947"/>
    <cellStyle name="20% - Accent6 2 2 2 2 2 5 2" xfId="34168"/>
    <cellStyle name="20% - Accent6 2 2 2 2 2 6" xfId="27345"/>
    <cellStyle name="20% - Accent6 2 2 2 2 3" xfId="6038"/>
    <cellStyle name="20% - Accent6 2 2 2 2 3 2" xfId="10085"/>
    <cellStyle name="20% - Accent6 2 2 2 2 3 2 2" xfId="19706"/>
    <cellStyle name="20% - Accent6 2 2 2 2 3 2 2 2" xfId="35927"/>
    <cellStyle name="20% - Accent6 2 2 2 2 3 2 3" xfId="29239"/>
    <cellStyle name="20% - Accent6 2 2 2 2 3 3" xfId="16378"/>
    <cellStyle name="20% - Accent6 2 2 2 2 3 3 2" xfId="32599"/>
    <cellStyle name="20% - Accent6 2 2 2 2 3 4" xfId="17949"/>
    <cellStyle name="20% - Accent6 2 2 2 2 3 4 2" xfId="34170"/>
    <cellStyle name="20% - Accent6 2 2 2 2 3 5" xfId="27343"/>
    <cellStyle name="20% - Accent6 2 2 2 2 4" xfId="10082"/>
    <cellStyle name="20% - Accent6 2 2 2 2 4 2" xfId="19703"/>
    <cellStyle name="20% - Accent6 2 2 2 2 4 2 2" xfId="35924"/>
    <cellStyle name="20% - Accent6 2 2 2 2 4 3" xfId="29236"/>
    <cellStyle name="20% - Accent6 2 2 2 2 5" xfId="14793"/>
    <cellStyle name="20% - Accent6 2 2 2 2 5 2" xfId="31015"/>
    <cellStyle name="20% - Accent6 2 2 2 2 6" xfId="17946"/>
    <cellStyle name="20% - Accent6 2 2 2 2 6 2" xfId="34167"/>
    <cellStyle name="20% - Accent6 2 2 2 2 7" xfId="27346"/>
    <cellStyle name="20% - Accent6 2 2 2 3" xfId="6037"/>
    <cellStyle name="20% - Accent6 2 2 2 3 2" xfId="6036"/>
    <cellStyle name="20% - Accent6 2 2 2 3 2 2" xfId="6035"/>
    <cellStyle name="20% - Accent6 2 2 2 3 2 2 2" xfId="10088"/>
    <cellStyle name="20% - Accent6 2 2 2 3 2 2 2 2" xfId="19709"/>
    <cellStyle name="20% - Accent6 2 2 2 3 2 2 2 2 2" xfId="35930"/>
    <cellStyle name="20% - Accent6 2 2 2 3 2 2 2 3" xfId="29242"/>
    <cellStyle name="20% - Accent6 2 2 2 3 2 2 3" xfId="17434"/>
    <cellStyle name="20% - Accent6 2 2 2 3 2 2 3 2" xfId="33655"/>
    <cellStyle name="20% - Accent6 2 2 2 3 2 2 4" xfId="17952"/>
    <cellStyle name="20% - Accent6 2 2 2 3 2 2 4 2" xfId="34173"/>
    <cellStyle name="20% - Accent6 2 2 2 3 2 2 5" xfId="27340"/>
    <cellStyle name="20% - Accent6 2 2 2 3 2 3" xfId="10087"/>
    <cellStyle name="20% - Accent6 2 2 2 3 2 3 2" xfId="19708"/>
    <cellStyle name="20% - Accent6 2 2 2 3 2 3 2 2" xfId="35929"/>
    <cellStyle name="20% - Accent6 2 2 2 3 2 3 3" xfId="29241"/>
    <cellStyle name="20% - Accent6 2 2 2 3 2 4" xfId="15849"/>
    <cellStyle name="20% - Accent6 2 2 2 3 2 4 2" xfId="32071"/>
    <cellStyle name="20% - Accent6 2 2 2 3 2 5" xfId="17951"/>
    <cellStyle name="20% - Accent6 2 2 2 3 2 5 2" xfId="34172"/>
    <cellStyle name="20% - Accent6 2 2 2 3 2 6" xfId="27341"/>
    <cellStyle name="20% - Accent6 2 2 2 3 3" xfId="6034"/>
    <cellStyle name="20% - Accent6 2 2 2 3 3 2" xfId="10089"/>
    <cellStyle name="20% - Accent6 2 2 2 3 3 2 2" xfId="19710"/>
    <cellStyle name="20% - Accent6 2 2 2 3 3 2 2 2" xfId="35931"/>
    <cellStyle name="20% - Accent6 2 2 2 3 3 2 3" xfId="29243"/>
    <cellStyle name="20% - Accent6 2 2 2 3 3 3" xfId="16642"/>
    <cellStyle name="20% - Accent6 2 2 2 3 3 3 2" xfId="32863"/>
    <cellStyle name="20% - Accent6 2 2 2 3 3 4" xfId="17953"/>
    <cellStyle name="20% - Accent6 2 2 2 3 3 4 2" xfId="34174"/>
    <cellStyle name="20% - Accent6 2 2 2 3 3 5" xfId="27339"/>
    <cellStyle name="20% - Accent6 2 2 2 3 4" xfId="10086"/>
    <cellStyle name="20% - Accent6 2 2 2 3 4 2" xfId="19707"/>
    <cellStyle name="20% - Accent6 2 2 2 3 4 2 2" xfId="35928"/>
    <cellStyle name="20% - Accent6 2 2 2 3 4 3" xfId="29240"/>
    <cellStyle name="20% - Accent6 2 2 2 3 5" xfId="15057"/>
    <cellStyle name="20% - Accent6 2 2 2 3 5 2" xfId="31279"/>
    <cellStyle name="20% - Accent6 2 2 2 3 6" xfId="17950"/>
    <cellStyle name="20% - Accent6 2 2 2 3 6 2" xfId="34171"/>
    <cellStyle name="20% - Accent6 2 2 2 3 7" xfId="27342"/>
    <cellStyle name="20% - Accent6 2 2 2 4" xfId="6033"/>
    <cellStyle name="20% - Accent6 2 2 2 4 2" xfId="6032"/>
    <cellStyle name="20% - Accent6 2 2 2 4 2 2" xfId="10091"/>
    <cellStyle name="20% - Accent6 2 2 2 4 2 2 2" xfId="19712"/>
    <cellStyle name="20% - Accent6 2 2 2 4 2 2 2 2" xfId="35933"/>
    <cellStyle name="20% - Accent6 2 2 2 4 2 2 3" xfId="29245"/>
    <cellStyle name="20% - Accent6 2 2 2 4 2 3" xfId="16906"/>
    <cellStyle name="20% - Accent6 2 2 2 4 2 3 2" xfId="33127"/>
    <cellStyle name="20% - Accent6 2 2 2 4 2 4" xfId="17955"/>
    <cellStyle name="20% - Accent6 2 2 2 4 2 4 2" xfId="34176"/>
    <cellStyle name="20% - Accent6 2 2 2 4 2 5" xfId="27337"/>
    <cellStyle name="20% - Accent6 2 2 2 4 3" xfId="10090"/>
    <cellStyle name="20% - Accent6 2 2 2 4 3 2" xfId="19711"/>
    <cellStyle name="20% - Accent6 2 2 2 4 3 2 2" xfId="35932"/>
    <cellStyle name="20% - Accent6 2 2 2 4 3 3" xfId="29244"/>
    <cellStyle name="20% - Accent6 2 2 2 4 4" xfId="15321"/>
    <cellStyle name="20% - Accent6 2 2 2 4 4 2" xfId="31543"/>
    <cellStyle name="20% - Accent6 2 2 2 4 5" xfId="17954"/>
    <cellStyle name="20% - Accent6 2 2 2 4 5 2" xfId="34175"/>
    <cellStyle name="20% - Accent6 2 2 2 4 6" xfId="27338"/>
    <cellStyle name="20% - Accent6 2 2 2 5" xfId="6031"/>
    <cellStyle name="20% - Accent6 2 2 2 5 2" xfId="10092"/>
    <cellStyle name="20% - Accent6 2 2 2 5 2 2" xfId="19713"/>
    <cellStyle name="20% - Accent6 2 2 2 5 2 2 2" xfId="35934"/>
    <cellStyle name="20% - Accent6 2 2 2 5 2 3" xfId="29246"/>
    <cellStyle name="20% - Accent6 2 2 2 5 3" xfId="16114"/>
    <cellStyle name="20% - Accent6 2 2 2 5 3 2" xfId="32335"/>
    <cellStyle name="20% - Accent6 2 2 2 5 4" xfId="17956"/>
    <cellStyle name="20% - Accent6 2 2 2 5 4 2" xfId="34177"/>
    <cellStyle name="20% - Accent6 2 2 2 5 5" xfId="27336"/>
    <cellStyle name="20% - Accent6 2 2 2 6" xfId="10081"/>
    <cellStyle name="20% - Accent6 2 2 2 6 2" xfId="19702"/>
    <cellStyle name="20% - Accent6 2 2 2 6 2 2" xfId="35923"/>
    <cellStyle name="20% - Accent6 2 2 2 6 3" xfId="29235"/>
    <cellStyle name="20% - Accent6 2 2 2 7" xfId="14529"/>
    <cellStyle name="20% - Accent6 2 2 2 7 2" xfId="30751"/>
    <cellStyle name="20% - Accent6 2 2 2 8" xfId="17945"/>
    <cellStyle name="20% - Accent6 2 2 2 8 2" xfId="34166"/>
    <cellStyle name="20% - Accent6 2 2 2 9" xfId="27347"/>
    <cellStyle name="20% - Accent6 2 2 3" xfId="6030"/>
    <cellStyle name="20% - Accent6 2 2 3 2" xfId="6029"/>
    <cellStyle name="20% - Accent6 2 2 3 2 2" xfId="6028"/>
    <cellStyle name="20% - Accent6 2 2 3 2 2 2" xfId="10095"/>
    <cellStyle name="20% - Accent6 2 2 3 2 2 2 2" xfId="19716"/>
    <cellStyle name="20% - Accent6 2 2 3 2 2 2 2 2" xfId="35937"/>
    <cellStyle name="20% - Accent6 2 2 3 2 2 2 3" xfId="29249"/>
    <cellStyle name="20% - Accent6 2 2 3 2 2 3" xfId="17038"/>
    <cellStyle name="20% - Accent6 2 2 3 2 2 3 2" xfId="33259"/>
    <cellStyle name="20% - Accent6 2 2 3 2 2 4" xfId="17959"/>
    <cellStyle name="20% - Accent6 2 2 3 2 2 4 2" xfId="34180"/>
    <cellStyle name="20% - Accent6 2 2 3 2 2 5" xfId="27333"/>
    <cellStyle name="20% - Accent6 2 2 3 2 3" xfId="10094"/>
    <cellStyle name="20% - Accent6 2 2 3 2 3 2" xfId="19715"/>
    <cellStyle name="20% - Accent6 2 2 3 2 3 2 2" xfId="35936"/>
    <cellStyle name="20% - Accent6 2 2 3 2 3 3" xfId="29248"/>
    <cellStyle name="20% - Accent6 2 2 3 2 4" xfId="15453"/>
    <cellStyle name="20% - Accent6 2 2 3 2 4 2" xfId="31675"/>
    <cellStyle name="20% - Accent6 2 2 3 2 5" xfId="17958"/>
    <cellStyle name="20% - Accent6 2 2 3 2 5 2" xfId="34179"/>
    <cellStyle name="20% - Accent6 2 2 3 2 6" xfId="27334"/>
    <cellStyle name="20% - Accent6 2 2 3 3" xfId="6027"/>
    <cellStyle name="20% - Accent6 2 2 3 3 2" xfId="10096"/>
    <cellStyle name="20% - Accent6 2 2 3 3 2 2" xfId="19717"/>
    <cellStyle name="20% - Accent6 2 2 3 3 2 2 2" xfId="35938"/>
    <cellStyle name="20% - Accent6 2 2 3 3 2 3" xfId="29250"/>
    <cellStyle name="20% - Accent6 2 2 3 3 3" xfId="16246"/>
    <cellStyle name="20% - Accent6 2 2 3 3 3 2" xfId="32467"/>
    <cellStyle name="20% - Accent6 2 2 3 3 4" xfId="17960"/>
    <cellStyle name="20% - Accent6 2 2 3 3 4 2" xfId="34181"/>
    <cellStyle name="20% - Accent6 2 2 3 3 5" xfId="27332"/>
    <cellStyle name="20% - Accent6 2 2 3 4" xfId="10093"/>
    <cellStyle name="20% - Accent6 2 2 3 4 2" xfId="19714"/>
    <cellStyle name="20% - Accent6 2 2 3 4 2 2" xfId="35935"/>
    <cellStyle name="20% - Accent6 2 2 3 4 3" xfId="29247"/>
    <cellStyle name="20% - Accent6 2 2 3 5" xfId="14661"/>
    <cellStyle name="20% - Accent6 2 2 3 5 2" xfId="30883"/>
    <cellStyle name="20% - Accent6 2 2 3 6" xfId="17957"/>
    <cellStyle name="20% - Accent6 2 2 3 6 2" xfId="34178"/>
    <cellStyle name="20% - Accent6 2 2 3 7" xfId="27335"/>
    <cellStyle name="20% - Accent6 2 2 3 8" xfId="39308"/>
    <cellStyle name="20% - Accent6 2 2 4" xfId="6026"/>
    <cellStyle name="20% - Accent6 2 2 4 2" xfId="6025"/>
    <cellStyle name="20% - Accent6 2 2 4 2 2" xfId="6024"/>
    <cellStyle name="20% - Accent6 2 2 4 2 2 2" xfId="10099"/>
    <cellStyle name="20% - Accent6 2 2 4 2 2 2 2" xfId="19720"/>
    <cellStyle name="20% - Accent6 2 2 4 2 2 2 2 2" xfId="35941"/>
    <cellStyle name="20% - Accent6 2 2 4 2 2 2 3" xfId="29253"/>
    <cellStyle name="20% - Accent6 2 2 4 2 2 3" xfId="17302"/>
    <cellStyle name="20% - Accent6 2 2 4 2 2 3 2" xfId="33523"/>
    <cellStyle name="20% - Accent6 2 2 4 2 2 4" xfId="17963"/>
    <cellStyle name="20% - Accent6 2 2 4 2 2 4 2" xfId="34184"/>
    <cellStyle name="20% - Accent6 2 2 4 2 2 5" xfId="27329"/>
    <cellStyle name="20% - Accent6 2 2 4 2 3" xfId="10098"/>
    <cellStyle name="20% - Accent6 2 2 4 2 3 2" xfId="19719"/>
    <cellStyle name="20% - Accent6 2 2 4 2 3 2 2" xfId="35940"/>
    <cellStyle name="20% - Accent6 2 2 4 2 3 3" xfId="29252"/>
    <cellStyle name="20% - Accent6 2 2 4 2 4" xfId="15717"/>
    <cellStyle name="20% - Accent6 2 2 4 2 4 2" xfId="31939"/>
    <cellStyle name="20% - Accent6 2 2 4 2 5" xfId="17962"/>
    <cellStyle name="20% - Accent6 2 2 4 2 5 2" xfId="34183"/>
    <cellStyle name="20% - Accent6 2 2 4 2 6" xfId="27330"/>
    <cellStyle name="20% - Accent6 2 2 4 3" xfId="6023"/>
    <cellStyle name="20% - Accent6 2 2 4 3 2" xfId="10100"/>
    <cellStyle name="20% - Accent6 2 2 4 3 2 2" xfId="19721"/>
    <cellStyle name="20% - Accent6 2 2 4 3 2 2 2" xfId="35942"/>
    <cellStyle name="20% - Accent6 2 2 4 3 2 3" xfId="29254"/>
    <cellStyle name="20% - Accent6 2 2 4 3 3" xfId="16510"/>
    <cellStyle name="20% - Accent6 2 2 4 3 3 2" xfId="32731"/>
    <cellStyle name="20% - Accent6 2 2 4 3 4" xfId="17964"/>
    <cellStyle name="20% - Accent6 2 2 4 3 4 2" xfId="34185"/>
    <cellStyle name="20% - Accent6 2 2 4 3 5" xfId="27328"/>
    <cellStyle name="20% - Accent6 2 2 4 4" xfId="10097"/>
    <cellStyle name="20% - Accent6 2 2 4 4 2" xfId="19718"/>
    <cellStyle name="20% - Accent6 2 2 4 4 2 2" xfId="35939"/>
    <cellStyle name="20% - Accent6 2 2 4 4 3" xfId="29251"/>
    <cellStyle name="20% - Accent6 2 2 4 5" xfId="14925"/>
    <cellStyle name="20% - Accent6 2 2 4 5 2" xfId="31147"/>
    <cellStyle name="20% - Accent6 2 2 4 6" xfId="17961"/>
    <cellStyle name="20% - Accent6 2 2 4 6 2" xfId="34182"/>
    <cellStyle name="20% - Accent6 2 2 4 7" xfId="27331"/>
    <cellStyle name="20% - Accent6 2 2 4 8" xfId="39457"/>
    <cellStyle name="20% - Accent6 2 2 5" xfId="6022"/>
    <cellStyle name="20% - Accent6 2 2 5 2" xfId="6021"/>
    <cellStyle name="20% - Accent6 2 2 5 2 2" xfId="10102"/>
    <cellStyle name="20% - Accent6 2 2 5 2 2 2" xfId="19723"/>
    <cellStyle name="20% - Accent6 2 2 5 2 2 2 2" xfId="35944"/>
    <cellStyle name="20% - Accent6 2 2 5 2 2 3" xfId="29256"/>
    <cellStyle name="20% - Accent6 2 2 5 2 3" xfId="16774"/>
    <cellStyle name="20% - Accent6 2 2 5 2 3 2" xfId="32995"/>
    <cellStyle name="20% - Accent6 2 2 5 2 4" xfId="17966"/>
    <cellStyle name="20% - Accent6 2 2 5 2 4 2" xfId="34187"/>
    <cellStyle name="20% - Accent6 2 2 5 2 5" xfId="27326"/>
    <cellStyle name="20% - Accent6 2 2 5 3" xfId="10101"/>
    <cellStyle name="20% - Accent6 2 2 5 3 2" xfId="19722"/>
    <cellStyle name="20% - Accent6 2 2 5 3 2 2" xfId="35943"/>
    <cellStyle name="20% - Accent6 2 2 5 3 3" xfId="29255"/>
    <cellStyle name="20% - Accent6 2 2 5 4" xfId="15189"/>
    <cellStyle name="20% - Accent6 2 2 5 4 2" xfId="31411"/>
    <cellStyle name="20% - Accent6 2 2 5 5" xfId="17965"/>
    <cellStyle name="20% - Accent6 2 2 5 5 2" xfId="34186"/>
    <cellStyle name="20% - Accent6 2 2 5 6" xfId="27327"/>
    <cellStyle name="20% - Accent6 2 2 6" xfId="6020"/>
    <cellStyle name="20% - Accent6 2 2 6 2" xfId="10103"/>
    <cellStyle name="20% - Accent6 2 2 6 2 2" xfId="19724"/>
    <cellStyle name="20% - Accent6 2 2 6 2 2 2" xfId="35945"/>
    <cellStyle name="20% - Accent6 2 2 6 2 3" xfId="29257"/>
    <cellStyle name="20% - Accent6 2 2 6 3" xfId="15982"/>
    <cellStyle name="20% - Accent6 2 2 6 3 2" xfId="32203"/>
    <cellStyle name="20% - Accent6 2 2 6 4" xfId="17967"/>
    <cellStyle name="20% - Accent6 2 2 6 4 2" xfId="34188"/>
    <cellStyle name="20% - Accent6 2 2 6 5" xfId="27325"/>
    <cellStyle name="20% - Accent6 2 2 7" xfId="10080"/>
    <cellStyle name="20% - Accent6 2 2 7 2" xfId="19701"/>
    <cellStyle name="20% - Accent6 2 2 7 2 2" xfId="35922"/>
    <cellStyle name="20% - Accent6 2 2 7 3" xfId="29234"/>
    <cellStyle name="20% - Accent6 2 2 8" xfId="14397"/>
    <cellStyle name="20% - Accent6 2 2 8 2" xfId="30619"/>
    <cellStyle name="20% - Accent6 2 2 9" xfId="17944"/>
    <cellStyle name="20% - Accent6 2 2 9 2" xfId="34165"/>
    <cellStyle name="20% - Accent6 2 3" xfId="6019"/>
    <cellStyle name="20% - Accent6 2 3 10" xfId="39104"/>
    <cellStyle name="20% - Accent6 2 3 2" xfId="6018"/>
    <cellStyle name="20% - Accent6 2 3 2 2" xfId="6017"/>
    <cellStyle name="20% - Accent6 2 3 2 2 2" xfId="6016"/>
    <cellStyle name="20% - Accent6 2 3 2 2 2 2" xfId="10107"/>
    <cellStyle name="20% - Accent6 2 3 2 2 2 2 2" xfId="19728"/>
    <cellStyle name="20% - Accent6 2 3 2 2 2 2 2 2" xfId="35949"/>
    <cellStyle name="20% - Accent6 2 3 2 2 2 2 3" xfId="29261"/>
    <cellStyle name="20% - Accent6 2 3 2 2 2 3" xfId="17104"/>
    <cellStyle name="20% - Accent6 2 3 2 2 2 3 2" xfId="33325"/>
    <cellStyle name="20% - Accent6 2 3 2 2 2 4" xfId="17971"/>
    <cellStyle name="20% - Accent6 2 3 2 2 2 4 2" xfId="34192"/>
    <cellStyle name="20% - Accent6 2 3 2 2 2 5" xfId="27321"/>
    <cellStyle name="20% - Accent6 2 3 2 2 3" xfId="10106"/>
    <cellStyle name="20% - Accent6 2 3 2 2 3 2" xfId="19727"/>
    <cellStyle name="20% - Accent6 2 3 2 2 3 2 2" xfId="35948"/>
    <cellStyle name="20% - Accent6 2 3 2 2 3 3" xfId="29260"/>
    <cellStyle name="20% - Accent6 2 3 2 2 4" xfId="15519"/>
    <cellStyle name="20% - Accent6 2 3 2 2 4 2" xfId="31741"/>
    <cellStyle name="20% - Accent6 2 3 2 2 5" xfId="17970"/>
    <cellStyle name="20% - Accent6 2 3 2 2 5 2" xfId="34191"/>
    <cellStyle name="20% - Accent6 2 3 2 2 6" xfId="27322"/>
    <cellStyle name="20% - Accent6 2 3 2 3" xfId="6015"/>
    <cellStyle name="20% - Accent6 2 3 2 3 2" xfId="10108"/>
    <cellStyle name="20% - Accent6 2 3 2 3 2 2" xfId="19729"/>
    <cellStyle name="20% - Accent6 2 3 2 3 2 2 2" xfId="35950"/>
    <cellStyle name="20% - Accent6 2 3 2 3 2 3" xfId="29262"/>
    <cellStyle name="20% - Accent6 2 3 2 3 3" xfId="16312"/>
    <cellStyle name="20% - Accent6 2 3 2 3 3 2" xfId="32533"/>
    <cellStyle name="20% - Accent6 2 3 2 3 4" xfId="17972"/>
    <cellStyle name="20% - Accent6 2 3 2 3 4 2" xfId="34193"/>
    <cellStyle name="20% - Accent6 2 3 2 3 5" xfId="27320"/>
    <cellStyle name="20% - Accent6 2 3 2 4" xfId="10105"/>
    <cellStyle name="20% - Accent6 2 3 2 4 2" xfId="19726"/>
    <cellStyle name="20% - Accent6 2 3 2 4 2 2" xfId="35947"/>
    <cellStyle name="20% - Accent6 2 3 2 4 3" xfId="29259"/>
    <cellStyle name="20% - Accent6 2 3 2 5" xfId="14727"/>
    <cellStyle name="20% - Accent6 2 3 2 5 2" xfId="30949"/>
    <cellStyle name="20% - Accent6 2 3 2 6" xfId="17969"/>
    <cellStyle name="20% - Accent6 2 3 2 6 2" xfId="34190"/>
    <cellStyle name="20% - Accent6 2 3 2 7" xfId="27323"/>
    <cellStyle name="20% - Accent6 2 3 3" xfId="6014"/>
    <cellStyle name="20% - Accent6 2 3 3 2" xfId="6013"/>
    <cellStyle name="20% - Accent6 2 3 3 2 2" xfId="6012"/>
    <cellStyle name="20% - Accent6 2 3 3 2 2 2" xfId="10111"/>
    <cellStyle name="20% - Accent6 2 3 3 2 2 2 2" xfId="19732"/>
    <cellStyle name="20% - Accent6 2 3 3 2 2 2 2 2" xfId="35953"/>
    <cellStyle name="20% - Accent6 2 3 3 2 2 2 3" xfId="29265"/>
    <cellStyle name="20% - Accent6 2 3 3 2 2 3" xfId="17368"/>
    <cellStyle name="20% - Accent6 2 3 3 2 2 3 2" xfId="33589"/>
    <cellStyle name="20% - Accent6 2 3 3 2 2 4" xfId="17975"/>
    <cellStyle name="20% - Accent6 2 3 3 2 2 4 2" xfId="34196"/>
    <cellStyle name="20% - Accent6 2 3 3 2 2 5" xfId="27317"/>
    <cellStyle name="20% - Accent6 2 3 3 2 3" xfId="10110"/>
    <cellStyle name="20% - Accent6 2 3 3 2 3 2" xfId="19731"/>
    <cellStyle name="20% - Accent6 2 3 3 2 3 2 2" xfId="35952"/>
    <cellStyle name="20% - Accent6 2 3 3 2 3 3" xfId="29264"/>
    <cellStyle name="20% - Accent6 2 3 3 2 4" xfId="15783"/>
    <cellStyle name="20% - Accent6 2 3 3 2 4 2" xfId="32005"/>
    <cellStyle name="20% - Accent6 2 3 3 2 5" xfId="17974"/>
    <cellStyle name="20% - Accent6 2 3 3 2 5 2" xfId="34195"/>
    <cellStyle name="20% - Accent6 2 3 3 2 6" xfId="27318"/>
    <cellStyle name="20% - Accent6 2 3 3 3" xfId="6011"/>
    <cellStyle name="20% - Accent6 2 3 3 3 2" xfId="10112"/>
    <cellStyle name="20% - Accent6 2 3 3 3 2 2" xfId="19733"/>
    <cellStyle name="20% - Accent6 2 3 3 3 2 2 2" xfId="35954"/>
    <cellStyle name="20% - Accent6 2 3 3 3 2 3" xfId="29266"/>
    <cellStyle name="20% - Accent6 2 3 3 3 3" xfId="16576"/>
    <cellStyle name="20% - Accent6 2 3 3 3 3 2" xfId="32797"/>
    <cellStyle name="20% - Accent6 2 3 3 3 4" xfId="17976"/>
    <cellStyle name="20% - Accent6 2 3 3 3 4 2" xfId="34197"/>
    <cellStyle name="20% - Accent6 2 3 3 3 5" xfId="27316"/>
    <cellStyle name="20% - Accent6 2 3 3 4" xfId="10109"/>
    <cellStyle name="20% - Accent6 2 3 3 4 2" xfId="19730"/>
    <cellStyle name="20% - Accent6 2 3 3 4 2 2" xfId="35951"/>
    <cellStyle name="20% - Accent6 2 3 3 4 3" xfId="29263"/>
    <cellStyle name="20% - Accent6 2 3 3 5" xfId="14991"/>
    <cellStyle name="20% - Accent6 2 3 3 5 2" xfId="31213"/>
    <cellStyle name="20% - Accent6 2 3 3 6" xfId="17973"/>
    <cellStyle name="20% - Accent6 2 3 3 6 2" xfId="34194"/>
    <cellStyle name="20% - Accent6 2 3 3 7" xfId="27319"/>
    <cellStyle name="20% - Accent6 2 3 4" xfId="6010"/>
    <cellStyle name="20% - Accent6 2 3 4 2" xfId="6009"/>
    <cellStyle name="20% - Accent6 2 3 4 2 2" xfId="10114"/>
    <cellStyle name="20% - Accent6 2 3 4 2 2 2" xfId="19735"/>
    <cellStyle name="20% - Accent6 2 3 4 2 2 2 2" xfId="35956"/>
    <cellStyle name="20% - Accent6 2 3 4 2 2 3" xfId="29268"/>
    <cellStyle name="20% - Accent6 2 3 4 2 3" xfId="16840"/>
    <cellStyle name="20% - Accent6 2 3 4 2 3 2" xfId="33061"/>
    <cellStyle name="20% - Accent6 2 3 4 2 4" xfId="17978"/>
    <cellStyle name="20% - Accent6 2 3 4 2 4 2" xfId="34199"/>
    <cellStyle name="20% - Accent6 2 3 4 2 5" xfId="27314"/>
    <cellStyle name="20% - Accent6 2 3 4 3" xfId="10113"/>
    <cellStyle name="20% - Accent6 2 3 4 3 2" xfId="19734"/>
    <cellStyle name="20% - Accent6 2 3 4 3 2 2" xfId="35955"/>
    <cellStyle name="20% - Accent6 2 3 4 3 3" xfId="29267"/>
    <cellStyle name="20% - Accent6 2 3 4 4" xfId="15255"/>
    <cellStyle name="20% - Accent6 2 3 4 4 2" xfId="31477"/>
    <cellStyle name="20% - Accent6 2 3 4 5" xfId="17977"/>
    <cellStyle name="20% - Accent6 2 3 4 5 2" xfId="34198"/>
    <cellStyle name="20% - Accent6 2 3 4 6" xfId="27315"/>
    <cellStyle name="20% - Accent6 2 3 5" xfId="6008"/>
    <cellStyle name="20% - Accent6 2 3 5 2" xfId="10115"/>
    <cellStyle name="20% - Accent6 2 3 5 2 2" xfId="19736"/>
    <cellStyle name="20% - Accent6 2 3 5 2 2 2" xfId="35957"/>
    <cellStyle name="20% - Accent6 2 3 5 2 3" xfId="29269"/>
    <cellStyle name="20% - Accent6 2 3 5 3" xfId="16048"/>
    <cellStyle name="20% - Accent6 2 3 5 3 2" xfId="32269"/>
    <cellStyle name="20% - Accent6 2 3 5 4" xfId="17979"/>
    <cellStyle name="20% - Accent6 2 3 5 4 2" xfId="34200"/>
    <cellStyle name="20% - Accent6 2 3 5 5" xfId="27313"/>
    <cellStyle name="20% - Accent6 2 3 6" xfId="10104"/>
    <cellStyle name="20% - Accent6 2 3 6 2" xfId="19725"/>
    <cellStyle name="20% - Accent6 2 3 6 2 2" xfId="35946"/>
    <cellStyle name="20% - Accent6 2 3 6 3" xfId="29258"/>
    <cellStyle name="20% - Accent6 2 3 7" xfId="14463"/>
    <cellStyle name="20% - Accent6 2 3 7 2" xfId="30685"/>
    <cellStyle name="20% - Accent6 2 3 8" xfId="17968"/>
    <cellStyle name="20% - Accent6 2 3 8 2" xfId="34189"/>
    <cellStyle name="20% - Accent6 2 3 9" xfId="27324"/>
    <cellStyle name="20% - Accent6 2 4" xfId="6007"/>
    <cellStyle name="20% - Accent6 2 4 2" xfId="6006"/>
    <cellStyle name="20% - Accent6 2 4 2 2" xfId="6005"/>
    <cellStyle name="20% - Accent6 2 4 2 2 2" xfId="10118"/>
    <cellStyle name="20% - Accent6 2 4 2 2 2 2" xfId="19739"/>
    <cellStyle name="20% - Accent6 2 4 2 2 2 2 2" xfId="35960"/>
    <cellStyle name="20% - Accent6 2 4 2 2 2 3" xfId="29272"/>
    <cellStyle name="20% - Accent6 2 4 2 2 3" xfId="16972"/>
    <cellStyle name="20% - Accent6 2 4 2 2 3 2" xfId="33193"/>
    <cellStyle name="20% - Accent6 2 4 2 2 4" xfId="17982"/>
    <cellStyle name="20% - Accent6 2 4 2 2 4 2" xfId="34203"/>
    <cellStyle name="20% - Accent6 2 4 2 2 5" xfId="27310"/>
    <cellStyle name="20% - Accent6 2 4 2 3" xfId="10117"/>
    <cellStyle name="20% - Accent6 2 4 2 3 2" xfId="19738"/>
    <cellStyle name="20% - Accent6 2 4 2 3 2 2" xfId="35959"/>
    <cellStyle name="20% - Accent6 2 4 2 3 3" xfId="29271"/>
    <cellStyle name="20% - Accent6 2 4 2 4" xfId="15387"/>
    <cellStyle name="20% - Accent6 2 4 2 4 2" xfId="31609"/>
    <cellStyle name="20% - Accent6 2 4 2 5" xfId="17981"/>
    <cellStyle name="20% - Accent6 2 4 2 5 2" xfId="34202"/>
    <cellStyle name="20% - Accent6 2 4 2 6" xfId="27311"/>
    <cellStyle name="20% - Accent6 2 4 3" xfId="6004"/>
    <cellStyle name="20% - Accent6 2 4 3 2" xfId="10119"/>
    <cellStyle name="20% - Accent6 2 4 3 2 2" xfId="19740"/>
    <cellStyle name="20% - Accent6 2 4 3 2 2 2" xfId="35961"/>
    <cellStyle name="20% - Accent6 2 4 3 2 3" xfId="29273"/>
    <cellStyle name="20% - Accent6 2 4 3 3" xfId="16180"/>
    <cellStyle name="20% - Accent6 2 4 3 3 2" xfId="32401"/>
    <cellStyle name="20% - Accent6 2 4 3 4" xfId="17983"/>
    <cellStyle name="20% - Accent6 2 4 3 4 2" xfId="34204"/>
    <cellStyle name="20% - Accent6 2 4 3 5" xfId="27309"/>
    <cellStyle name="20% - Accent6 2 4 4" xfId="10116"/>
    <cellStyle name="20% - Accent6 2 4 4 2" xfId="19737"/>
    <cellStyle name="20% - Accent6 2 4 4 2 2" xfId="35958"/>
    <cellStyle name="20% - Accent6 2 4 4 3" xfId="29270"/>
    <cellStyle name="20% - Accent6 2 4 5" xfId="14595"/>
    <cellStyle name="20% - Accent6 2 4 5 2" xfId="30817"/>
    <cellStyle name="20% - Accent6 2 4 6" xfId="17980"/>
    <cellStyle name="20% - Accent6 2 4 6 2" xfId="34201"/>
    <cellStyle name="20% - Accent6 2 4 7" xfId="27312"/>
    <cellStyle name="20% - Accent6 2 4 8" xfId="39252"/>
    <cellStyle name="20% - Accent6 2 5" xfId="6003"/>
    <cellStyle name="20% - Accent6 2 5 2" xfId="6002"/>
    <cellStyle name="20% - Accent6 2 5 2 2" xfId="6001"/>
    <cellStyle name="20% - Accent6 2 5 2 2 2" xfId="10122"/>
    <cellStyle name="20% - Accent6 2 5 2 2 2 2" xfId="19743"/>
    <cellStyle name="20% - Accent6 2 5 2 2 2 2 2" xfId="35964"/>
    <cellStyle name="20% - Accent6 2 5 2 2 2 3" xfId="29276"/>
    <cellStyle name="20% - Accent6 2 5 2 2 3" xfId="17236"/>
    <cellStyle name="20% - Accent6 2 5 2 2 3 2" xfId="33457"/>
    <cellStyle name="20% - Accent6 2 5 2 2 4" xfId="17986"/>
    <cellStyle name="20% - Accent6 2 5 2 2 4 2" xfId="34207"/>
    <cellStyle name="20% - Accent6 2 5 2 2 5" xfId="27306"/>
    <cellStyle name="20% - Accent6 2 5 2 3" xfId="10121"/>
    <cellStyle name="20% - Accent6 2 5 2 3 2" xfId="19742"/>
    <cellStyle name="20% - Accent6 2 5 2 3 2 2" xfId="35963"/>
    <cellStyle name="20% - Accent6 2 5 2 3 3" xfId="29275"/>
    <cellStyle name="20% - Accent6 2 5 2 4" xfId="15651"/>
    <cellStyle name="20% - Accent6 2 5 2 4 2" xfId="31873"/>
    <cellStyle name="20% - Accent6 2 5 2 5" xfId="17985"/>
    <cellStyle name="20% - Accent6 2 5 2 5 2" xfId="34206"/>
    <cellStyle name="20% - Accent6 2 5 2 6" xfId="27307"/>
    <cellStyle name="20% - Accent6 2 5 3" xfId="6000"/>
    <cellStyle name="20% - Accent6 2 5 3 2" xfId="10123"/>
    <cellStyle name="20% - Accent6 2 5 3 2 2" xfId="19744"/>
    <cellStyle name="20% - Accent6 2 5 3 2 2 2" xfId="35965"/>
    <cellStyle name="20% - Accent6 2 5 3 2 3" xfId="29277"/>
    <cellStyle name="20% - Accent6 2 5 3 3" xfId="16444"/>
    <cellStyle name="20% - Accent6 2 5 3 3 2" xfId="32665"/>
    <cellStyle name="20% - Accent6 2 5 3 4" xfId="17987"/>
    <cellStyle name="20% - Accent6 2 5 3 4 2" xfId="34208"/>
    <cellStyle name="20% - Accent6 2 5 3 5" xfId="27305"/>
    <cellStyle name="20% - Accent6 2 5 4" xfId="10120"/>
    <cellStyle name="20% - Accent6 2 5 4 2" xfId="19741"/>
    <cellStyle name="20% - Accent6 2 5 4 2 2" xfId="35962"/>
    <cellStyle name="20% - Accent6 2 5 4 3" xfId="29274"/>
    <cellStyle name="20% - Accent6 2 5 5" xfId="14859"/>
    <cellStyle name="20% - Accent6 2 5 5 2" xfId="31081"/>
    <cellStyle name="20% - Accent6 2 5 6" xfId="17984"/>
    <cellStyle name="20% - Accent6 2 5 6 2" xfId="34205"/>
    <cellStyle name="20% - Accent6 2 5 7" xfId="27308"/>
    <cellStyle name="20% - Accent6 2 5 8" xfId="39401"/>
    <cellStyle name="20% - Accent6 2 6" xfId="5999"/>
    <cellStyle name="20% - Accent6 2 6 2" xfId="5998"/>
    <cellStyle name="20% - Accent6 2 6 2 2" xfId="10125"/>
    <cellStyle name="20% - Accent6 2 6 2 2 2" xfId="19746"/>
    <cellStyle name="20% - Accent6 2 6 2 2 2 2" xfId="35967"/>
    <cellStyle name="20% - Accent6 2 6 2 2 3" xfId="29279"/>
    <cellStyle name="20% - Accent6 2 6 2 3" xfId="16708"/>
    <cellStyle name="20% - Accent6 2 6 2 3 2" xfId="32929"/>
    <cellStyle name="20% - Accent6 2 6 2 4" xfId="17989"/>
    <cellStyle name="20% - Accent6 2 6 2 4 2" xfId="34210"/>
    <cellStyle name="20% - Accent6 2 6 2 5" xfId="27303"/>
    <cellStyle name="20% - Accent6 2 6 3" xfId="10124"/>
    <cellStyle name="20% - Accent6 2 6 3 2" xfId="19745"/>
    <cellStyle name="20% - Accent6 2 6 3 2 2" xfId="35966"/>
    <cellStyle name="20% - Accent6 2 6 3 3" xfId="29278"/>
    <cellStyle name="20% - Accent6 2 6 4" xfId="15123"/>
    <cellStyle name="20% - Accent6 2 6 4 2" xfId="31345"/>
    <cellStyle name="20% - Accent6 2 6 5" xfId="17988"/>
    <cellStyle name="20% - Accent6 2 6 5 2" xfId="34209"/>
    <cellStyle name="20% - Accent6 2 6 6" xfId="27304"/>
    <cellStyle name="20% - Accent6 2 7" xfId="5997"/>
    <cellStyle name="20% - Accent6 2 7 2" xfId="10126"/>
    <cellStyle name="20% - Accent6 2 7 2 2" xfId="19747"/>
    <cellStyle name="20% - Accent6 2 7 2 2 2" xfId="35968"/>
    <cellStyle name="20% - Accent6 2 7 2 3" xfId="29280"/>
    <cellStyle name="20% - Accent6 2 7 3" xfId="15916"/>
    <cellStyle name="20% - Accent6 2 7 3 2" xfId="32137"/>
    <cellStyle name="20% - Accent6 2 7 4" xfId="17990"/>
    <cellStyle name="20% - Accent6 2 7 4 2" xfId="34211"/>
    <cellStyle name="20% - Accent6 2 7 5" xfId="27302"/>
    <cellStyle name="20% - Accent6 2 8" xfId="10079"/>
    <cellStyle name="20% - Accent6 2 8 2" xfId="19700"/>
    <cellStyle name="20% - Accent6 2 8 2 2" xfId="35921"/>
    <cellStyle name="20% - Accent6 2 8 3" xfId="29233"/>
    <cellStyle name="20% - Accent6 2 9" xfId="14331"/>
    <cellStyle name="20% - Accent6 2 9 2" xfId="30553"/>
    <cellStyle name="20% - Accent6 3" xfId="5996"/>
    <cellStyle name="20% - Accent6 3 10" xfId="27301"/>
    <cellStyle name="20% - Accent6 3 11" xfId="38983"/>
    <cellStyle name="20% - Accent6 3 2" xfId="5995"/>
    <cellStyle name="20% - Accent6 3 2 10" xfId="39025"/>
    <cellStyle name="20% - Accent6 3 2 2" xfId="5994"/>
    <cellStyle name="20% - Accent6 3 2 2 2" xfId="5993"/>
    <cellStyle name="20% - Accent6 3 2 2 2 2" xfId="5992"/>
    <cellStyle name="20% - Accent6 3 2 2 2 2 2" xfId="10131"/>
    <cellStyle name="20% - Accent6 3 2 2 2 2 2 2" xfId="19752"/>
    <cellStyle name="20% - Accent6 3 2 2 2 2 2 2 2" xfId="35973"/>
    <cellStyle name="20% - Accent6 3 2 2 2 2 2 3" xfId="29285"/>
    <cellStyle name="20% - Accent6 3 2 2 2 2 3" xfId="17137"/>
    <cellStyle name="20% - Accent6 3 2 2 2 2 3 2" xfId="33358"/>
    <cellStyle name="20% - Accent6 3 2 2 2 2 4" xfId="17995"/>
    <cellStyle name="20% - Accent6 3 2 2 2 2 4 2" xfId="34216"/>
    <cellStyle name="20% - Accent6 3 2 2 2 2 5" xfId="27297"/>
    <cellStyle name="20% - Accent6 3 2 2 2 3" xfId="10130"/>
    <cellStyle name="20% - Accent6 3 2 2 2 3 2" xfId="19751"/>
    <cellStyle name="20% - Accent6 3 2 2 2 3 2 2" xfId="35972"/>
    <cellStyle name="20% - Accent6 3 2 2 2 3 3" xfId="29284"/>
    <cellStyle name="20% - Accent6 3 2 2 2 4" xfId="15552"/>
    <cellStyle name="20% - Accent6 3 2 2 2 4 2" xfId="31774"/>
    <cellStyle name="20% - Accent6 3 2 2 2 5" xfId="17994"/>
    <cellStyle name="20% - Accent6 3 2 2 2 5 2" xfId="34215"/>
    <cellStyle name="20% - Accent6 3 2 2 2 6" xfId="27298"/>
    <cellStyle name="20% - Accent6 3 2 2 3" xfId="5991"/>
    <cellStyle name="20% - Accent6 3 2 2 3 2" xfId="10132"/>
    <cellStyle name="20% - Accent6 3 2 2 3 2 2" xfId="19753"/>
    <cellStyle name="20% - Accent6 3 2 2 3 2 2 2" xfId="35974"/>
    <cellStyle name="20% - Accent6 3 2 2 3 2 3" xfId="29286"/>
    <cellStyle name="20% - Accent6 3 2 2 3 3" xfId="16345"/>
    <cellStyle name="20% - Accent6 3 2 2 3 3 2" xfId="32566"/>
    <cellStyle name="20% - Accent6 3 2 2 3 4" xfId="17996"/>
    <cellStyle name="20% - Accent6 3 2 2 3 4 2" xfId="34217"/>
    <cellStyle name="20% - Accent6 3 2 2 3 5" xfId="27296"/>
    <cellStyle name="20% - Accent6 3 2 2 4" xfId="10129"/>
    <cellStyle name="20% - Accent6 3 2 2 4 2" xfId="19750"/>
    <cellStyle name="20% - Accent6 3 2 2 4 2 2" xfId="35971"/>
    <cellStyle name="20% - Accent6 3 2 2 4 3" xfId="29283"/>
    <cellStyle name="20% - Accent6 3 2 2 5" xfId="14760"/>
    <cellStyle name="20% - Accent6 3 2 2 5 2" xfId="30982"/>
    <cellStyle name="20% - Accent6 3 2 2 6" xfId="17993"/>
    <cellStyle name="20% - Accent6 3 2 2 6 2" xfId="34214"/>
    <cellStyle name="20% - Accent6 3 2 2 7" xfId="27299"/>
    <cellStyle name="20% - Accent6 3 2 2 8" xfId="39173"/>
    <cellStyle name="20% - Accent6 3 2 3" xfId="5990"/>
    <cellStyle name="20% - Accent6 3 2 3 2" xfId="5989"/>
    <cellStyle name="20% - Accent6 3 2 3 2 2" xfId="5988"/>
    <cellStyle name="20% - Accent6 3 2 3 2 2 2" xfId="10135"/>
    <cellStyle name="20% - Accent6 3 2 3 2 2 2 2" xfId="19756"/>
    <cellStyle name="20% - Accent6 3 2 3 2 2 2 2 2" xfId="35977"/>
    <cellStyle name="20% - Accent6 3 2 3 2 2 2 3" xfId="29289"/>
    <cellStyle name="20% - Accent6 3 2 3 2 2 3" xfId="17401"/>
    <cellStyle name="20% - Accent6 3 2 3 2 2 3 2" xfId="33622"/>
    <cellStyle name="20% - Accent6 3 2 3 2 2 4" xfId="17999"/>
    <cellStyle name="20% - Accent6 3 2 3 2 2 4 2" xfId="34220"/>
    <cellStyle name="20% - Accent6 3 2 3 2 2 5" xfId="27293"/>
    <cellStyle name="20% - Accent6 3 2 3 2 3" xfId="10134"/>
    <cellStyle name="20% - Accent6 3 2 3 2 3 2" xfId="19755"/>
    <cellStyle name="20% - Accent6 3 2 3 2 3 2 2" xfId="35976"/>
    <cellStyle name="20% - Accent6 3 2 3 2 3 3" xfId="29288"/>
    <cellStyle name="20% - Accent6 3 2 3 2 4" xfId="15816"/>
    <cellStyle name="20% - Accent6 3 2 3 2 4 2" xfId="32038"/>
    <cellStyle name="20% - Accent6 3 2 3 2 5" xfId="17998"/>
    <cellStyle name="20% - Accent6 3 2 3 2 5 2" xfId="34219"/>
    <cellStyle name="20% - Accent6 3 2 3 2 6" xfId="27294"/>
    <cellStyle name="20% - Accent6 3 2 3 3" xfId="5987"/>
    <cellStyle name="20% - Accent6 3 2 3 3 2" xfId="10136"/>
    <cellStyle name="20% - Accent6 3 2 3 3 2 2" xfId="19757"/>
    <cellStyle name="20% - Accent6 3 2 3 3 2 2 2" xfId="35978"/>
    <cellStyle name="20% - Accent6 3 2 3 3 2 3" xfId="29290"/>
    <cellStyle name="20% - Accent6 3 2 3 3 3" xfId="16609"/>
    <cellStyle name="20% - Accent6 3 2 3 3 3 2" xfId="32830"/>
    <cellStyle name="20% - Accent6 3 2 3 3 4" xfId="18000"/>
    <cellStyle name="20% - Accent6 3 2 3 3 4 2" xfId="34221"/>
    <cellStyle name="20% - Accent6 3 2 3 3 5" xfId="27292"/>
    <cellStyle name="20% - Accent6 3 2 3 4" xfId="10133"/>
    <cellStyle name="20% - Accent6 3 2 3 4 2" xfId="19754"/>
    <cellStyle name="20% - Accent6 3 2 3 4 2 2" xfId="35975"/>
    <cellStyle name="20% - Accent6 3 2 3 4 3" xfId="29287"/>
    <cellStyle name="20% - Accent6 3 2 3 5" xfId="15024"/>
    <cellStyle name="20% - Accent6 3 2 3 5 2" xfId="31246"/>
    <cellStyle name="20% - Accent6 3 2 3 6" xfId="17997"/>
    <cellStyle name="20% - Accent6 3 2 3 6 2" xfId="34218"/>
    <cellStyle name="20% - Accent6 3 2 3 7" xfId="27295"/>
    <cellStyle name="20% - Accent6 3 2 3 8" xfId="39321"/>
    <cellStyle name="20% - Accent6 3 2 4" xfId="5986"/>
    <cellStyle name="20% - Accent6 3 2 4 2" xfId="5985"/>
    <cellStyle name="20% - Accent6 3 2 4 2 2" xfId="10138"/>
    <cellStyle name="20% - Accent6 3 2 4 2 2 2" xfId="19759"/>
    <cellStyle name="20% - Accent6 3 2 4 2 2 2 2" xfId="35980"/>
    <cellStyle name="20% - Accent6 3 2 4 2 2 3" xfId="29292"/>
    <cellStyle name="20% - Accent6 3 2 4 2 3" xfId="16873"/>
    <cellStyle name="20% - Accent6 3 2 4 2 3 2" xfId="33094"/>
    <cellStyle name="20% - Accent6 3 2 4 2 4" xfId="18002"/>
    <cellStyle name="20% - Accent6 3 2 4 2 4 2" xfId="34223"/>
    <cellStyle name="20% - Accent6 3 2 4 2 5" xfId="27290"/>
    <cellStyle name="20% - Accent6 3 2 4 3" xfId="10137"/>
    <cellStyle name="20% - Accent6 3 2 4 3 2" xfId="19758"/>
    <cellStyle name="20% - Accent6 3 2 4 3 2 2" xfId="35979"/>
    <cellStyle name="20% - Accent6 3 2 4 3 3" xfId="29291"/>
    <cellStyle name="20% - Accent6 3 2 4 4" xfId="15288"/>
    <cellStyle name="20% - Accent6 3 2 4 4 2" xfId="31510"/>
    <cellStyle name="20% - Accent6 3 2 4 5" xfId="18001"/>
    <cellStyle name="20% - Accent6 3 2 4 5 2" xfId="34222"/>
    <cellStyle name="20% - Accent6 3 2 4 6" xfId="27291"/>
    <cellStyle name="20% - Accent6 3 2 4 7" xfId="39470"/>
    <cellStyle name="20% - Accent6 3 2 5" xfId="5984"/>
    <cellStyle name="20% - Accent6 3 2 5 2" xfId="10139"/>
    <cellStyle name="20% - Accent6 3 2 5 2 2" xfId="19760"/>
    <cellStyle name="20% - Accent6 3 2 5 2 2 2" xfId="35981"/>
    <cellStyle name="20% - Accent6 3 2 5 2 3" xfId="29293"/>
    <cellStyle name="20% - Accent6 3 2 5 3" xfId="16081"/>
    <cellStyle name="20% - Accent6 3 2 5 3 2" xfId="32302"/>
    <cellStyle name="20% - Accent6 3 2 5 4" xfId="18003"/>
    <cellStyle name="20% - Accent6 3 2 5 4 2" xfId="34224"/>
    <cellStyle name="20% - Accent6 3 2 5 5" xfId="27289"/>
    <cellStyle name="20% - Accent6 3 2 6" xfId="10128"/>
    <cellStyle name="20% - Accent6 3 2 6 2" xfId="19749"/>
    <cellStyle name="20% - Accent6 3 2 6 2 2" xfId="35970"/>
    <cellStyle name="20% - Accent6 3 2 6 3" xfId="29282"/>
    <cellStyle name="20% - Accent6 3 2 7" xfId="14496"/>
    <cellStyle name="20% - Accent6 3 2 7 2" xfId="30718"/>
    <cellStyle name="20% - Accent6 3 2 8" xfId="17992"/>
    <cellStyle name="20% - Accent6 3 2 8 2" xfId="34213"/>
    <cellStyle name="20% - Accent6 3 2 9" xfId="27300"/>
    <cellStyle name="20% - Accent6 3 3" xfId="5983"/>
    <cellStyle name="20% - Accent6 3 3 2" xfId="5982"/>
    <cellStyle name="20% - Accent6 3 3 2 2" xfId="5981"/>
    <cellStyle name="20% - Accent6 3 3 2 2 2" xfId="10142"/>
    <cellStyle name="20% - Accent6 3 3 2 2 2 2" xfId="19763"/>
    <cellStyle name="20% - Accent6 3 3 2 2 2 2 2" xfId="35984"/>
    <cellStyle name="20% - Accent6 3 3 2 2 2 3" xfId="29296"/>
    <cellStyle name="20% - Accent6 3 3 2 2 3" xfId="17005"/>
    <cellStyle name="20% - Accent6 3 3 2 2 3 2" xfId="33226"/>
    <cellStyle name="20% - Accent6 3 3 2 2 4" xfId="18006"/>
    <cellStyle name="20% - Accent6 3 3 2 2 4 2" xfId="34227"/>
    <cellStyle name="20% - Accent6 3 3 2 2 5" xfId="27286"/>
    <cellStyle name="20% - Accent6 3 3 2 3" xfId="10141"/>
    <cellStyle name="20% - Accent6 3 3 2 3 2" xfId="19762"/>
    <cellStyle name="20% - Accent6 3 3 2 3 2 2" xfId="35983"/>
    <cellStyle name="20% - Accent6 3 3 2 3 3" xfId="29295"/>
    <cellStyle name="20% - Accent6 3 3 2 4" xfId="15420"/>
    <cellStyle name="20% - Accent6 3 3 2 4 2" xfId="31642"/>
    <cellStyle name="20% - Accent6 3 3 2 5" xfId="18005"/>
    <cellStyle name="20% - Accent6 3 3 2 5 2" xfId="34226"/>
    <cellStyle name="20% - Accent6 3 3 2 6" xfId="27287"/>
    <cellStyle name="20% - Accent6 3 3 3" xfId="5980"/>
    <cellStyle name="20% - Accent6 3 3 3 2" xfId="10143"/>
    <cellStyle name="20% - Accent6 3 3 3 2 2" xfId="19764"/>
    <cellStyle name="20% - Accent6 3 3 3 2 2 2" xfId="35985"/>
    <cellStyle name="20% - Accent6 3 3 3 2 3" xfId="29297"/>
    <cellStyle name="20% - Accent6 3 3 3 3" xfId="16213"/>
    <cellStyle name="20% - Accent6 3 3 3 3 2" xfId="32434"/>
    <cellStyle name="20% - Accent6 3 3 3 4" xfId="18007"/>
    <cellStyle name="20% - Accent6 3 3 3 4 2" xfId="34228"/>
    <cellStyle name="20% - Accent6 3 3 3 5" xfId="27285"/>
    <cellStyle name="20% - Accent6 3 3 4" xfId="10140"/>
    <cellStyle name="20% - Accent6 3 3 4 2" xfId="19761"/>
    <cellStyle name="20% - Accent6 3 3 4 2 2" xfId="35982"/>
    <cellStyle name="20% - Accent6 3 3 4 3" xfId="29294"/>
    <cellStyle name="20% - Accent6 3 3 5" xfId="14628"/>
    <cellStyle name="20% - Accent6 3 3 5 2" xfId="30850"/>
    <cellStyle name="20% - Accent6 3 3 6" xfId="18004"/>
    <cellStyle name="20% - Accent6 3 3 6 2" xfId="34225"/>
    <cellStyle name="20% - Accent6 3 3 7" xfId="27288"/>
    <cellStyle name="20% - Accent6 3 3 8" xfId="39117"/>
    <cellStyle name="20% - Accent6 3 4" xfId="5979"/>
    <cellStyle name="20% - Accent6 3 4 2" xfId="5978"/>
    <cellStyle name="20% - Accent6 3 4 2 2" xfId="5977"/>
    <cellStyle name="20% - Accent6 3 4 2 2 2" xfId="10146"/>
    <cellStyle name="20% - Accent6 3 4 2 2 2 2" xfId="19767"/>
    <cellStyle name="20% - Accent6 3 4 2 2 2 2 2" xfId="35988"/>
    <cellStyle name="20% - Accent6 3 4 2 2 2 3" xfId="29300"/>
    <cellStyle name="20% - Accent6 3 4 2 2 3" xfId="17269"/>
    <cellStyle name="20% - Accent6 3 4 2 2 3 2" xfId="33490"/>
    <cellStyle name="20% - Accent6 3 4 2 2 4" xfId="18010"/>
    <cellStyle name="20% - Accent6 3 4 2 2 4 2" xfId="34231"/>
    <cellStyle name="20% - Accent6 3 4 2 2 5" xfId="27282"/>
    <cellStyle name="20% - Accent6 3 4 2 3" xfId="10145"/>
    <cellStyle name="20% - Accent6 3 4 2 3 2" xfId="19766"/>
    <cellStyle name="20% - Accent6 3 4 2 3 2 2" xfId="35987"/>
    <cellStyle name="20% - Accent6 3 4 2 3 3" xfId="29299"/>
    <cellStyle name="20% - Accent6 3 4 2 4" xfId="15684"/>
    <cellStyle name="20% - Accent6 3 4 2 4 2" xfId="31906"/>
    <cellStyle name="20% - Accent6 3 4 2 5" xfId="18009"/>
    <cellStyle name="20% - Accent6 3 4 2 5 2" xfId="34230"/>
    <cellStyle name="20% - Accent6 3 4 2 6" xfId="27283"/>
    <cellStyle name="20% - Accent6 3 4 3" xfId="5976"/>
    <cellStyle name="20% - Accent6 3 4 3 2" xfId="10147"/>
    <cellStyle name="20% - Accent6 3 4 3 2 2" xfId="19768"/>
    <cellStyle name="20% - Accent6 3 4 3 2 2 2" xfId="35989"/>
    <cellStyle name="20% - Accent6 3 4 3 2 3" xfId="29301"/>
    <cellStyle name="20% - Accent6 3 4 3 3" xfId="16477"/>
    <cellStyle name="20% - Accent6 3 4 3 3 2" xfId="32698"/>
    <cellStyle name="20% - Accent6 3 4 3 4" xfId="18011"/>
    <cellStyle name="20% - Accent6 3 4 3 4 2" xfId="34232"/>
    <cellStyle name="20% - Accent6 3 4 3 5" xfId="27281"/>
    <cellStyle name="20% - Accent6 3 4 4" xfId="10144"/>
    <cellStyle name="20% - Accent6 3 4 4 2" xfId="19765"/>
    <cellStyle name="20% - Accent6 3 4 4 2 2" xfId="35986"/>
    <cellStyle name="20% - Accent6 3 4 4 3" xfId="29298"/>
    <cellStyle name="20% - Accent6 3 4 5" xfId="14892"/>
    <cellStyle name="20% - Accent6 3 4 5 2" xfId="31114"/>
    <cellStyle name="20% - Accent6 3 4 6" xfId="18008"/>
    <cellStyle name="20% - Accent6 3 4 6 2" xfId="34229"/>
    <cellStyle name="20% - Accent6 3 4 7" xfId="27284"/>
    <cellStyle name="20% - Accent6 3 4 8" xfId="39265"/>
    <cellStyle name="20% - Accent6 3 5" xfId="5975"/>
    <cellStyle name="20% - Accent6 3 5 2" xfId="5974"/>
    <cellStyle name="20% - Accent6 3 5 2 2" xfId="10149"/>
    <cellStyle name="20% - Accent6 3 5 2 2 2" xfId="19770"/>
    <cellStyle name="20% - Accent6 3 5 2 2 2 2" xfId="35991"/>
    <cellStyle name="20% - Accent6 3 5 2 2 3" xfId="29303"/>
    <cellStyle name="20% - Accent6 3 5 2 3" xfId="16741"/>
    <cellStyle name="20% - Accent6 3 5 2 3 2" xfId="32962"/>
    <cellStyle name="20% - Accent6 3 5 2 4" xfId="18013"/>
    <cellStyle name="20% - Accent6 3 5 2 4 2" xfId="34234"/>
    <cellStyle name="20% - Accent6 3 5 2 5" xfId="27279"/>
    <cellStyle name="20% - Accent6 3 5 3" xfId="10148"/>
    <cellStyle name="20% - Accent6 3 5 3 2" xfId="19769"/>
    <cellStyle name="20% - Accent6 3 5 3 2 2" xfId="35990"/>
    <cellStyle name="20% - Accent6 3 5 3 3" xfId="29302"/>
    <cellStyle name="20% - Accent6 3 5 4" xfId="15156"/>
    <cellStyle name="20% - Accent6 3 5 4 2" xfId="31378"/>
    <cellStyle name="20% - Accent6 3 5 5" xfId="18012"/>
    <cellStyle name="20% - Accent6 3 5 5 2" xfId="34233"/>
    <cellStyle name="20% - Accent6 3 5 6" xfId="27280"/>
    <cellStyle name="20% - Accent6 3 5 7" xfId="39414"/>
    <cellStyle name="20% - Accent6 3 6" xfId="5973"/>
    <cellStyle name="20% - Accent6 3 6 2" xfId="10150"/>
    <cellStyle name="20% - Accent6 3 6 2 2" xfId="19771"/>
    <cellStyle name="20% - Accent6 3 6 2 2 2" xfId="35992"/>
    <cellStyle name="20% - Accent6 3 6 2 3" xfId="29304"/>
    <cellStyle name="20% - Accent6 3 6 3" xfId="15949"/>
    <cellStyle name="20% - Accent6 3 6 3 2" xfId="32170"/>
    <cellStyle name="20% - Accent6 3 6 4" xfId="18014"/>
    <cellStyle name="20% - Accent6 3 6 4 2" xfId="34235"/>
    <cellStyle name="20% - Accent6 3 6 5" xfId="27278"/>
    <cellStyle name="20% - Accent6 3 7" xfId="10127"/>
    <cellStyle name="20% - Accent6 3 7 2" xfId="19748"/>
    <cellStyle name="20% - Accent6 3 7 2 2" xfId="35969"/>
    <cellStyle name="20% - Accent6 3 7 3" xfId="29281"/>
    <cellStyle name="20% - Accent6 3 8" xfId="14364"/>
    <cellStyle name="20% - Accent6 3 8 2" xfId="30586"/>
    <cellStyle name="20% - Accent6 3 9" xfId="17991"/>
    <cellStyle name="20% - Accent6 3 9 2" xfId="34212"/>
    <cellStyle name="20% - Accent6 4" xfId="5972"/>
    <cellStyle name="20% - Accent6 4 10" xfId="38996"/>
    <cellStyle name="20% - Accent6 4 2" xfId="5971"/>
    <cellStyle name="20% - Accent6 4 2 2" xfId="5970"/>
    <cellStyle name="20% - Accent6 4 2 2 2" xfId="5969"/>
    <cellStyle name="20% - Accent6 4 2 2 2 2" xfId="10154"/>
    <cellStyle name="20% - Accent6 4 2 2 2 2 2" xfId="19775"/>
    <cellStyle name="20% - Accent6 4 2 2 2 2 2 2" xfId="35996"/>
    <cellStyle name="20% - Accent6 4 2 2 2 2 3" xfId="29308"/>
    <cellStyle name="20% - Accent6 4 2 2 2 3" xfId="17071"/>
    <cellStyle name="20% - Accent6 4 2 2 2 3 2" xfId="33292"/>
    <cellStyle name="20% - Accent6 4 2 2 2 4" xfId="18018"/>
    <cellStyle name="20% - Accent6 4 2 2 2 4 2" xfId="34239"/>
    <cellStyle name="20% - Accent6 4 2 2 2 5" xfId="27274"/>
    <cellStyle name="20% - Accent6 4 2 2 3" xfId="10153"/>
    <cellStyle name="20% - Accent6 4 2 2 3 2" xfId="19774"/>
    <cellStyle name="20% - Accent6 4 2 2 3 2 2" xfId="35995"/>
    <cellStyle name="20% - Accent6 4 2 2 3 3" xfId="29307"/>
    <cellStyle name="20% - Accent6 4 2 2 4" xfId="15486"/>
    <cellStyle name="20% - Accent6 4 2 2 4 2" xfId="31708"/>
    <cellStyle name="20% - Accent6 4 2 2 5" xfId="18017"/>
    <cellStyle name="20% - Accent6 4 2 2 5 2" xfId="34238"/>
    <cellStyle name="20% - Accent6 4 2 2 6" xfId="27275"/>
    <cellStyle name="20% - Accent6 4 2 2 7" xfId="39186"/>
    <cellStyle name="20% - Accent6 4 2 3" xfId="5968"/>
    <cellStyle name="20% - Accent6 4 2 3 2" xfId="10155"/>
    <cellStyle name="20% - Accent6 4 2 3 2 2" xfId="19776"/>
    <cellStyle name="20% - Accent6 4 2 3 2 2 2" xfId="35997"/>
    <cellStyle name="20% - Accent6 4 2 3 2 3" xfId="29309"/>
    <cellStyle name="20% - Accent6 4 2 3 3" xfId="16279"/>
    <cellStyle name="20% - Accent6 4 2 3 3 2" xfId="32500"/>
    <cellStyle name="20% - Accent6 4 2 3 4" xfId="18019"/>
    <cellStyle name="20% - Accent6 4 2 3 4 2" xfId="34240"/>
    <cellStyle name="20% - Accent6 4 2 3 5" xfId="27273"/>
    <cellStyle name="20% - Accent6 4 2 3 6" xfId="39334"/>
    <cellStyle name="20% - Accent6 4 2 4" xfId="10152"/>
    <cellStyle name="20% - Accent6 4 2 4 2" xfId="19773"/>
    <cellStyle name="20% - Accent6 4 2 4 2 2" xfId="35994"/>
    <cellStyle name="20% - Accent6 4 2 4 3" xfId="29306"/>
    <cellStyle name="20% - Accent6 4 2 4 4" xfId="39483"/>
    <cellStyle name="20% - Accent6 4 2 5" xfId="14694"/>
    <cellStyle name="20% - Accent6 4 2 5 2" xfId="30916"/>
    <cellStyle name="20% - Accent6 4 2 6" xfId="18016"/>
    <cellStyle name="20% - Accent6 4 2 6 2" xfId="34237"/>
    <cellStyle name="20% - Accent6 4 2 7" xfId="27276"/>
    <cellStyle name="20% - Accent6 4 2 8" xfId="39038"/>
    <cellStyle name="20% - Accent6 4 3" xfId="5967"/>
    <cellStyle name="20% - Accent6 4 3 2" xfId="5966"/>
    <cellStyle name="20% - Accent6 4 3 2 2" xfId="5965"/>
    <cellStyle name="20% - Accent6 4 3 2 2 2" xfId="10158"/>
    <cellStyle name="20% - Accent6 4 3 2 2 2 2" xfId="19779"/>
    <cellStyle name="20% - Accent6 4 3 2 2 2 2 2" xfId="36000"/>
    <cellStyle name="20% - Accent6 4 3 2 2 2 3" xfId="29312"/>
    <cellStyle name="20% - Accent6 4 3 2 2 3" xfId="17335"/>
    <cellStyle name="20% - Accent6 4 3 2 2 3 2" xfId="33556"/>
    <cellStyle name="20% - Accent6 4 3 2 2 4" xfId="18022"/>
    <cellStyle name="20% - Accent6 4 3 2 2 4 2" xfId="34243"/>
    <cellStyle name="20% - Accent6 4 3 2 2 5" xfId="27270"/>
    <cellStyle name="20% - Accent6 4 3 2 3" xfId="10157"/>
    <cellStyle name="20% - Accent6 4 3 2 3 2" xfId="19778"/>
    <cellStyle name="20% - Accent6 4 3 2 3 2 2" xfId="35999"/>
    <cellStyle name="20% - Accent6 4 3 2 3 3" xfId="29311"/>
    <cellStyle name="20% - Accent6 4 3 2 4" xfId="15750"/>
    <cellStyle name="20% - Accent6 4 3 2 4 2" xfId="31972"/>
    <cellStyle name="20% - Accent6 4 3 2 5" xfId="18021"/>
    <cellStyle name="20% - Accent6 4 3 2 5 2" xfId="34242"/>
    <cellStyle name="20% - Accent6 4 3 2 6" xfId="27271"/>
    <cellStyle name="20% - Accent6 4 3 3" xfId="5964"/>
    <cellStyle name="20% - Accent6 4 3 3 2" xfId="10159"/>
    <cellStyle name="20% - Accent6 4 3 3 2 2" xfId="19780"/>
    <cellStyle name="20% - Accent6 4 3 3 2 2 2" xfId="36001"/>
    <cellStyle name="20% - Accent6 4 3 3 2 3" xfId="29313"/>
    <cellStyle name="20% - Accent6 4 3 3 3" xfId="16543"/>
    <cellStyle name="20% - Accent6 4 3 3 3 2" xfId="32764"/>
    <cellStyle name="20% - Accent6 4 3 3 4" xfId="18023"/>
    <cellStyle name="20% - Accent6 4 3 3 4 2" xfId="34244"/>
    <cellStyle name="20% - Accent6 4 3 3 5" xfId="27269"/>
    <cellStyle name="20% - Accent6 4 3 4" xfId="10156"/>
    <cellStyle name="20% - Accent6 4 3 4 2" xfId="19777"/>
    <cellStyle name="20% - Accent6 4 3 4 2 2" xfId="35998"/>
    <cellStyle name="20% - Accent6 4 3 4 3" xfId="29310"/>
    <cellStyle name="20% - Accent6 4 3 5" xfId="14958"/>
    <cellStyle name="20% - Accent6 4 3 5 2" xfId="31180"/>
    <cellStyle name="20% - Accent6 4 3 6" xfId="18020"/>
    <cellStyle name="20% - Accent6 4 3 6 2" xfId="34241"/>
    <cellStyle name="20% - Accent6 4 3 7" xfId="27272"/>
    <cellStyle name="20% - Accent6 4 3 8" xfId="39130"/>
    <cellStyle name="20% - Accent6 4 4" xfId="5963"/>
    <cellStyle name="20% - Accent6 4 4 2" xfId="5962"/>
    <cellStyle name="20% - Accent6 4 4 2 2" xfId="10161"/>
    <cellStyle name="20% - Accent6 4 4 2 2 2" xfId="19782"/>
    <cellStyle name="20% - Accent6 4 4 2 2 2 2" xfId="36003"/>
    <cellStyle name="20% - Accent6 4 4 2 2 3" xfId="29315"/>
    <cellStyle name="20% - Accent6 4 4 2 3" xfId="16807"/>
    <cellStyle name="20% - Accent6 4 4 2 3 2" xfId="33028"/>
    <cellStyle name="20% - Accent6 4 4 2 4" xfId="18025"/>
    <cellStyle name="20% - Accent6 4 4 2 4 2" xfId="34246"/>
    <cellStyle name="20% - Accent6 4 4 2 5" xfId="27267"/>
    <cellStyle name="20% - Accent6 4 4 3" xfId="10160"/>
    <cellStyle name="20% - Accent6 4 4 3 2" xfId="19781"/>
    <cellStyle name="20% - Accent6 4 4 3 2 2" xfId="36002"/>
    <cellStyle name="20% - Accent6 4 4 3 3" xfId="29314"/>
    <cellStyle name="20% - Accent6 4 4 4" xfId="15222"/>
    <cellStyle name="20% - Accent6 4 4 4 2" xfId="31444"/>
    <cellStyle name="20% - Accent6 4 4 5" xfId="18024"/>
    <cellStyle name="20% - Accent6 4 4 5 2" xfId="34245"/>
    <cellStyle name="20% - Accent6 4 4 6" xfId="27268"/>
    <cellStyle name="20% - Accent6 4 4 7" xfId="39278"/>
    <cellStyle name="20% - Accent6 4 5" xfId="5961"/>
    <cellStyle name="20% - Accent6 4 5 2" xfId="10162"/>
    <cellStyle name="20% - Accent6 4 5 2 2" xfId="19783"/>
    <cellStyle name="20% - Accent6 4 5 2 2 2" xfId="36004"/>
    <cellStyle name="20% - Accent6 4 5 2 3" xfId="29316"/>
    <cellStyle name="20% - Accent6 4 5 3" xfId="16015"/>
    <cellStyle name="20% - Accent6 4 5 3 2" xfId="32236"/>
    <cellStyle name="20% - Accent6 4 5 4" xfId="18026"/>
    <cellStyle name="20% - Accent6 4 5 4 2" xfId="34247"/>
    <cellStyle name="20% - Accent6 4 5 5" xfId="27266"/>
    <cellStyle name="20% - Accent6 4 5 6" xfId="39427"/>
    <cellStyle name="20% - Accent6 4 6" xfId="10151"/>
    <cellStyle name="20% - Accent6 4 6 2" xfId="19772"/>
    <cellStyle name="20% - Accent6 4 6 2 2" xfId="35993"/>
    <cellStyle name="20% - Accent6 4 6 3" xfId="29305"/>
    <cellStyle name="20% - Accent6 4 7" xfId="14430"/>
    <cellStyle name="20% - Accent6 4 7 2" xfId="30652"/>
    <cellStyle name="20% - Accent6 4 8" xfId="18015"/>
    <cellStyle name="20% - Accent6 4 8 2" xfId="34236"/>
    <cellStyle name="20% - Accent6 4 9" xfId="27277"/>
    <cellStyle name="20% - Accent6 5" xfId="5960"/>
    <cellStyle name="20% - Accent6 5 2" xfId="5959"/>
    <cellStyle name="20% - Accent6 5 2 2" xfId="5958"/>
    <cellStyle name="20% - Accent6 5 2 2 2" xfId="10165"/>
    <cellStyle name="20% - Accent6 5 2 2 2 2" xfId="19786"/>
    <cellStyle name="20% - Accent6 5 2 2 2 2 2" xfId="36007"/>
    <cellStyle name="20% - Accent6 5 2 2 2 3" xfId="29319"/>
    <cellStyle name="20% - Accent6 5 2 2 3" xfId="16939"/>
    <cellStyle name="20% - Accent6 5 2 2 3 2" xfId="33160"/>
    <cellStyle name="20% - Accent6 5 2 2 4" xfId="18029"/>
    <cellStyle name="20% - Accent6 5 2 2 4 2" xfId="34250"/>
    <cellStyle name="20% - Accent6 5 2 2 5" xfId="27263"/>
    <cellStyle name="20% - Accent6 5 2 3" xfId="10164"/>
    <cellStyle name="20% - Accent6 5 2 3 2" xfId="19785"/>
    <cellStyle name="20% - Accent6 5 2 3 2 2" xfId="36006"/>
    <cellStyle name="20% - Accent6 5 2 3 3" xfId="29318"/>
    <cellStyle name="20% - Accent6 5 2 4" xfId="15354"/>
    <cellStyle name="20% - Accent6 5 2 4 2" xfId="31576"/>
    <cellStyle name="20% - Accent6 5 2 5" xfId="18028"/>
    <cellStyle name="20% - Accent6 5 2 5 2" xfId="34249"/>
    <cellStyle name="20% - Accent6 5 2 6" xfId="27264"/>
    <cellStyle name="20% - Accent6 5 2 7" xfId="39137"/>
    <cellStyle name="20% - Accent6 5 3" xfId="5957"/>
    <cellStyle name="20% - Accent6 5 3 2" xfId="10166"/>
    <cellStyle name="20% - Accent6 5 3 2 2" xfId="19787"/>
    <cellStyle name="20% - Accent6 5 3 2 2 2" xfId="36008"/>
    <cellStyle name="20% - Accent6 5 3 2 3" xfId="29320"/>
    <cellStyle name="20% - Accent6 5 3 3" xfId="16147"/>
    <cellStyle name="20% - Accent6 5 3 3 2" xfId="32368"/>
    <cellStyle name="20% - Accent6 5 3 4" xfId="18030"/>
    <cellStyle name="20% - Accent6 5 3 4 2" xfId="34251"/>
    <cellStyle name="20% - Accent6 5 3 5" xfId="27262"/>
    <cellStyle name="20% - Accent6 5 3 6" xfId="39285"/>
    <cellStyle name="20% - Accent6 5 4" xfId="10163"/>
    <cellStyle name="20% - Accent6 5 4 2" xfId="19784"/>
    <cellStyle name="20% - Accent6 5 4 2 2" xfId="36005"/>
    <cellStyle name="20% - Accent6 5 4 3" xfId="29317"/>
    <cellStyle name="20% - Accent6 5 4 4" xfId="39434"/>
    <cellStyle name="20% - Accent6 5 5" xfId="14562"/>
    <cellStyle name="20% - Accent6 5 5 2" xfId="30784"/>
    <cellStyle name="20% - Accent6 5 6" xfId="18027"/>
    <cellStyle name="20% - Accent6 5 6 2" xfId="34248"/>
    <cellStyle name="20% - Accent6 5 7" xfId="27265"/>
    <cellStyle name="20% - Accent6 5 8" xfId="39003"/>
    <cellStyle name="20% - Accent6 6" xfId="5956"/>
    <cellStyle name="20% - Accent6 6 2" xfId="5955"/>
    <cellStyle name="20% - Accent6 6 2 2" xfId="5954"/>
    <cellStyle name="20% - Accent6 6 2 2 2" xfId="10169"/>
    <cellStyle name="20% - Accent6 6 2 2 2 2" xfId="19790"/>
    <cellStyle name="20% - Accent6 6 2 2 2 2 2" xfId="36011"/>
    <cellStyle name="20% - Accent6 6 2 2 2 3" xfId="29323"/>
    <cellStyle name="20% - Accent6 6 2 2 3" xfId="17203"/>
    <cellStyle name="20% - Accent6 6 2 2 3 2" xfId="33424"/>
    <cellStyle name="20% - Accent6 6 2 2 4" xfId="18033"/>
    <cellStyle name="20% - Accent6 6 2 2 4 2" xfId="34254"/>
    <cellStyle name="20% - Accent6 6 2 2 5" xfId="27259"/>
    <cellStyle name="20% - Accent6 6 2 3" xfId="10168"/>
    <cellStyle name="20% - Accent6 6 2 3 2" xfId="19789"/>
    <cellStyle name="20% - Accent6 6 2 3 2 2" xfId="36010"/>
    <cellStyle name="20% - Accent6 6 2 3 3" xfId="29322"/>
    <cellStyle name="20% - Accent6 6 2 4" xfId="15618"/>
    <cellStyle name="20% - Accent6 6 2 4 2" xfId="31840"/>
    <cellStyle name="20% - Accent6 6 2 5" xfId="18032"/>
    <cellStyle name="20% - Accent6 6 2 5 2" xfId="34253"/>
    <cellStyle name="20% - Accent6 6 2 6" xfId="27260"/>
    <cellStyle name="20% - Accent6 6 3" xfId="5953"/>
    <cellStyle name="20% - Accent6 6 3 2" xfId="10170"/>
    <cellStyle name="20% - Accent6 6 3 2 2" xfId="19791"/>
    <cellStyle name="20% - Accent6 6 3 2 2 2" xfId="36012"/>
    <cellStyle name="20% - Accent6 6 3 2 3" xfId="29324"/>
    <cellStyle name="20% - Accent6 6 3 3" xfId="16411"/>
    <cellStyle name="20% - Accent6 6 3 3 2" xfId="32632"/>
    <cellStyle name="20% - Accent6 6 3 4" xfId="18034"/>
    <cellStyle name="20% - Accent6 6 3 4 2" xfId="34255"/>
    <cellStyle name="20% - Accent6 6 3 5" xfId="27258"/>
    <cellStyle name="20% - Accent6 6 4" xfId="10167"/>
    <cellStyle name="20% - Accent6 6 4 2" xfId="19788"/>
    <cellStyle name="20% - Accent6 6 4 2 2" xfId="36009"/>
    <cellStyle name="20% - Accent6 6 4 3" xfId="29321"/>
    <cellStyle name="20% - Accent6 6 5" xfId="14826"/>
    <cellStyle name="20% - Accent6 6 5 2" xfId="31048"/>
    <cellStyle name="20% - Accent6 6 6" xfId="18031"/>
    <cellStyle name="20% - Accent6 6 6 2" xfId="34252"/>
    <cellStyle name="20% - Accent6 6 7" xfId="27261"/>
    <cellStyle name="20% - Accent6 6 8" xfId="39086"/>
    <cellStyle name="20% - Accent6 7" xfId="5952"/>
    <cellStyle name="20% - Accent6 7 2" xfId="5951"/>
    <cellStyle name="20% - Accent6 7 2 2" xfId="10172"/>
    <cellStyle name="20% - Accent6 7 2 2 2" xfId="19793"/>
    <cellStyle name="20% - Accent6 7 2 2 2 2" xfId="36014"/>
    <cellStyle name="20% - Accent6 7 2 2 3" xfId="29326"/>
    <cellStyle name="20% - Accent6 7 2 3" xfId="16675"/>
    <cellStyle name="20% - Accent6 7 2 3 2" xfId="32896"/>
    <cellStyle name="20% - Accent6 7 2 4" xfId="18036"/>
    <cellStyle name="20% - Accent6 7 2 4 2" xfId="34257"/>
    <cellStyle name="20% - Accent6 7 2 5" xfId="27256"/>
    <cellStyle name="20% - Accent6 7 3" xfId="10171"/>
    <cellStyle name="20% - Accent6 7 3 2" xfId="19792"/>
    <cellStyle name="20% - Accent6 7 3 2 2" xfId="36013"/>
    <cellStyle name="20% - Accent6 7 3 3" xfId="29325"/>
    <cellStyle name="20% - Accent6 7 4" xfId="15090"/>
    <cellStyle name="20% - Accent6 7 4 2" xfId="31312"/>
    <cellStyle name="20% - Accent6 7 5" xfId="18035"/>
    <cellStyle name="20% - Accent6 7 5 2" xfId="34256"/>
    <cellStyle name="20% - Accent6 7 6" xfId="27257"/>
    <cellStyle name="20% - Accent6 7 7" xfId="39234"/>
    <cellStyle name="20% - Accent6 8" xfId="5950"/>
    <cellStyle name="20% - Accent6 8 2" xfId="10173"/>
    <cellStyle name="20% - Accent6 8 2 2" xfId="19794"/>
    <cellStyle name="20% - Accent6 8 2 2 2" xfId="36015"/>
    <cellStyle name="20% - Accent6 8 2 3" xfId="29327"/>
    <cellStyle name="20% - Accent6 8 3" xfId="15883"/>
    <cellStyle name="20% - Accent6 8 3 2" xfId="32104"/>
    <cellStyle name="20% - Accent6 8 4" xfId="18037"/>
    <cellStyle name="20% - Accent6 8 4 2" xfId="34258"/>
    <cellStyle name="20% - Accent6 8 5" xfId="27255"/>
    <cellStyle name="20% - Accent6 8 6" xfId="39383"/>
    <cellStyle name="20% - Accent6 9" xfId="10078"/>
    <cellStyle name="20% - Accent6 9 2" xfId="19699"/>
    <cellStyle name="20% - Accent6 9 2 2" xfId="35920"/>
    <cellStyle name="20% - Accent6 9 3" xfId="29232"/>
    <cellStyle name="3. DATA Date Short" xfId="39616"/>
    <cellStyle name="40% - Accent1" xfId="42" builtinId="31" customBuiltin="1"/>
    <cellStyle name="40% - Accent1 10" xfId="14230"/>
    <cellStyle name="40% - Accent1 10 2" xfId="30517"/>
    <cellStyle name="40% - Accent1 11" xfId="18038"/>
    <cellStyle name="40% - Accent1 11 2" xfId="34259"/>
    <cellStyle name="40% - Accent1 12" xfId="26984"/>
    <cellStyle name="40% - Accent1 13" xfId="38903"/>
    <cellStyle name="40% - Accent1 14" xfId="4831"/>
    <cellStyle name="40% - Accent1 2" xfId="396"/>
    <cellStyle name="40% - Accent1 2 10" xfId="753"/>
    <cellStyle name="40% - Accent1 2 10 2" xfId="2252"/>
    <cellStyle name="40% - Accent1 2 10 2 2" xfId="24420"/>
    <cellStyle name="40% - Accent1 2 10 3" xfId="3751"/>
    <cellStyle name="40% - Accent1 2 10 3 2" xfId="25918"/>
    <cellStyle name="40% - Accent1 2 10 4" xfId="18039"/>
    <cellStyle name="40% - Accent1 2 10 4 2" xfId="34260"/>
    <cellStyle name="40% - Accent1 2 10 5" xfId="21424"/>
    <cellStyle name="40% - Accent1 2 10 5 2" xfId="37636"/>
    <cellStyle name="40% - Accent1 2 10 6" xfId="22922"/>
    <cellStyle name="40% - Accent1 2 11" xfId="1104"/>
    <cellStyle name="40% - Accent1 2 11 2" xfId="2603"/>
    <cellStyle name="40% - Accent1 2 11 2 2" xfId="24771"/>
    <cellStyle name="40% - Accent1 2 11 3" xfId="4102"/>
    <cellStyle name="40% - Accent1 2 11 3 2" xfId="26269"/>
    <cellStyle name="40% - Accent1 2 11 4" xfId="21775"/>
    <cellStyle name="40% - Accent1 2 11 4 2" xfId="37987"/>
    <cellStyle name="40% - Accent1 2 11 5" xfId="23273"/>
    <cellStyle name="40% - Accent1 2 12" xfId="1455"/>
    <cellStyle name="40% - Accent1 2 12 2" xfId="2954"/>
    <cellStyle name="40% - Accent1 2 12 2 2" xfId="25122"/>
    <cellStyle name="40% - Accent1 2 12 3" xfId="4453"/>
    <cellStyle name="40% - Accent1 2 12 3 2" xfId="26620"/>
    <cellStyle name="40% - Accent1 2 12 4" xfId="22126"/>
    <cellStyle name="40% - Accent1 2 12 4 2" xfId="38338"/>
    <cellStyle name="40% - Accent1 2 12 5" xfId="23624"/>
    <cellStyle name="40% - Accent1 2 13" xfId="1901"/>
    <cellStyle name="40% - Accent1 2 13 2" xfId="24069"/>
    <cellStyle name="40% - Accent1 2 14" xfId="3400"/>
    <cellStyle name="40% - Accent1 2 14 2" xfId="25567"/>
    <cellStyle name="40% - Accent1 2 15" xfId="4872"/>
    <cellStyle name="40% - Accent1 2 15 2" xfId="27008"/>
    <cellStyle name="40% - Accent1 2 16" xfId="21073"/>
    <cellStyle name="40% - Accent1 2 16 2" xfId="37285"/>
    <cellStyle name="40% - Accent1 2 17" xfId="22571"/>
    <cellStyle name="40% - Accent1 2 18" xfId="38774"/>
    <cellStyle name="40% - Accent1 2 2" xfId="402"/>
    <cellStyle name="40% - Accent1 2 2 10" xfId="5949"/>
    <cellStyle name="40% - Accent1 2 2 10 2" xfId="27254"/>
    <cellStyle name="40% - Accent1 2 2 11" xfId="21075"/>
    <cellStyle name="40% - Accent1 2 2 11 2" xfId="37287"/>
    <cellStyle name="40% - Accent1 2 2 12" xfId="22573"/>
    <cellStyle name="40% - Accent1 2 2 13" xfId="38961"/>
    <cellStyle name="40% - Accent1 2 2 2" xfId="454"/>
    <cellStyle name="40% - Accent1 2 2 2 10" xfId="21127"/>
    <cellStyle name="40% - Accent1 2 2 2 10 2" xfId="37339"/>
    <cellStyle name="40% - Accent1 2 2 2 11" xfId="22625"/>
    <cellStyle name="40% - Accent1 2 2 2 12" xfId="39151"/>
    <cellStyle name="40% - Accent1 2 2 2 2" xfId="572"/>
    <cellStyle name="40% - Accent1 2 2 2 2 2" xfId="924"/>
    <cellStyle name="40% - Accent1 2 2 2 2 2 2" xfId="2423"/>
    <cellStyle name="40% - Accent1 2 2 2 2 2 2 2" xfId="10180"/>
    <cellStyle name="40% - Accent1 2 2 2 2 2 2 2 2" xfId="19801"/>
    <cellStyle name="40% - Accent1 2 2 2 2 2 2 2 2 2" xfId="36022"/>
    <cellStyle name="40% - Accent1 2 2 2 2 2 2 2 3" xfId="29334"/>
    <cellStyle name="40% - Accent1 2 2 2 2 2 2 3" xfId="17171"/>
    <cellStyle name="40% - Accent1 2 2 2 2 2 2 3 2" xfId="33392"/>
    <cellStyle name="40% - Accent1 2 2 2 2 2 2 4" xfId="18044"/>
    <cellStyle name="40% - Accent1 2 2 2 2 2 2 4 2" xfId="34265"/>
    <cellStyle name="40% - Accent1 2 2 2 2 2 2 5" xfId="5945"/>
    <cellStyle name="40% - Accent1 2 2 2 2 2 2 5 2" xfId="27250"/>
    <cellStyle name="40% - Accent1 2 2 2 2 2 2 6" xfId="24591"/>
    <cellStyle name="40% - Accent1 2 2 2 2 2 3" xfId="3922"/>
    <cellStyle name="40% - Accent1 2 2 2 2 2 3 2" xfId="19800"/>
    <cellStyle name="40% - Accent1 2 2 2 2 2 3 2 2" xfId="36021"/>
    <cellStyle name="40% - Accent1 2 2 2 2 2 3 3" xfId="10179"/>
    <cellStyle name="40% - Accent1 2 2 2 2 2 3 3 2" xfId="29333"/>
    <cellStyle name="40% - Accent1 2 2 2 2 2 3 4" xfId="26089"/>
    <cellStyle name="40% - Accent1 2 2 2 2 2 4" xfId="15586"/>
    <cellStyle name="40% - Accent1 2 2 2 2 2 4 2" xfId="31808"/>
    <cellStyle name="40% - Accent1 2 2 2 2 2 5" xfId="18043"/>
    <cellStyle name="40% - Accent1 2 2 2 2 2 5 2" xfId="34264"/>
    <cellStyle name="40% - Accent1 2 2 2 2 2 6" xfId="5946"/>
    <cellStyle name="40% - Accent1 2 2 2 2 2 6 2" xfId="27251"/>
    <cellStyle name="40% - Accent1 2 2 2 2 2 7" xfId="21595"/>
    <cellStyle name="40% - Accent1 2 2 2 2 2 7 2" xfId="37807"/>
    <cellStyle name="40% - Accent1 2 2 2 2 2 8" xfId="23093"/>
    <cellStyle name="40% - Accent1 2 2 2 2 3" xfId="1275"/>
    <cellStyle name="40% - Accent1 2 2 2 2 3 2" xfId="2774"/>
    <cellStyle name="40% - Accent1 2 2 2 2 3 2 2" xfId="19802"/>
    <cellStyle name="40% - Accent1 2 2 2 2 3 2 2 2" xfId="36023"/>
    <cellStyle name="40% - Accent1 2 2 2 2 3 2 3" xfId="10181"/>
    <cellStyle name="40% - Accent1 2 2 2 2 3 2 3 2" xfId="29335"/>
    <cellStyle name="40% - Accent1 2 2 2 2 3 2 4" xfId="24942"/>
    <cellStyle name="40% - Accent1 2 2 2 2 3 3" xfId="4273"/>
    <cellStyle name="40% - Accent1 2 2 2 2 3 3 2" xfId="16379"/>
    <cellStyle name="40% - Accent1 2 2 2 2 3 3 2 2" xfId="32600"/>
    <cellStyle name="40% - Accent1 2 2 2 2 3 3 3" xfId="26440"/>
    <cellStyle name="40% - Accent1 2 2 2 2 3 4" xfId="18045"/>
    <cellStyle name="40% - Accent1 2 2 2 2 3 4 2" xfId="34266"/>
    <cellStyle name="40% - Accent1 2 2 2 2 3 5" xfId="5944"/>
    <cellStyle name="40% - Accent1 2 2 2 2 3 5 2" xfId="27249"/>
    <cellStyle name="40% - Accent1 2 2 2 2 3 6" xfId="21946"/>
    <cellStyle name="40% - Accent1 2 2 2 2 3 6 2" xfId="38158"/>
    <cellStyle name="40% - Accent1 2 2 2 2 3 7" xfId="23444"/>
    <cellStyle name="40% - Accent1 2 2 2 2 4" xfId="1626"/>
    <cellStyle name="40% - Accent1 2 2 2 2 4 2" xfId="3125"/>
    <cellStyle name="40% - Accent1 2 2 2 2 4 2 2" xfId="19799"/>
    <cellStyle name="40% - Accent1 2 2 2 2 4 2 2 2" xfId="36020"/>
    <cellStyle name="40% - Accent1 2 2 2 2 4 2 3" xfId="25293"/>
    <cellStyle name="40% - Accent1 2 2 2 2 4 3" xfId="4624"/>
    <cellStyle name="40% - Accent1 2 2 2 2 4 3 2" xfId="26791"/>
    <cellStyle name="40% - Accent1 2 2 2 2 4 4" xfId="10178"/>
    <cellStyle name="40% - Accent1 2 2 2 2 4 4 2" xfId="29332"/>
    <cellStyle name="40% - Accent1 2 2 2 2 4 5" xfId="22297"/>
    <cellStyle name="40% - Accent1 2 2 2 2 4 5 2" xfId="38509"/>
    <cellStyle name="40% - Accent1 2 2 2 2 4 6" xfId="23795"/>
    <cellStyle name="40% - Accent1 2 2 2 2 5" xfId="2072"/>
    <cellStyle name="40% - Accent1 2 2 2 2 5 2" xfId="14794"/>
    <cellStyle name="40% - Accent1 2 2 2 2 5 2 2" xfId="31016"/>
    <cellStyle name="40% - Accent1 2 2 2 2 5 3" xfId="24240"/>
    <cellStyle name="40% - Accent1 2 2 2 2 6" xfId="3571"/>
    <cellStyle name="40% - Accent1 2 2 2 2 6 2" xfId="18042"/>
    <cellStyle name="40% - Accent1 2 2 2 2 6 2 2" xfId="34263"/>
    <cellStyle name="40% - Accent1 2 2 2 2 6 3" xfId="25738"/>
    <cellStyle name="40% - Accent1 2 2 2 2 7" xfId="5947"/>
    <cellStyle name="40% - Accent1 2 2 2 2 7 2" xfId="27252"/>
    <cellStyle name="40% - Accent1 2 2 2 2 8" xfId="21244"/>
    <cellStyle name="40% - Accent1 2 2 2 2 8 2" xfId="37456"/>
    <cellStyle name="40% - Accent1 2 2 2 2 9" xfId="22742"/>
    <cellStyle name="40% - Accent1 2 2 2 3" xfId="690"/>
    <cellStyle name="40% - Accent1 2 2 2 3 2" xfId="1041"/>
    <cellStyle name="40% - Accent1 2 2 2 3 2 2" xfId="2540"/>
    <cellStyle name="40% - Accent1 2 2 2 3 2 2 2" xfId="10184"/>
    <cellStyle name="40% - Accent1 2 2 2 3 2 2 2 2" xfId="19805"/>
    <cellStyle name="40% - Accent1 2 2 2 3 2 2 2 2 2" xfId="36026"/>
    <cellStyle name="40% - Accent1 2 2 2 3 2 2 2 3" xfId="29338"/>
    <cellStyle name="40% - Accent1 2 2 2 3 2 2 3" xfId="17435"/>
    <cellStyle name="40% - Accent1 2 2 2 3 2 2 3 2" xfId="33656"/>
    <cellStyle name="40% - Accent1 2 2 2 3 2 2 4" xfId="18048"/>
    <cellStyle name="40% - Accent1 2 2 2 3 2 2 4 2" xfId="34269"/>
    <cellStyle name="40% - Accent1 2 2 2 3 2 2 5" xfId="5941"/>
    <cellStyle name="40% - Accent1 2 2 2 3 2 2 5 2" xfId="27246"/>
    <cellStyle name="40% - Accent1 2 2 2 3 2 2 6" xfId="24708"/>
    <cellStyle name="40% - Accent1 2 2 2 3 2 3" xfId="4039"/>
    <cellStyle name="40% - Accent1 2 2 2 3 2 3 2" xfId="19804"/>
    <cellStyle name="40% - Accent1 2 2 2 3 2 3 2 2" xfId="36025"/>
    <cellStyle name="40% - Accent1 2 2 2 3 2 3 3" xfId="10183"/>
    <cellStyle name="40% - Accent1 2 2 2 3 2 3 3 2" xfId="29337"/>
    <cellStyle name="40% - Accent1 2 2 2 3 2 3 4" xfId="26206"/>
    <cellStyle name="40% - Accent1 2 2 2 3 2 4" xfId="15850"/>
    <cellStyle name="40% - Accent1 2 2 2 3 2 4 2" xfId="32072"/>
    <cellStyle name="40% - Accent1 2 2 2 3 2 5" xfId="18047"/>
    <cellStyle name="40% - Accent1 2 2 2 3 2 5 2" xfId="34268"/>
    <cellStyle name="40% - Accent1 2 2 2 3 2 6" xfId="5942"/>
    <cellStyle name="40% - Accent1 2 2 2 3 2 6 2" xfId="27247"/>
    <cellStyle name="40% - Accent1 2 2 2 3 2 7" xfId="21712"/>
    <cellStyle name="40% - Accent1 2 2 2 3 2 7 2" xfId="37924"/>
    <cellStyle name="40% - Accent1 2 2 2 3 2 8" xfId="23210"/>
    <cellStyle name="40% - Accent1 2 2 2 3 3" xfId="1392"/>
    <cellStyle name="40% - Accent1 2 2 2 3 3 2" xfId="2891"/>
    <cellStyle name="40% - Accent1 2 2 2 3 3 2 2" xfId="19806"/>
    <cellStyle name="40% - Accent1 2 2 2 3 3 2 2 2" xfId="36027"/>
    <cellStyle name="40% - Accent1 2 2 2 3 3 2 3" xfId="10185"/>
    <cellStyle name="40% - Accent1 2 2 2 3 3 2 3 2" xfId="29339"/>
    <cellStyle name="40% - Accent1 2 2 2 3 3 2 4" xfId="25059"/>
    <cellStyle name="40% - Accent1 2 2 2 3 3 3" xfId="4390"/>
    <cellStyle name="40% - Accent1 2 2 2 3 3 3 2" xfId="16643"/>
    <cellStyle name="40% - Accent1 2 2 2 3 3 3 2 2" xfId="32864"/>
    <cellStyle name="40% - Accent1 2 2 2 3 3 3 3" xfId="26557"/>
    <cellStyle name="40% - Accent1 2 2 2 3 3 4" xfId="18049"/>
    <cellStyle name="40% - Accent1 2 2 2 3 3 4 2" xfId="34270"/>
    <cellStyle name="40% - Accent1 2 2 2 3 3 5" xfId="5940"/>
    <cellStyle name="40% - Accent1 2 2 2 3 3 5 2" xfId="27245"/>
    <cellStyle name="40% - Accent1 2 2 2 3 3 6" xfId="22063"/>
    <cellStyle name="40% - Accent1 2 2 2 3 3 6 2" xfId="38275"/>
    <cellStyle name="40% - Accent1 2 2 2 3 3 7" xfId="23561"/>
    <cellStyle name="40% - Accent1 2 2 2 3 4" xfId="1743"/>
    <cellStyle name="40% - Accent1 2 2 2 3 4 2" xfId="3242"/>
    <cellStyle name="40% - Accent1 2 2 2 3 4 2 2" xfId="19803"/>
    <cellStyle name="40% - Accent1 2 2 2 3 4 2 2 2" xfId="36024"/>
    <cellStyle name="40% - Accent1 2 2 2 3 4 2 3" xfId="25410"/>
    <cellStyle name="40% - Accent1 2 2 2 3 4 3" xfId="4741"/>
    <cellStyle name="40% - Accent1 2 2 2 3 4 3 2" xfId="26908"/>
    <cellStyle name="40% - Accent1 2 2 2 3 4 4" xfId="10182"/>
    <cellStyle name="40% - Accent1 2 2 2 3 4 4 2" xfId="29336"/>
    <cellStyle name="40% - Accent1 2 2 2 3 4 5" xfId="22414"/>
    <cellStyle name="40% - Accent1 2 2 2 3 4 5 2" xfId="38626"/>
    <cellStyle name="40% - Accent1 2 2 2 3 4 6" xfId="23912"/>
    <cellStyle name="40% - Accent1 2 2 2 3 5" xfId="2189"/>
    <cellStyle name="40% - Accent1 2 2 2 3 5 2" xfId="15058"/>
    <cellStyle name="40% - Accent1 2 2 2 3 5 2 2" xfId="31280"/>
    <cellStyle name="40% - Accent1 2 2 2 3 5 3" xfId="24357"/>
    <cellStyle name="40% - Accent1 2 2 2 3 6" xfId="3688"/>
    <cellStyle name="40% - Accent1 2 2 2 3 6 2" xfId="18046"/>
    <cellStyle name="40% - Accent1 2 2 2 3 6 2 2" xfId="34267"/>
    <cellStyle name="40% - Accent1 2 2 2 3 6 3" xfId="25855"/>
    <cellStyle name="40% - Accent1 2 2 2 3 7" xfId="5943"/>
    <cellStyle name="40% - Accent1 2 2 2 3 7 2" xfId="27248"/>
    <cellStyle name="40% - Accent1 2 2 2 3 8" xfId="21361"/>
    <cellStyle name="40% - Accent1 2 2 2 3 8 2" xfId="37573"/>
    <cellStyle name="40% - Accent1 2 2 2 3 9" xfId="22859"/>
    <cellStyle name="40% - Accent1 2 2 2 4" xfId="807"/>
    <cellStyle name="40% - Accent1 2 2 2 4 2" xfId="2306"/>
    <cellStyle name="40% - Accent1 2 2 2 4 2 2" xfId="10187"/>
    <cellStyle name="40% - Accent1 2 2 2 4 2 2 2" xfId="19808"/>
    <cellStyle name="40% - Accent1 2 2 2 4 2 2 2 2" xfId="36029"/>
    <cellStyle name="40% - Accent1 2 2 2 4 2 2 3" xfId="29341"/>
    <cellStyle name="40% - Accent1 2 2 2 4 2 3" xfId="16907"/>
    <cellStyle name="40% - Accent1 2 2 2 4 2 3 2" xfId="33128"/>
    <cellStyle name="40% - Accent1 2 2 2 4 2 4" xfId="18051"/>
    <cellStyle name="40% - Accent1 2 2 2 4 2 4 2" xfId="34272"/>
    <cellStyle name="40% - Accent1 2 2 2 4 2 5" xfId="5938"/>
    <cellStyle name="40% - Accent1 2 2 2 4 2 5 2" xfId="27243"/>
    <cellStyle name="40% - Accent1 2 2 2 4 2 6" xfId="24474"/>
    <cellStyle name="40% - Accent1 2 2 2 4 3" xfId="3805"/>
    <cellStyle name="40% - Accent1 2 2 2 4 3 2" xfId="19807"/>
    <cellStyle name="40% - Accent1 2 2 2 4 3 2 2" xfId="36028"/>
    <cellStyle name="40% - Accent1 2 2 2 4 3 3" xfId="10186"/>
    <cellStyle name="40% - Accent1 2 2 2 4 3 3 2" xfId="29340"/>
    <cellStyle name="40% - Accent1 2 2 2 4 3 4" xfId="25972"/>
    <cellStyle name="40% - Accent1 2 2 2 4 4" xfId="15322"/>
    <cellStyle name="40% - Accent1 2 2 2 4 4 2" xfId="31544"/>
    <cellStyle name="40% - Accent1 2 2 2 4 5" xfId="18050"/>
    <cellStyle name="40% - Accent1 2 2 2 4 5 2" xfId="34271"/>
    <cellStyle name="40% - Accent1 2 2 2 4 6" xfId="5939"/>
    <cellStyle name="40% - Accent1 2 2 2 4 6 2" xfId="27244"/>
    <cellStyle name="40% - Accent1 2 2 2 4 7" xfId="21478"/>
    <cellStyle name="40% - Accent1 2 2 2 4 7 2" xfId="37690"/>
    <cellStyle name="40% - Accent1 2 2 2 4 8" xfId="22976"/>
    <cellStyle name="40% - Accent1 2 2 2 5" xfId="1158"/>
    <cellStyle name="40% - Accent1 2 2 2 5 2" xfId="2657"/>
    <cellStyle name="40% - Accent1 2 2 2 5 2 2" xfId="19809"/>
    <cellStyle name="40% - Accent1 2 2 2 5 2 2 2" xfId="36030"/>
    <cellStyle name="40% - Accent1 2 2 2 5 2 3" xfId="10188"/>
    <cellStyle name="40% - Accent1 2 2 2 5 2 3 2" xfId="29342"/>
    <cellStyle name="40% - Accent1 2 2 2 5 2 4" xfId="24825"/>
    <cellStyle name="40% - Accent1 2 2 2 5 3" xfId="4156"/>
    <cellStyle name="40% - Accent1 2 2 2 5 3 2" xfId="16115"/>
    <cellStyle name="40% - Accent1 2 2 2 5 3 2 2" xfId="32336"/>
    <cellStyle name="40% - Accent1 2 2 2 5 3 3" xfId="26323"/>
    <cellStyle name="40% - Accent1 2 2 2 5 4" xfId="18052"/>
    <cellStyle name="40% - Accent1 2 2 2 5 4 2" xfId="34273"/>
    <cellStyle name="40% - Accent1 2 2 2 5 5" xfId="5937"/>
    <cellStyle name="40% - Accent1 2 2 2 5 5 2" xfId="27242"/>
    <cellStyle name="40% - Accent1 2 2 2 5 6" xfId="21829"/>
    <cellStyle name="40% - Accent1 2 2 2 5 6 2" xfId="38041"/>
    <cellStyle name="40% - Accent1 2 2 2 5 7" xfId="23327"/>
    <cellStyle name="40% - Accent1 2 2 2 6" xfId="1509"/>
    <cellStyle name="40% - Accent1 2 2 2 6 2" xfId="3008"/>
    <cellStyle name="40% - Accent1 2 2 2 6 2 2" xfId="19798"/>
    <cellStyle name="40% - Accent1 2 2 2 6 2 2 2" xfId="36019"/>
    <cellStyle name="40% - Accent1 2 2 2 6 2 3" xfId="25176"/>
    <cellStyle name="40% - Accent1 2 2 2 6 3" xfId="4507"/>
    <cellStyle name="40% - Accent1 2 2 2 6 3 2" xfId="26674"/>
    <cellStyle name="40% - Accent1 2 2 2 6 4" xfId="10177"/>
    <cellStyle name="40% - Accent1 2 2 2 6 4 2" xfId="29331"/>
    <cellStyle name="40% - Accent1 2 2 2 6 5" xfId="22180"/>
    <cellStyle name="40% - Accent1 2 2 2 6 5 2" xfId="38392"/>
    <cellStyle name="40% - Accent1 2 2 2 6 6" xfId="23678"/>
    <cellStyle name="40% - Accent1 2 2 2 7" xfId="1955"/>
    <cellStyle name="40% - Accent1 2 2 2 7 2" xfId="14530"/>
    <cellStyle name="40% - Accent1 2 2 2 7 2 2" xfId="30752"/>
    <cellStyle name="40% - Accent1 2 2 2 7 3" xfId="24123"/>
    <cellStyle name="40% - Accent1 2 2 2 8" xfId="3454"/>
    <cellStyle name="40% - Accent1 2 2 2 8 2" xfId="18041"/>
    <cellStyle name="40% - Accent1 2 2 2 8 2 2" xfId="34262"/>
    <cellStyle name="40% - Accent1 2 2 2 8 3" xfId="25621"/>
    <cellStyle name="40% - Accent1 2 2 2 9" xfId="5948"/>
    <cellStyle name="40% - Accent1 2 2 2 9 2" xfId="27253"/>
    <cellStyle name="40% - Accent1 2 2 3" xfId="520"/>
    <cellStyle name="40% - Accent1 2 2 3 10" xfId="39299"/>
    <cellStyle name="40% - Accent1 2 2 3 2" xfId="872"/>
    <cellStyle name="40% - Accent1 2 2 3 2 2" xfId="2371"/>
    <cellStyle name="40% - Accent1 2 2 3 2 2 2" xfId="10191"/>
    <cellStyle name="40% - Accent1 2 2 3 2 2 2 2" xfId="19812"/>
    <cellStyle name="40% - Accent1 2 2 3 2 2 2 2 2" xfId="36033"/>
    <cellStyle name="40% - Accent1 2 2 3 2 2 2 3" xfId="29345"/>
    <cellStyle name="40% - Accent1 2 2 3 2 2 3" xfId="17039"/>
    <cellStyle name="40% - Accent1 2 2 3 2 2 3 2" xfId="33260"/>
    <cellStyle name="40% - Accent1 2 2 3 2 2 4" xfId="18055"/>
    <cellStyle name="40% - Accent1 2 2 3 2 2 4 2" xfId="34276"/>
    <cellStyle name="40% - Accent1 2 2 3 2 2 5" xfId="5934"/>
    <cellStyle name="40% - Accent1 2 2 3 2 2 5 2" xfId="27239"/>
    <cellStyle name="40% - Accent1 2 2 3 2 2 6" xfId="24539"/>
    <cellStyle name="40% - Accent1 2 2 3 2 3" xfId="3870"/>
    <cellStyle name="40% - Accent1 2 2 3 2 3 2" xfId="19811"/>
    <cellStyle name="40% - Accent1 2 2 3 2 3 2 2" xfId="36032"/>
    <cellStyle name="40% - Accent1 2 2 3 2 3 3" xfId="10190"/>
    <cellStyle name="40% - Accent1 2 2 3 2 3 3 2" xfId="29344"/>
    <cellStyle name="40% - Accent1 2 2 3 2 3 4" xfId="26037"/>
    <cellStyle name="40% - Accent1 2 2 3 2 4" xfId="15454"/>
    <cellStyle name="40% - Accent1 2 2 3 2 4 2" xfId="31676"/>
    <cellStyle name="40% - Accent1 2 2 3 2 5" xfId="18054"/>
    <cellStyle name="40% - Accent1 2 2 3 2 5 2" xfId="34275"/>
    <cellStyle name="40% - Accent1 2 2 3 2 6" xfId="5935"/>
    <cellStyle name="40% - Accent1 2 2 3 2 6 2" xfId="27240"/>
    <cellStyle name="40% - Accent1 2 2 3 2 7" xfId="21543"/>
    <cellStyle name="40% - Accent1 2 2 3 2 7 2" xfId="37755"/>
    <cellStyle name="40% - Accent1 2 2 3 2 8" xfId="23041"/>
    <cellStyle name="40% - Accent1 2 2 3 3" xfId="1223"/>
    <cellStyle name="40% - Accent1 2 2 3 3 2" xfId="2722"/>
    <cellStyle name="40% - Accent1 2 2 3 3 2 2" xfId="19813"/>
    <cellStyle name="40% - Accent1 2 2 3 3 2 2 2" xfId="36034"/>
    <cellStyle name="40% - Accent1 2 2 3 3 2 3" xfId="10192"/>
    <cellStyle name="40% - Accent1 2 2 3 3 2 3 2" xfId="29346"/>
    <cellStyle name="40% - Accent1 2 2 3 3 2 4" xfId="24890"/>
    <cellStyle name="40% - Accent1 2 2 3 3 3" xfId="4221"/>
    <cellStyle name="40% - Accent1 2 2 3 3 3 2" xfId="16247"/>
    <cellStyle name="40% - Accent1 2 2 3 3 3 2 2" xfId="32468"/>
    <cellStyle name="40% - Accent1 2 2 3 3 3 3" xfId="26388"/>
    <cellStyle name="40% - Accent1 2 2 3 3 4" xfId="18056"/>
    <cellStyle name="40% - Accent1 2 2 3 3 4 2" xfId="34277"/>
    <cellStyle name="40% - Accent1 2 2 3 3 5" xfId="5933"/>
    <cellStyle name="40% - Accent1 2 2 3 3 5 2" xfId="27238"/>
    <cellStyle name="40% - Accent1 2 2 3 3 6" xfId="21894"/>
    <cellStyle name="40% - Accent1 2 2 3 3 6 2" xfId="38106"/>
    <cellStyle name="40% - Accent1 2 2 3 3 7" xfId="23392"/>
    <cellStyle name="40% - Accent1 2 2 3 4" xfId="1574"/>
    <cellStyle name="40% - Accent1 2 2 3 4 2" xfId="3073"/>
    <cellStyle name="40% - Accent1 2 2 3 4 2 2" xfId="19810"/>
    <cellStyle name="40% - Accent1 2 2 3 4 2 2 2" xfId="36031"/>
    <cellStyle name="40% - Accent1 2 2 3 4 2 3" xfId="25241"/>
    <cellStyle name="40% - Accent1 2 2 3 4 3" xfId="4572"/>
    <cellStyle name="40% - Accent1 2 2 3 4 3 2" xfId="26739"/>
    <cellStyle name="40% - Accent1 2 2 3 4 4" xfId="10189"/>
    <cellStyle name="40% - Accent1 2 2 3 4 4 2" xfId="29343"/>
    <cellStyle name="40% - Accent1 2 2 3 4 5" xfId="22245"/>
    <cellStyle name="40% - Accent1 2 2 3 4 5 2" xfId="38457"/>
    <cellStyle name="40% - Accent1 2 2 3 4 6" xfId="23743"/>
    <cellStyle name="40% - Accent1 2 2 3 5" xfId="2020"/>
    <cellStyle name="40% - Accent1 2 2 3 5 2" xfId="14662"/>
    <cellStyle name="40% - Accent1 2 2 3 5 2 2" xfId="30884"/>
    <cellStyle name="40% - Accent1 2 2 3 5 3" xfId="24188"/>
    <cellStyle name="40% - Accent1 2 2 3 6" xfId="3519"/>
    <cellStyle name="40% - Accent1 2 2 3 6 2" xfId="18053"/>
    <cellStyle name="40% - Accent1 2 2 3 6 2 2" xfId="34274"/>
    <cellStyle name="40% - Accent1 2 2 3 6 3" xfId="25686"/>
    <cellStyle name="40% - Accent1 2 2 3 7" xfId="5936"/>
    <cellStyle name="40% - Accent1 2 2 3 7 2" xfId="27241"/>
    <cellStyle name="40% - Accent1 2 2 3 8" xfId="21192"/>
    <cellStyle name="40% - Accent1 2 2 3 8 2" xfId="37404"/>
    <cellStyle name="40% - Accent1 2 2 3 9" xfId="22690"/>
    <cellStyle name="40% - Accent1 2 2 4" xfId="638"/>
    <cellStyle name="40% - Accent1 2 2 4 10" xfId="39448"/>
    <cellStyle name="40% - Accent1 2 2 4 2" xfId="989"/>
    <cellStyle name="40% - Accent1 2 2 4 2 2" xfId="2488"/>
    <cellStyle name="40% - Accent1 2 2 4 2 2 2" xfId="10195"/>
    <cellStyle name="40% - Accent1 2 2 4 2 2 2 2" xfId="19816"/>
    <cellStyle name="40% - Accent1 2 2 4 2 2 2 2 2" xfId="36037"/>
    <cellStyle name="40% - Accent1 2 2 4 2 2 2 3" xfId="29349"/>
    <cellStyle name="40% - Accent1 2 2 4 2 2 3" xfId="17303"/>
    <cellStyle name="40% - Accent1 2 2 4 2 2 3 2" xfId="33524"/>
    <cellStyle name="40% - Accent1 2 2 4 2 2 4" xfId="18059"/>
    <cellStyle name="40% - Accent1 2 2 4 2 2 4 2" xfId="34280"/>
    <cellStyle name="40% - Accent1 2 2 4 2 2 5" xfId="5930"/>
    <cellStyle name="40% - Accent1 2 2 4 2 2 5 2" xfId="27235"/>
    <cellStyle name="40% - Accent1 2 2 4 2 2 6" xfId="24656"/>
    <cellStyle name="40% - Accent1 2 2 4 2 3" xfId="3987"/>
    <cellStyle name="40% - Accent1 2 2 4 2 3 2" xfId="19815"/>
    <cellStyle name="40% - Accent1 2 2 4 2 3 2 2" xfId="36036"/>
    <cellStyle name="40% - Accent1 2 2 4 2 3 3" xfId="10194"/>
    <cellStyle name="40% - Accent1 2 2 4 2 3 3 2" xfId="29348"/>
    <cellStyle name="40% - Accent1 2 2 4 2 3 4" xfId="26154"/>
    <cellStyle name="40% - Accent1 2 2 4 2 4" xfId="15718"/>
    <cellStyle name="40% - Accent1 2 2 4 2 4 2" xfId="31940"/>
    <cellStyle name="40% - Accent1 2 2 4 2 5" xfId="18058"/>
    <cellStyle name="40% - Accent1 2 2 4 2 5 2" xfId="34279"/>
    <cellStyle name="40% - Accent1 2 2 4 2 6" xfId="5931"/>
    <cellStyle name="40% - Accent1 2 2 4 2 6 2" xfId="27236"/>
    <cellStyle name="40% - Accent1 2 2 4 2 7" xfId="21660"/>
    <cellStyle name="40% - Accent1 2 2 4 2 7 2" xfId="37872"/>
    <cellStyle name="40% - Accent1 2 2 4 2 8" xfId="23158"/>
    <cellStyle name="40% - Accent1 2 2 4 3" xfId="1340"/>
    <cellStyle name="40% - Accent1 2 2 4 3 2" xfId="2839"/>
    <cellStyle name="40% - Accent1 2 2 4 3 2 2" xfId="19817"/>
    <cellStyle name="40% - Accent1 2 2 4 3 2 2 2" xfId="36038"/>
    <cellStyle name="40% - Accent1 2 2 4 3 2 3" xfId="10196"/>
    <cellStyle name="40% - Accent1 2 2 4 3 2 3 2" xfId="29350"/>
    <cellStyle name="40% - Accent1 2 2 4 3 2 4" xfId="25007"/>
    <cellStyle name="40% - Accent1 2 2 4 3 3" xfId="4338"/>
    <cellStyle name="40% - Accent1 2 2 4 3 3 2" xfId="16511"/>
    <cellStyle name="40% - Accent1 2 2 4 3 3 2 2" xfId="32732"/>
    <cellStyle name="40% - Accent1 2 2 4 3 3 3" xfId="26505"/>
    <cellStyle name="40% - Accent1 2 2 4 3 4" xfId="18060"/>
    <cellStyle name="40% - Accent1 2 2 4 3 4 2" xfId="34281"/>
    <cellStyle name="40% - Accent1 2 2 4 3 5" xfId="5929"/>
    <cellStyle name="40% - Accent1 2 2 4 3 5 2" xfId="27234"/>
    <cellStyle name="40% - Accent1 2 2 4 3 6" xfId="22011"/>
    <cellStyle name="40% - Accent1 2 2 4 3 6 2" xfId="38223"/>
    <cellStyle name="40% - Accent1 2 2 4 3 7" xfId="23509"/>
    <cellStyle name="40% - Accent1 2 2 4 4" xfId="1691"/>
    <cellStyle name="40% - Accent1 2 2 4 4 2" xfId="3190"/>
    <cellStyle name="40% - Accent1 2 2 4 4 2 2" xfId="19814"/>
    <cellStyle name="40% - Accent1 2 2 4 4 2 2 2" xfId="36035"/>
    <cellStyle name="40% - Accent1 2 2 4 4 2 3" xfId="25358"/>
    <cellStyle name="40% - Accent1 2 2 4 4 3" xfId="4689"/>
    <cellStyle name="40% - Accent1 2 2 4 4 3 2" xfId="26856"/>
    <cellStyle name="40% - Accent1 2 2 4 4 4" xfId="10193"/>
    <cellStyle name="40% - Accent1 2 2 4 4 4 2" xfId="29347"/>
    <cellStyle name="40% - Accent1 2 2 4 4 5" xfId="22362"/>
    <cellStyle name="40% - Accent1 2 2 4 4 5 2" xfId="38574"/>
    <cellStyle name="40% - Accent1 2 2 4 4 6" xfId="23860"/>
    <cellStyle name="40% - Accent1 2 2 4 5" xfId="2137"/>
    <cellStyle name="40% - Accent1 2 2 4 5 2" xfId="14926"/>
    <cellStyle name="40% - Accent1 2 2 4 5 2 2" xfId="31148"/>
    <cellStyle name="40% - Accent1 2 2 4 5 3" xfId="24305"/>
    <cellStyle name="40% - Accent1 2 2 4 6" xfId="3636"/>
    <cellStyle name="40% - Accent1 2 2 4 6 2" xfId="18057"/>
    <cellStyle name="40% - Accent1 2 2 4 6 2 2" xfId="34278"/>
    <cellStyle name="40% - Accent1 2 2 4 6 3" xfId="25803"/>
    <cellStyle name="40% - Accent1 2 2 4 7" xfId="5932"/>
    <cellStyle name="40% - Accent1 2 2 4 7 2" xfId="27237"/>
    <cellStyle name="40% - Accent1 2 2 4 8" xfId="21309"/>
    <cellStyle name="40% - Accent1 2 2 4 8 2" xfId="37521"/>
    <cellStyle name="40% - Accent1 2 2 4 9" xfId="22807"/>
    <cellStyle name="40% - Accent1 2 2 5" xfId="755"/>
    <cellStyle name="40% - Accent1 2 2 5 2" xfId="2254"/>
    <cellStyle name="40% - Accent1 2 2 5 2 2" xfId="10198"/>
    <cellStyle name="40% - Accent1 2 2 5 2 2 2" xfId="19819"/>
    <cellStyle name="40% - Accent1 2 2 5 2 2 2 2" xfId="36040"/>
    <cellStyle name="40% - Accent1 2 2 5 2 2 3" xfId="29352"/>
    <cellStyle name="40% - Accent1 2 2 5 2 3" xfId="16775"/>
    <cellStyle name="40% - Accent1 2 2 5 2 3 2" xfId="32996"/>
    <cellStyle name="40% - Accent1 2 2 5 2 4" xfId="18062"/>
    <cellStyle name="40% - Accent1 2 2 5 2 4 2" xfId="34283"/>
    <cellStyle name="40% - Accent1 2 2 5 2 5" xfId="5927"/>
    <cellStyle name="40% - Accent1 2 2 5 2 5 2" xfId="27232"/>
    <cellStyle name="40% - Accent1 2 2 5 2 6" xfId="24422"/>
    <cellStyle name="40% - Accent1 2 2 5 3" xfId="3753"/>
    <cellStyle name="40% - Accent1 2 2 5 3 2" xfId="19818"/>
    <cellStyle name="40% - Accent1 2 2 5 3 2 2" xfId="36039"/>
    <cellStyle name="40% - Accent1 2 2 5 3 3" xfId="10197"/>
    <cellStyle name="40% - Accent1 2 2 5 3 3 2" xfId="29351"/>
    <cellStyle name="40% - Accent1 2 2 5 3 4" xfId="25920"/>
    <cellStyle name="40% - Accent1 2 2 5 4" xfId="15190"/>
    <cellStyle name="40% - Accent1 2 2 5 4 2" xfId="31412"/>
    <cellStyle name="40% - Accent1 2 2 5 5" xfId="18061"/>
    <cellStyle name="40% - Accent1 2 2 5 5 2" xfId="34282"/>
    <cellStyle name="40% - Accent1 2 2 5 6" xfId="5928"/>
    <cellStyle name="40% - Accent1 2 2 5 6 2" xfId="27233"/>
    <cellStyle name="40% - Accent1 2 2 5 7" xfId="21426"/>
    <cellStyle name="40% - Accent1 2 2 5 7 2" xfId="37638"/>
    <cellStyle name="40% - Accent1 2 2 5 8" xfId="22924"/>
    <cellStyle name="40% - Accent1 2 2 6" xfId="1106"/>
    <cellStyle name="40% - Accent1 2 2 6 2" xfId="2605"/>
    <cellStyle name="40% - Accent1 2 2 6 2 2" xfId="19820"/>
    <cellStyle name="40% - Accent1 2 2 6 2 2 2" xfId="36041"/>
    <cellStyle name="40% - Accent1 2 2 6 2 3" xfId="10199"/>
    <cellStyle name="40% - Accent1 2 2 6 2 3 2" xfId="29353"/>
    <cellStyle name="40% - Accent1 2 2 6 2 4" xfId="24773"/>
    <cellStyle name="40% - Accent1 2 2 6 3" xfId="4104"/>
    <cellStyle name="40% - Accent1 2 2 6 3 2" xfId="15983"/>
    <cellStyle name="40% - Accent1 2 2 6 3 2 2" xfId="32204"/>
    <cellStyle name="40% - Accent1 2 2 6 3 3" xfId="26271"/>
    <cellStyle name="40% - Accent1 2 2 6 4" xfId="18063"/>
    <cellStyle name="40% - Accent1 2 2 6 4 2" xfId="34284"/>
    <cellStyle name="40% - Accent1 2 2 6 5" xfId="5926"/>
    <cellStyle name="40% - Accent1 2 2 6 5 2" xfId="27231"/>
    <cellStyle name="40% - Accent1 2 2 6 6" xfId="21777"/>
    <cellStyle name="40% - Accent1 2 2 6 6 2" xfId="37989"/>
    <cellStyle name="40% - Accent1 2 2 6 7" xfId="23275"/>
    <cellStyle name="40% - Accent1 2 2 7" xfId="1457"/>
    <cellStyle name="40% - Accent1 2 2 7 2" xfId="2956"/>
    <cellStyle name="40% - Accent1 2 2 7 2 2" xfId="19797"/>
    <cellStyle name="40% - Accent1 2 2 7 2 2 2" xfId="36018"/>
    <cellStyle name="40% - Accent1 2 2 7 2 3" xfId="25124"/>
    <cellStyle name="40% - Accent1 2 2 7 3" xfId="4455"/>
    <cellStyle name="40% - Accent1 2 2 7 3 2" xfId="26622"/>
    <cellStyle name="40% - Accent1 2 2 7 4" xfId="10176"/>
    <cellStyle name="40% - Accent1 2 2 7 4 2" xfId="29330"/>
    <cellStyle name="40% - Accent1 2 2 7 5" xfId="22128"/>
    <cellStyle name="40% - Accent1 2 2 7 5 2" xfId="38340"/>
    <cellStyle name="40% - Accent1 2 2 7 6" xfId="23626"/>
    <cellStyle name="40% - Accent1 2 2 8" xfId="1903"/>
    <cellStyle name="40% - Accent1 2 2 8 2" xfId="14398"/>
    <cellStyle name="40% - Accent1 2 2 8 2 2" xfId="30620"/>
    <cellStyle name="40% - Accent1 2 2 8 3" xfId="24071"/>
    <cellStyle name="40% - Accent1 2 2 9" xfId="3402"/>
    <cellStyle name="40% - Accent1 2 2 9 2" xfId="18040"/>
    <cellStyle name="40% - Accent1 2 2 9 2 2" xfId="34261"/>
    <cellStyle name="40% - Accent1 2 2 9 3" xfId="25569"/>
    <cellStyle name="40% - Accent1 2 3" xfId="414"/>
    <cellStyle name="40% - Accent1 2 3 10" xfId="21087"/>
    <cellStyle name="40% - Accent1 2 3 10 2" xfId="37299"/>
    <cellStyle name="40% - Accent1 2 3 11" xfId="22585"/>
    <cellStyle name="40% - Accent1 2 3 12" xfId="39095"/>
    <cellStyle name="40% - Accent1 2 3 2" xfId="532"/>
    <cellStyle name="40% - Accent1 2 3 2 2" xfId="884"/>
    <cellStyle name="40% - Accent1 2 3 2 2 2" xfId="2383"/>
    <cellStyle name="40% - Accent1 2 3 2 2 2 2" xfId="10203"/>
    <cellStyle name="40% - Accent1 2 3 2 2 2 2 2" xfId="19824"/>
    <cellStyle name="40% - Accent1 2 3 2 2 2 2 2 2" xfId="36045"/>
    <cellStyle name="40% - Accent1 2 3 2 2 2 2 3" xfId="29357"/>
    <cellStyle name="40% - Accent1 2 3 2 2 2 3" xfId="17105"/>
    <cellStyle name="40% - Accent1 2 3 2 2 2 3 2" xfId="33326"/>
    <cellStyle name="40% - Accent1 2 3 2 2 2 4" xfId="18067"/>
    <cellStyle name="40% - Accent1 2 3 2 2 2 4 2" xfId="34288"/>
    <cellStyle name="40% - Accent1 2 3 2 2 2 5" xfId="5922"/>
    <cellStyle name="40% - Accent1 2 3 2 2 2 5 2" xfId="27227"/>
    <cellStyle name="40% - Accent1 2 3 2 2 2 6" xfId="24551"/>
    <cellStyle name="40% - Accent1 2 3 2 2 3" xfId="3882"/>
    <cellStyle name="40% - Accent1 2 3 2 2 3 2" xfId="19823"/>
    <cellStyle name="40% - Accent1 2 3 2 2 3 2 2" xfId="36044"/>
    <cellStyle name="40% - Accent1 2 3 2 2 3 3" xfId="10202"/>
    <cellStyle name="40% - Accent1 2 3 2 2 3 3 2" xfId="29356"/>
    <cellStyle name="40% - Accent1 2 3 2 2 3 4" xfId="26049"/>
    <cellStyle name="40% - Accent1 2 3 2 2 4" xfId="15520"/>
    <cellStyle name="40% - Accent1 2 3 2 2 4 2" xfId="31742"/>
    <cellStyle name="40% - Accent1 2 3 2 2 5" xfId="18066"/>
    <cellStyle name="40% - Accent1 2 3 2 2 5 2" xfId="34287"/>
    <cellStyle name="40% - Accent1 2 3 2 2 6" xfId="5923"/>
    <cellStyle name="40% - Accent1 2 3 2 2 6 2" xfId="27228"/>
    <cellStyle name="40% - Accent1 2 3 2 2 7" xfId="21555"/>
    <cellStyle name="40% - Accent1 2 3 2 2 7 2" xfId="37767"/>
    <cellStyle name="40% - Accent1 2 3 2 2 8" xfId="23053"/>
    <cellStyle name="40% - Accent1 2 3 2 3" xfId="1235"/>
    <cellStyle name="40% - Accent1 2 3 2 3 2" xfId="2734"/>
    <cellStyle name="40% - Accent1 2 3 2 3 2 2" xfId="19825"/>
    <cellStyle name="40% - Accent1 2 3 2 3 2 2 2" xfId="36046"/>
    <cellStyle name="40% - Accent1 2 3 2 3 2 3" xfId="10204"/>
    <cellStyle name="40% - Accent1 2 3 2 3 2 3 2" xfId="29358"/>
    <cellStyle name="40% - Accent1 2 3 2 3 2 4" xfId="24902"/>
    <cellStyle name="40% - Accent1 2 3 2 3 3" xfId="4233"/>
    <cellStyle name="40% - Accent1 2 3 2 3 3 2" xfId="16313"/>
    <cellStyle name="40% - Accent1 2 3 2 3 3 2 2" xfId="32534"/>
    <cellStyle name="40% - Accent1 2 3 2 3 3 3" xfId="26400"/>
    <cellStyle name="40% - Accent1 2 3 2 3 4" xfId="18068"/>
    <cellStyle name="40% - Accent1 2 3 2 3 4 2" xfId="34289"/>
    <cellStyle name="40% - Accent1 2 3 2 3 5" xfId="5921"/>
    <cellStyle name="40% - Accent1 2 3 2 3 5 2" xfId="27226"/>
    <cellStyle name="40% - Accent1 2 3 2 3 6" xfId="21906"/>
    <cellStyle name="40% - Accent1 2 3 2 3 6 2" xfId="38118"/>
    <cellStyle name="40% - Accent1 2 3 2 3 7" xfId="23404"/>
    <cellStyle name="40% - Accent1 2 3 2 4" xfId="1586"/>
    <cellStyle name="40% - Accent1 2 3 2 4 2" xfId="3085"/>
    <cellStyle name="40% - Accent1 2 3 2 4 2 2" xfId="19822"/>
    <cellStyle name="40% - Accent1 2 3 2 4 2 2 2" xfId="36043"/>
    <cellStyle name="40% - Accent1 2 3 2 4 2 3" xfId="25253"/>
    <cellStyle name="40% - Accent1 2 3 2 4 3" xfId="4584"/>
    <cellStyle name="40% - Accent1 2 3 2 4 3 2" xfId="26751"/>
    <cellStyle name="40% - Accent1 2 3 2 4 4" xfId="10201"/>
    <cellStyle name="40% - Accent1 2 3 2 4 4 2" xfId="29355"/>
    <cellStyle name="40% - Accent1 2 3 2 4 5" xfId="22257"/>
    <cellStyle name="40% - Accent1 2 3 2 4 5 2" xfId="38469"/>
    <cellStyle name="40% - Accent1 2 3 2 4 6" xfId="23755"/>
    <cellStyle name="40% - Accent1 2 3 2 5" xfId="2032"/>
    <cellStyle name="40% - Accent1 2 3 2 5 2" xfId="14728"/>
    <cellStyle name="40% - Accent1 2 3 2 5 2 2" xfId="30950"/>
    <cellStyle name="40% - Accent1 2 3 2 5 3" xfId="24200"/>
    <cellStyle name="40% - Accent1 2 3 2 6" xfId="3531"/>
    <cellStyle name="40% - Accent1 2 3 2 6 2" xfId="18065"/>
    <cellStyle name="40% - Accent1 2 3 2 6 2 2" xfId="34286"/>
    <cellStyle name="40% - Accent1 2 3 2 6 3" xfId="25698"/>
    <cellStyle name="40% - Accent1 2 3 2 7" xfId="5924"/>
    <cellStyle name="40% - Accent1 2 3 2 7 2" xfId="27229"/>
    <cellStyle name="40% - Accent1 2 3 2 8" xfId="21204"/>
    <cellStyle name="40% - Accent1 2 3 2 8 2" xfId="37416"/>
    <cellStyle name="40% - Accent1 2 3 2 9" xfId="22702"/>
    <cellStyle name="40% - Accent1 2 3 3" xfId="650"/>
    <cellStyle name="40% - Accent1 2 3 3 2" xfId="1001"/>
    <cellStyle name="40% - Accent1 2 3 3 2 2" xfId="2500"/>
    <cellStyle name="40% - Accent1 2 3 3 2 2 2" xfId="10207"/>
    <cellStyle name="40% - Accent1 2 3 3 2 2 2 2" xfId="19828"/>
    <cellStyle name="40% - Accent1 2 3 3 2 2 2 2 2" xfId="36049"/>
    <cellStyle name="40% - Accent1 2 3 3 2 2 2 3" xfId="29361"/>
    <cellStyle name="40% - Accent1 2 3 3 2 2 3" xfId="17369"/>
    <cellStyle name="40% - Accent1 2 3 3 2 2 3 2" xfId="33590"/>
    <cellStyle name="40% - Accent1 2 3 3 2 2 4" xfId="18071"/>
    <cellStyle name="40% - Accent1 2 3 3 2 2 4 2" xfId="34292"/>
    <cellStyle name="40% - Accent1 2 3 3 2 2 5" xfId="5918"/>
    <cellStyle name="40% - Accent1 2 3 3 2 2 5 2" xfId="27223"/>
    <cellStyle name="40% - Accent1 2 3 3 2 2 6" xfId="24668"/>
    <cellStyle name="40% - Accent1 2 3 3 2 3" xfId="3999"/>
    <cellStyle name="40% - Accent1 2 3 3 2 3 2" xfId="19827"/>
    <cellStyle name="40% - Accent1 2 3 3 2 3 2 2" xfId="36048"/>
    <cellStyle name="40% - Accent1 2 3 3 2 3 3" xfId="10206"/>
    <cellStyle name="40% - Accent1 2 3 3 2 3 3 2" xfId="29360"/>
    <cellStyle name="40% - Accent1 2 3 3 2 3 4" xfId="26166"/>
    <cellStyle name="40% - Accent1 2 3 3 2 4" xfId="15784"/>
    <cellStyle name="40% - Accent1 2 3 3 2 4 2" xfId="32006"/>
    <cellStyle name="40% - Accent1 2 3 3 2 5" xfId="18070"/>
    <cellStyle name="40% - Accent1 2 3 3 2 5 2" xfId="34291"/>
    <cellStyle name="40% - Accent1 2 3 3 2 6" xfId="5919"/>
    <cellStyle name="40% - Accent1 2 3 3 2 6 2" xfId="27224"/>
    <cellStyle name="40% - Accent1 2 3 3 2 7" xfId="21672"/>
    <cellStyle name="40% - Accent1 2 3 3 2 7 2" xfId="37884"/>
    <cellStyle name="40% - Accent1 2 3 3 2 8" xfId="23170"/>
    <cellStyle name="40% - Accent1 2 3 3 3" xfId="1352"/>
    <cellStyle name="40% - Accent1 2 3 3 3 2" xfId="2851"/>
    <cellStyle name="40% - Accent1 2 3 3 3 2 2" xfId="19829"/>
    <cellStyle name="40% - Accent1 2 3 3 3 2 2 2" xfId="36050"/>
    <cellStyle name="40% - Accent1 2 3 3 3 2 3" xfId="10208"/>
    <cellStyle name="40% - Accent1 2 3 3 3 2 3 2" xfId="29362"/>
    <cellStyle name="40% - Accent1 2 3 3 3 2 4" xfId="25019"/>
    <cellStyle name="40% - Accent1 2 3 3 3 3" xfId="4350"/>
    <cellStyle name="40% - Accent1 2 3 3 3 3 2" xfId="16577"/>
    <cellStyle name="40% - Accent1 2 3 3 3 3 2 2" xfId="32798"/>
    <cellStyle name="40% - Accent1 2 3 3 3 3 3" xfId="26517"/>
    <cellStyle name="40% - Accent1 2 3 3 3 4" xfId="18072"/>
    <cellStyle name="40% - Accent1 2 3 3 3 4 2" xfId="34293"/>
    <cellStyle name="40% - Accent1 2 3 3 3 5" xfId="5917"/>
    <cellStyle name="40% - Accent1 2 3 3 3 5 2" xfId="27222"/>
    <cellStyle name="40% - Accent1 2 3 3 3 6" xfId="22023"/>
    <cellStyle name="40% - Accent1 2 3 3 3 6 2" xfId="38235"/>
    <cellStyle name="40% - Accent1 2 3 3 3 7" xfId="23521"/>
    <cellStyle name="40% - Accent1 2 3 3 4" xfId="1703"/>
    <cellStyle name="40% - Accent1 2 3 3 4 2" xfId="3202"/>
    <cellStyle name="40% - Accent1 2 3 3 4 2 2" xfId="19826"/>
    <cellStyle name="40% - Accent1 2 3 3 4 2 2 2" xfId="36047"/>
    <cellStyle name="40% - Accent1 2 3 3 4 2 3" xfId="25370"/>
    <cellStyle name="40% - Accent1 2 3 3 4 3" xfId="4701"/>
    <cellStyle name="40% - Accent1 2 3 3 4 3 2" xfId="26868"/>
    <cellStyle name="40% - Accent1 2 3 3 4 4" xfId="10205"/>
    <cellStyle name="40% - Accent1 2 3 3 4 4 2" xfId="29359"/>
    <cellStyle name="40% - Accent1 2 3 3 4 5" xfId="22374"/>
    <cellStyle name="40% - Accent1 2 3 3 4 5 2" xfId="38586"/>
    <cellStyle name="40% - Accent1 2 3 3 4 6" xfId="23872"/>
    <cellStyle name="40% - Accent1 2 3 3 5" xfId="2149"/>
    <cellStyle name="40% - Accent1 2 3 3 5 2" xfId="14992"/>
    <cellStyle name="40% - Accent1 2 3 3 5 2 2" xfId="31214"/>
    <cellStyle name="40% - Accent1 2 3 3 5 3" xfId="24317"/>
    <cellStyle name="40% - Accent1 2 3 3 6" xfId="3648"/>
    <cellStyle name="40% - Accent1 2 3 3 6 2" xfId="18069"/>
    <cellStyle name="40% - Accent1 2 3 3 6 2 2" xfId="34290"/>
    <cellStyle name="40% - Accent1 2 3 3 6 3" xfId="25815"/>
    <cellStyle name="40% - Accent1 2 3 3 7" xfId="5920"/>
    <cellStyle name="40% - Accent1 2 3 3 7 2" xfId="27225"/>
    <cellStyle name="40% - Accent1 2 3 3 8" xfId="21321"/>
    <cellStyle name="40% - Accent1 2 3 3 8 2" xfId="37533"/>
    <cellStyle name="40% - Accent1 2 3 3 9" xfId="22819"/>
    <cellStyle name="40% - Accent1 2 3 4" xfId="767"/>
    <cellStyle name="40% - Accent1 2 3 4 2" xfId="2266"/>
    <cellStyle name="40% - Accent1 2 3 4 2 2" xfId="10210"/>
    <cellStyle name="40% - Accent1 2 3 4 2 2 2" xfId="19831"/>
    <cellStyle name="40% - Accent1 2 3 4 2 2 2 2" xfId="36052"/>
    <cellStyle name="40% - Accent1 2 3 4 2 2 3" xfId="29364"/>
    <cellStyle name="40% - Accent1 2 3 4 2 3" xfId="16841"/>
    <cellStyle name="40% - Accent1 2 3 4 2 3 2" xfId="33062"/>
    <cellStyle name="40% - Accent1 2 3 4 2 4" xfId="18074"/>
    <cellStyle name="40% - Accent1 2 3 4 2 4 2" xfId="34295"/>
    <cellStyle name="40% - Accent1 2 3 4 2 5" xfId="5915"/>
    <cellStyle name="40% - Accent1 2 3 4 2 5 2" xfId="27220"/>
    <cellStyle name="40% - Accent1 2 3 4 2 6" xfId="24434"/>
    <cellStyle name="40% - Accent1 2 3 4 3" xfId="3765"/>
    <cellStyle name="40% - Accent1 2 3 4 3 2" xfId="19830"/>
    <cellStyle name="40% - Accent1 2 3 4 3 2 2" xfId="36051"/>
    <cellStyle name="40% - Accent1 2 3 4 3 3" xfId="10209"/>
    <cellStyle name="40% - Accent1 2 3 4 3 3 2" xfId="29363"/>
    <cellStyle name="40% - Accent1 2 3 4 3 4" xfId="25932"/>
    <cellStyle name="40% - Accent1 2 3 4 4" xfId="15256"/>
    <cellStyle name="40% - Accent1 2 3 4 4 2" xfId="31478"/>
    <cellStyle name="40% - Accent1 2 3 4 5" xfId="18073"/>
    <cellStyle name="40% - Accent1 2 3 4 5 2" xfId="34294"/>
    <cellStyle name="40% - Accent1 2 3 4 6" xfId="5916"/>
    <cellStyle name="40% - Accent1 2 3 4 6 2" xfId="27221"/>
    <cellStyle name="40% - Accent1 2 3 4 7" xfId="21438"/>
    <cellStyle name="40% - Accent1 2 3 4 7 2" xfId="37650"/>
    <cellStyle name="40% - Accent1 2 3 4 8" xfId="22936"/>
    <cellStyle name="40% - Accent1 2 3 5" xfId="1118"/>
    <cellStyle name="40% - Accent1 2 3 5 2" xfId="2617"/>
    <cellStyle name="40% - Accent1 2 3 5 2 2" xfId="19832"/>
    <cellStyle name="40% - Accent1 2 3 5 2 2 2" xfId="36053"/>
    <cellStyle name="40% - Accent1 2 3 5 2 3" xfId="10211"/>
    <cellStyle name="40% - Accent1 2 3 5 2 3 2" xfId="29365"/>
    <cellStyle name="40% - Accent1 2 3 5 2 4" xfId="24785"/>
    <cellStyle name="40% - Accent1 2 3 5 3" xfId="4116"/>
    <cellStyle name="40% - Accent1 2 3 5 3 2" xfId="16049"/>
    <cellStyle name="40% - Accent1 2 3 5 3 2 2" xfId="32270"/>
    <cellStyle name="40% - Accent1 2 3 5 3 3" xfId="26283"/>
    <cellStyle name="40% - Accent1 2 3 5 4" xfId="18075"/>
    <cellStyle name="40% - Accent1 2 3 5 4 2" xfId="34296"/>
    <cellStyle name="40% - Accent1 2 3 5 5" xfId="5914"/>
    <cellStyle name="40% - Accent1 2 3 5 5 2" xfId="27219"/>
    <cellStyle name="40% - Accent1 2 3 5 6" xfId="21789"/>
    <cellStyle name="40% - Accent1 2 3 5 6 2" xfId="38001"/>
    <cellStyle name="40% - Accent1 2 3 5 7" xfId="23287"/>
    <cellStyle name="40% - Accent1 2 3 6" xfId="1469"/>
    <cellStyle name="40% - Accent1 2 3 6 2" xfId="2968"/>
    <cellStyle name="40% - Accent1 2 3 6 2 2" xfId="19821"/>
    <cellStyle name="40% - Accent1 2 3 6 2 2 2" xfId="36042"/>
    <cellStyle name="40% - Accent1 2 3 6 2 3" xfId="25136"/>
    <cellStyle name="40% - Accent1 2 3 6 3" xfId="4467"/>
    <cellStyle name="40% - Accent1 2 3 6 3 2" xfId="26634"/>
    <cellStyle name="40% - Accent1 2 3 6 4" xfId="10200"/>
    <cellStyle name="40% - Accent1 2 3 6 4 2" xfId="29354"/>
    <cellStyle name="40% - Accent1 2 3 6 5" xfId="22140"/>
    <cellStyle name="40% - Accent1 2 3 6 5 2" xfId="38352"/>
    <cellStyle name="40% - Accent1 2 3 6 6" xfId="23638"/>
    <cellStyle name="40% - Accent1 2 3 7" xfId="1915"/>
    <cellStyle name="40% - Accent1 2 3 7 2" xfId="14464"/>
    <cellStyle name="40% - Accent1 2 3 7 2 2" xfId="30686"/>
    <cellStyle name="40% - Accent1 2 3 7 3" xfId="24083"/>
    <cellStyle name="40% - Accent1 2 3 8" xfId="3414"/>
    <cellStyle name="40% - Accent1 2 3 8 2" xfId="18064"/>
    <cellStyle name="40% - Accent1 2 3 8 2 2" xfId="34285"/>
    <cellStyle name="40% - Accent1 2 3 8 3" xfId="25581"/>
    <cellStyle name="40% - Accent1 2 3 9" xfId="5925"/>
    <cellStyle name="40% - Accent1 2 3 9 2" xfId="27230"/>
    <cellStyle name="40% - Accent1 2 4" xfId="427"/>
    <cellStyle name="40% - Accent1 2 4 10" xfId="21100"/>
    <cellStyle name="40% - Accent1 2 4 10 2" xfId="37312"/>
    <cellStyle name="40% - Accent1 2 4 11" xfId="22598"/>
    <cellStyle name="40% - Accent1 2 4 12" xfId="39243"/>
    <cellStyle name="40% - Accent1 2 4 2" xfId="545"/>
    <cellStyle name="40% - Accent1 2 4 2 2" xfId="897"/>
    <cellStyle name="40% - Accent1 2 4 2 2 2" xfId="2396"/>
    <cellStyle name="40% - Accent1 2 4 2 2 2 2" xfId="19835"/>
    <cellStyle name="40% - Accent1 2 4 2 2 2 2 2" xfId="36056"/>
    <cellStyle name="40% - Accent1 2 4 2 2 2 3" xfId="10214"/>
    <cellStyle name="40% - Accent1 2 4 2 2 2 3 2" xfId="29368"/>
    <cellStyle name="40% - Accent1 2 4 2 2 2 4" xfId="24564"/>
    <cellStyle name="40% - Accent1 2 4 2 2 3" xfId="3895"/>
    <cellStyle name="40% - Accent1 2 4 2 2 3 2" xfId="16973"/>
    <cellStyle name="40% - Accent1 2 4 2 2 3 2 2" xfId="33194"/>
    <cellStyle name="40% - Accent1 2 4 2 2 3 3" xfId="26062"/>
    <cellStyle name="40% - Accent1 2 4 2 2 4" xfId="18078"/>
    <cellStyle name="40% - Accent1 2 4 2 2 4 2" xfId="34299"/>
    <cellStyle name="40% - Accent1 2 4 2 2 5" xfId="5911"/>
    <cellStyle name="40% - Accent1 2 4 2 2 5 2" xfId="27216"/>
    <cellStyle name="40% - Accent1 2 4 2 2 6" xfId="21568"/>
    <cellStyle name="40% - Accent1 2 4 2 2 6 2" xfId="37780"/>
    <cellStyle name="40% - Accent1 2 4 2 2 7" xfId="23066"/>
    <cellStyle name="40% - Accent1 2 4 2 3" xfId="1248"/>
    <cellStyle name="40% - Accent1 2 4 2 3 2" xfId="2747"/>
    <cellStyle name="40% - Accent1 2 4 2 3 2 2" xfId="19834"/>
    <cellStyle name="40% - Accent1 2 4 2 3 2 2 2" xfId="36055"/>
    <cellStyle name="40% - Accent1 2 4 2 3 2 3" xfId="24915"/>
    <cellStyle name="40% - Accent1 2 4 2 3 3" xfId="4246"/>
    <cellStyle name="40% - Accent1 2 4 2 3 3 2" xfId="26413"/>
    <cellStyle name="40% - Accent1 2 4 2 3 4" xfId="10213"/>
    <cellStyle name="40% - Accent1 2 4 2 3 4 2" xfId="29367"/>
    <cellStyle name="40% - Accent1 2 4 2 3 5" xfId="21919"/>
    <cellStyle name="40% - Accent1 2 4 2 3 5 2" xfId="38131"/>
    <cellStyle name="40% - Accent1 2 4 2 3 6" xfId="23417"/>
    <cellStyle name="40% - Accent1 2 4 2 4" xfId="1599"/>
    <cellStyle name="40% - Accent1 2 4 2 4 2" xfId="3098"/>
    <cellStyle name="40% - Accent1 2 4 2 4 2 2" xfId="25266"/>
    <cellStyle name="40% - Accent1 2 4 2 4 3" xfId="4597"/>
    <cellStyle name="40% - Accent1 2 4 2 4 3 2" xfId="26764"/>
    <cellStyle name="40% - Accent1 2 4 2 4 4" xfId="15388"/>
    <cellStyle name="40% - Accent1 2 4 2 4 4 2" xfId="31610"/>
    <cellStyle name="40% - Accent1 2 4 2 4 5" xfId="22270"/>
    <cellStyle name="40% - Accent1 2 4 2 4 5 2" xfId="38482"/>
    <cellStyle name="40% - Accent1 2 4 2 4 6" xfId="23768"/>
    <cellStyle name="40% - Accent1 2 4 2 5" xfId="2045"/>
    <cellStyle name="40% - Accent1 2 4 2 5 2" xfId="18077"/>
    <cellStyle name="40% - Accent1 2 4 2 5 2 2" xfId="34298"/>
    <cellStyle name="40% - Accent1 2 4 2 5 3" xfId="24213"/>
    <cellStyle name="40% - Accent1 2 4 2 6" xfId="3544"/>
    <cellStyle name="40% - Accent1 2 4 2 6 2" xfId="25711"/>
    <cellStyle name="40% - Accent1 2 4 2 7" xfId="5912"/>
    <cellStyle name="40% - Accent1 2 4 2 7 2" xfId="27217"/>
    <cellStyle name="40% - Accent1 2 4 2 8" xfId="21217"/>
    <cellStyle name="40% - Accent1 2 4 2 8 2" xfId="37429"/>
    <cellStyle name="40% - Accent1 2 4 2 9" xfId="22715"/>
    <cellStyle name="40% - Accent1 2 4 3" xfId="663"/>
    <cellStyle name="40% - Accent1 2 4 3 2" xfId="1014"/>
    <cellStyle name="40% - Accent1 2 4 3 2 2" xfId="2513"/>
    <cellStyle name="40% - Accent1 2 4 3 2 2 2" xfId="19836"/>
    <cellStyle name="40% - Accent1 2 4 3 2 2 2 2" xfId="36057"/>
    <cellStyle name="40% - Accent1 2 4 3 2 2 3" xfId="24681"/>
    <cellStyle name="40% - Accent1 2 4 3 2 3" xfId="4012"/>
    <cellStyle name="40% - Accent1 2 4 3 2 3 2" xfId="26179"/>
    <cellStyle name="40% - Accent1 2 4 3 2 4" xfId="10215"/>
    <cellStyle name="40% - Accent1 2 4 3 2 4 2" xfId="29369"/>
    <cellStyle name="40% - Accent1 2 4 3 2 5" xfId="21685"/>
    <cellStyle name="40% - Accent1 2 4 3 2 5 2" xfId="37897"/>
    <cellStyle name="40% - Accent1 2 4 3 2 6" xfId="23183"/>
    <cellStyle name="40% - Accent1 2 4 3 3" xfId="1365"/>
    <cellStyle name="40% - Accent1 2 4 3 3 2" xfId="2864"/>
    <cellStyle name="40% - Accent1 2 4 3 3 2 2" xfId="25032"/>
    <cellStyle name="40% - Accent1 2 4 3 3 3" xfId="4363"/>
    <cellStyle name="40% - Accent1 2 4 3 3 3 2" xfId="26530"/>
    <cellStyle name="40% - Accent1 2 4 3 3 4" xfId="16181"/>
    <cellStyle name="40% - Accent1 2 4 3 3 4 2" xfId="32402"/>
    <cellStyle name="40% - Accent1 2 4 3 3 5" xfId="22036"/>
    <cellStyle name="40% - Accent1 2 4 3 3 5 2" xfId="38248"/>
    <cellStyle name="40% - Accent1 2 4 3 3 6" xfId="23534"/>
    <cellStyle name="40% - Accent1 2 4 3 4" xfId="1716"/>
    <cellStyle name="40% - Accent1 2 4 3 4 2" xfId="3215"/>
    <cellStyle name="40% - Accent1 2 4 3 4 2 2" xfId="25383"/>
    <cellStyle name="40% - Accent1 2 4 3 4 3" xfId="4714"/>
    <cellStyle name="40% - Accent1 2 4 3 4 3 2" xfId="26881"/>
    <cellStyle name="40% - Accent1 2 4 3 4 4" xfId="18079"/>
    <cellStyle name="40% - Accent1 2 4 3 4 4 2" xfId="34300"/>
    <cellStyle name="40% - Accent1 2 4 3 4 5" xfId="22387"/>
    <cellStyle name="40% - Accent1 2 4 3 4 5 2" xfId="38599"/>
    <cellStyle name="40% - Accent1 2 4 3 4 6" xfId="23885"/>
    <cellStyle name="40% - Accent1 2 4 3 5" xfId="2162"/>
    <cellStyle name="40% - Accent1 2 4 3 5 2" xfId="24330"/>
    <cellStyle name="40% - Accent1 2 4 3 6" xfId="3661"/>
    <cellStyle name="40% - Accent1 2 4 3 6 2" xfId="25828"/>
    <cellStyle name="40% - Accent1 2 4 3 7" xfId="5910"/>
    <cellStyle name="40% - Accent1 2 4 3 7 2" xfId="27215"/>
    <cellStyle name="40% - Accent1 2 4 3 8" xfId="21334"/>
    <cellStyle name="40% - Accent1 2 4 3 8 2" xfId="37546"/>
    <cellStyle name="40% - Accent1 2 4 3 9" xfId="22832"/>
    <cellStyle name="40% - Accent1 2 4 4" xfId="780"/>
    <cellStyle name="40% - Accent1 2 4 4 2" xfId="2279"/>
    <cellStyle name="40% - Accent1 2 4 4 2 2" xfId="19833"/>
    <cellStyle name="40% - Accent1 2 4 4 2 2 2" xfId="36054"/>
    <cellStyle name="40% - Accent1 2 4 4 2 3" xfId="24447"/>
    <cellStyle name="40% - Accent1 2 4 4 3" xfId="3778"/>
    <cellStyle name="40% - Accent1 2 4 4 3 2" xfId="25945"/>
    <cellStyle name="40% - Accent1 2 4 4 4" xfId="10212"/>
    <cellStyle name="40% - Accent1 2 4 4 4 2" xfId="29366"/>
    <cellStyle name="40% - Accent1 2 4 4 5" xfId="21451"/>
    <cellStyle name="40% - Accent1 2 4 4 5 2" xfId="37663"/>
    <cellStyle name="40% - Accent1 2 4 4 6" xfId="22949"/>
    <cellStyle name="40% - Accent1 2 4 5" xfId="1131"/>
    <cellStyle name="40% - Accent1 2 4 5 2" xfId="2630"/>
    <cellStyle name="40% - Accent1 2 4 5 2 2" xfId="24798"/>
    <cellStyle name="40% - Accent1 2 4 5 3" xfId="4129"/>
    <cellStyle name="40% - Accent1 2 4 5 3 2" xfId="26296"/>
    <cellStyle name="40% - Accent1 2 4 5 4" xfId="14596"/>
    <cellStyle name="40% - Accent1 2 4 5 4 2" xfId="30818"/>
    <cellStyle name="40% - Accent1 2 4 5 5" xfId="21802"/>
    <cellStyle name="40% - Accent1 2 4 5 5 2" xfId="38014"/>
    <cellStyle name="40% - Accent1 2 4 5 6" xfId="23300"/>
    <cellStyle name="40% - Accent1 2 4 6" xfId="1482"/>
    <cellStyle name="40% - Accent1 2 4 6 2" xfId="2981"/>
    <cellStyle name="40% - Accent1 2 4 6 2 2" xfId="25149"/>
    <cellStyle name="40% - Accent1 2 4 6 3" xfId="4480"/>
    <cellStyle name="40% - Accent1 2 4 6 3 2" xfId="26647"/>
    <cellStyle name="40% - Accent1 2 4 6 4" xfId="18076"/>
    <cellStyle name="40% - Accent1 2 4 6 4 2" xfId="34297"/>
    <cellStyle name="40% - Accent1 2 4 6 5" xfId="22153"/>
    <cellStyle name="40% - Accent1 2 4 6 5 2" xfId="38365"/>
    <cellStyle name="40% - Accent1 2 4 6 6" xfId="23651"/>
    <cellStyle name="40% - Accent1 2 4 7" xfId="1928"/>
    <cellStyle name="40% - Accent1 2 4 7 2" xfId="24096"/>
    <cellStyle name="40% - Accent1 2 4 8" xfId="3427"/>
    <cellStyle name="40% - Accent1 2 4 8 2" xfId="25594"/>
    <cellStyle name="40% - Accent1 2 4 9" xfId="5913"/>
    <cellStyle name="40% - Accent1 2 4 9 2" xfId="27218"/>
    <cellStyle name="40% - Accent1 2 5" xfId="452"/>
    <cellStyle name="40% - Accent1 2 5 10" xfId="21125"/>
    <cellStyle name="40% - Accent1 2 5 10 2" xfId="37337"/>
    <cellStyle name="40% - Accent1 2 5 11" xfId="22623"/>
    <cellStyle name="40% - Accent1 2 5 12" xfId="39392"/>
    <cellStyle name="40% - Accent1 2 5 2" xfId="570"/>
    <cellStyle name="40% - Accent1 2 5 2 2" xfId="922"/>
    <cellStyle name="40% - Accent1 2 5 2 2 2" xfId="2421"/>
    <cellStyle name="40% - Accent1 2 5 2 2 2 2" xfId="19839"/>
    <cellStyle name="40% - Accent1 2 5 2 2 2 2 2" xfId="36060"/>
    <cellStyle name="40% - Accent1 2 5 2 2 2 3" xfId="10218"/>
    <cellStyle name="40% - Accent1 2 5 2 2 2 3 2" xfId="29372"/>
    <cellStyle name="40% - Accent1 2 5 2 2 2 4" xfId="24589"/>
    <cellStyle name="40% - Accent1 2 5 2 2 3" xfId="3920"/>
    <cellStyle name="40% - Accent1 2 5 2 2 3 2" xfId="17237"/>
    <cellStyle name="40% - Accent1 2 5 2 2 3 2 2" xfId="33458"/>
    <cellStyle name="40% - Accent1 2 5 2 2 3 3" xfId="26087"/>
    <cellStyle name="40% - Accent1 2 5 2 2 4" xfId="18082"/>
    <cellStyle name="40% - Accent1 2 5 2 2 4 2" xfId="34303"/>
    <cellStyle name="40% - Accent1 2 5 2 2 5" xfId="5907"/>
    <cellStyle name="40% - Accent1 2 5 2 2 5 2" xfId="27212"/>
    <cellStyle name="40% - Accent1 2 5 2 2 6" xfId="21593"/>
    <cellStyle name="40% - Accent1 2 5 2 2 6 2" xfId="37805"/>
    <cellStyle name="40% - Accent1 2 5 2 2 7" xfId="23091"/>
    <cellStyle name="40% - Accent1 2 5 2 3" xfId="1273"/>
    <cellStyle name="40% - Accent1 2 5 2 3 2" xfId="2772"/>
    <cellStyle name="40% - Accent1 2 5 2 3 2 2" xfId="19838"/>
    <cellStyle name="40% - Accent1 2 5 2 3 2 2 2" xfId="36059"/>
    <cellStyle name="40% - Accent1 2 5 2 3 2 3" xfId="24940"/>
    <cellStyle name="40% - Accent1 2 5 2 3 3" xfId="4271"/>
    <cellStyle name="40% - Accent1 2 5 2 3 3 2" xfId="26438"/>
    <cellStyle name="40% - Accent1 2 5 2 3 4" xfId="10217"/>
    <cellStyle name="40% - Accent1 2 5 2 3 4 2" xfId="29371"/>
    <cellStyle name="40% - Accent1 2 5 2 3 5" xfId="21944"/>
    <cellStyle name="40% - Accent1 2 5 2 3 5 2" xfId="38156"/>
    <cellStyle name="40% - Accent1 2 5 2 3 6" xfId="23442"/>
    <cellStyle name="40% - Accent1 2 5 2 4" xfId="1624"/>
    <cellStyle name="40% - Accent1 2 5 2 4 2" xfId="3123"/>
    <cellStyle name="40% - Accent1 2 5 2 4 2 2" xfId="25291"/>
    <cellStyle name="40% - Accent1 2 5 2 4 3" xfId="4622"/>
    <cellStyle name="40% - Accent1 2 5 2 4 3 2" xfId="26789"/>
    <cellStyle name="40% - Accent1 2 5 2 4 4" xfId="15652"/>
    <cellStyle name="40% - Accent1 2 5 2 4 4 2" xfId="31874"/>
    <cellStyle name="40% - Accent1 2 5 2 4 5" xfId="22295"/>
    <cellStyle name="40% - Accent1 2 5 2 4 5 2" xfId="38507"/>
    <cellStyle name="40% - Accent1 2 5 2 4 6" xfId="23793"/>
    <cellStyle name="40% - Accent1 2 5 2 5" xfId="2070"/>
    <cellStyle name="40% - Accent1 2 5 2 5 2" xfId="18081"/>
    <cellStyle name="40% - Accent1 2 5 2 5 2 2" xfId="34302"/>
    <cellStyle name="40% - Accent1 2 5 2 5 3" xfId="24238"/>
    <cellStyle name="40% - Accent1 2 5 2 6" xfId="3569"/>
    <cellStyle name="40% - Accent1 2 5 2 6 2" xfId="25736"/>
    <cellStyle name="40% - Accent1 2 5 2 7" xfId="5908"/>
    <cellStyle name="40% - Accent1 2 5 2 7 2" xfId="27213"/>
    <cellStyle name="40% - Accent1 2 5 2 8" xfId="21242"/>
    <cellStyle name="40% - Accent1 2 5 2 8 2" xfId="37454"/>
    <cellStyle name="40% - Accent1 2 5 2 9" xfId="22740"/>
    <cellStyle name="40% - Accent1 2 5 3" xfId="688"/>
    <cellStyle name="40% - Accent1 2 5 3 2" xfId="1039"/>
    <cellStyle name="40% - Accent1 2 5 3 2 2" xfId="2538"/>
    <cellStyle name="40% - Accent1 2 5 3 2 2 2" xfId="19840"/>
    <cellStyle name="40% - Accent1 2 5 3 2 2 2 2" xfId="36061"/>
    <cellStyle name="40% - Accent1 2 5 3 2 2 3" xfId="24706"/>
    <cellStyle name="40% - Accent1 2 5 3 2 3" xfId="4037"/>
    <cellStyle name="40% - Accent1 2 5 3 2 3 2" xfId="26204"/>
    <cellStyle name="40% - Accent1 2 5 3 2 4" xfId="10219"/>
    <cellStyle name="40% - Accent1 2 5 3 2 4 2" xfId="29373"/>
    <cellStyle name="40% - Accent1 2 5 3 2 5" xfId="21710"/>
    <cellStyle name="40% - Accent1 2 5 3 2 5 2" xfId="37922"/>
    <cellStyle name="40% - Accent1 2 5 3 2 6" xfId="23208"/>
    <cellStyle name="40% - Accent1 2 5 3 3" xfId="1390"/>
    <cellStyle name="40% - Accent1 2 5 3 3 2" xfId="2889"/>
    <cellStyle name="40% - Accent1 2 5 3 3 2 2" xfId="25057"/>
    <cellStyle name="40% - Accent1 2 5 3 3 3" xfId="4388"/>
    <cellStyle name="40% - Accent1 2 5 3 3 3 2" xfId="26555"/>
    <cellStyle name="40% - Accent1 2 5 3 3 4" xfId="16445"/>
    <cellStyle name="40% - Accent1 2 5 3 3 4 2" xfId="32666"/>
    <cellStyle name="40% - Accent1 2 5 3 3 5" xfId="22061"/>
    <cellStyle name="40% - Accent1 2 5 3 3 5 2" xfId="38273"/>
    <cellStyle name="40% - Accent1 2 5 3 3 6" xfId="23559"/>
    <cellStyle name="40% - Accent1 2 5 3 4" xfId="1741"/>
    <cellStyle name="40% - Accent1 2 5 3 4 2" xfId="3240"/>
    <cellStyle name="40% - Accent1 2 5 3 4 2 2" xfId="25408"/>
    <cellStyle name="40% - Accent1 2 5 3 4 3" xfId="4739"/>
    <cellStyle name="40% - Accent1 2 5 3 4 3 2" xfId="26906"/>
    <cellStyle name="40% - Accent1 2 5 3 4 4" xfId="18083"/>
    <cellStyle name="40% - Accent1 2 5 3 4 4 2" xfId="34304"/>
    <cellStyle name="40% - Accent1 2 5 3 4 5" xfId="22412"/>
    <cellStyle name="40% - Accent1 2 5 3 4 5 2" xfId="38624"/>
    <cellStyle name="40% - Accent1 2 5 3 4 6" xfId="23910"/>
    <cellStyle name="40% - Accent1 2 5 3 5" xfId="2187"/>
    <cellStyle name="40% - Accent1 2 5 3 5 2" xfId="24355"/>
    <cellStyle name="40% - Accent1 2 5 3 6" xfId="3686"/>
    <cellStyle name="40% - Accent1 2 5 3 6 2" xfId="25853"/>
    <cellStyle name="40% - Accent1 2 5 3 7" xfId="5906"/>
    <cellStyle name="40% - Accent1 2 5 3 7 2" xfId="27211"/>
    <cellStyle name="40% - Accent1 2 5 3 8" xfId="21359"/>
    <cellStyle name="40% - Accent1 2 5 3 8 2" xfId="37571"/>
    <cellStyle name="40% - Accent1 2 5 3 9" xfId="22857"/>
    <cellStyle name="40% - Accent1 2 5 4" xfId="805"/>
    <cellStyle name="40% - Accent1 2 5 4 2" xfId="2304"/>
    <cellStyle name="40% - Accent1 2 5 4 2 2" xfId="19837"/>
    <cellStyle name="40% - Accent1 2 5 4 2 2 2" xfId="36058"/>
    <cellStyle name="40% - Accent1 2 5 4 2 3" xfId="24472"/>
    <cellStyle name="40% - Accent1 2 5 4 3" xfId="3803"/>
    <cellStyle name="40% - Accent1 2 5 4 3 2" xfId="25970"/>
    <cellStyle name="40% - Accent1 2 5 4 4" xfId="10216"/>
    <cellStyle name="40% - Accent1 2 5 4 4 2" xfId="29370"/>
    <cellStyle name="40% - Accent1 2 5 4 5" xfId="21476"/>
    <cellStyle name="40% - Accent1 2 5 4 5 2" xfId="37688"/>
    <cellStyle name="40% - Accent1 2 5 4 6" xfId="22974"/>
    <cellStyle name="40% - Accent1 2 5 5" xfId="1156"/>
    <cellStyle name="40% - Accent1 2 5 5 2" xfId="2655"/>
    <cellStyle name="40% - Accent1 2 5 5 2 2" xfId="24823"/>
    <cellStyle name="40% - Accent1 2 5 5 3" xfId="4154"/>
    <cellStyle name="40% - Accent1 2 5 5 3 2" xfId="26321"/>
    <cellStyle name="40% - Accent1 2 5 5 4" xfId="14860"/>
    <cellStyle name="40% - Accent1 2 5 5 4 2" xfId="31082"/>
    <cellStyle name="40% - Accent1 2 5 5 5" xfId="21827"/>
    <cellStyle name="40% - Accent1 2 5 5 5 2" xfId="38039"/>
    <cellStyle name="40% - Accent1 2 5 5 6" xfId="23325"/>
    <cellStyle name="40% - Accent1 2 5 6" xfId="1507"/>
    <cellStyle name="40% - Accent1 2 5 6 2" xfId="3006"/>
    <cellStyle name="40% - Accent1 2 5 6 2 2" xfId="25174"/>
    <cellStyle name="40% - Accent1 2 5 6 3" xfId="4505"/>
    <cellStyle name="40% - Accent1 2 5 6 3 2" xfId="26672"/>
    <cellStyle name="40% - Accent1 2 5 6 4" xfId="18080"/>
    <cellStyle name="40% - Accent1 2 5 6 4 2" xfId="34301"/>
    <cellStyle name="40% - Accent1 2 5 6 5" xfId="22178"/>
    <cellStyle name="40% - Accent1 2 5 6 5 2" xfId="38390"/>
    <cellStyle name="40% - Accent1 2 5 6 6" xfId="23676"/>
    <cellStyle name="40% - Accent1 2 5 7" xfId="1953"/>
    <cellStyle name="40% - Accent1 2 5 7 2" xfId="24121"/>
    <cellStyle name="40% - Accent1 2 5 8" xfId="3452"/>
    <cellStyle name="40% - Accent1 2 5 8 2" xfId="25619"/>
    <cellStyle name="40% - Accent1 2 5 9" xfId="5909"/>
    <cellStyle name="40% - Accent1 2 5 9 2" xfId="27214"/>
    <cellStyle name="40% - Accent1 2 6" xfId="470"/>
    <cellStyle name="40% - Accent1 2 6 10" xfId="21143"/>
    <cellStyle name="40% - Accent1 2 6 10 2" xfId="37355"/>
    <cellStyle name="40% - Accent1 2 6 11" xfId="22641"/>
    <cellStyle name="40% - Accent1 2 6 2" xfId="588"/>
    <cellStyle name="40% - Accent1 2 6 2 2" xfId="940"/>
    <cellStyle name="40% - Accent1 2 6 2 2 2" xfId="2439"/>
    <cellStyle name="40% - Accent1 2 6 2 2 2 2" xfId="19842"/>
    <cellStyle name="40% - Accent1 2 6 2 2 2 2 2" xfId="36063"/>
    <cellStyle name="40% - Accent1 2 6 2 2 2 3" xfId="24607"/>
    <cellStyle name="40% - Accent1 2 6 2 2 3" xfId="3938"/>
    <cellStyle name="40% - Accent1 2 6 2 2 3 2" xfId="26105"/>
    <cellStyle name="40% - Accent1 2 6 2 2 4" xfId="10221"/>
    <cellStyle name="40% - Accent1 2 6 2 2 4 2" xfId="29375"/>
    <cellStyle name="40% - Accent1 2 6 2 2 5" xfId="21611"/>
    <cellStyle name="40% - Accent1 2 6 2 2 5 2" xfId="37823"/>
    <cellStyle name="40% - Accent1 2 6 2 2 6" xfId="23109"/>
    <cellStyle name="40% - Accent1 2 6 2 3" xfId="1291"/>
    <cellStyle name="40% - Accent1 2 6 2 3 2" xfId="2790"/>
    <cellStyle name="40% - Accent1 2 6 2 3 2 2" xfId="24958"/>
    <cellStyle name="40% - Accent1 2 6 2 3 3" xfId="4289"/>
    <cellStyle name="40% - Accent1 2 6 2 3 3 2" xfId="26456"/>
    <cellStyle name="40% - Accent1 2 6 2 3 4" xfId="16709"/>
    <cellStyle name="40% - Accent1 2 6 2 3 4 2" xfId="32930"/>
    <cellStyle name="40% - Accent1 2 6 2 3 5" xfId="21962"/>
    <cellStyle name="40% - Accent1 2 6 2 3 5 2" xfId="38174"/>
    <cellStyle name="40% - Accent1 2 6 2 3 6" xfId="23460"/>
    <cellStyle name="40% - Accent1 2 6 2 4" xfId="1642"/>
    <cellStyle name="40% - Accent1 2 6 2 4 2" xfId="3141"/>
    <cellStyle name="40% - Accent1 2 6 2 4 2 2" xfId="25309"/>
    <cellStyle name="40% - Accent1 2 6 2 4 3" xfId="4640"/>
    <cellStyle name="40% - Accent1 2 6 2 4 3 2" xfId="26807"/>
    <cellStyle name="40% - Accent1 2 6 2 4 4" xfId="18085"/>
    <cellStyle name="40% - Accent1 2 6 2 4 4 2" xfId="34306"/>
    <cellStyle name="40% - Accent1 2 6 2 4 5" xfId="22313"/>
    <cellStyle name="40% - Accent1 2 6 2 4 5 2" xfId="38525"/>
    <cellStyle name="40% - Accent1 2 6 2 4 6" xfId="23811"/>
    <cellStyle name="40% - Accent1 2 6 2 5" xfId="2088"/>
    <cellStyle name="40% - Accent1 2 6 2 5 2" xfId="24256"/>
    <cellStyle name="40% - Accent1 2 6 2 6" xfId="3587"/>
    <cellStyle name="40% - Accent1 2 6 2 6 2" xfId="25754"/>
    <cellStyle name="40% - Accent1 2 6 2 7" xfId="5904"/>
    <cellStyle name="40% - Accent1 2 6 2 7 2" xfId="27209"/>
    <cellStyle name="40% - Accent1 2 6 2 8" xfId="21260"/>
    <cellStyle name="40% - Accent1 2 6 2 8 2" xfId="37472"/>
    <cellStyle name="40% - Accent1 2 6 2 9" xfId="22758"/>
    <cellStyle name="40% - Accent1 2 6 3" xfId="706"/>
    <cellStyle name="40% - Accent1 2 6 3 2" xfId="1057"/>
    <cellStyle name="40% - Accent1 2 6 3 2 2" xfId="2556"/>
    <cellStyle name="40% - Accent1 2 6 3 2 2 2" xfId="24724"/>
    <cellStyle name="40% - Accent1 2 6 3 2 3" xfId="4055"/>
    <cellStyle name="40% - Accent1 2 6 3 2 3 2" xfId="26222"/>
    <cellStyle name="40% - Accent1 2 6 3 2 4" xfId="19841"/>
    <cellStyle name="40% - Accent1 2 6 3 2 4 2" xfId="36062"/>
    <cellStyle name="40% - Accent1 2 6 3 2 5" xfId="21728"/>
    <cellStyle name="40% - Accent1 2 6 3 2 5 2" xfId="37940"/>
    <cellStyle name="40% - Accent1 2 6 3 2 6" xfId="23226"/>
    <cellStyle name="40% - Accent1 2 6 3 3" xfId="1408"/>
    <cellStyle name="40% - Accent1 2 6 3 3 2" xfId="2907"/>
    <cellStyle name="40% - Accent1 2 6 3 3 2 2" xfId="25075"/>
    <cellStyle name="40% - Accent1 2 6 3 3 3" xfId="4406"/>
    <cellStyle name="40% - Accent1 2 6 3 3 3 2" xfId="26573"/>
    <cellStyle name="40% - Accent1 2 6 3 3 4" xfId="22079"/>
    <cellStyle name="40% - Accent1 2 6 3 3 4 2" xfId="38291"/>
    <cellStyle name="40% - Accent1 2 6 3 3 5" xfId="23577"/>
    <cellStyle name="40% - Accent1 2 6 3 4" xfId="1759"/>
    <cellStyle name="40% - Accent1 2 6 3 4 2" xfId="3258"/>
    <cellStyle name="40% - Accent1 2 6 3 4 2 2" xfId="25426"/>
    <cellStyle name="40% - Accent1 2 6 3 4 3" xfId="4757"/>
    <cellStyle name="40% - Accent1 2 6 3 4 3 2" xfId="26924"/>
    <cellStyle name="40% - Accent1 2 6 3 4 4" xfId="22430"/>
    <cellStyle name="40% - Accent1 2 6 3 4 4 2" xfId="38642"/>
    <cellStyle name="40% - Accent1 2 6 3 4 5" xfId="23928"/>
    <cellStyle name="40% - Accent1 2 6 3 5" xfId="2205"/>
    <cellStyle name="40% - Accent1 2 6 3 5 2" xfId="24373"/>
    <cellStyle name="40% - Accent1 2 6 3 6" xfId="3704"/>
    <cellStyle name="40% - Accent1 2 6 3 6 2" xfId="25871"/>
    <cellStyle name="40% - Accent1 2 6 3 7" xfId="10220"/>
    <cellStyle name="40% - Accent1 2 6 3 7 2" xfId="29374"/>
    <cellStyle name="40% - Accent1 2 6 3 8" xfId="21377"/>
    <cellStyle name="40% - Accent1 2 6 3 8 2" xfId="37589"/>
    <cellStyle name="40% - Accent1 2 6 3 9" xfId="22875"/>
    <cellStyle name="40% - Accent1 2 6 4" xfId="823"/>
    <cellStyle name="40% - Accent1 2 6 4 2" xfId="2322"/>
    <cellStyle name="40% - Accent1 2 6 4 2 2" xfId="24490"/>
    <cellStyle name="40% - Accent1 2 6 4 3" xfId="3821"/>
    <cellStyle name="40% - Accent1 2 6 4 3 2" xfId="25988"/>
    <cellStyle name="40% - Accent1 2 6 4 4" xfId="15124"/>
    <cellStyle name="40% - Accent1 2 6 4 4 2" xfId="31346"/>
    <cellStyle name="40% - Accent1 2 6 4 5" xfId="21494"/>
    <cellStyle name="40% - Accent1 2 6 4 5 2" xfId="37706"/>
    <cellStyle name="40% - Accent1 2 6 4 6" xfId="22992"/>
    <cellStyle name="40% - Accent1 2 6 5" xfId="1174"/>
    <cellStyle name="40% - Accent1 2 6 5 2" xfId="2673"/>
    <cellStyle name="40% - Accent1 2 6 5 2 2" xfId="24841"/>
    <cellStyle name="40% - Accent1 2 6 5 3" xfId="4172"/>
    <cellStyle name="40% - Accent1 2 6 5 3 2" xfId="26339"/>
    <cellStyle name="40% - Accent1 2 6 5 4" xfId="18084"/>
    <cellStyle name="40% - Accent1 2 6 5 4 2" xfId="34305"/>
    <cellStyle name="40% - Accent1 2 6 5 5" xfId="21845"/>
    <cellStyle name="40% - Accent1 2 6 5 5 2" xfId="38057"/>
    <cellStyle name="40% - Accent1 2 6 5 6" xfId="23343"/>
    <cellStyle name="40% - Accent1 2 6 6" xfId="1525"/>
    <cellStyle name="40% - Accent1 2 6 6 2" xfId="3024"/>
    <cellStyle name="40% - Accent1 2 6 6 2 2" xfId="25192"/>
    <cellStyle name="40% - Accent1 2 6 6 3" xfId="4523"/>
    <cellStyle name="40% - Accent1 2 6 6 3 2" xfId="26690"/>
    <cellStyle name="40% - Accent1 2 6 6 4" xfId="22196"/>
    <cellStyle name="40% - Accent1 2 6 6 4 2" xfId="38408"/>
    <cellStyle name="40% - Accent1 2 6 6 5" xfId="23694"/>
    <cellStyle name="40% - Accent1 2 6 7" xfId="1971"/>
    <cellStyle name="40% - Accent1 2 6 7 2" xfId="24139"/>
    <cellStyle name="40% - Accent1 2 6 8" xfId="3470"/>
    <cellStyle name="40% - Accent1 2 6 8 2" xfId="25637"/>
    <cellStyle name="40% - Accent1 2 6 9" xfId="5905"/>
    <cellStyle name="40% - Accent1 2 6 9 2" xfId="27210"/>
    <cellStyle name="40% - Accent1 2 7" xfId="483"/>
    <cellStyle name="40% - Accent1 2 7 10" xfId="21156"/>
    <cellStyle name="40% - Accent1 2 7 10 2" xfId="37368"/>
    <cellStyle name="40% - Accent1 2 7 11" xfId="22654"/>
    <cellStyle name="40% - Accent1 2 7 2" xfId="601"/>
    <cellStyle name="40% - Accent1 2 7 2 2" xfId="953"/>
    <cellStyle name="40% - Accent1 2 7 2 2 2" xfId="2452"/>
    <cellStyle name="40% - Accent1 2 7 2 2 2 2" xfId="24620"/>
    <cellStyle name="40% - Accent1 2 7 2 2 3" xfId="3951"/>
    <cellStyle name="40% - Accent1 2 7 2 2 3 2" xfId="26118"/>
    <cellStyle name="40% - Accent1 2 7 2 2 4" xfId="19843"/>
    <cellStyle name="40% - Accent1 2 7 2 2 4 2" xfId="36064"/>
    <cellStyle name="40% - Accent1 2 7 2 2 5" xfId="21624"/>
    <cellStyle name="40% - Accent1 2 7 2 2 5 2" xfId="37836"/>
    <cellStyle name="40% - Accent1 2 7 2 2 6" xfId="23122"/>
    <cellStyle name="40% - Accent1 2 7 2 3" xfId="1304"/>
    <cellStyle name="40% - Accent1 2 7 2 3 2" xfId="2803"/>
    <cellStyle name="40% - Accent1 2 7 2 3 2 2" xfId="24971"/>
    <cellStyle name="40% - Accent1 2 7 2 3 3" xfId="4302"/>
    <cellStyle name="40% - Accent1 2 7 2 3 3 2" xfId="26469"/>
    <cellStyle name="40% - Accent1 2 7 2 3 4" xfId="21975"/>
    <cellStyle name="40% - Accent1 2 7 2 3 4 2" xfId="38187"/>
    <cellStyle name="40% - Accent1 2 7 2 3 5" xfId="23473"/>
    <cellStyle name="40% - Accent1 2 7 2 4" xfId="1655"/>
    <cellStyle name="40% - Accent1 2 7 2 4 2" xfId="3154"/>
    <cellStyle name="40% - Accent1 2 7 2 4 2 2" xfId="25322"/>
    <cellStyle name="40% - Accent1 2 7 2 4 3" xfId="4653"/>
    <cellStyle name="40% - Accent1 2 7 2 4 3 2" xfId="26820"/>
    <cellStyle name="40% - Accent1 2 7 2 4 4" xfId="22326"/>
    <cellStyle name="40% - Accent1 2 7 2 4 4 2" xfId="38538"/>
    <cellStyle name="40% - Accent1 2 7 2 4 5" xfId="23824"/>
    <cellStyle name="40% - Accent1 2 7 2 5" xfId="2101"/>
    <cellStyle name="40% - Accent1 2 7 2 5 2" xfId="24269"/>
    <cellStyle name="40% - Accent1 2 7 2 6" xfId="3600"/>
    <cellStyle name="40% - Accent1 2 7 2 6 2" xfId="25767"/>
    <cellStyle name="40% - Accent1 2 7 2 7" xfId="10222"/>
    <cellStyle name="40% - Accent1 2 7 2 7 2" xfId="29376"/>
    <cellStyle name="40% - Accent1 2 7 2 8" xfId="21273"/>
    <cellStyle name="40% - Accent1 2 7 2 8 2" xfId="37485"/>
    <cellStyle name="40% - Accent1 2 7 2 9" xfId="22771"/>
    <cellStyle name="40% - Accent1 2 7 3" xfId="719"/>
    <cellStyle name="40% - Accent1 2 7 3 2" xfId="1070"/>
    <cellStyle name="40% - Accent1 2 7 3 2 2" xfId="2569"/>
    <cellStyle name="40% - Accent1 2 7 3 2 2 2" xfId="24737"/>
    <cellStyle name="40% - Accent1 2 7 3 2 3" xfId="4068"/>
    <cellStyle name="40% - Accent1 2 7 3 2 3 2" xfId="26235"/>
    <cellStyle name="40% - Accent1 2 7 3 2 4" xfId="21741"/>
    <cellStyle name="40% - Accent1 2 7 3 2 4 2" xfId="37953"/>
    <cellStyle name="40% - Accent1 2 7 3 2 5" xfId="23239"/>
    <cellStyle name="40% - Accent1 2 7 3 3" xfId="1421"/>
    <cellStyle name="40% - Accent1 2 7 3 3 2" xfId="2920"/>
    <cellStyle name="40% - Accent1 2 7 3 3 2 2" xfId="25088"/>
    <cellStyle name="40% - Accent1 2 7 3 3 3" xfId="4419"/>
    <cellStyle name="40% - Accent1 2 7 3 3 3 2" xfId="26586"/>
    <cellStyle name="40% - Accent1 2 7 3 3 4" xfId="22092"/>
    <cellStyle name="40% - Accent1 2 7 3 3 4 2" xfId="38304"/>
    <cellStyle name="40% - Accent1 2 7 3 3 5" xfId="23590"/>
    <cellStyle name="40% - Accent1 2 7 3 4" xfId="1772"/>
    <cellStyle name="40% - Accent1 2 7 3 4 2" xfId="3271"/>
    <cellStyle name="40% - Accent1 2 7 3 4 2 2" xfId="25439"/>
    <cellStyle name="40% - Accent1 2 7 3 4 3" xfId="4770"/>
    <cellStyle name="40% - Accent1 2 7 3 4 3 2" xfId="26937"/>
    <cellStyle name="40% - Accent1 2 7 3 4 4" xfId="22443"/>
    <cellStyle name="40% - Accent1 2 7 3 4 4 2" xfId="38655"/>
    <cellStyle name="40% - Accent1 2 7 3 4 5" xfId="23941"/>
    <cellStyle name="40% - Accent1 2 7 3 5" xfId="2218"/>
    <cellStyle name="40% - Accent1 2 7 3 5 2" xfId="24386"/>
    <cellStyle name="40% - Accent1 2 7 3 6" xfId="3717"/>
    <cellStyle name="40% - Accent1 2 7 3 6 2" xfId="25884"/>
    <cellStyle name="40% - Accent1 2 7 3 7" xfId="15917"/>
    <cellStyle name="40% - Accent1 2 7 3 7 2" xfId="32138"/>
    <cellStyle name="40% - Accent1 2 7 3 8" xfId="21390"/>
    <cellStyle name="40% - Accent1 2 7 3 8 2" xfId="37602"/>
    <cellStyle name="40% - Accent1 2 7 3 9" xfId="22888"/>
    <cellStyle name="40% - Accent1 2 7 4" xfId="836"/>
    <cellStyle name="40% - Accent1 2 7 4 2" xfId="2335"/>
    <cellStyle name="40% - Accent1 2 7 4 2 2" xfId="24503"/>
    <cellStyle name="40% - Accent1 2 7 4 3" xfId="3834"/>
    <cellStyle name="40% - Accent1 2 7 4 3 2" xfId="26001"/>
    <cellStyle name="40% - Accent1 2 7 4 4" xfId="18086"/>
    <cellStyle name="40% - Accent1 2 7 4 4 2" xfId="34307"/>
    <cellStyle name="40% - Accent1 2 7 4 5" xfId="21507"/>
    <cellStyle name="40% - Accent1 2 7 4 5 2" xfId="37719"/>
    <cellStyle name="40% - Accent1 2 7 4 6" xfId="23005"/>
    <cellStyle name="40% - Accent1 2 7 5" xfId="1187"/>
    <cellStyle name="40% - Accent1 2 7 5 2" xfId="2686"/>
    <cellStyle name="40% - Accent1 2 7 5 2 2" xfId="24854"/>
    <cellStyle name="40% - Accent1 2 7 5 3" xfId="4185"/>
    <cellStyle name="40% - Accent1 2 7 5 3 2" xfId="26352"/>
    <cellStyle name="40% - Accent1 2 7 5 4" xfId="21858"/>
    <cellStyle name="40% - Accent1 2 7 5 4 2" xfId="38070"/>
    <cellStyle name="40% - Accent1 2 7 5 5" xfId="23356"/>
    <cellStyle name="40% - Accent1 2 7 6" xfId="1538"/>
    <cellStyle name="40% - Accent1 2 7 6 2" xfId="3037"/>
    <cellStyle name="40% - Accent1 2 7 6 2 2" xfId="25205"/>
    <cellStyle name="40% - Accent1 2 7 6 3" xfId="4536"/>
    <cellStyle name="40% - Accent1 2 7 6 3 2" xfId="26703"/>
    <cellStyle name="40% - Accent1 2 7 6 4" xfId="22209"/>
    <cellStyle name="40% - Accent1 2 7 6 4 2" xfId="38421"/>
    <cellStyle name="40% - Accent1 2 7 6 5" xfId="23707"/>
    <cellStyle name="40% - Accent1 2 7 7" xfId="1984"/>
    <cellStyle name="40% - Accent1 2 7 7 2" xfId="24152"/>
    <cellStyle name="40% - Accent1 2 7 8" xfId="3483"/>
    <cellStyle name="40% - Accent1 2 7 8 2" xfId="25650"/>
    <cellStyle name="40% - Accent1 2 7 9" xfId="5903"/>
    <cellStyle name="40% - Accent1 2 7 9 2" xfId="27208"/>
    <cellStyle name="40% - Accent1 2 8" xfId="518"/>
    <cellStyle name="40% - Accent1 2 8 2" xfId="870"/>
    <cellStyle name="40% - Accent1 2 8 2 2" xfId="2369"/>
    <cellStyle name="40% - Accent1 2 8 2 2 2" xfId="24537"/>
    <cellStyle name="40% - Accent1 2 8 2 3" xfId="3868"/>
    <cellStyle name="40% - Accent1 2 8 2 3 2" xfId="26035"/>
    <cellStyle name="40% - Accent1 2 8 2 4" xfId="19796"/>
    <cellStyle name="40% - Accent1 2 8 2 4 2" xfId="36017"/>
    <cellStyle name="40% - Accent1 2 8 2 5" xfId="21541"/>
    <cellStyle name="40% - Accent1 2 8 2 5 2" xfId="37753"/>
    <cellStyle name="40% - Accent1 2 8 2 6" xfId="23039"/>
    <cellStyle name="40% - Accent1 2 8 3" xfId="1221"/>
    <cellStyle name="40% - Accent1 2 8 3 2" xfId="2720"/>
    <cellStyle name="40% - Accent1 2 8 3 2 2" xfId="24888"/>
    <cellStyle name="40% - Accent1 2 8 3 3" xfId="4219"/>
    <cellStyle name="40% - Accent1 2 8 3 3 2" xfId="26386"/>
    <cellStyle name="40% - Accent1 2 8 3 4" xfId="21892"/>
    <cellStyle name="40% - Accent1 2 8 3 4 2" xfId="38104"/>
    <cellStyle name="40% - Accent1 2 8 3 5" xfId="23390"/>
    <cellStyle name="40% - Accent1 2 8 4" xfId="1572"/>
    <cellStyle name="40% - Accent1 2 8 4 2" xfId="3071"/>
    <cellStyle name="40% - Accent1 2 8 4 2 2" xfId="25239"/>
    <cellStyle name="40% - Accent1 2 8 4 3" xfId="4570"/>
    <cellStyle name="40% - Accent1 2 8 4 3 2" xfId="26737"/>
    <cellStyle name="40% - Accent1 2 8 4 4" xfId="22243"/>
    <cellStyle name="40% - Accent1 2 8 4 4 2" xfId="38455"/>
    <cellStyle name="40% - Accent1 2 8 4 5" xfId="23741"/>
    <cellStyle name="40% - Accent1 2 8 5" xfId="2018"/>
    <cellStyle name="40% - Accent1 2 8 5 2" xfId="24186"/>
    <cellStyle name="40% - Accent1 2 8 6" xfId="3517"/>
    <cellStyle name="40% - Accent1 2 8 6 2" xfId="25684"/>
    <cellStyle name="40% - Accent1 2 8 7" xfId="10175"/>
    <cellStyle name="40% - Accent1 2 8 7 2" xfId="29329"/>
    <cellStyle name="40% - Accent1 2 8 8" xfId="21190"/>
    <cellStyle name="40% - Accent1 2 8 8 2" xfId="37402"/>
    <cellStyle name="40% - Accent1 2 8 9" xfId="22688"/>
    <cellStyle name="40% - Accent1 2 9" xfId="636"/>
    <cellStyle name="40% - Accent1 2 9 2" xfId="987"/>
    <cellStyle name="40% - Accent1 2 9 2 2" xfId="2486"/>
    <cellStyle name="40% - Accent1 2 9 2 2 2" xfId="24654"/>
    <cellStyle name="40% - Accent1 2 9 2 3" xfId="3985"/>
    <cellStyle name="40% - Accent1 2 9 2 3 2" xfId="26152"/>
    <cellStyle name="40% - Accent1 2 9 2 4" xfId="21658"/>
    <cellStyle name="40% - Accent1 2 9 2 4 2" xfId="37870"/>
    <cellStyle name="40% - Accent1 2 9 2 5" xfId="23156"/>
    <cellStyle name="40% - Accent1 2 9 3" xfId="1338"/>
    <cellStyle name="40% - Accent1 2 9 3 2" xfId="2837"/>
    <cellStyle name="40% - Accent1 2 9 3 2 2" xfId="25005"/>
    <cellStyle name="40% - Accent1 2 9 3 3" xfId="4336"/>
    <cellStyle name="40% - Accent1 2 9 3 3 2" xfId="26503"/>
    <cellStyle name="40% - Accent1 2 9 3 4" xfId="22009"/>
    <cellStyle name="40% - Accent1 2 9 3 4 2" xfId="38221"/>
    <cellStyle name="40% - Accent1 2 9 3 5" xfId="23507"/>
    <cellStyle name="40% - Accent1 2 9 4" xfId="1689"/>
    <cellStyle name="40% - Accent1 2 9 4 2" xfId="3188"/>
    <cellStyle name="40% - Accent1 2 9 4 2 2" xfId="25356"/>
    <cellStyle name="40% - Accent1 2 9 4 3" xfId="4687"/>
    <cellStyle name="40% - Accent1 2 9 4 3 2" xfId="26854"/>
    <cellStyle name="40% - Accent1 2 9 4 4" xfId="22360"/>
    <cellStyle name="40% - Accent1 2 9 4 4 2" xfId="38572"/>
    <cellStyle name="40% - Accent1 2 9 4 5" xfId="23858"/>
    <cellStyle name="40% - Accent1 2 9 5" xfId="2135"/>
    <cellStyle name="40% - Accent1 2 9 5 2" xfId="24303"/>
    <cellStyle name="40% - Accent1 2 9 6" xfId="3634"/>
    <cellStyle name="40% - Accent1 2 9 6 2" xfId="25801"/>
    <cellStyle name="40% - Accent1 2 9 7" xfId="14332"/>
    <cellStyle name="40% - Accent1 2 9 7 2" xfId="30554"/>
    <cellStyle name="40% - Accent1 2 9 8" xfId="21307"/>
    <cellStyle name="40% - Accent1 2 9 8 2" xfId="37519"/>
    <cellStyle name="40% - Accent1 2 9 9" xfId="22805"/>
    <cellStyle name="40% - Accent1 3" xfId="401"/>
    <cellStyle name="40% - Accent1 3 10" xfId="5902"/>
    <cellStyle name="40% - Accent1 3 10 2" xfId="27207"/>
    <cellStyle name="40% - Accent1 3 11" xfId="21074"/>
    <cellStyle name="40% - Accent1 3 11 2" xfId="37286"/>
    <cellStyle name="40% - Accent1 3 12" xfId="22572"/>
    <cellStyle name="40% - Accent1 3 13" xfId="38974"/>
    <cellStyle name="40% - Accent1 3 2" xfId="453"/>
    <cellStyle name="40% - Accent1 3 2 10" xfId="21126"/>
    <cellStyle name="40% - Accent1 3 2 10 2" xfId="37338"/>
    <cellStyle name="40% - Accent1 3 2 11" xfId="22624"/>
    <cellStyle name="40% - Accent1 3 2 12" xfId="39016"/>
    <cellStyle name="40% - Accent1 3 2 2" xfId="571"/>
    <cellStyle name="40% - Accent1 3 2 2 10" xfId="39164"/>
    <cellStyle name="40% - Accent1 3 2 2 2" xfId="923"/>
    <cellStyle name="40% - Accent1 3 2 2 2 2" xfId="2422"/>
    <cellStyle name="40% - Accent1 3 2 2 2 2 2" xfId="10227"/>
    <cellStyle name="40% - Accent1 3 2 2 2 2 2 2" xfId="19848"/>
    <cellStyle name="40% - Accent1 3 2 2 2 2 2 2 2" xfId="36069"/>
    <cellStyle name="40% - Accent1 3 2 2 2 2 2 3" xfId="29381"/>
    <cellStyle name="40% - Accent1 3 2 2 2 2 3" xfId="17138"/>
    <cellStyle name="40% - Accent1 3 2 2 2 2 3 2" xfId="33359"/>
    <cellStyle name="40% - Accent1 3 2 2 2 2 4" xfId="18091"/>
    <cellStyle name="40% - Accent1 3 2 2 2 2 4 2" xfId="34312"/>
    <cellStyle name="40% - Accent1 3 2 2 2 2 5" xfId="5898"/>
    <cellStyle name="40% - Accent1 3 2 2 2 2 5 2" xfId="27203"/>
    <cellStyle name="40% - Accent1 3 2 2 2 2 6" xfId="24590"/>
    <cellStyle name="40% - Accent1 3 2 2 2 3" xfId="3921"/>
    <cellStyle name="40% - Accent1 3 2 2 2 3 2" xfId="19847"/>
    <cellStyle name="40% - Accent1 3 2 2 2 3 2 2" xfId="36068"/>
    <cellStyle name="40% - Accent1 3 2 2 2 3 3" xfId="10226"/>
    <cellStyle name="40% - Accent1 3 2 2 2 3 3 2" xfId="29380"/>
    <cellStyle name="40% - Accent1 3 2 2 2 3 4" xfId="26088"/>
    <cellStyle name="40% - Accent1 3 2 2 2 4" xfId="15553"/>
    <cellStyle name="40% - Accent1 3 2 2 2 4 2" xfId="31775"/>
    <cellStyle name="40% - Accent1 3 2 2 2 5" xfId="18090"/>
    <cellStyle name="40% - Accent1 3 2 2 2 5 2" xfId="34311"/>
    <cellStyle name="40% - Accent1 3 2 2 2 6" xfId="5899"/>
    <cellStyle name="40% - Accent1 3 2 2 2 6 2" xfId="27204"/>
    <cellStyle name="40% - Accent1 3 2 2 2 7" xfId="21594"/>
    <cellStyle name="40% - Accent1 3 2 2 2 7 2" xfId="37806"/>
    <cellStyle name="40% - Accent1 3 2 2 2 8" xfId="23092"/>
    <cellStyle name="40% - Accent1 3 2 2 3" xfId="1274"/>
    <cellStyle name="40% - Accent1 3 2 2 3 2" xfId="2773"/>
    <cellStyle name="40% - Accent1 3 2 2 3 2 2" xfId="19849"/>
    <cellStyle name="40% - Accent1 3 2 2 3 2 2 2" xfId="36070"/>
    <cellStyle name="40% - Accent1 3 2 2 3 2 3" xfId="10228"/>
    <cellStyle name="40% - Accent1 3 2 2 3 2 3 2" xfId="29382"/>
    <cellStyle name="40% - Accent1 3 2 2 3 2 4" xfId="24941"/>
    <cellStyle name="40% - Accent1 3 2 2 3 3" xfId="4272"/>
    <cellStyle name="40% - Accent1 3 2 2 3 3 2" xfId="16346"/>
    <cellStyle name="40% - Accent1 3 2 2 3 3 2 2" xfId="32567"/>
    <cellStyle name="40% - Accent1 3 2 2 3 3 3" xfId="26439"/>
    <cellStyle name="40% - Accent1 3 2 2 3 4" xfId="18092"/>
    <cellStyle name="40% - Accent1 3 2 2 3 4 2" xfId="34313"/>
    <cellStyle name="40% - Accent1 3 2 2 3 5" xfId="5897"/>
    <cellStyle name="40% - Accent1 3 2 2 3 5 2" xfId="27202"/>
    <cellStyle name="40% - Accent1 3 2 2 3 6" xfId="21945"/>
    <cellStyle name="40% - Accent1 3 2 2 3 6 2" xfId="38157"/>
    <cellStyle name="40% - Accent1 3 2 2 3 7" xfId="23443"/>
    <cellStyle name="40% - Accent1 3 2 2 4" xfId="1625"/>
    <cellStyle name="40% - Accent1 3 2 2 4 2" xfId="3124"/>
    <cellStyle name="40% - Accent1 3 2 2 4 2 2" xfId="19846"/>
    <cellStyle name="40% - Accent1 3 2 2 4 2 2 2" xfId="36067"/>
    <cellStyle name="40% - Accent1 3 2 2 4 2 3" xfId="25292"/>
    <cellStyle name="40% - Accent1 3 2 2 4 3" xfId="4623"/>
    <cellStyle name="40% - Accent1 3 2 2 4 3 2" xfId="26790"/>
    <cellStyle name="40% - Accent1 3 2 2 4 4" xfId="10225"/>
    <cellStyle name="40% - Accent1 3 2 2 4 4 2" xfId="29379"/>
    <cellStyle name="40% - Accent1 3 2 2 4 5" xfId="22296"/>
    <cellStyle name="40% - Accent1 3 2 2 4 5 2" xfId="38508"/>
    <cellStyle name="40% - Accent1 3 2 2 4 6" xfId="23794"/>
    <cellStyle name="40% - Accent1 3 2 2 5" xfId="2071"/>
    <cellStyle name="40% - Accent1 3 2 2 5 2" xfId="14761"/>
    <cellStyle name="40% - Accent1 3 2 2 5 2 2" xfId="30983"/>
    <cellStyle name="40% - Accent1 3 2 2 5 3" xfId="24239"/>
    <cellStyle name="40% - Accent1 3 2 2 6" xfId="3570"/>
    <cellStyle name="40% - Accent1 3 2 2 6 2" xfId="18089"/>
    <cellStyle name="40% - Accent1 3 2 2 6 2 2" xfId="34310"/>
    <cellStyle name="40% - Accent1 3 2 2 6 3" xfId="25737"/>
    <cellStyle name="40% - Accent1 3 2 2 7" xfId="5900"/>
    <cellStyle name="40% - Accent1 3 2 2 7 2" xfId="27205"/>
    <cellStyle name="40% - Accent1 3 2 2 8" xfId="21243"/>
    <cellStyle name="40% - Accent1 3 2 2 8 2" xfId="37455"/>
    <cellStyle name="40% - Accent1 3 2 2 9" xfId="22741"/>
    <cellStyle name="40% - Accent1 3 2 3" xfId="689"/>
    <cellStyle name="40% - Accent1 3 2 3 10" xfId="39312"/>
    <cellStyle name="40% - Accent1 3 2 3 2" xfId="1040"/>
    <cellStyle name="40% - Accent1 3 2 3 2 2" xfId="2539"/>
    <cellStyle name="40% - Accent1 3 2 3 2 2 2" xfId="10231"/>
    <cellStyle name="40% - Accent1 3 2 3 2 2 2 2" xfId="19852"/>
    <cellStyle name="40% - Accent1 3 2 3 2 2 2 2 2" xfId="36073"/>
    <cellStyle name="40% - Accent1 3 2 3 2 2 2 3" xfId="29385"/>
    <cellStyle name="40% - Accent1 3 2 3 2 2 3" xfId="17402"/>
    <cellStyle name="40% - Accent1 3 2 3 2 2 3 2" xfId="33623"/>
    <cellStyle name="40% - Accent1 3 2 3 2 2 4" xfId="18095"/>
    <cellStyle name="40% - Accent1 3 2 3 2 2 4 2" xfId="34316"/>
    <cellStyle name="40% - Accent1 3 2 3 2 2 5" xfId="5894"/>
    <cellStyle name="40% - Accent1 3 2 3 2 2 5 2" xfId="27199"/>
    <cellStyle name="40% - Accent1 3 2 3 2 2 6" xfId="24707"/>
    <cellStyle name="40% - Accent1 3 2 3 2 3" xfId="4038"/>
    <cellStyle name="40% - Accent1 3 2 3 2 3 2" xfId="19851"/>
    <cellStyle name="40% - Accent1 3 2 3 2 3 2 2" xfId="36072"/>
    <cellStyle name="40% - Accent1 3 2 3 2 3 3" xfId="10230"/>
    <cellStyle name="40% - Accent1 3 2 3 2 3 3 2" xfId="29384"/>
    <cellStyle name="40% - Accent1 3 2 3 2 3 4" xfId="26205"/>
    <cellStyle name="40% - Accent1 3 2 3 2 4" xfId="15817"/>
    <cellStyle name="40% - Accent1 3 2 3 2 4 2" xfId="32039"/>
    <cellStyle name="40% - Accent1 3 2 3 2 5" xfId="18094"/>
    <cellStyle name="40% - Accent1 3 2 3 2 5 2" xfId="34315"/>
    <cellStyle name="40% - Accent1 3 2 3 2 6" xfId="5895"/>
    <cellStyle name="40% - Accent1 3 2 3 2 6 2" xfId="27200"/>
    <cellStyle name="40% - Accent1 3 2 3 2 7" xfId="21711"/>
    <cellStyle name="40% - Accent1 3 2 3 2 7 2" xfId="37923"/>
    <cellStyle name="40% - Accent1 3 2 3 2 8" xfId="23209"/>
    <cellStyle name="40% - Accent1 3 2 3 3" xfId="1391"/>
    <cellStyle name="40% - Accent1 3 2 3 3 2" xfId="2890"/>
    <cellStyle name="40% - Accent1 3 2 3 3 2 2" xfId="19853"/>
    <cellStyle name="40% - Accent1 3 2 3 3 2 2 2" xfId="36074"/>
    <cellStyle name="40% - Accent1 3 2 3 3 2 3" xfId="10232"/>
    <cellStyle name="40% - Accent1 3 2 3 3 2 3 2" xfId="29386"/>
    <cellStyle name="40% - Accent1 3 2 3 3 2 4" xfId="25058"/>
    <cellStyle name="40% - Accent1 3 2 3 3 3" xfId="4389"/>
    <cellStyle name="40% - Accent1 3 2 3 3 3 2" xfId="16610"/>
    <cellStyle name="40% - Accent1 3 2 3 3 3 2 2" xfId="32831"/>
    <cellStyle name="40% - Accent1 3 2 3 3 3 3" xfId="26556"/>
    <cellStyle name="40% - Accent1 3 2 3 3 4" xfId="18096"/>
    <cellStyle name="40% - Accent1 3 2 3 3 4 2" xfId="34317"/>
    <cellStyle name="40% - Accent1 3 2 3 3 5" xfId="5893"/>
    <cellStyle name="40% - Accent1 3 2 3 3 5 2" xfId="27198"/>
    <cellStyle name="40% - Accent1 3 2 3 3 6" xfId="22062"/>
    <cellStyle name="40% - Accent1 3 2 3 3 6 2" xfId="38274"/>
    <cellStyle name="40% - Accent1 3 2 3 3 7" xfId="23560"/>
    <cellStyle name="40% - Accent1 3 2 3 4" xfId="1742"/>
    <cellStyle name="40% - Accent1 3 2 3 4 2" xfId="3241"/>
    <cellStyle name="40% - Accent1 3 2 3 4 2 2" xfId="19850"/>
    <cellStyle name="40% - Accent1 3 2 3 4 2 2 2" xfId="36071"/>
    <cellStyle name="40% - Accent1 3 2 3 4 2 3" xfId="25409"/>
    <cellStyle name="40% - Accent1 3 2 3 4 3" xfId="4740"/>
    <cellStyle name="40% - Accent1 3 2 3 4 3 2" xfId="26907"/>
    <cellStyle name="40% - Accent1 3 2 3 4 4" xfId="10229"/>
    <cellStyle name="40% - Accent1 3 2 3 4 4 2" xfId="29383"/>
    <cellStyle name="40% - Accent1 3 2 3 4 5" xfId="22413"/>
    <cellStyle name="40% - Accent1 3 2 3 4 5 2" xfId="38625"/>
    <cellStyle name="40% - Accent1 3 2 3 4 6" xfId="23911"/>
    <cellStyle name="40% - Accent1 3 2 3 5" xfId="2188"/>
    <cellStyle name="40% - Accent1 3 2 3 5 2" xfId="15025"/>
    <cellStyle name="40% - Accent1 3 2 3 5 2 2" xfId="31247"/>
    <cellStyle name="40% - Accent1 3 2 3 5 3" xfId="24356"/>
    <cellStyle name="40% - Accent1 3 2 3 6" xfId="3687"/>
    <cellStyle name="40% - Accent1 3 2 3 6 2" xfId="18093"/>
    <cellStyle name="40% - Accent1 3 2 3 6 2 2" xfId="34314"/>
    <cellStyle name="40% - Accent1 3 2 3 6 3" xfId="25854"/>
    <cellStyle name="40% - Accent1 3 2 3 7" xfId="5896"/>
    <cellStyle name="40% - Accent1 3 2 3 7 2" xfId="27201"/>
    <cellStyle name="40% - Accent1 3 2 3 8" xfId="21360"/>
    <cellStyle name="40% - Accent1 3 2 3 8 2" xfId="37572"/>
    <cellStyle name="40% - Accent1 3 2 3 9" xfId="22858"/>
    <cellStyle name="40% - Accent1 3 2 4" xfId="806"/>
    <cellStyle name="40% - Accent1 3 2 4 2" xfId="2305"/>
    <cellStyle name="40% - Accent1 3 2 4 2 2" xfId="10234"/>
    <cellStyle name="40% - Accent1 3 2 4 2 2 2" xfId="19855"/>
    <cellStyle name="40% - Accent1 3 2 4 2 2 2 2" xfId="36076"/>
    <cellStyle name="40% - Accent1 3 2 4 2 2 3" xfId="29388"/>
    <cellStyle name="40% - Accent1 3 2 4 2 3" xfId="16874"/>
    <cellStyle name="40% - Accent1 3 2 4 2 3 2" xfId="33095"/>
    <cellStyle name="40% - Accent1 3 2 4 2 4" xfId="18098"/>
    <cellStyle name="40% - Accent1 3 2 4 2 4 2" xfId="34319"/>
    <cellStyle name="40% - Accent1 3 2 4 2 5" xfId="5891"/>
    <cellStyle name="40% - Accent1 3 2 4 2 5 2" xfId="27196"/>
    <cellStyle name="40% - Accent1 3 2 4 2 6" xfId="24473"/>
    <cellStyle name="40% - Accent1 3 2 4 3" xfId="3804"/>
    <cellStyle name="40% - Accent1 3 2 4 3 2" xfId="19854"/>
    <cellStyle name="40% - Accent1 3 2 4 3 2 2" xfId="36075"/>
    <cellStyle name="40% - Accent1 3 2 4 3 3" xfId="10233"/>
    <cellStyle name="40% - Accent1 3 2 4 3 3 2" xfId="29387"/>
    <cellStyle name="40% - Accent1 3 2 4 3 4" xfId="25971"/>
    <cellStyle name="40% - Accent1 3 2 4 4" xfId="15289"/>
    <cellStyle name="40% - Accent1 3 2 4 4 2" xfId="31511"/>
    <cellStyle name="40% - Accent1 3 2 4 5" xfId="18097"/>
    <cellStyle name="40% - Accent1 3 2 4 5 2" xfId="34318"/>
    <cellStyle name="40% - Accent1 3 2 4 6" xfId="5892"/>
    <cellStyle name="40% - Accent1 3 2 4 6 2" xfId="27197"/>
    <cellStyle name="40% - Accent1 3 2 4 7" xfId="21477"/>
    <cellStyle name="40% - Accent1 3 2 4 7 2" xfId="37689"/>
    <cellStyle name="40% - Accent1 3 2 4 8" xfId="22975"/>
    <cellStyle name="40% - Accent1 3 2 4 9" xfId="39461"/>
    <cellStyle name="40% - Accent1 3 2 5" xfId="1157"/>
    <cellStyle name="40% - Accent1 3 2 5 2" xfId="2656"/>
    <cellStyle name="40% - Accent1 3 2 5 2 2" xfId="19856"/>
    <cellStyle name="40% - Accent1 3 2 5 2 2 2" xfId="36077"/>
    <cellStyle name="40% - Accent1 3 2 5 2 3" xfId="10235"/>
    <cellStyle name="40% - Accent1 3 2 5 2 3 2" xfId="29389"/>
    <cellStyle name="40% - Accent1 3 2 5 2 4" xfId="24824"/>
    <cellStyle name="40% - Accent1 3 2 5 3" xfId="4155"/>
    <cellStyle name="40% - Accent1 3 2 5 3 2" xfId="16082"/>
    <cellStyle name="40% - Accent1 3 2 5 3 2 2" xfId="32303"/>
    <cellStyle name="40% - Accent1 3 2 5 3 3" xfId="26322"/>
    <cellStyle name="40% - Accent1 3 2 5 4" xfId="18099"/>
    <cellStyle name="40% - Accent1 3 2 5 4 2" xfId="34320"/>
    <cellStyle name="40% - Accent1 3 2 5 5" xfId="5890"/>
    <cellStyle name="40% - Accent1 3 2 5 5 2" xfId="27195"/>
    <cellStyle name="40% - Accent1 3 2 5 6" xfId="21828"/>
    <cellStyle name="40% - Accent1 3 2 5 6 2" xfId="38040"/>
    <cellStyle name="40% - Accent1 3 2 5 7" xfId="23326"/>
    <cellStyle name="40% - Accent1 3 2 6" xfId="1508"/>
    <cellStyle name="40% - Accent1 3 2 6 2" xfId="3007"/>
    <cellStyle name="40% - Accent1 3 2 6 2 2" xfId="19845"/>
    <cellStyle name="40% - Accent1 3 2 6 2 2 2" xfId="36066"/>
    <cellStyle name="40% - Accent1 3 2 6 2 3" xfId="25175"/>
    <cellStyle name="40% - Accent1 3 2 6 3" xfId="4506"/>
    <cellStyle name="40% - Accent1 3 2 6 3 2" xfId="26673"/>
    <cellStyle name="40% - Accent1 3 2 6 4" xfId="10224"/>
    <cellStyle name="40% - Accent1 3 2 6 4 2" xfId="29378"/>
    <cellStyle name="40% - Accent1 3 2 6 5" xfId="22179"/>
    <cellStyle name="40% - Accent1 3 2 6 5 2" xfId="38391"/>
    <cellStyle name="40% - Accent1 3 2 6 6" xfId="23677"/>
    <cellStyle name="40% - Accent1 3 2 7" xfId="1954"/>
    <cellStyle name="40% - Accent1 3 2 7 2" xfId="14497"/>
    <cellStyle name="40% - Accent1 3 2 7 2 2" xfId="30719"/>
    <cellStyle name="40% - Accent1 3 2 7 3" xfId="24122"/>
    <cellStyle name="40% - Accent1 3 2 8" xfId="3453"/>
    <cellStyle name="40% - Accent1 3 2 8 2" xfId="18088"/>
    <cellStyle name="40% - Accent1 3 2 8 2 2" xfId="34309"/>
    <cellStyle name="40% - Accent1 3 2 8 3" xfId="25620"/>
    <cellStyle name="40% - Accent1 3 2 9" xfId="5901"/>
    <cellStyle name="40% - Accent1 3 2 9 2" xfId="27206"/>
    <cellStyle name="40% - Accent1 3 3" xfId="519"/>
    <cellStyle name="40% - Accent1 3 3 10" xfId="39108"/>
    <cellStyle name="40% - Accent1 3 3 2" xfId="871"/>
    <cellStyle name="40% - Accent1 3 3 2 2" xfId="2370"/>
    <cellStyle name="40% - Accent1 3 3 2 2 2" xfId="10238"/>
    <cellStyle name="40% - Accent1 3 3 2 2 2 2" xfId="19859"/>
    <cellStyle name="40% - Accent1 3 3 2 2 2 2 2" xfId="36080"/>
    <cellStyle name="40% - Accent1 3 3 2 2 2 3" xfId="29392"/>
    <cellStyle name="40% - Accent1 3 3 2 2 3" xfId="17006"/>
    <cellStyle name="40% - Accent1 3 3 2 2 3 2" xfId="33227"/>
    <cellStyle name="40% - Accent1 3 3 2 2 4" xfId="18102"/>
    <cellStyle name="40% - Accent1 3 3 2 2 4 2" xfId="34323"/>
    <cellStyle name="40% - Accent1 3 3 2 2 5" xfId="5887"/>
    <cellStyle name="40% - Accent1 3 3 2 2 5 2" xfId="27192"/>
    <cellStyle name="40% - Accent1 3 3 2 2 6" xfId="24538"/>
    <cellStyle name="40% - Accent1 3 3 2 3" xfId="3869"/>
    <cellStyle name="40% - Accent1 3 3 2 3 2" xfId="19858"/>
    <cellStyle name="40% - Accent1 3 3 2 3 2 2" xfId="36079"/>
    <cellStyle name="40% - Accent1 3 3 2 3 3" xfId="10237"/>
    <cellStyle name="40% - Accent1 3 3 2 3 3 2" xfId="29391"/>
    <cellStyle name="40% - Accent1 3 3 2 3 4" xfId="26036"/>
    <cellStyle name="40% - Accent1 3 3 2 4" xfId="15421"/>
    <cellStyle name="40% - Accent1 3 3 2 4 2" xfId="31643"/>
    <cellStyle name="40% - Accent1 3 3 2 5" xfId="18101"/>
    <cellStyle name="40% - Accent1 3 3 2 5 2" xfId="34322"/>
    <cellStyle name="40% - Accent1 3 3 2 6" xfId="5888"/>
    <cellStyle name="40% - Accent1 3 3 2 6 2" xfId="27193"/>
    <cellStyle name="40% - Accent1 3 3 2 7" xfId="21542"/>
    <cellStyle name="40% - Accent1 3 3 2 7 2" xfId="37754"/>
    <cellStyle name="40% - Accent1 3 3 2 8" xfId="23040"/>
    <cellStyle name="40% - Accent1 3 3 3" xfId="1222"/>
    <cellStyle name="40% - Accent1 3 3 3 2" xfId="2721"/>
    <cellStyle name="40% - Accent1 3 3 3 2 2" xfId="19860"/>
    <cellStyle name="40% - Accent1 3 3 3 2 2 2" xfId="36081"/>
    <cellStyle name="40% - Accent1 3 3 3 2 3" xfId="10239"/>
    <cellStyle name="40% - Accent1 3 3 3 2 3 2" xfId="29393"/>
    <cellStyle name="40% - Accent1 3 3 3 2 4" xfId="24889"/>
    <cellStyle name="40% - Accent1 3 3 3 3" xfId="4220"/>
    <cellStyle name="40% - Accent1 3 3 3 3 2" xfId="16214"/>
    <cellStyle name="40% - Accent1 3 3 3 3 2 2" xfId="32435"/>
    <cellStyle name="40% - Accent1 3 3 3 3 3" xfId="26387"/>
    <cellStyle name="40% - Accent1 3 3 3 4" xfId="18103"/>
    <cellStyle name="40% - Accent1 3 3 3 4 2" xfId="34324"/>
    <cellStyle name="40% - Accent1 3 3 3 5" xfId="5886"/>
    <cellStyle name="40% - Accent1 3 3 3 5 2" xfId="27191"/>
    <cellStyle name="40% - Accent1 3 3 3 6" xfId="21893"/>
    <cellStyle name="40% - Accent1 3 3 3 6 2" xfId="38105"/>
    <cellStyle name="40% - Accent1 3 3 3 7" xfId="23391"/>
    <cellStyle name="40% - Accent1 3 3 4" xfId="1573"/>
    <cellStyle name="40% - Accent1 3 3 4 2" xfId="3072"/>
    <cellStyle name="40% - Accent1 3 3 4 2 2" xfId="19857"/>
    <cellStyle name="40% - Accent1 3 3 4 2 2 2" xfId="36078"/>
    <cellStyle name="40% - Accent1 3 3 4 2 3" xfId="25240"/>
    <cellStyle name="40% - Accent1 3 3 4 3" xfId="4571"/>
    <cellStyle name="40% - Accent1 3 3 4 3 2" xfId="26738"/>
    <cellStyle name="40% - Accent1 3 3 4 4" xfId="10236"/>
    <cellStyle name="40% - Accent1 3 3 4 4 2" xfId="29390"/>
    <cellStyle name="40% - Accent1 3 3 4 5" xfId="22244"/>
    <cellStyle name="40% - Accent1 3 3 4 5 2" xfId="38456"/>
    <cellStyle name="40% - Accent1 3 3 4 6" xfId="23742"/>
    <cellStyle name="40% - Accent1 3 3 5" xfId="2019"/>
    <cellStyle name="40% - Accent1 3 3 5 2" xfId="14629"/>
    <cellStyle name="40% - Accent1 3 3 5 2 2" xfId="30851"/>
    <cellStyle name="40% - Accent1 3 3 5 3" xfId="24187"/>
    <cellStyle name="40% - Accent1 3 3 6" xfId="3518"/>
    <cellStyle name="40% - Accent1 3 3 6 2" xfId="18100"/>
    <cellStyle name="40% - Accent1 3 3 6 2 2" xfId="34321"/>
    <cellStyle name="40% - Accent1 3 3 6 3" xfId="25685"/>
    <cellStyle name="40% - Accent1 3 3 7" xfId="5889"/>
    <cellStyle name="40% - Accent1 3 3 7 2" xfId="27194"/>
    <cellStyle name="40% - Accent1 3 3 8" xfId="21191"/>
    <cellStyle name="40% - Accent1 3 3 8 2" xfId="37403"/>
    <cellStyle name="40% - Accent1 3 3 9" xfId="22689"/>
    <cellStyle name="40% - Accent1 3 4" xfId="637"/>
    <cellStyle name="40% - Accent1 3 4 10" xfId="39256"/>
    <cellStyle name="40% - Accent1 3 4 2" xfId="988"/>
    <cellStyle name="40% - Accent1 3 4 2 2" xfId="2487"/>
    <cellStyle name="40% - Accent1 3 4 2 2 2" xfId="10242"/>
    <cellStyle name="40% - Accent1 3 4 2 2 2 2" xfId="19863"/>
    <cellStyle name="40% - Accent1 3 4 2 2 2 2 2" xfId="36084"/>
    <cellStyle name="40% - Accent1 3 4 2 2 2 3" xfId="29396"/>
    <cellStyle name="40% - Accent1 3 4 2 2 3" xfId="17270"/>
    <cellStyle name="40% - Accent1 3 4 2 2 3 2" xfId="33491"/>
    <cellStyle name="40% - Accent1 3 4 2 2 4" xfId="18106"/>
    <cellStyle name="40% - Accent1 3 4 2 2 4 2" xfId="34327"/>
    <cellStyle name="40% - Accent1 3 4 2 2 5" xfId="5883"/>
    <cellStyle name="40% - Accent1 3 4 2 2 5 2" xfId="27188"/>
    <cellStyle name="40% - Accent1 3 4 2 2 6" xfId="24655"/>
    <cellStyle name="40% - Accent1 3 4 2 3" xfId="3986"/>
    <cellStyle name="40% - Accent1 3 4 2 3 2" xfId="19862"/>
    <cellStyle name="40% - Accent1 3 4 2 3 2 2" xfId="36083"/>
    <cellStyle name="40% - Accent1 3 4 2 3 3" xfId="10241"/>
    <cellStyle name="40% - Accent1 3 4 2 3 3 2" xfId="29395"/>
    <cellStyle name="40% - Accent1 3 4 2 3 4" xfId="26153"/>
    <cellStyle name="40% - Accent1 3 4 2 4" xfId="15685"/>
    <cellStyle name="40% - Accent1 3 4 2 4 2" xfId="31907"/>
    <cellStyle name="40% - Accent1 3 4 2 5" xfId="18105"/>
    <cellStyle name="40% - Accent1 3 4 2 5 2" xfId="34326"/>
    <cellStyle name="40% - Accent1 3 4 2 6" xfId="5884"/>
    <cellStyle name="40% - Accent1 3 4 2 6 2" xfId="27189"/>
    <cellStyle name="40% - Accent1 3 4 2 7" xfId="21659"/>
    <cellStyle name="40% - Accent1 3 4 2 7 2" xfId="37871"/>
    <cellStyle name="40% - Accent1 3 4 2 8" xfId="23157"/>
    <cellStyle name="40% - Accent1 3 4 3" xfId="1339"/>
    <cellStyle name="40% - Accent1 3 4 3 2" xfId="2838"/>
    <cellStyle name="40% - Accent1 3 4 3 2 2" xfId="19864"/>
    <cellStyle name="40% - Accent1 3 4 3 2 2 2" xfId="36085"/>
    <cellStyle name="40% - Accent1 3 4 3 2 3" xfId="10243"/>
    <cellStyle name="40% - Accent1 3 4 3 2 3 2" xfId="29397"/>
    <cellStyle name="40% - Accent1 3 4 3 2 4" xfId="25006"/>
    <cellStyle name="40% - Accent1 3 4 3 3" xfId="4337"/>
    <cellStyle name="40% - Accent1 3 4 3 3 2" xfId="16478"/>
    <cellStyle name="40% - Accent1 3 4 3 3 2 2" xfId="32699"/>
    <cellStyle name="40% - Accent1 3 4 3 3 3" xfId="26504"/>
    <cellStyle name="40% - Accent1 3 4 3 4" xfId="18107"/>
    <cellStyle name="40% - Accent1 3 4 3 4 2" xfId="34328"/>
    <cellStyle name="40% - Accent1 3 4 3 5" xfId="5882"/>
    <cellStyle name="40% - Accent1 3 4 3 5 2" xfId="27187"/>
    <cellStyle name="40% - Accent1 3 4 3 6" xfId="22010"/>
    <cellStyle name="40% - Accent1 3 4 3 6 2" xfId="38222"/>
    <cellStyle name="40% - Accent1 3 4 3 7" xfId="23508"/>
    <cellStyle name="40% - Accent1 3 4 4" xfId="1690"/>
    <cellStyle name="40% - Accent1 3 4 4 2" xfId="3189"/>
    <cellStyle name="40% - Accent1 3 4 4 2 2" xfId="19861"/>
    <cellStyle name="40% - Accent1 3 4 4 2 2 2" xfId="36082"/>
    <cellStyle name="40% - Accent1 3 4 4 2 3" xfId="25357"/>
    <cellStyle name="40% - Accent1 3 4 4 3" xfId="4688"/>
    <cellStyle name="40% - Accent1 3 4 4 3 2" xfId="26855"/>
    <cellStyle name="40% - Accent1 3 4 4 4" xfId="10240"/>
    <cellStyle name="40% - Accent1 3 4 4 4 2" xfId="29394"/>
    <cellStyle name="40% - Accent1 3 4 4 5" xfId="22361"/>
    <cellStyle name="40% - Accent1 3 4 4 5 2" xfId="38573"/>
    <cellStyle name="40% - Accent1 3 4 4 6" xfId="23859"/>
    <cellStyle name="40% - Accent1 3 4 5" xfId="2136"/>
    <cellStyle name="40% - Accent1 3 4 5 2" xfId="14893"/>
    <cellStyle name="40% - Accent1 3 4 5 2 2" xfId="31115"/>
    <cellStyle name="40% - Accent1 3 4 5 3" xfId="24304"/>
    <cellStyle name="40% - Accent1 3 4 6" xfId="3635"/>
    <cellStyle name="40% - Accent1 3 4 6 2" xfId="18104"/>
    <cellStyle name="40% - Accent1 3 4 6 2 2" xfId="34325"/>
    <cellStyle name="40% - Accent1 3 4 6 3" xfId="25802"/>
    <cellStyle name="40% - Accent1 3 4 7" xfId="5885"/>
    <cellStyle name="40% - Accent1 3 4 7 2" xfId="27190"/>
    <cellStyle name="40% - Accent1 3 4 8" xfId="21308"/>
    <cellStyle name="40% - Accent1 3 4 8 2" xfId="37520"/>
    <cellStyle name="40% - Accent1 3 4 9" xfId="22806"/>
    <cellStyle name="40% - Accent1 3 5" xfId="754"/>
    <cellStyle name="40% - Accent1 3 5 2" xfId="2253"/>
    <cellStyle name="40% - Accent1 3 5 2 2" xfId="10245"/>
    <cellStyle name="40% - Accent1 3 5 2 2 2" xfId="19866"/>
    <cellStyle name="40% - Accent1 3 5 2 2 2 2" xfId="36087"/>
    <cellStyle name="40% - Accent1 3 5 2 2 3" xfId="29399"/>
    <cellStyle name="40% - Accent1 3 5 2 3" xfId="16742"/>
    <cellStyle name="40% - Accent1 3 5 2 3 2" xfId="32963"/>
    <cellStyle name="40% - Accent1 3 5 2 4" xfId="18109"/>
    <cellStyle name="40% - Accent1 3 5 2 4 2" xfId="34330"/>
    <cellStyle name="40% - Accent1 3 5 2 5" xfId="5880"/>
    <cellStyle name="40% - Accent1 3 5 2 5 2" xfId="27185"/>
    <cellStyle name="40% - Accent1 3 5 2 6" xfId="24421"/>
    <cellStyle name="40% - Accent1 3 5 3" xfId="3752"/>
    <cellStyle name="40% - Accent1 3 5 3 2" xfId="19865"/>
    <cellStyle name="40% - Accent1 3 5 3 2 2" xfId="36086"/>
    <cellStyle name="40% - Accent1 3 5 3 3" xfId="10244"/>
    <cellStyle name="40% - Accent1 3 5 3 3 2" xfId="29398"/>
    <cellStyle name="40% - Accent1 3 5 3 4" xfId="25919"/>
    <cellStyle name="40% - Accent1 3 5 4" xfId="15157"/>
    <cellStyle name="40% - Accent1 3 5 4 2" xfId="31379"/>
    <cellStyle name="40% - Accent1 3 5 5" xfId="18108"/>
    <cellStyle name="40% - Accent1 3 5 5 2" xfId="34329"/>
    <cellStyle name="40% - Accent1 3 5 6" xfId="5881"/>
    <cellStyle name="40% - Accent1 3 5 6 2" xfId="27186"/>
    <cellStyle name="40% - Accent1 3 5 7" xfId="21425"/>
    <cellStyle name="40% - Accent1 3 5 7 2" xfId="37637"/>
    <cellStyle name="40% - Accent1 3 5 8" xfId="22923"/>
    <cellStyle name="40% - Accent1 3 5 9" xfId="39405"/>
    <cellStyle name="40% - Accent1 3 6" xfId="1105"/>
    <cellStyle name="40% - Accent1 3 6 2" xfId="2604"/>
    <cellStyle name="40% - Accent1 3 6 2 2" xfId="19867"/>
    <cellStyle name="40% - Accent1 3 6 2 2 2" xfId="36088"/>
    <cellStyle name="40% - Accent1 3 6 2 3" xfId="10246"/>
    <cellStyle name="40% - Accent1 3 6 2 3 2" xfId="29400"/>
    <cellStyle name="40% - Accent1 3 6 2 4" xfId="24772"/>
    <cellStyle name="40% - Accent1 3 6 3" xfId="4103"/>
    <cellStyle name="40% - Accent1 3 6 3 2" xfId="15950"/>
    <cellStyle name="40% - Accent1 3 6 3 2 2" xfId="32171"/>
    <cellStyle name="40% - Accent1 3 6 3 3" xfId="26270"/>
    <cellStyle name="40% - Accent1 3 6 4" xfId="18110"/>
    <cellStyle name="40% - Accent1 3 6 4 2" xfId="34331"/>
    <cellStyle name="40% - Accent1 3 6 5" xfId="5879"/>
    <cellStyle name="40% - Accent1 3 6 5 2" xfId="27184"/>
    <cellStyle name="40% - Accent1 3 6 6" xfId="21776"/>
    <cellStyle name="40% - Accent1 3 6 6 2" xfId="37988"/>
    <cellStyle name="40% - Accent1 3 6 7" xfId="23274"/>
    <cellStyle name="40% - Accent1 3 7" xfId="1456"/>
    <cellStyle name="40% - Accent1 3 7 2" xfId="2955"/>
    <cellStyle name="40% - Accent1 3 7 2 2" xfId="19844"/>
    <cellStyle name="40% - Accent1 3 7 2 2 2" xfId="36065"/>
    <cellStyle name="40% - Accent1 3 7 2 3" xfId="25123"/>
    <cellStyle name="40% - Accent1 3 7 3" xfId="4454"/>
    <cellStyle name="40% - Accent1 3 7 3 2" xfId="26621"/>
    <cellStyle name="40% - Accent1 3 7 4" xfId="10223"/>
    <cellStyle name="40% - Accent1 3 7 4 2" xfId="29377"/>
    <cellStyle name="40% - Accent1 3 7 5" xfId="22127"/>
    <cellStyle name="40% - Accent1 3 7 5 2" xfId="38339"/>
    <cellStyle name="40% - Accent1 3 7 6" xfId="23625"/>
    <cellStyle name="40% - Accent1 3 8" xfId="1902"/>
    <cellStyle name="40% - Accent1 3 8 2" xfId="14365"/>
    <cellStyle name="40% - Accent1 3 8 2 2" xfId="30587"/>
    <cellStyle name="40% - Accent1 3 8 3" xfId="24070"/>
    <cellStyle name="40% - Accent1 3 9" xfId="3401"/>
    <cellStyle name="40% - Accent1 3 9 2" xfId="18087"/>
    <cellStyle name="40% - Accent1 3 9 2 2" xfId="34308"/>
    <cellStyle name="40% - Accent1 3 9 3" xfId="25568"/>
    <cellStyle name="40% - Accent1 4" xfId="413"/>
    <cellStyle name="40% - Accent1 4 10" xfId="21086"/>
    <cellStyle name="40% - Accent1 4 10 2" xfId="37298"/>
    <cellStyle name="40% - Accent1 4 11" xfId="22584"/>
    <cellStyle name="40% - Accent1 4 12" xfId="38987"/>
    <cellStyle name="40% - Accent1 4 2" xfId="531"/>
    <cellStyle name="40% - Accent1 4 2 10" xfId="39029"/>
    <cellStyle name="40% - Accent1 4 2 2" xfId="883"/>
    <cellStyle name="40% - Accent1 4 2 2 2" xfId="2382"/>
    <cellStyle name="40% - Accent1 4 2 2 2 2" xfId="10250"/>
    <cellStyle name="40% - Accent1 4 2 2 2 2 2" xfId="19871"/>
    <cellStyle name="40% - Accent1 4 2 2 2 2 2 2" xfId="36092"/>
    <cellStyle name="40% - Accent1 4 2 2 2 2 3" xfId="29404"/>
    <cellStyle name="40% - Accent1 4 2 2 2 3" xfId="17072"/>
    <cellStyle name="40% - Accent1 4 2 2 2 3 2" xfId="33293"/>
    <cellStyle name="40% - Accent1 4 2 2 2 4" xfId="18114"/>
    <cellStyle name="40% - Accent1 4 2 2 2 4 2" xfId="34335"/>
    <cellStyle name="40% - Accent1 4 2 2 2 5" xfId="5875"/>
    <cellStyle name="40% - Accent1 4 2 2 2 5 2" xfId="27180"/>
    <cellStyle name="40% - Accent1 4 2 2 2 6" xfId="24550"/>
    <cellStyle name="40% - Accent1 4 2 2 3" xfId="3881"/>
    <cellStyle name="40% - Accent1 4 2 2 3 2" xfId="19870"/>
    <cellStyle name="40% - Accent1 4 2 2 3 2 2" xfId="36091"/>
    <cellStyle name="40% - Accent1 4 2 2 3 3" xfId="10249"/>
    <cellStyle name="40% - Accent1 4 2 2 3 3 2" xfId="29403"/>
    <cellStyle name="40% - Accent1 4 2 2 3 4" xfId="26048"/>
    <cellStyle name="40% - Accent1 4 2 2 4" xfId="15487"/>
    <cellStyle name="40% - Accent1 4 2 2 4 2" xfId="31709"/>
    <cellStyle name="40% - Accent1 4 2 2 5" xfId="18113"/>
    <cellStyle name="40% - Accent1 4 2 2 5 2" xfId="34334"/>
    <cellStyle name="40% - Accent1 4 2 2 6" xfId="5876"/>
    <cellStyle name="40% - Accent1 4 2 2 6 2" xfId="27181"/>
    <cellStyle name="40% - Accent1 4 2 2 7" xfId="21554"/>
    <cellStyle name="40% - Accent1 4 2 2 7 2" xfId="37766"/>
    <cellStyle name="40% - Accent1 4 2 2 8" xfId="23052"/>
    <cellStyle name="40% - Accent1 4 2 2 9" xfId="39177"/>
    <cellStyle name="40% - Accent1 4 2 3" xfId="1234"/>
    <cellStyle name="40% - Accent1 4 2 3 2" xfId="2733"/>
    <cellStyle name="40% - Accent1 4 2 3 2 2" xfId="19872"/>
    <cellStyle name="40% - Accent1 4 2 3 2 2 2" xfId="36093"/>
    <cellStyle name="40% - Accent1 4 2 3 2 3" xfId="10251"/>
    <cellStyle name="40% - Accent1 4 2 3 2 3 2" xfId="29405"/>
    <cellStyle name="40% - Accent1 4 2 3 2 4" xfId="24901"/>
    <cellStyle name="40% - Accent1 4 2 3 3" xfId="4232"/>
    <cellStyle name="40% - Accent1 4 2 3 3 2" xfId="16280"/>
    <cellStyle name="40% - Accent1 4 2 3 3 2 2" xfId="32501"/>
    <cellStyle name="40% - Accent1 4 2 3 3 3" xfId="26399"/>
    <cellStyle name="40% - Accent1 4 2 3 4" xfId="18115"/>
    <cellStyle name="40% - Accent1 4 2 3 4 2" xfId="34336"/>
    <cellStyle name="40% - Accent1 4 2 3 5" xfId="5874"/>
    <cellStyle name="40% - Accent1 4 2 3 5 2" xfId="27179"/>
    <cellStyle name="40% - Accent1 4 2 3 6" xfId="21905"/>
    <cellStyle name="40% - Accent1 4 2 3 6 2" xfId="38117"/>
    <cellStyle name="40% - Accent1 4 2 3 7" xfId="23403"/>
    <cellStyle name="40% - Accent1 4 2 3 8" xfId="39325"/>
    <cellStyle name="40% - Accent1 4 2 4" xfId="1585"/>
    <cellStyle name="40% - Accent1 4 2 4 2" xfId="3084"/>
    <cellStyle name="40% - Accent1 4 2 4 2 2" xfId="19869"/>
    <cellStyle name="40% - Accent1 4 2 4 2 2 2" xfId="36090"/>
    <cellStyle name="40% - Accent1 4 2 4 2 3" xfId="25252"/>
    <cellStyle name="40% - Accent1 4 2 4 3" xfId="4583"/>
    <cellStyle name="40% - Accent1 4 2 4 3 2" xfId="26750"/>
    <cellStyle name="40% - Accent1 4 2 4 4" xfId="10248"/>
    <cellStyle name="40% - Accent1 4 2 4 4 2" xfId="29402"/>
    <cellStyle name="40% - Accent1 4 2 4 5" xfId="22256"/>
    <cellStyle name="40% - Accent1 4 2 4 5 2" xfId="38468"/>
    <cellStyle name="40% - Accent1 4 2 4 6" xfId="23754"/>
    <cellStyle name="40% - Accent1 4 2 4 7" xfId="39474"/>
    <cellStyle name="40% - Accent1 4 2 5" xfId="2031"/>
    <cellStyle name="40% - Accent1 4 2 5 2" xfId="14695"/>
    <cellStyle name="40% - Accent1 4 2 5 2 2" xfId="30917"/>
    <cellStyle name="40% - Accent1 4 2 5 3" xfId="24199"/>
    <cellStyle name="40% - Accent1 4 2 6" xfId="3530"/>
    <cellStyle name="40% - Accent1 4 2 6 2" xfId="18112"/>
    <cellStyle name="40% - Accent1 4 2 6 2 2" xfId="34333"/>
    <cellStyle name="40% - Accent1 4 2 6 3" xfId="25697"/>
    <cellStyle name="40% - Accent1 4 2 7" xfId="5877"/>
    <cellStyle name="40% - Accent1 4 2 7 2" xfId="27182"/>
    <cellStyle name="40% - Accent1 4 2 8" xfId="21203"/>
    <cellStyle name="40% - Accent1 4 2 8 2" xfId="37415"/>
    <cellStyle name="40% - Accent1 4 2 9" xfId="22701"/>
    <cellStyle name="40% - Accent1 4 3" xfId="649"/>
    <cellStyle name="40% - Accent1 4 3 10" xfId="39121"/>
    <cellStyle name="40% - Accent1 4 3 2" xfId="1000"/>
    <cellStyle name="40% - Accent1 4 3 2 2" xfId="2499"/>
    <cellStyle name="40% - Accent1 4 3 2 2 2" xfId="10254"/>
    <cellStyle name="40% - Accent1 4 3 2 2 2 2" xfId="19875"/>
    <cellStyle name="40% - Accent1 4 3 2 2 2 2 2" xfId="36096"/>
    <cellStyle name="40% - Accent1 4 3 2 2 2 3" xfId="29408"/>
    <cellStyle name="40% - Accent1 4 3 2 2 3" xfId="17336"/>
    <cellStyle name="40% - Accent1 4 3 2 2 3 2" xfId="33557"/>
    <cellStyle name="40% - Accent1 4 3 2 2 4" xfId="18118"/>
    <cellStyle name="40% - Accent1 4 3 2 2 4 2" xfId="34339"/>
    <cellStyle name="40% - Accent1 4 3 2 2 5" xfId="5871"/>
    <cellStyle name="40% - Accent1 4 3 2 2 5 2" xfId="27176"/>
    <cellStyle name="40% - Accent1 4 3 2 2 6" xfId="24667"/>
    <cellStyle name="40% - Accent1 4 3 2 3" xfId="3998"/>
    <cellStyle name="40% - Accent1 4 3 2 3 2" xfId="19874"/>
    <cellStyle name="40% - Accent1 4 3 2 3 2 2" xfId="36095"/>
    <cellStyle name="40% - Accent1 4 3 2 3 3" xfId="10253"/>
    <cellStyle name="40% - Accent1 4 3 2 3 3 2" xfId="29407"/>
    <cellStyle name="40% - Accent1 4 3 2 3 4" xfId="26165"/>
    <cellStyle name="40% - Accent1 4 3 2 4" xfId="15751"/>
    <cellStyle name="40% - Accent1 4 3 2 4 2" xfId="31973"/>
    <cellStyle name="40% - Accent1 4 3 2 5" xfId="18117"/>
    <cellStyle name="40% - Accent1 4 3 2 5 2" xfId="34338"/>
    <cellStyle name="40% - Accent1 4 3 2 6" xfId="5872"/>
    <cellStyle name="40% - Accent1 4 3 2 6 2" xfId="27177"/>
    <cellStyle name="40% - Accent1 4 3 2 7" xfId="21671"/>
    <cellStyle name="40% - Accent1 4 3 2 7 2" xfId="37883"/>
    <cellStyle name="40% - Accent1 4 3 2 8" xfId="23169"/>
    <cellStyle name="40% - Accent1 4 3 3" xfId="1351"/>
    <cellStyle name="40% - Accent1 4 3 3 2" xfId="2850"/>
    <cellStyle name="40% - Accent1 4 3 3 2 2" xfId="19876"/>
    <cellStyle name="40% - Accent1 4 3 3 2 2 2" xfId="36097"/>
    <cellStyle name="40% - Accent1 4 3 3 2 3" xfId="10255"/>
    <cellStyle name="40% - Accent1 4 3 3 2 3 2" xfId="29409"/>
    <cellStyle name="40% - Accent1 4 3 3 2 4" xfId="25018"/>
    <cellStyle name="40% - Accent1 4 3 3 3" xfId="4349"/>
    <cellStyle name="40% - Accent1 4 3 3 3 2" xfId="16544"/>
    <cellStyle name="40% - Accent1 4 3 3 3 2 2" xfId="32765"/>
    <cellStyle name="40% - Accent1 4 3 3 3 3" xfId="26516"/>
    <cellStyle name="40% - Accent1 4 3 3 4" xfId="18119"/>
    <cellStyle name="40% - Accent1 4 3 3 4 2" xfId="34340"/>
    <cellStyle name="40% - Accent1 4 3 3 5" xfId="5870"/>
    <cellStyle name="40% - Accent1 4 3 3 5 2" xfId="27175"/>
    <cellStyle name="40% - Accent1 4 3 3 6" xfId="22022"/>
    <cellStyle name="40% - Accent1 4 3 3 6 2" xfId="38234"/>
    <cellStyle name="40% - Accent1 4 3 3 7" xfId="23520"/>
    <cellStyle name="40% - Accent1 4 3 4" xfId="1702"/>
    <cellStyle name="40% - Accent1 4 3 4 2" xfId="3201"/>
    <cellStyle name="40% - Accent1 4 3 4 2 2" xfId="19873"/>
    <cellStyle name="40% - Accent1 4 3 4 2 2 2" xfId="36094"/>
    <cellStyle name="40% - Accent1 4 3 4 2 3" xfId="25369"/>
    <cellStyle name="40% - Accent1 4 3 4 3" xfId="4700"/>
    <cellStyle name="40% - Accent1 4 3 4 3 2" xfId="26867"/>
    <cellStyle name="40% - Accent1 4 3 4 4" xfId="10252"/>
    <cellStyle name="40% - Accent1 4 3 4 4 2" xfId="29406"/>
    <cellStyle name="40% - Accent1 4 3 4 5" xfId="22373"/>
    <cellStyle name="40% - Accent1 4 3 4 5 2" xfId="38585"/>
    <cellStyle name="40% - Accent1 4 3 4 6" xfId="23871"/>
    <cellStyle name="40% - Accent1 4 3 5" xfId="2148"/>
    <cellStyle name="40% - Accent1 4 3 5 2" xfId="14959"/>
    <cellStyle name="40% - Accent1 4 3 5 2 2" xfId="31181"/>
    <cellStyle name="40% - Accent1 4 3 5 3" xfId="24316"/>
    <cellStyle name="40% - Accent1 4 3 6" xfId="3647"/>
    <cellStyle name="40% - Accent1 4 3 6 2" xfId="18116"/>
    <cellStyle name="40% - Accent1 4 3 6 2 2" xfId="34337"/>
    <cellStyle name="40% - Accent1 4 3 6 3" xfId="25814"/>
    <cellStyle name="40% - Accent1 4 3 7" xfId="5873"/>
    <cellStyle name="40% - Accent1 4 3 7 2" xfId="27178"/>
    <cellStyle name="40% - Accent1 4 3 8" xfId="21320"/>
    <cellStyle name="40% - Accent1 4 3 8 2" xfId="37532"/>
    <cellStyle name="40% - Accent1 4 3 9" xfId="22818"/>
    <cellStyle name="40% - Accent1 4 4" xfId="766"/>
    <cellStyle name="40% - Accent1 4 4 2" xfId="2265"/>
    <cellStyle name="40% - Accent1 4 4 2 2" xfId="10257"/>
    <cellStyle name="40% - Accent1 4 4 2 2 2" xfId="19878"/>
    <cellStyle name="40% - Accent1 4 4 2 2 2 2" xfId="36099"/>
    <cellStyle name="40% - Accent1 4 4 2 2 3" xfId="29411"/>
    <cellStyle name="40% - Accent1 4 4 2 3" xfId="16808"/>
    <cellStyle name="40% - Accent1 4 4 2 3 2" xfId="33029"/>
    <cellStyle name="40% - Accent1 4 4 2 4" xfId="18121"/>
    <cellStyle name="40% - Accent1 4 4 2 4 2" xfId="34342"/>
    <cellStyle name="40% - Accent1 4 4 2 5" xfId="5869"/>
    <cellStyle name="40% - Accent1 4 4 2 5 2" xfId="27174"/>
    <cellStyle name="40% - Accent1 4 4 2 6" xfId="24433"/>
    <cellStyle name="40% - Accent1 4 4 3" xfId="3764"/>
    <cellStyle name="40% - Accent1 4 4 3 2" xfId="19877"/>
    <cellStyle name="40% - Accent1 4 4 3 2 2" xfId="36098"/>
    <cellStyle name="40% - Accent1 4 4 3 3" xfId="10256"/>
    <cellStyle name="40% - Accent1 4 4 3 3 2" xfId="29410"/>
    <cellStyle name="40% - Accent1 4 4 3 4" xfId="25931"/>
    <cellStyle name="40% - Accent1 4 4 4" xfId="15223"/>
    <cellStyle name="40% - Accent1 4 4 4 2" xfId="31445"/>
    <cellStyle name="40% - Accent1 4 4 5" xfId="18120"/>
    <cellStyle name="40% - Accent1 4 4 5 2" xfId="34341"/>
    <cellStyle name="40% - Accent1 4 4 6" xfId="5740"/>
    <cellStyle name="40% - Accent1 4 4 6 2" xfId="27045"/>
    <cellStyle name="40% - Accent1 4 4 7" xfId="21437"/>
    <cellStyle name="40% - Accent1 4 4 7 2" xfId="37649"/>
    <cellStyle name="40% - Accent1 4 4 8" xfId="22935"/>
    <cellStyle name="40% - Accent1 4 4 9" xfId="39269"/>
    <cellStyle name="40% - Accent1 4 5" xfId="1117"/>
    <cellStyle name="40% - Accent1 4 5 2" xfId="2616"/>
    <cellStyle name="40% - Accent1 4 5 2 2" xfId="19879"/>
    <cellStyle name="40% - Accent1 4 5 2 2 2" xfId="36100"/>
    <cellStyle name="40% - Accent1 4 5 2 3" xfId="10258"/>
    <cellStyle name="40% - Accent1 4 5 2 3 2" xfId="29412"/>
    <cellStyle name="40% - Accent1 4 5 2 4" xfId="24784"/>
    <cellStyle name="40% - Accent1 4 5 3" xfId="4115"/>
    <cellStyle name="40% - Accent1 4 5 3 2" xfId="16016"/>
    <cellStyle name="40% - Accent1 4 5 3 2 2" xfId="32237"/>
    <cellStyle name="40% - Accent1 4 5 3 3" xfId="26282"/>
    <cellStyle name="40% - Accent1 4 5 4" xfId="18122"/>
    <cellStyle name="40% - Accent1 4 5 4 2" xfId="34343"/>
    <cellStyle name="40% - Accent1 4 5 5" xfId="5868"/>
    <cellStyle name="40% - Accent1 4 5 5 2" xfId="27173"/>
    <cellStyle name="40% - Accent1 4 5 6" xfId="21788"/>
    <cellStyle name="40% - Accent1 4 5 6 2" xfId="38000"/>
    <cellStyle name="40% - Accent1 4 5 7" xfId="23286"/>
    <cellStyle name="40% - Accent1 4 5 8" xfId="39418"/>
    <cellStyle name="40% - Accent1 4 6" xfId="1468"/>
    <cellStyle name="40% - Accent1 4 6 2" xfId="2967"/>
    <cellStyle name="40% - Accent1 4 6 2 2" xfId="19868"/>
    <cellStyle name="40% - Accent1 4 6 2 2 2" xfId="36089"/>
    <cellStyle name="40% - Accent1 4 6 2 3" xfId="25135"/>
    <cellStyle name="40% - Accent1 4 6 3" xfId="4466"/>
    <cellStyle name="40% - Accent1 4 6 3 2" xfId="26633"/>
    <cellStyle name="40% - Accent1 4 6 4" xfId="10247"/>
    <cellStyle name="40% - Accent1 4 6 4 2" xfId="29401"/>
    <cellStyle name="40% - Accent1 4 6 5" xfId="22139"/>
    <cellStyle name="40% - Accent1 4 6 5 2" xfId="38351"/>
    <cellStyle name="40% - Accent1 4 6 6" xfId="23637"/>
    <cellStyle name="40% - Accent1 4 7" xfId="1914"/>
    <cellStyle name="40% - Accent1 4 7 2" xfId="14431"/>
    <cellStyle name="40% - Accent1 4 7 2 2" xfId="30653"/>
    <cellStyle name="40% - Accent1 4 7 3" xfId="24082"/>
    <cellStyle name="40% - Accent1 4 8" xfId="3413"/>
    <cellStyle name="40% - Accent1 4 8 2" xfId="18111"/>
    <cellStyle name="40% - Accent1 4 8 2 2" xfId="34332"/>
    <cellStyle name="40% - Accent1 4 8 3" xfId="25580"/>
    <cellStyle name="40% - Accent1 4 9" xfId="5878"/>
    <cellStyle name="40% - Accent1 4 9 2" xfId="27183"/>
    <cellStyle name="40% - Accent1 5" xfId="425"/>
    <cellStyle name="40% - Accent1 5 10" xfId="21098"/>
    <cellStyle name="40% - Accent1 5 10 2" xfId="37310"/>
    <cellStyle name="40% - Accent1 5 11" xfId="22596"/>
    <cellStyle name="40% - Accent1 5 12" xfId="39004"/>
    <cellStyle name="40% - Accent1 5 2" xfId="543"/>
    <cellStyle name="40% - Accent1 5 2 10" xfId="39138"/>
    <cellStyle name="40% - Accent1 5 2 2" xfId="895"/>
    <cellStyle name="40% - Accent1 5 2 2 2" xfId="2394"/>
    <cellStyle name="40% - Accent1 5 2 2 2 2" xfId="19882"/>
    <cellStyle name="40% - Accent1 5 2 2 2 2 2" xfId="36103"/>
    <cellStyle name="40% - Accent1 5 2 2 2 3" xfId="10261"/>
    <cellStyle name="40% - Accent1 5 2 2 2 3 2" xfId="29415"/>
    <cellStyle name="40% - Accent1 5 2 2 2 4" xfId="24562"/>
    <cellStyle name="40% - Accent1 5 2 2 3" xfId="3893"/>
    <cellStyle name="40% - Accent1 5 2 2 3 2" xfId="16940"/>
    <cellStyle name="40% - Accent1 5 2 2 3 2 2" xfId="33161"/>
    <cellStyle name="40% - Accent1 5 2 2 3 3" xfId="26060"/>
    <cellStyle name="40% - Accent1 5 2 2 4" xfId="18125"/>
    <cellStyle name="40% - Accent1 5 2 2 4 2" xfId="34346"/>
    <cellStyle name="40% - Accent1 5 2 2 5" xfId="5865"/>
    <cellStyle name="40% - Accent1 5 2 2 5 2" xfId="27170"/>
    <cellStyle name="40% - Accent1 5 2 2 6" xfId="21566"/>
    <cellStyle name="40% - Accent1 5 2 2 6 2" xfId="37778"/>
    <cellStyle name="40% - Accent1 5 2 2 7" xfId="23064"/>
    <cellStyle name="40% - Accent1 5 2 3" xfId="1246"/>
    <cellStyle name="40% - Accent1 5 2 3 2" xfId="2745"/>
    <cellStyle name="40% - Accent1 5 2 3 2 2" xfId="19881"/>
    <cellStyle name="40% - Accent1 5 2 3 2 2 2" xfId="36102"/>
    <cellStyle name="40% - Accent1 5 2 3 2 3" xfId="24913"/>
    <cellStyle name="40% - Accent1 5 2 3 3" xfId="4244"/>
    <cellStyle name="40% - Accent1 5 2 3 3 2" xfId="26411"/>
    <cellStyle name="40% - Accent1 5 2 3 4" xfId="10260"/>
    <cellStyle name="40% - Accent1 5 2 3 4 2" xfId="29414"/>
    <cellStyle name="40% - Accent1 5 2 3 5" xfId="21917"/>
    <cellStyle name="40% - Accent1 5 2 3 5 2" xfId="38129"/>
    <cellStyle name="40% - Accent1 5 2 3 6" xfId="23415"/>
    <cellStyle name="40% - Accent1 5 2 4" xfId="1597"/>
    <cellStyle name="40% - Accent1 5 2 4 2" xfId="3096"/>
    <cellStyle name="40% - Accent1 5 2 4 2 2" xfId="25264"/>
    <cellStyle name="40% - Accent1 5 2 4 3" xfId="4595"/>
    <cellStyle name="40% - Accent1 5 2 4 3 2" xfId="26762"/>
    <cellStyle name="40% - Accent1 5 2 4 4" xfId="15355"/>
    <cellStyle name="40% - Accent1 5 2 4 4 2" xfId="31577"/>
    <cellStyle name="40% - Accent1 5 2 4 5" xfId="22268"/>
    <cellStyle name="40% - Accent1 5 2 4 5 2" xfId="38480"/>
    <cellStyle name="40% - Accent1 5 2 4 6" xfId="23766"/>
    <cellStyle name="40% - Accent1 5 2 5" xfId="2043"/>
    <cellStyle name="40% - Accent1 5 2 5 2" xfId="18124"/>
    <cellStyle name="40% - Accent1 5 2 5 2 2" xfId="34345"/>
    <cellStyle name="40% - Accent1 5 2 5 3" xfId="24211"/>
    <cellStyle name="40% - Accent1 5 2 6" xfId="3542"/>
    <cellStyle name="40% - Accent1 5 2 6 2" xfId="25709"/>
    <cellStyle name="40% - Accent1 5 2 7" xfId="5866"/>
    <cellStyle name="40% - Accent1 5 2 7 2" xfId="27171"/>
    <cellStyle name="40% - Accent1 5 2 8" xfId="21215"/>
    <cellStyle name="40% - Accent1 5 2 8 2" xfId="37427"/>
    <cellStyle name="40% - Accent1 5 2 9" xfId="22713"/>
    <cellStyle name="40% - Accent1 5 3" xfId="661"/>
    <cellStyle name="40% - Accent1 5 3 10" xfId="39286"/>
    <cellStyle name="40% - Accent1 5 3 2" xfId="1012"/>
    <cellStyle name="40% - Accent1 5 3 2 2" xfId="2511"/>
    <cellStyle name="40% - Accent1 5 3 2 2 2" xfId="19883"/>
    <cellStyle name="40% - Accent1 5 3 2 2 2 2" xfId="36104"/>
    <cellStyle name="40% - Accent1 5 3 2 2 3" xfId="24679"/>
    <cellStyle name="40% - Accent1 5 3 2 3" xfId="4010"/>
    <cellStyle name="40% - Accent1 5 3 2 3 2" xfId="26177"/>
    <cellStyle name="40% - Accent1 5 3 2 4" xfId="10262"/>
    <cellStyle name="40% - Accent1 5 3 2 4 2" xfId="29416"/>
    <cellStyle name="40% - Accent1 5 3 2 5" xfId="21683"/>
    <cellStyle name="40% - Accent1 5 3 2 5 2" xfId="37895"/>
    <cellStyle name="40% - Accent1 5 3 2 6" xfId="23181"/>
    <cellStyle name="40% - Accent1 5 3 3" xfId="1363"/>
    <cellStyle name="40% - Accent1 5 3 3 2" xfId="2862"/>
    <cellStyle name="40% - Accent1 5 3 3 2 2" xfId="25030"/>
    <cellStyle name="40% - Accent1 5 3 3 3" xfId="4361"/>
    <cellStyle name="40% - Accent1 5 3 3 3 2" xfId="26528"/>
    <cellStyle name="40% - Accent1 5 3 3 4" xfId="16148"/>
    <cellStyle name="40% - Accent1 5 3 3 4 2" xfId="32369"/>
    <cellStyle name="40% - Accent1 5 3 3 5" xfId="22034"/>
    <cellStyle name="40% - Accent1 5 3 3 5 2" xfId="38246"/>
    <cellStyle name="40% - Accent1 5 3 3 6" xfId="23532"/>
    <cellStyle name="40% - Accent1 5 3 4" xfId="1714"/>
    <cellStyle name="40% - Accent1 5 3 4 2" xfId="3213"/>
    <cellStyle name="40% - Accent1 5 3 4 2 2" xfId="25381"/>
    <cellStyle name="40% - Accent1 5 3 4 3" xfId="4712"/>
    <cellStyle name="40% - Accent1 5 3 4 3 2" xfId="26879"/>
    <cellStyle name="40% - Accent1 5 3 4 4" xfId="18126"/>
    <cellStyle name="40% - Accent1 5 3 4 4 2" xfId="34347"/>
    <cellStyle name="40% - Accent1 5 3 4 5" xfId="22385"/>
    <cellStyle name="40% - Accent1 5 3 4 5 2" xfId="38597"/>
    <cellStyle name="40% - Accent1 5 3 4 6" xfId="23883"/>
    <cellStyle name="40% - Accent1 5 3 5" xfId="2160"/>
    <cellStyle name="40% - Accent1 5 3 5 2" xfId="24328"/>
    <cellStyle name="40% - Accent1 5 3 6" xfId="3659"/>
    <cellStyle name="40% - Accent1 5 3 6 2" xfId="25826"/>
    <cellStyle name="40% - Accent1 5 3 7" xfId="5864"/>
    <cellStyle name="40% - Accent1 5 3 7 2" xfId="27169"/>
    <cellStyle name="40% - Accent1 5 3 8" xfId="21332"/>
    <cellStyle name="40% - Accent1 5 3 8 2" xfId="37544"/>
    <cellStyle name="40% - Accent1 5 3 9" xfId="22830"/>
    <cellStyle name="40% - Accent1 5 4" xfId="778"/>
    <cellStyle name="40% - Accent1 5 4 2" xfId="2277"/>
    <cellStyle name="40% - Accent1 5 4 2 2" xfId="19880"/>
    <cellStyle name="40% - Accent1 5 4 2 2 2" xfId="36101"/>
    <cellStyle name="40% - Accent1 5 4 2 3" xfId="24445"/>
    <cellStyle name="40% - Accent1 5 4 3" xfId="3776"/>
    <cellStyle name="40% - Accent1 5 4 3 2" xfId="25943"/>
    <cellStyle name="40% - Accent1 5 4 4" xfId="10259"/>
    <cellStyle name="40% - Accent1 5 4 4 2" xfId="29413"/>
    <cellStyle name="40% - Accent1 5 4 5" xfId="21449"/>
    <cellStyle name="40% - Accent1 5 4 5 2" xfId="37661"/>
    <cellStyle name="40% - Accent1 5 4 6" xfId="22947"/>
    <cellStyle name="40% - Accent1 5 4 7" xfId="39435"/>
    <cellStyle name="40% - Accent1 5 5" xfId="1129"/>
    <cellStyle name="40% - Accent1 5 5 2" xfId="2628"/>
    <cellStyle name="40% - Accent1 5 5 2 2" xfId="24796"/>
    <cellStyle name="40% - Accent1 5 5 3" xfId="4127"/>
    <cellStyle name="40% - Accent1 5 5 3 2" xfId="26294"/>
    <cellStyle name="40% - Accent1 5 5 4" xfId="14563"/>
    <cellStyle name="40% - Accent1 5 5 4 2" xfId="30785"/>
    <cellStyle name="40% - Accent1 5 5 5" xfId="21800"/>
    <cellStyle name="40% - Accent1 5 5 5 2" xfId="38012"/>
    <cellStyle name="40% - Accent1 5 5 6" xfId="23298"/>
    <cellStyle name="40% - Accent1 5 6" xfId="1480"/>
    <cellStyle name="40% - Accent1 5 6 2" xfId="2979"/>
    <cellStyle name="40% - Accent1 5 6 2 2" xfId="25147"/>
    <cellStyle name="40% - Accent1 5 6 3" xfId="4478"/>
    <cellStyle name="40% - Accent1 5 6 3 2" xfId="26645"/>
    <cellStyle name="40% - Accent1 5 6 4" xfId="18123"/>
    <cellStyle name="40% - Accent1 5 6 4 2" xfId="34344"/>
    <cellStyle name="40% - Accent1 5 6 5" xfId="22151"/>
    <cellStyle name="40% - Accent1 5 6 5 2" xfId="38363"/>
    <cellStyle name="40% - Accent1 5 6 6" xfId="23649"/>
    <cellStyle name="40% - Accent1 5 7" xfId="1926"/>
    <cellStyle name="40% - Accent1 5 7 2" xfId="24094"/>
    <cellStyle name="40% - Accent1 5 8" xfId="3425"/>
    <cellStyle name="40% - Accent1 5 8 2" xfId="25592"/>
    <cellStyle name="40% - Accent1 5 9" xfId="5867"/>
    <cellStyle name="40% - Accent1 5 9 2" xfId="27172"/>
    <cellStyle name="40% - Accent1 6" xfId="5863"/>
    <cellStyle name="40% - Accent1 6 2" xfId="5862"/>
    <cellStyle name="40% - Accent1 6 2 2" xfId="5861"/>
    <cellStyle name="40% - Accent1 6 2 2 2" xfId="10265"/>
    <cellStyle name="40% - Accent1 6 2 2 2 2" xfId="19886"/>
    <cellStyle name="40% - Accent1 6 2 2 2 2 2" xfId="36107"/>
    <cellStyle name="40% - Accent1 6 2 2 2 3" xfId="29419"/>
    <cellStyle name="40% - Accent1 6 2 2 3" xfId="17204"/>
    <cellStyle name="40% - Accent1 6 2 2 3 2" xfId="33425"/>
    <cellStyle name="40% - Accent1 6 2 2 4" xfId="18129"/>
    <cellStyle name="40% - Accent1 6 2 2 4 2" xfId="34350"/>
    <cellStyle name="40% - Accent1 6 2 2 5" xfId="27166"/>
    <cellStyle name="40% - Accent1 6 2 3" xfId="10264"/>
    <cellStyle name="40% - Accent1 6 2 3 2" xfId="19885"/>
    <cellStyle name="40% - Accent1 6 2 3 2 2" xfId="36106"/>
    <cellStyle name="40% - Accent1 6 2 3 3" xfId="29418"/>
    <cellStyle name="40% - Accent1 6 2 4" xfId="15619"/>
    <cellStyle name="40% - Accent1 6 2 4 2" xfId="31841"/>
    <cellStyle name="40% - Accent1 6 2 5" xfId="18128"/>
    <cellStyle name="40% - Accent1 6 2 5 2" xfId="34349"/>
    <cellStyle name="40% - Accent1 6 2 6" xfId="27167"/>
    <cellStyle name="40% - Accent1 6 3" xfId="5860"/>
    <cellStyle name="40% - Accent1 6 3 2" xfId="10266"/>
    <cellStyle name="40% - Accent1 6 3 2 2" xfId="19887"/>
    <cellStyle name="40% - Accent1 6 3 2 2 2" xfId="36108"/>
    <cellStyle name="40% - Accent1 6 3 2 3" xfId="29420"/>
    <cellStyle name="40% - Accent1 6 3 3" xfId="16412"/>
    <cellStyle name="40% - Accent1 6 3 3 2" xfId="32633"/>
    <cellStyle name="40% - Accent1 6 3 4" xfId="18130"/>
    <cellStyle name="40% - Accent1 6 3 4 2" xfId="34351"/>
    <cellStyle name="40% - Accent1 6 3 5" xfId="27165"/>
    <cellStyle name="40% - Accent1 6 4" xfId="10263"/>
    <cellStyle name="40% - Accent1 6 4 2" xfId="19884"/>
    <cellStyle name="40% - Accent1 6 4 2 2" xfId="36105"/>
    <cellStyle name="40% - Accent1 6 4 3" xfId="29417"/>
    <cellStyle name="40% - Accent1 6 5" xfId="14827"/>
    <cellStyle name="40% - Accent1 6 5 2" xfId="31049"/>
    <cellStyle name="40% - Accent1 6 6" xfId="18127"/>
    <cellStyle name="40% - Accent1 6 6 2" xfId="34348"/>
    <cellStyle name="40% - Accent1 6 7" xfId="27168"/>
    <cellStyle name="40% - Accent1 6 8" xfId="39077"/>
    <cellStyle name="40% - Accent1 7" xfId="5859"/>
    <cellStyle name="40% - Accent1 7 2" xfId="5858"/>
    <cellStyle name="40% - Accent1 7 2 2" xfId="10268"/>
    <cellStyle name="40% - Accent1 7 2 2 2" xfId="19889"/>
    <cellStyle name="40% - Accent1 7 2 2 2 2" xfId="36110"/>
    <cellStyle name="40% - Accent1 7 2 2 3" xfId="29422"/>
    <cellStyle name="40% - Accent1 7 2 3" xfId="16676"/>
    <cellStyle name="40% - Accent1 7 2 3 2" xfId="32897"/>
    <cellStyle name="40% - Accent1 7 2 4" xfId="18132"/>
    <cellStyle name="40% - Accent1 7 2 4 2" xfId="34353"/>
    <cellStyle name="40% - Accent1 7 2 5" xfId="27163"/>
    <cellStyle name="40% - Accent1 7 3" xfId="10267"/>
    <cellStyle name="40% - Accent1 7 3 2" xfId="19888"/>
    <cellStyle name="40% - Accent1 7 3 2 2" xfId="36109"/>
    <cellStyle name="40% - Accent1 7 3 3" xfId="29421"/>
    <cellStyle name="40% - Accent1 7 4" xfId="15091"/>
    <cellStyle name="40% - Accent1 7 4 2" xfId="31313"/>
    <cellStyle name="40% - Accent1 7 5" xfId="18131"/>
    <cellStyle name="40% - Accent1 7 5 2" xfId="34352"/>
    <cellStyle name="40% - Accent1 7 6" xfId="27164"/>
    <cellStyle name="40% - Accent1 7 7" xfId="39225"/>
    <cellStyle name="40% - Accent1 8" xfId="5857"/>
    <cellStyle name="40% - Accent1 8 2" xfId="10269"/>
    <cellStyle name="40% - Accent1 8 2 2" xfId="19890"/>
    <cellStyle name="40% - Accent1 8 2 2 2" xfId="36111"/>
    <cellStyle name="40% - Accent1 8 2 3" xfId="29423"/>
    <cellStyle name="40% - Accent1 8 3" xfId="15884"/>
    <cellStyle name="40% - Accent1 8 3 2" xfId="32105"/>
    <cellStyle name="40% - Accent1 8 4" xfId="18133"/>
    <cellStyle name="40% - Accent1 8 4 2" xfId="34354"/>
    <cellStyle name="40% - Accent1 8 5" xfId="27162"/>
    <cellStyle name="40% - Accent1 8 6" xfId="39374"/>
    <cellStyle name="40% - Accent1 9" xfId="10174"/>
    <cellStyle name="40% - Accent1 9 2" xfId="19795"/>
    <cellStyle name="40% - Accent1 9 2 2" xfId="36016"/>
    <cellStyle name="40% - Accent1 9 3" xfId="29328"/>
    <cellStyle name="40% - Accent2" xfId="43" builtinId="35" customBuiltin="1"/>
    <cellStyle name="40% - Accent2 10" xfId="14231"/>
    <cellStyle name="40% - Accent2 10 2" xfId="30518"/>
    <cellStyle name="40% - Accent2 11" xfId="18134"/>
    <cellStyle name="40% - Accent2 11 2" xfId="34355"/>
    <cellStyle name="40% - Accent2 12" xfId="26986"/>
    <cellStyle name="40% - Accent2 13" xfId="38905"/>
    <cellStyle name="40% - Accent2 14" xfId="4835"/>
    <cellStyle name="40% - Accent2 2" xfId="4873"/>
    <cellStyle name="40% - Accent2 2 10" xfId="18135"/>
    <cellStyle name="40% - Accent2 2 10 2" xfId="34356"/>
    <cellStyle name="40% - Accent2 2 11" xfId="27009"/>
    <cellStyle name="40% - Accent2 2 12" xfId="38775"/>
    <cellStyle name="40% - Accent2 2 2" xfId="5856"/>
    <cellStyle name="40% - Accent2 2 2 10" xfId="27161"/>
    <cellStyle name="40% - Accent2 2 2 11" xfId="38963"/>
    <cellStyle name="40% - Accent2 2 2 2" xfId="5855"/>
    <cellStyle name="40% - Accent2 2 2 2 10" xfId="39153"/>
    <cellStyle name="40% - Accent2 2 2 2 2" xfId="5854"/>
    <cellStyle name="40% - Accent2 2 2 2 2 2" xfId="5853"/>
    <cellStyle name="40% - Accent2 2 2 2 2 2 2" xfId="5852"/>
    <cellStyle name="40% - Accent2 2 2 2 2 2 2 2" xfId="10276"/>
    <cellStyle name="40% - Accent2 2 2 2 2 2 2 2 2" xfId="19897"/>
    <cellStyle name="40% - Accent2 2 2 2 2 2 2 2 2 2" xfId="36118"/>
    <cellStyle name="40% - Accent2 2 2 2 2 2 2 2 3" xfId="29430"/>
    <cellStyle name="40% - Accent2 2 2 2 2 2 2 3" xfId="17172"/>
    <cellStyle name="40% - Accent2 2 2 2 2 2 2 3 2" xfId="33393"/>
    <cellStyle name="40% - Accent2 2 2 2 2 2 2 4" xfId="18140"/>
    <cellStyle name="40% - Accent2 2 2 2 2 2 2 4 2" xfId="34361"/>
    <cellStyle name="40% - Accent2 2 2 2 2 2 2 5" xfId="27157"/>
    <cellStyle name="40% - Accent2 2 2 2 2 2 3" xfId="10275"/>
    <cellStyle name="40% - Accent2 2 2 2 2 2 3 2" xfId="19896"/>
    <cellStyle name="40% - Accent2 2 2 2 2 2 3 2 2" xfId="36117"/>
    <cellStyle name="40% - Accent2 2 2 2 2 2 3 3" xfId="29429"/>
    <cellStyle name="40% - Accent2 2 2 2 2 2 4" xfId="15587"/>
    <cellStyle name="40% - Accent2 2 2 2 2 2 4 2" xfId="31809"/>
    <cellStyle name="40% - Accent2 2 2 2 2 2 5" xfId="18139"/>
    <cellStyle name="40% - Accent2 2 2 2 2 2 5 2" xfId="34360"/>
    <cellStyle name="40% - Accent2 2 2 2 2 2 6" xfId="27158"/>
    <cellStyle name="40% - Accent2 2 2 2 2 3" xfId="5851"/>
    <cellStyle name="40% - Accent2 2 2 2 2 3 2" xfId="10277"/>
    <cellStyle name="40% - Accent2 2 2 2 2 3 2 2" xfId="19898"/>
    <cellStyle name="40% - Accent2 2 2 2 2 3 2 2 2" xfId="36119"/>
    <cellStyle name="40% - Accent2 2 2 2 2 3 2 3" xfId="29431"/>
    <cellStyle name="40% - Accent2 2 2 2 2 3 3" xfId="16380"/>
    <cellStyle name="40% - Accent2 2 2 2 2 3 3 2" xfId="32601"/>
    <cellStyle name="40% - Accent2 2 2 2 2 3 4" xfId="18141"/>
    <cellStyle name="40% - Accent2 2 2 2 2 3 4 2" xfId="34362"/>
    <cellStyle name="40% - Accent2 2 2 2 2 3 5" xfId="27156"/>
    <cellStyle name="40% - Accent2 2 2 2 2 4" xfId="10274"/>
    <cellStyle name="40% - Accent2 2 2 2 2 4 2" xfId="19895"/>
    <cellStyle name="40% - Accent2 2 2 2 2 4 2 2" xfId="36116"/>
    <cellStyle name="40% - Accent2 2 2 2 2 4 3" xfId="29428"/>
    <cellStyle name="40% - Accent2 2 2 2 2 5" xfId="14795"/>
    <cellStyle name="40% - Accent2 2 2 2 2 5 2" xfId="31017"/>
    <cellStyle name="40% - Accent2 2 2 2 2 6" xfId="18138"/>
    <cellStyle name="40% - Accent2 2 2 2 2 6 2" xfId="34359"/>
    <cellStyle name="40% - Accent2 2 2 2 2 7" xfId="27159"/>
    <cellStyle name="40% - Accent2 2 2 2 3" xfId="5850"/>
    <cellStyle name="40% - Accent2 2 2 2 3 2" xfId="5849"/>
    <cellStyle name="40% - Accent2 2 2 2 3 2 2" xfId="5848"/>
    <cellStyle name="40% - Accent2 2 2 2 3 2 2 2" xfId="10280"/>
    <cellStyle name="40% - Accent2 2 2 2 3 2 2 2 2" xfId="19901"/>
    <cellStyle name="40% - Accent2 2 2 2 3 2 2 2 2 2" xfId="36122"/>
    <cellStyle name="40% - Accent2 2 2 2 3 2 2 2 3" xfId="29434"/>
    <cellStyle name="40% - Accent2 2 2 2 3 2 2 3" xfId="17436"/>
    <cellStyle name="40% - Accent2 2 2 2 3 2 2 3 2" xfId="33657"/>
    <cellStyle name="40% - Accent2 2 2 2 3 2 2 4" xfId="18144"/>
    <cellStyle name="40% - Accent2 2 2 2 3 2 2 4 2" xfId="34365"/>
    <cellStyle name="40% - Accent2 2 2 2 3 2 2 5" xfId="27153"/>
    <cellStyle name="40% - Accent2 2 2 2 3 2 3" xfId="10279"/>
    <cellStyle name="40% - Accent2 2 2 2 3 2 3 2" xfId="19900"/>
    <cellStyle name="40% - Accent2 2 2 2 3 2 3 2 2" xfId="36121"/>
    <cellStyle name="40% - Accent2 2 2 2 3 2 3 3" xfId="29433"/>
    <cellStyle name="40% - Accent2 2 2 2 3 2 4" xfId="15851"/>
    <cellStyle name="40% - Accent2 2 2 2 3 2 4 2" xfId="32073"/>
    <cellStyle name="40% - Accent2 2 2 2 3 2 5" xfId="18143"/>
    <cellStyle name="40% - Accent2 2 2 2 3 2 5 2" xfId="34364"/>
    <cellStyle name="40% - Accent2 2 2 2 3 2 6" xfId="27154"/>
    <cellStyle name="40% - Accent2 2 2 2 3 3" xfId="5847"/>
    <cellStyle name="40% - Accent2 2 2 2 3 3 2" xfId="10281"/>
    <cellStyle name="40% - Accent2 2 2 2 3 3 2 2" xfId="19902"/>
    <cellStyle name="40% - Accent2 2 2 2 3 3 2 2 2" xfId="36123"/>
    <cellStyle name="40% - Accent2 2 2 2 3 3 2 3" xfId="29435"/>
    <cellStyle name="40% - Accent2 2 2 2 3 3 3" xfId="16644"/>
    <cellStyle name="40% - Accent2 2 2 2 3 3 3 2" xfId="32865"/>
    <cellStyle name="40% - Accent2 2 2 2 3 3 4" xfId="18145"/>
    <cellStyle name="40% - Accent2 2 2 2 3 3 4 2" xfId="34366"/>
    <cellStyle name="40% - Accent2 2 2 2 3 3 5" xfId="27152"/>
    <cellStyle name="40% - Accent2 2 2 2 3 4" xfId="10278"/>
    <cellStyle name="40% - Accent2 2 2 2 3 4 2" xfId="19899"/>
    <cellStyle name="40% - Accent2 2 2 2 3 4 2 2" xfId="36120"/>
    <cellStyle name="40% - Accent2 2 2 2 3 4 3" xfId="29432"/>
    <cellStyle name="40% - Accent2 2 2 2 3 5" xfId="15059"/>
    <cellStyle name="40% - Accent2 2 2 2 3 5 2" xfId="31281"/>
    <cellStyle name="40% - Accent2 2 2 2 3 6" xfId="18142"/>
    <cellStyle name="40% - Accent2 2 2 2 3 6 2" xfId="34363"/>
    <cellStyle name="40% - Accent2 2 2 2 3 7" xfId="27155"/>
    <cellStyle name="40% - Accent2 2 2 2 4" xfId="5846"/>
    <cellStyle name="40% - Accent2 2 2 2 4 2" xfId="5845"/>
    <cellStyle name="40% - Accent2 2 2 2 4 2 2" xfId="10283"/>
    <cellStyle name="40% - Accent2 2 2 2 4 2 2 2" xfId="19904"/>
    <cellStyle name="40% - Accent2 2 2 2 4 2 2 2 2" xfId="36125"/>
    <cellStyle name="40% - Accent2 2 2 2 4 2 2 3" xfId="29437"/>
    <cellStyle name="40% - Accent2 2 2 2 4 2 3" xfId="16908"/>
    <cellStyle name="40% - Accent2 2 2 2 4 2 3 2" xfId="33129"/>
    <cellStyle name="40% - Accent2 2 2 2 4 2 4" xfId="18147"/>
    <cellStyle name="40% - Accent2 2 2 2 4 2 4 2" xfId="34368"/>
    <cellStyle name="40% - Accent2 2 2 2 4 2 5" xfId="27150"/>
    <cellStyle name="40% - Accent2 2 2 2 4 3" xfId="10282"/>
    <cellStyle name="40% - Accent2 2 2 2 4 3 2" xfId="19903"/>
    <cellStyle name="40% - Accent2 2 2 2 4 3 2 2" xfId="36124"/>
    <cellStyle name="40% - Accent2 2 2 2 4 3 3" xfId="29436"/>
    <cellStyle name="40% - Accent2 2 2 2 4 4" xfId="15323"/>
    <cellStyle name="40% - Accent2 2 2 2 4 4 2" xfId="31545"/>
    <cellStyle name="40% - Accent2 2 2 2 4 5" xfId="18146"/>
    <cellStyle name="40% - Accent2 2 2 2 4 5 2" xfId="34367"/>
    <cellStyle name="40% - Accent2 2 2 2 4 6" xfId="27151"/>
    <cellStyle name="40% - Accent2 2 2 2 5" xfId="5844"/>
    <cellStyle name="40% - Accent2 2 2 2 5 2" xfId="10284"/>
    <cellStyle name="40% - Accent2 2 2 2 5 2 2" xfId="19905"/>
    <cellStyle name="40% - Accent2 2 2 2 5 2 2 2" xfId="36126"/>
    <cellStyle name="40% - Accent2 2 2 2 5 2 3" xfId="29438"/>
    <cellStyle name="40% - Accent2 2 2 2 5 3" xfId="16116"/>
    <cellStyle name="40% - Accent2 2 2 2 5 3 2" xfId="32337"/>
    <cellStyle name="40% - Accent2 2 2 2 5 4" xfId="18148"/>
    <cellStyle name="40% - Accent2 2 2 2 5 4 2" xfId="34369"/>
    <cellStyle name="40% - Accent2 2 2 2 5 5" xfId="27149"/>
    <cellStyle name="40% - Accent2 2 2 2 6" xfId="10273"/>
    <cellStyle name="40% - Accent2 2 2 2 6 2" xfId="19894"/>
    <cellStyle name="40% - Accent2 2 2 2 6 2 2" xfId="36115"/>
    <cellStyle name="40% - Accent2 2 2 2 6 3" xfId="29427"/>
    <cellStyle name="40% - Accent2 2 2 2 7" xfId="14531"/>
    <cellStyle name="40% - Accent2 2 2 2 7 2" xfId="30753"/>
    <cellStyle name="40% - Accent2 2 2 2 8" xfId="18137"/>
    <cellStyle name="40% - Accent2 2 2 2 8 2" xfId="34358"/>
    <cellStyle name="40% - Accent2 2 2 2 9" xfId="27160"/>
    <cellStyle name="40% - Accent2 2 2 3" xfId="5843"/>
    <cellStyle name="40% - Accent2 2 2 3 2" xfId="5842"/>
    <cellStyle name="40% - Accent2 2 2 3 2 2" xfId="5841"/>
    <cellStyle name="40% - Accent2 2 2 3 2 2 2" xfId="10287"/>
    <cellStyle name="40% - Accent2 2 2 3 2 2 2 2" xfId="19908"/>
    <cellStyle name="40% - Accent2 2 2 3 2 2 2 2 2" xfId="36129"/>
    <cellStyle name="40% - Accent2 2 2 3 2 2 2 3" xfId="29441"/>
    <cellStyle name="40% - Accent2 2 2 3 2 2 3" xfId="17040"/>
    <cellStyle name="40% - Accent2 2 2 3 2 2 3 2" xfId="33261"/>
    <cellStyle name="40% - Accent2 2 2 3 2 2 4" xfId="18151"/>
    <cellStyle name="40% - Accent2 2 2 3 2 2 4 2" xfId="34372"/>
    <cellStyle name="40% - Accent2 2 2 3 2 2 5" xfId="27146"/>
    <cellStyle name="40% - Accent2 2 2 3 2 3" xfId="10286"/>
    <cellStyle name="40% - Accent2 2 2 3 2 3 2" xfId="19907"/>
    <cellStyle name="40% - Accent2 2 2 3 2 3 2 2" xfId="36128"/>
    <cellStyle name="40% - Accent2 2 2 3 2 3 3" xfId="29440"/>
    <cellStyle name="40% - Accent2 2 2 3 2 4" xfId="15455"/>
    <cellStyle name="40% - Accent2 2 2 3 2 4 2" xfId="31677"/>
    <cellStyle name="40% - Accent2 2 2 3 2 5" xfId="18150"/>
    <cellStyle name="40% - Accent2 2 2 3 2 5 2" xfId="34371"/>
    <cellStyle name="40% - Accent2 2 2 3 2 6" xfId="27147"/>
    <cellStyle name="40% - Accent2 2 2 3 3" xfId="5840"/>
    <cellStyle name="40% - Accent2 2 2 3 3 2" xfId="10288"/>
    <cellStyle name="40% - Accent2 2 2 3 3 2 2" xfId="19909"/>
    <cellStyle name="40% - Accent2 2 2 3 3 2 2 2" xfId="36130"/>
    <cellStyle name="40% - Accent2 2 2 3 3 2 3" xfId="29442"/>
    <cellStyle name="40% - Accent2 2 2 3 3 3" xfId="16248"/>
    <cellStyle name="40% - Accent2 2 2 3 3 3 2" xfId="32469"/>
    <cellStyle name="40% - Accent2 2 2 3 3 4" xfId="18152"/>
    <cellStyle name="40% - Accent2 2 2 3 3 4 2" xfId="34373"/>
    <cellStyle name="40% - Accent2 2 2 3 3 5" xfId="27145"/>
    <cellStyle name="40% - Accent2 2 2 3 4" xfId="10285"/>
    <cellStyle name="40% - Accent2 2 2 3 4 2" xfId="19906"/>
    <cellStyle name="40% - Accent2 2 2 3 4 2 2" xfId="36127"/>
    <cellStyle name="40% - Accent2 2 2 3 4 3" xfId="29439"/>
    <cellStyle name="40% - Accent2 2 2 3 5" xfId="14663"/>
    <cellStyle name="40% - Accent2 2 2 3 5 2" xfId="30885"/>
    <cellStyle name="40% - Accent2 2 2 3 6" xfId="18149"/>
    <cellStyle name="40% - Accent2 2 2 3 6 2" xfId="34370"/>
    <cellStyle name="40% - Accent2 2 2 3 7" xfId="27148"/>
    <cellStyle name="40% - Accent2 2 2 3 8" xfId="39301"/>
    <cellStyle name="40% - Accent2 2 2 4" xfId="5839"/>
    <cellStyle name="40% - Accent2 2 2 4 2" xfId="5838"/>
    <cellStyle name="40% - Accent2 2 2 4 2 2" xfId="5837"/>
    <cellStyle name="40% - Accent2 2 2 4 2 2 2" xfId="10291"/>
    <cellStyle name="40% - Accent2 2 2 4 2 2 2 2" xfId="19912"/>
    <cellStyle name="40% - Accent2 2 2 4 2 2 2 2 2" xfId="36133"/>
    <cellStyle name="40% - Accent2 2 2 4 2 2 2 3" xfId="29445"/>
    <cellStyle name="40% - Accent2 2 2 4 2 2 3" xfId="17304"/>
    <cellStyle name="40% - Accent2 2 2 4 2 2 3 2" xfId="33525"/>
    <cellStyle name="40% - Accent2 2 2 4 2 2 4" xfId="18155"/>
    <cellStyle name="40% - Accent2 2 2 4 2 2 4 2" xfId="34376"/>
    <cellStyle name="40% - Accent2 2 2 4 2 2 5" xfId="27142"/>
    <cellStyle name="40% - Accent2 2 2 4 2 3" xfId="10290"/>
    <cellStyle name="40% - Accent2 2 2 4 2 3 2" xfId="19911"/>
    <cellStyle name="40% - Accent2 2 2 4 2 3 2 2" xfId="36132"/>
    <cellStyle name="40% - Accent2 2 2 4 2 3 3" xfId="29444"/>
    <cellStyle name="40% - Accent2 2 2 4 2 4" xfId="15719"/>
    <cellStyle name="40% - Accent2 2 2 4 2 4 2" xfId="31941"/>
    <cellStyle name="40% - Accent2 2 2 4 2 5" xfId="18154"/>
    <cellStyle name="40% - Accent2 2 2 4 2 5 2" xfId="34375"/>
    <cellStyle name="40% - Accent2 2 2 4 2 6" xfId="27143"/>
    <cellStyle name="40% - Accent2 2 2 4 3" xfId="5836"/>
    <cellStyle name="40% - Accent2 2 2 4 3 2" xfId="10292"/>
    <cellStyle name="40% - Accent2 2 2 4 3 2 2" xfId="19913"/>
    <cellStyle name="40% - Accent2 2 2 4 3 2 2 2" xfId="36134"/>
    <cellStyle name="40% - Accent2 2 2 4 3 2 3" xfId="29446"/>
    <cellStyle name="40% - Accent2 2 2 4 3 3" xfId="16512"/>
    <cellStyle name="40% - Accent2 2 2 4 3 3 2" xfId="32733"/>
    <cellStyle name="40% - Accent2 2 2 4 3 4" xfId="18156"/>
    <cellStyle name="40% - Accent2 2 2 4 3 4 2" xfId="34377"/>
    <cellStyle name="40% - Accent2 2 2 4 3 5" xfId="27141"/>
    <cellStyle name="40% - Accent2 2 2 4 4" xfId="10289"/>
    <cellStyle name="40% - Accent2 2 2 4 4 2" xfId="19910"/>
    <cellStyle name="40% - Accent2 2 2 4 4 2 2" xfId="36131"/>
    <cellStyle name="40% - Accent2 2 2 4 4 3" xfId="29443"/>
    <cellStyle name="40% - Accent2 2 2 4 5" xfId="14927"/>
    <cellStyle name="40% - Accent2 2 2 4 5 2" xfId="31149"/>
    <cellStyle name="40% - Accent2 2 2 4 6" xfId="18153"/>
    <cellStyle name="40% - Accent2 2 2 4 6 2" xfId="34374"/>
    <cellStyle name="40% - Accent2 2 2 4 7" xfId="27144"/>
    <cellStyle name="40% - Accent2 2 2 4 8" xfId="39450"/>
    <cellStyle name="40% - Accent2 2 2 5" xfId="5835"/>
    <cellStyle name="40% - Accent2 2 2 5 2" xfId="5733"/>
    <cellStyle name="40% - Accent2 2 2 5 2 2" xfId="10294"/>
    <cellStyle name="40% - Accent2 2 2 5 2 2 2" xfId="19915"/>
    <cellStyle name="40% - Accent2 2 2 5 2 2 2 2" xfId="36136"/>
    <cellStyle name="40% - Accent2 2 2 5 2 2 3" xfId="29448"/>
    <cellStyle name="40% - Accent2 2 2 5 2 3" xfId="16776"/>
    <cellStyle name="40% - Accent2 2 2 5 2 3 2" xfId="32997"/>
    <cellStyle name="40% - Accent2 2 2 5 2 4" xfId="18158"/>
    <cellStyle name="40% - Accent2 2 2 5 2 4 2" xfId="34379"/>
    <cellStyle name="40% - Accent2 2 2 5 2 5" xfId="27039"/>
    <cellStyle name="40% - Accent2 2 2 5 3" xfId="10293"/>
    <cellStyle name="40% - Accent2 2 2 5 3 2" xfId="19914"/>
    <cellStyle name="40% - Accent2 2 2 5 3 2 2" xfId="36135"/>
    <cellStyle name="40% - Accent2 2 2 5 3 3" xfId="29447"/>
    <cellStyle name="40% - Accent2 2 2 5 4" xfId="15191"/>
    <cellStyle name="40% - Accent2 2 2 5 4 2" xfId="31413"/>
    <cellStyle name="40% - Accent2 2 2 5 5" xfId="18157"/>
    <cellStyle name="40% - Accent2 2 2 5 5 2" xfId="34378"/>
    <cellStyle name="40% - Accent2 2 2 5 6" xfId="27140"/>
    <cellStyle name="40% - Accent2 2 2 6" xfId="5834"/>
    <cellStyle name="40% - Accent2 2 2 6 2" xfId="10295"/>
    <cellStyle name="40% - Accent2 2 2 6 2 2" xfId="19916"/>
    <cellStyle name="40% - Accent2 2 2 6 2 2 2" xfId="36137"/>
    <cellStyle name="40% - Accent2 2 2 6 2 3" xfId="29449"/>
    <cellStyle name="40% - Accent2 2 2 6 3" xfId="15984"/>
    <cellStyle name="40% - Accent2 2 2 6 3 2" xfId="32205"/>
    <cellStyle name="40% - Accent2 2 2 6 4" xfId="18159"/>
    <cellStyle name="40% - Accent2 2 2 6 4 2" xfId="34380"/>
    <cellStyle name="40% - Accent2 2 2 6 5" xfId="27139"/>
    <cellStyle name="40% - Accent2 2 2 7" xfId="10272"/>
    <cellStyle name="40% - Accent2 2 2 7 2" xfId="19893"/>
    <cellStyle name="40% - Accent2 2 2 7 2 2" xfId="36114"/>
    <cellStyle name="40% - Accent2 2 2 7 3" xfId="29426"/>
    <cellStyle name="40% - Accent2 2 2 8" xfId="14399"/>
    <cellStyle name="40% - Accent2 2 2 8 2" xfId="30621"/>
    <cellStyle name="40% - Accent2 2 2 9" xfId="18136"/>
    <cellStyle name="40% - Accent2 2 2 9 2" xfId="34357"/>
    <cellStyle name="40% - Accent2 2 3" xfId="5833"/>
    <cellStyle name="40% - Accent2 2 3 10" xfId="39097"/>
    <cellStyle name="40% - Accent2 2 3 2" xfId="5832"/>
    <cellStyle name="40% - Accent2 2 3 2 2" xfId="5831"/>
    <cellStyle name="40% - Accent2 2 3 2 2 2" xfId="5830"/>
    <cellStyle name="40% - Accent2 2 3 2 2 2 2" xfId="10299"/>
    <cellStyle name="40% - Accent2 2 3 2 2 2 2 2" xfId="19920"/>
    <cellStyle name="40% - Accent2 2 3 2 2 2 2 2 2" xfId="36141"/>
    <cellStyle name="40% - Accent2 2 3 2 2 2 2 3" xfId="29453"/>
    <cellStyle name="40% - Accent2 2 3 2 2 2 3" xfId="17106"/>
    <cellStyle name="40% - Accent2 2 3 2 2 2 3 2" xfId="33327"/>
    <cellStyle name="40% - Accent2 2 3 2 2 2 4" xfId="18163"/>
    <cellStyle name="40% - Accent2 2 3 2 2 2 4 2" xfId="34384"/>
    <cellStyle name="40% - Accent2 2 3 2 2 2 5" xfId="27135"/>
    <cellStyle name="40% - Accent2 2 3 2 2 3" xfId="10298"/>
    <cellStyle name="40% - Accent2 2 3 2 2 3 2" xfId="19919"/>
    <cellStyle name="40% - Accent2 2 3 2 2 3 2 2" xfId="36140"/>
    <cellStyle name="40% - Accent2 2 3 2 2 3 3" xfId="29452"/>
    <cellStyle name="40% - Accent2 2 3 2 2 4" xfId="15521"/>
    <cellStyle name="40% - Accent2 2 3 2 2 4 2" xfId="31743"/>
    <cellStyle name="40% - Accent2 2 3 2 2 5" xfId="18162"/>
    <cellStyle name="40% - Accent2 2 3 2 2 5 2" xfId="34383"/>
    <cellStyle name="40% - Accent2 2 3 2 2 6" xfId="27136"/>
    <cellStyle name="40% - Accent2 2 3 2 3" xfId="5829"/>
    <cellStyle name="40% - Accent2 2 3 2 3 2" xfId="10300"/>
    <cellStyle name="40% - Accent2 2 3 2 3 2 2" xfId="19921"/>
    <cellStyle name="40% - Accent2 2 3 2 3 2 2 2" xfId="36142"/>
    <cellStyle name="40% - Accent2 2 3 2 3 2 3" xfId="29454"/>
    <cellStyle name="40% - Accent2 2 3 2 3 3" xfId="16314"/>
    <cellStyle name="40% - Accent2 2 3 2 3 3 2" xfId="32535"/>
    <cellStyle name="40% - Accent2 2 3 2 3 4" xfId="18164"/>
    <cellStyle name="40% - Accent2 2 3 2 3 4 2" xfId="34385"/>
    <cellStyle name="40% - Accent2 2 3 2 3 5" xfId="27134"/>
    <cellStyle name="40% - Accent2 2 3 2 4" xfId="10297"/>
    <cellStyle name="40% - Accent2 2 3 2 4 2" xfId="19918"/>
    <cellStyle name="40% - Accent2 2 3 2 4 2 2" xfId="36139"/>
    <cellStyle name="40% - Accent2 2 3 2 4 3" xfId="29451"/>
    <cellStyle name="40% - Accent2 2 3 2 5" xfId="14729"/>
    <cellStyle name="40% - Accent2 2 3 2 5 2" xfId="30951"/>
    <cellStyle name="40% - Accent2 2 3 2 6" xfId="18161"/>
    <cellStyle name="40% - Accent2 2 3 2 6 2" xfId="34382"/>
    <cellStyle name="40% - Accent2 2 3 2 7" xfId="27137"/>
    <cellStyle name="40% - Accent2 2 3 3" xfId="5828"/>
    <cellStyle name="40% - Accent2 2 3 3 2" xfId="5827"/>
    <cellStyle name="40% - Accent2 2 3 3 2 2" xfId="5826"/>
    <cellStyle name="40% - Accent2 2 3 3 2 2 2" xfId="10303"/>
    <cellStyle name="40% - Accent2 2 3 3 2 2 2 2" xfId="19924"/>
    <cellStyle name="40% - Accent2 2 3 3 2 2 2 2 2" xfId="36145"/>
    <cellStyle name="40% - Accent2 2 3 3 2 2 2 3" xfId="29457"/>
    <cellStyle name="40% - Accent2 2 3 3 2 2 3" xfId="17370"/>
    <cellStyle name="40% - Accent2 2 3 3 2 2 3 2" xfId="33591"/>
    <cellStyle name="40% - Accent2 2 3 3 2 2 4" xfId="18167"/>
    <cellStyle name="40% - Accent2 2 3 3 2 2 4 2" xfId="34388"/>
    <cellStyle name="40% - Accent2 2 3 3 2 2 5" xfId="27131"/>
    <cellStyle name="40% - Accent2 2 3 3 2 3" xfId="10302"/>
    <cellStyle name="40% - Accent2 2 3 3 2 3 2" xfId="19923"/>
    <cellStyle name="40% - Accent2 2 3 3 2 3 2 2" xfId="36144"/>
    <cellStyle name="40% - Accent2 2 3 3 2 3 3" xfId="29456"/>
    <cellStyle name="40% - Accent2 2 3 3 2 4" xfId="15785"/>
    <cellStyle name="40% - Accent2 2 3 3 2 4 2" xfId="32007"/>
    <cellStyle name="40% - Accent2 2 3 3 2 5" xfId="18166"/>
    <cellStyle name="40% - Accent2 2 3 3 2 5 2" xfId="34387"/>
    <cellStyle name="40% - Accent2 2 3 3 2 6" xfId="27132"/>
    <cellStyle name="40% - Accent2 2 3 3 3" xfId="5825"/>
    <cellStyle name="40% - Accent2 2 3 3 3 2" xfId="10304"/>
    <cellStyle name="40% - Accent2 2 3 3 3 2 2" xfId="19925"/>
    <cellStyle name="40% - Accent2 2 3 3 3 2 2 2" xfId="36146"/>
    <cellStyle name="40% - Accent2 2 3 3 3 2 3" xfId="29458"/>
    <cellStyle name="40% - Accent2 2 3 3 3 3" xfId="16578"/>
    <cellStyle name="40% - Accent2 2 3 3 3 3 2" xfId="32799"/>
    <cellStyle name="40% - Accent2 2 3 3 3 4" xfId="18168"/>
    <cellStyle name="40% - Accent2 2 3 3 3 4 2" xfId="34389"/>
    <cellStyle name="40% - Accent2 2 3 3 3 5" xfId="27130"/>
    <cellStyle name="40% - Accent2 2 3 3 4" xfId="10301"/>
    <cellStyle name="40% - Accent2 2 3 3 4 2" xfId="19922"/>
    <cellStyle name="40% - Accent2 2 3 3 4 2 2" xfId="36143"/>
    <cellStyle name="40% - Accent2 2 3 3 4 3" xfId="29455"/>
    <cellStyle name="40% - Accent2 2 3 3 5" xfId="14993"/>
    <cellStyle name="40% - Accent2 2 3 3 5 2" xfId="31215"/>
    <cellStyle name="40% - Accent2 2 3 3 6" xfId="18165"/>
    <cellStyle name="40% - Accent2 2 3 3 6 2" xfId="34386"/>
    <cellStyle name="40% - Accent2 2 3 3 7" xfId="27133"/>
    <cellStyle name="40% - Accent2 2 3 4" xfId="5824"/>
    <cellStyle name="40% - Accent2 2 3 4 2" xfId="5823"/>
    <cellStyle name="40% - Accent2 2 3 4 2 2" xfId="10306"/>
    <cellStyle name="40% - Accent2 2 3 4 2 2 2" xfId="19927"/>
    <cellStyle name="40% - Accent2 2 3 4 2 2 2 2" xfId="36148"/>
    <cellStyle name="40% - Accent2 2 3 4 2 2 3" xfId="29460"/>
    <cellStyle name="40% - Accent2 2 3 4 2 3" xfId="16842"/>
    <cellStyle name="40% - Accent2 2 3 4 2 3 2" xfId="33063"/>
    <cellStyle name="40% - Accent2 2 3 4 2 4" xfId="18170"/>
    <cellStyle name="40% - Accent2 2 3 4 2 4 2" xfId="34391"/>
    <cellStyle name="40% - Accent2 2 3 4 2 5" xfId="27128"/>
    <cellStyle name="40% - Accent2 2 3 4 3" xfId="10305"/>
    <cellStyle name="40% - Accent2 2 3 4 3 2" xfId="19926"/>
    <cellStyle name="40% - Accent2 2 3 4 3 2 2" xfId="36147"/>
    <cellStyle name="40% - Accent2 2 3 4 3 3" xfId="29459"/>
    <cellStyle name="40% - Accent2 2 3 4 4" xfId="15257"/>
    <cellStyle name="40% - Accent2 2 3 4 4 2" xfId="31479"/>
    <cellStyle name="40% - Accent2 2 3 4 5" xfId="18169"/>
    <cellStyle name="40% - Accent2 2 3 4 5 2" xfId="34390"/>
    <cellStyle name="40% - Accent2 2 3 4 6" xfId="27129"/>
    <cellStyle name="40% - Accent2 2 3 5" xfId="5822"/>
    <cellStyle name="40% - Accent2 2 3 5 2" xfId="10307"/>
    <cellStyle name="40% - Accent2 2 3 5 2 2" xfId="19928"/>
    <cellStyle name="40% - Accent2 2 3 5 2 2 2" xfId="36149"/>
    <cellStyle name="40% - Accent2 2 3 5 2 3" xfId="29461"/>
    <cellStyle name="40% - Accent2 2 3 5 3" xfId="16050"/>
    <cellStyle name="40% - Accent2 2 3 5 3 2" xfId="32271"/>
    <cellStyle name="40% - Accent2 2 3 5 4" xfId="18171"/>
    <cellStyle name="40% - Accent2 2 3 5 4 2" xfId="34392"/>
    <cellStyle name="40% - Accent2 2 3 5 5" xfId="27127"/>
    <cellStyle name="40% - Accent2 2 3 6" xfId="10296"/>
    <cellStyle name="40% - Accent2 2 3 6 2" xfId="19917"/>
    <cellStyle name="40% - Accent2 2 3 6 2 2" xfId="36138"/>
    <cellStyle name="40% - Accent2 2 3 6 3" xfId="29450"/>
    <cellStyle name="40% - Accent2 2 3 7" xfId="14465"/>
    <cellStyle name="40% - Accent2 2 3 7 2" xfId="30687"/>
    <cellStyle name="40% - Accent2 2 3 8" xfId="18160"/>
    <cellStyle name="40% - Accent2 2 3 8 2" xfId="34381"/>
    <cellStyle name="40% - Accent2 2 3 9" xfId="27138"/>
    <cellStyle name="40% - Accent2 2 4" xfId="5821"/>
    <cellStyle name="40% - Accent2 2 4 2" xfId="5820"/>
    <cellStyle name="40% - Accent2 2 4 2 2" xfId="5819"/>
    <cellStyle name="40% - Accent2 2 4 2 2 2" xfId="10310"/>
    <cellStyle name="40% - Accent2 2 4 2 2 2 2" xfId="19931"/>
    <cellStyle name="40% - Accent2 2 4 2 2 2 2 2" xfId="36152"/>
    <cellStyle name="40% - Accent2 2 4 2 2 2 3" xfId="29464"/>
    <cellStyle name="40% - Accent2 2 4 2 2 3" xfId="16974"/>
    <cellStyle name="40% - Accent2 2 4 2 2 3 2" xfId="33195"/>
    <cellStyle name="40% - Accent2 2 4 2 2 4" xfId="18174"/>
    <cellStyle name="40% - Accent2 2 4 2 2 4 2" xfId="34395"/>
    <cellStyle name="40% - Accent2 2 4 2 2 5" xfId="27124"/>
    <cellStyle name="40% - Accent2 2 4 2 3" xfId="10309"/>
    <cellStyle name="40% - Accent2 2 4 2 3 2" xfId="19930"/>
    <cellStyle name="40% - Accent2 2 4 2 3 2 2" xfId="36151"/>
    <cellStyle name="40% - Accent2 2 4 2 3 3" xfId="29463"/>
    <cellStyle name="40% - Accent2 2 4 2 4" xfId="15389"/>
    <cellStyle name="40% - Accent2 2 4 2 4 2" xfId="31611"/>
    <cellStyle name="40% - Accent2 2 4 2 5" xfId="18173"/>
    <cellStyle name="40% - Accent2 2 4 2 5 2" xfId="34394"/>
    <cellStyle name="40% - Accent2 2 4 2 6" xfId="27125"/>
    <cellStyle name="40% - Accent2 2 4 3" xfId="5818"/>
    <cellStyle name="40% - Accent2 2 4 3 2" xfId="10311"/>
    <cellStyle name="40% - Accent2 2 4 3 2 2" xfId="19932"/>
    <cellStyle name="40% - Accent2 2 4 3 2 2 2" xfId="36153"/>
    <cellStyle name="40% - Accent2 2 4 3 2 3" xfId="29465"/>
    <cellStyle name="40% - Accent2 2 4 3 3" xfId="16182"/>
    <cellStyle name="40% - Accent2 2 4 3 3 2" xfId="32403"/>
    <cellStyle name="40% - Accent2 2 4 3 4" xfId="18175"/>
    <cellStyle name="40% - Accent2 2 4 3 4 2" xfId="34396"/>
    <cellStyle name="40% - Accent2 2 4 3 5" xfId="27123"/>
    <cellStyle name="40% - Accent2 2 4 4" xfId="10308"/>
    <cellStyle name="40% - Accent2 2 4 4 2" xfId="19929"/>
    <cellStyle name="40% - Accent2 2 4 4 2 2" xfId="36150"/>
    <cellStyle name="40% - Accent2 2 4 4 3" xfId="29462"/>
    <cellStyle name="40% - Accent2 2 4 5" xfId="14597"/>
    <cellStyle name="40% - Accent2 2 4 5 2" xfId="30819"/>
    <cellStyle name="40% - Accent2 2 4 6" xfId="18172"/>
    <cellStyle name="40% - Accent2 2 4 6 2" xfId="34393"/>
    <cellStyle name="40% - Accent2 2 4 7" xfId="27126"/>
    <cellStyle name="40% - Accent2 2 4 8" xfId="39245"/>
    <cellStyle name="40% - Accent2 2 5" xfId="5817"/>
    <cellStyle name="40% - Accent2 2 5 2" xfId="5816"/>
    <cellStyle name="40% - Accent2 2 5 2 2" xfId="5815"/>
    <cellStyle name="40% - Accent2 2 5 2 2 2" xfId="10314"/>
    <cellStyle name="40% - Accent2 2 5 2 2 2 2" xfId="19935"/>
    <cellStyle name="40% - Accent2 2 5 2 2 2 2 2" xfId="36156"/>
    <cellStyle name="40% - Accent2 2 5 2 2 2 3" xfId="29468"/>
    <cellStyle name="40% - Accent2 2 5 2 2 3" xfId="17238"/>
    <cellStyle name="40% - Accent2 2 5 2 2 3 2" xfId="33459"/>
    <cellStyle name="40% - Accent2 2 5 2 2 4" xfId="18178"/>
    <cellStyle name="40% - Accent2 2 5 2 2 4 2" xfId="34399"/>
    <cellStyle name="40% - Accent2 2 5 2 2 5" xfId="27120"/>
    <cellStyle name="40% - Accent2 2 5 2 3" xfId="10313"/>
    <cellStyle name="40% - Accent2 2 5 2 3 2" xfId="19934"/>
    <cellStyle name="40% - Accent2 2 5 2 3 2 2" xfId="36155"/>
    <cellStyle name="40% - Accent2 2 5 2 3 3" xfId="29467"/>
    <cellStyle name="40% - Accent2 2 5 2 4" xfId="15653"/>
    <cellStyle name="40% - Accent2 2 5 2 4 2" xfId="31875"/>
    <cellStyle name="40% - Accent2 2 5 2 5" xfId="18177"/>
    <cellStyle name="40% - Accent2 2 5 2 5 2" xfId="34398"/>
    <cellStyle name="40% - Accent2 2 5 2 6" xfId="27121"/>
    <cellStyle name="40% - Accent2 2 5 3" xfId="5814"/>
    <cellStyle name="40% - Accent2 2 5 3 2" xfId="10315"/>
    <cellStyle name="40% - Accent2 2 5 3 2 2" xfId="19936"/>
    <cellStyle name="40% - Accent2 2 5 3 2 2 2" xfId="36157"/>
    <cellStyle name="40% - Accent2 2 5 3 2 3" xfId="29469"/>
    <cellStyle name="40% - Accent2 2 5 3 3" xfId="16446"/>
    <cellStyle name="40% - Accent2 2 5 3 3 2" xfId="32667"/>
    <cellStyle name="40% - Accent2 2 5 3 4" xfId="18179"/>
    <cellStyle name="40% - Accent2 2 5 3 4 2" xfId="34400"/>
    <cellStyle name="40% - Accent2 2 5 3 5" xfId="27119"/>
    <cellStyle name="40% - Accent2 2 5 4" xfId="10312"/>
    <cellStyle name="40% - Accent2 2 5 4 2" xfId="19933"/>
    <cellStyle name="40% - Accent2 2 5 4 2 2" xfId="36154"/>
    <cellStyle name="40% - Accent2 2 5 4 3" xfId="29466"/>
    <cellStyle name="40% - Accent2 2 5 5" xfId="14861"/>
    <cellStyle name="40% - Accent2 2 5 5 2" xfId="31083"/>
    <cellStyle name="40% - Accent2 2 5 6" xfId="18176"/>
    <cellStyle name="40% - Accent2 2 5 6 2" xfId="34397"/>
    <cellStyle name="40% - Accent2 2 5 7" xfId="27122"/>
    <cellStyle name="40% - Accent2 2 5 8" xfId="39394"/>
    <cellStyle name="40% - Accent2 2 6" xfId="5813"/>
    <cellStyle name="40% - Accent2 2 6 2" xfId="5812"/>
    <cellStyle name="40% - Accent2 2 6 2 2" xfId="10317"/>
    <cellStyle name="40% - Accent2 2 6 2 2 2" xfId="19938"/>
    <cellStyle name="40% - Accent2 2 6 2 2 2 2" xfId="36159"/>
    <cellStyle name="40% - Accent2 2 6 2 2 3" xfId="29471"/>
    <cellStyle name="40% - Accent2 2 6 2 3" xfId="16710"/>
    <cellStyle name="40% - Accent2 2 6 2 3 2" xfId="32931"/>
    <cellStyle name="40% - Accent2 2 6 2 4" xfId="18181"/>
    <cellStyle name="40% - Accent2 2 6 2 4 2" xfId="34402"/>
    <cellStyle name="40% - Accent2 2 6 2 5" xfId="27117"/>
    <cellStyle name="40% - Accent2 2 6 3" xfId="10316"/>
    <cellStyle name="40% - Accent2 2 6 3 2" xfId="19937"/>
    <cellStyle name="40% - Accent2 2 6 3 2 2" xfId="36158"/>
    <cellStyle name="40% - Accent2 2 6 3 3" xfId="29470"/>
    <cellStyle name="40% - Accent2 2 6 4" xfId="15125"/>
    <cellStyle name="40% - Accent2 2 6 4 2" xfId="31347"/>
    <cellStyle name="40% - Accent2 2 6 5" xfId="18180"/>
    <cellStyle name="40% - Accent2 2 6 5 2" xfId="34401"/>
    <cellStyle name="40% - Accent2 2 6 6" xfId="27118"/>
    <cellStyle name="40% - Accent2 2 7" xfId="5811"/>
    <cellStyle name="40% - Accent2 2 7 2" xfId="10318"/>
    <cellStyle name="40% - Accent2 2 7 2 2" xfId="19939"/>
    <cellStyle name="40% - Accent2 2 7 2 2 2" xfId="36160"/>
    <cellStyle name="40% - Accent2 2 7 2 3" xfId="29472"/>
    <cellStyle name="40% - Accent2 2 7 3" xfId="15918"/>
    <cellStyle name="40% - Accent2 2 7 3 2" xfId="32139"/>
    <cellStyle name="40% - Accent2 2 7 4" xfId="18182"/>
    <cellStyle name="40% - Accent2 2 7 4 2" xfId="34403"/>
    <cellStyle name="40% - Accent2 2 7 5" xfId="27116"/>
    <cellStyle name="40% - Accent2 2 8" xfId="10271"/>
    <cellStyle name="40% - Accent2 2 8 2" xfId="19892"/>
    <cellStyle name="40% - Accent2 2 8 2 2" xfId="36113"/>
    <cellStyle name="40% - Accent2 2 8 3" xfId="29425"/>
    <cellStyle name="40% - Accent2 2 9" xfId="14333"/>
    <cellStyle name="40% - Accent2 2 9 2" xfId="30555"/>
    <cellStyle name="40% - Accent2 3" xfId="5810"/>
    <cellStyle name="40% - Accent2 3 10" xfId="27115"/>
    <cellStyle name="40% - Accent2 3 11" xfId="38976"/>
    <cellStyle name="40% - Accent2 3 2" xfId="5809"/>
    <cellStyle name="40% - Accent2 3 2 10" xfId="39018"/>
    <cellStyle name="40% - Accent2 3 2 2" xfId="5808"/>
    <cellStyle name="40% - Accent2 3 2 2 2" xfId="5807"/>
    <cellStyle name="40% - Accent2 3 2 2 2 2" xfId="5806"/>
    <cellStyle name="40% - Accent2 3 2 2 2 2 2" xfId="10323"/>
    <cellStyle name="40% - Accent2 3 2 2 2 2 2 2" xfId="19944"/>
    <cellStyle name="40% - Accent2 3 2 2 2 2 2 2 2" xfId="36165"/>
    <cellStyle name="40% - Accent2 3 2 2 2 2 2 3" xfId="29477"/>
    <cellStyle name="40% - Accent2 3 2 2 2 2 3" xfId="17139"/>
    <cellStyle name="40% - Accent2 3 2 2 2 2 3 2" xfId="33360"/>
    <cellStyle name="40% - Accent2 3 2 2 2 2 4" xfId="18187"/>
    <cellStyle name="40% - Accent2 3 2 2 2 2 4 2" xfId="34408"/>
    <cellStyle name="40% - Accent2 3 2 2 2 2 5" xfId="27111"/>
    <cellStyle name="40% - Accent2 3 2 2 2 3" xfId="10322"/>
    <cellStyle name="40% - Accent2 3 2 2 2 3 2" xfId="19943"/>
    <cellStyle name="40% - Accent2 3 2 2 2 3 2 2" xfId="36164"/>
    <cellStyle name="40% - Accent2 3 2 2 2 3 3" xfId="29476"/>
    <cellStyle name="40% - Accent2 3 2 2 2 4" xfId="15554"/>
    <cellStyle name="40% - Accent2 3 2 2 2 4 2" xfId="31776"/>
    <cellStyle name="40% - Accent2 3 2 2 2 5" xfId="18186"/>
    <cellStyle name="40% - Accent2 3 2 2 2 5 2" xfId="34407"/>
    <cellStyle name="40% - Accent2 3 2 2 2 6" xfId="27112"/>
    <cellStyle name="40% - Accent2 3 2 2 3" xfId="5805"/>
    <cellStyle name="40% - Accent2 3 2 2 3 2" xfId="10324"/>
    <cellStyle name="40% - Accent2 3 2 2 3 2 2" xfId="19945"/>
    <cellStyle name="40% - Accent2 3 2 2 3 2 2 2" xfId="36166"/>
    <cellStyle name="40% - Accent2 3 2 2 3 2 3" xfId="29478"/>
    <cellStyle name="40% - Accent2 3 2 2 3 3" xfId="16347"/>
    <cellStyle name="40% - Accent2 3 2 2 3 3 2" xfId="32568"/>
    <cellStyle name="40% - Accent2 3 2 2 3 4" xfId="18188"/>
    <cellStyle name="40% - Accent2 3 2 2 3 4 2" xfId="34409"/>
    <cellStyle name="40% - Accent2 3 2 2 3 5" xfId="27110"/>
    <cellStyle name="40% - Accent2 3 2 2 4" xfId="10321"/>
    <cellStyle name="40% - Accent2 3 2 2 4 2" xfId="19942"/>
    <cellStyle name="40% - Accent2 3 2 2 4 2 2" xfId="36163"/>
    <cellStyle name="40% - Accent2 3 2 2 4 3" xfId="29475"/>
    <cellStyle name="40% - Accent2 3 2 2 5" xfId="14762"/>
    <cellStyle name="40% - Accent2 3 2 2 5 2" xfId="30984"/>
    <cellStyle name="40% - Accent2 3 2 2 6" xfId="18185"/>
    <cellStyle name="40% - Accent2 3 2 2 6 2" xfId="34406"/>
    <cellStyle name="40% - Accent2 3 2 2 7" xfId="27113"/>
    <cellStyle name="40% - Accent2 3 2 2 8" xfId="39166"/>
    <cellStyle name="40% - Accent2 3 2 3" xfId="5804"/>
    <cellStyle name="40% - Accent2 3 2 3 2" xfId="5803"/>
    <cellStyle name="40% - Accent2 3 2 3 2 2" xfId="5802"/>
    <cellStyle name="40% - Accent2 3 2 3 2 2 2" xfId="10327"/>
    <cellStyle name="40% - Accent2 3 2 3 2 2 2 2" xfId="19948"/>
    <cellStyle name="40% - Accent2 3 2 3 2 2 2 2 2" xfId="36169"/>
    <cellStyle name="40% - Accent2 3 2 3 2 2 2 3" xfId="29481"/>
    <cellStyle name="40% - Accent2 3 2 3 2 2 3" xfId="17403"/>
    <cellStyle name="40% - Accent2 3 2 3 2 2 3 2" xfId="33624"/>
    <cellStyle name="40% - Accent2 3 2 3 2 2 4" xfId="18191"/>
    <cellStyle name="40% - Accent2 3 2 3 2 2 4 2" xfId="34412"/>
    <cellStyle name="40% - Accent2 3 2 3 2 2 5" xfId="27107"/>
    <cellStyle name="40% - Accent2 3 2 3 2 3" xfId="10326"/>
    <cellStyle name="40% - Accent2 3 2 3 2 3 2" xfId="19947"/>
    <cellStyle name="40% - Accent2 3 2 3 2 3 2 2" xfId="36168"/>
    <cellStyle name="40% - Accent2 3 2 3 2 3 3" xfId="29480"/>
    <cellStyle name="40% - Accent2 3 2 3 2 4" xfId="15818"/>
    <cellStyle name="40% - Accent2 3 2 3 2 4 2" xfId="32040"/>
    <cellStyle name="40% - Accent2 3 2 3 2 5" xfId="18190"/>
    <cellStyle name="40% - Accent2 3 2 3 2 5 2" xfId="34411"/>
    <cellStyle name="40% - Accent2 3 2 3 2 6" xfId="27108"/>
    <cellStyle name="40% - Accent2 3 2 3 3" xfId="5801"/>
    <cellStyle name="40% - Accent2 3 2 3 3 2" xfId="10328"/>
    <cellStyle name="40% - Accent2 3 2 3 3 2 2" xfId="19949"/>
    <cellStyle name="40% - Accent2 3 2 3 3 2 2 2" xfId="36170"/>
    <cellStyle name="40% - Accent2 3 2 3 3 2 3" xfId="29482"/>
    <cellStyle name="40% - Accent2 3 2 3 3 3" xfId="16611"/>
    <cellStyle name="40% - Accent2 3 2 3 3 3 2" xfId="32832"/>
    <cellStyle name="40% - Accent2 3 2 3 3 4" xfId="18192"/>
    <cellStyle name="40% - Accent2 3 2 3 3 4 2" xfId="34413"/>
    <cellStyle name="40% - Accent2 3 2 3 3 5" xfId="27106"/>
    <cellStyle name="40% - Accent2 3 2 3 4" xfId="10325"/>
    <cellStyle name="40% - Accent2 3 2 3 4 2" xfId="19946"/>
    <cellStyle name="40% - Accent2 3 2 3 4 2 2" xfId="36167"/>
    <cellStyle name="40% - Accent2 3 2 3 4 3" xfId="29479"/>
    <cellStyle name="40% - Accent2 3 2 3 5" xfId="15026"/>
    <cellStyle name="40% - Accent2 3 2 3 5 2" xfId="31248"/>
    <cellStyle name="40% - Accent2 3 2 3 6" xfId="18189"/>
    <cellStyle name="40% - Accent2 3 2 3 6 2" xfId="34410"/>
    <cellStyle name="40% - Accent2 3 2 3 7" xfId="27109"/>
    <cellStyle name="40% - Accent2 3 2 3 8" xfId="39314"/>
    <cellStyle name="40% - Accent2 3 2 4" xfId="5800"/>
    <cellStyle name="40% - Accent2 3 2 4 2" xfId="5799"/>
    <cellStyle name="40% - Accent2 3 2 4 2 2" xfId="10330"/>
    <cellStyle name="40% - Accent2 3 2 4 2 2 2" xfId="19951"/>
    <cellStyle name="40% - Accent2 3 2 4 2 2 2 2" xfId="36172"/>
    <cellStyle name="40% - Accent2 3 2 4 2 2 3" xfId="29484"/>
    <cellStyle name="40% - Accent2 3 2 4 2 3" xfId="16875"/>
    <cellStyle name="40% - Accent2 3 2 4 2 3 2" xfId="33096"/>
    <cellStyle name="40% - Accent2 3 2 4 2 4" xfId="18194"/>
    <cellStyle name="40% - Accent2 3 2 4 2 4 2" xfId="34415"/>
    <cellStyle name="40% - Accent2 3 2 4 2 5" xfId="27104"/>
    <cellStyle name="40% - Accent2 3 2 4 3" xfId="10329"/>
    <cellStyle name="40% - Accent2 3 2 4 3 2" xfId="19950"/>
    <cellStyle name="40% - Accent2 3 2 4 3 2 2" xfId="36171"/>
    <cellStyle name="40% - Accent2 3 2 4 3 3" xfId="29483"/>
    <cellStyle name="40% - Accent2 3 2 4 4" xfId="15290"/>
    <cellStyle name="40% - Accent2 3 2 4 4 2" xfId="31512"/>
    <cellStyle name="40% - Accent2 3 2 4 5" xfId="18193"/>
    <cellStyle name="40% - Accent2 3 2 4 5 2" xfId="34414"/>
    <cellStyle name="40% - Accent2 3 2 4 6" xfId="27105"/>
    <cellStyle name="40% - Accent2 3 2 4 7" xfId="39463"/>
    <cellStyle name="40% - Accent2 3 2 5" xfId="5798"/>
    <cellStyle name="40% - Accent2 3 2 5 2" xfId="10331"/>
    <cellStyle name="40% - Accent2 3 2 5 2 2" xfId="19952"/>
    <cellStyle name="40% - Accent2 3 2 5 2 2 2" xfId="36173"/>
    <cellStyle name="40% - Accent2 3 2 5 2 3" xfId="29485"/>
    <cellStyle name="40% - Accent2 3 2 5 3" xfId="16083"/>
    <cellStyle name="40% - Accent2 3 2 5 3 2" xfId="32304"/>
    <cellStyle name="40% - Accent2 3 2 5 4" xfId="18195"/>
    <cellStyle name="40% - Accent2 3 2 5 4 2" xfId="34416"/>
    <cellStyle name="40% - Accent2 3 2 5 5" xfId="27103"/>
    <cellStyle name="40% - Accent2 3 2 6" xfId="10320"/>
    <cellStyle name="40% - Accent2 3 2 6 2" xfId="19941"/>
    <cellStyle name="40% - Accent2 3 2 6 2 2" xfId="36162"/>
    <cellStyle name="40% - Accent2 3 2 6 3" xfId="29474"/>
    <cellStyle name="40% - Accent2 3 2 7" xfId="14498"/>
    <cellStyle name="40% - Accent2 3 2 7 2" xfId="30720"/>
    <cellStyle name="40% - Accent2 3 2 8" xfId="18184"/>
    <cellStyle name="40% - Accent2 3 2 8 2" xfId="34405"/>
    <cellStyle name="40% - Accent2 3 2 9" xfId="27114"/>
    <cellStyle name="40% - Accent2 3 3" xfId="5797"/>
    <cellStyle name="40% - Accent2 3 3 2" xfId="5796"/>
    <cellStyle name="40% - Accent2 3 3 2 2" xfId="5795"/>
    <cellStyle name="40% - Accent2 3 3 2 2 2" xfId="10334"/>
    <cellStyle name="40% - Accent2 3 3 2 2 2 2" xfId="19955"/>
    <cellStyle name="40% - Accent2 3 3 2 2 2 2 2" xfId="36176"/>
    <cellStyle name="40% - Accent2 3 3 2 2 2 3" xfId="29488"/>
    <cellStyle name="40% - Accent2 3 3 2 2 3" xfId="17007"/>
    <cellStyle name="40% - Accent2 3 3 2 2 3 2" xfId="33228"/>
    <cellStyle name="40% - Accent2 3 3 2 2 4" xfId="18198"/>
    <cellStyle name="40% - Accent2 3 3 2 2 4 2" xfId="34419"/>
    <cellStyle name="40% - Accent2 3 3 2 2 5" xfId="27100"/>
    <cellStyle name="40% - Accent2 3 3 2 3" xfId="10333"/>
    <cellStyle name="40% - Accent2 3 3 2 3 2" xfId="19954"/>
    <cellStyle name="40% - Accent2 3 3 2 3 2 2" xfId="36175"/>
    <cellStyle name="40% - Accent2 3 3 2 3 3" xfId="29487"/>
    <cellStyle name="40% - Accent2 3 3 2 4" xfId="15422"/>
    <cellStyle name="40% - Accent2 3 3 2 4 2" xfId="31644"/>
    <cellStyle name="40% - Accent2 3 3 2 5" xfId="18197"/>
    <cellStyle name="40% - Accent2 3 3 2 5 2" xfId="34418"/>
    <cellStyle name="40% - Accent2 3 3 2 6" xfId="27101"/>
    <cellStyle name="40% - Accent2 3 3 3" xfId="5794"/>
    <cellStyle name="40% - Accent2 3 3 3 2" xfId="10335"/>
    <cellStyle name="40% - Accent2 3 3 3 2 2" xfId="19956"/>
    <cellStyle name="40% - Accent2 3 3 3 2 2 2" xfId="36177"/>
    <cellStyle name="40% - Accent2 3 3 3 2 3" xfId="29489"/>
    <cellStyle name="40% - Accent2 3 3 3 3" xfId="16215"/>
    <cellStyle name="40% - Accent2 3 3 3 3 2" xfId="32436"/>
    <cellStyle name="40% - Accent2 3 3 3 4" xfId="18199"/>
    <cellStyle name="40% - Accent2 3 3 3 4 2" xfId="34420"/>
    <cellStyle name="40% - Accent2 3 3 3 5" xfId="27099"/>
    <cellStyle name="40% - Accent2 3 3 4" xfId="10332"/>
    <cellStyle name="40% - Accent2 3 3 4 2" xfId="19953"/>
    <cellStyle name="40% - Accent2 3 3 4 2 2" xfId="36174"/>
    <cellStyle name="40% - Accent2 3 3 4 3" xfId="29486"/>
    <cellStyle name="40% - Accent2 3 3 5" xfId="14630"/>
    <cellStyle name="40% - Accent2 3 3 5 2" xfId="30852"/>
    <cellStyle name="40% - Accent2 3 3 6" xfId="18196"/>
    <cellStyle name="40% - Accent2 3 3 6 2" xfId="34417"/>
    <cellStyle name="40% - Accent2 3 3 7" xfId="27102"/>
    <cellStyle name="40% - Accent2 3 3 8" xfId="39110"/>
    <cellStyle name="40% - Accent2 3 4" xfId="5793"/>
    <cellStyle name="40% - Accent2 3 4 2" xfId="5792"/>
    <cellStyle name="40% - Accent2 3 4 2 2" xfId="5791"/>
    <cellStyle name="40% - Accent2 3 4 2 2 2" xfId="10338"/>
    <cellStyle name="40% - Accent2 3 4 2 2 2 2" xfId="19959"/>
    <cellStyle name="40% - Accent2 3 4 2 2 2 2 2" xfId="36180"/>
    <cellStyle name="40% - Accent2 3 4 2 2 2 3" xfId="29492"/>
    <cellStyle name="40% - Accent2 3 4 2 2 3" xfId="17271"/>
    <cellStyle name="40% - Accent2 3 4 2 2 3 2" xfId="33492"/>
    <cellStyle name="40% - Accent2 3 4 2 2 4" xfId="18202"/>
    <cellStyle name="40% - Accent2 3 4 2 2 4 2" xfId="34423"/>
    <cellStyle name="40% - Accent2 3 4 2 2 5" xfId="27096"/>
    <cellStyle name="40% - Accent2 3 4 2 3" xfId="10337"/>
    <cellStyle name="40% - Accent2 3 4 2 3 2" xfId="19958"/>
    <cellStyle name="40% - Accent2 3 4 2 3 2 2" xfId="36179"/>
    <cellStyle name="40% - Accent2 3 4 2 3 3" xfId="29491"/>
    <cellStyle name="40% - Accent2 3 4 2 4" xfId="15686"/>
    <cellStyle name="40% - Accent2 3 4 2 4 2" xfId="31908"/>
    <cellStyle name="40% - Accent2 3 4 2 5" xfId="18201"/>
    <cellStyle name="40% - Accent2 3 4 2 5 2" xfId="34422"/>
    <cellStyle name="40% - Accent2 3 4 2 6" xfId="27097"/>
    <cellStyle name="40% - Accent2 3 4 3" xfId="5790"/>
    <cellStyle name="40% - Accent2 3 4 3 2" xfId="10339"/>
    <cellStyle name="40% - Accent2 3 4 3 2 2" xfId="19960"/>
    <cellStyle name="40% - Accent2 3 4 3 2 2 2" xfId="36181"/>
    <cellStyle name="40% - Accent2 3 4 3 2 3" xfId="29493"/>
    <cellStyle name="40% - Accent2 3 4 3 3" xfId="16479"/>
    <cellStyle name="40% - Accent2 3 4 3 3 2" xfId="32700"/>
    <cellStyle name="40% - Accent2 3 4 3 4" xfId="18203"/>
    <cellStyle name="40% - Accent2 3 4 3 4 2" xfId="34424"/>
    <cellStyle name="40% - Accent2 3 4 3 5" xfId="27095"/>
    <cellStyle name="40% - Accent2 3 4 4" xfId="10336"/>
    <cellStyle name="40% - Accent2 3 4 4 2" xfId="19957"/>
    <cellStyle name="40% - Accent2 3 4 4 2 2" xfId="36178"/>
    <cellStyle name="40% - Accent2 3 4 4 3" xfId="29490"/>
    <cellStyle name="40% - Accent2 3 4 5" xfId="14894"/>
    <cellStyle name="40% - Accent2 3 4 5 2" xfId="31116"/>
    <cellStyle name="40% - Accent2 3 4 6" xfId="18200"/>
    <cellStyle name="40% - Accent2 3 4 6 2" xfId="34421"/>
    <cellStyle name="40% - Accent2 3 4 7" xfId="27098"/>
    <cellStyle name="40% - Accent2 3 4 8" xfId="39258"/>
    <cellStyle name="40% - Accent2 3 5" xfId="5789"/>
    <cellStyle name="40% - Accent2 3 5 2" xfId="5788"/>
    <cellStyle name="40% - Accent2 3 5 2 2" xfId="10341"/>
    <cellStyle name="40% - Accent2 3 5 2 2 2" xfId="19962"/>
    <cellStyle name="40% - Accent2 3 5 2 2 2 2" xfId="36183"/>
    <cellStyle name="40% - Accent2 3 5 2 2 3" xfId="29495"/>
    <cellStyle name="40% - Accent2 3 5 2 3" xfId="16743"/>
    <cellStyle name="40% - Accent2 3 5 2 3 2" xfId="32964"/>
    <cellStyle name="40% - Accent2 3 5 2 4" xfId="18205"/>
    <cellStyle name="40% - Accent2 3 5 2 4 2" xfId="34426"/>
    <cellStyle name="40% - Accent2 3 5 2 5" xfId="27093"/>
    <cellStyle name="40% - Accent2 3 5 3" xfId="10340"/>
    <cellStyle name="40% - Accent2 3 5 3 2" xfId="19961"/>
    <cellStyle name="40% - Accent2 3 5 3 2 2" xfId="36182"/>
    <cellStyle name="40% - Accent2 3 5 3 3" xfId="29494"/>
    <cellStyle name="40% - Accent2 3 5 4" xfId="15158"/>
    <cellStyle name="40% - Accent2 3 5 4 2" xfId="31380"/>
    <cellStyle name="40% - Accent2 3 5 5" xfId="18204"/>
    <cellStyle name="40% - Accent2 3 5 5 2" xfId="34425"/>
    <cellStyle name="40% - Accent2 3 5 6" xfId="27094"/>
    <cellStyle name="40% - Accent2 3 5 7" xfId="39407"/>
    <cellStyle name="40% - Accent2 3 6" xfId="5787"/>
    <cellStyle name="40% - Accent2 3 6 2" xfId="10342"/>
    <cellStyle name="40% - Accent2 3 6 2 2" xfId="19963"/>
    <cellStyle name="40% - Accent2 3 6 2 2 2" xfId="36184"/>
    <cellStyle name="40% - Accent2 3 6 2 3" xfId="29496"/>
    <cellStyle name="40% - Accent2 3 6 3" xfId="15951"/>
    <cellStyle name="40% - Accent2 3 6 3 2" xfId="32172"/>
    <cellStyle name="40% - Accent2 3 6 4" xfId="18206"/>
    <cellStyle name="40% - Accent2 3 6 4 2" xfId="34427"/>
    <cellStyle name="40% - Accent2 3 6 5" xfId="27092"/>
    <cellStyle name="40% - Accent2 3 7" xfId="10319"/>
    <cellStyle name="40% - Accent2 3 7 2" xfId="19940"/>
    <cellStyle name="40% - Accent2 3 7 2 2" xfId="36161"/>
    <cellStyle name="40% - Accent2 3 7 3" xfId="29473"/>
    <cellStyle name="40% - Accent2 3 8" xfId="14366"/>
    <cellStyle name="40% - Accent2 3 8 2" xfId="30588"/>
    <cellStyle name="40% - Accent2 3 9" xfId="18183"/>
    <cellStyle name="40% - Accent2 3 9 2" xfId="34404"/>
    <cellStyle name="40% - Accent2 4" xfId="5786"/>
    <cellStyle name="40% - Accent2 4 10" xfId="38989"/>
    <cellStyle name="40% - Accent2 4 2" xfId="5785"/>
    <cellStyle name="40% - Accent2 4 2 2" xfId="5784"/>
    <cellStyle name="40% - Accent2 4 2 2 2" xfId="5783"/>
    <cellStyle name="40% - Accent2 4 2 2 2 2" xfId="10346"/>
    <cellStyle name="40% - Accent2 4 2 2 2 2 2" xfId="19967"/>
    <cellStyle name="40% - Accent2 4 2 2 2 2 2 2" xfId="36188"/>
    <cellStyle name="40% - Accent2 4 2 2 2 2 3" xfId="29500"/>
    <cellStyle name="40% - Accent2 4 2 2 2 3" xfId="17073"/>
    <cellStyle name="40% - Accent2 4 2 2 2 3 2" xfId="33294"/>
    <cellStyle name="40% - Accent2 4 2 2 2 4" xfId="18210"/>
    <cellStyle name="40% - Accent2 4 2 2 2 4 2" xfId="34431"/>
    <cellStyle name="40% - Accent2 4 2 2 2 5" xfId="27088"/>
    <cellStyle name="40% - Accent2 4 2 2 3" xfId="10345"/>
    <cellStyle name="40% - Accent2 4 2 2 3 2" xfId="19966"/>
    <cellStyle name="40% - Accent2 4 2 2 3 2 2" xfId="36187"/>
    <cellStyle name="40% - Accent2 4 2 2 3 3" xfId="29499"/>
    <cellStyle name="40% - Accent2 4 2 2 4" xfId="15488"/>
    <cellStyle name="40% - Accent2 4 2 2 4 2" xfId="31710"/>
    <cellStyle name="40% - Accent2 4 2 2 5" xfId="18209"/>
    <cellStyle name="40% - Accent2 4 2 2 5 2" xfId="34430"/>
    <cellStyle name="40% - Accent2 4 2 2 6" xfId="27089"/>
    <cellStyle name="40% - Accent2 4 2 2 7" xfId="39179"/>
    <cellStyle name="40% - Accent2 4 2 3" xfId="5782"/>
    <cellStyle name="40% - Accent2 4 2 3 2" xfId="10347"/>
    <cellStyle name="40% - Accent2 4 2 3 2 2" xfId="19968"/>
    <cellStyle name="40% - Accent2 4 2 3 2 2 2" xfId="36189"/>
    <cellStyle name="40% - Accent2 4 2 3 2 3" xfId="29501"/>
    <cellStyle name="40% - Accent2 4 2 3 3" xfId="16281"/>
    <cellStyle name="40% - Accent2 4 2 3 3 2" xfId="32502"/>
    <cellStyle name="40% - Accent2 4 2 3 4" xfId="18211"/>
    <cellStyle name="40% - Accent2 4 2 3 4 2" xfId="34432"/>
    <cellStyle name="40% - Accent2 4 2 3 5" xfId="27087"/>
    <cellStyle name="40% - Accent2 4 2 3 6" xfId="39327"/>
    <cellStyle name="40% - Accent2 4 2 4" xfId="10344"/>
    <cellStyle name="40% - Accent2 4 2 4 2" xfId="19965"/>
    <cellStyle name="40% - Accent2 4 2 4 2 2" xfId="36186"/>
    <cellStyle name="40% - Accent2 4 2 4 3" xfId="29498"/>
    <cellStyle name="40% - Accent2 4 2 4 4" xfId="39476"/>
    <cellStyle name="40% - Accent2 4 2 5" xfId="14696"/>
    <cellStyle name="40% - Accent2 4 2 5 2" xfId="30918"/>
    <cellStyle name="40% - Accent2 4 2 6" xfId="18208"/>
    <cellStyle name="40% - Accent2 4 2 6 2" xfId="34429"/>
    <cellStyle name="40% - Accent2 4 2 7" xfId="27090"/>
    <cellStyle name="40% - Accent2 4 2 8" xfId="39031"/>
    <cellStyle name="40% - Accent2 4 3" xfId="5781"/>
    <cellStyle name="40% - Accent2 4 3 2" xfId="5780"/>
    <cellStyle name="40% - Accent2 4 3 2 2" xfId="5779"/>
    <cellStyle name="40% - Accent2 4 3 2 2 2" xfId="10350"/>
    <cellStyle name="40% - Accent2 4 3 2 2 2 2" xfId="19971"/>
    <cellStyle name="40% - Accent2 4 3 2 2 2 2 2" xfId="36192"/>
    <cellStyle name="40% - Accent2 4 3 2 2 2 3" xfId="29504"/>
    <cellStyle name="40% - Accent2 4 3 2 2 3" xfId="17337"/>
    <cellStyle name="40% - Accent2 4 3 2 2 3 2" xfId="33558"/>
    <cellStyle name="40% - Accent2 4 3 2 2 4" xfId="18214"/>
    <cellStyle name="40% - Accent2 4 3 2 2 4 2" xfId="34435"/>
    <cellStyle name="40% - Accent2 4 3 2 2 5" xfId="27084"/>
    <cellStyle name="40% - Accent2 4 3 2 3" xfId="10349"/>
    <cellStyle name="40% - Accent2 4 3 2 3 2" xfId="19970"/>
    <cellStyle name="40% - Accent2 4 3 2 3 2 2" xfId="36191"/>
    <cellStyle name="40% - Accent2 4 3 2 3 3" xfId="29503"/>
    <cellStyle name="40% - Accent2 4 3 2 4" xfId="15752"/>
    <cellStyle name="40% - Accent2 4 3 2 4 2" xfId="31974"/>
    <cellStyle name="40% - Accent2 4 3 2 5" xfId="18213"/>
    <cellStyle name="40% - Accent2 4 3 2 5 2" xfId="34434"/>
    <cellStyle name="40% - Accent2 4 3 2 6" xfId="27085"/>
    <cellStyle name="40% - Accent2 4 3 3" xfId="5778"/>
    <cellStyle name="40% - Accent2 4 3 3 2" xfId="10351"/>
    <cellStyle name="40% - Accent2 4 3 3 2 2" xfId="19972"/>
    <cellStyle name="40% - Accent2 4 3 3 2 2 2" xfId="36193"/>
    <cellStyle name="40% - Accent2 4 3 3 2 3" xfId="29505"/>
    <cellStyle name="40% - Accent2 4 3 3 3" xfId="16545"/>
    <cellStyle name="40% - Accent2 4 3 3 3 2" xfId="32766"/>
    <cellStyle name="40% - Accent2 4 3 3 4" xfId="18215"/>
    <cellStyle name="40% - Accent2 4 3 3 4 2" xfId="34436"/>
    <cellStyle name="40% - Accent2 4 3 3 5" xfId="27083"/>
    <cellStyle name="40% - Accent2 4 3 4" xfId="10348"/>
    <cellStyle name="40% - Accent2 4 3 4 2" xfId="19969"/>
    <cellStyle name="40% - Accent2 4 3 4 2 2" xfId="36190"/>
    <cellStyle name="40% - Accent2 4 3 4 3" xfId="29502"/>
    <cellStyle name="40% - Accent2 4 3 5" xfId="14960"/>
    <cellStyle name="40% - Accent2 4 3 5 2" xfId="31182"/>
    <cellStyle name="40% - Accent2 4 3 6" xfId="18212"/>
    <cellStyle name="40% - Accent2 4 3 6 2" xfId="34433"/>
    <cellStyle name="40% - Accent2 4 3 7" xfId="27086"/>
    <cellStyle name="40% - Accent2 4 3 8" xfId="39123"/>
    <cellStyle name="40% - Accent2 4 4" xfId="5777"/>
    <cellStyle name="40% - Accent2 4 4 2" xfId="5776"/>
    <cellStyle name="40% - Accent2 4 4 2 2" xfId="10353"/>
    <cellStyle name="40% - Accent2 4 4 2 2 2" xfId="19974"/>
    <cellStyle name="40% - Accent2 4 4 2 2 2 2" xfId="36195"/>
    <cellStyle name="40% - Accent2 4 4 2 2 3" xfId="29507"/>
    <cellStyle name="40% - Accent2 4 4 2 3" xfId="16809"/>
    <cellStyle name="40% - Accent2 4 4 2 3 2" xfId="33030"/>
    <cellStyle name="40% - Accent2 4 4 2 4" xfId="18217"/>
    <cellStyle name="40% - Accent2 4 4 2 4 2" xfId="34438"/>
    <cellStyle name="40% - Accent2 4 4 2 5" xfId="27081"/>
    <cellStyle name="40% - Accent2 4 4 3" xfId="10352"/>
    <cellStyle name="40% - Accent2 4 4 3 2" xfId="19973"/>
    <cellStyle name="40% - Accent2 4 4 3 2 2" xfId="36194"/>
    <cellStyle name="40% - Accent2 4 4 3 3" xfId="29506"/>
    <cellStyle name="40% - Accent2 4 4 4" xfId="15224"/>
    <cellStyle name="40% - Accent2 4 4 4 2" xfId="31446"/>
    <cellStyle name="40% - Accent2 4 4 5" xfId="18216"/>
    <cellStyle name="40% - Accent2 4 4 5 2" xfId="34437"/>
    <cellStyle name="40% - Accent2 4 4 6" xfId="27082"/>
    <cellStyle name="40% - Accent2 4 4 7" xfId="39271"/>
    <cellStyle name="40% - Accent2 4 5" xfId="5775"/>
    <cellStyle name="40% - Accent2 4 5 2" xfId="10354"/>
    <cellStyle name="40% - Accent2 4 5 2 2" xfId="19975"/>
    <cellStyle name="40% - Accent2 4 5 2 2 2" xfId="36196"/>
    <cellStyle name="40% - Accent2 4 5 2 3" xfId="29508"/>
    <cellStyle name="40% - Accent2 4 5 3" xfId="16017"/>
    <cellStyle name="40% - Accent2 4 5 3 2" xfId="32238"/>
    <cellStyle name="40% - Accent2 4 5 4" xfId="18218"/>
    <cellStyle name="40% - Accent2 4 5 4 2" xfId="34439"/>
    <cellStyle name="40% - Accent2 4 5 5" xfId="27080"/>
    <cellStyle name="40% - Accent2 4 5 6" xfId="39420"/>
    <cellStyle name="40% - Accent2 4 6" xfId="10343"/>
    <cellStyle name="40% - Accent2 4 6 2" xfId="19964"/>
    <cellStyle name="40% - Accent2 4 6 2 2" xfId="36185"/>
    <cellStyle name="40% - Accent2 4 6 3" xfId="29497"/>
    <cellStyle name="40% - Accent2 4 7" xfId="14432"/>
    <cellStyle name="40% - Accent2 4 7 2" xfId="30654"/>
    <cellStyle name="40% - Accent2 4 8" xfId="18207"/>
    <cellStyle name="40% - Accent2 4 8 2" xfId="34428"/>
    <cellStyle name="40% - Accent2 4 9" xfId="27091"/>
    <cellStyle name="40% - Accent2 5" xfId="5774"/>
    <cellStyle name="40% - Accent2 5 2" xfId="5773"/>
    <cellStyle name="40% - Accent2 5 2 2" xfId="5772"/>
    <cellStyle name="40% - Accent2 5 2 2 2" xfId="10357"/>
    <cellStyle name="40% - Accent2 5 2 2 2 2" xfId="19978"/>
    <cellStyle name="40% - Accent2 5 2 2 2 2 2" xfId="36199"/>
    <cellStyle name="40% - Accent2 5 2 2 2 3" xfId="29511"/>
    <cellStyle name="40% - Accent2 5 2 2 3" xfId="16941"/>
    <cellStyle name="40% - Accent2 5 2 2 3 2" xfId="33162"/>
    <cellStyle name="40% - Accent2 5 2 2 4" xfId="18221"/>
    <cellStyle name="40% - Accent2 5 2 2 4 2" xfId="34442"/>
    <cellStyle name="40% - Accent2 5 2 2 5" xfId="27077"/>
    <cellStyle name="40% - Accent2 5 2 3" xfId="10356"/>
    <cellStyle name="40% - Accent2 5 2 3 2" xfId="19977"/>
    <cellStyle name="40% - Accent2 5 2 3 2 2" xfId="36198"/>
    <cellStyle name="40% - Accent2 5 2 3 3" xfId="29510"/>
    <cellStyle name="40% - Accent2 5 2 4" xfId="15356"/>
    <cellStyle name="40% - Accent2 5 2 4 2" xfId="31578"/>
    <cellStyle name="40% - Accent2 5 2 5" xfId="18220"/>
    <cellStyle name="40% - Accent2 5 2 5 2" xfId="34441"/>
    <cellStyle name="40% - Accent2 5 2 6" xfId="27078"/>
    <cellStyle name="40% - Accent2 5 2 7" xfId="39139"/>
    <cellStyle name="40% - Accent2 5 3" xfId="5771"/>
    <cellStyle name="40% - Accent2 5 3 2" xfId="10358"/>
    <cellStyle name="40% - Accent2 5 3 2 2" xfId="19979"/>
    <cellStyle name="40% - Accent2 5 3 2 2 2" xfId="36200"/>
    <cellStyle name="40% - Accent2 5 3 2 3" xfId="29512"/>
    <cellStyle name="40% - Accent2 5 3 3" xfId="16149"/>
    <cellStyle name="40% - Accent2 5 3 3 2" xfId="32370"/>
    <cellStyle name="40% - Accent2 5 3 4" xfId="18222"/>
    <cellStyle name="40% - Accent2 5 3 4 2" xfId="34443"/>
    <cellStyle name="40% - Accent2 5 3 5" xfId="27076"/>
    <cellStyle name="40% - Accent2 5 3 6" xfId="39287"/>
    <cellStyle name="40% - Accent2 5 4" xfId="10355"/>
    <cellStyle name="40% - Accent2 5 4 2" xfId="19976"/>
    <cellStyle name="40% - Accent2 5 4 2 2" xfId="36197"/>
    <cellStyle name="40% - Accent2 5 4 3" xfId="29509"/>
    <cellStyle name="40% - Accent2 5 4 4" xfId="39436"/>
    <cellStyle name="40% - Accent2 5 5" xfId="14564"/>
    <cellStyle name="40% - Accent2 5 5 2" xfId="30786"/>
    <cellStyle name="40% - Accent2 5 6" xfId="18219"/>
    <cellStyle name="40% - Accent2 5 6 2" xfId="34440"/>
    <cellStyle name="40% - Accent2 5 7" xfId="27079"/>
    <cellStyle name="40% - Accent2 5 8" xfId="39005"/>
    <cellStyle name="40% - Accent2 6" xfId="5770"/>
    <cellStyle name="40% - Accent2 6 2" xfId="5769"/>
    <cellStyle name="40% - Accent2 6 2 2" xfId="5768"/>
    <cellStyle name="40% - Accent2 6 2 2 2" xfId="10361"/>
    <cellStyle name="40% - Accent2 6 2 2 2 2" xfId="19982"/>
    <cellStyle name="40% - Accent2 6 2 2 2 2 2" xfId="36203"/>
    <cellStyle name="40% - Accent2 6 2 2 2 3" xfId="29515"/>
    <cellStyle name="40% - Accent2 6 2 2 3" xfId="17205"/>
    <cellStyle name="40% - Accent2 6 2 2 3 2" xfId="33426"/>
    <cellStyle name="40% - Accent2 6 2 2 4" xfId="18225"/>
    <cellStyle name="40% - Accent2 6 2 2 4 2" xfId="34446"/>
    <cellStyle name="40% - Accent2 6 2 2 5" xfId="27073"/>
    <cellStyle name="40% - Accent2 6 2 3" xfId="10360"/>
    <cellStyle name="40% - Accent2 6 2 3 2" xfId="19981"/>
    <cellStyle name="40% - Accent2 6 2 3 2 2" xfId="36202"/>
    <cellStyle name="40% - Accent2 6 2 3 3" xfId="29514"/>
    <cellStyle name="40% - Accent2 6 2 4" xfId="15620"/>
    <cellStyle name="40% - Accent2 6 2 4 2" xfId="31842"/>
    <cellStyle name="40% - Accent2 6 2 5" xfId="18224"/>
    <cellStyle name="40% - Accent2 6 2 5 2" xfId="34445"/>
    <cellStyle name="40% - Accent2 6 2 6" xfId="27074"/>
    <cellStyle name="40% - Accent2 6 3" xfId="5767"/>
    <cellStyle name="40% - Accent2 6 3 2" xfId="10362"/>
    <cellStyle name="40% - Accent2 6 3 2 2" xfId="19983"/>
    <cellStyle name="40% - Accent2 6 3 2 2 2" xfId="36204"/>
    <cellStyle name="40% - Accent2 6 3 2 3" xfId="29516"/>
    <cellStyle name="40% - Accent2 6 3 3" xfId="16413"/>
    <cellStyle name="40% - Accent2 6 3 3 2" xfId="32634"/>
    <cellStyle name="40% - Accent2 6 3 4" xfId="18226"/>
    <cellStyle name="40% - Accent2 6 3 4 2" xfId="34447"/>
    <cellStyle name="40% - Accent2 6 3 5" xfId="27072"/>
    <cellStyle name="40% - Accent2 6 4" xfId="10359"/>
    <cellStyle name="40% - Accent2 6 4 2" xfId="19980"/>
    <cellStyle name="40% - Accent2 6 4 2 2" xfId="36201"/>
    <cellStyle name="40% - Accent2 6 4 3" xfId="29513"/>
    <cellStyle name="40% - Accent2 6 5" xfId="14828"/>
    <cellStyle name="40% - Accent2 6 5 2" xfId="31050"/>
    <cellStyle name="40% - Accent2 6 6" xfId="18223"/>
    <cellStyle name="40% - Accent2 6 6 2" xfId="34444"/>
    <cellStyle name="40% - Accent2 6 7" xfId="27075"/>
    <cellStyle name="40% - Accent2 6 8" xfId="39079"/>
    <cellStyle name="40% - Accent2 7" xfId="5766"/>
    <cellStyle name="40% - Accent2 7 2" xfId="5765"/>
    <cellStyle name="40% - Accent2 7 2 2" xfId="10364"/>
    <cellStyle name="40% - Accent2 7 2 2 2" xfId="19985"/>
    <cellStyle name="40% - Accent2 7 2 2 2 2" xfId="36206"/>
    <cellStyle name="40% - Accent2 7 2 2 3" xfId="29518"/>
    <cellStyle name="40% - Accent2 7 2 3" xfId="16677"/>
    <cellStyle name="40% - Accent2 7 2 3 2" xfId="32898"/>
    <cellStyle name="40% - Accent2 7 2 4" xfId="18228"/>
    <cellStyle name="40% - Accent2 7 2 4 2" xfId="34449"/>
    <cellStyle name="40% - Accent2 7 2 5" xfId="27070"/>
    <cellStyle name="40% - Accent2 7 3" xfId="10363"/>
    <cellStyle name="40% - Accent2 7 3 2" xfId="19984"/>
    <cellStyle name="40% - Accent2 7 3 2 2" xfId="36205"/>
    <cellStyle name="40% - Accent2 7 3 3" xfId="29517"/>
    <cellStyle name="40% - Accent2 7 4" xfId="15092"/>
    <cellStyle name="40% - Accent2 7 4 2" xfId="31314"/>
    <cellStyle name="40% - Accent2 7 5" xfId="18227"/>
    <cellStyle name="40% - Accent2 7 5 2" xfId="34448"/>
    <cellStyle name="40% - Accent2 7 6" xfId="27071"/>
    <cellStyle name="40% - Accent2 7 7" xfId="39227"/>
    <cellStyle name="40% - Accent2 8" xfId="5764"/>
    <cellStyle name="40% - Accent2 8 2" xfId="10365"/>
    <cellStyle name="40% - Accent2 8 2 2" xfId="19986"/>
    <cellStyle name="40% - Accent2 8 2 2 2" xfId="36207"/>
    <cellStyle name="40% - Accent2 8 2 3" xfId="29519"/>
    <cellStyle name="40% - Accent2 8 3" xfId="15885"/>
    <cellStyle name="40% - Accent2 8 3 2" xfId="32106"/>
    <cellStyle name="40% - Accent2 8 4" xfId="18229"/>
    <cellStyle name="40% - Accent2 8 4 2" xfId="34450"/>
    <cellStyle name="40% - Accent2 8 5" xfId="27069"/>
    <cellStyle name="40% - Accent2 8 6" xfId="39376"/>
    <cellStyle name="40% - Accent2 9" xfId="10270"/>
    <cellStyle name="40% - Accent2 9 2" xfId="19891"/>
    <cellStyle name="40% - Accent2 9 2 2" xfId="36112"/>
    <cellStyle name="40% - Accent2 9 3" xfId="29424"/>
    <cellStyle name="40% - Accent3" xfId="44" builtinId="39" customBuiltin="1"/>
    <cellStyle name="40% - Accent3 10" xfId="14232"/>
    <cellStyle name="40% - Accent3 10 2" xfId="30519"/>
    <cellStyle name="40% - Accent3 11" xfId="18230"/>
    <cellStyle name="40% - Accent3 11 2" xfId="34451"/>
    <cellStyle name="40% - Accent3 12" xfId="26988"/>
    <cellStyle name="40% - Accent3 13" xfId="38907"/>
    <cellStyle name="40% - Accent3 14" xfId="4839"/>
    <cellStyle name="40% - Accent3 2" xfId="4874"/>
    <cellStyle name="40% - Accent3 2 10" xfId="18231"/>
    <cellStyle name="40% - Accent3 2 10 2" xfId="34452"/>
    <cellStyle name="40% - Accent3 2 11" xfId="27010"/>
    <cellStyle name="40% - Accent3 2 12" xfId="38776"/>
    <cellStyle name="40% - Accent3 2 2" xfId="5763"/>
    <cellStyle name="40% - Accent3 2 2 10" xfId="27068"/>
    <cellStyle name="40% - Accent3 2 2 11" xfId="38965"/>
    <cellStyle name="40% - Accent3 2 2 2" xfId="5762"/>
    <cellStyle name="40% - Accent3 2 2 2 10" xfId="39155"/>
    <cellStyle name="40% - Accent3 2 2 2 2" xfId="5761"/>
    <cellStyle name="40% - Accent3 2 2 2 2 2" xfId="5760"/>
    <cellStyle name="40% - Accent3 2 2 2 2 2 2" xfId="5759"/>
    <cellStyle name="40% - Accent3 2 2 2 2 2 2 2" xfId="10372"/>
    <cellStyle name="40% - Accent3 2 2 2 2 2 2 2 2" xfId="19993"/>
    <cellStyle name="40% - Accent3 2 2 2 2 2 2 2 2 2" xfId="36214"/>
    <cellStyle name="40% - Accent3 2 2 2 2 2 2 2 3" xfId="29526"/>
    <cellStyle name="40% - Accent3 2 2 2 2 2 2 3" xfId="17173"/>
    <cellStyle name="40% - Accent3 2 2 2 2 2 2 3 2" xfId="33394"/>
    <cellStyle name="40% - Accent3 2 2 2 2 2 2 4" xfId="18236"/>
    <cellStyle name="40% - Accent3 2 2 2 2 2 2 4 2" xfId="34457"/>
    <cellStyle name="40% - Accent3 2 2 2 2 2 2 5" xfId="27064"/>
    <cellStyle name="40% - Accent3 2 2 2 2 2 3" xfId="10371"/>
    <cellStyle name="40% - Accent3 2 2 2 2 2 3 2" xfId="19992"/>
    <cellStyle name="40% - Accent3 2 2 2 2 2 3 2 2" xfId="36213"/>
    <cellStyle name="40% - Accent3 2 2 2 2 2 3 3" xfId="29525"/>
    <cellStyle name="40% - Accent3 2 2 2 2 2 4" xfId="15588"/>
    <cellStyle name="40% - Accent3 2 2 2 2 2 4 2" xfId="31810"/>
    <cellStyle name="40% - Accent3 2 2 2 2 2 5" xfId="18235"/>
    <cellStyle name="40% - Accent3 2 2 2 2 2 5 2" xfId="34456"/>
    <cellStyle name="40% - Accent3 2 2 2 2 2 6" xfId="27065"/>
    <cellStyle name="40% - Accent3 2 2 2 2 3" xfId="5758"/>
    <cellStyle name="40% - Accent3 2 2 2 2 3 2" xfId="10373"/>
    <cellStyle name="40% - Accent3 2 2 2 2 3 2 2" xfId="19994"/>
    <cellStyle name="40% - Accent3 2 2 2 2 3 2 2 2" xfId="36215"/>
    <cellStyle name="40% - Accent3 2 2 2 2 3 2 3" xfId="29527"/>
    <cellStyle name="40% - Accent3 2 2 2 2 3 3" xfId="16381"/>
    <cellStyle name="40% - Accent3 2 2 2 2 3 3 2" xfId="32602"/>
    <cellStyle name="40% - Accent3 2 2 2 2 3 4" xfId="18237"/>
    <cellStyle name="40% - Accent3 2 2 2 2 3 4 2" xfId="34458"/>
    <cellStyle name="40% - Accent3 2 2 2 2 3 5" xfId="27063"/>
    <cellStyle name="40% - Accent3 2 2 2 2 4" xfId="10370"/>
    <cellStyle name="40% - Accent3 2 2 2 2 4 2" xfId="19991"/>
    <cellStyle name="40% - Accent3 2 2 2 2 4 2 2" xfId="36212"/>
    <cellStyle name="40% - Accent3 2 2 2 2 4 3" xfId="29524"/>
    <cellStyle name="40% - Accent3 2 2 2 2 5" xfId="14796"/>
    <cellStyle name="40% - Accent3 2 2 2 2 5 2" xfId="31018"/>
    <cellStyle name="40% - Accent3 2 2 2 2 6" xfId="18234"/>
    <cellStyle name="40% - Accent3 2 2 2 2 6 2" xfId="34455"/>
    <cellStyle name="40% - Accent3 2 2 2 2 7" xfId="27066"/>
    <cellStyle name="40% - Accent3 2 2 2 3" xfId="5757"/>
    <cellStyle name="40% - Accent3 2 2 2 3 2" xfId="5756"/>
    <cellStyle name="40% - Accent3 2 2 2 3 2 2" xfId="5755"/>
    <cellStyle name="40% - Accent3 2 2 2 3 2 2 2" xfId="10376"/>
    <cellStyle name="40% - Accent3 2 2 2 3 2 2 2 2" xfId="19997"/>
    <cellStyle name="40% - Accent3 2 2 2 3 2 2 2 2 2" xfId="36218"/>
    <cellStyle name="40% - Accent3 2 2 2 3 2 2 2 3" xfId="29530"/>
    <cellStyle name="40% - Accent3 2 2 2 3 2 2 3" xfId="17437"/>
    <cellStyle name="40% - Accent3 2 2 2 3 2 2 3 2" xfId="33658"/>
    <cellStyle name="40% - Accent3 2 2 2 3 2 2 4" xfId="18240"/>
    <cellStyle name="40% - Accent3 2 2 2 3 2 2 4 2" xfId="34461"/>
    <cellStyle name="40% - Accent3 2 2 2 3 2 2 5" xfId="27060"/>
    <cellStyle name="40% - Accent3 2 2 2 3 2 3" xfId="10375"/>
    <cellStyle name="40% - Accent3 2 2 2 3 2 3 2" xfId="19996"/>
    <cellStyle name="40% - Accent3 2 2 2 3 2 3 2 2" xfId="36217"/>
    <cellStyle name="40% - Accent3 2 2 2 3 2 3 3" xfId="29529"/>
    <cellStyle name="40% - Accent3 2 2 2 3 2 4" xfId="15852"/>
    <cellStyle name="40% - Accent3 2 2 2 3 2 4 2" xfId="32074"/>
    <cellStyle name="40% - Accent3 2 2 2 3 2 5" xfId="18239"/>
    <cellStyle name="40% - Accent3 2 2 2 3 2 5 2" xfId="34460"/>
    <cellStyle name="40% - Accent3 2 2 2 3 2 6" xfId="27061"/>
    <cellStyle name="40% - Accent3 2 2 2 3 3" xfId="5754"/>
    <cellStyle name="40% - Accent3 2 2 2 3 3 2" xfId="10377"/>
    <cellStyle name="40% - Accent3 2 2 2 3 3 2 2" xfId="19998"/>
    <cellStyle name="40% - Accent3 2 2 2 3 3 2 2 2" xfId="36219"/>
    <cellStyle name="40% - Accent3 2 2 2 3 3 2 3" xfId="29531"/>
    <cellStyle name="40% - Accent3 2 2 2 3 3 3" xfId="16645"/>
    <cellStyle name="40% - Accent3 2 2 2 3 3 3 2" xfId="32866"/>
    <cellStyle name="40% - Accent3 2 2 2 3 3 4" xfId="18241"/>
    <cellStyle name="40% - Accent3 2 2 2 3 3 4 2" xfId="34462"/>
    <cellStyle name="40% - Accent3 2 2 2 3 3 5" xfId="27059"/>
    <cellStyle name="40% - Accent3 2 2 2 3 4" xfId="10374"/>
    <cellStyle name="40% - Accent3 2 2 2 3 4 2" xfId="19995"/>
    <cellStyle name="40% - Accent3 2 2 2 3 4 2 2" xfId="36216"/>
    <cellStyle name="40% - Accent3 2 2 2 3 4 3" xfId="29528"/>
    <cellStyle name="40% - Accent3 2 2 2 3 5" xfId="15060"/>
    <cellStyle name="40% - Accent3 2 2 2 3 5 2" xfId="31282"/>
    <cellStyle name="40% - Accent3 2 2 2 3 6" xfId="18238"/>
    <cellStyle name="40% - Accent3 2 2 2 3 6 2" xfId="34459"/>
    <cellStyle name="40% - Accent3 2 2 2 3 7" xfId="27062"/>
    <cellStyle name="40% - Accent3 2 2 2 4" xfId="5753"/>
    <cellStyle name="40% - Accent3 2 2 2 4 2" xfId="5752"/>
    <cellStyle name="40% - Accent3 2 2 2 4 2 2" xfId="10379"/>
    <cellStyle name="40% - Accent3 2 2 2 4 2 2 2" xfId="20000"/>
    <cellStyle name="40% - Accent3 2 2 2 4 2 2 2 2" xfId="36221"/>
    <cellStyle name="40% - Accent3 2 2 2 4 2 2 3" xfId="29533"/>
    <cellStyle name="40% - Accent3 2 2 2 4 2 3" xfId="16909"/>
    <cellStyle name="40% - Accent3 2 2 2 4 2 3 2" xfId="33130"/>
    <cellStyle name="40% - Accent3 2 2 2 4 2 4" xfId="18243"/>
    <cellStyle name="40% - Accent3 2 2 2 4 2 4 2" xfId="34464"/>
    <cellStyle name="40% - Accent3 2 2 2 4 2 5" xfId="27057"/>
    <cellStyle name="40% - Accent3 2 2 2 4 3" xfId="10378"/>
    <cellStyle name="40% - Accent3 2 2 2 4 3 2" xfId="19999"/>
    <cellStyle name="40% - Accent3 2 2 2 4 3 2 2" xfId="36220"/>
    <cellStyle name="40% - Accent3 2 2 2 4 3 3" xfId="29532"/>
    <cellStyle name="40% - Accent3 2 2 2 4 4" xfId="15324"/>
    <cellStyle name="40% - Accent3 2 2 2 4 4 2" xfId="31546"/>
    <cellStyle name="40% - Accent3 2 2 2 4 5" xfId="18242"/>
    <cellStyle name="40% - Accent3 2 2 2 4 5 2" xfId="34463"/>
    <cellStyle name="40% - Accent3 2 2 2 4 6" xfId="27058"/>
    <cellStyle name="40% - Accent3 2 2 2 5" xfId="5751"/>
    <cellStyle name="40% - Accent3 2 2 2 5 2" xfId="10380"/>
    <cellStyle name="40% - Accent3 2 2 2 5 2 2" xfId="20001"/>
    <cellStyle name="40% - Accent3 2 2 2 5 2 2 2" xfId="36222"/>
    <cellStyle name="40% - Accent3 2 2 2 5 2 3" xfId="29534"/>
    <cellStyle name="40% - Accent3 2 2 2 5 3" xfId="16117"/>
    <cellStyle name="40% - Accent3 2 2 2 5 3 2" xfId="32338"/>
    <cellStyle name="40% - Accent3 2 2 2 5 4" xfId="18244"/>
    <cellStyle name="40% - Accent3 2 2 2 5 4 2" xfId="34465"/>
    <cellStyle name="40% - Accent3 2 2 2 5 5" xfId="27056"/>
    <cellStyle name="40% - Accent3 2 2 2 6" xfId="10369"/>
    <cellStyle name="40% - Accent3 2 2 2 6 2" xfId="19990"/>
    <cellStyle name="40% - Accent3 2 2 2 6 2 2" xfId="36211"/>
    <cellStyle name="40% - Accent3 2 2 2 6 3" xfId="29523"/>
    <cellStyle name="40% - Accent3 2 2 2 7" xfId="14532"/>
    <cellStyle name="40% - Accent3 2 2 2 7 2" xfId="30754"/>
    <cellStyle name="40% - Accent3 2 2 2 8" xfId="18233"/>
    <cellStyle name="40% - Accent3 2 2 2 8 2" xfId="34454"/>
    <cellStyle name="40% - Accent3 2 2 2 9" xfId="27067"/>
    <cellStyle name="40% - Accent3 2 2 3" xfId="5750"/>
    <cellStyle name="40% - Accent3 2 2 3 2" xfId="5749"/>
    <cellStyle name="40% - Accent3 2 2 3 2 2" xfId="5748"/>
    <cellStyle name="40% - Accent3 2 2 3 2 2 2" xfId="10383"/>
    <cellStyle name="40% - Accent3 2 2 3 2 2 2 2" xfId="20004"/>
    <cellStyle name="40% - Accent3 2 2 3 2 2 2 2 2" xfId="36225"/>
    <cellStyle name="40% - Accent3 2 2 3 2 2 2 3" xfId="29537"/>
    <cellStyle name="40% - Accent3 2 2 3 2 2 3" xfId="17041"/>
    <cellStyle name="40% - Accent3 2 2 3 2 2 3 2" xfId="33262"/>
    <cellStyle name="40% - Accent3 2 2 3 2 2 4" xfId="18247"/>
    <cellStyle name="40% - Accent3 2 2 3 2 2 4 2" xfId="34468"/>
    <cellStyle name="40% - Accent3 2 2 3 2 2 5" xfId="27053"/>
    <cellStyle name="40% - Accent3 2 2 3 2 3" xfId="10382"/>
    <cellStyle name="40% - Accent3 2 2 3 2 3 2" xfId="20003"/>
    <cellStyle name="40% - Accent3 2 2 3 2 3 2 2" xfId="36224"/>
    <cellStyle name="40% - Accent3 2 2 3 2 3 3" xfId="29536"/>
    <cellStyle name="40% - Accent3 2 2 3 2 4" xfId="15456"/>
    <cellStyle name="40% - Accent3 2 2 3 2 4 2" xfId="31678"/>
    <cellStyle name="40% - Accent3 2 2 3 2 5" xfId="18246"/>
    <cellStyle name="40% - Accent3 2 2 3 2 5 2" xfId="34467"/>
    <cellStyle name="40% - Accent3 2 2 3 2 6" xfId="27054"/>
    <cellStyle name="40% - Accent3 2 2 3 3" xfId="5747"/>
    <cellStyle name="40% - Accent3 2 2 3 3 2" xfId="10384"/>
    <cellStyle name="40% - Accent3 2 2 3 3 2 2" xfId="20005"/>
    <cellStyle name="40% - Accent3 2 2 3 3 2 2 2" xfId="36226"/>
    <cellStyle name="40% - Accent3 2 2 3 3 2 3" xfId="29538"/>
    <cellStyle name="40% - Accent3 2 2 3 3 3" xfId="16249"/>
    <cellStyle name="40% - Accent3 2 2 3 3 3 2" xfId="32470"/>
    <cellStyle name="40% - Accent3 2 2 3 3 4" xfId="18248"/>
    <cellStyle name="40% - Accent3 2 2 3 3 4 2" xfId="34469"/>
    <cellStyle name="40% - Accent3 2 2 3 3 5" xfId="27052"/>
    <cellStyle name="40% - Accent3 2 2 3 4" xfId="10381"/>
    <cellStyle name="40% - Accent3 2 2 3 4 2" xfId="20002"/>
    <cellStyle name="40% - Accent3 2 2 3 4 2 2" xfId="36223"/>
    <cellStyle name="40% - Accent3 2 2 3 4 3" xfId="29535"/>
    <cellStyle name="40% - Accent3 2 2 3 5" xfId="14664"/>
    <cellStyle name="40% - Accent3 2 2 3 5 2" xfId="30886"/>
    <cellStyle name="40% - Accent3 2 2 3 6" xfId="18245"/>
    <cellStyle name="40% - Accent3 2 2 3 6 2" xfId="34466"/>
    <cellStyle name="40% - Accent3 2 2 3 7" xfId="27055"/>
    <cellStyle name="40% - Accent3 2 2 3 8" xfId="39303"/>
    <cellStyle name="40% - Accent3 2 2 4" xfId="5746"/>
    <cellStyle name="40% - Accent3 2 2 4 2" xfId="5745"/>
    <cellStyle name="40% - Accent3 2 2 4 2 2" xfId="5744"/>
    <cellStyle name="40% - Accent3 2 2 4 2 2 2" xfId="10387"/>
    <cellStyle name="40% - Accent3 2 2 4 2 2 2 2" xfId="20008"/>
    <cellStyle name="40% - Accent3 2 2 4 2 2 2 2 2" xfId="36229"/>
    <cellStyle name="40% - Accent3 2 2 4 2 2 2 3" xfId="29541"/>
    <cellStyle name="40% - Accent3 2 2 4 2 2 3" xfId="17305"/>
    <cellStyle name="40% - Accent3 2 2 4 2 2 3 2" xfId="33526"/>
    <cellStyle name="40% - Accent3 2 2 4 2 2 4" xfId="18251"/>
    <cellStyle name="40% - Accent3 2 2 4 2 2 4 2" xfId="34472"/>
    <cellStyle name="40% - Accent3 2 2 4 2 2 5" xfId="27049"/>
    <cellStyle name="40% - Accent3 2 2 4 2 3" xfId="10386"/>
    <cellStyle name="40% - Accent3 2 2 4 2 3 2" xfId="20007"/>
    <cellStyle name="40% - Accent3 2 2 4 2 3 2 2" xfId="36228"/>
    <cellStyle name="40% - Accent3 2 2 4 2 3 3" xfId="29540"/>
    <cellStyle name="40% - Accent3 2 2 4 2 4" xfId="15720"/>
    <cellStyle name="40% - Accent3 2 2 4 2 4 2" xfId="31942"/>
    <cellStyle name="40% - Accent3 2 2 4 2 5" xfId="18250"/>
    <cellStyle name="40% - Accent3 2 2 4 2 5 2" xfId="34471"/>
    <cellStyle name="40% - Accent3 2 2 4 2 6" xfId="27050"/>
    <cellStyle name="40% - Accent3 2 2 4 3" xfId="5743"/>
    <cellStyle name="40% - Accent3 2 2 4 3 2" xfId="10388"/>
    <cellStyle name="40% - Accent3 2 2 4 3 2 2" xfId="20009"/>
    <cellStyle name="40% - Accent3 2 2 4 3 2 2 2" xfId="36230"/>
    <cellStyle name="40% - Accent3 2 2 4 3 2 3" xfId="29542"/>
    <cellStyle name="40% - Accent3 2 2 4 3 3" xfId="16513"/>
    <cellStyle name="40% - Accent3 2 2 4 3 3 2" xfId="32734"/>
    <cellStyle name="40% - Accent3 2 2 4 3 4" xfId="18252"/>
    <cellStyle name="40% - Accent3 2 2 4 3 4 2" xfId="34473"/>
    <cellStyle name="40% - Accent3 2 2 4 3 5" xfId="27048"/>
    <cellStyle name="40% - Accent3 2 2 4 4" xfId="10385"/>
    <cellStyle name="40% - Accent3 2 2 4 4 2" xfId="20006"/>
    <cellStyle name="40% - Accent3 2 2 4 4 2 2" xfId="36227"/>
    <cellStyle name="40% - Accent3 2 2 4 4 3" xfId="29539"/>
    <cellStyle name="40% - Accent3 2 2 4 5" xfId="14928"/>
    <cellStyle name="40% - Accent3 2 2 4 5 2" xfId="31150"/>
    <cellStyle name="40% - Accent3 2 2 4 6" xfId="18249"/>
    <cellStyle name="40% - Accent3 2 2 4 6 2" xfId="34470"/>
    <cellStyle name="40% - Accent3 2 2 4 7" xfId="27051"/>
    <cellStyle name="40% - Accent3 2 2 4 8" xfId="39452"/>
    <cellStyle name="40% - Accent3 2 2 5" xfId="5742"/>
    <cellStyle name="40% - Accent3 2 2 5 2" xfId="5741"/>
    <cellStyle name="40% - Accent3 2 2 5 2 2" xfId="10390"/>
    <cellStyle name="40% - Accent3 2 2 5 2 2 2" xfId="20011"/>
    <cellStyle name="40% - Accent3 2 2 5 2 2 2 2" xfId="36232"/>
    <cellStyle name="40% - Accent3 2 2 5 2 2 3" xfId="29544"/>
    <cellStyle name="40% - Accent3 2 2 5 2 3" xfId="16777"/>
    <cellStyle name="40% - Accent3 2 2 5 2 3 2" xfId="32998"/>
    <cellStyle name="40% - Accent3 2 2 5 2 4" xfId="18254"/>
    <cellStyle name="40% - Accent3 2 2 5 2 4 2" xfId="34475"/>
    <cellStyle name="40% - Accent3 2 2 5 2 5" xfId="27046"/>
    <cellStyle name="40% - Accent3 2 2 5 3" xfId="10389"/>
    <cellStyle name="40% - Accent3 2 2 5 3 2" xfId="20010"/>
    <cellStyle name="40% - Accent3 2 2 5 3 2 2" xfId="36231"/>
    <cellStyle name="40% - Accent3 2 2 5 3 3" xfId="29543"/>
    <cellStyle name="40% - Accent3 2 2 5 4" xfId="15192"/>
    <cellStyle name="40% - Accent3 2 2 5 4 2" xfId="31414"/>
    <cellStyle name="40% - Accent3 2 2 5 5" xfId="18253"/>
    <cellStyle name="40% - Accent3 2 2 5 5 2" xfId="34474"/>
    <cellStyle name="40% - Accent3 2 2 5 6" xfId="27047"/>
    <cellStyle name="40% - Accent3 2 2 6" xfId="5736"/>
    <cellStyle name="40% - Accent3 2 2 6 2" xfId="10391"/>
    <cellStyle name="40% - Accent3 2 2 6 2 2" xfId="20012"/>
    <cellStyle name="40% - Accent3 2 2 6 2 2 2" xfId="36233"/>
    <cellStyle name="40% - Accent3 2 2 6 2 3" xfId="29545"/>
    <cellStyle name="40% - Accent3 2 2 6 3" xfId="15985"/>
    <cellStyle name="40% - Accent3 2 2 6 3 2" xfId="32206"/>
    <cellStyle name="40% - Accent3 2 2 6 4" xfId="18255"/>
    <cellStyle name="40% - Accent3 2 2 6 4 2" xfId="34476"/>
    <cellStyle name="40% - Accent3 2 2 6 5" xfId="27042"/>
    <cellStyle name="40% - Accent3 2 2 7" xfId="10368"/>
    <cellStyle name="40% - Accent3 2 2 7 2" xfId="19989"/>
    <cellStyle name="40% - Accent3 2 2 7 2 2" xfId="36210"/>
    <cellStyle name="40% - Accent3 2 2 7 3" xfId="29522"/>
    <cellStyle name="40% - Accent3 2 2 8" xfId="14400"/>
    <cellStyle name="40% - Accent3 2 2 8 2" xfId="30622"/>
    <cellStyle name="40% - Accent3 2 2 9" xfId="18232"/>
    <cellStyle name="40% - Accent3 2 2 9 2" xfId="34453"/>
    <cellStyle name="40% - Accent3 2 3" xfId="5718"/>
    <cellStyle name="40% - Accent3 2 3 10" xfId="39099"/>
    <cellStyle name="40% - Accent3 2 3 2" xfId="6497"/>
    <cellStyle name="40% - Accent3 2 3 2 2" xfId="6498"/>
    <cellStyle name="40% - Accent3 2 3 2 2 2" xfId="6499"/>
    <cellStyle name="40% - Accent3 2 3 2 2 2 2" xfId="10395"/>
    <cellStyle name="40% - Accent3 2 3 2 2 2 2 2" xfId="20016"/>
    <cellStyle name="40% - Accent3 2 3 2 2 2 2 2 2" xfId="36237"/>
    <cellStyle name="40% - Accent3 2 3 2 2 2 2 3" xfId="29549"/>
    <cellStyle name="40% - Accent3 2 3 2 2 2 3" xfId="17107"/>
    <cellStyle name="40% - Accent3 2 3 2 2 2 3 2" xfId="33328"/>
    <cellStyle name="40% - Accent3 2 3 2 2 2 4" xfId="18259"/>
    <cellStyle name="40% - Accent3 2 3 2 2 2 4 2" xfId="34480"/>
    <cellStyle name="40% - Accent3 2 3 2 2 2 5" xfId="27802"/>
    <cellStyle name="40% - Accent3 2 3 2 2 3" xfId="10394"/>
    <cellStyle name="40% - Accent3 2 3 2 2 3 2" xfId="20015"/>
    <cellStyle name="40% - Accent3 2 3 2 2 3 2 2" xfId="36236"/>
    <cellStyle name="40% - Accent3 2 3 2 2 3 3" xfId="29548"/>
    <cellStyle name="40% - Accent3 2 3 2 2 4" xfId="15522"/>
    <cellStyle name="40% - Accent3 2 3 2 2 4 2" xfId="31744"/>
    <cellStyle name="40% - Accent3 2 3 2 2 5" xfId="18258"/>
    <cellStyle name="40% - Accent3 2 3 2 2 5 2" xfId="34479"/>
    <cellStyle name="40% - Accent3 2 3 2 2 6" xfId="27801"/>
    <cellStyle name="40% - Accent3 2 3 2 3" xfId="6500"/>
    <cellStyle name="40% - Accent3 2 3 2 3 2" xfId="10396"/>
    <cellStyle name="40% - Accent3 2 3 2 3 2 2" xfId="20017"/>
    <cellStyle name="40% - Accent3 2 3 2 3 2 2 2" xfId="36238"/>
    <cellStyle name="40% - Accent3 2 3 2 3 2 3" xfId="29550"/>
    <cellStyle name="40% - Accent3 2 3 2 3 3" xfId="16315"/>
    <cellStyle name="40% - Accent3 2 3 2 3 3 2" xfId="32536"/>
    <cellStyle name="40% - Accent3 2 3 2 3 4" xfId="18260"/>
    <cellStyle name="40% - Accent3 2 3 2 3 4 2" xfId="34481"/>
    <cellStyle name="40% - Accent3 2 3 2 3 5" xfId="27803"/>
    <cellStyle name="40% - Accent3 2 3 2 4" xfId="10393"/>
    <cellStyle name="40% - Accent3 2 3 2 4 2" xfId="20014"/>
    <cellStyle name="40% - Accent3 2 3 2 4 2 2" xfId="36235"/>
    <cellStyle name="40% - Accent3 2 3 2 4 3" xfId="29547"/>
    <cellStyle name="40% - Accent3 2 3 2 5" xfId="14730"/>
    <cellStyle name="40% - Accent3 2 3 2 5 2" xfId="30952"/>
    <cellStyle name="40% - Accent3 2 3 2 6" xfId="18257"/>
    <cellStyle name="40% - Accent3 2 3 2 6 2" xfId="34478"/>
    <cellStyle name="40% - Accent3 2 3 2 7" xfId="27800"/>
    <cellStyle name="40% - Accent3 2 3 3" xfId="6501"/>
    <cellStyle name="40% - Accent3 2 3 3 2" xfId="6502"/>
    <cellStyle name="40% - Accent3 2 3 3 2 2" xfId="6503"/>
    <cellStyle name="40% - Accent3 2 3 3 2 2 2" xfId="10399"/>
    <cellStyle name="40% - Accent3 2 3 3 2 2 2 2" xfId="20020"/>
    <cellStyle name="40% - Accent3 2 3 3 2 2 2 2 2" xfId="36241"/>
    <cellStyle name="40% - Accent3 2 3 3 2 2 2 3" xfId="29553"/>
    <cellStyle name="40% - Accent3 2 3 3 2 2 3" xfId="17371"/>
    <cellStyle name="40% - Accent3 2 3 3 2 2 3 2" xfId="33592"/>
    <cellStyle name="40% - Accent3 2 3 3 2 2 4" xfId="18263"/>
    <cellStyle name="40% - Accent3 2 3 3 2 2 4 2" xfId="34484"/>
    <cellStyle name="40% - Accent3 2 3 3 2 2 5" xfId="27806"/>
    <cellStyle name="40% - Accent3 2 3 3 2 3" xfId="10398"/>
    <cellStyle name="40% - Accent3 2 3 3 2 3 2" xfId="20019"/>
    <cellStyle name="40% - Accent3 2 3 3 2 3 2 2" xfId="36240"/>
    <cellStyle name="40% - Accent3 2 3 3 2 3 3" xfId="29552"/>
    <cellStyle name="40% - Accent3 2 3 3 2 4" xfId="15786"/>
    <cellStyle name="40% - Accent3 2 3 3 2 4 2" xfId="32008"/>
    <cellStyle name="40% - Accent3 2 3 3 2 5" xfId="18262"/>
    <cellStyle name="40% - Accent3 2 3 3 2 5 2" xfId="34483"/>
    <cellStyle name="40% - Accent3 2 3 3 2 6" xfId="27805"/>
    <cellStyle name="40% - Accent3 2 3 3 3" xfId="6504"/>
    <cellStyle name="40% - Accent3 2 3 3 3 2" xfId="10400"/>
    <cellStyle name="40% - Accent3 2 3 3 3 2 2" xfId="20021"/>
    <cellStyle name="40% - Accent3 2 3 3 3 2 2 2" xfId="36242"/>
    <cellStyle name="40% - Accent3 2 3 3 3 2 3" xfId="29554"/>
    <cellStyle name="40% - Accent3 2 3 3 3 3" xfId="16579"/>
    <cellStyle name="40% - Accent3 2 3 3 3 3 2" xfId="32800"/>
    <cellStyle name="40% - Accent3 2 3 3 3 4" xfId="18264"/>
    <cellStyle name="40% - Accent3 2 3 3 3 4 2" xfId="34485"/>
    <cellStyle name="40% - Accent3 2 3 3 3 5" xfId="27807"/>
    <cellStyle name="40% - Accent3 2 3 3 4" xfId="10397"/>
    <cellStyle name="40% - Accent3 2 3 3 4 2" xfId="20018"/>
    <cellStyle name="40% - Accent3 2 3 3 4 2 2" xfId="36239"/>
    <cellStyle name="40% - Accent3 2 3 3 4 3" xfId="29551"/>
    <cellStyle name="40% - Accent3 2 3 3 5" xfId="14994"/>
    <cellStyle name="40% - Accent3 2 3 3 5 2" xfId="31216"/>
    <cellStyle name="40% - Accent3 2 3 3 6" xfId="18261"/>
    <cellStyle name="40% - Accent3 2 3 3 6 2" xfId="34482"/>
    <cellStyle name="40% - Accent3 2 3 3 7" xfId="27804"/>
    <cellStyle name="40% - Accent3 2 3 4" xfId="6505"/>
    <cellStyle name="40% - Accent3 2 3 4 2" xfId="6506"/>
    <cellStyle name="40% - Accent3 2 3 4 2 2" xfId="10402"/>
    <cellStyle name="40% - Accent3 2 3 4 2 2 2" xfId="20023"/>
    <cellStyle name="40% - Accent3 2 3 4 2 2 2 2" xfId="36244"/>
    <cellStyle name="40% - Accent3 2 3 4 2 2 3" xfId="29556"/>
    <cellStyle name="40% - Accent3 2 3 4 2 3" xfId="16843"/>
    <cellStyle name="40% - Accent3 2 3 4 2 3 2" xfId="33064"/>
    <cellStyle name="40% - Accent3 2 3 4 2 4" xfId="18266"/>
    <cellStyle name="40% - Accent3 2 3 4 2 4 2" xfId="34487"/>
    <cellStyle name="40% - Accent3 2 3 4 2 5" xfId="27809"/>
    <cellStyle name="40% - Accent3 2 3 4 3" xfId="10401"/>
    <cellStyle name="40% - Accent3 2 3 4 3 2" xfId="20022"/>
    <cellStyle name="40% - Accent3 2 3 4 3 2 2" xfId="36243"/>
    <cellStyle name="40% - Accent3 2 3 4 3 3" xfId="29555"/>
    <cellStyle name="40% - Accent3 2 3 4 4" xfId="15258"/>
    <cellStyle name="40% - Accent3 2 3 4 4 2" xfId="31480"/>
    <cellStyle name="40% - Accent3 2 3 4 5" xfId="18265"/>
    <cellStyle name="40% - Accent3 2 3 4 5 2" xfId="34486"/>
    <cellStyle name="40% - Accent3 2 3 4 6" xfId="27808"/>
    <cellStyle name="40% - Accent3 2 3 5" xfId="6507"/>
    <cellStyle name="40% - Accent3 2 3 5 2" xfId="10403"/>
    <cellStyle name="40% - Accent3 2 3 5 2 2" xfId="20024"/>
    <cellStyle name="40% - Accent3 2 3 5 2 2 2" xfId="36245"/>
    <cellStyle name="40% - Accent3 2 3 5 2 3" xfId="29557"/>
    <cellStyle name="40% - Accent3 2 3 5 3" xfId="16051"/>
    <cellStyle name="40% - Accent3 2 3 5 3 2" xfId="32272"/>
    <cellStyle name="40% - Accent3 2 3 5 4" xfId="18267"/>
    <cellStyle name="40% - Accent3 2 3 5 4 2" xfId="34488"/>
    <cellStyle name="40% - Accent3 2 3 5 5" xfId="27810"/>
    <cellStyle name="40% - Accent3 2 3 6" xfId="10392"/>
    <cellStyle name="40% - Accent3 2 3 6 2" xfId="20013"/>
    <cellStyle name="40% - Accent3 2 3 6 2 2" xfId="36234"/>
    <cellStyle name="40% - Accent3 2 3 6 3" xfId="29546"/>
    <cellStyle name="40% - Accent3 2 3 7" xfId="14466"/>
    <cellStyle name="40% - Accent3 2 3 7 2" xfId="30688"/>
    <cellStyle name="40% - Accent3 2 3 8" xfId="18256"/>
    <cellStyle name="40% - Accent3 2 3 8 2" xfId="34477"/>
    <cellStyle name="40% - Accent3 2 3 9" xfId="27024"/>
    <cellStyle name="40% - Accent3 2 4" xfId="6508"/>
    <cellStyle name="40% - Accent3 2 4 2" xfId="6509"/>
    <cellStyle name="40% - Accent3 2 4 2 2" xfId="6510"/>
    <cellStyle name="40% - Accent3 2 4 2 2 2" xfId="10406"/>
    <cellStyle name="40% - Accent3 2 4 2 2 2 2" xfId="20027"/>
    <cellStyle name="40% - Accent3 2 4 2 2 2 2 2" xfId="36248"/>
    <cellStyle name="40% - Accent3 2 4 2 2 2 3" xfId="29560"/>
    <cellStyle name="40% - Accent3 2 4 2 2 3" xfId="16975"/>
    <cellStyle name="40% - Accent3 2 4 2 2 3 2" xfId="33196"/>
    <cellStyle name="40% - Accent3 2 4 2 2 4" xfId="18270"/>
    <cellStyle name="40% - Accent3 2 4 2 2 4 2" xfId="34491"/>
    <cellStyle name="40% - Accent3 2 4 2 2 5" xfId="27813"/>
    <cellStyle name="40% - Accent3 2 4 2 3" xfId="10405"/>
    <cellStyle name="40% - Accent3 2 4 2 3 2" xfId="20026"/>
    <cellStyle name="40% - Accent3 2 4 2 3 2 2" xfId="36247"/>
    <cellStyle name="40% - Accent3 2 4 2 3 3" xfId="29559"/>
    <cellStyle name="40% - Accent3 2 4 2 4" xfId="15390"/>
    <cellStyle name="40% - Accent3 2 4 2 4 2" xfId="31612"/>
    <cellStyle name="40% - Accent3 2 4 2 5" xfId="18269"/>
    <cellStyle name="40% - Accent3 2 4 2 5 2" xfId="34490"/>
    <cellStyle name="40% - Accent3 2 4 2 6" xfId="27812"/>
    <cellStyle name="40% - Accent3 2 4 3" xfId="6511"/>
    <cellStyle name="40% - Accent3 2 4 3 2" xfId="10407"/>
    <cellStyle name="40% - Accent3 2 4 3 2 2" xfId="20028"/>
    <cellStyle name="40% - Accent3 2 4 3 2 2 2" xfId="36249"/>
    <cellStyle name="40% - Accent3 2 4 3 2 3" xfId="29561"/>
    <cellStyle name="40% - Accent3 2 4 3 3" xfId="16183"/>
    <cellStyle name="40% - Accent3 2 4 3 3 2" xfId="32404"/>
    <cellStyle name="40% - Accent3 2 4 3 4" xfId="18271"/>
    <cellStyle name="40% - Accent3 2 4 3 4 2" xfId="34492"/>
    <cellStyle name="40% - Accent3 2 4 3 5" xfId="27814"/>
    <cellStyle name="40% - Accent3 2 4 4" xfId="10404"/>
    <cellStyle name="40% - Accent3 2 4 4 2" xfId="20025"/>
    <cellStyle name="40% - Accent3 2 4 4 2 2" xfId="36246"/>
    <cellStyle name="40% - Accent3 2 4 4 3" xfId="29558"/>
    <cellStyle name="40% - Accent3 2 4 5" xfId="14598"/>
    <cellStyle name="40% - Accent3 2 4 5 2" xfId="30820"/>
    <cellStyle name="40% - Accent3 2 4 6" xfId="18268"/>
    <cellStyle name="40% - Accent3 2 4 6 2" xfId="34489"/>
    <cellStyle name="40% - Accent3 2 4 7" xfId="27811"/>
    <cellStyle name="40% - Accent3 2 4 8" xfId="39247"/>
    <cellStyle name="40% - Accent3 2 5" xfId="6512"/>
    <cellStyle name="40% - Accent3 2 5 2" xfId="6513"/>
    <cellStyle name="40% - Accent3 2 5 2 2" xfId="6514"/>
    <cellStyle name="40% - Accent3 2 5 2 2 2" xfId="10410"/>
    <cellStyle name="40% - Accent3 2 5 2 2 2 2" xfId="20031"/>
    <cellStyle name="40% - Accent3 2 5 2 2 2 2 2" xfId="36252"/>
    <cellStyle name="40% - Accent3 2 5 2 2 2 3" xfId="29564"/>
    <cellStyle name="40% - Accent3 2 5 2 2 3" xfId="17239"/>
    <cellStyle name="40% - Accent3 2 5 2 2 3 2" xfId="33460"/>
    <cellStyle name="40% - Accent3 2 5 2 2 4" xfId="18274"/>
    <cellStyle name="40% - Accent3 2 5 2 2 4 2" xfId="34495"/>
    <cellStyle name="40% - Accent3 2 5 2 2 5" xfId="27817"/>
    <cellStyle name="40% - Accent3 2 5 2 3" xfId="10409"/>
    <cellStyle name="40% - Accent3 2 5 2 3 2" xfId="20030"/>
    <cellStyle name="40% - Accent3 2 5 2 3 2 2" xfId="36251"/>
    <cellStyle name="40% - Accent3 2 5 2 3 3" xfId="29563"/>
    <cellStyle name="40% - Accent3 2 5 2 4" xfId="15654"/>
    <cellStyle name="40% - Accent3 2 5 2 4 2" xfId="31876"/>
    <cellStyle name="40% - Accent3 2 5 2 5" xfId="18273"/>
    <cellStyle name="40% - Accent3 2 5 2 5 2" xfId="34494"/>
    <cellStyle name="40% - Accent3 2 5 2 6" xfId="27816"/>
    <cellStyle name="40% - Accent3 2 5 3" xfId="6515"/>
    <cellStyle name="40% - Accent3 2 5 3 2" xfId="10411"/>
    <cellStyle name="40% - Accent3 2 5 3 2 2" xfId="20032"/>
    <cellStyle name="40% - Accent3 2 5 3 2 2 2" xfId="36253"/>
    <cellStyle name="40% - Accent3 2 5 3 2 3" xfId="29565"/>
    <cellStyle name="40% - Accent3 2 5 3 3" xfId="16447"/>
    <cellStyle name="40% - Accent3 2 5 3 3 2" xfId="32668"/>
    <cellStyle name="40% - Accent3 2 5 3 4" xfId="18275"/>
    <cellStyle name="40% - Accent3 2 5 3 4 2" xfId="34496"/>
    <cellStyle name="40% - Accent3 2 5 3 5" xfId="27818"/>
    <cellStyle name="40% - Accent3 2 5 4" xfId="10408"/>
    <cellStyle name="40% - Accent3 2 5 4 2" xfId="20029"/>
    <cellStyle name="40% - Accent3 2 5 4 2 2" xfId="36250"/>
    <cellStyle name="40% - Accent3 2 5 4 3" xfId="29562"/>
    <cellStyle name="40% - Accent3 2 5 5" xfId="14862"/>
    <cellStyle name="40% - Accent3 2 5 5 2" xfId="31084"/>
    <cellStyle name="40% - Accent3 2 5 6" xfId="18272"/>
    <cellStyle name="40% - Accent3 2 5 6 2" xfId="34493"/>
    <cellStyle name="40% - Accent3 2 5 7" xfId="27815"/>
    <cellStyle name="40% - Accent3 2 5 8" xfId="39396"/>
    <cellStyle name="40% - Accent3 2 6" xfId="6516"/>
    <cellStyle name="40% - Accent3 2 6 2" xfId="6517"/>
    <cellStyle name="40% - Accent3 2 6 2 2" xfId="10413"/>
    <cellStyle name="40% - Accent3 2 6 2 2 2" xfId="20034"/>
    <cellStyle name="40% - Accent3 2 6 2 2 2 2" xfId="36255"/>
    <cellStyle name="40% - Accent3 2 6 2 2 3" xfId="29567"/>
    <cellStyle name="40% - Accent3 2 6 2 3" xfId="16711"/>
    <cellStyle name="40% - Accent3 2 6 2 3 2" xfId="32932"/>
    <cellStyle name="40% - Accent3 2 6 2 4" xfId="18277"/>
    <cellStyle name="40% - Accent3 2 6 2 4 2" xfId="34498"/>
    <cellStyle name="40% - Accent3 2 6 2 5" xfId="27820"/>
    <cellStyle name="40% - Accent3 2 6 3" xfId="10412"/>
    <cellStyle name="40% - Accent3 2 6 3 2" xfId="20033"/>
    <cellStyle name="40% - Accent3 2 6 3 2 2" xfId="36254"/>
    <cellStyle name="40% - Accent3 2 6 3 3" xfId="29566"/>
    <cellStyle name="40% - Accent3 2 6 4" xfId="15126"/>
    <cellStyle name="40% - Accent3 2 6 4 2" xfId="31348"/>
    <cellStyle name="40% - Accent3 2 6 5" xfId="18276"/>
    <cellStyle name="40% - Accent3 2 6 5 2" xfId="34497"/>
    <cellStyle name="40% - Accent3 2 6 6" xfId="27819"/>
    <cellStyle name="40% - Accent3 2 7" xfId="6518"/>
    <cellStyle name="40% - Accent3 2 7 2" xfId="10414"/>
    <cellStyle name="40% - Accent3 2 7 2 2" xfId="20035"/>
    <cellStyle name="40% - Accent3 2 7 2 2 2" xfId="36256"/>
    <cellStyle name="40% - Accent3 2 7 2 3" xfId="29568"/>
    <cellStyle name="40% - Accent3 2 7 3" xfId="15919"/>
    <cellStyle name="40% - Accent3 2 7 3 2" xfId="32140"/>
    <cellStyle name="40% - Accent3 2 7 4" xfId="18278"/>
    <cellStyle name="40% - Accent3 2 7 4 2" xfId="34499"/>
    <cellStyle name="40% - Accent3 2 7 5" xfId="27821"/>
    <cellStyle name="40% - Accent3 2 8" xfId="10367"/>
    <cellStyle name="40% - Accent3 2 8 2" xfId="19988"/>
    <cellStyle name="40% - Accent3 2 8 2 2" xfId="36209"/>
    <cellStyle name="40% - Accent3 2 8 3" xfId="29521"/>
    <cellStyle name="40% - Accent3 2 9" xfId="14334"/>
    <cellStyle name="40% - Accent3 2 9 2" xfId="30556"/>
    <cellStyle name="40% - Accent3 3" xfId="6519"/>
    <cellStyle name="40% - Accent3 3 10" xfId="27822"/>
    <cellStyle name="40% - Accent3 3 11" xfId="38978"/>
    <cellStyle name="40% - Accent3 3 2" xfId="6520"/>
    <cellStyle name="40% - Accent3 3 2 10" xfId="39020"/>
    <cellStyle name="40% - Accent3 3 2 2" xfId="6521"/>
    <cellStyle name="40% - Accent3 3 2 2 2" xfId="6522"/>
    <cellStyle name="40% - Accent3 3 2 2 2 2" xfId="6523"/>
    <cellStyle name="40% - Accent3 3 2 2 2 2 2" xfId="10419"/>
    <cellStyle name="40% - Accent3 3 2 2 2 2 2 2" xfId="20040"/>
    <cellStyle name="40% - Accent3 3 2 2 2 2 2 2 2" xfId="36261"/>
    <cellStyle name="40% - Accent3 3 2 2 2 2 2 3" xfId="29573"/>
    <cellStyle name="40% - Accent3 3 2 2 2 2 3" xfId="17140"/>
    <cellStyle name="40% - Accent3 3 2 2 2 2 3 2" xfId="33361"/>
    <cellStyle name="40% - Accent3 3 2 2 2 2 4" xfId="18283"/>
    <cellStyle name="40% - Accent3 3 2 2 2 2 4 2" xfId="34504"/>
    <cellStyle name="40% - Accent3 3 2 2 2 2 5" xfId="27826"/>
    <cellStyle name="40% - Accent3 3 2 2 2 3" xfId="10418"/>
    <cellStyle name="40% - Accent3 3 2 2 2 3 2" xfId="20039"/>
    <cellStyle name="40% - Accent3 3 2 2 2 3 2 2" xfId="36260"/>
    <cellStyle name="40% - Accent3 3 2 2 2 3 3" xfId="29572"/>
    <cellStyle name="40% - Accent3 3 2 2 2 4" xfId="15555"/>
    <cellStyle name="40% - Accent3 3 2 2 2 4 2" xfId="31777"/>
    <cellStyle name="40% - Accent3 3 2 2 2 5" xfId="18282"/>
    <cellStyle name="40% - Accent3 3 2 2 2 5 2" xfId="34503"/>
    <cellStyle name="40% - Accent3 3 2 2 2 6" xfId="27825"/>
    <cellStyle name="40% - Accent3 3 2 2 3" xfId="6524"/>
    <cellStyle name="40% - Accent3 3 2 2 3 2" xfId="10420"/>
    <cellStyle name="40% - Accent3 3 2 2 3 2 2" xfId="20041"/>
    <cellStyle name="40% - Accent3 3 2 2 3 2 2 2" xfId="36262"/>
    <cellStyle name="40% - Accent3 3 2 2 3 2 3" xfId="29574"/>
    <cellStyle name="40% - Accent3 3 2 2 3 3" xfId="16348"/>
    <cellStyle name="40% - Accent3 3 2 2 3 3 2" xfId="32569"/>
    <cellStyle name="40% - Accent3 3 2 2 3 4" xfId="18284"/>
    <cellStyle name="40% - Accent3 3 2 2 3 4 2" xfId="34505"/>
    <cellStyle name="40% - Accent3 3 2 2 3 5" xfId="27827"/>
    <cellStyle name="40% - Accent3 3 2 2 4" xfId="10417"/>
    <cellStyle name="40% - Accent3 3 2 2 4 2" xfId="20038"/>
    <cellStyle name="40% - Accent3 3 2 2 4 2 2" xfId="36259"/>
    <cellStyle name="40% - Accent3 3 2 2 4 3" xfId="29571"/>
    <cellStyle name="40% - Accent3 3 2 2 5" xfId="14763"/>
    <cellStyle name="40% - Accent3 3 2 2 5 2" xfId="30985"/>
    <cellStyle name="40% - Accent3 3 2 2 6" xfId="18281"/>
    <cellStyle name="40% - Accent3 3 2 2 6 2" xfId="34502"/>
    <cellStyle name="40% - Accent3 3 2 2 7" xfId="27824"/>
    <cellStyle name="40% - Accent3 3 2 2 8" xfId="39168"/>
    <cellStyle name="40% - Accent3 3 2 3" xfId="6525"/>
    <cellStyle name="40% - Accent3 3 2 3 2" xfId="6526"/>
    <cellStyle name="40% - Accent3 3 2 3 2 2" xfId="6527"/>
    <cellStyle name="40% - Accent3 3 2 3 2 2 2" xfId="10423"/>
    <cellStyle name="40% - Accent3 3 2 3 2 2 2 2" xfId="20044"/>
    <cellStyle name="40% - Accent3 3 2 3 2 2 2 2 2" xfId="36265"/>
    <cellStyle name="40% - Accent3 3 2 3 2 2 2 3" xfId="29577"/>
    <cellStyle name="40% - Accent3 3 2 3 2 2 3" xfId="17404"/>
    <cellStyle name="40% - Accent3 3 2 3 2 2 3 2" xfId="33625"/>
    <cellStyle name="40% - Accent3 3 2 3 2 2 4" xfId="18287"/>
    <cellStyle name="40% - Accent3 3 2 3 2 2 4 2" xfId="34508"/>
    <cellStyle name="40% - Accent3 3 2 3 2 2 5" xfId="27830"/>
    <cellStyle name="40% - Accent3 3 2 3 2 3" xfId="10422"/>
    <cellStyle name="40% - Accent3 3 2 3 2 3 2" xfId="20043"/>
    <cellStyle name="40% - Accent3 3 2 3 2 3 2 2" xfId="36264"/>
    <cellStyle name="40% - Accent3 3 2 3 2 3 3" xfId="29576"/>
    <cellStyle name="40% - Accent3 3 2 3 2 4" xfId="15819"/>
    <cellStyle name="40% - Accent3 3 2 3 2 4 2" xfId="32041"/>
    <cellStyle name="40% - Accent3 3 2 3 2 5" xfId="18286"/>
    <cellStyle name="40% - Accent3 3 2 3 2 5 2" xfId="34507"/>
    <cellStyle name="40% - Accent3 3 2 3 2 6" xfId="27829"/>
    <cellStyle name="40% - Accent3 3 2 3 3" xfId="6528"/>
    <cellStyle name="40% - Accent3 3 2 3 3 2" xfId="10424"/>
    <cellStyle name="40% - Accent3 3 2 3 3 2 2" xfId="20045"/>
    <cellStyle name="40% - Accent3 3 2 3 3 2 2 2" xfId="36266"/>
    <cellStyle name="40% - Accent3 3 2 3 3 2 3" xfId="29578"/>
    <cellStyle name="40% - Accent3 3 2 3 3 3" xfId="16612"/>
    <cellStyle name="40% - Accent3 3 2 3 3 3 2" xfId="32833"/>
    <cellStyle name="40% - Accent3 3 2 3 3 4" xfId="18288"/>
    <cellStyle name="40% - Accent3 3 2 3 3 4 2" xfId="34509"/>
    <cellStyle name="40% - Accent3 3 2 3 3 5" xfId="27831"/>
    <cellStyle name="40% - Accent3 3 2 3 4" xfId="10421"/>
    <cellStyle name="40% - Accent3 3 2 3 4 2" xfId="20042"/>
    <cellStyle name="40% - Accent3 3 2 3 4 2 2" xfId="36263"/>
    <cellStyle name="40% - Accent3 3 2 3 4 3" xfId="29575"/>
    <cellStyle name="40% - Accent3 3 2 3 5" xfId="15027"/>
    <cellStyle name="40% - Accent3 3 2 3 5 2" xfId="31249"/>
    <cellStyle name="40% - Accent3 3 2 3 6" xfId="18285"/>
    <cellStyle name="40% - Accent3 3 2 3 6 2" xfId="34506"/>
    <cellStyle name="40% - Accent3 3 2 3 7" xfId="27828"/>
    <cellStyle name="40% - Accent3 3 2 3 8" xfId="39316"/>
    <cellStyle name="40% - Accent3 3 2 4" xfId="6529"/>
    <cellStyle name="40% - Accent3 3 2 4 2" xfId="6530"/>
    <cellStyle name="40% - Accent3 3 2 4 2 2" xfId="10426"/>
    <cellStyle name="40% - Accent3 3 2 4 2 2 2" xfId="20047"/>
    <cellStyle name="40% - Accent3 3 2 4 2 2 2 2" xfId="36268"/>
    <cellStyle name="40% - Accent3 3 2 4 2 2 3" xfId="29580"/>
    <cellStyle name="40% - Accent3 3 2 4 2 3" xfId="16876"/>
    <cellStyle name="40% - Accent3 3 2 4 2 3 2" xfId="33097"/>
    <cellStyle name="40% - Accent3 3 2 4 2 4" xfId="18290"/>
    <cellStyle name="40% - Accent3 3 2 4 2 4 2" xfId="34511"/>
    <cellStyle name="40% - Accent3 3 2 4 2 5" xfId="27833"/>
    <cellStyle name="40% - Accent3 3 2 4 3" xfId="10425"/>
    <cellStyle name="40% - Accent3 3 2 4 3 2" xfId="20046"/>
    <cellStyle name="40% - Accent3 3 2 4 3 2 2" xfId="36267"/>
    <cellStyle name="40% - Accent3 3 2 4 3 3" xfId="29579"/>
    <cellStyle name="40% - Accent3 3 2 4 4" xfId="15291"/>
    <cellStyle name="40% - Accent3 3 2 4 4 2" xfId="31513"/>
    <cellStyle name="40% - Accent3 3 2 4 5" xfId="18289"/>
    <cellStyle name="40% - Accent3 3 2 4 5 2" xfId="34510"/>
    <cellStyle name="40% - Accent3 3 2 4 6" xfId="27832"/>
    <cellStyle name="40% - Accent3 3 2 4 7" xfId="39465"/>
    <cellStyle name="40% - Accent3 3 2 5" xfId="6531"/>
    <cellStyle name="40% - Accent3 3 2 5 2" xfId="10427"/>
    <cellStyle name="40% - Accent3 3 2 5 2 2" xfId="20048"/>
    <cellStyle name="40% - Accent3 3 2 5 2 2 2" xfId="36269"/>
    <cellStyle name="40% - Accent3 3 2 5 2 3" xfId="29581"/>
    <cellStyle name="40% - Accent3 3 2 5 3" xfId="16084"/>
    <cellStyle name="40% - Accent3 3 2 5 3 2" xfId="32305"/>
    <cellStyle name="40% - Accent3 3 2 5 4" xfId="18291"/>
    <cellStyle name="40% - Accent3 3 2 5 4 2" xfId="34512"/>
    <cellStyle name="40% - Accent3 3 2 5 5" xfId="27834"/>
    <cellStyle name="40% - Accent3 3 2 6" xfId="10416"/>
    <cellStyle name="40% - Accent3 3 2 6 2" xfId="20037"/>
    <cellStyle name="40% - Accent3 3 2 6 2 2" xfId="36258"/>
    <cellStyle name="40% - Accent3 3 2 6 3" xfId="29570"/>
    <cellStyle name="40% - Accent3 3 2 7" xfId="14499"/>
    <cellStyle name="40% - Accent3 3 2 7 2" xfId="30721"/>
    <cellStyle name="40% - Accent3 3 2 8" xfId="18280"/>
    <cellStyle name="40% - Accent3 3 2 8 2" xfId="34501"/>
    <cellStyle name="40% - Accent3 3 2 9" xfId="27823"/>
    <cellStyle name="40% - Accent3 3 3" xfId="6532"/>
    <cellStyle name="40% - Accent3 3 3 2" xfId="6533"/>
    <cellStyle name="40% - Accent3 3 3 2 2" xfId="6534"/>
    <cellStyle name="40% - Accent3 3 3 2 2 2" xfId="10430"/>
    <cellStyle name="40% - Accent3 3 3 2 2 2 2" xfId="20051"/>
    <cellStyle name="40% - Accent3 3 3 2 2 2 2 2" xfId="36272"/>
    <cellStyle name="40% - Accent3 3 3 2 2 2 3" xfId="29584"/>
    <cellStyle name="40% - Accent3 3 3 2 2 3" xfId="17008"/>
    <cellStyle name="40% - Accent3 3 3 2 2 3 2" xfId="33229"/>
    <cellStyle name="40% - Accent3 3 3 2 2 4" xfId="18294"/>
    <cellStyle name="40% - Accent3 3 3 2 2 4 2" xfId="34515"/>
    <cellStyle name="40% - Accent3 3 3 2 2 5" xfId="27837"/>
    <cellStyle name="40% - Accent3 3 3 2 3" xfId="10429"/>
    <cellStyle name="40% - Accent3 3 3 2 3 2" xfId="20050"/>
    <cellStyle name="40% - Accent3 3 3 2 3 2 2" xfId="36271"/>
    <cellStyle name="40% - Accent3 3 3 2 3 3" xfId="29583"/>
    <cellStyle name="40% - Accent3 3 3 2 4" xfId="15423"/>
    <cellStyle name="40% - Accent3 3 3 2 4 2" xfId="31645"/>
    <cellStyle name="40% - Accent3 3 3 2 5" xfId="18293"/>
    <cellStyle name="40% - Accent3 3 3 2 5 2" xfId="34514"/>
    <cellStyle name="40% - Accent3 3 3 2 6" xfId="27836"/>
    <cellStyle name="40% - Accent3 3 3 3" xfId="6535"/>
    <cellStyle name="40% - Accent3 3 3 3 2" xfId="10431"/>
    <cellStyle name="40% - Accent3 3 3 3 2 2" xfId="20052"/>
    <cellStyle name="40% - Accent3 3 3 3 2 2 2" xfId="36273"/>
    <cellStyle name="40% - Accent3 3 3 3 2 3" xfId="29585"/>
    <cellStyle name="40% - Accent3 3 3 3 3" xfId="16216"/>
    <cellStyle name="40% - Accent3 3 3 3 3 2" xfId="32437"/>
    <cellStyle name="40% - Accent3 3 3 3 4" xfId="18295"/>
    <cellStyle name="40% - Accent3 3 3 3 4 2" xfId="34516"/>
    <cellStyle name="40% - Accent3 3 3 3 5" xfId="27838"/>
    <cellStyle name="40% - Accent3 3 3 4" xfId="10428"/>
    <cellStyle name="40% - Accent3 3 3 4 2" xfId="20049"/>
    <cellStyle name="40% - Accent3 3 3 4 2 2" xfId="36270"/>
    <cellStyle name="40% - Accent3 3 3 4 3" xfId="29582"/>
    <cellStyle name="40% - Accent3 3 3 5" xfId="14631"/>
    <cellStyle name="40% - Accent3 3 3 5 2" xfId="30853"/>
    <cellStyle name="40% - Accent3 3 3 6" xfId="18292"/>
    <cellStyle name="40% - Accent3 3 3 6 2" xfId="34513"/>
    <cellStyle name="40% - Accent3 3 3 7" xfId="27835"/>
    <cellStyle name="40% - Accent3 3 3 8" xfId="39112"/>
    <cellStyle name="40% - Accent3 3 4" xfId="6536"/>
    <cellStyle name="40% - Accent3 3 4 2" xfId="6537"/>
    <cellStyle name="40% - Accent3 3 4 2 2" xfId="6538"/>
    <cellStyle name="40% - Accent3 3 4 2 2 2" xfId="10434"/>
    <cellStyle name="40% - Accent3 3 4 2 2 2 2" xfId="20055"/>
    <cellStyle name="40% - Accent3 3 4 2 2 2 2 2" xfId="36276"/>
    <cellStyle name="40% - Accent3 3 4 2 2 2 3" xfId="29588"/>
    <cellStyle name="40% - Accent3 3 4 2 2 3" xfId="17272"/>
    <cellStyle name="40% - Accent3 3 4 2 2 3 2" xfId="33493"/>
    <cellStyle name="40% - Accent3 3 4 2 2 4" xfId="18298"/>
    <cellStyle name="40% - Accent3 3 4 2 2 4 2" xfId="34519"/>
    <cellStyle name="40% - Accent3 3 4 2 2 5" xfId="27841"/>
    <cellStyle name="40% - Accent3 3 4 2 3" xfId="10433"/>
    <cellStyle name="40% - Accent3 3 4 2 3 2" xfId="20054"/>
    <cellStyle name="40% - Accent3 3 4 2 3 2 2" xfId="36275"/>
    <cellStyle name="40% - Accent3 3 4 2 3 3" xfId="29587"/>
    <cellStyle name="40% - Accent3 3 4 2 4" xfId="15687"/>
    <cellStyle name="40% - Accent3 3 4 2 4 2" xfId="31909"/>
    <cellStyle name="40% - Accent3 3 4 2 5" xfId="18297"/>
    <cellStyle name="40% - Accent3 3 4 2 5 2" xfId="34518"/>
    <cellStyle name="40% - Accent3 3 4 2 6" xfId="27840"/>
    <cellStyle name="40% - Accent3 3 4 3" xfId="6539"/>
    <cellStyle name="40% - Accent3 3 4 3 2" xfId="10435"/>
    <cellStyle name="40% - Accent3 3 4 3 2 2" xfId="20056"/>
    <cellStyle name="40% - Accent3 3 4 3 2 2 2" xfId="36277"/>
    <cellStyle name="40% - Accent3 3 4 3 2 3" xfId="29589"/>
    <cellStyle name="40% - Accent3 3 4 3 3" xfId="16480"/>
    <cellStyle name="40% - Accent3 3 4 3 3 2" xfId="32701"/>
    <cellStyle name="40% - Accent3 3 4 3 4" xfId="18299"/>
    <cellStyle name="40% - Accent3 3 4 3 4 2" xfId="34520"/>
    <cellStyle name="40% - Accent3 3 4 3 5" xfId="27842"/>
    <cellStyle name="40% - Accent3 3 4 4" xfId="10432"/>
    <cellStyle name="40% - Accent3 3 4 4 2" xfId="20053"/>
    <cellStyle name="40% - Accent3 3 4 4 2 2" xfId="36274"/>
    <cellStyle name="40% - Accent3 3 4 4 3" xfId="29586"/>
    <cellStyle name="40% - Accent3 3 4 5" xfId="14895"/>
    <cellStyle name="40% - Accent3 3 4 5 2" xfId="31117"/>
    <cellStyle name="40% - Accent3 3 4 6" xfId="18296"/>
    <cellStyle name="40% - Accent3 3 4 6 2" xfId="34517"/>
    <cellStyle name="40% - Accent3 3 4 7" xfId="27839"/>
    <cellStyle name="40% - Accent3 3 4 8" xfId="39260"/>
    <cellStyle name="40% - Accent3 3 5" xfId="6540"/>
    <cellStyle name="40% - Accent3 3 5 2" xfId="6541"/>
    <cellStyle name="40% - Accent3 3 5 2 2" xfId="10437"/>
    <cellStyle name="40% - Accent3 3 5 2 2 2" xfId="20058"/>
    <cellStyle name="40% - Accent3 3 5 2 2 2 2" xfId="36279"/>
    <cellStyle name="40% - Accent3 3 5 2 2 3" xfId="29591"/>
    <cellStyle name="40% - Accent3 3 5 2 3" xfId="16744"/>
    <cellStyle name="40% - Accent3 3 5 2 3 2" xfId="32965"/>
    <cellStyle name="40% - Accent3 3 5 2 4" xfId="18301"/>
    <cellStyle name="40% - Accent3 3 5 2 4 2" xfId="34522"/>
    <cellStyle name="40% - Accent3 3 5 2 5" xfId="27844"/>
    <cellStyle name="40% - Accent3 3 5 3" xfId="10436"/>
    <cellStyle name="40% - Accent3 3 5 3 2" xfId="20057"/>
    <cellStyle name="40% - Accent3 3 5 3 2 2" xfId="36278"/>
    <cellStyle name="40% - Accent3 3 5 3 3" xfId="29590"/>
    <cellStyle name="40% - Accent3 3 5 4" xfId="15159"/>
    <cellStyle name="40% - Accent3 3 5 4 2" xfId="31381"/>
    <cellStyle name="40% - Accent3 3 5 5" xfId="18300"/>
    <cellStyle name="40% - Accent3 3 5 5 2" xfId="34521"/>
    <cellStyle name="40% - Accent3 3 5 6" xfId="27843"/>
    <cellStyle name="40% - Accent3 3 5 7" xfId="39409"/>
    <cellStyle name="40% - Accent3 3 6" xfId="6542"/>
    <cellStyle name="40% - Accent3 3 6 2" xfId="10438"/>
    <cellStyle name="40% - Accent3 3 6 2 2" xfId="20059"/>
    <cellStyle name="40% - Accent3 3 6 2 2 2" xfId="36280"/>
    <cellStyle name="40% - Accent3 3 6 2 3" xfId="29592"/>
    <cellStyle name="40% - Accent3 3 6 3" xfId="15952"/>
    <cellStyle name="40% - Accent3 3 6 3 2" xfId="32173"/>
    <cellStyle name="40% - Accent3 3 6 4" xfId="18302"/>
    <cellStyle name="40% - Accent3 3 6 4 2" xfId="34523"/>
    <cellStyle name="40% - Accent3 3 6 5" xfId="27845"/>
    <cellStyle name="40% - Accent3 3 7" xfId="10415"/>
    <cellStyle name="40% - Accent3 3 7 2" xfId="20036"/>
    <cellStyle name="40% - Accent3 3 7 2 2" xfId="36257"/>
    <cellStyle name="40% - Accent3 3 7 3" xfId="29569"/>
    <cellStyle name="40% - Accent3 3 8" xfId="14367"/>
    <cellStyle name="40% - Accent3 3 8 2" xfId="30589"/>
    <cellStyle name="40% - Accent3 3 9" xfId="18279"/>
    <cellStyle name="40% - Accent3 3 9 2" xfId="34500"/>
    <cellStyle name="40% - Accent3 4" xfId="6543"/>
    <cellStyle name="40% - Accent3 4 10" xfId="38991"/>
    <cellStyle name="40% - Accent3 4 2" xfId="6544"/>
    <cellStyle name="40% - Accent3 4 2 2" xfId="6545"/>
    <cellStyle name="40% - Accent3 4 2 2 2" xfId="6546"/>
    <cellStyle name="40% - Accent3 4 2 2 2 2" xfId="10442"/>
    <cellStyle name="40% - Accent3 4 2 2 2 2 2" xfId="20063"/>
    <cellStyle name="40% - Accent3 4 2 2 2 2 2 2" xfId="36284"/>
    <cellStyle name="40% - Accent3 4 2 2 2 2 3" xfId="29596"/>
    <cellStyle name="40% - Accent3 4 2 2 2 3" xfId="17074"/>
    <cellStyle name="40% - Accent3 4 2 2 2 3 2" xfId="33295"/>
    <cellStyle name="40% - Accent3 4 2 2 2 4" xfId="18306"/>
    <cellStyle name="40% - Accent3 4 2 2 2 4 2" xfId="34527"/>
    <cellStyle name="40% - Accent3 4 2 2 2 5" xfId="27849"/>
    <cellStyle name="40% - Accent3 4 2 2 3" xfId="10441"/>
    <cellStyle name="40% - Accent3 4 2 2 3 2" xfId="20062"/>
    <cellStyle name="40% - Accent3 4 2 2 3 2 2" xfId="36283"/>
    <cellStyle name="40% - Accent3 4 2 2 3 3" xfId="29595"/>
    <cellStyle name="40% - Accent3 4 2 2 4" xfId="15489"/>
    <cellStyle name="40% - Accent3 4 2 2 4 2" xfId="31711"/>
    <cellStyle name="40% - Accent3 4 2 2 5" xfId="18305"/>
    <cellStyle name="40% - Accent3 4 2 2 5 2" xfId="34526"/>
    <cellStyle name="40% - Accent3 4 2 2 6" xfId="27848"/>
    <cellStyle name="40% - Accent3 4 2 2 7" xfId="39181"/>
    <cellStyle name="40% - Accent3 4 2 3" xfId="6547"/>
    <cellStyle name="40% - Accent3 4 2 3 2" xfId="10443"/>
    <cellStyle name="40% - Accent3 4 2 3 2 2" xfId="20064"/>
    <cellStyle name="40% - Accent3 4 2 3 2 2 2" xfId="36285"/>
    <cellStyle name="40% - Accent3 4 2 3 2 3" xfId="29597"/>
    <cellStyle name="40% - Accent3 4 2 3 3" xfId="16282"/>
    <cellStyle name="40% - Accent3 4 2 3 3 2" xfId="32503"/>
    <cellStyle name="40% - Accent3 4 2 3 4" xfId="18307"/>
    <cellStyle name="40% - Accent3 4 2 3 4 2" xfId="34528"/>
    <cellStyle name="40% - Accent3 4 2 3 5" xfId="27850"/>
    <cellStyle name="40% - Accent3 4 2 3 6" xfId="39329"/>
    <cellStyle name="40% - Accent3 4 2 4" xfId="10440"/>
    <cellStyle name="40% - Accent3 4 2 4 2" xfId="20061"/>
    <cellStyle name="40% - Accent3 4 2 4 2 2" xfId="36282"/>
    <cellStyle name="40% - Accent3 4 2 4 3" xfId="29594"/>
    <cellStyle name="40% - Accent3 4 2 4 4" xfId="39478"/>
    <cellStyle name="40% - Accent3 4 2 5" xfId="14697"/>
    <cellStyle name="40% - Accent3 4 2 5 2" xfId="30919"/>
    <cellStyle name="40% - Accent3 4 2 6" xfId="18304"/>
    <cellStyle name="40% - Accent3 4 2 6 2" xfId="34525"/>
    <cellStyle name="40% - Accent3 4 2 7" xfId="27847"/>
    <cellStyle name="40% - Accent3 4 2 8" xfId="39033"/>
    <cellStyle name="40% - Accent3 4 3" xfId="6548"/>
    <cellStyle name="40% - Accent3 4 3 2" xfId="6549"/>
    <cellStyle name="40% - Accent3 4 3 2 2" xfId="6550"/>
    <cellStyle name="40% - Accent3 4 3 2 2 2" xfId="10446"/>
    <cellStyle name="40% - Accent3 4 3 2 2 2 2" xfId="20067"/>
    <cellStyle name="40% - Accent3 4 3 2 2 2 2 2" xfId="36288"/>
    <cellStyle name="40% - Accent3 4 3 2 2 2 3" xfId="29600"/>
    <cellStyle name="40% - Accent3 4 3 2 2 3" xfId="17338"/>
    <cellStyle name="40% - Accent3 4 3 2 2 3 2" xfId="33559"/>
    <cellStyle name="40% - Accent3 4 3 2 2 4" xfId="18310"/>
    <cellStyle name="40% - Accent3 4 3 2 2 4 2" xfId="34531"/>
    <cellStyle name="40% - Accent3 4 3 2 2 5" xfId="27853"/>
    <cellStyle name="40% - Accent3 4 3 2 3" xfId="10445"/>
    <cellStyle name="40% - Accent3 4 3 2 3 2" xfId="20066"/>
    <cellStyle name="40% - Accent3 4 3 2 3 2 2" xfId="36287"/>
    <cellStyle name="40% - Accent3 4 3 2 3 3" xfId="29599"/>
    <cellStyle name="40% - Accent3 4 3 2 4" xfId="15753"/>
    <cellStyle name="40% - Accent3 4 3 2 4 2" xfId="31975"/>
    <cellStyle name="40% - Accent3 4 3 2 5" xfId="18309"/>
    <cellStyle name="40% - Accent3 4 3 2 5 2" xfId="34530"/>
    <cellStyle name="40% - Accent3 4 3 2 6" xfId="27852"/>
    <cellStyle name="40% - Accent3 4 3 3" xfId="6551"/>
    <cellStyle name="40% - Accent3 4 3 3 2" xfId="10447"/>
    <cellStyle name="40% - Accent3 4 3 3 2 2" xfId="20068"/>
    <cellStyle name="40% - Accent3 4 3 3 2 2 2" xfId="36289"/>
    <cellStyle name="40% - Accent3 4 3 3 2 3" xfId="29601"/>
    <cellStyle name="40% - Accent3 4 3 3 3" xfId="16546"/>
    <cellStyle name="40% - Accent3 4 3 3 3 2" xfId="32767"/>
    <cellStyle name="40% - Accent3 4 3 3 4" xfId="18311"/>
    <cellStyle name="40% - Accent3 4 3 3 4 2" xfId="34532"/>
    <cellStyle name="40% - Accent3 4 3 3 5" xfId="27854"/>
    <cellStyle name="40% - Accent3 4 3 4" xfId="10444"/>
    <cellStyle name="40% - Accent3 4 3 4 2" xfId="20065"/>
    <cellStyle name="40% - Accent3 4 3 4 2 2" xfId="36286"/>
    <cellStyle name="40% - Accent3 4 3 4 3" xfId="29598"/>
    <cellStyle name="40% - Accent3 4 3 5" xfId="14961"/>
    <cellStyle name="40% - Accent3 4 3 5 2" xfId="31183"/>
    <cellStyle name="40% - Accent3 4 3 6" xfId="18308"/>
    <cellStyle name="40% - Accent3 4 3 6 2" xfId="34529"/>
    <cellStyle name="40% - Accent3 4 3 7" xfId="27851"/>
    <cellStyle name="40% - Accent3 4 3 8" xfId="39125"/>
    <cellStyle name="40% - Accent3 4 4" xfId="6552"/>
    <cellStyle name="40% - Accent3 4 4 2" xfId="6553"/>
    <cellStyle name="40% - Accent3 4 4 2 2" xfId="10449"/>
    <cellStyle name="40% - Accent3 4 4 2 2 2" xfId="20070"/>
    <cellStyle name="40% - Accent3 4 4 2 2 2 2" xfId="36291"/>
    <cellStyle name="40% - Accent3 4 4 2 2 3" xfId="29603"/>
    <cellStyle name="40% - Accent3 4 4 2 3" xfId="16810"/>
    <cellStyle name="40% - Accent3 4 4 2 3 2" xfId="33031"/>
    <cellStyle name="40% - Accent3 4 4 2 4" xfId="18313"/>
    <cellStyle name="40% - Accent3 4 4 2 4 2" xfId="34534"/>
    <cellStyle name="40% - Accent3 4 4 2 5" xfId="27856"/>
    <cellStyle name="40% - Accent3 4 4 3" xfId="10448"/>
    <cellStyle name="40% - Accent3 4 4 3 2" xfId="20069"/>
    <cellStyle name="40% - Accent3 4 4 3 2 2" xfId="36290"/>
    <cellStyle name="40% - Accent3 4 4 3 3" xfId="29602"/>
    <cellStyle name="40% - Accent3 4 4 4" xfId="15225"/>
    <cellStyle name="40% - Accent3 4 4 4 2" xfId="31447"/>
    <cellStyle name="40% - Accent3 4 4 5" xfId="18312"/>
    <cellStyle name="40% - Accent3 4 4 5 2" xfId="34533"/>
    <cellStyle name="40% - Accent3 4 4 6" xfId="27855"/>
    <cellStyle name="40% - Accent3 4 4 7" xfId="39273"/>
    <cellStyle name="40% - Accent3 4 5" xfId="6554"/>
    <cellStyle name="40% - Accent3 4 5 2" xfId="10450"/>
    <cellStyle name="40% - Accent3 4 5 2 2" xfId="20071"/>
    <cellStyle name="40% - Accent3 4 5 2 2 2" xfId="36292"/>
    <cellStyle name="40% - Accent3 4 5 2 3" xfId="29604"/>
    <cellStyle name="40% - Accent3 4 5 3" xfId="16018"/>
    <cellStyle name="40% - Accent3 4 5 3 2" xfId="32239"/>
    <cellStyle name="40% - Accent3 4 5 4" xfId="18314"/>
    <cellStyle name="40% - Accent3 4 5 4 2" xfId="34535"/>
    <cellStyle name="40% - Accent3 4 5 5" xfId="27857"/>
    <cellStyle name="40% - Accent3 4 5 6" xfId="39422"/>
    <cellStyle name="40% - Accent3 4 6" xfId="10439"/>
    <cellStyle name="40% - Accent3 4 6 2" xfId="20060"/>
    <cellStyle name="40% - Accent3 4 6 2 2" xfId="36281"/>
    <cellStyle name="40% - Accent3 4 6 3" xfId="29593"/>
    <cellStyle name="40% - Accent3 4 7" xfId="14433"/>
    <cellStyle name="40% - Accent3 4 7 2" xfId="30655"/>
    <cellStyle name="40% - Accent3 4 8" xfId="18303"/>
    <cellStyle name="40% - Accent3 4 8 2" xfId="34524"/>
    <cellStyle name="40% - Accent3 4 9" xfId="27846"/>
    <cellStyle name="40% - Accent3 5" xfId="6555"/>
    <cellStyle name="40% - Accent3 5 2" xfId="6556"/>
    <cellStyle name="40% - Accent3 5 2 2" xfId="6557"/>
    <cellStyle name="40% - Accent3 5 2 2 2" xfId="10453"/>
    <cellStyle name="40% - Accent3 5 2 2 2 2" xfId="20074"/>
    <cellStyle name="40% - Accent3 5 2 2 2 2 2" xfId="36295"/>
    <cellStyle name="40% - Accent3 5 2 2 2 3" xfId="29607"/>
    <cellStyle name="40% - Accent3 5 2 2 3" xfId="16942"/>
    <cellStyle name="40% - Accent3 5 2 2 3 2" xfId="33163"/>
    <cellStyle name="40% - Accent3 5 2 2 4" xfId="18317"/>
    <cellStyle name="40% - Accent3 5 2 2 4 2" xfId="34538"/>
    <cellStyle name="40% - Accent3 5 2 2 5" xfId="27860"/>
    <cellStyle name="40% - Accent3 5 2 3" xfId="10452"/>
    <cellStyle name="40% - Accent3 5 2 3 2" xfId="20073"/>
    <cellStyle name="40% - Accent3 5 2 3 2 2" xfId="36294"/>
    <cellStyle name="40% - Accent3 5 2 3 3" xfId="29606"/>
    <cellStyle name="40% - Accent3 5 2 4" xfId="15357"/>
    <cellStyle name="40% - Accent3 5 2 4 2" xfId="31579"/>
    <cellStyle name="40% - Accent3 5 2 5" xfId="18316"/>
    <cellStyle name="40% - Accent3 5 2 5 2" xfId="34537"/>
    <cellStyle name="40% - Accent3 5 2 6" xfId="27859"/>
    <cellStyle name="40% - Accent3 5 2 7" xfId="39140"/>
    <cellStyle name="40% - Accent3 5 3" xfId="6558"/>
    <cellStyle name="40% - Accent3 5 3 2" xfId="10454"/>
    <cellStyle name="40% - Accent3 5 3 2 2" xfId="20075"/>
    <cellStyle name="40% - Accent3 5 3 2 2 2" xfId="36296"/>
    <cellStyle name="40% - Accent3 5 3 2 3" xfId="29608"/>
    <cellStyle name="40% - Accent3 5 3 3" xfId="16150"/>
    <cellStyle name="40% - Accent3 5 3 3 2" xfId="32371"/>
    <cellStyle name="40% - Accent3 5 3 4" xfId="18318"/>
    <cellStyle name="40% - Accent3 5 3 4 2" xfId="34539"/>
    <cellStyle name="40% - Accent3 5 3 5" xfId="27861"/>
    <cellStyle name="40% - Accent3 5 3 6" xfId="39288"/>
    <cellStyle name="40% - Accent3 5 4" xfId="10451"/>
    <cellStyle name="40% - Accent3 5 4 2" xfId="20072"/>
    <cellStyle name="40% - Accent3 5 4 2 2" xfId="36293"/>
    <cellStyle name="40% - Accent3 5 4 3" xfId="29605"/>
    <cellStyle name="40% - Accent3 5 4 4" xfId="39437"/>
    <cellStyle name="40% - Accent3 5 5" xfId="14565"/>
    <cellStyle name="40% - Accent3 5 5 2" xfId="30787"/>
    <cellStyle name="40% - Accent3 5 6" xfId="18315"/>
    <cellStyle name="40% - Accent3 5 6 2" xfId="34536"/>
    <cellStyle name="40% - Accent3 5 7" xfId="27858"/>
    <cellStyle name="40% - Accent3 5 8" xfId="39006"/>
    <cellStyle name="40% - Accent3 6" xfId="6559"/>
    <cellStyle name="40% - Accent3 6 2" xfId="6560"/>
    <cellStyle name="40% - Accent3 6 2 2" xfId="6561"/>
    <cellStyle name="40% - Accent3 6 2 2 2" xfId="10457"/>
    <cellStyle name="40% - Accent3 6 2 2 2 2" xfId="20078"/>
    <cellStyle name="40% - Accent3 6 2 2 2 2 2" xfId="36299"/>
    <cellStyle name="40% - Accent3 6 2 2 2 3" xfId="29611"/>
    <cellStyle name="40% - Accent3 6 2 2 3" xfId="17206"/>
    <cellStyle name="40% - Accent3 6 2 2 3 2" xfId="33427"/>
    <cellStyle name="40% - Accent3 6 2 2 4" xfId="18321"/>
    <cellStyle name="40% - Accent3 6 2 2 4 2" xfId="34542"/>
    <cellStyle name="40% - Accent3 6 2 2 5" xfId="27864"/>
    <cellStyle name="40% - Accent3 6 2 3" xfId="10456"/>
    <cellStyle name="40% - Accent3 6 2 3 2" xfId="20077"/>
    <cellStyle name="40% - Accent3 6 2 3 2 2" xfId="36298"/>
    <cellStyle name="40% - Accent3 6 2 3 3" xfId="29610"/>
    <cellStyle name="40% - Accent3 6 2 4" xfId="15621"/>
    <cellStyle name="40% - Accent3 6 2 4 2" xfId="31843"/>
    <cellStyle name="40% - Accent3 6 2 5" xfId="18320"/>
    <cellStyle name="40% - Accent3 6 2 5 2" xfId="34541"/>
    <cellStyle name="40% - Accent3 6 2 6" xfId="27863"/>
    <cellStyle name="40% - Accent3 6 3" xfId="6562"/>
    <cellStyle name="40% - Accent3 6 3 2" xfId="10458"/>
    <cellStyle name="40% - Accent3 6 3 2 2" xfId="20079"/>
    <cellStyle name="40% - Accent3 6 3 2 2 2" xfId="36300"/>
    <cellStyle name="40% - Accent3 6 3 2 3" xfId="29612"/>
    <cellStyle name="40% - Accent3 6 3 3" xfId="16414"/>
    <cellStyle name="40% - Accent3 6 3 3 2" xfId="32635"/>
    <cellStyle name="40% - Accent3 6 3 4" xfId="18322"/>
    <cellStyle name="40% - Accent3 6 3 4 2" xfId="34543"/>
    <cellStyle name="40% - Accent3 6 3 5" xfId="27865"/>
    <cellStyle name="40% - Accent3 6 4" xfId="10455"/>
    <cellStyle name="40% - Accent3 6 4 2" xfId="20076"/>
    <cellStyle name="40% - Accent3 6 4 2 2" xfId="36297"/>
    <cellStyle name="40% - Accent3 6 4 3" xfId="29609"/>
    <cellStyle name="40% - Accent3 6 5" xfId="14829"/>
    <cellStyle name="40% - Accent3 6 5 2" xfId="31051"/>
    <cellStyle name="40% - Accent3 6 6" xfId="18319"/>
    <cellStyle name="40% - Accent3 6 6 2" xfId="34540"/>
    <cellStyle name="40% - Accent3 6 7" xfId="27862"/>
    <cellStyle name="40% - Accent3 6 8" xfId="39081"/>
    <cellStyle name="40% - Accent3 7" xfId="6563"/>
    <cellStyle name="40% - Accent3 7 2" xfId="6564"/>
    <cellStyle name="40% - Accent3 7 2 2" xfId="10460"/>
    <cellStyle name="40% - Accent3 7 2 2 2" xfId="20081"/>
    <cellStyle name="40% - Accent3 7 2 2 2 2" xfId="36302"/>
    <cellStyle name="40% - Accent3 7 2 2 3" xfId="29614"/>
    <cellStyle name="40% - Accent3 7 2 3" xfId="16678"/>
    <cellStyle name="40% - Accent3 7 2 3 2" xfId="32899"/>
    <cellStyle name="40% - Accent3 7 2 4" xfId="18324"/>
    <cellStyle name="40% - Accent3 7 2 4 2" xfId="34545"/>
    <cellStyle name="40% - Accent3 7 2 5" xfId="27867"/>
    <cellStyle name="40% - Accent3 7 3" xfId="10459"/>
    <cellStyle name="40% - Accent3 7 3 2" xfId="20080"/>
    <cellStyle name="40% - Accent3 7 3 2 2" xfId="36301"/>
    <cellStyle name="40% - Accent3 7 3 3" xfId="29613"/>
    <cellStyle name="40% - Accent3 7 4" xfId="15093"/>
    <cellStyle name="40% - Accent3 7 4 2" xfId="31315"/>
    <cellStyle name="40% - Accent3 7 5" xfId="18323"/>
    <cellStyle name="40% - Accent3 7 5 2" xfId="34544"/>
    <cellStyle name="40% - Accent3 7 6" xfId="27866"/>
    <cellStyle name="40% - Accent3 7 7" xfId="39229"/>
    <cellStyle name="40% - Accent3 8" xfId="6565"/>
    <cellStyle name="40% - Accent3 8 2" xfId="10461"/>
    <cellStyle name="40% - Accent3 8 2 2" xfId="20082"/>
    <cellStyle name="40% - Accent3 8 2 2 2" xfId="36303"/>
    <cellStyle name="40% - Accent3 8 2 3" xfId="29615"/>
    <cellStyle name="40% - Accent3 8 3" xfId="15886"/>
    <cellStyle name="40% - Accent3 8 3 2" xfId="32107"/>
    <cellStyle name="40% - Accent3 8 4" xfId="18325"/>
    <cellStyle name="40% - Accent3 8 4 2" xfId="34546"/>
    <cellStyle name="40% - Accent3 8 5" xfId="27868"/>
    <cellStyle name="40% - Accent3 8 6" xfId="39378"/>
    <cellStyle name="40% - Accent3 9" xfId="10366"/>
    <cellStyle name="40% - Accent3 9 2" xfId="19987"/>
    <cellStyle name="40% - Accent3 9 2 2" xfId="36208"/>
    <cellStyle name="40% - Accent3 9 3" xfId="29520"/>
    <cellStyle name="40% - Accent4" xfId="45" builtinId="43" customBuiltin="1"/>
    <cellStyle name="40% - Accent4 10" xfId="14233"/>
    <cellStyle name="40% - Accent4 10 2" xfId="30520"/>
    <cellStyle name="40% - Accent4 11" xfId="18326"/>
    <cellStyle name="40% - Accent4 11 2" xfId="34547"/>
    <cellStyle name="40% - Accent4 12" xfId="26990"/>
    <cellStyle name="40% - Accent4 13" xfId="38909"/>
    <cellStyle name="40% - Accent4 14" xfId="4843"/>
    <cellStyle name="40% - Accent4 2" xfId="4875"/>
    <cellStyle name="40% - Accent4 2 10" xfId="18327"/>
    <cellStyle name="40% - Accent4 2 10 2" xfId="34548"/>
    <cellStyle name="40% - Accent4 2 11" xfId="27011"/>
    <cellStyle name="40% - Accent4 2 12" xfId="38777"/>
    <cellStyle name="40% - Accent4 2 2" xfId="6566"/>
    <cellStyle name="40% - Accent4 2 2 10" xfId="27869"/>
    <cellStyle name="40% - Accent4 2 2 11" xfId="38967"/>
    <cellStyle name="40% - Accent4 2 2 2" xfId="6567"/>
    <cellStyle name="40% - Accent4 2 2 2 10" xfId="39157"/>
    <cellStyle name="40% - Accent4 2 2 2 2" xfId="6568"/>
    <cellStyle name="40% - Accent4 2 2 2 2 2" xfId="6569"/>
    <cellStyle name="40% - Accent4 2 2 2 2 2 2" xfId="6570"/>
    <cellStyle name="40% - Accent4 2 2 2 2 2 2 2" xfId="10468"/>
    <cellStyle name="40% - Accent4 2 2 2 2 2 2 2 2" xfId="20089"/>
    <cellStyle name="40% - Accent4 2 2 2 2 2 2 2 2 2" xfId="36310"/>
    <cellStyle name="40% - Accent4 2 2 2 2 2 2 2 3" xfId="29622"/>
    <cellStyle name="40% - Accent4 2 2 2 2 2 2 3" xfId="17174"/>
    <cellStyle name="40% - Accent4 2 2 2 2 2 2 3 2" xfId="33395"/>
    <cellStyle name="40% - Accent4 2 2 2 2 2 2 4" xfId="18332"/>
    <cellStyle name="40% - Accent4 2 2 2 2 2 2 4 2" xfId="34553"/>
    <cellStyle name="40% - Accent4 2 2 2 2 2 2 5" xfId="27873"/>
    <cellStyle name="40% - Accent4 2 2 2 2 2 3" xfId="10467"/>
    <cellStyle name="40% - Accent4 2 2 2 2 2 3 2" xfId="20088"/>
    <cellStyle name="40% - Accent4 2 2 2 2 2 3 2 2" xfId="36309"/>
    <cellStyle name="40% - Accent4 2 2 2 2 2 3 3" xfId="29621"/>
    <cellStyle name="40% - Accent4 2 2 2 2 2 4" xfId="15589"/>
    <cellStyle name="40% - Accent4 2 2 2 2 2 4 2" xfId="31811"/>
    <cellStyle name="40% - Accent4 2 2 2 2 2 5" xfId="18331"/>
    <cellStyle name="40% - Accent4 2 2 2 2 2 5 2" xfId="34552"/>
    <cellStyle name="40% - Accent4 2 2 2 2 2 6" xfId="27872"/>
    <cellStyle name="40% - Accent4 2 2 2 2 3" xfId="6571"/>
    <cellStyle name="40% - Accent4 2 2 2 2 3 2" xfId="10469"/>
    <cellStyle name="40% - Accent4 2 2 2 2 3 2 2" xfId="20090"/>
    <cellStyle name="40% - Accent4 2 2 2 2 3 2 2 2" xfId="36311"/>
    <cellStyle name="40% - Accent4 2 2 2 2 3 2 3" xfId="29623"/>
    <cellStyle name="40% - Accent4 2 2 2 2 3 3" xfId="16382"/>
    <cellStyle name="40% - Accent4 2 2 2 2 3 3 2" xfId="32603"/>
    <cellStyle name="40% - Accent4 2 2 2 2 3 4" xfId="18333"/>
    <cellStyle name="40% - Accent4 2 2 2 2 3 4 2" xfId="34554"/>
    <cellStyle name="40% - Accent4 2 2 2 2 3 5" xfId="27874"/>
    <cellStyle name="40% - Accent4 2 2 2 2 4" xfId="10466"/>
    <cellStyle name="40% - Accent4 2 2 2 2 4 2" xfId="20087"/>
    <cellStyle name="40% - Accent4 2 2 2 2 4 2 2" xfId="36308"/>
    <cellStyle name="40% - Accent4 2 2 2 2 4 3" xfId="29620"/>
    <cellStyle name="40% - Accent4 2 2 2 2 5" xfId="14797"/>
    <cellStyle name="40% - Accent4 2 2 2 2 5 2" xfId="31019"/>
    <cellStyle name="40% - Accent4 2 2 2 2 6" xfId="18330"/>
    <cellStyle name="40% - Accent4 2 2 2 2 6 2" xfId="34551"/>
    <cellStyle name="40% - Accent4 2 2 2 2 7" xfId="27871"/>
    <cellStyle name="40% - Accent4 2 2 2 3" xfId="6572"/>
    <cellStyle name="40% - Accent4 2 2 2 3 2" xfId="6573"/>
    <cellStyle name="40% - Accent4 2 2 2 3 2 2" xfId="6574"/>
    <cellStyle name="40% - Accent4 2 2 2 3 2 2 2" xfId="10472"/>
    <cellStyle name="40% - Accent4 2 2 2 3 2 2 2 2" xfId="20093"/>
    <cellStyle name="40% - Accent4 2 2 2 3 2 2 2 2 2" xfId="36314"/>
    <cellStyle name="40% - Accent4 2 2 2 3 2 2 2 3" xfId="29626"/>
    <cellStyle name="40% - Accent4 2 2 2 3 2 2 3" xfId="17438"/>
    <cellStyle name="40% - Accent4 2 2 2 3 2 2 3 2" xfId="33659"/>
    <cellStyle name="40% - Accent4 2 2 2 3 2 2 4" xfId="18336"/>
    <cellStyle name="40% - Accent4 2 2 2 3 2 2 4 2" xfId="34557"/>
    <cellStyle name="40% - Accent4 2 2 2 3 2 2 5" xfId="27877"/>
    <cellStyle name="40% - Accent4 2 2 2 3 2 3" xfId="10471"/>
    <cellStyle name="40% - Accent4 2 2 2 3 2 3 2" xfId="20092"/>
    <cellStyle name="40% - Accent4 2 2 2 3 2 3 2 2" xfId="36313"/>
    <cellStyle name="40% - Accent4 2 2 2 3 2 3 3" xfId="29625"/>
    <cellStyle name="40% - Accent4 2 2 2 3 2 4" xfId="15853"/>
    <cellStyle name="40% - Accent4 2 2 2 3 2 4 2" xfId="32075"/>
    <cellStyle name="40% - Accent4 2 2 2 3 2 5" xfId="18335"/>
    <cellStyle name="40% - Accent4 2 2 2 3 2 5 2" xfId="34556"/>
    <cellStyle name="40% - Accent4 2 2 2 3 2 6" xfId="27876"/>
    <cellStyle name="40% - Accent4 2 2 2 3 3" xfId="6575"/>
    <cellStyle name="40% - Accent4 2 2 2 3 3 2" xfId="10473"/>
    <cellStyle name="40% - Accent4 2 2 2 3 3 2 2" xfId="20094"/>
    <cellStyle name="40% - Accent4 2 2 2 3 3 2 2 2" xfId="36315"/>
    <cellStyle name="40% - Accent4 2 2 2 3 3 2 3" xfId="29627"/>
    <cellStyle name="40% - Accent4 2 2 2 3 3 3" xfId="16646"/>
    <cellStyle name="40% - Accent4 2 2 2 3 3 3 2" xfId="32867"/>
    <cellStyle name="40% - Accent4 2 2 2 3 3 4" xfId="18337"/>
    <cellStyle name="40% - Accent4 2 2 2 3 3 4 2" xfId="34558"/>
    <cellStyle name="40% - Accent4 2 2 2 3 3 5" xfId="27878"/>
    <cellStyle name="40% - Accent4 2 2 2 3 4" xfId="10470"/>
    <cellStyle name="40% - Accent4 2 2 2 3 4 2" xfId="20091"/>
    <cellStyle name="40% - Accent4 2 2 2 3 4 2 2" xfId="36312"/>
    <cellStyle name="40% - Accent4 2 2 2 3 4 3" xfId="29624"/>
    <cellStyle name="40% - Accent4 2 2 2 3 5" xfId="15061"/>
    <cellStyle name="40% - Accent4 2 2 2 3 5 2" xfId="31283"/>
    <cellStyle name="40% - Accent4 2 2 2 3 6" xfId="18334"/>
    <cellStyle name="40% - Accent4 2 2 2 3 6 2" xfId="34555"/>
    <cellStyle name="40% - Accent4 2 2 2 3 7" xfId="27875"/>
    <cellStyle name="40% - Accent4 2 2 2 4" xfId="6576"/>
    <cellStyle name="40% - Accent4 2 2 2 4 2" xfId="6577"/>
    <cellStyle name="40% - Accent4 2 2 2 4 2 2" xfId="10475"/>
    <cellStyle name="40% - Accent4 2 2 2 4 2 2 2" xfId="20096"/>
    <cellStyle name="40% - Accent4 2 2 2 4 2 2 2 2" xfId="36317"/>
    <cellStyle name="40% - Accent4 2 2 2 4 2 2 3" xfId="29629"/>
    <cellStyle name="40% - Accent4 2 2 2 4 2 3" xfId="16910"/>
    <cellStyle name="40% - Accent4 2 2 2 4 2 3 2" xfId="33131"/>
    <cellStyle name="40% - Accent4 2 2 2 4 2 4" xfId="18339"/>
    <cellStyle name="40% - Accent4 2 2 2 4 2 4 2" xfId="34560"/>
    <cellStyle name="40% - Accent4 2 2 2 4 2 5" xfId="27880"/>
    <cellStyle name="40% - Accent4 2 2 2 4 3" xfId="10474"/>
    <cellStyle name="40% - Accent4 2 2 2 4 3 2" xfId="20095"/>
    <cellStyle name="40% - Accent4 2 2 2 4 3 2 2" xfId="36316"/>
    <cellStyle name="40% - Accent4 2 2 2 4 3 3" xfId="29628"/>
    <cellStyle name="40% - Accent4 2 2 2 4 4" xfId="15325"/>
    <cellStyle name="40% - Accent4 2 2 2 4 4 2" xfId="31547"/>
    <cellStyle name="40% - Accent4 2 2 2 4 5" xfId="18338"/>
    <cellStyle name="40% - Accent4 2 2 2 4 5 2" xfId="34559"/>
    <cellStyle name="40% - Accent4 2 2 2 4 6" xfId="27879"/>
    <cellStyle name="40% - Accent4 2 2 2 5" xfId="6578"/>
    <cellStyle name="40% - Accent4 2 2 2 5 2" xfId="10476"/>
    <cellStyle name="40% - Accent4 2 2 2 5 2 2" xfId="20097"/>
    <cellStyle name="40% - Accent4 2 2 2 5 2 2 2" xfId="36318"/>
    <cellStyle name="40% - Accent4 2 2 2 5 2 3" xfId="29630"/>
    <cellStyle name="40% - Accent4 2 2 2 5 3" xfId="16118"/>
    <cellStyle name="40% - Accent4 2 2 2 5 3 2" xfId="32339"/>
    <cellStyle name="40% - Accent4 2 2 2 5 4" xfId="18340"/>
    <cellStyle name="40% - Accent4 2 2 2 5 4 2" xfId="34561"/>
    <cellStyle name="40% - Accent4 2 2 2 5 5" xfId="27881"/>
    <cellStyle name="40% - Accent4 2 2 2 6" xfId="10465"/>
    <cellStyle name="40% - Accent4 2 2 2 6 2" xfId="20086"/>
    <cellStyle name="40% - Accent4 2 2 2 6 2 2" xfId="36307"/>
    <cellStyle name="40% - Accent4 2 2 2 6 3" xfId="29619"/>
    <cellStyle name="40% - Accent4 2 2 2 7" xfId="14533"/>
    <cellStyle name="40% - Accent4 2 2 2 7 2" xfId="30755"/>
    <cellStyle name="40% - Accent4 2 2 2 8" xfId="18329"/>
    <cellStyle name="40% - Accent4 2 2 2 8 2" xfId="34550"/>
    <cellStyle name="40% - Accent4 2 2 2 9" xfId="27870"/>
    <cellStyle name="40% - Accent4 2 2 3" xfId="6579"/>
    <cellStyle name="40% - Accent4 2 2 3 2" xfId="6580"/>
    <cellStyle name="40% - Accent4 2 2 3 2 2" xfId="6581"/>
    <cellStyle name="40% - Accent4 2 2 3 2 2 2" xfId="10479"/>
    <cellStyle name="40% - Accent4 2 2 3 2 2 2 2" xfId="20100"/>
    <cellStyle name="40% - Accent4 2 2 3 2 2 2 2 2" xfId="36321"/>
    <cellStyle name="40% - Accent4 2 2 3 2 2 2 3" xfId="29633"/>
    <cellStyle name="40% - Accent4 2 2 3 2 2 3" xfId="17042"/>
    <cellStyle name="40% - Accent4 2 2 3 2 2 3 2" xfId="33263"/>
    <cellStyle name="40% - Accent4 2 2 3 2 2 4" xfId="18343"/>
    <cellStyle name="40% - Accent4 2 2 3 2 2 4 2" xfId="34564"/>
    <cellStyle name="40% - Accent4 2 2 3 2 2 5" xfId="27884"/>
    <cellStyle name="40% - Accent4 2 2 3 2 3" xfId="10478"/>
    <cellStyle name="40% - Accent4 2 2 3 2 3 2" xfId="20099"/>
    <cellStyle name="40% - Accent4 2 2 3 2 3 2 2" xfId="36320"/>
    <cellStyle name="40% - Accent4 2 2 3 2 3 3" xfId="29632"/>
    <cellStyle name="40% - Accent4 2 2 3 2 4" xfId="15457"/>
    <cellStyle name="40% - Accent4 2 2 3 2 4 2" xfId="31679"/>
    <cellStyle name="40% - Accent4 2 2 3 2 5" xfId="18342"/>
    <cellStyle name="40% - Accent4 2 2 3 2 5 2" xfId="34563"/>
    <cellStyle name="40% - Accent4 2 2 3 2 6" xfId="27883"/>
    <cellStyle name="40% - Accent4 2 2 3 3" xfId="6582"/>
    <cellStyle name="40% - Accent4 2 2 3 3 2" xfId="10480"/>
    <cellStyle name="40% - Accent4 2 2 3 3 2 2" xfId="20101"/>
    <cellStyle name="40% - Accent4 2 2 3 3 2 2 2" xfId="36322"/>
    <cellStyle name="40% - Accent4 2 2 3 3 2 3" xfId="29634"/>
    <cellStyle name="40% - Accent4 2 2 3 3 3" xfId="16250"/>
    <cellStyle name="40% - Accent4 2 2 3 3 3 2" xfId="32471"/>
    <cellStyle name="40% - Accent4 2 2 3 3 4" xfId="18344"/>
    <cellStyle name="40% - Accent4 2 2 3 3 4 2" xfId="34565"/>
    <cellStyle name="40% - Accent4 2 2 3 3 5" xfId="27885"/>
    <cellStyle name="40% - Accent4 2 2 3 4" xfId="10477"/>
    <cellStyle name="40% - Accent4 2 2 3 4 2" xfId="20098"/>
    <cellStyle name="40% - Accent4 2 2 3 4 2 2" xfId="36319"/>
    <cellStyle name="40% - Accent4 2 2 3 4 3" xfId="29631"/>
    <cellStyle name="40% - Accent4 2 2 3 5" xfId="14665"/>
    <cellStyle name="40% - Accent4 2 2 3 5 2" xfId="30887"/>
    <cellStyle name="40% - Accent4 2 2 3 6" xfId="18341"/>
    <cellStyle name="40% - Accent4 2 2 3 6 2" xfId="34562"/>
    <cellStyle name="40% - Accent4 2 2 3 7" xfId="27882"/>
    <cellStyle name="40% - Accent4 2 2 3 8" xfId="39305"/>
    <cellStyle name="40% - Accent4 2 2 4" xfId="6583"/>
    <cellStyle name="40% - Accent4 2 2 4 2" xfId="6584"/>
    <cellStyle name="40% - Accent4 2 2 4 2 2" xfId="6585"/>
    <cellStyle name="40% - Accent4 2 2 4 2 2 2" xfId="10483"/>
    <cellStyle name="40% - Accent4 2 2 4 2 2 2 2" xfId="20104"/>
    <cellStyle name="40% - Accent4 2 2 4 2 2 2 2 2" xfId="36325"/>
    <cellStyle name="40% - Accent4 2 2 4 2 2 2 3" xfId="29637"/>
    <cellStyle name="40% - Accent4 2 2 4 2 2 3" xfId="17306"/>
    <cellStyle name="40% - Accent4 2 2 4 2 2 3 2" xfId="33527"/>
    <cellStyle name="40% - Accent4 2 2 4 2 2 4" xfId="18347"/>
    <cellStyle name="40% - Accent4 2 2 4 2 2 4 2" xfId="34568"/>
    <cellStyle name="40% - Accent4 2 2 4 2 2 5" xfId="27888"/>
    <cellStyle name="40% - Accent4 2 2 4 2 3" xfId="10482"/>
    <cellStyle name="40% - Accent4 2 2 4 2 3 2" xfId="20103"/>
    <cellStyle name="40% - Accent4 2 2 4 2 3 2 2" xfId="36324"/>
    <cellStyle name="40% - Accent4 2 2 4 2 3 3" xfId="29636"/>
    <cellStyle name="40% - Accent4 2 2 4 2 4" xfId="15721"/>
    <cellStyle name="40% - Accent4 2 2 4 2 4 2" xfId="31943"/>
    <cellStyle name="40% - Accent4 2 2 4 2 5" xfId="18346"/>
    <cellStyle name="40% - Accent4 2 2 4 2 5 2" xfId="34567"/>
    <cellStyle name="40% - Accent4 2 2 4 2 6" xfId="27887"/>
    <cellStyle name="40% - Accent4 2 2 4 3" xfId="6586"/>
    <cellStyle name="40% - Accent4 2 2 4 3 2" xfId="10484"/>
    <cellStyle name="40% - Accent4 2 2 4 3 2 2" xfId="20105"/>
    <cellStyle name="40% - Accent4 2 2 4 3 2 2 2" xfId="36326"/>
    <cellStyle name="40% - Accent4 2 2 4 3 2 3" xfId="29638"/>
    <cellStyle name="40% - Accent4 2 2 4 3 3" xfId="16514"/>
    <cellStyle name="40% - Accent4 2 2 4 3 3 2" xfId="32735"/>
    <cellStyle name="40% - Accent4 2 2 4 3 4" xfId="18348"/>
    <cellStyle name="40% - Accent4 2 2 4 3 4 2" xfId="34569"/>
    <cellStyle name="40% - Accent4 2 2 4 3 5" xfId="27889"/>
    <cellStyle name="40% - Accent4 2 2 4 4" xfId="10481"/>
    <cellStyle name="40% - Accent4 2 2 4 4 2" xfId="20102"/>
    <cellStyle name="40% - Accent4 2 2 4 4 2 2" xfId="36323"/>
    <cellStyle name="40% - Accent4 2 2 4 4 3" xfId="29635"/>
    <cellStyle name="40% - Accent4 2 2 4 5" xfId="14929"/>
    <cellStyle name="40% - Accent4 2 2 4 5 2" xfId="31151"/>
    <cellStyle name="40% - Accent4 2 2 4 6" xfId="18345"/>
    <cellStyle name="40% - Accent4 2 2 4 6 2" xfId="34566"/>
    <cellStyle name="40% - Accent4 2 2 4 7" xfId="27886"/>
    <cellStyle name="40% - Accent4 2 2 4 8" xfId="39454"/>
    <cellStyle name="40% - Accent4 2 2 5" xfId="6587"/>
    <cellStyle name="40% - Accent4 2 2 5 2" xfId="6588"/>
    <cellStyle name="40% - Accent4 2 2 5 2 2" xfId="10486"/>
    <cellStyle name="40% - Accent4 2 2 5 2 2 2" xfId="20107"/>
    <cellStyle name="40% - Accent4 2 2 5 2 2 2 2" xfId="36328"/>
    <cellStyle name="40% - Accent4 2 2 5 2 2 3" xfId="29640"/>
    <cellStyle name="40% - Accent4 2 2 5 2 3" xfId="16778"/>
    <cellStyle name="40% - Accent4 2 2 5 2 3 2" xfId="32999"/>
    <cellStyle name="40% - Accent4 2 2 5 2 4" xfId="18350"/>
    <cellStyle name="40% - Accent4 2 2 5 2 4 2" xfId="34571"/>
    <cellStyle name="40% - Accent4 2 2 5 2 5" xfId="27891"/>
    <cellStyle name="40% - Accent4 2 2 5 3" xfId="10485"/>
    <cellStyle name="40% - Accent4 2 2 5 3 2" xfId="20106"/>
    <cellStyle name="40% - Accent4 2 2 5 3 2 2" xfId="36327"/>
    <cellStyle name="40% - Accent4 2 2 5 3 3" xfId="29639"/>
    <cellStyle name="40% - Accent4 2 2 5 4" xfId="15193"/>
    <cellStyle name="40% - Accent4 2 2 5 4 2" xfId="31415"/>
    <cellStyle name="40% - Accent4 2 2 5 5" xfId="18349"/>
    <cellStyle name="40% - Accent4 2 2 5 5 2" xfId="34570"/>
    <cellStyle name="40% - Accent4 2 2 5 6" xfId="27890"/>
    <cellStyle name="40% - Accent4 2 2 6" xfId="6589"/>
    <cellStyle name="40% - Accent4 2 2 6 2" xfId="10487"/>
    <cellStyle name="40% - Accent4 2 2 6 2 2" xfId="20108"/>
    <cellStyle name="40% - Accent4 2 2 6 2 2 2" xfId="36329"/>
    <cellStyle name="40% - Accent4 2 2 6 2 3" xfId="29641"/>
    <cellStyle name="40% - Accent4 2 2 6 3" xfId="15986"/>
    <cellStyle name="40% - Accent4 2 2 6 3 2" xfId="32207"/>
    <cellStyle name="40% - Accent4 2 2 6 4" xfId="18351"/>
    <cellStyle name="40% - Accent4 2 2 6 4 2" xfId="34572"/>
    <cellStyle name="40% - Accent4 2 2 6 5" xfId="27892"/>
    <cellStyle name="40% - Accent4 2 2 7" xfId="10464"/>
    <cellStyle name="40% - Accent4 2 2 7 2" xfId="20085"/>
    <cellStyle name="40% - Accent4 2 2 7 2 2" xfId="36306"/>
    <cellStyle name="40% - Accent4 2 2 7 3" xfId="29618"/>
    <cellStyle name="40% - Accent4 2 2 8" xfId="14401"/>
    <cellStyle name="40% - Accent4 2 2 8 2" xfId="30623"/>
    <cellStyle name="40% - Accent4 2 2 9" xfId="18328"/>
    <cellStyle name="40% - Accent4 2 2 9 2" xfId="34549"/>
    <cellStyle name="40% - Accent4 2 3" xfId="6590"/>
    <cellStyle name="40% - Accent4 2 3 10" xfId="39101"/>
    <cellStyle name="40% - Accent4 2 3 2" xfId="6591"/>
    <cellStyle name="40% - Accent4 2 3 2 2" xfId="6592"/>
    <cellStyle name="40% - Accent4 2 3 2 2 2" xfId="6593"/>
    <cellStyle name="40% - Accent4 2 3 2 2 2 2" xfId="10491"/>
    <cellStyle name="40% - Accent4 2 3 2 2 2 2 2" xfId="20112"/>
    <cellStyle name="40% - Accent4 2 3 2 2 2 2 2 2" xfId="36333"/>
    <cellStyle name="40% - Accent4 2 3 2 2 2 2 3" xfId="29645"/>
    <cellStyle name="40% - Accent4 2 3 2 2 2 3" xfId="17108"/>
    <cellStyle name="40% - Accent4 2 3 2 2 2 3 2" xfId="33329"/>
    <cellStyle name="40% - Accent4 2 3 2 2 2 4" xfId="18355"/>
    <cellStyle name="40% - Accent4 2 3 2 2 2 4 2" xfId="34576"/>
    <cellStyle name="40% - Accent4 2 3 2 2 2 5" xfId="27896"/>
    <cellStyle name="40% - Accent4 2 3 2 2 3" xfId="10490"/>
    <cellStyle name="40% - Accent4 2 3 2 2 3 2" xfId="20111"/>
    <cellStyle name="40% - Accent4 2 3 2 2 3 2 2" xfId="36332"/>
    <cellStyle name="40% - Accent4 2 3 2 2 3 3" xfId="29644"/>
    <cellStyle name="40% - Accent4 2 3 2 2 4" xfId="15523"/>
    <cellStyle name="40% - Accent4 2 3 2 2 4 2" xfId="31745"/>
    <cellStyle name="40% - Accent4 2 3 2 2 5" xfId="18354"/>
    <cellStyle name="40% - Accent4 2 3 2 2 5 2" xfId="34575"/>
    <cellStyle name="40% - Accent4 2 3 2 2 6" xfId="27895"/>
    <cellStyle name="40% - Accent4 2 3 2 3" xfId="6594"/>
    <cellStyle name="40% - Accent4 2 3 2 3 2" xfId="10492"/>
    <cellStyle name="40% - Accent4 2 3 2 3 2 2" xfId="20113"/>
    <cellStyle name="40% - Accent4 2 3 2 3 2 2 2" xfId="36334"/>
    <cellStyle name="40% - Accent4 2 3 2 3 2 3" xfId="29646"/>
    <cellStyle name="40% - Accent4 2 3 2 3 3" xfId="16316"/>
    <cellStyle name="40% - Accent4 2 3 2 3 3 2" xfId="32537"/>
    <cellStyle name="40% - Accent4 2 3 2 3 4" xfId="18356"/>
    <cellStyle name="40% - Accent4 2 3 2 3 4 2" xfId="34577"/>
    <cellStyle name="40% - Accent4 2 3 2 3 5" xfId="27897"/>
    <cellStyle name="40% - Accent4 2 3 2 4" xfId="10489"/>
    <cellStyle name="40% - Accent4 2 3 2 4 2" xfId="20110"/>
    <cellStyle name="40% - Accent4 2 3 2 4 2 2" xfId="36331"/>
    <cellStyle name="40% - Accent4 2 3 2 4 3" xfId="29643"/>
    <cellStyle name="40% - Accent4 2 3 2 5" xfId="14731"/>
    <cellStyle name="40% - Accent4 2 3 2 5 2" xfId="30953"/>
    <cellStyle name="40% - Accent4 2 3 2 6" xfId="18353"/>
    <cellStyle name="40% - Accent4 2 3 2 6 2" xfId="34574"/>
    <cellStyle name="40% - Accent4 2 3 2 7" xfId="27894"/>
    <cellStyle name="40% - Accent4 2 3 3" xfId="6595"/>
    <cellStyle name="40% - Accent4 2 3 3 2" xfId="6596"/>
    <cellStyle name="40% - Accent4 2 3 3 2 2" xfId="6597"/>
    <cellStyle name="40% - Accent4 2 3 3 2 2 2" xfId="10495"/>
    <cellStyle name="40% - Accent4 2 3 3 2 2 2 2" xfId="20116"/>
    <cellStyle name="40% - Accent4 2 3 3 2 2 2 2 2" xfId="36337"/>
    <cellStyle name="40% - Accent4 2 3 3 2 2 2 3" xfId="29649"/>
    <cellStyle name="40% - Accent4 2 3 3 2 2 3" xfId="17372"/>
    <cellStyle name="40% - Accent4 2 3 3 2 2 3 2" xfId="33593"/>
    <cellStyle name="40% - Accent4 2 3 3 2 2 4" xfId="18359"/>
    <cellStyle name="40% - Accent4 2 3 3 2 2 4 2" xfId="34580"/>
    <cellStyle name="40% - Accent4 2 3 3 2 2 5" xfId="27900"/>
    <cellStyle name="40% - Accent4 2 3 3 2 3" xfId="10494"/>
    <cellStyle name="40% - Accent4 2 3 3 2 3 2" xfId="20115"/>
    <cellStyle name="40% - Accent4 2 3 3 2 3 2 2" xfId="36336"/>
    <cellStyle name="40% - Accent4 2 3 3 2 3 3" xfId="29648"/>
    <cellStyle name="40% - Accent4 2 3 3 2 4" xfId="15787"/>
    <cellStyle name="40% - Accent4 2 3 3 2 4 2" xfId="32009"/>
    <cellStyle name="40% - Accent4 2 3 3 2 5" xfId="18358"/>
    <cellStyle name="40% - Accent4 2 3 3 2 5 2" xfId="34579"/>
    <cellStyle name="40% - Accent4 2 3 3 2 6" xfId="27899"/>
    <cellStyle name="40% - Accent4 2 3 3 3" xfId="6598"/>
    <cellStyle name="40% - Accent4 2 3 3 3 2" xfId="10496"/>
    <cellStyle name="40% - Accent4 2 3 3 3 2 2" xfId="20117"/>
    <cellStyle name="40% - Accent4 2 3 3 3 2 2 2" xfId="36338"/>
    <cellStyle name="40% - Accent4 2 3 3 3 2 3" xfId="29650"/>
    <cellStyle name="40% - Accent4 2 3 3 3 3" xfId="16580"/>
    <cellStyle name="40% - Accent4 2 3 3 3 3 2" xfId="32801"/>
    <cellStyle name="40% - Accent4 2 3 3 3 4" xfId="18360"/>
    <cellStyle name="40% - Accent4 2 3 3 3 4 2" xfId="34581"/>
    <cellStyle name="40% - Accent4 2 3 3 3 5" xfId="27901"/>
    <cellStyle name="40% - Accent4 2 3 3 4" xfId="10493"/>
    <cellStyle name="40% - Accent4 2 3 3 4 2" xfId="20114"/>
    <cellStyle name="40% - Accent4 2 3 3 4 2 2" xfId="36335"/>
    <cellStyle name="40% - Accent4 2 3 3 4 3" xfId="29647"/>
    <cellStyle name="40% - Accent4 2 3 3 5" xfId="14995"/>
    <cellStyle name="40% - Accent4 2 3 3 5 2" xfId="31217"/>
    <cellStyle name="40% - Accent4 2 3 3 6" xfId="18357"/>
    <cellStyle name="40% - Accent4 2 3 3 6 2" xfId="34578"/>
    <cellStyle name="40% - Accent4 2 3 3 7" xfId="27898"/>
    <cellStyle name="40% - Accent4 2 3 4" xfId="6599"/>
    <cellStyle name="40% - Accent4 2 3 4 2" xfId="6600"/>
    <cellStyle name="40% - Accent4 2 3 4 2 2" xfId="10498"/>
    <cellStyle name="40% - Accent4 2 3 4 2 2 2" xfId="20119"/>
    <cellStyle name="40% - Accent4 2 3 4 2 2 2 2" xfId="36340"/>
    <cellStyle name="40% - Accent4 2 3 4 2 2 3" xfId="29652"/>
    <cellStyle name="40% - Accent4 2 3 4 2 3" xfId="16844"/>
    <cellStyle name="40% - Accent4 2 3 4 2 3 2" xfId="33065"/>
    <cellStyle name="40% - Accent4 2 3 4 2 4" xfId="18362"/>
    <cellStyle name="40% - Accent4 2 3 4 2 4 2" xfId="34583"/>
    <cellStyle name="40% - Accent4 2 3 4 2 5" xfId="27903"/>
    <cellStyle name="40% - Accent4 2 3 4 3" xfId="10497"/>
    <cellStyle name="40% - Accent4 2 3 4 3 2" xfId="20118"/>
    <cellStyle name="40% - Accent4 2 3 4 3 2 2" xfId="36339"/>
    <cellStyle name="40% - Accent4 2 3 4 3 3" xfId="29651"/>
    <cellStyle name="40% - Accent4 2 3 4 4" xfId="15259"/>
    <cellStyle name="40% - Accent4 2 3 4 4 2" xfId="31481"/>
    <cellStyle name="40% - Accent4 2 3 4 5" xfId="18361"/>
    <cellStyle name="40% - Accent4 2 3 4 5 2" xfId="34582"/>
    <cellStyle name="40% - Accent4 2 3 4 6" xfId="27902"/>
    <cellStyle name="40% - Accent4 2 3 5" xfId="6601"/>
    <cellStyle name="40% - Accent4 2 3 5 2" xfId="10499"/>
    <cellStyle name="40% - Accent4 2 3 5 2 2" xfId="20120"/>
    <cellStyle name="40% - Accent4 2 3 5 2 2 2" xfId="36341"/>
    <cellStyle name="40% - Accent4 2 3 5 2 3" xfId="29653"/>
    <cellStyle name="40% - Accent4 2 3 5 3" xfId="16052"/>
    <cellStyle name="40% - Accent4 2 3 5 3 2" xfId="32273"/>
    <cellStyle name="40% - Accent4 2 3 5 4" xfId="18363"/>
    <cellStyle name="40% - Accent4 2 3 5 4 2" xfId="34584"/>
    <cellStyle name="40% - Accent4 2 3 5 5" xfId="27904"/>
    <cellStyle name="40% - Accent4 2 3 6" xfId="10488"/>
    <cellStyle name="40% - Accent4 2 3 6 2" xfId="20109"/>
    <cellStyle name="40% - Accent4 2 3 6 2 2" xfId="36330"/>
    <cellStyle name="40% - Accent4 2 3 6 3" xfId="29642"/>
    <cellStyle name="40% - Accent4 2 3 7" xfId="14467"/>
    <cellStyle name="40% - Accent4 2 3 7 2" xfId="30689"/>
    <cellStyle name="40% - Accent4 2 3 8" xfId="18352"/>
    <cellStyle name="40% - Accent4 2 3 8 2" xfId="34573"/>
    <cellStyle name="40% - Accent4 2 3 9" xfId="27893"/>
    <cellStyle name="40% - Accent4 2 4" xfId="6602"/>
    <cellStyle name="40% - Accent4 2 4 2" xfId="6603"/>
    <cellStyle name="40% - Accent4 2 4 2 2" xfId="6604"/>
    <cellStyle name="40% - Accent4 2 4 2 2 2" xfId="10502"/>
    <cellStyle name="40% - Accent4 2 4 2 2 2 2" xfId="20123"/>
    <cellStyle name="40% - Accent4 2 4 2 2 2 2 2" xfId="36344"/>
    <cellStyle name="40% - Accent4 2 4 2 2 2 3" xfId="29656"/>
    <cellStyle name="40% - Accent4 2 4 2 2 3" xfId="16976"/>
    <cellStyle name="40% - Accent4 2 4 2 2 3 2" xfId="33197"/>
    <cellStyle name="40% - Accent4 2 4 2 2 4" xfId="18366"/>
    <cellStyle name="40% - Accent4 2 4 2 2 4 2" xfId="34587"/>
    <cellStyle name="40% - Accent4 2 4 2 2 5" xfId="27907"/>
    <cellStyle name="40% - Accent4 2 4 2 3" xfId="10501"/>
    <cellStyle name="40% - Accent4 2 4 2 3 2" xfId="20122"/>
    <cellStyle name="40% - Accent4 2 4 2 3 2 2" xfId="36343"/>
    <cellStyle name="40% - Accent4 2 4 2 3 3" xfId="29655"/>
    <cellStyle name="40% - Accent4 2 4 2 4" xfId="15391"/>
    <cellStyle name="40% - Accent4 2 4 2 4 2" xfId="31613"/>
    <cellStyle name="40% - Accent4 2 4 2 5" xfId="18365"/>
    <cellStyle name="40% - Accent4 2 4 2 5 2" xfId="34586"/>
    <cellStyle name="40% - Accent4 2 4 2 6" xfId="27906"/>
    <cellStyle name="40% - Accent4 2 4 3" xfId="6605"/>
    <cellStyle name="40% - Accent4 2 4 3 2" xfId="10503"/>
    <cellStyle name="40% - Accent4 2 4 3 2 2" xfId="20124"/>
    <cellStyle name="40% - Accent4 2 4 3 2 2 2" xfId="36345"/>
    <cellStyle name="40% - Accent4 2 4 3 2 3" xfId="29657"/>
    <cellStyle name="40% - Accent4 2 4 3 3" xfId="16184"/>
    <cellStyle name="40% - Accent4 2 4 3 3 2" xfId="32405"/>
    <cellStyle name="40% - Accent4 2 4 3 4" xfId="18367"/>
    <cellStyle name="40% - Accent4 2 4 3 4 2" xfId="34588"/>
    <cellStyle name="40% - Accent4 2 4 3 5" xfId="27908"/>
    <cellStyle name="40% - Accent4 2 4 4" xfId="10500"/>
    <cellStyle name="40% - Accent4 2 4 4 2" xfId="20121"/>
    <cellStyle name="40% - Accent4 2 4 4 2 2" xfId="36342"/>
    <cellStyle name="40% - Accent4 2 4 4 3" xfId="29654"/>
    <cellStyle name="40% - Accent4 2 4 5" xfId="14599"/>
    <cellStyle name="40% - Accent4 2 4 5 2" xfId="30821"/>
    <cellStyle name="40% - Accent4 2 4 6" xfId="18364"/>
    <cellStyle name="40% - Accent4 2 4 6 2" xfId="34585"/>
    <cellStyle name="40% - Accent4 2 4 7" xfId="27905"/>
    <cellStyle name="40% - Accent4 2 4 8" xfId="39249"/>
    <cellStyle name="40% - Accent4 2 5" xfId="6606"/>
    <cellStyle name="40% - Accent4 2 5 2" xfId="6607"/>
    <cellStyle name="40% - Accent4 2 5 2 2" xfId="6608"/>
    <cellStyle name="40% - Accent4 2 5 2 2 2" xfId="10506"/>
    <cellStyle name="40% - Accent4 2 5 2 2 2 2" xfId="20127"/>
    <cellStyle name="40% - Accent4 2 5 2 2 2 2 2" xfId="36348"/>
    <cellStyle name="40% - Accent4 2 5 2 2 2 3" xfId="29660"/>
    <cellStyle name="40% - Accent4 2 5 2 2 3" xfId="17240"/>
    <cellStyle name="40% - Accent4 2 5 2 2 3 2" xfId="33461"/>
    <cellStyle name="40% - Accent4 2 5 2 2 4" xfId="18370"/>
    <cellStyle name="40% - Accent4 2 5 2 2 4 2" xfId="34591"/>
    <cellStyle name="40% - Accent4 2 5 2 2 5" xfId="27911"/>
    <cellStyle name="40% - Accent4 2 5 2 3" xfId="10505"/>
    <cellStyle name="40% - Accent4 2 5 2 3 2" xfId="20126"/>
    <cellStyle name="40% - Accent4 2 5 2 3 2 2" xfId="36347"/>
    <cellStyle name="40% - Accent4 2 5 2 3 3" xfId="29659"/>
    <cellStyle name="40% - Accent4 2 5 2 4" xfId="15655"/>
    <cellStyle name="40% - Accent4 2 5 2 4 2" xfId="31877"/>
    <cellStyle name="40% - Accent4 2 5 2 5" xfId="18369"/>
    <cellStyle name="40% - Accent4 2 5 2 5 2" xfId="34590"/>
    <cellStyle name="40% - Accent4 2 5 2 6" xfId="27910"/>
    <cellStyle name="40% - Accent4 2 5 3" xfId="6609"/>
    <cellStyle name="40% - Accent4 2 5 3 2" xfId="10507"/>
    <cellStyle name="40% - Accent4 2 5 3 2 2" xfId="20128"/>
    <cellStyle name="40% - Accent4 2 5 3 2 2 2" xfId="36349"/>
    <cellStyle name="40% - Accent4 2 5 3 2 3" xfId="29661"/>
    <cellStyle name="40% - Accent4 2 5 3 3" xfId="16448"/>
    <cellStyle name="40% - Accent4 2 5 3 3 2" xfId="32669"/>
    <cellStyle name="40% - Accent4 2 5 3 4" xfId="18371"/>
    <cellStyle name="40% - Accent4 2 5 3 4 2" xfId="34592"/>
    <cellStyle name="40% - Accent4 2 5 3 5" xfId="27912"/>
    <cellStyle name="40% - Accent4 2 5 4" xfId="10504"/>
    <cellStyle name="40% - Accent4 2 5 4 2" xfId="20125"/>
    <cellStyle name="40% - Accent4 2 5 4 2 2" xfId="36346"/>
    <cellStyle name="40% - Accent4 2 5 4 3" xfId="29658"/>
    <cellStyle name="40% - Accent4 2 5 5" xfId="14863"/>
    <cellStyle name="40% - Accent4 2 5 5 2" xfId="31085"/>
    <cellStyle name="40% - Accent4 2 5 6" xfId="18368"/>
    <cellStyle name="40% - Accent4 2 5 6 2" xfId="34589"/>
    <cellStyle name="40% - Accent4 2 5 7" xfId="27909"/>
    <cellStyle name="40% - Accent4 2 5 8" xfId="39398"/>
    <cellStyle name="40% - Accent4 2 6" xfId="6610"/>
    <cellStyle name="40% - Accent4 2 6 2" xfId="6611"/>
    <cellStyle name="40% - Accent4 2 6 2 2" xfId="10509"/>
    <cellStyle name="40% - Accent4 2 6 2 2 2" xfId="20130"/>
    <cellStyle name="40% - Accent4 2 6 2 2 2 2" xfId="36351"/>
    <cellStyle name="40% - Accent4 2 6 2 2 3" xfId="29663"/>
    <cellStyle name="40% - Accent4 2 6 2 3" xfId="16712"/>
    <cellStyle name="40% - Accent4 2 6 2 3 2" xfId="32933"/>
    <cellStyle name="40% - Accent4 2 6 2 4" xfId="18373"/>
    <cellStyle name="40% - Accent4 2 6 2 4 2" xfId="34594"/>
    <cellStyle name="40% - Accent4 2 6 2 5" xfId="27914"/>
    <cellStyle name="40% - Accent4 2 6 3" xfId="10508"/>
    <cellStyle name="40% - Accent4 2 6 3 2" xfId="20129"/>
    <cellStyle name="40% - Accent4 2 6 3 2 2" xfId="36350"/>
    <cellStyle name="40% - Accent4 2 6 3 3" xfId="29662"/>
    <cellStyle name="40% - Accent4 2 6 4" xfId="15127"/>
    <cellStyle name="40% - Accent4 2 6 4 2" xfId="31349"/>
    <cellStyle name="40% - Accent4 2 6 5" xfId="18372"/>
    <cellStyle name="40% - Accent4 2 6 5 2" xfId="34593"/>
    <cellStyle name="40% - Accent4 2 6 6" xfId="27913"/>
    <cellStyle name="40% - Accent4 2 7" xfId="6612"/>
    <cellStyle name="40% - Accent4 2 7 2" xfId="10510"/>
    <cellStyle name="40% - Accent4 2 7 2 2" xfId="20131"/>
    <cellStyle name="40% - Accent4 2 7 2 2 2" xfId="36352"/>
    <cellStyle name="40% - Accent4 2 7 2 3" xfId="29664"/>
    <cellStyle name="40% - Accent4 2 7 3" xfId="15920"/>
    <cellStyle name="40% - Accent4 2 7 3 2" xfId="32141"/>
    <cellStyle name="40% - Accent4 2 7 4" xfId="18374"/>
    <cellStyle name="40% - Accent4 2 7 4 2" xfId="34595"/>
    <cellStyle name="40% - Accent4 2 7 5" xfId="27915"/>
    <cellStyle name="40% - Accent4 2 8" xfId="10463"/>
    <cellStyle name="40% - Accent4 2 8 2" xfId="20084"/>
    <cellStyle name="40% - Accent4 2 8 2 2" xfId="36305"/>
    <cellStyle name="40% - Accent4 2 8 3" xfId="29617"/>
    <cellStyle name="40% - Accent4 2 9" xfId="14335"/>
    <cellStyle name="40% - Accent4 2 9 2" xfId="30557"/>
    <cellStyle name="40% - Accent4 3" xfId="6613"/>
    <cellStyle name="40% - Accent4 3 10" xfId="27916"/>
    <cellStyle name="40% - Accent4 3 11" xfId="38980"/>
    <cellStyle name="40% - Accent4 3 2" xfId="6614"/>
    <cellStyle name="40% - Accent4 3 2 10" xfId="39022"/>
    <cellStyle name="40% - Accent4 3 2 2" xfId="6615"/>
    <cellStyle name="40% - Accent4 3 2 2 2" xfId="6616"/>
    <cellStyle name="40% - Accent4 3 2 2 2 2" xfId="6617"/>
    <cellStyle name="40% - Accent4 3 2 2 2 2 2" xfId="10515"/>
    <cellStyle name="40% - Accent4 3 2 2 2 2 2 2" xfId="20136"/>
    <cellStyle name="40% - Accent4 3 2 2 2 2 2 2 2" xfId="36357"/>
    <cellStyle name="40% - Accent4 3 2 2 2 2 2 3" xfId="29669"/>
    <cellStyle name="40% - Accent4 3 2 2 2 2 3" xfId="17141"/>
    <cellStyle name="40% - Accent4 3 2 2 2 2 3 2" xfId="33362"/>
    <cellStyle name="40% - Accent4 3 2 2 2 2 4" xfId="18379"/>
    <cellStyle name="40% - Accent4 3 2 2 2 2 4 2" xfId="34600"/>
    <cellStyle name="40% - Accent4 3 2 2 2 2 5" xfId="27920"/>
    <cellStyle name="40% - Accent4 3 2 2 2 3" xfId="10514"/>
    <cellStyle name="40% - Accent4 3 2 2 2 3 2" xfId="20135"/>
    <cellStyle name="40% - Accent4 3 2 2 2 3 2 2" xfId="36356"/>
    <cellStyle name="40% - Accent4 3 2 2 2 3 3" xfId="29668"/>
    <cellStyle name="40% - Accent4 3 2 2 2 4" xfId="15556"/>
    <cellStyle name="40% - Accent4 3 2 2 2 4 2" xfId="31778"/>
    <cellStyle name="40% - Accent4 3 2 2 2 5" xfId="18378"/>
    <cellStyle name="40% - Accent4 3 2 2 2 5 2" xfId="34599"/>
    <cellStyle name="40% - Accent4 3 2 2 2 6" xfId="27919"/>
    <cellStyle name="40% - Accent4 3 2 2 3" xfId="6618"/>
    <cellStyle name="40% - Accent4 3 2 2 3 2" xfId="10516"/>
    <cellStyle name="40% - Accent4 3 2 2 3 2 2" xfId="20137"/>
    <cellStyle name="40% - Accent4 3 2 2 3 2 2 2" xfId="36358"/>
    <cellStyle name="40% - Accent4 3 2 2 3 2 3" xfId="29670"/>
    <cellStyle name="40% - Accent4 3 2 2 3 3" xfId="16349"/>
    <cellStyle name="40% - Accent4 3 2 2 3 3 2" xfId="32570"/>
    <cellStyle name="40% - Accent4 3 2 2 3 4" xfId="18380"/>
    <cellStyle name="40% - Accent4 3 2 2 3 4 2" xfId="34601"/>
    <cellStyle name="40% - Accent4 3 2 2 3 5" xfId="27921"/>
    <cellStyle name="40% - Accent4 3 2 2 4" xfId="10513"/>
    <cellStyle name="40% - Accent4 3 2 2 4 2" xfId="20134"/>
    <cellStyle name="40% - Accent4 3 2 2 4 2 2" xfId="36355"/>
    <cellStyle name="40% - Accent4 3 2 2 4 3" xfId="29667"/>
    <cellStyle name="40% - Accent4 3 2 2 5" xfId="14764"/>
    <cellStyle name="40% - Accent4 3 2 2 5 2" xfId="30986"/>
    <cellStyle name="40% - Accent4 3 2 2 6" xfId="18377"/>
    <cellStyle name="40% - Accent4 3 2 2 6 2" xfId="34598"/>
    <cellStyle name="40% - Accent4 3 2 2 7" xfId="27918"/>
    <cellStyle name="40% - Accent4 3 2 2 8" xfId="39170"/>
    <cellStyle name="40% - Accent4 3 2 3" xfId="6619"/>
    <cellStyle name="40% - Accent4 3 2 3 2" xfId="6620"/>
    <cellStyle name="40% - Accent4 3 2 3 2 2" xfId="6621"/>
    <cellStyle name="40% - Accent4 3 2 3 2 2 2" xfId="10519"/>
    <cellStyle name="40% - Accent4 3 2 3 2 2 2 2" xfId="20140"/>
    <cellStyle name="40% - Accent4 3 2 3 2 2 2 2 2" xfId="36361"/>
    <cellStyle name="40% - Accent4 3 2 3 2 2 2 3" xfId="29673"/>
    <cellStyle name="40% - Accent4 3 2 3 2 2 3" xfId="17405"/>
    <cellStyle name="40% - Accent4 3 2 3 2 2 3 2" xfId="33626"/>
    <cellStyle name="40% - Accent4 3 2 3 2 2 4" xfId="18383"/>
    <cellStyle name="40% - Accent4 3 2 3 2 2 4 2" xfId="34604"/>
    <cellStyle name="40% - Accent4 3 2 3 2 2 5" xfId="27924"/>
    <cellStyle name="40% - Accent4 3 2 3 2 3" xfId="10518"/>
    <cellStyle name="40% - Accent4 3 2 3 2 3 2" xfId="20139"/>
    <cellStyle name="40% - Accent4 3 2 3 2 3 2 2" xfId="36360"/>
    <cellStyle name="40% - Accent4 3 2 3 2 3 3" xfId="29672"/>
    <cellStyle name="40% - Accent4 3 2 3 2 4" xfId="15820"/>
    <cellStyle name="40% - Accent4 3 2 3 2 4 2" xfId="32042"/>
    <cellStyle name="40% - Accent4 3 2 3 2 5" xfId="18382"/>
    <cellStyle name="40% - Accent4 3 2 3 2 5 2" xfId="34603"/>
    <cellStyle name="40% - Accent4 3 2 3 2 6" xfId="27923"/>
    <cellStyle name="40% - Accent4 3 2 3 3" xfId="6622"/>
    <cellStyle name="40% - Accent4 3 2 3 3 2" xfId="10520"/>
    <cellStyle name="40% - Accent4 3 2 3 3 2 2" xfId="20141"/>
    <cellStyle name="40% - Accent4 3 2 3 3 2 2 2" xfId="36362"/>
    <cellStyle name="40% - Accent4 3 2 3 3 2 3" xfId="29674"/>
    <cellStyle name="40% - Accent4 3 2 3 3 3" xfId="16613"/>
    <cellStyle name="40% - Accent4 3 2 3 3 3 2" xfId="32834"/>
    <cellStyle name="40% - Accent4 3 2 3 3 4" xfId="18384"/>
    <cellStyle name="40% - Accent4 3 2 3 3 4 2" xfId="34605"/>
    <cellStyle name="40% - Accent4 3 2 3 3 5" xfId="27925"/>
    <cellStyle name="40% - Accent4 3 2 3 4" xfId="10517"/>
    <cellStyle name="40% - Accent4 3 2 3 4 2" xfId="20138"/>
    <cellStyle name="40% - Accent4 3 2 3 4 2 2" xfId="36359"/>
    <cellStyle name="40% - Accent4 3 2 3 4 3" xfId="29671"/>
    <cellStyle name="40% - Accent4 3 2 3 5" xfId="15028"/>
    <cellStyle name="40% - Accent4 3 2 3 5 2" xfId="31250"/>
    <cellStyle name="40% - Accent4 3 2 3 6" xfId="18381"/>
    <cellStyle name="40% - Accent4 3 2 3 6 2" xfId="34602"/>
    <cellStyle name="40% - Accent4 3 2 3 7" xfId="27922"/>
    <cellStyle name="40% - Accent4 3 2 3 8" xfId="39318"/>
    <cellStyle name="40% - Accent4 3 2 4" xfId="6623"/>
    <cellStyle name="40% - Accent4 3 2 4 2" xfId="6624"/>
    <cellStyle name="40% - Accent4 3 2 4 2 2" xfId="10522"/>
    <cellStyle name="40% - Accent4 3 2 4 2 2 2" xfId="20143"/>
    <cellStyle name="40% - Accent4 3 2 4 2 2 2 2" xfId="36364"/>
    <cellStyle name="40% - Accent4 3 2 4 2 2 3" xfId="29676"/>
    <cellStyle name="40% - Accent4 3 2 4 2 3" xfId="16877"/>
    <cellStyle name="40% - Accent4 3 2 4 2 3 2" xfId="33098"/>
    <cellStyle name="40% - Accent4 3 2 4 2 4" xfId="18386"/>
    <cellStyle name="40% - Accent4 3 2 4 2 4 2" xfId="34607"/>
    <cellStyle name="40% - Accent4 3 2 4 2 5" xfId="27927"/>
    <cellStyle name="40% - Accent4 3 2 4 3" xfId="10521"/>
    <cellStyle name="40% - Accent4 3 2 4 3 2" xfId="20142"/>
    <cellStyle name="40% - Accent4 3 2 4 3 2 2" xfId="36363"/>
    <cellStyle name="40% - Accent4 3 2 4 3 3" xfId="29675"/>
    <cellStyle name="40% - Accent4 3 2 4 4" xfId="15292"/>
    <cellStyle name="40% - Accent4 3 2 4 4 2" xfId="31514"/>
    <cellStyle name="40% - Accent4 3 2 4 5" xfId="18385"/>
    <cellStyle name="40% - Accent4 3 2 4 5 2" xfId="34606"/>
    <cellStyle name="40% - Accent4 3 2 4 6" xfId="27926"/>
    <cellStyle name="40% - Accent4 3 2 4 7" xfId="39467"/>
    <cellStyle name="40% - Accent4 3 2 5" xfId="6625"/>
    <cellStyle name="40% - Accent4 3 2 5 2" xfId="10523"/>
    <cellStyle name="40% - Accent4 3 2 5 2 2" xfId="20144"/>
    <cellStyle name="40% - Accent4 3 2 5 2 2 2" xfId="36365"/>
    <cellStyle name="40% - Accent4 3 2 5 2 3" xfId="29677"/>
    <cellStyle name="40% - Accent4 3 2 5 3" xfId="16085"/>
    <cellStyle name="40% - Accent4 3 2 5 3 2" xfId="32306"/>
    <cellStyle name="40% - Accent4 3 2 5 4" xfId="18387"/>
    <cellStyle name="40% - Accent4 3 2 5 4 2" xfId="34608"/>
    <cellStyle name="40% - Accent4 3 2 5 5" xfId="27928"/>
    <cellStyle name="40% - Accent4 3 2 6" xfId="10512"/>
    <cellStyle name="40% - Accent4 3 2 6 2" xfId="20133"/>
    <cellStyle name="40% - Accent4 3 2 6 2 2" xfId="36354"/>
    <cellStyle name="40% - Accent4 3 2 6 3" xfId="29666"/>
    <cellStyle name="40% - Accent4 3 2 7" xfId="14500"/>
    <cellStyle name="40% - Accent4 3 2 7 2" xfId="30722"/>
    <cellStyle name="40% - Accent4 3 2 8" xfId="18376"/>
    <cellStyle name="40% - Accent4 3 2 8 2" xfId="34597"/>
    <cellStyle name="40% - Accent4 3 2 9" xfId="27917"/>
    <cellStyle name="40% - Accent4 3 3" xfId="6626"/>
    <cellStyle name="40% - Accent4 3 3 2" xfId="6627"/>
    <cellStyle name="40% - Accent4 3 3 2 2" xfId="6628"/>
    <cellStyle name="40% - Accent4 3 3 2 2 2" xfId="10526"/>
    <cellStyle name="40% - Accent4 3 3 2 2 2 2" xfId="20147"/>
    <cellStyle name="40% - Accent4 3 3 2 2 2 2 2" xfId="36368"/>
    <cellStyle name="40% - Accent4 3 3 2 2 2 3" xfId="29680"/>
    <cellStyle name="40% - Accent4 3 3 2 2 3" xfId="17009"/>
    <cellStyle name="40% - Accent4 3 3 2 2 3 2" xfId="33230"/>
    <cellStyle name="40% - Accent4 3 3 2 2 4" xfId="18390"/>
    <cellStyle name="40% - Accent4 3 3 2 2 4 2" xfId="34611"/>
    <cellStyle name="40% - Accent4 3 3 2 2 5" xfId="27931"/>
    <cellStyle name="40% - Accent4 3 3 2 3" xfId="10525"/>
    <cellStyle name="40% - Accent4 3 3 2 3 2" xfId="20146"/>
    <cellStyle name="40% - Accent4 3 3 2 3 2 2" xfId="36367"/>
    <cellStyle name="40% - Accent4 3 3 2 3 3" xfId="29679"/>
    <cellStyle name="40% - Accent4 3 3 2 4" xfId="15424"/>
    <cellStyle name="40% - Accent4 3 3 2 4 2" xfId="31646"/>
    <cellStyle name="40% - Accent4 3 3 2 5" xfId="18389"/>
    <cellStyle name="40% - Accent4 3 3 2 5 2" xfId="34610"/>
    <cellStyle name="40% - Accent4 3 3 2 6" xfId="27930"/>
    <cellStyle name="40% - Accent4 3 3 3" xfId="6629"/>
    <cellStyle name="40% - Accent4 3 3 3 2" xfId="10527"/>
    <cellStyle name="40% - Accent4 3 3 3 2 2" xfId="20148"/>
    <cellStyle name="40% - Accent4 3 3 3 2 2 2" xfId="36369"/>
    <cellStyle name="40% - Accent4 3 3 3 2 3" xfId="29681"/>
    <cellStyle name="40% - Accent4 3 3 3 3" xfId="16217"/>
    <cellStyle name="40% - Accent4 3 3 3 3 2" xfId="32438"/>
    <cellStyle name="40% - Accent4 3 3 3 4" xfId="18391"/>
    <cellStyle name="40% - Accent4 3 3 3 4 2" xfId="34612"/>
    <cellStyle name="40% - Accent4 3 3 3 5" xfId="27932"/>
    <cellStyle name="40% - Accent4 3 3 4" xfId="10524"/>
    <cellStyle name="40% - Accent4 3 3 4 2" xfId="20145"/>
    <cellStyle name="40% - Accent4 3 3 4 2 2" xfId="36366"/>
    <cellStyle name="40% - Accent4 3 3 4 3" xfId="29678"/>
    <cellStyle name="40% - Accent4 3 3 5" xfId="14632"/>
    <cellStyle name="40% - Accent4 3 3 5 2" xfId="30854"/>
    <cellStyle name="40% - Accent4 3 3 6" xfId="18388"/>
    <cellStyle name="40% - Accent4 3 3 6 2" xfId="34609"/>
    <cellStyle name="40% - Accent4 3 3 7" xfId="27929"/>
    <cellStyle name="40% - Accent4 3 3 8" xfId="39114"/>
    <cellStyle name="40% - Accent4 3 4" xfId="6630"/>
    <cellStyle name="40% - Accent4 3 4 2" xfId="6631"/>
    <cellStyle name="40% - Accent4 3 4 2 2" xfId="6632"/>
    <cellStyle name="40% - Accent4 3 4 2 2 2" xfId="10530"/>
    <cellStyle name="40% - Accent4 3 4 2 2 2 2" xfId="20151"/>
    <cellStyle name="40% - Accent4 3 4 2 2 2 2 2" xfId="36372"/>
    <cellStyle name="40% - Accent4 3 4 2 2 2 3" xfId="29684"/>
    <cellStyle name="40% - Accent4 3 4 2 2 3" xfId="17273"/>
    <cellStyle name="40% - Accent4 3 4 2 2 3 2" xfId="33494"/>
    <cellStyle name="40% - Accent4 3 4 2 2 4" xfId="18394"/>
    <cellStyle name="40% - Accent4 3 4 2 2 4 2" xfId="34615"/>
    <cellStyle name="40% - Accent4 3 4 2 2 5" xfId="27935"/>
    <cellStyle name="40% - Accent4 3 4 2 3" xfId="10529"/>
    <cellStyle name="40% - Accent4 3 4 2 3 2" xfId="20150"/>
    <cellStyle name="40% - Accent4 3 4 2 3 2 2" xfId="36371"/>
    <cellStyle name="40% - Accent4 3 4 2 3 3" xfId="29683"/>
    <cellStyle name="40% - Accent4 3 4 2 4" xfId="15688"/>
    <cellStyle name="40% - Accent4 3 4 2 4 2" xfId="31910"/>
    <cellStyle name="40% - Accent4 3 4 2 5" xfId="18393"/>
    <cellStyle name="40% - Accent4 3 4 2 5 2" xfId="34614"/>
    <cellStyle name="40% - Accent4 3 4 2 6" xfId="27934"/>
    <cellStyle name="40% - Accent4 3 4 3" xfId="6633"/>
    <cellStyle name="40% - Accent4 3 4 3 2" xfId="10531"/>
    <cellStyle name="40% - Accent4 3 4 3 2 2" xfId="20152"/>
    <cellStyle name="40% - Accent4 3 4 3 2 2 2" xfId="36373"/>
    <cellStyle name="40% - Accent4 3 4 3 2 3" xfId="29685"/>
    <cellStyle name="40% - Accent4 3 4 3 3" xfId="16481"/>
    <cellStyle name="40% - Accent4 3 4 3 3 2" xfId="32702"/>
    <cellStyle name="40% - Accent4 3 4 3 4" xfId="18395"/>
    <cellStyle name="40% - Accent4 3 4 3 4 2" xfId="34616"/>
    <cellStyle name="40% - Accent4 3 4 3 5" xfId="27936"/>
    <cellStyle name="40% - Accent4 3 4 4" xfId="10528"/>
    <cellStyle name="40% - Accent4 3 4 4 2" xfId="20149"/>
    <cellStyle name="40% - Accent4 3 4 4 2 2" xfId="36370"/>
    <cellStyle name="40% - Accent4 3 4 4 3" xfId="29682"/>
    <cellStyle name="40% - Accent4 3 4 5" xfId="14896"/>
    <cellStyle name="40% - Accent4 3 4 5 2" xfId="31118"/>
    <cellStyle name="40% - Accent4 3 4 6" xfId="18392"/>
    <cellStyle name="40% - Accent4 3 4 6 2" xfId="34613"/>
    <cellStyle name="40% - Accent4 3 4 7" xfId="27933"/>
    <cellStyle name="40% - Accent4 3 4 8" xfId="39262"/>
    <cellStyle name="40% - Accent4 3 5" xfId="6634"/>
    <cellStyle name="40% - Accent4 3 5 2" xfId="6635"/>
    <cellStyle name="40% - Accent4 3 5 2 2" xfId="10533"/>
    <cellStyle name="40% - Accent4 3 5 2 2 2" xfId="20154"/>
    <cellStyle name="40% - Accent4 3 5 2 2 2 2" xfId="36375"/>
    <cellStyle name="40% - Accent4 3 5 2 2 3" xfId="29687"/>
    <cellStyle name="40% - Accent4 3 5 2 3" xfId="16745"/>
    <cellStyle name="40% - Accent4 3 5 2 3 2" xfId="32966"/>
    <cellStyle name="40% - Accent4 3 5 2 4" xfId="18397"/>
    <cellStyle name="40% - Accent4 3 5 2 4 2" xfId="34618"/>
    <cellStyle name="40% - Accent4 3 5 2 5" xfId="27938"/>
    <cellStyle name="40% - Accent4 3 5 3" xfId="10532"/>
    <cellStyle name="40% - Accent4 3 5 3 2" xfId="20153"/>
    <cellStyle name="40% - Accent4 3 5 3 2 2" xfId="36374"/>
    <cellStyle name="40% - Accent4 3 5 3 3" xfId="29686"/>
    <cellStyle name="40% - Accent4 3 5 4" xfId="15160"/>
    <cellStyle name="40% - Accent4 3 5 4 2" xfId="31382"/>
    <cellStyle name="40% - Accent4 3 5 5" xfId="18396"/>
    <cellStyle name="40% - Accent4 3 5 5 2" xfId="34617"/>
    <cellStyle name="40% - Accent4 3 5 6" xfId="27937"/>
    <cellStyle name="40% - Accent4 3 5 7" xfId="39411"/>
    <cellStyle name="40% - Accent4 3 6" xfId="6636"/>
    <cellStyle name="40% - Accent4 3 6 2" xfId="10534"/>
    <cellStyle name="40% - Accent4 3 6 2 2" xfId="20155"/>
    <cellStyle name="40% - Accent4 3 6 2 2 2" xfId="36376"/>
    <cellStyle name="40% - Accent4 3 6 2 3" xfId="29688"/>
    <cellStyle name="40% - Accent4 3 6 3" xfId="15953"/>
    <cellStyle name="40% - Accent4 3 6 3 2" xfId="32174"/>
    <cellStyle name="40% - Accent4 3 6 4" xfId="18398"/>
    <cellStyle name="40% - Accent4 3 6 4 2" xfId="34619"/>
    <cellStyle name="40% - Accent4 3 6 5" xfId="27939"/>
    <cellStyle name="40% - Accent4 3 7" xfId="10511"/>
    <cellStyle name="40% - Accent4 3 7 2" xfId="20132"/>
    <cellStyle name="40% - Accent4 3 7 2 2" xfId="36353"/>
    <cellStyle name="40% - Accent4 3 7 3" xfId="29665"/>
    <cellStyle name="40% - Accent4 3 8" xfId="14368"/>
    <cellStyle name="40% - Accent4 3 8 2" xfId="30590"/>
    <cellStyle name="40% - Accent4 3 9" xfId="18375"/>
    <cellStyle name="40% - Accent4 3 9 2" xfId="34596"/>
    <cellStyle name="40% - Accent4 4" xfId="6637"/>
    <cellStyle name="40% - Accent4 4 10" xfId="38993"/>
    <cellStyle name="40% - Accent4 4 2" xfId="6638"/>
    <cellStyle name="40% - Accent4 4 2 2" xfId="6639"/>
    <cellStyle name="40% - Accent4 4 2 2 2" xfId="6640"/>
    <cellStyle name="40% - Accent4 4 2 2 2 2" xfId="10538"/>
    <cellStyle name="40% - Accent4 4 2 2 2 2 2" xfId="20159"/>
    <cellStyle name="40% - Accent4 4 2 2 2 2 2 2" xfId="36380"/>
    <cellStyle name="40% - Accent4 4 2 2 2 2 3" xfId="29692"/>
    <cellStyle name="40% - Accent4 4 2 2 2 3" xfId="17075"/>
    <cellStyle name="40% - Accent4 4 2 2 2 3 2" xfId="33296"/>
    <cellStyle name="40% - Accent4 4 2 2 2 4" xfId="18402"/>
    <cellStyle name="40% - Accent4 4 2 2 2 4 2" xfId="34623"/>
    <cellStyle name="40% - Accent4 4 2 2 2 5" xfId="27943"/>
    <cellStyle name="40% - Accent4 4 2 2 3" xfId="10537"/>
    <cellStyle name="40% - Accent4 4 2 2 3 2" xfId="20158"/>
    <cellStyle name="40% - Accent4 4 2 2 3 2 2" xfId="36379"/>
    <cellStyle name="40% - Accent4 4 2 2 3 3" xfId="29691"/>
    <cellStyle name="40% - Accent4 4 2 2 4" xfId="15490"/>
    <cellStyle name="40% - Accent4 4 2 2 4 2" xfId="31712"/>
    <cellStyle name="40% - Accent4 4 2 2 5" xfId="18401"/>
    <cellStyle name="40% - Accent4 4 2 2 5 2" xfId="34622"/>
    <cellStyle name="40% - Accent4 4 2 2 6" xfId="27942"/>
    <cellStyle name="40% - Accent4 4 2 2 7" xfId="39183"/>
    <cellStyle name="40% - Accent4 4 2 3" xfId="6641"/>
    <cellStyle name="40% - Accent4 4 2 3 2" xfId="10539"/>
    <cellStyle name="40% - Accent4 4 2 3 2 2" xfId="20160"/>
    <cellStyle name="40% - Accent4 4 2 3 2 2 2" xfId="36381"/>
    <cellStyle name="40% - Accent4 4 2 3 2 3" xfId="29693"/>
    <cellStyle name="40% - Accent4 4 2 3 3" xfId="16283"/>
    <cellStyle name="40% - Accent4 4 2 3 3 2" xfId="32504"/>
    <cellStyle name="40% - Accent4 4 2 3 4" xfId="18403"/>
    <cellStyle name="40% - Accent4 4 2 3 4 2" xfId="34624"/>
    <cellStyle name="40% - Accent4 4 2 3 5" xfId="27944"/>
    <cellStyle name="40% - Accent4 4 2 3 6" xfId="39331"/>
    <cellStyle name="40% - Accent4 4 2 4" xfId="10536"/>
    <cellStyle name="40% - Accent4 4 2 4 2" xfId="20157"/>
    <cellStyle name="40% - Accent4 4 2 4 2 2" xfId="36378"/>
    <cellStyle name="40% - Accent4 4 2 4 3" xfId="29690"/>
    <cellStyle name="40% - Accent4 4 2 4 4" xfId="39480"/>
    <cellStyle name="40% - Accent4 4 2 5" xfId="14698"/>
    <cellStyle name="40% - Accent4 4 2 5 2" xfId="30920"/>
    <cellStyle name="40% - Accent4 4 2 6" xfId="18400"/>
    <cellStyle name="40% - Accent4 4 2 6 2" xfId="34621"/>
    <cellStyle name="40% - Accent4 4 2 7" xfId="27941"/>
    <cellStyle name="40% - Accent4 4 2 8" xfId="39035"/>
    <cellStyle name="40% - Accent4 4 3" xfId="6642"/>
    <cellStyle name="40% - Accent4 4 3 2" xfId="6643"/>
    <cellStyle name="40% - Accent4 4 3 2 2" xfId="6644"/>
    <cellStyle name="40% - Accent4 4 3 2 2 2" xfId="10542"/>
    <cellStyle name="40% - Accent4 4 3 2 2 2 2" xfId="20163"/>
    <cellStyle name="40% - Accent4 4 3 2 2 2 2 2" xfId="36384"/>
    <cellStyle name="40% - Accent4 4 3 2 2 2 3" xfId="29696"/>
    <cellStyle name="40% - Accent4 4 3 2 2 3" xfId="17339"/>
    <cellStyle name="40% - Accent4 4 3 2 2 3 2" xfId="33560"/>
    <cellStyle name="40% - Accent4 4 3 2 2 4" xfId="18406"/>
    <cellStyle name="40% - Accent4 4 3 2 2 4 2" xfId="34627"/>
    <cellStyle name="40% - Accent4 4 3 2 2 5" xfId="27947"/>
    <cellStyle name="40% - Accent4 4 3 2 3" xfId="10541"/>
    <cellStyle name="40% - Accent4 4 3 2 3 2" xfId="20162"/>
    <cellStyle name="40% - Accent4 4 3 2 3 2 2" xfId="36383"/>
    <cellStyle name="40% - Accent4 4 3 2 3 3" xfId="29695"/>
    <cellStyle name="40% - Accent4 4 3 2 4" xfId="15754"/>
    <cellStyle name="40% - Accent4 4 3 2 4 2" xfId="31976"/>
    <cellStyle name="40% - Accent4 4 3 2 5" xfId="18405"/>
    <cellStyle name="40% - Accent4 4 3 2 5 2" xfId="34626"/>
    <cellStyle name="40% - Accent4 4 3 2 6" xfId="27946"/>
    <cellStyle name="40% - Accent4 4 3 3" xfId="6645"/>
    <cellStyle name="40% - Accent4 4 3 3 2" xfId="10543"/>
    <cellStyle name="40% - Accent4 4 3 3 2 2" xfId="20164"/>
    <cellStyle name="40% - Accent4 4 3 3 2 2 2" xfId="36385"/>
    <cellStyle name="40% - Accent4 4 3 3 2 3" xfId="29697"/>
    <cellStyle name="40% - Accent4 4 3 3 3" xfId="16547"/>
    <cellStyle name="40% - Accent4 4 3 3 3 2" xfId="32768"/>
    <cellStyle name="40% - Accent4 4 3 3 4" xfId="18407"/>
    <cellStyle name="40% - Accent4 4 3 3 4 2" xfId="34628"/>
    <cellStyle name="40% - Accent4 4 3 3 5" xfId="27948"/>
    <cellStyle name="40% - Accent4 4 3 4" xfId="10540"/>
    <cellStyle name="40% - Accent4 4 3 4 2" xfId="20161"/>
    <cellStyle name="40% - Accent4 4 3 4 2 2" xfId="36382"/>
    <cellStyle name="40% - Accent4 4 3 4 3" xfId="29694"/>
    <cellStyle name="40% - Accent4 4 3 5" xfId="14962"/>
    <cellStyle name="40% - Accent4 4 3 5 2" xfId="31184"/>
    <cellStyle name="40% - Accent4 4 3 6" xfId="18404"/>
    <cellStyle name="40% - Accent4 4 3 6 2" xfId="34625"/>
    <cellStyle name="40% - Accent4 4 3 7" xfId="27945"/>
    <cellStyle name="40% - Accent4 4 3 8" xfId="39127"/>
    <cellStyle name="40% - Accent4 4 4" xfId="6646"/>
    <cellStyle name="40% - Accent4 4 4 2" xfId="6647"/>
    <cellStyle name="40% - Accent4 4 4 2 2" xfId="10545"/>
    <cellStyle name="40% - Accent4 4 4 2 2 2" xfId="20166"/>
    <cellStyle name="40% - Accent4 4 4 2 2 2 2" xfId="36387"/>
    <cellStyle name="40% - Accent4 4 4 2 2 3" xfId="29699"/>
    <cellStyle name="40% - Accent4 4 4 2 3" xfId="16811"/>
    <cellStyle name="40% - Accent4 4 4 2 3 2" xfId="33032"/>
    <cellStyle name="40% - Accent4 4 4 2 4" xfId="18409"/>
    <cellStyle name="40% - Accent4 4 4 2 4 2" xfId="34630"/>
    <cellStyle name="40% - Accent4 4 4 2 5" xfId="27950"/>
    <cellStyle name="40% - Accent4 4 4 3" xfId="10544"/>
    <cellStyle name="40% - Accent4 4 4 3 2" xfId="20165"/>
    <cellStyle name="40% - Accent4 4 4 3 2 2" xfId="36386"/>
    <cellStyle name="40% - Accent4 4 4 3 3" xfId="29698"/>
    <cellStyle name="40% - Accent4 4 4 4" xfId="15226"/>
    <cellStyle name="40% - Accent4 4 4 4 2" xfId="31448"/>
    <cellStyle name="40% - Accent4 4 4 5" xfId="18408"/>
    <cellStyle name="40% - Accent4 4 4 5 2" xfId="34629"/>
    <cellStyle name="40% - Accent4 4 4 6" xfId="27949"/>
    <cellStyle name="40% - Accent4 4 4 7" xfId="39275"/>
    <cellStyle name="40% - Accent4 4 5" xfId="6648"/>
    <cellStyle name="40% - Accent4 4 5 2" xfId="10546"/>
    <cellStyle name="40% - Accent4 4 5 2 2" xfId="20167"/>
    <cellStyle name="40% - Accent4 4 5 2 2 2" xfId="36388"/>
    <cellStyle name="40% - Accent4 4 5 2 3" xfId="29700"/>
    <cellStyle name="40% - Accent4 4 5 3" xfId="16019"/>
    <cellStyle name="40% - Accent4 4 5 3 2" xfId="32240"/>
    <cellStyle name="40% - Accent4 4 5 4" xfId="18410"/>
    <cellStyle name="40% - Accent4 4 5 4 2" xfId="34631"/>
    <cellStyle name="40% - Accent4 4 5 5" xfId="27951"/>
    <cellStyle name="40% - Accent4 4 5 6" xfId="39424"/>
    <cellStyle name="40% - Accent4 4 6" xfId="10535"/>
    <cellStyle name="40% - Accent4 4 6 2" xfId="20156"/>
    <cellStyle name="40% - Accent4 4 6 2 2" xfId="36377"/>
    <cellStyle name="40% - Accent4 4 6 3" xfId="29689"/>
    <cellStyle name="40% - Accent4 4 7" xfId="14434"/>
    <cellStyle name="40% - Accent4 4 7 2" xfId="30656"/>
    <cellStyle name="40% - Accent4 4 8" xfId="18399"/>
    <cellStyle name="40% - Accent4 4 8 2" xfId="34620"/>
    <cellStyle name="40% - Accent4 4 9" xfId="27940"/>
    <cellStyle name="40% - Accent4 5" xfId="6649"/>
    <cellStyle name="40% - Accent4 5 2" xfId="6650"/>
    <cellStyle name="40% - Accent4 5 2 2" xfId="6651"/>
    <cellStyle name="40% - Accent4 5 2 2 2" xfId="10549"/>
    <cellStyle name="40% - Accent4 5 2 2 2 2" xfId="20170"/>
    <cellStyle name="40% - Accent4 5 2 2 2 2 2" xfId="36391"/>
    <cellStyle name="40% - Accent4 5 2 2 2 3" xfId="29703"/>
    <cellStyle name="40% - Accent4 5 2 2 3" xfId="16943"/>
    <cellStyle name="40% - Accent4 5 2 2 3 2" xfId="33164"/>
    <cellStyle name="40% - Accent4 5 2 2 4" xfId="18413"/>
    <cellStyle name="40% - Accent4 5 2 2 4 2" xfId="34634"/>
    <cellStyle name="40% - Accent4 5 2 2 5" xfId="27954"/>
    <cellStyle name="40% - Accent4 5 2 3" xfId="10548"/>
    <cellStyle name="40% - Accent4 5 2 3 2" xfId="20169"/>
    <cellStyle name="40% - Accent4 5 2 3 2 2" xfId="36390"/>
    <cellStyle name="40% - Accent4 5 2 3 3" xfId="29702"/>
    <cellStyle name="40% - Accent4 5 2 4" xfId="15358"/>
    <cellStyle name="40% - Accent4 5 2 4 2" xfId="31580"/>
    <cellStyle name="40% - Accent4 5 2 5" xfId="18412"/>
    <cellStyle name="40% - Accent4 5 2 5 2" xfId="34633"/>
    <cellStyle name="40% - Accent4 5 2 6" xfId="27953"/>
    <cellStyle name="40% - Accent4 5 2 7" xfId="39141"/>
    <cellStyle name="40% - Accent4 5 3" xfId="6652"/>
    <cellStyle name="40% - Accent4 5 3 2" xfId="10550"/>
    <cellStyle name="40% - Accent4 5 3 2 2" xfId="20171"/>
    <cellStyle name="40% - Accent4 5 3 2 2 2" xfId="36392"/>
    <cellStyle name="40% - Accent4 5 3 2 3" xfId="29704"/>
    <cellStyle name="40% - Accent4 5 3 3" xfId="16151"/>
    <cellStyle name="40% - Accent4 5 3 3 2" xfId="32372"/>
    <cellStyle name="40% - Accent4 5 3 4" xfId="18414"/>
    <cellStyle name="40% - Accent4 5 3 4 2" xfId="34635"/>
    <cellStyle name="40% - Accent4 5 3 5" xfId="27955"/>
    <cellStyle name="40% - Accent4 5 3 6" xfId="39289"/>
    <cellStyle name="40% - Accent4 5 4" xfId="10547"/>
    <cellStyle name="40% - Accent4 5 4 2" xfId="20168"/>
    <cellStyle name="40% - Accent4 5 4 2 2" xfId="36389"/>
    <cellStyle name="40% - Accent4 5 4 3" xfId="29701"/>
    <cellStyle name="40% - Accent4 5 4 4" xfId="39438"/>
    <cellStyle name="40% - Accent4 5 5" xfId="14566"/>
    <cellStyle name="40% - Accent4 5 5 2" xfId="30788"/>
    <cellStyle name="40% - Accent4 5 6" xfId="18411"/>
    <cellStyle name="40% - Accent4 5 6 2" xfId="34632"/>
    <cellStyle name="40% - Accent4 5 7" xfId="27952"/>
    <cellStyle name="40% - Accent4 5 8" xfId="39007"/>
    <cellStyle name="40% - Accent4 6" xfId="6653"/>
    <cellStyle name="40% - Accent4 6 2" xfId="6654"/>
    <cellStyle name="40% - Accent4 6 2 2" xfId="6655"/>
    <cellStyle name="40% - Accent4 6 2 2 2" xfId="10553"/>
    <cellStyle name="40% - Accent4 6 2 2 2 2" xfId="20174"/>
    <cellStyle name="40% - Accent4 6 2 2 2 2 2" xfId="36395"/>
    <cellStyle name="40% - Accent4 6 2 2 2 3" xfId="29707"/>
    <cellStyle name="40% - Accent4 6 2 2 3" xfId="17207"/>
    <cellStyle name="40% - Accent4 6 2 2 3 2" xfId="33428"/>
    <cellStyle name="40% - Accent4 6 2 2 4" xfId="18417"/>
    <cellStyle name="40% - Accent4 6 2 2 4 2" xfId="34638"/>
    <cellStyle name="40% - Accent4 6 2 2 5" xfId="27958"/>
    <cellStyle name="40% - Accent4 6 2 3" xfId="10552"/>
    <cellStyle name="40% - Accent4 6 2 3 2" xfId="20173"/>
    <cellStyle name="40% - Accent4 6 2 3 2 2" xfId="36394"/>
    <cellStyle name="40% - Accent4 6 2 3 3" xfId="29706"/>
    <cellStyle name="40% - Accent4 6 2 4" xfId="15622"/>
    <cellStyle name="40% - Accent4 6 2 4 2" xfId="31844"/>
    <cellStyle name="40% - Accent4 6 2 5" xfId="18416"/>
    <cellStyle name="40% - Accent4 6 2 5 2" xfId="34637"/>
    <cellStyle name="40% - Accent4 6 2 6" xfId="27957"/>
    <cellStyle name="40% - Accent4 6 3" xfId="6656"/>
    <cellStyle name="40% - Accent4 6 3 2" xfId="10554"/>
    <cellStyle name="40% - Accent4 6 3 2 2" xfId="20175"/>
    <cellStyle name="40% - Accent4 6 3 2 2 2" xfId="36396"/>
    <cellStyle name="40% - Accent4 6 3 2 3" xfId="29708"/>
    <cellStyle name="40% - Accent4 6 3 3" xfId="16415"/>
    <cellStyle name="40% - Accent4 6 3 3 2" xfId="32636"/>
    <cellStyle name="40% - Accent4 6 3 4" xfId="18418"/>
    <cellStyle name="40% - Accent4 6 3 4 2" xfId="34639"/>
    <cellStyle name="40% - Accent4 6 3 5" xfId="27959"/>
    <cellStyle name="40% - Accent4 6 4" xfId="10551"/>
    <cellStyle name="40% - Accent4 6 4 2" xfId="20172"/>
    <cellStyle name="40% - Accent4 6 4 2 2" xfId="36393"/>
    <cellStyle name="40% - Accent4 6 4 3" xfId="29705"/>
    <cellStyle name="40% - Accent4 6 5" xfId="14830"/>
    <cellStyle name="40% - Accent4 6 5 2" xfId="31052"/>
    <cellStyle name="40% - Accent4 6 6" xfId="18415"/>
    <cellStyle name="40% - Accent4 6 6 2" xfId="34636"/>
    <cellStyle name="40% - Accent4 6 7" xfId="27956"/>
    <cellStyle name="40% - Accent4 6 8" xfId="39083"/>
    <cellStyle name="40% - Accent4 7" xfId="6657"/>
    <cellStyle name="40% - Accent4 7 2" xfId="6658"/>
    <cellStyle name="40% - Accent4 7 2 2" xfId="10556"/>
    <cellStyle name="40% - Accent4 7 2 2 2" xfId="20177"/>
    <cellStyle name="40% - Accent4 7 2 2 2 2" xfId="36398"/>
    <cellStyle name="40% - Accent4 7 2 2 3" xfId="29710"/>
    <cellStyle name="40% - Accent4 7 2 3" xfId="16679"/>
    <cellStyle name="40% - Accent4 7 2 3 2" xfId="32900"/>
    <cellStyle name="40% - Accent4 7 2 4" xfId="18420"/>
    <cellStyle name="40% - Accent4 7 2 4 2" xfId="34641"/>
    <cellStyle name="40% - Accent4 7 2 5" xfId="27961"/>
    <cellStyle name="40% - Accent4 7 3" xfId="10555"/>
    <cellStyle name="40% - Accent4 7 3 2" xfId="20176"/>
    <cellStyle name="40% - Accent4 7 3 2 2" xfId="36397"/>
    <cellStyle name="40% - Accent4 7 3 3" xfId="29709"/>
    <cellStyle name="40% - Accent4 7 4" xfId="15094"/>
    <cellStyle name="40% - Accent4 7 4 2" xfId="31316"/>
    <cellStyle name="40% - Accent4 7 5" xfId="18419"/>
    <cellStyle name="40% - Accent4 7 5 2" xfId="34640"/>
    <cellStyle name="40% - Accent4 7 6" xfId="27960"/>
    <cellStyle name="40% - Accent4 7 7" xfId="39231"/>
    <cellStyle name="40% - Accent4 8" xfId="6659"/>
    <cellStyle name="40% - Accent4 8 2" xfId="10557"/>
    <cellStyle name="40% - Accent4 8 2 2" xfId="20178"/>
    <cellStyle name="40% - Accent4 8 2 2 2" xfId="36399"/>
    <cellStyle name="40% - Accent4 8 2 3" xfId="29711"/>
    <cellStyle name="40% - Accent4 8 3" xfId="15887"/>
    <cellStyle name="40% - Accent4 8 3 2" xfId="32108"/>
    <cellStyle name="40% - Accent4 8 4" xfId="18421"/>
    <cellStyle name="40% - Accent4 8 4 2" xfId="34642"/>
    <cellStyle name="40% - Accent4 8 5" xfId="27962"/>
    <cellStyle name="40% - Accent4 8 6" xfId="39380"/>
    <cellStyle name="40% - Accent4 9" xfId="10462"/>
    <cellStyle name="40% - Accent4 9 2" xfId="20083"/>
    <cellStyle name="40% - Accent4 9 2 2" xfId="36304"/>
    <cellStyle name="40% - Accent4 9 3" xfId="29616"/>
    <cellStyle name="40% - Accent5" xfId="46" builtinId="47" customBuiltin="1"/>
    <cellStyle name="40% - Accent5 10" xfId="14234"/>
    <cellStyle name="40% - Accent5 10 2" xfId="30521"/>
    <cellStyle name="40% - Accent5 11" xfId="18422"/>
    <cellStyle name="40% - Accent5 11 2" xfId="34643"/>
    <cellStyle name="40% - Accent5 12" xfId="26992"/>
    <cellStyle name="40% - Accent5 13" xfId="38911"/>
    <cellStyle name="40% - Accent5 14" xfId="4847"/>
    <cellStyle name="40% - Accent5 2" xfId="471"/>
    <cellStyle name="40% - Accent5 2 10" xfId="18423"/>
    <cellStyle name="40% - Accent5 2 10 2" xfId="34644"/>
    <cellStyle name="40% - Accent5 2 11" xfId="4876"/>
    <cellStyle name="40% - Accent5 2 11 2" xfId="27012"/>
    <cellStyle name="40% - Accent5 2 12" xfId="21144"/>
    <cellStyle name="40% - Accent5 2 12 2" xfId="37356"/>
    <cellStyle name="40% - Accent5 2 13" xfId="22642"/>
    <cellStyle name="40% - Accent5 2 14" xfId="38778"/>
    <cellStyle name="40% - Accent5 2 2" xfId="484"/>
    <cellStyle name="40% - Accent5 2 2 10" xfId="6660"/>
    <cellStyle name="40% - Accent5 2 2 10 2" xfId="27963"/>
    <cellStyle name="40% - Accent5 2 2 11" xfId="21157"/>
    <cellStyle name="40% - Accent5 2 2 11 2" xfId="37369"/>
    <cellStyle name="40% - Accent5 2 2 12" xfId="22655"/>
    <cellStyle name="40% - Accent5 2 2 13" xfId="38969"/>
    <cellStyle name="40% - Accent5 2 2 2" xfId="602"/>
    <cellStyle name="40% - Accent5 2 2 2 10" xfId="21274"/>
    <cellStyle name="40% - Accent5 2 2 2 10 2" xfId="37486"/>
    <cellStyle name="40% - Accent5 2 2 2 11" xfId="22772"/>
    <cellStyle name="40% - Accent5 2 2 2 12" xfId="39159"/>
    <cellStyle name="40% - Accent5 2 2 2 2" xfId="954"/>
    <cellStyle name="40% - Accent5 2 2 2 2 2" xfId="2453"/>
    <cellStyle name="40% - Accent5 2 2 2 2 2 2" xfId="6664"/>
    <cellStyle name="40% - Accent5 2 2 2 2 2 2 2" xfId="10564"/>
    <cellStyle name="40% - Accent5 2 2 2 2 2 2 2 2" xfId="20185"/>
    <cellStyle name="40% - Accent5 2 2 2 2 2 2 2 2 2" xfId="36406"/>
    <cellStyle name="40% - Accent5 2 2 2 2 2 2 2 3" xfId="29718"/>
    <cellStyle name="40% - Accent5 2 2 2 2 2 2 3" xfId="17175"/>
    <cellStyle name="40% - Accent5 2 2 2 2 2 2 3 2" xfId="33396"/>
    <cellStyle name="40% - Accent5 2 2 2 2 2 2 4" xfId="18428"/>
    <cellStyle name="40% - Accent5 2 2 2 2 2 2 4 2" xfId="34649"/>
    <cellStyle name="40% - Accent5 2 2 2 2 2 2 5" xfId="27967"/>
    <cellStyle name="40% - Accent5 2 2 2 2 2 3" xfId="10563"/>
    <cellStyle name="40% - Accent5 2 2 2 2 2 3 2" xfId="20184"/>
    <cellStyle name="40% - Accent5 2 2 2 2 2 3 2 2" xfId="36405"/>
    <cellStyle name="40% - Accent5 2 2 2 2 2 3 3" xfId="29717"/>
    <cellStyle name="40% - Accent5 2 2 2 2 2 4" xfId="15590"/>
    <cellStyle name="40% - Accent5 2 2 2 2 2 4 2" xfId="31812"/>
    <cellStyle name="40% - Accent5 2 2 2 2 2 5" xfId="18427"/>
    <cellStyle name="40% - Accent5 2 2 2 2 2 5 2" xfId="34648"/>
    <cellStyle name="40% - Accent5 2 2 2 2 2 6" xfId="6663"/>
    <cellStyle name="40% - Accent5 2 2 2 2 2 6 2" xfId="27966"/>
    <cellStyle name="40% - Accent5 2 2 2 2 2 7" xfId="24621"/>
    <cellStyle name="40% - Accent5 2 2 2 2 3" xfId="3952"/>
    <cellStyle name="40% - Accent5 2 2 2 2 3 2" xfId="10565"/>
    <cellStyle name="40% - Accent5 2 2 2 2 3 2 2" xfId="20186"/>
    <cellStyle name="40% - Accent5 2 2 2 2 3 2 2 2" xfId="36407"/>
    <cellStyle name="40% - Accent5 2 2 2 2 3 2 3" xfId="29719"/>
    <cellStyle name="40% - Accent5 2 2 2 2 3 3" xfId="16383"/>
    <cellStyle name="40% - Accent5 2 2 2 2 3 3 2" xfId="32604"/>
    <cellStyle name="40% - Accent5 2 2 2 2 3 4" xfId="18429"/>
    <cellStyle name="40% - Accent5 2 2 2 2 3 4 2" xfId="34650"/>
    <cellStyle name="40% - Accent5 2 2 2 2 3 5" xfId="6665"/>
    <cellStyle name="40% - Accent5 2 2 2 2 3 5 2" xfId="27968"/>
    <cellStyle name="40% - Accent5 2 2 2 2 3 6" xfId="26119"/>
    <cellStyle name="40% - Accent5 2 2 2 2 4" xfId="10562"/>
    <cellStyle name="40% - Accent5 2 2 2 2 4 2" xfId="20183"/>
    <cellStyle name="40% - Accent5 2 2 2 2 4 2 2" xfId="36404"/>
    <cellStyle name="40% - Accent5 2 2 2 2 4 3" xfId="29716"/>
    <cellStyle name="40% - Accent5 2 2 2 2 5" xfId="14798"/>
    <cellStyle name="40% - Accent5 2 2 2 2 5 2" xfId="31020"/>
    <cellStyle name="40% - Accent5 2 2 2 2 6" xfId="18426"/>
    <cellStyle name="40% - Accent5 2 2 2 2 6 2" xfId="34647"/>
    <cellStyle name="40% - Accent5 2 2 2 2 7" xfId="6662"/>
    <cellStyle name="40% - Accent5 2 2 2 2 7 2" xfId="27965"/>
    <cellStyle name="40% - Accent5 2 2 2 2 8" xfId="21625"/>
    <cellStyle name="40% - Accent5 2 2 2 2 8 2" xfId="37837"/>
    <cellStyle name="40% - Accent5 2 2 2 2 9" xfId="23123"/>
    <cellStyle name="40% - Accent5 2 2 2 3" xfId="1305"/>
    <cellStyle name="40% - Accent5 2 2 2 3 2" xfId="2804"/>
    <cellStyle name="40% - Accent5 2 2 2 3 2 2" xfId="6668"/>
    <cellStyle name="40% - Accent5 2 2 2 3 2 2 2" xfId="10568"/>
    <cellStyle name="40% - Accent5 2 2 2 3 2 2 2 2" xfId="20189"/>
    <cellStyle name="40% - Accent5 2 2 2 3 2 2 2 2 2" xfId="36410"/>
    <cellStyle name="40% - Accent5 2 2 2 3 2 2 2 3" xfId="29722"/>
    <cellStyle name="40% - Accent5 2 2 2 3 2 2 3" xfId="17439"/>
    <cellStyle name="40% - Accent5 2 2 2 3 2 2 3 2" xfId="33660"/>
    <cellStyle name="40% - Accent5 2 2 2 3 2 2 4" xfId="18432"/>
    <cellStyle name="40% - Accent5 2 2 2 3 2 2 4 2" xfId="34653"/>
    <cellStyle name="40% - Accent5 2 2 2 3 2 2 5" xfId="27971"/>
    <cellStyle name="40% - Accent5 2 2 2 3 2 3" xfId="10567"/>
    <cellStyle name="40% - Accent5 2 2 2 3 2 3 2" xfId="20188"/>
    <cellStyle name="40% - Accent5 2 2 2 3 2 3 2 2" xfId="36409"/>
    <cellStyle name="40% - Accent5 2 2 2 3 2 3 3" xfId="29721"/>
    <cellStyle name="40% - Accent5 2 2 2 3 2 4" xfId="15854"/>
    <cellStyle name="40% - Accent5 2 2 2 3 2 4 2" xfId="32076"/>
    <cellStyle name="40% - Accent5 2 2 2 3 2 5" xfId="18431"/>
    <cellStyle name="40% - Accent5 2 2 2 3 2 5 2" xfId="34652"/>
    <cellStyle name="40% - Accent5 2 2 2 3 2 6" xfId="6667"/>
    <cellStyle name="40% - Accent5 2 2 2 3 2 6 2" xfId="27970"/>
    <cellStyle name="40% - Accent5 2 2 2 3 2 7" xfId="24972"/>
    <cellStyle name="40% - Accent5 2 2 2 3 3" xfId="4303"/>
    <cellStyle name="40% - Accent5 2 2 2 3 3 2" xfId="10569"/>
    <cellStyle name="40% - Accent5 2 2 2 3 3 2 2" xfId="20190"/>
    <cellStyle name="40% - Accent5 2 2 2 3 3 2 2 2" xfId="36411"/>
    <cellStyle name="40% - Accent5 2 2 2 3 3 2 3" xfId="29723"/>
    <cellStyle name="40% - Accent5 2 2 2 3 3 3" xfId="16647"/>
    <cellStyle name="40% - Accent5 2 2 2 3 3 3 2" xfId="32868"/>
    <cellStyle name="40% - Accent5 2 2 2 3 3 4" xfId="18433"/>
    <cellStyle name="40% - Accent5 2 2 2 3 3 4 2" xfId="34654"/>
    <cellStyle name="40% - Accent5 2 2 2 3 3 5" xfId="6669"/>
    <cellStyle name="40% - Accent5 2 2 2 3 3 5 2" xfId="27972"/>
    <cellStyle name="40% - Accent5 2 2 2 3 3 6" xfId="26470"/>
    <cellStyle name="40% - Accent5 2 2 2 3 4" xfId="10566"/>
    <cellStyle name="40% - Accent5 2 2 2 3 4 2" xfId="20187"/>
    <cellStyle name="40% - Accent5 2 2 2 3 4 2 2" xfId="36408"/>
    <cellStyle name="40% - Accent5 2 2 2 3 4 3" xfId="29720"/>
    <cellStyle name="40% - Accent5 2 2 2 3 5" xfId="15062"/>
    <cellStyle name="40% - Accent5 2 2 2 3 5 2" xfId="31284"/>
    <cellStyle name="40% - Accent5 2 2 2 3 6" xfId="18430"/>
    <cellStyle name="40% - Accent5 2 2 2 3 6 2" xfId="34651"/>
    <cellStyle name="40% - Accent5 2 2 2 3 7" xfId="6666"/>
    <cellStyle name="40% - Accent5 2 2 2 3 7 2" xfId="27969"/>
    <cellStyle name="40% - Accent5 2 2 2 3 8" xfId="21976"/>
    <cellStyle name="40% - Accent5 2 2 2 3 8 2" xfId="38188"/>
    <cellStyle name="40% - Accent5 2 2 2 3 9" xfId="23474"/>
    <cellStyle name="40% - Accent5 2 2 2 4" xfId="1656"/>
    <cellStyle name="40% - Accent5 2 2 2 4 2" xfId="3155"/>
    <cellStyle name="40% - Accent5 2 2 2 4 2 2" xfId="10571"/>
    <cellStyle name="40% - Accent5 2 2 2 4 2 2 2" xfId="20192"/>
    <cellStyle name="40% - Accent5 2 2 2 4 2 2 2 2" xfId="36413"/>
    <cellStyle name="40% - Accent5 2 2 2 4 2 2 3" xfId="29725"/>
    <cellStyle name="40% - Accent5 2 2 2 4 2 3" xfId="16911"/>
    <cellStyle name="40% - Accent5 2 2 2 4 2 3 2" xfId="33132"/>
    <cellStyle name="40% - Accent5 2 2 2 4 2 4" xfId="18435"/>
    <cellStyle name="40% - Accent5 2 2 2 4 2 4 2" xfId="34656"/>
    <cellStyle name="40% - Accent5 2 2 2 4 2 5" xfId="6671"/>
    <cellStyle name="40% - Accent5 2 2 2 4 2 5 2" xfId="27974"/>
    <cellStyle name="40% - Accent5 2 2 2 4 2 6" xfId="25323"/>
    <cellStyle name="40% - Accent5 2 2 2 4 3" xfId="4654"/>
    <cellStyle name="40% - Accent5 2 2 2 4 3 2" xfId="20191"/>
    <cellStyle name="40% - Accent5 2 2 2 4 3 2 2" xfId="36412"/>
    <cellStyle name="40% - Accent5 2 2 2 4 3 3" xfId="10570"/>
    <cellStyle name="40% - Accent5 2 2 2 4 3 3 2" xfId="29724"/>
    <cellStyle name="40% - Accent5 2 2 2 4 3 4" xfId="26821"/>
    <cellStyle name="40% - Accent5 2 2 2 4 4" xfId="15326"/>
    <cellStyle name="40% - Accent5 2 2 2 4 4 2" xfId="31548"/>
    <cellStyle name="40% - Accent5 2 2 2 4 5" xfId="18434"/>
    <cellStyle name="40% - Accent5 2 2 2 4 5 2" xfId="34655"/>
    <cellStyle name="40% - Accent5 2 2 2 4 6" xfId="6670"/>
    <cellStyle name="40% - Accent5 2 2 2 4 6 2" xfId="27973"/>
    <cellStyle name="40% - Accent5 2 2 2 4 7" xfId="22327"/>
    <cellStyle name="40% - Accent5 2 2 2 4 7 2" xfId="38539"/>
    <cellStyle name="40% - Accent5 2 2 2 4 8" xfId="23825"/>
    <cellStyle name="40% - Accent5 2 2 2 5" xfId="2102"/>
    <cellStyle name="40% - Accent5 2 2 2 5 2" xfId="10572"/>
    <cellStyle name="40% - Accent5 2 2 2 5 2 2" xfId="20193"/>
    <cellStyle name="40% - Accent5 2 2 2 5 2 2 2" xfId="36414"/>
    <cellStyle name="40% - Accent5 2 2 2 5 2 3" xfId="29726"/>
    <cellStyle name="40% - Accent5 2 2 2 5 3" xfId="16119"/>
    <cellStyle name="40% - Accent5 2 2 2 5 3 2" xfId="32340"/>
    <cellStyle name="40% - Accent5 2 2 2 5 4" xfId="18436"/>
    <cellStyle name="40% - Accent5 2 2 2 5 4 2" xfId="34657"/>
    <cellStyle name="40% - Accent5 2 2 2 5 5" xfId="6672"/>
    <cellStyle name="40% - Accent5 2 2 2 5 5 2" xfId="27975"/>
    <cellStyle name="40% - Accent5 2 2 2 5 6" xfId="24270"/>
    <cellStyle name="40% - Accent5 2 2 2 6" xfId="3601"/>
    <cellStyle name="40% - Accent5 2 2 2 6 2" xfId="20182"/>
    <cellStyle name="40% - Accent5 2 2 2 6 2 2" xfId="36403"/>
    <cellStyle name="40% - Accent5 2 2 2 6 3" xfId="10561"/>
    <cellStyle name="40% - Accent5 2 2 2 6 3 2" xfId="29715"/>
    <cellStyle name="40% - Accent5 2 2 2 6 4" xfId="25768"/>
    <cellStyle name="40% - Accent5 2 2 2 7" xfId="14534"/>
    <cellStyle name="40% - Accent5 2 2 2 7 2" xfId="30756"/>
    <cellStyle name="40% - Accent5 2 2 2 8" xfId="18425"/>
    <cellStyle name="40% - Accent5 2 2 2 8 2" xfId="34646"/>
    <cellStyle name="40% - Accent5 2 2 2 9" xfId="6661"/>
    <cellStyle name="40% - Accent5 2 2 2 9 2" xfId="27964"/>
    <cellStyle name="40% - Accent5 2 2 3" xfId="720"/>
    <cellStyle name="40% - Accent5 2 2 3 10" xfId="39307"/>
    <cellStyle name="40% - Accent5 2 2 3 2" xfId="1071"/>
    <cellStyle name="40% - Accent5 2 2 3 2 2" xfId="2570"/>
    <cellStyle name="40% - Accent5 2 2 3 2 2 2" xfId="10575"/>
    <cellStyle name="40% - Accent5 2 2 3 2 2 2 2" xfId="20196"/>
    <cellStyle name="40% - Accent5 2 2 3 2 2 2 2 2" xfId="36417"/>
    <cellStyle name="40% - Accent5 2 2 3 2 2 2 3" xfId="29729"/>
    <cellStyle name="40% - Accent5 2 2 3 2 2 3" xfId="17043"/>
    <cellStyle name="40% - Accent5 2 2 3 2 2 3 2" xfId="33264"/>
    <cellStyle name="40% - Accent5 2 2 3 2 2 4" xfId="18439"/>
    <cellStyle name="40% - Accent5 2 2 3 2 2 4 2" xfId="34660"/>
    <cellStyle name="40% - Accent5 2 2 3 2 2 5" xfId="6675"/>
    <cellStyle name="40% - Accent5 2 2 3 2 2 5 2" xfId="27978"/>
    <cellStyle name="40% - Accent5 2 2 3 2 2 6" xfId="24738"/>
    <cellStyle name="40% - Accent5 2 2 3 2 3" xfId="4069"/>
    <cellStyle name="40% - Accent5 2 2 3 2 3 2" xfId="20195"/>
    <cellStyle name="40% - Accent5 2 2 3 2 3 2 2" xfId="36416"/>
    <cellStyle name="40% - Accent5 2 2 3 2 3 3" xfId="10574"/>
    <cellStyle name="40% - Accent5 2 2 3 2 3 3 2" xfId="29728"/>
    <cellStyle name="40% - Accent5 2 2 3 2 3 4" xfId="26236"/>
    <cellStyle name="40% - Accent5 2 2 3 2 4" xfId="15458"/>
    <cellStyle name="40% - Accent5 2 2 3 2 4 2" xfId="31680"/>
    <cellStyle name="40% - Accent5 2 2 3 2 5" xfId="18438"/>
    <cellStyle name="40% - Accent5 2 2 3 2 5 2" xfId="34659"/>
    <cellStyle name="40% - Accent5 2 2 3 2 6" xfId="6674"/>
    <cellStyle name="40% - Accent5 2 2 3 2 6 2" xfId="27977"/>
    <cellStyle name="40% - Accent5 2 2 3 2 7" xfId="21742"/>
    <cellStyle name="40% - Accent5 2 2 3 2 7 2" xfId="37954"/>
    <cellStyle name="40% - Accent5 2 2 3 2 8" xfId="23240"/>
    <cellStyle name="40% - Accent5 2 2 3 3" xfId="1422"/>
    <cellStyle name="40% - Accent5 2 2 3 3 2" xfId="2921"/>
    <cellStyle name="40% - Accent5 2 2 3 3 2 2" xfId="20197"/>
    <cellStyle name="40% - Accent5 2 2 3 3 2 2 2" xfId="36418"/>
    <cellStyle name="40% - Accent5 2 2 3 3 2 3" xfId="10576"/>
    <cellStyle name="40% - Accent5 2 2 3 3 2 3 2" xfId="29730"/>
    <cellStyle name="40% - Accent5 2 2 3 3 2 4" xfId="25089"/>
    <cellStyle name="40% - Accent5 2 2 3 3 3" xfId="4420"/>
    <cellStyle name="40% - Accent5 2 2 3 3 3 2" xfId="16251"/>
    <cellStyle name="40% - Accent5 2 2 3 3 3 2 2" xfId="32472"/>
    <cellStyle name="40% - Accent5 2 2 3 3 3 3" xfId="26587"/>
    <cellStyle name="40% - Accent5 2 2 3 3 4" xfId="18440"/>
    <cellStyle name="40% - Accent5 2 2 3 3 4 2" xfId="34661"/>
    <cellStyle name="40% - Accent5 2 2 3 3 5" xfId="6676"/>
    <cellStyle name="40% - Accent5 2 2 3 3 5 2" xfId="27979"/>
    <cellStyle name="40% - Accent5 2 2 3 3 6" xfId="22093"/>
    <cellStyle name="40% - Accent5 2 2 3 3 6 2" xfId="38305"/>
    <cellStyle name="40% - Accent5 2 2 3 3 7" xfId="23591"/>
    <cellStyle name="40% - Accent5 2 2 3 4" xfId="1773"/>
    <cellStyle name="40% - Accent5 2 2 3 4 2" xfId="3272"/>
    <cellStyle name="40% - Accent5 2 2 3 4 2 2" xfId="20194"/>
    <cellStyle name="40% - Accent5 2 2 3 4 2 2 2" xfId="36415"/>
    <cellStyle name="40% - Accent5 2 2 3 4 2 3" xfId="25440"/>
    <cellStyle name="40% - Accent5 2 2 3 4 3" xfId="4771"/>
    <cellStyle name="40% - Accent5 2 2 3 4 3 2" xfId="26938"/>
    <cellStyle name="40% - Accent5 2 2 3 4 4" xfId="10573"/>
    <cellStyle name="40% - Accent5 2 2 3 4 4 2" xfId="29727"/>
    <cellStyle name="40% - Accent5 2 2 3 4 5" xfId="22444"/>
    <cellStyle name="40% - Accent5 2 2 3 4 5 2" xfId="38656"/>
    <cellStyle name="40% - Accent5 2 2 3 4 6" xfId="23942"/>
    <cellStyle name="40% - Accent5 2 2 3 5" xfId="2219"/>
    <cellStyle name="40% - Accent5 2 2 3 5 2" xfId="14666"/>
    <cellStyle name="40% - Accent5 2 2 3 5 2 2" xfId="30888"/>
    <cellStyle name="40% - Accent5 2 2 3 5 3" xfId="24387"/>
    <cellStyle name="40% - Accent5 2 2 3 6" xfId="3718"/>
    <cellStyle name="40% - Accent5 2 2 3 6 2" xfId="18437"/>
    <cellStyle name="40% - Accent5 2 2 3 6 2 2" xfId="34658"/>
    <cellStyle name="40% - Accent5 2 2 3 6 3" xfId="25885"/>
    <cellStyle name="40% - Accent5 2 2 3 7" xfId="6673"/>
    <cellStyle name="40% - Accent5 2 2 3 7 2" xfId="27976"/>
    <cellStyle name="40% - Accent5 2 2 3 8" xfId="21391"/>
    <cellStyle name="40% - Accent5 2 2 3 8 2" xfId="37603"/>
    <cellStyle name="40% - Accent5 2 2 3 9" xfId="22889"/>
    <cellStyle name="40% - Accent5 2 2 4" xfId="837"/>
    <cellStyle name="40% - Accent5 2 2 4 10" xfId="39456"/>
    <cellStyle name="40% - Accent5 2 2 4 2" xfId="2336"/>
    <cellStyle name="40% - Accent5 2 2 4 2 2" xfId="6679"/>
    <cellStyle name="40% - Accent5 2 2 4 2 2 2" xfId="10579"/>
    <cellStyle name="40% - Accent5 2 2 4 2 2 2 2" xfId="20200"/>
    <cellStyle name="40% - Accent5 2 2 4 2 2 2 2 2" xfId="36421"/>
    <cellStyle name="40% - Accent5 2 2 4 2 2 2 3" xfId="29733"/>
    <cellStyle name="40% - Accent5 2 2 4 2 2 3" xfId="17307"/>
    <cellStyle name="40% - Accent5 2 2 4 2 2 3 2" xfId="33528"/>
    <cellStyle name="40% - Accent5 2 2 4 2 2 4" xfId="18443"/>
    <cellStyle name="40% - Accent5 2 2 4 2 2 4 2" xfId="34664"/>
    <cellStyle name="40% - Accent5 2 2 4 2 2 5" xfId="27982"/>
    <cellStyle name="40% - Accent5 2 2 4 2 3" xfId="10578"/>
    <cellStyle name="40% - Accent5 2 2 4 2 3 2" xfId="20199"/>
    <cellStyle name="40% - Accent5 2 2 4 2 3 2 2" xfId="36420"/>
    <cellStyle name="40% - Accent5 2 2 4 2 3 3" xfId="29732"/>
    <cellStyle name="40% - Accent5 2 2 4 2 4" xfId="15722"/>
    <cellStyle name="40% - Accent5 2 2 4 2 4 2" xfId="31944"/>
    <cellStyle name="40% - Accent5 2 2 4 2 5" xfId="18442"/>
    <cellStyle name="40% - Accent5 2 2 4 2 5 2" xfId="34663"/>
    <cellStyle name="40% - Accent5 2 2 4 2 6" xfId="6678"/>
    <cellStyle name="40% - Accent5 2 2 4 2 6 2" xfId="27981"/>
    <cellStyle name="40% - Accent5 2 2 4 2 7" xfId="24504"/>
    <cellStyle name="40% - Accent5 2 2 4 3" xfId="3835"/>
    <cellStyle name="40% - Accent5 2 2 4 3 2" xfId="10580"/>
    <cellStyle name="40% - Accent5 2 2 4 3 2 2" xfId="20201"/>
    <cellStyle name="40% - Accent5 2 2 4 3 2 2 2" xfId="36422"/>
    <cellStyle name="40% - Accent5 2 2 4 3 2 3" xfId="29734"/>
    <cellStyle name="40% - Accent5 2 2 4 3 3" xfId="16515"/>
    <cellStyle name="40% - Accent5 2 2 4 3 3 2" xfId="32736"/>
    <cellStyle name="40% - Accent5 2 2 4 3 4" xfId="18444"/>
    <cellStyle name="40% - Accent5 2 2 4 3 4 2" xfId="34665"/>
    <cellStyle name="40% - Accent5 2 2 4 3 5" xfId="6680"/>
    <cellStyle name="40% - Accent5 2 2 4 3 5 2" xfId="27983"/>
    <cellStyle name="40% - Accent5 2 2 4 3 6" xfId="26002"/>
    <cellStyle name="40% - Accent5 2 2 4 4" xfId="10577"/>
    <cellStyle name="40% - Accent5 2 2 4 4 2" xfId="20198"/>
    <cellStyle name="40% - Accent5 2 2 4 4 2 2" xfId="36419"/>
    <cellStyle name="40% - Accent5 2 2 4 4 3" xfId="29731"/>
    <cellStyle name="40% - Accent5 2 2 4 5" xfId="14930"/>
    <cellStyle name="40% - Accent5 2 2 4 5 2" xfId="31152"/>
    <cellStyle name="40% - Accent5 2 2 4 6" xfId="18441"/>
    <cellStyle name="40% - Accent5 2 2 4 6 2" xfId="34662"/>
    <cellStyle name="40% - Accent5 2 2 4 7" xfId="6677"/>
    <cellStyle name="40% - Accent5 2 2 4 7 2" xfId="27980"/>
    <cellStyle name="40% - Accent5 2 2 4 8" xfId="21508"/>
    <cellStyle name="40% - Accent5 2 2 4 8 2" xfId="37720"/>
    <cellStyle name="40% - Accent5 2 2 4 9" xfId="23006"/>
    <cellStyle name="40% - Accent5 2 2 5" xfId="1188"/>
    <cellStyle name="40% - Accent5 2 2 5 2" xfId="2687"/>
    <cellStyle name="40% - Accent5 2 2 5 2 2" xfId="10582"/>
    <cellStyle name="40% - Accent5 2 2 5 2 2 2" xfId="20203"/>
    <cellStyle name="40% - Accent5 2 2 5 2 2 2 2" xfId="36424"/>
    <cellStyle name="40% - Accent5 2 2 5 2 2 3" xfId="29736"/>
    <cellStyle name="40% - Accent5 2 2 5 2 3" xfId="16779"/>
    <cellStyle name="40% - Accent5 2 2 5 2 3 2" xfId="33000"/>
    <cellStyle name="40% - Accent5 2 2 5 2 4" xfId="18446"/>
    <cellStyle name="40% - Accent5 2 2 5 2 4 2" xfId="34667"/>
    <cellStyle name="40% - Accent5 2 2 5 2 5" xfId="6682"/>
    <cellStyle name="40% - Accent5 2 2 5 2 5 2" xfId="27985"/>
    <cellStyle name="40% - Accent5 2 2 5 2 6" xfId="24855"/>
    <cellStyle name="40% - Accent5 2 2 5 3" xfId="4186"/>
    <cellStyle name="40% - Accent5 2 2 5 3 2" xfId="20202"/>
    <cellStyle name="40% - Accent5 2 2 5 3 2 2" xfId="36423"/>
    <cellStyle name="40% - Accent5 2 2 5 3 3" xfId="10581"/>
    <cellStyle name="40% - Accent5 2 2 5 3 3 2" xfId="29735"/>
    <cellStyle name="40% - Accent5 2 2 5 3 4" xfId="26353"/>
    <cellStyle name="40% - Accent5 2 2 5 4" xfId="15194"/>
    <cellStyle name="40% - Accent5 2 2 5 4 2" xfId="31416"/>
    <cellStyle name="40% - Accent5 2 2 5 5" xfId="18445"/>
    <cellStyle name="40% - Accent5 2 2 5 5 2" xfId="34666"/>
    <cellStyle name="40% - Accent5 2 2 5 6" xfId="6681"/>
    <cellStyle name="40% - Accent5 2 2 5 6 2" xfId="27984"/>
    <cellStyle name="40% - Accent5 2 2 5 7" xfId="21859"/>
    <cellStyle name="40% - Accent5 2 2 5 7 2" xfId="38071"/>
    <cellStyle name="40% - Accent5 2 2 5 8" xfId="23357"/>
    <cellStyle name="40% - Accent5 2 2 6" xfId="1539"/>
    <cellStyle name="40% - Accent5 2 2 6 2" xfId="3038"/>
    <cellStyle name="40% - Accent5 2 2 6 2 2" xfId="20204"/>
    <cellStyle name="40% - Accent5 2 2 6 2 2 2" xfId="36425"/>
    <cellStyle name="40% - Accent5 2 2 6 2 3" xfId="10583"/>
    <cellStyle name="40% - Accent5 2 2 6 2 3 2" xfId="29737"/>
    <cellStyle name="40% - Accent5 2 2 6 2 4" xfId="25206"/>
    <cellStyle name="40% - Accent5 2 2 6 3" xfId="4537"/>
    <cellStyle name="40% - Accent5 2 2 6 3 2" xfId="15987"/>
    <cellStyle name="40% - Accent5 2 2 6 3 2 2" xfId="32208"/>
    <cellStyle name="40% - Accent5 2 2 6 3 3" xfId="26704"/>
    <cellStyle name="40% - Accent5 2 2 6 4" xfId="18447"/>
    <cellStyle name="40% - Accent5 2 2 6 4 2" xfId="34668"/>
    <cellStyle name="40% - Accent5 2 2 6 5" xfId="6683"/>
    <cellStyle name="40% - Accent5 2 2 6 5 2" xfId="27986"/>
    <cellStyle name="40% - Accent5 2 2 6 6" xfId="22210"/>
    <cellStyle name="40% - Accent5 2 2 6 6 2" xfId="38422"/>
    <cellStyle name="40% - Accent5 2 2 6 7" xfId="23708"/>
    <cellStyle name="40% - Accent5 2 2 7" xfId="1985"/>
    <cellStyle name="40% - Accent5 2 2 7 2" xfId="20181"/>
    <cellStyle name="40% - Accent5 2 2 7 2 2" xfId="36402"/>
    <cellStyle name="40% - Accent5 2 2 7 3" xfId="10560"/>
    <cellStyle name="40% - Accent5 2 2 7 3 2" xfId="29714"/>
    <cellStyle name="40% - Accent5 2 2 7 4" xfId="24153"/>
    <cellStyle name="40% - Accent5 2 2 8" xfId="3484"/>
    <cellStyle name="40% - Accent5 2 2 8 2" xfId="14402"/>
    <cellStyle name="40% - Accent5 2 2 8 2 2" xfId="30624"/>
    <cellStyle name="40% - Accent5 2 2 8 3" xfId="25651"/>
    <cellStyle name="40% - Accent5 2 2 9" xfId="18424"/>
    <cellStyle name="40% - Accent5 2 2 9 2" xfId="34645"/>
    <cellStyle name="40% - Accent5 2 3" xfId="589"/>
    <cellStyle name="40% - Accent5 2 3 10" xfId="21261"/>
    <cellStyle name="40% - Accent5 2 3 10 2" xfId="37473"/>
    <cellStyle name="40% - Accent5 2 3 11" xfId="22759"/>
    <cellStyle name="40% - Accent5 2 3 12" xfId="39103"/>
    <cellStyle name="40% - Accent5 2 3 2" xfId="941"/>
    <cellStyle name="40% - Accent5 2 3 2 2" xfId="2440"/>
    <cellStyle name="40% - Accent5 2 3 2 2 2" xfId="6687"/>
    <cellStyle name="40% - Accent5 2 3 2 2 2 2" xfId="10587"/>
    <cellStyle name="40% - Accent5 2 3 2 2 2 2 2" xfId="20208"/>
    <cellStyle name="40% - Accent5 2 3 2 2 2 2 2 2" xfId="36429"/>
    <cellStyle name="40% - Accent5 2 3 2 2 2 2 3" xfId="29741"/>
    <cellStyle name="40% - Accent5 2 3 2 2 2 3" xfId="17109"/>
    <cellStyle name="40% - Accent5 2 3 2 2 2 3 2" xfId="33330"/>
    <cellStyle name="40% - Accent5 2 3 2 2 2 4" xfId="18451"/>
    <cellStyle name="40% - Accent5 2 3 2 2 2 4 2" xfId="34672"/>
    <cellStyle name="40% - Accent5 2 3 2 2 2 5" xfId="27990"/>
    <cellStyle name="40% - Accent5 2 3 2 2 3" xfId="10586"/>
    <cellStyle name="40% - Accent5 2 3 2 2 3 2" xfId="20207"/>
    <cellStyle name="40% - Accent5 2 3 2 2 3 2 2" xfId="36428"/>
    <cellStyle name="40% - Accent5 2 3 2 2 3 3" xfId="29740"/>
    <cellStyle name="40% - Accent5 2 3 2 2 4" xfId="15524"/>
    <cellStyle name="40% - Accent5 2 3 2 2 4 2" xfId="31746"/>
    <cellStyle name="40% - Accent5 2 3 2 2 5" xfId="18450"/>
    <cellStyle name="40% - Accent5 2 3 2 2 5 2" xfId="34671"/>
    <cellStyle name="40% - Accent5 2 3 2 2 6" xfId="6686"/>
    <cellStyle name="40% - Accent5 2 3 2 2 6 2" xfId="27989"/>
    <cellStyle name="40% - Accent5 2 3 2 2 7" xfId="24608"/>
    <cellStyle name="40% - Accent5 2 3 2 3" xfId="3939"/>
    <cellStyle name="40% - Accent5 2 3 2 3 2" xfId="10588"/>
    <cellStyle name="40% - Accent5 2 3 2 3 2 2" xfId="20209"/>
    <cellStyle name="40% - Accent5 2 3 2 3 2 2 2" xfId="36430"/>
    <cellStyle name="40% - Accent5 2 3 2 3 2 3" xfId="29742"/>
    <cellStyle name="40% - Accent5 2 3 2 3 3" xfId="16317"/>
    <cellStyle name="40% - Accent5 2 3 2 3 3 2" xfId="32538"/>
    <cellStyle name="40% - Accent5 2 3 2 3 4" xfId="18452"/>
    <cellStyle name="40% - Accent5 2 3 2 3 4 2" xfId="34673"/>
    <cellStyle name="40% - Accent5 2 3 2 3 5" xfId="6688"/>
    <cellStyle name="40% - Accent5 2 3 2 3 5 2" xfId="27991"/>
    <cellStyle name="40% - Accent5 2 3 2 3 6" xfId="26106"/>
    <cellStyle name="40% - Accent5 2 3 2 4" xfId="10585"/>
    <cellStyle name="40% - Accent5 2 3 2 4 2" xfId="20206"/>
    <cellStyle name="40% - Accent5 2 3 2 4 2 2" xfId="36427"/>
    <cellStyle name="40% - Accent5 2 3 2 4 3" xfId="29739"/>
    <cellStyle name="40% - Accent5 2 3 2 5" xfId="14732"/>
    <cellStyle name="40% - Accent5 2 3 2 5 2" xfId="30954"/>
    <cellStyle name="40% - Accent5 2 3 2 6" xfId="18449"/>
    <cellStyle name="40% - Accent5 2 3 2 6 2" xfId="34670"/>
    <cellStyle name="40% - Accent5 2 3 2 7" xfId="6685"/>
    <cellStyle name="40% - Accent5 2 3 2 7 2" xfId="27988"/>
    <cellStyle name="40% - Accent5 2 3 2 8" xfId="21612"/>
    <cellStyle name="40% - Accent5 2 3 2 8 2" xfId="37824"/>
    <cellStyle name="40% - Accent5 2 3 2 9" xfId="23110"/>
    <cellStyle name="40% - Accent5 2 3 3" xfId="1292"/>
    <cellStyle name="40% - Accent5 2 3 3 2" xfId="2791"/>
    <cellStyle name="40% - Accent5 2 3 3 2 2" xfId="6691"/>
    <cellStyle name="40% - Accent5 2 3 3 2 2 2" xfId="10591"/>
    <cellStyle name="40% - Accent5 2 3 3 2 2 2 2" xfId="20212"/>
    <cellStyle name="40% - Accent5 2 3 3 2 2 2 2 2" xfId="36433"/>
    <cellStyle name="40% - Accent5 2 3 3 2 2 2 3" xfId="29745"/>
    <cellStyle name="40% - Accent5 2 3 3 2 2 3" xfId="17373"/>
    <cellStyle name="40% - Accent5 2 3 3 2 2 3 2" xfId="33594"/>
    <cellStyle name="40% - Accent5 2 3 3 2 2 4" xfId="18455"/>
    <cellStyle name="40% - Accent5 2 3 3 2 2 4 2" xfId="34676"/>
    <cellStyle name="40% - Accent5 2 3 3 2 2 5" xfId="27994"/>
    <cellStyle name="40% - Accent5 2 3 3 2 3" xfId="10590"/>
    <cellStyle name="40% - Accent5 2 3 3 2 3 2" xfId="20211"/>
    <cellStyle name="40% - Accent5 2 3 3 2 3 2 2" xfId="36432"/>
    <cellStyle name="40% - Accent5 2 3 3 2 3 3" xfId="29744"/>
    <cellStyle name="40% - Accent5 2 3 3 2 4" xfId="15788"/>
    <cellStyle name="40% - Accent5 2 3 3 2 4 2" xfId="32010"/>
    <cellStyle name="40% - Accent5 2 3 3 2 5" xfId="18454"/>
    <cellStyle name="40% - Accent5 2 3 3 2 5 2" xfId="34675"/>
    <cellStyle name="40% - Accent5 2 3 3 2 6" xfId="6690"/>
    <cellStyle name="40% - Accent5 2 3 3 2 6 2" xfId="27993"/>
    <cellStyle name="40% - Accent5 2 3 3 2 7" xfId="24959"/>
    <cellStyle name="40% - Accent5 2 3 3 3" xfId="4290"/>
    <cellStyle name="40% - Accent5 2 3 3 3 2" xfId="10592"/>
    <cellStyle name="40% - Accent5 2 3 3 3 2 2" xfId="20213"/>
    <cellStyle name="40% - Accent5 2 3 3 3 2 2 2" xfId="36434"/>
    <cellStyle name="40% - Accent5 2 3 3 3 2 3" xfId="29746"/>
    <cellStyle name="40% - Accent5 2 3 3 3 3" xfId="16581"/>
    <cellStyle name="40% - Accent5 2 3 3 3 3 2" xfId="32802"/>
    <cellStyle name="40% - Accent5 2 3 3 3 4" xfId="18456"/>
    <cellStyle name="40% - Accent5 2 3 3 3 4 2" xfId="34677"/>
    <cellStyle name="40% - Accent5 2 3 3 3 5" xfId="6692"/>
    <cellStyle name="40% - Accent5 2 3 3 3 5 2" xfId="27995"/>
    <cellStyle name="40% - Accent5 2 3 3 3 6" xfId="26457"/>
    <cellStyle name="40% - Accent5 2 3 3 4" xfId="10589"/>
    <cellStyle name="40% - Accent5 2 3 3 4 2" xfId="20210"/>
    <cellStyle name="40% - Accent5 2 3 3 4 2 2" xfId="36431"/>
    <cellStyle name="40% - Accent5 2 3 3 4 3" xfId="29743"/>
    <cellStyle name="40% - Accent5 2 3 3 5" xfId="14996"/>
    <cellStyle name="40% - Accent5 2 3 3 5 2" xfId="31218"/>
    <cellStyle name="40% - Accent5 2 3 3 6" xfId="18453"/>
    <cellStyle name="40% - Accent5 2 3 3 6 2" xfId="34674"/>
    <cellStyle name="40% - Accent5 2 3 3 7" xfId="6689"/>
    <cellStyle name="40% - Accent5 2 3 3 7 2" xfId="27992"/>
    <cellStyle name="40% - Accent5 2 3 3 8" xfId="21963"/>
    <cellStyle name="40% - Accent5 2 3 3 8 2" xfId="38175"/>
    <cellStyle name="40% - Accent5 2 3 3 9" xfId="23461"/>
    <cellStyle name="40% - Accent5 2 3 4" xfId="1643"/>
    <cellStyle name="40% - Accent5 2 3 4 2" xfId="3142"/>
    <cellStyle name="40% - Accent5 2 3 4 2 2" xfId="10594"/>
    <cellStyle name="40% - Accent5 2 3 4 2 2 2" xfId="20215"/>
    <cellStyle name="40% - Accent5 2 3 4 2 2 2 2" xfId="36436"/>
    <cellStyle name="40% - Accent5 2 3 4 2 2 3" xfId="29748"/>
    <cellStyle name="40% - Accent5 2 3 4 2 3" xfId="16845"/>
    <cellStyle name="40% - Accent5 2 3 4 2 3 2" xfId="33066"/>
    <cellStyle name="40% - Accent5 2 3 4 2 4" xfId="18458"/>
    <cellStyle name="40% - Accent5 2 3 4 2 4 2" xfId="34679"/>
    <cellStyle name="40% - Accent5 2 3 4 2 5" xfId="6694"/>
    <cellStyle name="40% - Accent5 2 3 4 2 5 2" xfId="27997"/>
    <cellStyle name="40% - Accent5 2 3 4 2 6" xfId="25310"/>
    <cellStyle name="40% - Accent5 2 3 4 3" xfId="4641"/>
    <cellStyle name="40% - Accent5 2 3 4 3 2" xfId="20214"/>
    <cellStyle name="40% - Accent5 2 3 4 3 2 2" xfId="36435"/>
    <cellStyle name="40% - Accent5 2 3 4 3 3" xfId="10593"/>
    <cellStyle name="40% - Accent5 2 3 4 3 3 2" xfId="29747"/>
    <cellStyle name="40% - Accent5 2 3 4 3 4" xfId="26808"/>
    <cellStyle name="40% - Accent5 2 3 4 4" xfId="15260"/>
    <cellStyle name="40% - Accent5 2 3 4 4 2" xfId="31482"/>
    <cellStyle name="40% - Accent5 2 3 4 5" xfId="18457"/>
    <cellStyle name="40% - Accent5 2 3 4 5 2" xfId="34678"/>
    <cellStyle name="40% - Accent5 2 3 4 6" xfId="6693"/>
    <cellStyle name="40% - Accent5 2 3 4 6 2" xfId="27996"/>
    <cellStyle name="40% - Accent5 2 3 4 7" xfId="22314"/>
    <cellStyle name="40% - Accent5 2 3 4 7 2" xfId="38526"/>
    <cellStyle name="40% - Accent5 2 3 4 8" xfId="23812"/>
    <cellStyle name="40% - Accent5 2 3 5" xfId="2089"/>
    <cellStyle name="40% - Accent5 2 3 5 2" xfId="10595"/>
    <cellStyle name="40% - Accent5 2 3 5 2 2" xfId="20216"/>
    <cellStyle name="40% - Accent5 2 3 5 2 2 2" xfId="36437"/>
    <cellStyle name="40% - Accent5 2 3 5 2 3" xfId="29749"/>
    <cellStyle name="40% - Accent5 2 3 5 3" xfId="16053"/>
    <cellStyle name="40% - Accent5 2 3 5 3 2" xfId="32274"/>
    <cellStyle name="40% - Accent5 2 3 5 4" xfId="18459"/>
    <cellStyle name="40% - Accent5 2 3 5 4 2" xfId="34680"/>
    <cellStyle name="40% - Accent5 2 3 5 5" xfId="6695"/>
    <cellStyle name="40% - Accent5 2 3 5 5 2" xfId="27998"/>
    <cellStyle name="40% - Accent5 2 3 5 6" xfId="24257"/>
    <cellStyle name="40% - Accent5 2 3 6" xfId="3588"/>
    <cellStyle name="40% - Accent5 2 3 6 2" xfId="20205"/>
    <cellStyle name="40% - Accent5 2 3 6 2 2" xfId="36426"/>
    <cellStyle name="40% - Accent5 2 3 6 3" xfId="10584"/>
    <cellStyle name="40% - Accent5 2 3 6 3 2" xfId="29738"/>
    <cellStyle name="40% - Accent5 2 3 6 4" xfId="25755"/>
    <cellStyle name="40% - Accent5 2 3 7" xfId="14468"/>
    <cellStyle name="40% - Accent5 2 3 7 2" xfId="30690"/>
    <cellStyle name="40% - Accent5 2 3 8" xfId="18448"/>
    <cellStyle name="40% - Accent5 2 3 8 2" xfId="34669"/>
    <cellStyle name="40% - Accent5 2 3 9" xfId="6684"/>
    <cellStyle name="40% - Accent5 2 3 9 2" xfId="27987"/>
    <cellStyle name="40% - Accent5 2 4" xfId="707"/>
    <cellStyle name="40% - Accent5 2 4 10" xfId="39251"/>
    <cellStyle name="40% - Accent5 2 4 2" xfId="1058"/>
    <cellStyle name="40% - Accent5 2 4 2 2" xfId="2557"/>
    <cellStyle name="40% - Accent5 2 4 2 2 2" xfId="10598"/>
    <cellStyle name="40% - Accent5 2 4 2 2 2 2" xfId="20219"/>
    <cellStyle name="40% - Accent5 2 4 2 2 2 2 2" xfId="36440"/>
    <cellStyle name="40% - Accent5 2 4 2 2 2 3" xfId="29752"/>
    <cellStyle name="40% - Accent5 2 4 2 2 3" xfId="16977"/>
    <cellStyle name="40% - Accent5 2 4 2 2 3 2" xfId="33198"/>
    <cellStyle name="40% - Accent5 2 4 2 2 4" xfId="18462"/>
    <cellStyle name="40% - Accent5 2 4 2 2 4 2" xfId="34683"/>
    <cellStyle name="40% - Accent5 2 4 2 2 5" xfId="6698"/>
    <cellStyle name="40% - Accent5 2 4 2 2 5 2" xfId="28001"/>
    <cellStyle name="40% - Accent5 2 4 2 2 6" xfId="24725"/>
    <cellStyle name="40% - Accent5 2 4 2 3" xfId="4056"/>
    <cellStyle name="40% - Accent5 2 4 2 3 2" xfId="20218"/>
    <cellStyle name="40% - Accent5 2 4 2 3 2 2" xfId="36439"/>
    <cellStyle name="40% - Accent5 2 4 2 3 3" xfId="10597"/>
    <cellStyle name="40% - Accent5 2 4 2 3 3 2" xfId="29751"/>
    <cellStyle name="40% - Accent5 2 4 2 3 4" xfId="26223"/>
    <cellStyle name="40% - Accent5 2 4 2 4" xfId="15392"/>
    <cellStyle name="40% - Accent5 2 4 2 4 2" xfId="31614"/>
    <cellStyle name="40% - Accent5 2 4 2 5" xfId="18461"/>
    <cellStyle name="40% - Accent5 2 4 2 5 2" xfId="34682"/>
    <cellStyle name="40% - Accent5 2 4 2 6" xfId="6697"/>
    <cellStyle name="40% - Accent5 2 4 2 6 2" xfId="28000"/>
    <cellStyle name="40% - Accent5 2 4 2 7" xfId="21729"/>
    <cellStyle name="40% - Accent5 2 4 2 7 2" xfId="37941"/>
    <cellStyle name="40% - Accent5 2 4 2 8" xfId="23227"/>
    <cellStyle name="40% - Accent5 2 4 3" xfId="1409"/>
    <cellStyle name="40% - Accent5 2 4 3 2" xfId="2908"/>
    <cellStyle name="40% - Accent5 2 4 3 2 2" xfId="20220"/>
    <cellStyle name="40% - Accent5 2 4 3 2 2 2" xfId="36441"/>
    <cellStyle name="40% - Accent5 2 4 3 2 3" xfId="10599"/>
    <cellStyle name="40% - Accent5 2 4 3 2 3 2" xfId="29753"/>
    <cellStyle name="40% - Accent5 2 4 3 2 4" xfId="25076"/>
    <cellStyle name="40% - Accent5 2 4 3 3" xfId="4407"/>
    <cellStyle name="40% - Accent5 2 4 3 3 2" xfId="16185"/>
    <cellStyle name="40% - Accent5 2 4 3 3 2 2" xfId="32406"/>
    <cellStyle name="40% - Accent5 2 4 3 3 3" xfId="26574"/>
    <cellStyle name="40% - Accent5 2 4 3 4" xfId="18463"/>
    <cellStyle name="40% - Accent5 2 4 3 4 2" xfId="34684"/>
    <cellStyle name="40% - Accent5 2 4 3 5" xfId="6699"/>
    <cellStyle name="40% - Accent5 2 4 3 5 2" xfId="28002"/>
    <cellStyle name="40% - Accent5 2 4 3 6" xfId="22080"/>
    <cellStyle name="40% - Accent5 2 4 3 6 2" xfId="38292"/>
    <cellStyle name="40% - Accent5 2 4 3 7" xfId="23578"/>
    <cellStyle name="40% - Accent5 2 4 4" xfId="1760"/>
    <cellStyle name="40% - Accent5 2 4 4 2" xfId="3259"/>
    <cellStyle name="40% - Accent5 2 4 4 2 2" xfId="20217"/>
    <cellStyle name="40% - Accent5 2 4 4 2 2 2" xfId="36438"/>
    <cellStyle name="40% - Accent5 2 4 4 2 3" xfId="25427"/>
    <cellStyle name="40% - Accent5 2 4 4 3" xfId="4758"/>
    <cellStyle name="40% - Accent5 2 4 4 3 2" xfId="26925"/>
    <cellStyle name="40% - Accent5 2 4 4 4" xfId="10596"/>
    <cellStyle name="40% - Accent5 2 4 4 4 2" xfId="29750"/>
    <cellStyle name="40% - Accent5 2 4 4 5" xfId="22431"/>
    <cellStyle name="40% - Accent5 2 4 4 5 2" xfId="38643"/>
    <cellStyle name="40% - Accent5 2 4 4 6" xfId="23929"/>
    <cellStyle name="40% - Accent5 2 4 5" xfId="2206"/>
    <cellStyle name="40% - Accent5 2 4 5 2" xfId="14600"/>
    <cellStyle name="40% - Accent5 2 4 5 2 2" xfId="30822"/>
    <cellStyle name="40% - Accent5 2 4 5 3" xfId="24374"/>
    <cellStyle name="40% - Accent5 2 4 6" xfId="3705"/>
    <cellStyle name="40% - Accent5 2 4 6 2" xfId="18460"/>
    <cellStyle name="40% - Accent5 2 4 6 2 2" xfId="34681"/>
    <cellStyle name="40% - Accent5 2 4 6 3" xfId="25872"/>
    <cellStyle name="40% - Accent5 2 4 7" xfId="6696"/>
    <cellStyle name="40% - Accent5 2 4 7 2" xfId="27999"/>
    <cellStyle name="40% - Accent5 2 4 8" xfId="21378"/>
    <cellStyle name="40% - Accent5 2 4 8 2" xfId="37590"/>
    <cellStyle name="40% - Accent5 2 4 9" xfId="22876"/>
    <cellStyle name="40% - Accent5 2 5" xfId="824"/>
    <cellStyle name="40% - Accent5 2 5 10" xfId="39400"/>
    <cellStyle name="40% - Accent5 2 5 2" xfId="2323"/>
    <cellStyle name="40% - Accent5 2 5 2 2" xfId="6702"/>
    <cellStyle name="40% - Accent5 2 5 2 2 2" xfId="10602"/>
    <cellStyle name="40% - Accent5 2 5 2 2 2 2" xfId="20223"/>
    <cellStyle name="40% - Accent5 2 5 2 2 2 2 2" xfId="36444"/>
    <cellStyle name="40% - Accent5 2 5 2 2 2 3" xfId="29756"/>
    <cellStyle name="40% - Accent5 2 5 2 2 3" xfId="17241"/>
    <cellStyle name="40% - Accent5 2 5 2 2 3 2" xfId="33462"/>
    <cellStyle name="40% - Accent5 2 5 2 2 4" xfId="18466"/>
    <cellStyle name="40% - Accent5 2 5 2 2 4 2" xfId="34687"/>
    <cellStyle name="40% - Accent5 2 5 2 2 5" xfId="28005"/>
    <cellStyle name="40% - Accent5 2 5 2 3" xfId="10601"/>
    <cellStyle name="40% - Accent5 2 5 2 3 2" xfId="20222"/>
    <cellStyle name="40% - Accent5 2 5 2 3 2 2" xfId="36443"/>
    <cellStyle name="40% - Accent5 2 5 2 3 3" xfId="29755"/>
    <cellStyle name="40% - Accent5 2 5 2 4" xfId="15656"/>
    <cellStyle name="40% - Accent5 2 5 2 4 2" xfId="31878"/>
    <cellStyle name="40% - Accent5 2 5 2 5" xfId="18465"/>
    <cellStyle name="40% - Accent5 2 5 2 5 2" xfId="34686"/>
    <cellStyle name="40% - Accent5 2 5 2 6" xfId="6701"/>
    <cellStyle name="40% - Accent5 2 5 2 6 2" xfId="28004"/>
    <cellStyle name="40% - Accent5 2 5 2 7" xfId="24491"/>
    <cellStyle name="40% - Accent5 2 5 3" xfId="3822"/>
    <cellStyle name="40% - Accent5 2 5 3 2" xfId="10603"/>
    <cellStyle name="40% - Accent5 2 5 3 2 2" xfId="20224"/>
    <cellStyle name="40% - Accent5 2 5 3 2 2 2" xfId="36445"/>
    <cellStyle name="40% - Accent5 2 5 3 2 3" xfId="29757"/>
    <cellStyle name="40% - Accent5 2 5 3 3" xfId="16449"/>
    <cellStyle name="40% - Accent5 2 5 3 3 2" xfId="32670"/>
    <cellStyle name="40% - Accent5 2 5 3 4" xfId="18467"/>
    <cellStyle name="40% - Accent5 2 5 3 4 2" xfId="34688"/>
    <cellStyle name="40% - Accent5 2 5 3 5" xfId="6703"/>
    <cellStyle name="40% - Accent5 2 5 3 5 2" xfId="28006"/>
    <cellStyle name="40% - Accent5 2 5 3 6" xfId="25989"/>
    <cellStyle name="40% - Accent5 2 5 4" xfId="10600"/>
    <cellStyle name="40% - Accent5 2 5 4 2" xfId="20221"/>
    <cellStyle name="40% - Accent5 2 5 4 2 2" xfId="36442"/>
    <cellStyle name="40% - Accent5 2 5 4 3" xfId="29754"/>
    <cellStyle name="40% - Accent5 2 5 5" xfId="14864"/>
    <cellStyle name="40% - Accent5 2 5 5 2" xfId="31086"/>
    <cellStyle name="40% - Accent5 2 5 6" xfId="18464"/>
    <cellStyle name="40% - Accent5 2 5 6 2" xfId="34685"/>
    <cellStyle name="40% - Accent5 2 5 7" xfId="6700"/>
    <cellStyle name="40% - Accent5 2 5 7 2" xfId="28003"/>
    <cellStyle name="40% - Accent5 2 5 8" xfId="21495"/>
    <cellStyle name="40% - Accent5 2 5 8 2" xfId="37707"/>
    <cellStyle name="40% - Accent5 2 5 9" xfId="22993"/>
    <cellStyle name="40% - Accent5 2 6" xfId="1175"/>
    <cellStyle name="40% - Accent5 2 6 2" xfId="2674"/>
    <cellStyle name="40% - Accent5 2 6 2 2" xfId="10605"/>
    <cellStyle name="40% - Accent5 2 6 2 2 2" xfId="20226"/>
    <cellStyle name="40% - Accent5 2 6 2 2 2 2" xfId="36447"/>
    <cellStyle name="40% - Accent5 2 6 2 2 3" xfId="29759"/>
    <cellStyle name="40% - Accent5 2 6 2 3" xfId="16713"/>
    <cellStyle name="40% - Accent5 2 6 2 3 2" xfId="32934"/>
    <cellStyle name="40% - Accent5 2 6 2 4" xfId="18469"/>
    <cellStyle name="40% - Accent5 2 6 2 4 2" xfId="34690"/>
    <cellStyle name="40% - Accent5 2 6 2 5" xfId="6705"/>
    <cellStyle name="40% - Accent5 2 6 2 5 2" xfId="28008"/>
    <cellStyle name="40% - Accent5 2 6 2 6" xfId="24842"/>
    <cellStyle name="40% - Accent5 2 6 3" xfId="4173"/>
    <cellStyle name="40% - Accent5 2 6 3 2" xfId="20225"/>
    <cellStyle name="40% - Accent5 2 6 3 2 2" xfId="36446"/>
    <cellStyle name="40% - Accent5 2 6 3 3" xfId="10604"/>
    <cellStyle name="40% - Accent5 2 6 3 3 2" xfId="29758"/>
    <cellStyle name="40% - Accent5 2 6 3 4" xfId="26340"/>
    <cellStyle name="40% - Accent5 2 6 4" xfId="15128"/>
    <cellStyle name="40% - Accent5 2 6 4 2" xfId="31350"/>
    <cellStyle name="40% - Accent5 2 6 5" xfId="18468"/>
    <cellStyle name="40% - Accent5 2 6 5 2" xfId="34689"/>
    <cellStyle name="40% - Accent5 2 6 6" xfId="6704"/>
    <cellStyle name="40% - Accent5 2 6 6 2" xfId="28007"/>
    <cellStyle name="40% - Accent5 2 6 7" xfId="21846"/>
    <cellStyle name="40% - Accent5 2 6 7 2" xfId="38058"/>
    <cellStyle name="40% - Accent5 2 6 8" xfId="23344"/>
    <cellStyle name="40% - Accent5 2 7" xfId="1526"/>
    <cellStyle name="40% - Accent5 2 7 2" xfId="3025"/>
    <cellStyle name="40% - Accent5 2 7 2 2" xfId="20227"/>
    <cellStyle name="40% - Accent5 2 7 2 2 2" xfId="36448"/>
    <cellStyle name="40% - Accent5 2 7 2 3" xfId="10606"/>
    <cellStyle name="40% - Accent5 2 7 2 3 2" xfId="29760"/>
    <cellStyle name="40% - Accent5 2 7 2 4" xfId="25193"/>
    <cellStyle name="40% - Accent5 2 7 3" xfId="4524"/>
    <cellStyle name="40% - Accent5 2 7 3 2" xfId="15921"/>
    <cellStyle name="40% - Accent5 2 7 3 2 2" xfId="32142"/>
    <cellStyle name="40% - Accent5 2 7 3 3" xfId="26691"/>
    <cellStyle name="40% - Accent5 2 7 4" xfId="18470"/>
    <cellStyle name="40% - Accent5 2 7 4 2" xfId="34691"/>
    <cellStyle name="40% - Accent5 2 7 5" xfId="6706"/>
    <cellStyle name="40% - Accent5 2 7 5 2" xfId="28009"/>
    <cellStyle name="40% - Accent5 2 7 6" xfId="22197"/>
    <cellStyle name="40% - Accent5 2 7 6 2" xfId="38409"/>
    <cellStyle name="40% - Accent5 2 7 7" xfId="23695"/>
    <cellStyle name="40% - Accent5 2 8" xfId="1972"/>
    <cellStyle name="40% - Accent5 2 8 2" xfId="20180"/>
    <cellStyle name="40% - Accent5 2 8 2 2" xfId="36401"/>
    <cellStyle name="40% - Accent5 2 8 3" xfId="10559"/>
    <cellStyle name="40% - Accent5 2 8 3 2" xfId="29713"/>
    <cellStyle name="40% - Accent5 2 8 4" xfId="24140"/>
    <cellStyle name="40% - Accent5 2 9" xfId="3471"/>
    <cellStyle name="40% - Accent5 2 9 2" xfId="14336"/>
    <cellStyle name="40% - Accent5 2 9 2 2" xfId="30558"/>
    <cellStyle name="40% - Accent5 2 9 3" xfId="25638"/>
    <cellStyle name="40% - Accent5 3" xfId="6707"/>
    <cellStyle name="40% - Accent5 3 10" xfId="28010"/>
    <cellStyle name="40% - Accent5 3 11" xfId="38982"/>
    <cellStyle name="40% - Accent5 3 2" xfId="6708"/>
    <cellStyle name="40% - Accent5 3 2 10" xfId="39024"/>
    <cellStyle name="40% - Accent5 3 2 2" xfId="6709"/>
    <cellStyle name="40% - Accent5 3 2 2 2" xfId="6710"/>
    <cellStyle name="40% - Accent5 3 2 2 2 2" xfId="6711"/>
    <cellStyle name="40% - Accent5 3 2 2 2 2 2" xfId="10611"/>
    <cellStyle name="40% - Accent5 3 2 2 2 2 2 2" xfId="20232"/>
    <cellStyle name="40% - Accent5 3 2 2 2 2 2 2 2" xfId="36453"/>
    <cellStyle name="40% - Accent5 3 2 2 2 2 2 3" xfId="29765"/>
    <cellStyle name="40% - Accent5 3 2 2 2 2 3" xfId="17142"/>
    <cellStyle name="40% - Accent5 3 2 2 2 2 3 2" xfId="33363"/>
    <cellStyle name="40% - Accent5 3 2 2 2 2 4" xfId="18475"/>
    <cellStyle name="40% - Accent5 3 2 2 2 2 4 2" xfId="34696"/>
    <cellStyle name="40% - Accent5 3 2 2 2 2 5" xfId="28014"/>
    <cellStyle name="40% - Accent5 3 2 2 2 3" xfId="10610"/>
    <cellStyle name="40% - Accent5 3 2 2 2 3 2" xfId="20231"/>
    <cellStyle name="40% - Accent5 3 2 2 2 3 2 2" xfId="36452"/>
    <cellStyle name="40% - Accent5 3 2 2 2 3 3" xfId="29764"/>
    <cellStyle name="40% - Accent5 3 2 2 2 4" xfId="15557"/>
    <cellStyle name="40% - Accent5 3 2 2 2 4 2" xfId="31779"/>
    <cellStyle name="40% - Accent5 3 2 2 2 5" xfId="18474"/>
    <cellStyle name="40% - Accent5 3 2 2 2 5 2" xfId="34695"/>
    <cellStyle name="40% - Accent5 3 2 2 2 6" xfId="28013"/>
    <cellStyle name="40% - Accent5 3 2 2 3" xfId="6712"/>
    <cellStyle name="40% - Accent5 3 2 2 3 2" xfId="10612"/>
    <cellStyle name="40% - Accent5 3 2 2 3 2 2" xfId="20233"/>
    <cellStyle name="40% - Accent5 3 2 2 3 2 2 2" xfId="36454"/>
    <cellStyle name="40% - Accent5 3 2 2 3 2 3" xfId="29766"/>
    <cellStyle name="40% - Accent5 3 2 2 3 3" xfId="16350"/>
    <cellStyle name="40% - Accent5 3 2 2 3 3 2" xfId="32571"/>
    <cellStyle name="40% - Accent5 3 2 2 3 4" xfId="18476"/>
    <cellStyle name="40% - Accent5 3 2 2 3 4 2" xfId="34697"/>
    <cellStyle name="40% - Accent5 3 2 2 3 5" xfId="28015"/>
    <cellStyle name="40% - Accent5 3 2 2 4" xfId="10609"/>
    <cellStyle name="40% - Accent5 3 2 2 4 2" xfId="20230"/>
    <cellStyle name="40% - Accent5 3 2 2 4 2 2" xfId="36451"/>
    <cellStyle name="40% - Accent5 3 2 2 4 3" xfId="29763"/>
    <cellStyle name="40% - Accent5 3 2 2 5" xfId="14765"/>
    <cellStyle name="40% - Accent5 3 2 2 5 2" xfId="30987"/>
    <cellStyle name="40% - Accent5 3 2 2 6" xfId="18473"/>
    <cellStyle name="40% - Accent5 3 2 2 6 2" xfId="34694"/>
    <cellStyle name="40% - Accent5 3 2 2 7" xfId="28012"/>
    <cellStyle name="40% - Accent5 3 2 2 8" xfId="39172"/>
    <cellStyle name="40% - Accent5 3 2 3" xfId="6713"/>
    <cellStyle name="40% - Accent5 3 2 3 2" xfId="6714"/>
    <cellStyle name="40% - Accent5 3 2 3 2 2" xfId="6715"/>
    <cellStyle name="40% - Accent5 3 2 3 2 2 2" xfId="10615"/>
    <cellStyle name="40% - Accent5 3 2 3 2 2 2 2" xfId="20236"/>
    <cellStyle name="40% - Accent5 3 2 3 2 2 2 2 2" xfId="36457"/>
    <cellStyle name="40% - Accent5 3 2 3 2 2 2 3" xfId="29769"/>
    <cellStyle name="40% - Accent5 3 2 3 2 2 3" xfId="17406"/>
    <cellStyle name="40% - Accent5 3 2 3 2 2 3 2" xfId="33627"/>
    <cellStyle name="40% - Accent5 3 2 3 2 2 4" xfId="18479"/>
    <cellStyle name="40% - Accent5 3 2 3 2 2 4 2" xfId="34700"/>
    <cellStyle name="40% - Accent5 3 2 3 2 2 5" xfId="28018"/>
    <cellStyle name="40% - Accent5 3 2 3 2 3" xfId="10614"/>
    <cellStyle name="40% - Accent5 3 2 3 2 3 2" xfId="20235"/>
    <cellStyle name="40% - Accent5 3 2 3 2 3 2 2" xfId="36456"/>
    <cellStyle name="40% - Accent5 3 2 3 2 3 3" xfId="29768"/>
    <cellStyle name="40% - Accent5 3 2 3 2 4" xfId="15821"/>
    <cellStyle name="40% - Accent5 3 2 3 2 4 2" xfId="32043"/>
    <cellStyle name="40% - Accent5 3 2 3 2 5" xfId="18478"/>
    <cellStyle name="40% - Accent5 3 2 3 2 5 2" xfId="34699"/>
    <cellStyle name="40% - Accent5 3 2 3 2 6" xfId="28017"/>
    <cellStyle name="40% - Accent5 3 2 3 3" xfId="6716"/>
    <cellStyle name="40% - Accent5 3 2 3 3 2" xfId="10616"/>
    <cellStyle name="40% - Accent5 3 2 3 3 2 2" xfId="20237"/>
    <cellStyle name="40% - Accent5 3 2 3 3 2 2 2" xfId="36458"/>
    <cellStyle name="40% - Accent5 3 2 3 3 2 3" xfId="29770"/>
    <cellStyle name="40% - Accent5 3 2 3 3 3" xfId="16614"/>
    <cellStyle name="40% - Accent5 3 2 3 3 3 2" xfId="32835"/>
    <cellStyle name="40% - Accent5 3 2 3 3 4" xfId="18480"/>
    <cellStyle name="40% - Accent5 3 2 3 3 4 2" xfId="34701"/>
    <cellStyle name="40% - Accent5 3 2 3 3 5" xfId="28019"/>
    <cellStyle name="40% - Accent5 3 2 3 4" xfId="10613"/>
    <cellStyle name="40% - Accent5 3 2 3 4 2" xfId="20234"/>
    <cellStyle name="40% - Accent5 3 2 3 4 2 2" xfId="36455"/>
    <cellStyle name="40% - Accent5 3 2 3 4 3" xfId="29767"/>
    <cellStyle name="40% - Accent5 3 2 3 5" xfId="15029"/>
    <cellStyle name="40% - Accent5 3 2 3 5 2" xfId="31251"/>
    <cellStyle name="40% - Accent5 3 2 3 6" xfId="18477"/>
    <cellStyle name="40% - Accent5 3 2 3 6 2" xfId="34698"/>
    <cellStyle name="40% - Accent5 3 2 3 7" xfId="28016"/>
    <cellStyle name="40% - Accent5 3 2 3 8" xfId="39320"/>
    <cellStyle name="40% - Accent5 3 2 4" xfId="6717"/>
    <cellStyle name="40% - Accent5 3 2 4 2" xfId="6718"/>
    <cellStyle name="40% - Accent5 3 2 4 2 2" xfId="10618"/>
    <cellStyle name="40% - Accent5 3 2 4 2 2 2" xfId="20239"/>
    <cellStyle name="40% - Accent5 3 2 4 2 2 2 2" xfId="36460"/>
    <cellStyle name="40% - Accent5 3 2 4 2 2 3" xfId="29772"/>
    <cellStyle name="40% - Accent5 3 2 4 2 3" xfId="16878"/>
    <cellStyle name="40% - Accent5 3 2 4 2 3 2" xfId="33099"/>
    <cellStyle name="40% - Accent5 3 2 4 2 4" xfId="18482"/>
    <cellStyle name="40% - Accent5 3 2 4 2 4 2" xfId="34703"/>
    <cellStyle name="40% - Accent5 3 2 4 2 5" xfId="28021"/>
    <cellStyle name="40% - Accent5 3 2 4 3" xfId="10617"/>
    <cellStyle name="40% - Accent5 3 2 4 3 2" xfId="20238"/>
    <cellStyle name="40% - Accent5 3 2 4 3 2 2" xfId="36459"/>
    <cellStyle name="40% - Accent5 3 2 4 3 3" xfId="29771"/>
    <cellStyle name="40% - Accent5 3 2 4 4" xfId="15293"/>
    <cellStyle name="40% - Accent5 3 2 4 4 2" xfId="31515"/>
    <cellStyle name="40% - Accent5 3 2 4 5" xfId="18481"/>
    <cellStyle name="40% - Accent5 3 2 4 5 2" xfId="34702"/>
    <cellStyle name="40% - Accent5 3 2 4 6" xfId="28020"/>
    <cellStyle name="40% - Accent5 3 2 4 7" xfId="39469"/>
    <cellStyle name="40% - Accent5 3 2 5" xfId="6719"/>
    <cellStyle name="40% - Accent5 3 2 5 2" xfId="10619"/>
    <cellStyle name="40% - Accent5 3 2 5 2 2" xfId="20240"/>
    <cellStyle name="40% - Accent5 3 2 5 2 2 2" xfId="36461"/>
    <cellStyle name="40% - Accent5 3 2 5 2 3" xfId="29773"/>
    <cellStyle name="40% - Accent5 3 2 5 3" xfId="16086"/>
    <cellStyle name="40% - Accent5 3 2 5 3 2" xfId="32307"/>
    <cellStyle name="40% - Accent5 3 2 5 4" xfId="18483"/>
    <cellStyle name="40% - Accent5 3 2 5 4 2" xfId="34704"/>
    <cellStyle name="40% - Accent5 3 2 5 5" xfId="28022"/>
    <cellStyle name="40% - Accent5 3 2 6" xfId="10608"/>
    <cellStyle name="40% - Accent5 3 2 6 2" xfId="20229"/>
    <cellStyle name="40% - Accent5 3 2 6 2 2" xfId="36450"/>
    <cellStyle name="40% - Accent5 3 2 6 3" xfId="29762"/>
    <cellStyle name="40% - Accent5 3 2 7" xfId="14501"/>
    <cellStyle name="40% - Accent5 3 2 7 2" xfId="30723"/>
    <cellStyle name="40% - Accent5 3 2 8" xfId="18472"/>
    <cellStyle name="40% - Accent5 3 2 8 2" xfId="34693"/>
    <cellStyle name="40% - Accent5 3 2 9" xfId="28011"/>
    <cellStyle name="40% - Accent5 3 3" xfId="6720"/>
    <cellStyle name="40% - Accent5 3 3 2" xfId="6721"/>
    <cellStyle name="40% - Accent5 3 3 2 2" xfId="6722"/>
    <cellStyle name="40% - Accent5 3 3 2 2 2" xfId="10622"/>
    <cellStyle name="40% - Accent5 3 3 2 2 2 2" xfId="20243"/>
    <cellStyle name="40% - Accent5 3 3 2 2 2 2 2" xfId="36464"/>
    <cellStyle name="40% - Accent5 3 3 2 2 2 3" xfId="29776"/>
    <cellStyle name="40% - Accent5 3 3 2 2 3" xfId="17010"/>
    <cellStyle name="40% - Accent5 3 3 2 2 3 2" xfId="33231"/>
    <cellStyle name="40% - Accent5 3 3 2 2 4" xfId="18486"/>
    <cellStyle name="40% - Accent5 3 3 2 2 4 2" xfId="34707"/>
    <cellStyle name="40% - Accent5 3 3 2 2 5" xfId="28025"/>
    <cellStyle name="40% - Accent5 3 3 2 3" xfId="10621"/>
    <cellStyle name="40% - Accent5 3 3 2 3 2" xfId="20242"/>
    <cellStyle name="40% - Accent5 3 3 2 3 2 2" xfId="36463"/>
    <cellStyle name="40% - Accent5 3 3 2 3 3" xfId="29775"/>
    <cellStyle name="40% - Accent5 3 3 2 4" xfId="15425"/>
    <cellStyle name="40% - Accent5 3 3 2 4 2" xfId="31647"/>
    <cellStyle name="40% - Accent5 3 3 2 5" xfId="18485"/>
    <cellStyle name="40% - Accent5 3 3 2 5 2" xfId="34706"/>
    <cellStyle name="40% - Accent5 3 3 2 6" xfId="28024"/>
    <cellStyle name="40% - Accent5 3 3 3" xfId="6723"/>
    <cellStyle name="40% - Accent5 3 3 3 2" xfId="10623"/>
    <cellStyle name="40% - Accent5 3 3 3 2 2" xfId="20244"/>
    <cellStyle name="40% - Accent5 3 3 3 2 2 2" xfId="36465"/>
    <cellStyle name="40% - Accent5 3 3 3 2 3" xfId="29777"/>
    <cellStyle name="40% - Accent5 3 3 3 3" xfId="16218"/>
    <cellStyle name="40% - Accent5 3 3 3 3 2" xfId="32439"/>
    <cellStyle name="40% - Accent5 3 3 3 4" xfId="18487"/>
    <cellStyle name="40% - Accent5 3 3 3 4 2" xfId="34708"/>
    <cellStyle name="40% - Accent5 3 3 3 5" xfId="28026"/>
    <cellStyle name="40% - Accent5 3 3 4" xfId="10620"/>
    <cellStyle name="40% - Accent5 3 3 4 2" xfId="20241"/>
    <cellStyle name="40% - Accent5 3 3 4 2 2" xfId="36462"/>
    <cellStyle name="40% - Accent5 3 3 4 3" xfId="29774"/>
    <cellStyle name="40% - Accent5 3 3 5" xfId="14633"/>
    <cellStyle name="40% - Accent5 3 3 5 2" xfId="30855"/>
    <cellStyle name="40% - Accent5 3 3 6" xfId="18484"/>
    <cellStyle name="40% - Accent5 3 3 6 2" xfId="34705"/>
    <cellStyle name="40% - Accent5 3 3 7" xfId="28023"/>
    <cellStyle name="40% - Accent5 3 3 8" xfId="39116"/>
    <cellStyle name="40% - Accent5 3 4" xfId="6724"/>
    <cellStyle name="40% - Accent5 3 4 2" xfId="6725"/>
    <cellStyle name="40% - Accent5 3 4 2 2" xfId="6726"/>
    <cellStyle name="40% - Accent5 3 4 2 2 2" xfId="10626"/>
    <cellStyle name="40% - Accent5 3 4 2 2 2 2" xfId="20247"/>
    <cellStyle name="40% - Accent5 3 4 2 2 2 2 2" xfId="36468"/>
    <cellStyle name="40% - Accent5 3 4 2 2 2 3" xfId="29780"/>
    <cellStyle name="40% - Accent5 3 4 2 2 3" xfId="17274"/>
    <cellStyle name="40% - Accent5 3 4 2 2 3 2" xfId="33495"/>
    <cellStyle name="40% - Accent5 3 4 2 2 4" xfId="18490"/>
    <cellStyle name="40% - Accent5 3 4 2 2 4 2" xfId="34711"/>
    <cellStyle name="40% - Accent5 3 4 2 2 5" xfId="28029"/>
    <cellStyle name="40% - Accent5 3 4 2 3" xfId="10625"/>
    <cellStyle name="40% - Accent5 3 4 2 3 2" xfId="20246"/>
    <cellStyle name="40% - Accent5 3 4 2 3 2 2" xfId="36467"/>
    <cellStyle name="40% - Accent5 3 4 2 3 3" xfId="29779"/>
    <cellStyle name="40% - Accent5 3 4 2 4" xfId="15689"/>
    <cellStyle name="40% - Accent5 3 4 2 4 2" xfId="31911"/>
    <cellStyle name="40% - Accent5 3 4 2 5" xfId="18489"/>
    <cellStyle name="40% - Accent5 3 4 2 5 2" xfId="34710"/>
    <cellStyle name="40% - Accent5 3 4 2 6" xfId="28028"/>
    <cellStyle name="40% - Accent5 3 4 3" xfId="6727"/>
    <cellStyle name="40% - Accent5 3 4 3 2" xfId="10627"/>
    <cellStyle name="40% - Accent5 3 4 3 2 2" xfId="20248"/>
    <cellStyle name="40% - Accent5 3 4 3 2 2 2" xfId="36469"/>
    <cellStyle name="40% - Accent5 3 4 3 2 3" xfId="29781"/>
    <cellStyle name="40% - Accent5 3 4 3 3" xfId="16482"/>
    <cellStyle name="40% - Accent5 3 4 3 3 2" xfId="32703"/>
    <cellStyle name="40% - Accent5 3 4 3 4" xfId="18491"/>
    <cellStyle name="40% - Accent5 3 4 3 4 2" xfId="34712"/>
    <cellStyle name="40% - Accent5 3 4 3 5" xfId="28030"/>
    <cellStyle name="40% - Accent5 3 4 4" xfId="10624"/>
    <cellStyle name="40% - Accent5 3 4 4 2" xfId="20245"/>
    <cellStyle name="40% - Accent5 3 4 4 2 2" xfId="36466"/>
    <cellStyle name="40% - Accent5 3 4 4 3" xfId="29778"/>
    <cellStyle name="40% - Accent5 3 4 5" xfId="14897"/>
    <cellStyle name="40% - Accent5 3 4 5 2" xfId="31119"/>
    <cellStyle name="40% - Accent5 3 4 6" xfId="18488"/>
    <cellStyle name="40% - Accent5 3 4 6 2" xfId="34709"/>
    <cellStyle name="40% - Accent5 3 4 7" xfId="28027"/>
    <cellStyle name="40% - Accent5 3 4 8" xfId="39264"/>
    <cellStyle name="40% - Accent5 3 5" xfId="6728"/>
    <cellStyle name="40% - Accent5 3 5 2" xfId="6729"/>
    <cellStyle name="40% - Accent5 3 5 2 2" xfId="10629"/>
    <cellStyle name="40% - Accent5 3 5 2 2 2" xfId="20250"/>
    <cellStyle name="40% - Accent5 3 5 2 2 2 2" xfId="36471"/>
    <cellStyle name="40% - Accent5 3 5 2 2 3" xfId="29783"/>
    <cellStyle name="40% - Accent5 3 5 2 3" xfId="16746"/>
    <cellStyle name="40% - Accent5 3 5 2 3 2" xfId="32967"/>
    <cellStyle name="40% - Accent5 3 5 2 4" xfId="18493"/>
    <cellStyle name="40% - Accent5 3 5 2 4 2" xfId="34714"/>
    <cellStyle name="40% - Accent5 3 5 2 5" xfId="28032"/>
    <cellStyle name="40% - Accent5 3 5 3" xfId="10628"/>
    <cellStyle name="40% - Accent5 3 5 3 2" xfId="20249"/>
    <cellStyle name="40% - Accent5 3 5 3 2 2" xfId="36470"/>
    <cellStyle name="40% - Accent5 3 5 3 3" xfId="29782"/>
    <cellStyle name="40% - Accent5 3 5 4" xfId="15161"/>
    <cellStyle name="40% - Accent5 3 5 4 2" xfId="31383"/>
    <cellStyle name="40% - Accent5 3 5 5" xfId="18492"/>
    <cellStyle name="40% - Accent5 3 5 5 2" xfId="34713"/>
    <cellStyle name="40% - Accent5 3 5 6" xfId="28031"/>
    <cellStyle name="40% - Accent5 3 5 7" xfId="39413"/>
    <cellStyle name="40% - Accent5 3 6" xfId="6730"/>
    <cellStyle name="40% - Accent5 3 6 2" xfId="10630"/>
    <cellStyle name="40% - Accent5 3 6 2 2" xfId="20251"/>
    <cellStyle name="40% - Accent5 3 6 2 2 2" xfId="36472"/>
    <cellStyle name="40% - Accent5 3 6 2 3" xfId="29784"/>
    <cellStyle name="40% - Accent5 3 6 3" xfId="15954"/>
    <cellStyle name="40% - Accent5 3 6 3 2" xfId="32175"/>
    <cellStyle name="40% - Accent5 3 6 4" xfId="18494"/>
    <cellStyle name="40% - Accent5 3 6 4 2" xfId="34715"/>
    <cellStyle name="40% - Accent5 3 6 5" xfId="28033"/>
    <cellStyle name="40% - Accent5 3 7" xfId="10607"/>
    <cellStyle name="40% - Accent5 3 7 2" xfId="20228"/>
    <cellStyle name="40% - Accent5 3 7 2 2" xfId="36449"/>
    <cellStyle name="40% - Accent5 3 7 3" xfId="29761"/>
    <cellStyle name="40% - Accent5 3 8" xfId="14369"/>
    <cellStyle name="40% - Accent5 3 8 2" xfId="30591"/>
    <cellStyle name="40% - Accent5 3 9" xfId="18471"/>
    <cellStyle name="40% - Accent5 3 9 2" xfId="34692"/>
    <cellStyle name="40% - Accent5 4" xfId="6731"/>
    <cellStyle name="40% - Accent5 4 10" xfId="38995"/>
    <cellStyle name="40% - Accent5 4 2" xfId="6732"/>
    <cellStyle name="40% - Accent5 4 2 2" xfId="6733"/>
    <cellStyle name="40% - Accent5 4 2 2 2" xfId="6734"/>
    <cellStyle name="40% - Accent5 4 2 2 2 2" xfId="10634"/>
    <cellStyle name="40% - Accent5 4 2 2 2 2 2" xfId="20255"/>
    <cellStyle name="40% - Accent5 4 2 2 2 2 2 2" xfId="36476"/>
    <cellStyle name="40% - Accent5 4 2 2 2 2 3" xfId="29788"/>
    <cellStyle name="40% - Accent5 4 2 2 2 3" xfId="17076"/>
    <cellStyle name="40% - Accent5 4 2 2 2 3 2" xfId="33297"/>
    <cellStyle name="40% - Accent5 4 2 2 2 4" xfId="18498"/>
    <cellStyle name="40% - Accent5 4 2 2 2 4 2" xfId="34719"/>
    <cellStyle name="40% - Accent5 4 2 2 2 5" xfId="28037"/>
    <cellStyle name="40% - Accent5 4 2 2 3" xfId="10633"/>
    <cellStyle name="40% - Accent5 4 2 2 3 2" xfId="20254"/>
    <cellStyle name="40% - Accent5 4 2 2 3 2 2" xfId="36475"/>
    <cellStyle name="40% - Accent5 4 2 2 3 3" xfId="29787"/>
    <cellStyle name="40% - Accent5 4 2 2 4" xfId="15491"/>
    <cellStyle name="40% - Accent5 4 2 2 4 2" xfId="31713"/>
    <cellStyle name="40% - Accent5 4 2 2 5" xfId="18497"/>
    <cellStyle name="40% - Accent5 4 2 2 5 2" xfId="34718"/>
    <cellStyle name="40% - Accent5 4 2 2 6" xfId="28036"/>
    <cellStyle name="40% - Accent5 4 2 2 7" xfId="39185"/>
    <cellStyle name="40% - Accent5 4 2 3" xfId="6735"/>
    <cellStyle name="40% - Accent5 4 2 3 2" xfId="10635"/>
    <cellStyle name="40% - Accent5 4 2 3 2 2" xfId="20256"/>
    <cellStyle name="40% - Accent5 4 2 3 2 2 2" xfId="36477"/>
    <cellStyle name="40% - Accent5 4 2 3 2 3" xfId="29789"/>
    <cellStyle name="40% - Accent5 4 2 3 3" xfId="16284"/>
    <cellStyle name="40% - Accent5 4 2 3 3 2" xfId="32505"/>
    <cellStyle name="40% - Accent5 4 2 3 4" xfId="18499"/>
    <cellStyle name="40% - Accent5 4 2 3 4 2" xfId="34720"/>
    <cellStyle name="40% - Accent5 4 2 3 5" xfId="28038"/>
    <cellStyle name="40% - Accent5 4 2 3 6" xfId="39333"/>
    <cellStyle name="40% - Accent5 4 2 4" xfId="10632"/>
    <cellStyle name="40% - Accent5 4 2 4 2" xfId="20253"/>
    <cellStyle name="40% - Accent5 4 2 4 2 2" xfId="36474"/>
    <cellStyle name="40% - Accent5 4 2 4 3" xfId="29786"/>
    <cellStyle name="40% - Accent5 4 2 4 4" xfId="39482"/>
    <cellStyle name="40% - Accent5 4 2 5" xfId="14699"/>
    <cellStyle name="40% - Accent5 4 2 5 2" xfId="30921"/>
    <cellStyle name="40% - Accent5 4 2 6" xfId="18496"/>
    <cellStyle name="40% - Accent5 4 2 6 2" xfId="34717"/>
    <cellStyle name="40% - Accent5 4 2 7" xfId="28035"/>
    <cellStyle name="40% - Accent5 4 2 8" xfId="39037"/>
    <cellStyle name="40% - Accent5 4 3" xfId="6736"/>
    <cellStyle name="40% - Accent5 4 3 2" xfId="6737"/>
    <cellStyle name="40% - Accent5 4 3 2 2" xfId="6738"/>
    <cellStyle name="40% - Accent5 4 3 2 2 2" xfId="10638"/>
    <cellStyle name="40% - Accent5 4 3 2 2 2 2" xfId="20259"/>
    <cellStyle name="40% - Accent5 4 3 2 2 2 2 2" xfId="36480"/>
    <cellStyle name="40% - Accent5 4 3 2 2 2 3" xfId="29792"/>
    <cellStyle name="40% - Accent5 4 3 2 2 3" xfId="17340"/>
    <cellStyle name="40% - Accent5 4 3 2 2 3 2" xfId="33561"/>
    <cellStyle name="40% - Accent5 4 3 2 2 4" xfId="18502"/>
    <cellStyle name="40% - Accent5 4 3 2 2 4 2" xfId="34723"/>
    <cellStyle name="40% - Accent5 4 3 2 2 5" xfId="28041"/>
    <cellStyle name="40% - Accent5 4 3 2 3" xfId="10637"/>
    <cellStyle name="40% - Accent5 4 3 2 3 2" xfId="20258"/>
    <cellStyle name="40% - Accent5 4 3 2 3 2 2" xfId="36479"/>
    <cellStyle name="40% - Accent5 4 3 2 3 3" xfId="29791"/>
    <cellStyle name="40% - Accent5 4 3 2 4" xfId="15755"/>
    <cellStyle name="40% - Accent5 4 3 2 4 2" xfId="31977"/>
    <cellStyle name="40% - Accent5 4 3 2 5" xfId="18501"/>
    <cellStyle name="40% - Accent5 4 3 2 5 2" xfId="34722"/>
    <cellStyle name="40% - Accent5 4 3 2 6" xfId="28040"/>
    <cellStyle name="40% - Accent5 4 3 3" xfId="6739"/>
    <cellStyle name="40% - Accent5 4 3 3 2" xfId="10639"/>
    <cellStyle name="40% - Accent5 4 3 3 2 2" xfId="20260"/>
    <cellStyle name="40% - Accent5 4 3 3 2 2 2" xfId="36481"/>
    <cellStyle name="40% - Accent5 4 3 3 2 3" xfId="29793"/>
    <cellStyle name="40% - Accent5 4 3 3 3" xfId="16548"/>
    <cellStyle name="40% - Accent5 4 3 3 3 2" xfId="32769"/>
    <cellStyle name="40% - Accent5 4 3 3 4" xfId="18503"/>
    <cellStyle name="40% - Accent5 4 3 3 4 2" xfId="34724"/>
    <cellStyle name="40% - Accent5 4 3 3 5" xfId="28042"/>
    <cellStyle name="40% - Accent5 4 3 4" xfId="10636"/>
    <cellStyle name="40% - Accent5 4 3 4 2" xfId="20257"/>
    <cellStyle name="40% - Accent5 4 3 4 2 2" xfId="36478"/>
    <cellStyle name="40% - Accent5 4 3 4 3" xfId="29790"/>
    <cellStyle name="40% - Accent5 4 3 5" xfId="14963"/>
    <cellStyle name="40% - Accent5 4 3 5 2" xfId="31185"/>
    <cellStyle name="40% - Accent5 4 3 6" xfId="18500"/>
    <cellStyle name="40% - Accent5 4 3 6 2" xfId="34721"/>
    <cellStyle name="40% - Accent5 4 3 7" xfId="28039"/>
    <cellStyle name="40% - Accent5 4 3 8" xfId="39129"/>
    <cellStyle name="40% - Accent5 4 4" xfId="6740"/>
    <cellStyle name="40% - Accent5 4 4 2" xfId="6741"/>
    <cellStyle name="40% - Accent5 4 4 2 2" xfId="10641"/>
    <cellStyle name="40% - Accent5 4 4 2 2 2" xfId="20262"/>
    <cellStyle name="40% - Accent5 4 4 2 2 2 2" xfId="36483"/>
    <cellStyle name="40% - Accent5 4 4 2 2 3" xfId="29795"/>
    <cellStyle name="40% - Accent5 4 4 2 3" xfId="16812"/>
    <cellStyle name="40% - Accent5 4 4 2 3 2" xfId="33033"/>
    <cellStyle name="40% - Accent5 4 4 2 4" xfId="18505"/>
    <cellStyle name="40% - Accent5 4 4 2 4 2" xfId="34726"/>
    <cellStyle name="40% - Accent5 4 4 2 5" xfId="28044"/>
    <cellStyle name="40% - Accent5 4 4 3" xfId="10640"/>
    <cellStyle name="40% - Accent5 4 4 3 2" xfId="20261"/>
    <cellStyle name="40% - Accent5 4 4 3 2 2" xfId="36482"/>
    <cellStyle name="40% - Accent5 4 4 3 3" xfId="29794"/>
    <cellStyle name="40% - Accent5 4 4 4" xfId="15227"/>
    <cellStyle name="40% - Accent5 4 4 4 2" xfId="31449"/>
    <cellStyle name="40% - Accent5 4 4 5" xfId="18504"/>
    <cellStyle name="40% - Accent5 4 4 5 2" xfId="34725"/>
    <cellStyle name="40% - Accent5 4 4 6" xfId="28043"/>
    <cellStyle name="40% - Accent5 4 4 7" xfId="39277"/>
    <cellStyle name="40% - Accent5 4 5" xfId="6742"/>
    <cellStyle name="40% - Accent5 4 5 2" xfId="10642"/>
    <cellStyle name="40% - Accent5 4 5 2 2" xfId="20263"/>
    <cellStyle name="40% - Accent5 4 5 2 2 2" xfId="36484"/>
    <cellStyle name="40% - Accent5 4 5 2 3" xfId="29796"/>
    <cellStyle name="40% - Accent5 4 5 3" xfId="16020"/>
    <cellStyle name="40% - Accent5 4 5 3 2" xfId="32241"/>
    <cellStyle name="40% - Accent5 4 5 4" xfId="18506"/>
    <cellStyle name="40% - Accent5 4 5 4 2" xfId="34727"/>
    <cellStyle name="40% - Accent5 4 5 5" xfId="28045"/>
    <cellStyle name="40% - Accent5 4 5 6" xfId="39426"/>
    <cellStyle name="40% - Accent5 4 6" xfId="10631"/>
    <cellStyle name="40% - Accent5 4 6 2" xfId="20252"/>
    <cellStyle name="40% - Accent5 4 6 2 2" xfId="36473"/>
    <cellStyle name="40% - Accent5 4 6 3" xfId="29785"/>
    <cellStyle name="40% - Accent5 4 7" xfId="14435"/>
    <cellStyle name="40% - Accent5 4 7 2" xfId="30657"/>
    <cellStyle name="40% - Accent5 4 8" xfId="18495"/>
    <cellStyle name="40% - Accent5 4 8 2" xfId="34716"/>
    <cellStyle name="40% - Accent5 4 9" xfId="28034"/>
    <cellStyle name="40% - Accent5 5" xfId="6743"/>
    <cellStyle name="40% - Accent5 5 2" xfId="6744"/>
    <cellStyle name="40% - Accent5 5 2 2" xfId="6745"/>
    <cellStyle name="40% - Accent5 5 2 2 2" xfId="10645"/>
    <cellStyle name="40% - Accent5 5 2 2 2 2" xfId="20266"/>
    <cellStyle name="40% - Accent5 5 2 2 2 2 2" xfId="36487"/>
    <cellStyle name="40% - Accent5 5 2 2 2 3" xfId="29799"/>
    <cellStyle name="40% - Accent5 5 2 2 3" xfId="16944"/>
    <cellStyle name="40% - Accent5 5 2 2 3 2" xfId="33165"/>
    <cellStyle name="40% - Accent5 5 2 2 4" xfId="18509"/>
    <cellStyle name="40% - Accent5 5 2 2 4 2" xfId="34730"/>
    <cellStyle name="40% - Accent5 5 2 2 5" xfId="28048"/>
    <cellStyle name="40% - Accent5 5 2 3" xfId="10644"/>
    <cellStyle name="40% - Accent5 5 2 3 2" xfId="20265"/>
    <cellStyle name="40% - Accent5 5 2 3 2 2" xfId="36486"/>
    <cellStyle name="40% - Accent5 5 2 3 3" xfId="29798"/>
    <cellStyle name="40% - Accent5 5 2 4" xfId="15359"/>
    <cellStyle name="40% - Accent5 5 2 4 2" xfId="31581"/>
    <cellStyle name="40% - Accent5 5 2 5" xfId="18508"/>
    <cellStyle name="40% - Accent5 5 2 5 2" xfId="34729"/>
    <cellStyle name="40% - Accent5 5 2 6" xfId="28047"/>
    <cellStyle name="40% - Accent5 5 2 7" xfId="39142"/>
    <cellStyle name="40% - Accent5 5 3" xfId="6746"/>
    <cellStyle name="40% - Accent5 5 3 2" xfId="10646"/>
    <cellStyle name="40% - Accent5 5 3 2 2" xfId="20267"/>
    <cellStyle name="40% - Accent5 5 3 2 2 2" xfId="36488"/>
    <cellStyle name="40% - Accent5 5 3 2 3" xfId="29800"/>
    <cellStyle name="40% - Accent5 5 3 3" xfId="16152"/>
    <cellStyle name="40% - Accent5 5 3 3 2" xfId="32373"/>
    <cellStyle name="40% - Accent5 5 3 4" xfId="18510"/>
    <cellStyle name="40% - Accent5 5 3 4 2" xfId="34731"/>
    <cellStyle name="40% - Accent5 5 3 5" xfId="28049"/>
    <cellStyle name="40% - Accent5 5 3 6" xfId="39290"/>
    <cellStyle name="40% - Accent5 5 4" xfId="10643"/>
    <cellStyle name="40% - Accent5 5 4 2" xfId="20264"/>
    <cellStyle name="40% - Accent5 5 4 2 2" xfId="36485"/>
    <cellStyle name="40% - Accent5 5 4 3" xfId="29797"/>
    <cellStyle name="40% - Accent5 5 4 4" xfId="39439"/>
    <cellStyle name="40% - Accent5 5 5" xfId="14567"/>
    <cellStyle name="40% - Accent5 5 5 2" xfId="30789"/>
    <cellStyle name="40% - Accent5 5 6" xfId="18507"/>
    <cellStyle name="40% - Accent5 5 6 2" xfId="34728"/>
    <cellStyle name="40% - Accent5 5 7" xfId="28046"/>
    <cellStyle name="40% - Accent5 5 8" xfId="39008"/>
    <cellStyle name="40% - Accent5 6" xfId="6747"/>
    <cellStyle name="40% - Accent5 6 2" xfId="6748"/>
    <cellStyle name="40% - Accent5 6 2 2" xfId="6749"/>
    <cellStyle name="40% - Accent5 6 2 2 2" xfId="10649"/>
    <cellStyle name="40% - Accent5 6 2 2 2 2" xfId="20270"/>
    <cellStyle name="40% - Accent5 6 2 2 2 2 2" xfId="36491"/>
    <cellStyle name="40% - Accent5 6 2 2 2 3" xfId="29803"/>
    <cellStyle name="40% - Accent5 6 2 2 3" xfId="17208"/>
    <cellStyle name="40% - Accent5 6 2 2 3 2" xfId="33429"/>
    <cellStyle name="40% - Accent5 6 2 2 4" xfId="18513"/>
    <cellStyle name="40% - Accent5 6 2 2 4 2" xfId="34734"/>
    <cellStyle name="40% - Accent5 6 2 2 5" xfId="28052"/>
    <cellStyle name="40% - Accent5 6 2 3" xfId="10648"/>
    <cellStyle name="40% - Accent5 6 2 3 2" xfId="20269"/>
    <cellStyle name="40% - Accent5 6 2 3 2 2" xfId="36490"/>
    <cellStyle name="40% - Accent5 6 2 3 3" xfId="29802"/>
    <cellStyle name="40% - Accent5 6 2 4" xfId="15623"/>
    <cellStyle name="40% - Accent5 6 2 4 2" xfId="31845"/>
    <cellStyle name="40% - Accent5 6 2 5" xfId="18512"/>
    <cellStyle name="40% - Accent5 6 2 5 2" xfId="34733"/>
    <cellStyle name="40% - Accent5 6 2 6" xfId="28051"/>
    <cellStyle name="40% - Accent5 6 3" xfId="6750"/>
    <cellStyle name="40% - Accent5 6 3 2" xfId="10650"/>
    <cellStyle name="40% - Accent5 6 3 2 2" xfId="20271"/>
    <cellStyle name="40% - Accent5 6 3 2 2 2" xfId="36492"/>
    <cellStyle name="40% - Accent5 6 3 2 3" xfId="29804"/>
    <cellStyle name="40% - Accent5 6 3 3" xfId="16416"/>
    <cellStyle name="40% - Accent5 6 3 3 2" xfId="32637"/>
    <cellStyle name="40% - Accent5 6 3 4" xfId="18514"/>
    <cellStyle name="40% - Accent5 6 3 4 2" xfId="34735"/>
    <cellStyle name="40% - Accent5 6 3 5" xfId="28053"/>
    <cellStyle name="40% - Accent5 6 4" xfId="10647"/>
    <cellStyle name="40% - Accent5 6 4 2" xfId="20268"/>
    <cellStyle name="40% - Accent5 6 4 2 2" xfId="36489"/>
    <cellStyle name="40% - Accent5 6 4 3" xfId="29801"/>
    <cellStyle name="40% - Accent5 6 5" xfId="14831"/>
    <cellStyle name="40% - Accent5 6 5 2" xfId="31053"/>
    <cellStyle name="40% - Accent5 6 6" xfId="18511"/>
    <cellStyle name="40% - Accent5 6 6 2" xfId="34732"/>
    <cellStyle name="40% - Accent5 6 7" xfId="28050"/>
    <cellStyle name="40% - Accent5 6 8" xfId="39085"/>
    <cellStyle name="40% - Accent5 7" xfId="6751"/>
    <cellStyle name="40% - Accent5 7 2" xfId="6752"/>
    <cellStyle name="40% - Accent5 7 2 2" xfId="10652"/>
    <cellStyle name="40% - Accent5 7 2 2 2" xfId="20273"/>
    <cellStyle name="40% - Accent5 7 2 2 2 2" xfId="36494"/>
    <cellStyle name="40% - Accent5 7 2 2 3" xfId="29806"/>
    <cellStyle name="40% - Accent5 7 2 3" xfId="16680"/>
    <cellStyle name="40% - Accent5 7 2 3 2" xfId="32901"/>
    <cellStyle name="40% - Accent5 7 2 4" xfId="18516"/>
    <cellStyle name="40% - Accent5 7 2 4 2" xfId="34737"/>
    <cellStyle name="40% - Accent5 7 2 5" xfId="28055"/>
    <cellStyle name="40% - Accent5 7 3" xfId="10651"/>
    <cellStyle name="40% - Accent5 7 3 2" xfId="20272"/>
    <cellStyle name="40% - Accent5 7 3 2 2" xfId="36493"/>
    <cellStyle name="40% - Accent5 7 3 3" xfId="29805"/>
    <cellStyle name="40% - Accent5 7 4" xfId="15095"/>
    <cellStyle name="40% - Accent5 7 4 2" xfId="31317"/>
    <cellStyle name="40% - Accent5 7 5" xfId="18515"/>
    <cellStyle name="40% - Accent5 7 5 2" xfId="34736"/>
    <cellStyle name="40% - Accent5 7 6" xfId="28054"/>
    <cellStyle name="40% - Accent5 7 7" xfId="39233"/>
    <cellStyle name="40% - Accent5 8" xfId="6753"/>
    <cellStyle name="40% - Accent5 8 2" xfId="10653"/>
    <cellStyle name="40% - Accent5 8 2 2" xfId="20274"/>
    <cellStyle name="40% - Accent5 8 2 2 2" xfId="36495"/>
    <cellStyle name="40% - Accent5 8 2 3" xfId="29807"/>
    <cellStyle name="40% - Accent5 8 3" xfId="15888"/>
    <cellStyle name="40% - Accent5 8 3 2" xfId="32109"/>
    <cellStyle name="40% - Accent5 8 4" xfId="18517"/>
    <cellStyle name="40% - Accent5 8 4 2" xfId="34738"/>
    <cellStyle name="40% - Accent5 8 5" xfId="28056"/>
    <cellStyle name="40% - Accent5 8 6" xfId="39382"/>
    <cellStyle name="40% - Accent5 9" xfId="10558"/>
    <cellStyle name="40% - Accent5 9 2" xfId="20179"/>
    <cellStyle name="40% - Accent5 9 2 2" xfId="36400"/>
    <cellStyle name="40% - Accent5 9 3" xfId="29712"/>
    <cellStyle name="40% - Accent6" xfId="47" builtinId="51" customBuiltin="1"/>
    <cellStyle name="40% - Accent6 10" xfId="14235"/>
    <cellStyle name="40% - Accent6 10 2" xfId="30522"/>
    <cellStyle name="40% - Accent6 11" xfId="18518"/>
    <cellStyle name="40% - Accent6 11 2" xfId="34739"/>
    <cellStyle name="40% - Accent6 12" xfId="26994"/>
    <cellStyle name="40% - Accent6 13" xfId="38913"/>
    <cellStyle name="40% - Accent6 14" xfId="4851"/>
    <cellStyle name="40% - Accent6 2" xfId="4877"/>
    <cellStyle name="40% - Accent6 2 10" xfId="18519"/>
    <cellStyle name="40% - Accent6 2 10 2" xfId="34740"/>
    <cellStyle name="40% - Accent6 2 11" xfId="27013"/>
    <cellStyle name="40% - Accent6 2 12" xfId="38779"/>
    <cellStyle name="40% - Accent6 2 2" xfId="6754"/>
    <cellStyle name="40% - Accent6 2 2 10" xfId="28057"/>
    <cellStyle name="40% - Accent6 2 2 11" xfId="38971"/>
    <cellStyle name="40% - Accent6 2 2 2" xfId="6755"/>
    <cellStyle name="40% - Accent6 2 2 2 10" xfId="39161"/>
    <cellStyle name="40% - Accent6 2 2 2 2" xfId="6756"/>
    <cellStyle name="40% - Accent6 2 2 2 2 2" xfId="6757"/>
    <cellStyle name="40% - Accent6 2 2 2 2 2 2" xfId="6758"/>
    <cellStyle name="40% - Accent6 2 2 2 2 2 2 2" xfId="10660"/>
    <cellStyle name="40% - Accent6 2 2 2 2 2 2 2 2" xfId="20281"/>
    <cellStyle name="40% - Accent6 2 2 2 2 2 2 2 2 2" xfId="36502"/>
    <cellStyle name="40% - Accent6 2 2 2 2 2 2 2 3" xfId="29814"/>
    <cellStyle name="40% - Accent6 2 2 2 2 2 2 3" xfId="17176"/>
    <cellStyle name="40% - Accent6 2 2 2 2 2 2 3 2" xfId="33397"/>
    <cellStyle name="40% - Accent6 2 2 2 2 2 2 4" xfId="18524"/>
    <cellStyle name="40% - Accent6 2 2 2 2 2 2 4 2" xfId="34745"/>
    <cellStyle name="40% - Accent6 2 2 2 2 2 2 5" xfId="28061"/>
    <cellStyle name="40% - Accent6 2 2 2 2 2 3" xfId="10659"/>
    <cellStyle name="40% - Accent6 2 2 2 2 2 3 2" xfId="20280"/>
    <cellStyle name="40% - Accent6 2 2 2 2 2 3 2 2" xfId="36501"/>
    <cellStyle name="40% - Accent6 2 2 2 2 2 3 3" xfId="29813"/>
    <cellStyle name="40% - Accent6 2 2 2 2 2 4" xfId="15591"/>
    <cellStyle name="40% - Accent6 2 2 2 2 2 4 2" xfId="31813"/>
    <cellStyle name="40% - Accent6 2 2 2 2 2 5" xfId="18523"/>
    <cellStyle name="40% - Accent6 2 2 2 2 2 5 2" xfId="34744"/>
    <cellStyle name="40% - Accent6 2 2 2 2 2 6" xfId="28060"/>
    <cellStyle name="40% - Accent6 2 2 2 2 3" xfId="6759"/>
    <cellStyle name="40% - Accent6 2 2 2 2 3 2" xfId="10661"/>
    <cellStyle name="40% - Accent6 2 2 2 2 3 2 2" xfId="20282"/>
    <cellStyle name="40% - Accent6 2 2 2 2 3 2 2 2" xfId="36503"/>
    <cellStyle name="40% - Accent6 2 2 2 2 3 2 3" xfId="29815"/>
    <cellStyle name="40% - Accent6 2 2 2 2 3 3" xfId="16384"/>
    <cellStyle name="40% - Accent6 2 2 2 2 3 3 2" xfId="32605"/>
    <cellStyle name="40% - Accent6 2 2 2 2 3 4" xfId="18525"/>
    <cellStyle name="40% - Accent6 2 2 2 2 3 4 2" xfId="34746"/>
    <cellStyle name="40% - Accent6 2 2 2 2 3 5" xfId="28062"/>
    <cellStyle name="40% - Accent6 2 2 2 2 4" xfId="10658"/>
    <cellStyle name="40% - Accent6 2 2 2 2 4 2" xfId="20279"/>
    <cellStyle name="40% - Accent6 2 2 2 2 4 2 2" xfId="36500"/>
    <cellStyle name="40% - Accent6 2 2 2 2 4 3" xfId="29812"/>
    <cellStyle name="40% - Accent6 2 2 2 2 5" xfId="14799"/>
    <cellStyle name="40% - Accent6 2 2 2 2 5 2" xfId="31021"/>
    <cellStyle name="40% - Accent6 2 2 2 2 6" xfId="18522"/>
    <cellStyle name="40% - Accent6 2 2 2 2 6 2" xfId="34743"/>
    <cellStyle name="40% - Accent6 2 2 2 2 7" xfId="28059"/>
    <cellStyle name="40% - Accent6 2 2 2 3" xfId="6760"/>
    <cellStyle name="40% - Accent6 2 2 2 3 2" xfId="6761"/>
    <cellStyle name="40% - Accent6 2 2 2 3 2 2" xfId="6762"/>
    <cellStyle name="40% - Accent6 2 2 2 3 2 2 2" xfId="10664"/>
    <cellStyle name="40% - Accent6 2 2 2 3 2 2 2 2" xfId="20285"/>
    <cellStyle name="40% - Accent6 2 2 2 3 2 2 2 2 2" xfId="36506"/>
    <cellStyle name="40% - Accent6 2 2 2 3 2 2 2 3" xfId="29818"/>
    <cellStyle name="40% - Accent6 2 2 2 3 2 2 3" xfId="17440"/>
    <cellStyle name="40% - Accent6 2 2 2 3 2 2 3 2" xfId="33661"/>
    <cellStyle name="40% - Accent6 2 2 2 3 2 2 4" xfId="18528"/>
    <cellStyle name="40% - Accent6 2 2 2 3 2 2 4 2" xfId="34749"/>
    <cellStyle name="40% - Accent6 2 2 2 3 2 2 5" xfId="28065"/>
    <cellStyle name="40% - Accent6 2 2 2 3 2 3" xfId="10663"/>
    <cellStyle name="40% - Accent6 2 2 2 3 2 3 2" xfId="20284"/>
    <cellStyle name="40% - Accent6 2 2 2 3 2 3 2 2" xfId="36505"/>
    <cellStyle name="40% - Accent6 2 2 2 3 2 3 3" xfId="29817"/>
    <cellStyle name="40% - Accent6 2 2 2 3 2 4" xfId="15855"/>
    <cellStyle name="40% - Accent6 2 2 2 3 2 4 2" xfId="32077"/>
    <cellStyle name="40% - Accent6 2 2 2 3 2 5" xfId="18527"/>
    <cellStyle name="40% - Accent6 2 2 2 3 2 5 2" xfId="34748"/>
    <cellStyle name="40% - Accent6 2 2 2 3 2 6" xfId="28064"/>
    <cellStyle name="40% - Accent6 2 2 2 3 3" xfId="6763"/>
    <cellStyle name="40% - Accent6 2 2 2 3 3 2" xfId="10665"/>
    <cellStyle name="40% - Accent6 2 2 2 3 3 2 2" xfId="20286"/>
    <cellStyle name="40% - Accent6 2 2 2 3 3 2 2 2" xfId="36507"/>
    <cellStyle name="40% - Accent6 2 2 2 3 3 2 3" xfId="29819"/>
    <cellStyle name="40% - Accent6 2 2 2 3 3 3" xfId="16648"/>
    <cellStyle name="40% - Accent6 2 2 2 3 3 3 2" xfId="32869"/>
    <cellStyle name="40% - Accent6 2 2 2 3 3 4" xfId="18529"/>
    <cellStyle name="40% - Accent6 2 2 2 3 3 4 2" xfId="34750"/>
    <cellStyle name="40% - Accent6 2 2 2 3 3 5" xfId="28066"/>
    <cellStyle name="40% - Accent6 2 2 2 3 4" xfId="10662"/>
    <cellStyle name="40% - Accent6 2 2 2 3 4 2" xfId="20283"/>
    <cellStyle name="40% - Accent6 2 2 2 3 4 2 2" xfId="36504"/>
    <cellStyle name="40% - Accent6 2 2 2 3 4 3" xfId="29816"/>
    <cellStyle name="40% - Accent6 2 2 2 3 5" xfId="15063"/>
    <cellStyle name="40% - Accent6 2 2 2 3 5 2" xfId="31285"/>
    <cellStyle name="40% - Accent6 2 2 2 3 6" xfId="18526"/>
    <cellStyle name="40% - Accent6 2 2 2 3 6 2" xfId="34747"/>
    <cellStyle name="40% - Accent6 2 2 2 3 7" xfId="28063"/>
    <cellStyle name="40% - Accent6 2 2 2 4" xfId="6764"/>
    <cellStyle name="40% - Accent6 2 2 2 4 2" xfId="6765"/>
    <cellStyle name="40% - Accent6 2 2 2 4 2 2" xfId="10667"/>
    <cellStyle name="40% - Accent6 2 2 2 4 2 2 2" xfId="20288"/>
    <cellStyle name="40% - Accent6 2 2 2 4 2 2 2 2" xfId="36509"/>
    <cellStyle name="40% - Accent6 2 2 2 4 2 2 3" xfId="29821"/>
    <cellStyle name="40% - Accent6 2 2 2 4 2 3" xfId="16912"/>
    <cellStyle name="40% - Accent6 2 2 2 4 2 3 2" xfId="33133"/>
    <cellStyle name="40% - Accent6 2 2 2 4 2 4" xfId="18531"/>
    <cellStyle name="40% - Accent6 2 2 2 4 2 4 2" xfId="34752"/>
    <cellStyle name="40% - Accent6 2 2 2 4 2 5" xfId="28068"/>
    <cellStyle name="40% - Accent6 2 2 2 4 3" xfId="10666"/>
    <cellStyle name="40% - Accent6 2 2 2 4 3 2" xfId="20287"/>
    <cellStyle name="40% - Accent6 2 2 2 4 3 2 2" xfId="36508"/>
    <cellStyle name="40% - Accent6 2 2 2 4 3 3" xfId="29820"/>
    <cellStyle name="40% - Accent6 2 2 2 4 4" xfId="15327"/>
    <cellStyle name="40% - Accent6 2 2 2 4 4 2" xfId="31549"/>
    <cellStyle name="40% - Accent6 2 2 2 4 5" xfId="18530"/>
    <cellStyle name="40% - Accent6 2 2 2 4 5 2" xfId="34751"/>
    <cellStyle name="40% - Accent6 2 2 2 4 6" xfId="28067"/>
    <cellStyle name="40% - Accent6 2 2 2 5" xfId="6766"/>
    <cellStyle name="40% - Accent6 2 2 2 5 2" xfId="10668"/>
    <cellStyle name="40% - Accent6 2 2 2 5 2 2" xfId="20289"/>
    <cellStyle name="40% - Accent6 2 2 2 5 2 2 2" xfId="36510"/>
    <cellStyle name="40% - Accent6 2 2 2 5 2 3" xfId="29822"/>
    <cellStyle name="40% - Accent6 2 2 2 5 3" xfId="16120"/>
    <cellStyle name="40% - Accent6 2 2 2 5 3 2" xfId="32341"/>
    <cellStyle name="40% - Accent6 2 2 2 5 4" xfId="18532"/>
    <cellStyle name="40% - Accent6 2 2 2 5 4 2" xfId="34753"/>
    <cellStyle name="40% - Accent6 2 2 2 5 5" xfId="28069"/>
    <cellStyle name="40% - Accent6 2 2 2 6" xfId="10657"/>
    <cellStyle name="40% - Accent6 2 2 2 6 2" xfId="20278"/>
    <cellStyle name="40% - Accent6 2 2 2 6 2 2" xfId="36499"/>
    <cellStyle name="40% - Accent6 2 2 2 6 3" xfId="29811"/>
    <cellStyle name="40% - Accent6 2 2 2 7" xfId="14535"/>
    <cellStyle name="40% - Accent6 2 2 2 7 2" xfId="30757"/>
    <cellStyle name="40% - Accent6 2 2 2 8" xfId="18521"/>
    <cellStyle name="40% - Accent6 2 2 2 8 2" xfId="34742"/>
    <cellStyle name="40% - Accent6 2 2 2 9" xfId="28058"/>
    <cellStyle name="40% - Accent6 2 2 3" xfId="6767"/>
    <cellStyle name="40% - Accent6 2 2 3 2" xfId="6768"/>
    <cellStyle name="40% - Accent6 2 2 3 2 2" xfId="6769"/>
    <cellStyle name="40% - Accent6 2 2 3 2 2 2" xfId="10671"/>
    <cellStyle name="40% - Accent6 2 2 3 2 2 2 2" xfId="20292"/>
    <cellStyle name="40% - Accent6 2 2 3 2 2 2 2 2" xfId="36513"/>
    <cellStyle name="40% - Accent6 2 2 3 2 2 2 3" xfId="29825"/>
    <cellStyle name="40% - Accent6 2 2 3 2 2 3" xfId="17044"/>
    <cellStyle name="40% - Accent6 2 2 3 2 2 3 2" xfId="33265"/>
    <cellStyle name="40% - Accent6 2 2 3 2 2 4" xfId="18535"/>
    <cellStyle name="40% - Accent6 2 2 3 2 2 4 2" xfId="34756"/>
    <cellStyle name="40% - Accent6 2 2 3 2 2 5" xfId="28072"/>
    <cellStyle name="40% - Accent6 2 2 3 2 3" xfId="10670"/>
    <cellStyle name="40% - Accent6 2 2 3 2 3 2" xfId="20291"/>
    <cellStyle name="40% - Accent6 2 2 3 2 3 2 2" xfId="36512"/>
    <cellStyle name="40% - Accent6 2 2 3 2 3 3" xfId="29824"/>
    <cellStyle name="40% - Accent6 2 2 3 2 4" xfId="15459"/>
    <cellStyle name="40% - Accent6 2 2 3 2 4 2" xfId="31681"/>
    <cellStyle name="40% - Accent6 2 2 3 2 5" xfId="18534"/>
    <cellStyle name="40% - Accent6 2 2 3 2 5 2" xfId="34755"/>
    <cellStyle name="40% - Accent6 2 2 3 2 6" xfId="28071"/>
    <cellStyle name="40% - Accent6 2 2 3 3" xfId="6770"/>
    <cellStyle name="40% - Accent6 2 2 3 3 2" xfId="10672"/>
    <cellStyle name="40% - Accent6 2 2 3 3 2 2" xfId="20293"/>
    <cellStyle name="40% - Accent6 2 2 3 3 2 2 2" xfId="36514"/>
    <cellStyle name="40% - Accent6 2 2 3 3 2 3" xfId="29826"/>
    <cellStyle name="40% - Accent6 2 2 3 3 3" xfId="16252"/>
    <cellStyle name="40% - Accent6 2 2 3 3 3 2" xfId="32473"/>
    <cellStyle name="40% - Accent6 2 2 3 3 4" xfId="18536"/>
    <cellStyle name="40% - Accent6 2 2 3 3 4 2" xfId="34757"/>
    <cellStyle name="40% - Accent6 2 2 3 3 5" xfId="28073"/>
    <cellStyle name="40% - Accent6 2 2 3 4" xfId="10669"/>
    <cellStyle name="40% - Accent6 2 2 3 4 2" xfId="20290"/>
    <cellStyle name="40% - Accent6 2 2 3 4 2 2" xfId="36511"/>
    <cellStyle name="40% - Accent6 2 2 3 4 3" xfId="29823"/>
    <cellStyle name="40% - Accent6 2 2 3 5" xfId="14667"/>
    <cellStyle name="40% - Accent6 2 2 3 5 2" xfId="30889"/>
    <cellStyle name="40% - Accent6 2 2 3 6" xfId="18533"/>
    <cellStyle name="40% - Accent6 2 2 3 6 2" xfId="34754"/>
    <cellStyle name="40% - Accent6 2 2 3 7" xfId="28070"/>
    <cellStyle name="40% - Accent6 2 2 3 8" xfId="39309"/>
    <cellStyle name="40% - Accent6 2 2 4" xfId="6771"/>
    <cellStyle name="40% - Accent6 2 2 4 2" xfId="6772"/>
    <cellStyle name="40% - Accent6 2 2 4 2 2" xfId="6773"/>
    <cellStyle name="40% - Accent6 2 2 4 2 2 2" xfId="10675"/>
    <cellStyle name="40% - Accent6 2 2 4 2 2 2 2" xfId="20296"/>
    <cellStyle name="40% - Accent6 2 2 4 2 2 2 2 2" xfId="36517"/>
    <cellStyle name="40% - Accent6 2 2 4 2 2 2 3" xfId="29829"/>
    <cellStyle name="40% - Accent6 2 2 4 2 2 3" xfId="17308"/>
    <cellStyle name="40% - Accent6 2 2 4 2 2 3 2" xfId="33529"/>
    <cellStyle name="40% - Accent6 2 2 4 2 2 4" xfId="18539"/>
    <cellStyle name="40% - Accent6 2 2 4 2 2 4 2" xfId="34760"/>
    <cellStyle name="40% - Accent6 2 2 4 2 2 5" xfId="28076"/>
    <cellStyle name="40% - Accent6 2 2 4 2 3" xfId="10674"/>
    <cellStyle name="40% - Accent6 2 2 4 2 3 2" xfId="20295"/>
    <cellStyle name="40% - Accent6 2 2 4 2 3 2 2" xfId="36516"/>
    <cellStyle name="40% - Accent6 2 2 4 2 3 3" xfId="29828"/>
    <cellStyle name="40% - Accent6 2 2 4 2 4" xfId="15723"/>
    <cellStyle name="40% - Accent6 2 2 4 2 4 2" xfId="31945"/>
    <cellStyle name="40% - Accent6 2 2 4 2 5" xfId="18538"/>
    <cellStyle name="40% - Accent6 2 2 4 2 5 2" xfId="34759"/>
    <cellStyle name="40% - Accent6 2 2 4 2 6" xfId="28075"/>
    <cellStyle name="40% - Accent6 2 2 4 3" xfId="6774"/>
    <cellStyle name="40% - Accent6 2 2 4 3 2" xfId="10676"/>
    <cellStyle name="40% - Accent6 2 2 4 3 2 2" xfId="20297"/>
    <cellStyle name="40% - Accent6 2 2 4 3 2 2 2" xfId="36518"/>
    <cellStyle name="40% - Accent6 2 2 4 3 2 3" xfId="29830"/>
    <cellStyle name="40% - Accent6 2 2 4 3 3" xfId="16516"/>
    <cellStyle name="40% - Accent6 2 2 4 3 3 2" xfId="32737"/>
    <cellStyle name="40% - Accent6 2 2 4 3 4" xfId="18540"/>
    <cellStyle name="40% - Accent6 2 2 4 3 4 2" xfId="34761"/>
    <cellStyle name="40% - Accent6 2 2 4 3 5" xfId="28077"/>
    <cellStyle name="40% - Accent6 2 2 4 4" xfId="10673"/>
    <cellStyle name="40% - Accent6 2 2 4 4 2" xfId="20294"/>
    <cellStyle name="40% - Accent6 2 2 4 4 2 2" xfId="36515"/>
    <cellStyle name="40% - Accent6 2 2 4 4 3" xfId="29827"/>
    <cellStyle name="40% - Accent6 2 2 4 5" xfId="14931"/>
    <cellStyle name="40% - Accent6 2 2 4 5 2" xfId="31153"/>
    <cellStyle name="40% - Accent6 2 2 4 6" xfId="18537"/>
    <cellStyle name="40% - Accent6 2 2 4 6 2" xfId="34758"/>
    <cellStyle name="40% - Accent6 2 2 4 7" xfId="28074"/>
    <cellStyle name="40% - Accent6 2 2 4 8" xfId="39458"/>
    <cellStyle name="40% - Accent6 2 2 5" xfId="6775"/>
    <cellStyle name="40% - Accent6 2 2 5 2" xfId="6776"/>
    <cellStyle name="40% - Accent6 2 2 5 2 2" xfId="10678"/>
    <cellStyle name="40% - Accent6 2 2 5 2 2 2" xfId="20299"/>
    <cellStyle name="40% - Accent6 2 2 5 2 2 2 2" xfId="36520"/>
    <cellStyle name="40% - Accent6 2 2 5 2 2 3" xfId="29832"/>
    <cellStyle name="40% - Accent6 2 2 5 2 3" xfId="16780"/>
    <cellStyle name="40% - Accent6 2 2 5 2 3 2" xfId="33001"/>
    <cellStyle name="40% - Accent6 2 2 5 2 4" xfId="18542"/>
    <cellStyle name="40% - Accent6 2 2 5 2 4 2" xfId="34763"/>
    <cellStyle name="40% - Accent6 2 2 5 2 5" xfId="28079"/>
    <cellStyle name="40% - Accent6 2 2 5 3" xfId="10677"/>
    <cellStyle name="40% - Accent6 2 2 5 3 2" xfId="20298"/>
    <cellStyle name="40% - Accent6 2 2 5 3 2 2" xfId="36519"/>
    <cellStyle name="40% - Accent6 2 2 5 3 3" xfId="29831"/>
    <cellStyle name="40% - Accent6 2 2 5 4" xfId="15195"/>
    <cellStyle name="40% - Accent6 2 2 5 4 2" xfId="31417"/>
    <cellStyle name="40% - Accent6 2 2 5 5" xfId="18541"/>
    <cellStyle name="40% - Accent6 2 2 5 5 2" xfId="34762"/>
    <cellStyle name="40% - Accent6 2 2 5 6" xfId="28078"/>
    <cellStyle name="40% - Accent6 2 2 6" xfId="6777"/>
    <cellStyle name="40% - Accent6 2 2 6 2" xfId="10679"/>
    <cellStyle name="40% - Accent6 2 2 6 2 2" xfId="20300"/>
    <cellStyle name="40% - Accent6 2 2 6 2 2 2" xfId="36521"/>
    <cellStyle name="40% - Accent6 2 2 6 2 3" xfId="29833"/>
    <cellStyle name="40% - Accent6 2 2 6 3" xfId="15988"/>
    <cellStyle name="40% - Accent6 2 2 6 3 2" xfId="32209"/>
    <cellStyle name="40% - Accent6 2 2 6 4" xfId="18543"/>
    <cellStyle name="40% - Accent6 2 2 6 4 2" xfId="34764"/>
    <cellStyle name="40% - Accent6 2 2 6 5" xfId="28080"/>
    <cellStyle name="40% - Accent6 2 2 7" xfId="10656"/>
    <cellStyle name="40% - Accent6 2 2 7 2" xfId="20277"/>
    <cellStyle name="40% - Accent6 2 2 7 2 2" xfId="36498"/>
    <cellStyle name="40% - Accent6 2 2 7 3" xfId="29810"/>
    <cellStyle name="40% - Accent6 2 2 8" xfId="14403"/>
    <cellStyle name="40% - Accent6 2 2 8 2" xfId="30625"/>
    <cellStyle name="40% - Accent6 2 2 9" xfId="18520"/>
    <cellStyle name="40% - Accent6 2 2 9 2" xfId="34741"/>
    <cellStyle name="40% - Accent6 2 3" xfId="6778"/>
    <cellStyle name="40% - Accent6 2 3 10" xfId="39105"/>
    <cellStyle name="40% - Accent6 2 3 2" xfId="6779"/>
    <cellStyle name="40% - Accent6 2 3 2 2" xfId="6780"/>
    <cellStyle name="40% - Accent6 2 3 2 2 2" xfId="6781"/>
    <cellStyle name="40% - Accent6 2 3 2 2 2 2" xfId="10683"/>
    <cellStyle name="40% - Accent6 2 3 2 2 2 2 2" xfId="20304"/>
    <cellStyle name="40% - Accent6 2 3 2 2 2 2 2 2" xfId="36525"/>
    <cellStyle name="40% - Accent6 2 3 2 2 2 2 3" xfId="29837"/>
    <cellStyle name="40% - Accent6 2 3 2 2 2 3" xfId="17110"/>
    <cellStyle name="40% - Accent6 2 3 2 2 2 3 2" xfId="33331"/>
    <cellStyle name="40% - Accent6 2 3 2 2 2 4" xfId="18547"/>
    <cellStyle name="40% - Accent6 2 3 2 2 2 4 2" xfId="34768"/>
    <cellStyle name="40% - Accent6 2 3 2 2 2 5" xfId="28084"/>
    <cellStyle name="40% - Accent6 2 3 2 2 3" xfId="10682"/>
    <cellStyle name="40% - Accent6 2 3 2 2 3 2" xfId="20303"/>
    <cellStyle name="40% - Accent6 2 3 2 2 3 2 2" xfId="36524"/>
    <cellStyle name="40% - Accent6 2 3 2 2 3 3" xfId="29836"/>
    <cellStyle name="40% - Accent6 2 3 2 2 4" xfId="15525"/>
    <cellStyle name="40% - Accent6 2 3 2 2 4 2" xfId="31747"/>
    <cellStyle name="40% - Accent6 2 3 2 2 5" xfId="18546"/>
    <cellStyle name="40% - Accent6 2 3 2 2 5 2" xfId="34767"/>
    <cellStyle name="40% - Accent6 2 3 2 2 6" xfId="28083"/>
    <cellStyle name="40% - Accent6 2 3 2 3" xfId="6782"/>
    <cellStyle name="40% - Accent6 2 3 2 3 2" xfId="10684"/>
    <cellStyle name="40% - Accent6 2 3 2 3 2 2" xfId="20305"/>
    <cellStyle name="40% - Accent6 2 3 2 3 2 2 2" xfId="36526"/>
    <cellStyle name="40% - Accent6 2 3 2 3 2 3" xfId="29838"/>
    <cellStyle name="40% - Accent6 2 3 2 3 3" xfId="16318"/>
    <cellStyle name="40% - Accent6 2 3 2 3 3 2" xfId="32539"/>
    <cellStyle name="40% - Accent6 2 3 2 3 4" xfId="18548"/>
    <cellStyle name="40% - Accent6 2 3 2 3 4 2" xfId="34769"/>
    <cellStyle name="40% - Accent6 2 3 2 3 5" xfId="28085"/>
    <cellStyle name="40% - Accent6 2 3 2 4" xfId="10681"/>
    <cellStyle name="40% - Accent6 2 3 2 4 2" xfId="20302"/>
    <cellStyle name="40% - Accent6 2 3 2 4 2 2" xfId="36523"/>
    <cellStyle name="40% - Accent6 2 3 2 4 3" xfId="29835"/>
    <cellStyle name="40% - Accent6 2 3 2 5" xfId="14733"/>
    <cellStyle name="40% - Accent6 2 3 2 5 2" xfId="30955"/>
    <cellStyle name="40% - Accent6 2 3 2 6" xfId="18545"/>
    <cellStyle name="40% - Accent6 2 3 2 6 2" xfId="34766"/>
    <cellStyle name="40% - Accent6 2 3 2 7" xfId="28082"/>
    <cellStyle name="40% - Accent6 2 3 3" xfId="6783"/>
    <cellStyle name="40% - Accent6 2 3 3 2" xfId="6784"/>
    <cellStyle name="40% - Accent6 2 3 3 2 2" xfId="6785"/>
    <cellStyle name="40% - Accent6 2 3 3 2 2 2" xfId="10687"/>
    <cellStyle name="40% - Accent6 2 3 3 2 2 2 2" xfId="20308"/>
    <cellStyle name="40% - Accent6 2 3 3 2 2 2 2 2" xfId="36529"/>
    <cellStyle name="40% - Accent6 2 3 3 2 2 2 3" xfId="29841"/>
    <cellStyle name="40% - Accent6 2 3 3 2 2 3" xfId="17374"/>
    <cellStyle name="40% - Accent6 2 3 3 2 2 3 2" xfId="33595"/>
    <cellStyle name="40% - Accent6 2 3 3 2 2 4" xfId="18551"/>
    <cellStyle name="40% - Accent6 2 3 3 2 2 4 2" xfId="34772"/>
    <cellStyle name="40% - Accent6 2 3 3 2 2 5" xfId="28088"/>
    <cellStyle name="40% - Accent6 2 3 3 2 3" xfId="10686"/>
    <cellStyle name="40% - Accent6 2 3 3 2 3 2" xfId="20307"/>
    <cellStyle name="40% - Accent6 2 3 3 2 3 2 2" xfId="36528"/>
    <cellStyle name="40% - Accent6 2 3 3 2 3 3" xfId="29840"/>
    <cellStyle name="40% - Accent6 2 3 3 2 4" xfId="15789"/>
    <cellStyle name="40% - Accent6 2 3 3 2 4 2" xfId="32011"/>
    <cellStyle name="40% - Accent6 2 3 3 2 5" xfId="18550"/>
    <cellStyle name="40% - Accent6 2 3 3 2 5 2" xfId="34771"/>
    <cellStyle name="40% - Accent6 2 3 3 2 6" xfId="28087"/>
    <cellStyle name="40% - Accent6 2 3 3 3" xfId="6786"/>
    <cellStyle name="40% - Accent6 2 3 3 3 2" xfId="10688"/>
    <cellStyle name="40% - Accent6 2 3 3 3 2 2" xfId="20309"/>
    <cellStyle name="40% - Accent6 2 3 3 3 2 2 2" xfId="36530"/>
    <cellStyle name="40% - Accent6 2 3 3 3 2 3" xfId="29842"/>
    <cellStyle name="40% - Accent6 2 3 3 3 3" xfId="16582"/>
    <cellStyle name="40% - Accent6 2 3 3 3 3 2" xfId="32803"/>
    <cellStyle name="40% - Accent6 2 3 3 3 4" xfId="18552"/>
    <cellStyle name="40% - Accent6 2 3 3 3 4 2" xfId="34773"/>
    <cellStyle name="40% - Accent6 2 3 3 3 5" xfId="28089"/>
    <cellStyle name="40% - Accent6 2 3 3 4" xfId="10685"/>
    <cellStyle name="40% - Accent6 2 3 3 4 2" xfId="20306"/>
    <cellStyle name="40% - Accent6 2 3 3 4 2 2" xfId="36527"/>
    <cellStyle name="40% - Accent6 2 3 3 4 3" xfId="29839"/>
    <cellStyle name="40% - Accent6 2 3 3 5" xfId="14997"/>
    <cellStyle name="40% - Accent6 2 3 3 5 2" xfId="31219"/>
    <cellStyle name="40% - Accent6 2 3 3 6" xfId="18549"/>
    <cellStyle name="40% - Accent6 2 3 3 6 2" xfId="34770"/>
    <cellStyle name="40% - Accent6 2 3 3 7" xfId="28086"/>
    <cellStyle name="40% - Accent6 2 3 4" xfId="6787"/>
    <cellStyle name="40% - Accent6 2 3 4 2" xfId="6788"/>
    <cellStyle name="40% - Accent6 2 3 4 2 2" xfId="10690"/>
    <cellStyle name="40% - Accent6 2 3 4 2 2 2" xfId="20311"/>
    <cellStyle name="40% - Accent6 2 3 4 2 2 2 2" xfId="36532"/>
    <cellStyle name="40% - Accent6 2 3 4 2 2 3" xfId="29844"/>
    <cellStyle name="40% - Accent6 2 3 4 2 3" xfId="16846"/>
    <cellStyle name="40% - Accent6 2 3 4 2 3 2" xfId="33067"/>
    <cellStyle name="40% - Accent6 2 3 4 2 4" xfId="18554"/>
    <cellStyle name="40% - Accent6 2 3 4 2 4 2" xfId="34775"/>
    <cellStyle name="40% - Accent6 2 3 4 2 5" xfId="28091"/>
    <cellStyle name="40% - Accent6 2 3 4 3" xfId="10689"/>
    <cellStyle name="40% - Accent6 2 3 4 3 2" xfId="20310"/>
    <cellStyle name="40% - Accent6 2 3 4 3 2 2" xfId="36531"/>
    <cellStyle name="40% - Accent6 2 3 4 3 3" xfId="29843"/>
    <cellStyle name="40% - Accent6 2 3 4 4" xfId="15261"/>
    <cellStyle name="40% - Accent6 2 3 4 4 2" xfId="31483"/>
    <cellStyle name="40% - Accent6 2 3 4 5" xfId="18553"/>
    <cellStyle name="40% - Accent6 2 3 4 5 2" xfId="34774"/>
    <cellStyle name="40% - Accent6 2 3 4 6" xfId="28090"/>
    <cellStyle name="40% - Accent6 2 3 5" xfId="6789"/>
    <cellStyle name="40% - Accent6 2 3 5 2" xfId="10691"/>
    <cellStyle name="40% - Accent6 2 3 5 2 2" xfId="20312"/>
    <cellStyle name="40% - Accent6 2 3 5 2 2 2" xfId="36533"/>
    <cellStyle name="40% - Accent6 2 3 5 2 3" xfId="29845"/>
    <cellStyle name="40% - Accent6 2 3 5 3" xfId="16054"/>
    <cellStyle name="40% - Accent6 2 3 5 3 2" xfId="32275"/>
    <cellStyle name="40% - Accent6 2 3 5 4" xfId="18555"/>
    <cellStyle name="40% - Accent6 2 3 5 4 2" xfId="34776"/>
    <cellStyle name="40% - Accent6 2 3 5 5" xfId="28092"/>
    <cellStyle name="40% - Accent6 2 3 6" xfId="10680"/>
    <cellStyle name="40% - Accent6 2 3 6 2" xfId="20301"/>
    <cellStyle name="40% - Accent6 2 3 6 2 2" xfId="36522"/>
    <cellStyle name="40% - Accent6 2 3 6 3" xfId="29834"/>
    <cellStyle name="40% - Accent6 2 3 7" xfId="14469"/>
    <cellStyle name="40% - Accent6 2 3 7 2" xfId="30691"/>
    <cellStyle name="40% - Accent6 2 3 8" xfId="18544"/>
    <cellStyle name="40% - Accent6 2 3 8 2" xfId="34765"/>
    <cellStyle name="40% - Accent6 2 3 9" xfId="28081"/>
    <cellStyle name="40% - Accent6 2 4" xfId="6790"/>
    <cellStyle name="40% - Accent6 2 4 2" xfId="6791"/>
    <cellStyle name="40% - Accent6 2 4 2 2" xfId="6792"/>
    <cellStyle name="40% - Accent6 2 4 2 2 2" xfId="10694"/>
    <cellStyle name="40% - Accent6 2 4 2 2 2 2" xfId="20315"/>
    <cellStyle name="40% - Accent6 2 4 2 2 2 2 2" xfId="36536"/>
    <cellStyle name="40% - Accent6 2 4 2 2 2 3" xfId="29848"/>
    <cellStyle name="40% - Accent6 2 4 2 2 3" xfId="16978"/>
    <cellStyle name="40% - Accent6 2 4 2 2 3 2" xfId="33199"/>
    <cellStyle name="40% - Accent6 2 4 2 2 4" xfId="18558"/>
    <cellStyle name="40% - Accent6 2 4 2 2 4 2" xfId="34779"/>
    <cellStyle name="40% - Accent6 2 4 2 2 5" xfId="28095"/>
    <cellStyle name="40% - Accent6 2 4 2 3" xfId="10693"/>
    <cellStyle name="40% - Accent6 2 4 2 3 2" xfId="20314"/>
    <cellStyle name="40% - Accent6 2 4 2 3 2 2" xfId="36535"/>
    <cellStyle name="40% - Accent6 2 4 2 3 3" xfId="29847"/>
    <cellStyle name="40% - Accent6 2 4 2 4" xfId="15393"/>
    <cellStyle name="40% - Accent6 2 4 2 4 2" xfId="31615"/>
    <cellStyle name="40% - Accent6 2 4 2 5" xfId="18557"/>
    <cellStyle name="40% - Accent6 2 4 2 5 2" xfId="34778"/>
    <cellStyle name="40% - Accent6 2 4 2 6" xfId="28094"/>
    <cellStyle name="40% - Accent6 2 4 3" xfId="6793"/>
    <cellStyle name="40% - Accent6 2 4 3 2" xfId="10695"/>
    <cellStyle name="40% - Accent6 2 4 3 2 2" xfId="20316"/>
    <cellStyle name="40% - Accent6 2 4 3 2 2 2" xfId="36537"/>
    <cellStyle name="40% - Accent6 2 4 3 2 3" xfId="29849"/>
    <cellStyle name="40% - Accent6 2 4 3 3" xfId="16186"/>
    <cellStyle name="40% - Accent6 2 4 3 3 2" xfId="32407"/>
    <cellStyle name="40% - Accent6 2 4 3 4" xfId="18559"/>
    <cellStyle name="40% - Accent6 2 4 3 4 2" xfId="34780"/>
    <cellStyle name="40% - Accent6 2 4 3 5" xfId="28096"/>
    <cellStyle name="40% - Accent6 2 4 4" xfId="10692"/>
    <cellStyle name="40% - Accent6 2 4 4 2" xfId="20313"/>
    <cellStyle name="40% - Accent6 2 4 4 2 2" xfId="36534"/>
    <cellStyle name="40% - Accent6 2 4 4 3" xfId="29846"/>
    <cellStyle name="40% - Accent6 2 4 5" xfId="14601"/>
    <cellStyle name="40% - Accent6 2 4 5 2" xfId="30823"/>
    <cellStyle name="40% - Accent6 2 4 6" xfId="18556"/>
    <cellStyle name="40% - Accent6 2 4 6 2" xfId="34777"/>
    <cellStyle name="40% - Accent6 2 4 7" xfId="28093"/>
    <cellStyle name="40% - Accent6 2 4 8" xfId="39253"/>
    <cellStyle name="40% - Accent6 2 5" xfId="6794"/>
    <cellStyle name="40% - Accent6 2 5 2" xfId="6795"/>
    <cellStyle name="40% - Accent6 2 5 2 2" xfId="6796"/>
    <cellStyle name="40% - Accent6 2 5 2 2 2" xfId="10698"/>
    <cellStyle name="40% - Accent6 2 5 2 2 2 2" xfId="20319"/>
    <cellStyle name="40% - Accent6 2 5 2 2 2 2 2" xfId="36540"/>
    <cellStyle name="40% - Accent6 2 5 2 2 2 3" xfId="29852"/>
    <cellStyle name="40% - Accent6 2 5 2 2 3" xfId="17242"/>
    <cellStyle name="40% - Accent6 2 5 2 2 3 2" xfId="33463"/>
    <cellStyle name="40% - Accent6 2 5 2 2 4" xfId="18562"/>
    <cellStyle name="40% - Accent6 2 5 2 2 4 2" xfId="34783"/>
    <cellStyle name="40% - Accent6 2 5 2 2 5" xfId="28099"/>
    <cellStyle name="40% - Accent6 2 5 2 3" xfId="10697"/>
    <cellStyle name="40% - Accent6 2 5 2 3 2" xfId="20318"/>
    <cellStyle name="40% - Accent6 2 5 2 3 2 2" xfId="36539"/>
    <cellStyle name="40% - Accent6 2 5 2 3 3" xfId="29851"/>
    <cellStyle name="40% - Accent6 2 5 2 4" xfId="15657"/>
    <cellStyle name="40% - Accent6 2 5 2 4 2" xfId="31879"/>
    <cellStyle name="40% - Accent6 2 5 2 5" xfId="18561"/>
    <cellStyle name="40% - Accent6 2 5 2 5 2" xfId="34782"/>
    <cellStyle name="40% - Accent6 2 5 2 6" xfId="28098"/>
    <cellStyle name="40% - Accent6 2 5 3" xfId="6797"/>
    <cellStyle name="40% - Accent6 2 5 3 2" xfId="10699"/>
    <cellStyle name="40% - Accent6 2 5 3 2 2" xfId="20320"/>
    <cellStyle name="40% - Accent6 2 5 3 2 2 2" xfId="36541"/>
    <cellStyle name="40% - Accent6 2 5 3 2 3" xfId="29853"/>
    <cellStyle name="40% - Accent6 2 5 3 3" xfId="16450"/>
    <cellStyle name="40% - Accent6 2 5 3 3 2" xfId="32671"/>
    <cellStyle name="40% - Accent6 2 5 3 4" xfId="18563"/>
    <cellStyle name="40% - Accent6 2 5 3 4 2" xfId="34784"/>
    <cellStyle name="40% - Accent6 2 5 3 5" xfId="28100"/>
    <cellStyle name="40% - Accent6 2 5 4" xfId="10696"/>
    <cellStyle name="40% - Accent6 2 5 4 2" xfId="20317"/>
    <cellStyle name="40% - Accent6 2 5 4 2 2" xfId="36538"/>
    <cellStyle name="40% - Accent6 2 5 4 3" xfId="29850"/>
    <cellStyle name="40% - Accent6 2 5 5" xfId="14865"/>
    <cellStyle name="40% - Accent6 2 5 5 2" xfId="31087"/>
    <cellStyle name="40% - Accent6 2 5 6" xfId="18560"/>
    <cellStyle name="40% - Accent6 2 5 6 2" xfId="34781"/>
    <cellStyle name="40% - Accent6 2 5 7" xfId="28097"/>
    <cellStyle name="40% - Accent6 2 5 8" xfId="39402"/>
    <cellStyle name="40% - Accent6 2 6" xfId="6798"/>
    <cellStyle name="40% - Accent6 2 6 2" xfId="6799"/>
    <cellStyle name="40% - Accent6 2 6 2 2" xfId="10701"/>
    <cellStyle name="40% - Accent6 2 6 2 2 2" xfId="20322"/>
    <cellStyle name="40% - Accent6 2 6 2 2 2 2" xfId="36543"/>
    <cellStyle name="40% - Accent6 2 6 2 2 3" xfId="29855"/>
    <cellStyle name="40% - Accent6 2 6 2 3" xfId="16714"/>
    <cellStyle name="40% - Accent6 2 6 2 3 2" xfId="32935"/>
    <cellStyle name="40% - Accent6 2 6 2 4" xfId="18565"/>
    <cellStyle name="40% - Accent6 2 6 2 4 2" xfId="34786"/>
    <cellStyle name="40% - Accent6 2 6 2 5" xfId="28102"/>
    <cellStyle name="40% - Accent6 2 6 3" xfId="10700"/>
    <cellStyle name="40% - Accent6 2 6 3 2" xfId="20321"/>
    <cellStyle name="40% - Accent6 2 6 3 2 2" xfId="36542"/>
    <cellStyle name="40% - Accent6 2 6 3 3" xfId="29854"/>
    <cellStyle name="40% - Accent6 2 6 4" xfId="15129"/>
    <cellStyle name="40% - Accent6 2 6 4 2" xfId="31351"/>
    <cellStyle name="40% - Accent6 2 6 5" xfId="18564"/>
    <cellStyle name="40% - Accent6 2 6 5 2" xfId="34785"/>
    <cellStyle name="40% - Accent6 2 6 6" xfId="28101"/>
    <cellStyle name="40% - Accent6 2 7" xfId="6800"/>
    <cellStyle name="40% - Accent6 2 7 2" xfId="10702"/>
    <cellStyle name="40% - Accent6 2 7 2 2" xfId="20323"/>
    <cellStyle name="40% - Accent6 2 7 2 2 2" xfId="36544"/>
    <cellStyle name="40% - Accent6 2 7 2 3" xfId="29856"/>
    <cellStyle name="40% - Accent6 2 7 3" xfId="15922"/>
    <cellStyle name="40% - Accent6 2 7 3 2" xfId="32143"/>
    <cellStyle name="40% - Accent6 2 7 4" xfId="18566"/>
    <cellStyle name="40% - Accent6 2 7 4 2" xfId="34787"/>
    <cellStyle name="40% - Accent6 2 7 5" xfId="28103"/>
    <cellStyle name="40% - Accent6 2 8" xfId="10655"/>
    <cellStyle name="40% - Accent6 2 8 2" xfId="20276"/>
    <cellStyle name="40% - Accent6 2 8 2 2" xfId="36497"/>
    <cellStyle name="40% - Accent6 2 8 3" xfId="29809"/>
    <cellStyle name="40% - Accent6 2 9" xfId="14337"/>
    <cellStyle name="40% - Accent6 2 9 2" xfId="30559"/>
    <cellStyle name="40% - Accent6 3" xfId="6801"/>
    <cellStyle name="40% - Accent6 3 10" xfId="28104"/>
    <cellStyle name="40% - Accent6 3 11" xfId="38984"/>
    <cellStyle name="40% - Accent6 3 2" xfId="6802"/>
    <cellStyle name="40% - Accent6 3 2 10" xfId="39026"/>
    <cellStyle name="40% - Accent6 3 2 2" xfId="6803"/>
    <cellStyle name="40% - Accent6 3 2 2 2" xfId="6804"/>
    <cellStyle name="40% - Accent6 3 2 2 2 2" xfId="6805"/>
    <cellStyle name="40% - Accent6 3 2 2 2 2 2" xfId="10707"/>
    <cellStyle name="40% - Accent6 3 2 2 2 2 2 2" xfId="20328"/>
    <cellStyle name="40% - Accent6 3 2 2 2 2 2 2 2" xfId="36549"/>
    <cellStyle name="40% - Accent6 3 2 2 2 2 2 3" xfId="29861"/>
    <cellStyle name="40% - Accent6 3 2 2 2 2 3" xfId="17143"/>
    <cellStyle name="40% - Accent6 3 2 2 2 2 3 2" xfId="33364"/>
    <cellStyle name="40% - Accent6 3 2 2 2 2 4" xfId="18571"/>
    <cellStyle name="40% - Accent6 3 2 2 2 2 4 2" xfId="34792"/>
    <cellStyle name="40% - Accent6 3 2 2 2 2 5" xfId="28108"/>
    <cellStyle name="40% - Accent6 3 2 2 2 3" xfId="10706"/>
    <cellStyle name="40% - Accent6 3 2 2 2 3 2" xfId="20327"/>
    <cellStyle name="40% - Accent6 3 2 2 2 3 2 2" xfId="36548"/>
    <cellStyle name="40% - Accent6 3 2 2 2 3 3" xfId="29860"/>
    <cellStyle name="40% - Accent6 3 2 2 2 4" xfId="15558"/>
    <cellStyle name="40% - Accent6 3 2 2 2 4 2" xfId="31780"/>
    <cellStyle name="40% - Accent6 3 2 2 2 5" xfId="18570"/>
    <cellStyle name="40% - Accent6 3 2 2 2 5 2" xfId="34791"/>
    <cellStyle name="40% - Accent6 3 2 2 2 6" xfId="28107"/>
    <cellStyle name="40% - Accent6 3 2 2 3" xfId="6806"/>
    <cellStyle name="40% - Accent6 3 2 2 3 2" xfId="10708"/>
    <cellStyle name="40% - Accent6 3 2 2 3 2 2" xfId="20329"/>
    <cellStyle name="40% - Accent6 3 2 2 3 2 2 2" xfId="36550"/>
    <cellStyle name="40% - Accent6 3 2 2 3 2 3" xfId="29862"/>
    <cellStyle name="40% - Accent6 3 2 2 3 3" xfId="16351"/>
    <cellStyle name="40% - Accent6 3 2 2 3 3 2" xfId="32572"/>
    <cellStyle name="40% - Accent6 3 2 2 3 4" xfId="18572"/>
    <cellStyle name="40% - Accent6 3 2 2 3 4 2" xfId="34793"/>
    <cellStyle name="40% - Accent6 3 2 2 3 5" xfId="28109"/>
    <cellStyle name="40% - Accent6 3 2 2 4" xfId="10705"/>
    <cellStyle name="40% - Accent6 3 2 2 4 2" xfId="20326"/>
    <cellStyle name="40% - Accent6 3 2 2 4 2 2" xfId="36547"/>
    <cellStyle name="40% - Accent6 3 2 2 4 3" xfId="29859"/>
    <cellStyle name="40% - Accent6 3 2 2 5" xfId="14766"/>
    <cellStyle name="40% - Accent6 3 2 2 5 2" xfId="30988"/>
    <cellStyle name="40% - Accent6 3 2 2 6" xfId="18569"/>
    <cellStyle name="40% - Accent6 3 2 2 6 2" xfId="34790"/>
    <cellStyle name="40% - Accent6 3 2 2 7" xfId="28106"/>
    <cellStyle name="40% - Accent6 3 2 2 8" xfId="39174"/>
    <cellStyle name="40% - Accent6 3 2 3" xfId="6807"/>
    <cellStyle name="40% - Accent6 3 2 3 2" xfId="6808"/>
    <cellStyle name="40% - Accent6 3 2 3 2 2" xfId="6809"/>
    <cellStyle name="40% - Accent6 3 2 3 2 2 2" xfId="10711"/>
    <cellStyle name="40% - Accent6 3 2 3 2 2 2 2" xfId="20332"/>
    <cellStyle name="40% - Accent6 3 2 3 2 2 2 2 2" xfId="36553"/>
    <cellStyle name="40% - Accent6 3 2 3 2 2 2 3" xfId="29865"/>
    <cellStyle name="40% - Accent6 3 2 3 2 2 3" xfId="17407"/>
    <cellStyle name="40% - Accent6 3 2 3 2 2 3 2" xfId="33628"/>
    <cellStyle name="40% - Accent6 3 2 3 2 2 4" xfId="18575"/>
    <cellStyle name="40% - Accent6 3 2 3 2 2 4 2" xfId="34796"/>
    <cellStyle name="40% - Accent6 3 2 3 2 2 5" xfId="28112"/>
    <cellStyle name="40% - Accent6 3 2 3 2 3" xfId="10710"/>
    <cellStyle name="40% - Accent6 3 2 3 2 3 2" xfId="20331"/>
    <cellStyle name="40% - Accent6 3 2 3 2 3 2 2" xfId="36552"/>
    <cellStyle name="40% - Accent6 3 2 3 2 3 3" xfId="29864"/>
    <cellStyle name="40% - Accent6 3 2 3 2 4" xfId="15822"/>
    <cellStyle name="40% - Accent6 3 2 3 2 4 2" xfId="32044"/>
    <cellStyle name="40% - Accent6 3 2 3 2 5" xfId="18574"/>
    <cellStyle name="40% - Accent6 3 2 3 2 5 2" xfId="34795"/>
    <cellStyle name="40% - Accent6 3 2 3 2 6" xfId="28111"/>
    <cellStyle name="40% - Accent6 3 2 3 3" xfId="6810"/>
    <cellStyle name="40% - Accent6 3 2 3 3 2" xfId="10712"/>
    <cellStyle name="40% - Accent6 3 2 3 3 2 2" xfId="20333"/>
    <cellStyle name="40% - Accent6 3 2 3 3 2 2 2" xfId="36554"/>
    <cellStyle name="40% - Accent6 3 2 3 3 2 3" xfId="29866"/>
    <cellStyle name="40% - Accent6 3 2 3 3 3" xfId="16615"/>
    <cellStyle name="40% - Accent6 3 2 3 3 3 2" xfId="32836"/>
    <cellStyle name="40% - Accent6 3 2 3 3 4" xfId="18576"/>
    <cellStyle name="40% - Accent6 3 2 3 3 4 2" xfId="34797"/>
    <cellStyle name="40% - Accent6 3 2 3 3 5" xfId="28113"/>
    <cellStyle name="40% - Accent6 3 2 3 4" xfId="10709"/>
    <cellStyle name="40% - Accent6 3 2 3 4 2" xfId="20330"/>
    <cellStyle name="40% - Accent6 3 2 3 4 2 2" xfId="36551"/>
    <cellStyle name="40% - Accent6 3 2 3 4 3" xfId="29863"/>
    <cellStyle name="40% - Accent6 3 2 3 5" xfId="15030"/>
    <cellStyle name="40% - Accent6 3 2 3 5 2" xfId="31252"/>
    <cellStyle name="40% - Accent6 3 2 3 6" xfId="18573"/>
    <cellStyle name="40% - Accent6 3 2 3 6 2" xfId="34794"/>
    <cellStyle name="40% - Accent6 3 2 3 7" xfId="28110"/>
    <cellStyle name="40% - Accent6 3 2 3 8" xfId="39322"/>
    <cellStyle name="40% - Accent6 3 2 4" xfId="6811"/>
    <cellStyle name="40% - Accent6 3 2 4 2" xfId="6812"/>
    <cellStyle name="40% - Accent6 3 2 4 2 2" xfId="10714"/>
    <cellStyle name="40% - Accent6 3 2 4 2 2 2" xfId="20335"/>
    <cellStyle name="40% - Accent6 3 2 4 2 2 2 2" xfId="36556"/>
    <cellStyle name="40% - Accent6 3 2 4 2 2 3" xfId="29868"/>
    <cellStyle name="40% - Accent6 3 2 4 2 3" xfId="16879"/>
    <cellStyle name="40% - Accent6 3 2 4 2 3 2" xfId="33100"/>
    <cellStyle name="40% - Accent6 3 2 4 2 4" xfId="18578"/>
    <cellStyle name="40% - Accent6 3 2 4 2 4 2" xfId="34799"/>
    <cellStyle name="40% - Accent6 3 2 4 2 5" xfId="28115"/>
    <cellStyle name="40% - Accent6 3 2 4 3" xfId="10713"/>
    <cellStyle name="40% - Accent6 3 2 4 3 2" xfId="20334"/>
    <cellStyle name="40% - Accent6 3 2 4 3 2 2" xfId="36555"/>
    <cellStyle name="40% - Accent6 3 2 4 3 3" xfId="29867"/>
    <cellStyle name="40% - Accent6 3 2 4 4" xfId="15294"/>
    <cellStyle name="40% - Accent6 3 2 4 4 2" xfId="31516"/>
    <cellStyle name="40% - Accent6 3 2 4 5" xfId="18577"/>
    <cellStyle name="40% - Accent6 3 2 4 5 2" xfId="34798"/>
    <cellStyle name="40% - Accent6 3 2 4 6" xfId="28114"/>
    <cellStyle name="40% - Accent6 3 2 4 7" xfId="39471"/>
    <cellStyle name="40% - Accent6 3 2 5" xfId="6813"/>
    <cellStyle name="40% - Accent6 3 2 5 2" xfId="10715"/>
    <cellStyle name="40% - Accent6 3 2 5 2 2" xfId="20336"/>
    <cellStyle name="40% - Accent6 3 2 5 2 2 2" xfId="36557"/>
    <cellStyle name="40% - Accent6 3 2 5 2 3" xfId="29869"/>
    <cellStyle name="40% - Accent6 3 2 5 3" xfId="16087"/>
    <cellStyle name="40% - Accent6 3 2 5 3 2" xfId="32308"/>
    <cellStyle name="40% - Accent6 3 2 5 4" xfId="18579"/>
    <cellStyle name="40% - Accent6 3 2 5 4 2" xfId="34800"/>
    <cellStyle name="40% - Accent6 3 2 5 5" xfId="28116"/>
    <cellStyle name="40% - Accent6 3 2 6" xfId="10704"/>
    <cellStyle name="40% - Accent6 3 2 6 2" xfId="20325"/>
    <cellStyle name="40% - Accent6 3 2 6 2 2" xfId="36546"/>
    <cellStyle name="40% - Accent6 3 2 6 3" xfId="29858"/>
    <cellStyle name="40% - Accent6 3 2 7" xfId="14502"/>
    <cellStyle name="40% - Accent6 3 2 7 2" xfId="30724"/>
    <cellStyle name="40% - Accent6 3 2 8" xfId="18568"/>
    <cellStyle name="40% - Accent6 3 2 8 2" xfId="34789"/>
    <cellStyle name="40% - Accent6 3 2 9" xfId="28105"/>
    <cellStyle name="40% - Accent6 3 3" xfId="6814"/>
    <cellStyle name="40% - Accent6 3 3 2" xfId="6815"/>
    <cellStyle name="40% - Accent6 3 3 2 2" xfId="6816"/>
    <cellStyle name="40% - Accent6 3 3 2 2 2" xfId="10718"/>
    <cellStyle name="40% - Accent6 3 3 2 2 2 2" xfId="20339"/>
    <cellStyle name="40% - Accent6 3 3 2 2 2 2 2" xfId="36560"/>
    <cellStyle name="40% - Accent6 3 3 2 2 2 3" xfId="29872"/>
    <cellStyle name="40% - Accent6 3 3 2 2 3" xfId="17011"/>
    <cellStyle name="40% - Accent6 3 3 2 2 3 2" xfId="33232"/>
    <cellStyle name="40% - Accent6 3 3 2 2 4" xfId="18582"/>
    <cellStyle name="40% - Accent6 3 3 2 2 4 2" xfId="34803"/>
    <cellStyle name="40% - Accent6 3 3 2 2 5" xfId="28119"/>
    <cellStyle name="40% - Accent6 3 3 2 3" xfId="10717"/>
    <cellStyle name="40% - Accent6 3 3 2 3 2" xfId="20338"/>
    <cellStyle name="40% - Accent6 3 3 2 3 2 2" xfId="36559"/>
    <cellStyle name="40% - Accent6 3 3 2 3 3" xfId="29871"/>
    <cellStyle name="40% - Accent6 3 3 2 4" xfId="15426"/>
    <cellStyle name="40% - Accent6 3 3 2 4 2" xfId="31648"/>
    <cellStyle name="40% - Accent6 3 3 2 5" xfId="18581"/>
    <cellStyle name="40% - Accent6 3 3 2 5 2" xfId="34802"/>
    <cellStyle name="40% - Accent6 3 3 2 6" xfId="28118"/>
    <cellStyle name="40% - Accent6 3 3 3" xfId="6817"/>
    <cellStyle name="40% - Accent6 3 3 3 2" xfId="10719"/>
    <cellStyle name="40% - Accent6 3 3 3 2 2" xfId="20340"/>
    <cellStyle name="40% - Accent6 3 3 3 2 2 2" xfId="36561"/>
    <cellStyle name="40% - Accent6 3 3 3 2 3" xfId="29873"/>
    <cellStyle name="40% - Accent6 3 3 3 3" xfId="16219"/>
    <cellStyle name="40% - Accent6 3 3 3 3 2" xfId="32440"/>
    <cellStyle name="40% - Accent6 3 3 3 4" xfId="18583"/>
    <cellStyle name="40% - Accent6 3 3 3 4 2" xfId="34804"/>
    <cellStyle name="40% - Accent6 3 3 3 5" xfId="28120"/>
    <cellStyle name="40% - Accent6 3 3 4" xfId="10716"/>
    <cellStyle name="40% - Accent6 3 3 4 2" xfId="20337"/>
    <cellStyle name="40% - Accent6 3 3 4 2 2" xfId="36558"/>
    <cellStyle name="40% - Accent6 3 3 4 3" xfId="29870"/>
    <cellStyle name="40% - Accent6 3 3 5" xfId="14634"/>
    <cellStyle name="40% - Accent6 3 3 5 2" xfId="30856"/>
    <cellStyle name="40% - Accent6 3 3 6" xfId="18580"/>
    <cellStyle name="40% - Accent6 3 3 6 2" xfId="34801"/>
    <cellStyle name="40% - Accent6 3 3 7" xfId="28117"/>
    <cellStyle name="40% - Accent6 3 3 8" xfId="39118"/>
    <cellStyle name="40% - Accent6 3 4" xfId="6818"/>
    <cellStyle name="40% - Accent6 3 4 2" xfId="6819"/>
    <cellStyle name="40% - Accent6 3 4 2 2" xfId="6820"/>
    <cellStyle name="40% - Accent6 3 4 2 2 2" xfId="10722"/>
    <cellStyle name="40% - Accent6 3 4 2 2 2 2" xfId="20343"/>
    <cellStyle name="40% - Accent6 3 4 2 2 2 2 2" xfId="36564"/>
    <cellStyle name="40% - Accent6 3 4 2 2 2 3" xfId="29876"/>
    <cellStyle name="40% - Accent6 3 4 2 2 3" xfId="17275"/>
    <cellStyle name="40% - Accent6 3 4 2 2 3 2" xfId="33496"/>
    <cellStyle name="40% - Accent6 3 4 2 2 4" xfId="18586"/>
    <cellStyle name="40% - Accent6 3 4 2 2 4 2" xfId="34807"/>
    <cellStyle name="40% - Accent6 3 4 2 2 5" xfId="28123"/>
    <cellStyle name="40% - Accent6 3 4 2 3" xfId="10721"/>
    <cellStyle name="40% - Accent6 3 4 2 3 2" xfId="20342"/>
    <cellStyle name="40% - Accent6 3 4 2 3 2 2" xfId="36563"/>
    <cellStyle name="40% - Accent6 3 4 2 3 3" xfId="29875"/>
    <cellStyle name="40% - Accent6 3 4 2 4" xfId="15690"/>
    <cellStyle name="40% - Accent6 3 4 2 4 2" xfId="31912"/>
    <cellStyle name="40% - Accent6 3 4 2 5" xfId="18585"/>
    <cellStyle name="40% - Accent6 3 4 2 5 2" xfId="34806"/>
    <cellStyle name="40% - Accent6 3 4 2 6" xfId="28122"/>
    <cellStyle name="40% - Accent6 3 4 3" xfId="6821"/>
    <cellStyle name="40% - Accent6 3 4 3 2" xfId="10723"/>
    <cellStyle name="40% - Accent6 3 4 3 2 2" xfId="20344"/>
    <cellStyle name="40% - Accent6 3 4 3 2 2 2" xfId="36565"/>
    <cellStyle name="40% - Accent6 3 4 3 2 3" xfId="29877"/>
    <cellStyle name="40% - Accent6 3 4 3 3" xfId="16483"/>
    <cellStyle name="40% - Accent6 3 4 3 3 2" xfId="32704"/>
    <cellStyle name="40% - Accent6 3 4 3 4" xfId="18587"/>
    <cellStyle name="40% - Accent6 3 4 3 4 2" xfId="34808"/>
    <cellStyle name="40% - Accent6 3 4 3 5" xfId="28124"/>
    <cellStyle name="40% - Accent6 3 4 4" xfId="10720"/>
    <cellStyle name="40% - Accent6 3 4 4 2" xfId="20341"/>
    <cellStyle name="40% - Accent6 3 4 4 2 2" xfId="36562"/>
    <cellStyle name="40% - Accent6 3 4 4 3" xfId="29874"/>
    <cellStyle name="40% - Accent6 3 4 5" xfId="14898"/>
    <cellStyle name="40% - Accent6 3 4 5 2" xfId="31120"/>
    <cellStyle name="40% - Accent6 3 4 6" xfId="18584"/>
    <cellStyle name="40% - Accent6 3 4 6 2" xfId="34805"/>
    <cellStyle name="40% - Accent6 3 4 7" xfId="28121"/>
    <cellStyle name="40% - Accent6 3 4 8" xfId="39266"/>
    <cellStyle name="40% - Accent6 3 5" xfId="6822"/>
    <cellStyle name="40% - Accent6 3 5 2" xfId="6823"/>
    <cellStyle name="40% - Accent6 3 5 2 2" xfId="10725"/>
    <cellStyle name="40% - Accent6 3 5 2 2 2" xfId="20346"/>
    <cellStyle name="40% - Accent6 3 5 2 2 2 2" xfId="36567"/>
    <cellStyle name="40% - Accent6 3 5 2 2 3" xfId="29879"/>
    <cellStyle name="40% - Accent6 3 5 2 3" xfId="16747"/>
    <cellStyle name="40% - Accent6 3 5 2 3 2" xfId="32968"/>
    <cellStyle name="40% - Accent6 3 5 2 4" xfId="18589"/>
    <cellStyle name="40% - Accent6 3 5 2 4 2" xfId="34810"/>
    <cellStyle name="40% - Accent6 3 5 2 5" xfId="28126"/>
    <cellStyle name="40% - Accent6 3 5 3" xfId="10724"/>
    <cellStyle name="40% - Accent6 3 5 3 2" xfId="20345"/>
    <cellStyle name="40% - Accent6 3 5 3 2 2" xfId="36566"/>
    <cellStyle name="40% - Accent6 3 5 3 3" xfId="29878"/>
    <cellStyle name="40% - Accent6 3 5 4" xfId="15162"/>
    <cellStyle name="40% - Accent6 3 5 4 2" xfId="31384"/>
    <cellStyle name="40% - Accent6 3 5 5" xfId="18588"/>
    <cellStyle name="40% - Accent6 3 5 5 2" xfId="34809"/>
    <cellStyle name="40% - Accent6 3 5 6" xfId="28125"/>
    <cellStyle name="40% - Accent6 3 5 7" xfId="39415"/>
    <cellStyle name="40% - Accent6 3 6" xfId="6824"/>
    <cellStyle name="40% - Accent6 3 6 2" xfId="10726"/>
    <cellStyle name="40% - Accent6 3 6 2 2" xfId="20347"/>
    <cellStyle name="40% - Accent6 3 6 2 2 2" xfId="36568"/>
    <cellStyle name="40% - Accent6 3 6 2 3" xfId="29880"/>
    <cellStyle name="40% - Accent6 3 6 3" xfId="15955"/>
    <cellStyle name="40% - Accent6 3 6 3 2" xfId="32176"/>
    <cellStyle name="40% - Accent6 3 6 4" xfId="18590"/>
    <cellStyle name="40% - Accent6 3 6 4 2" xfId="34811"/>
    <cellStyle name="40% - Accent6 3 6 5" xfId="28127"/>
    <cellStyle name="40% - Accent6 3 7" xfId="10703"/>
    <cellStyle name="40% - Accent6 3 7 2" xfId="20324"/>
    <cellStyle name="40% - Accent6 3 7 2 2" xfId="36545"/>
    <cellStyle name="40% - Accent6 3 7 3" xfId="29857"/>
    <cellStyle name="40% - Accent6 3 8" xfId="14370"/>
    <cellStyle name="40% - Accent6 3 8 2" xfId="30592"/>
    <cellStyle name="40% - Accent6 3 9" xfId="18567"/>
    <cellStyle name="40% - Accent6 3 9 2" xfId="34788"/>
    <cellStyle name="40% - Accent6 4" xfId="6825"/>
    <cellStyle name="40% - Accent6 4 10" xfId="38997"/>
    <cellStyle name="40% - Accent6 4 2" xfId="6826"/>
    <cellStyle name="40% - Accent6 4 2 2" xfId="6827"/>
    <cellStyle name="40% - Accent6 4 2 2 2" xfId="6828"/>
    <cellStyle name="40% - Accent6 4 2 2 2 2" xfId="10730"/>
    <cellStyle name="40% - Accent6 4 2 2 2 2 2" xfId="20351"/>
    <cellStyle name="40% - Accent6 4 2 2 2 2 2 2" xfId="36572"/>
    <cellStyle name="40% - Accent6 4 2 2 2 2 3" xfId="29884"/>
    <cellStyle name="40% - Accent6 4 2 2 2 3" xfId="17077"/>
    <cellStyle name="40% - Accent6 4 2 2 2 3 2" xfId="33298"/>
    <cellStyle name="40% - Accent6 4 2 2 2 4" xfId="18594"/>
    <cellStyle name="40% - Accent6 4 2 2 2 4 2" xfId="34815"/>
    <cellStyle name="40% - Accent6 4 2 2 2 5" xfId="28131"/>
    <cellStyle name="40% - Accent6 4 2 2 3" xfId="10729"/>
    <cellStyle name="40% - Accent6 4 2 2 3 2" xfId="20350"/>
    <cellStyle name="40% - Accent6 4 2 2 3 2 2" xfId="36571"/>
    <cellStyle name="40% - Accent6 4 2 2 3 3" xfId="29883"/>
    <cellStyle name="40% - Accent6 4 2 2 4" xfId="15492"/>
    <cellStyle name="40% - Accent6 4 2 2 4 2" xfId="31714"/>
    <cellStyle name="40% - Accent6 4 2 2 5" xfId="18593"/>
    <cellStyle name="40% - Accent6 4 2 2 5 2" xfId="34814"/>
    <cellStyle name="40% - Accent6 4 2 2 6" xfId="28130"/>
    <cellStyle name="40% - Accent6 4 2 2 7" xfId="39187"/>
    <cellStyle name="40% - Accent6 4 2 3" xfId="6829"/>
    <cellStyle name="40% - Accent6 4 2 3 2" xfId="10731"/>
    <cellStyle name="40% - Accent6 4 2 3 2 2" xfId="20352"/>
    <cellStyle name="40% - Accent6 4 2 3 2 2 2" xfId="36573"/>
    <cellStyle name="40% - Accent6 4 2 3 2 3" xfId="29885"/>
    <cellStyle name="40% - Accent6 4 2 3 3" xfId="16285"/>
    <cellStyle name="40% - Accent6 4 2 3 3 2" xfId="32506"/>
    <cellStyle name="40% - Accent6 4 2 3 4" xfId="18595"/>
    <cellStyle name="40% - Accent6 4 2 3 4 2" xfId="34816"/>
    <cellStyle name="40% - Accent6 4 2 3 5" xfId="28132"/>
    <cellStyle name="40% - Accent6 4 2 3 6" xfId="39335"/>
    <cellStyle name="40% - Accent6 4 2 4" xfId="10728"/>
    <cellStyle name="40% - Accent6 4 2 4 2" xfId="20349"/>
    <cellStyle name="40% - Accent6 4 2 4 2 2" xfId="36570"/>
    <cellStyle name="40% - Accent6 4 2 4 3" xfId="29882"/>
    <cellStyle name="40% - Accent6 4 2 4 4" xfId="39484"/>
    <cellStyle name="40% - Accent6 4 2 5" xfId="14700"/>
    <cellStyle name="40% - Accent6 4 2 5 2" xfId="30922"/>
    <cellStyle name="40% - Accent6 4 2 6" xfId="18592"/>
    <cellStyle name="40% - Accent6 4 2 6 2" xfId="34813"/>
    <cellStyle name="40% - Accent6 4 2 7" xfId="28129"/>
    <cellStyle name="40% - Accent6 4 2 8" xfId="39039"/>
    <cellStyle name="40% - Accent6 4 3" xfId="6830"/>
    <cellStyle name="40% - Accent6 4 3 2" xfId="6831"/>
    <cellStyle name="40% - Accent6 4 3 2 2" xfId="6832"/>
    <cellStyle name="40% - Accent6 4 3 2 2 2" xfId="10734"/>
    <cellStyle name="40% - Accent6 4 3 2 2 2 2" xfId="20355"/>
    <cellStyle name="40% - Accent6 4 3 2 2 2 2 2" xfId="36576"/>
    <cellStyle name="40% - Accent6 4 3 2 2 2 3" xfId="29888"/>
    <cellStyle name="40% - Accent6 4 3 2 2 3" xfId="17341"/>
    <cellStyle name="40% - Accent6 4 3 2 2 3 2" xfId="33562"/>
    <cellStyle name="40% - Accent6 4 3 2 2 4" xfId="18598"/>
    <cellStyle name="40% - Accent6 4 3 2 2 4 2" xfId="34819"/>
    <cellStyle name="40% - Accent6 4 3 2 2 5" xfId="28135"/>
    <cellStyle name="40% - Accent6 4 3 2 3" xfId="10733"/>
    <cellStyle name="40% - Accent6 4 3 2 3 2" xfId="20354"/>
    <cellStyle name="40% - Accent6 4 3 2 3 2 2" xfId="36575"/>
    <cellStyle name="40% - Accent6 4 3 2 3 3" xfId="29887"/>
    <cellStyle name="40% - Accent6 4 3 2 4" xfId="15756"/>
    <cellStyle name="40% - Accent6 4 3 2 4 2" xfId="31978"/>
    <cellStyle name="40% - Accent6 4 3 2 5" xfId="18597"/>
    <cellStyle name="40% - Accent6 4 3 2 5 2" xfId="34818"/>
    <cellStyle name="40% - Accent6 4 3 2 6" xfId="28134"/>
    <cellStyle name="40% - Accent6 4 3 3" xfId="6833"/>
    <cellStyle name="40% - Accent6 4 3 3 2" xfId="10735"/>
    <cellStyle name="40% - Accent6 4 3 3 2 2" xfId="20356"/>
    <cellStyle name="40% - Accent6 4 3 3 2 2 2" xfId="36577"/>
    <cellStyle name="40% - Accent6 4 3 3 2 3" xfId="29889"/>
    <cellStyle name="40% - Accent6 4 3 3 3" xfId="16549"/>
    <cellStyle name="40% - Accent6 4 3 3 3 2" xfId="32770"/>
    <cellStyle name="40% - Accent6 4 3 3 4" xfId="18599"/>
    <cellStyle name="40% - Accent6 4 3 3 4 2" xfId="34820"/>
    <cellStyle name="40% - Accent6 4 3 3 5" xfId="28136"/>
    <cellStyle name="40% - Accent6 4 3 4" xfId="10732"/>
    <cellStyle name="40% - Accent6 4 3 4 2" xfId="20353"/>
    <cellStyle name="40% - Accent6 4 3 4 2 2" xfId="36574"/>
    <cellStyle name="40% - Accent6 4 3 4 3" xfId="29886"/>
    <cellStyle name="40% - Accent6 4 3 5" xfId="14964"/>
    <cellStyle name="40% - Accent6 4 3 5 2" xfId="31186"/>
    <cellStyle name="40% - Accent6 4 3 6" xfId="18596"/>
    <cellStyle name="40% - Accent6 4 3 6 2" xfId="34817"/>
    <cellStyle name="40% - Accent6 4 3 7" xfId="28133"/>
    <cellStyle name="40% - Accent6 4 3 8" xfId="39131"/>
    <cellStyle name="40% - Accent6 4 4" xfId="6834"/>
    <cellStyle name="40% - Accent6 4 4 2" xfId="6835"/>
    <cellStyle name="40% - Accent6 4 4 2 2" xfId="10737"/>
    <cellStyle name="40% - Accent6 4 4 2 2 2" xfId="20358"/>
    <cellStyle name="40% - Accent6 4 4 2 2 2 2" xfId="36579"/>
    <cellStyle name="40% - Accent6 4 4 2 2 3" xfId="29891"/>
    <cellStyle name="40% - Accent6 4 4 2 3" xfId="16813"/>
    <cellStyle name="40% - Accent6 4 4 2 3 2" xfId="33034"/>
    <cellStyle name="40% - Accent6 4 4 2 4" xfId="18601"/>
    <cellStyle name="40% - Accent6 4 4 2 4 2" xfId="34822"/>
    <cellStyle name="40% - Accent6 4 4 2 5" xfId="28138"/>
    <cellStyle name="40% - Accent6 4 4 3" xfId="10736"/>
    <cellStyle name="40% - Accent6 4 4 3 2" xfId="20357"/>
    <cellStyle name="40% - Accent6 4 4 3 2 2" xfId="36578"/>
    <cellStyle name="40% - Accent6 4 4 3 3" xfId="29890"/>
    <cellStyle name="40% - Accent6 4 4 4" xfId="15228"/>
    <cellStyle name="40% - Accent6 4 4 4 2" xfId="31450"/>
    <cellStyle name="40% - Accent6 4 4 5" xfId="18600"/>
    <cellStyle name="40% - Accent6 4 4 5 2" xfId="34821"/>
    <cellStyle name="40% - Accent6 4 4 6" xfId="28137"/>
    <cellStyle name="40% - Accent6 4 4 7" xfId="39279"/>
    <cellStyle name="40% - Accent6 4 5" xfId="6836"/>
    <cellStyle name="40% - Accent6 4 5 2" xfId="10738"/>
    <cellStyle name="40% - Accent6 4 5 2 2" xfId="20359"/>
    <cellStyle name="40% - Accent6 4 5 2 2 2" xfId="36580"/>
    <cellStyle name="40% - Accent6 4 5 2 3" xfId="29892"/>
    <cellStyle name="40% - Accent6 4 5 3" xfId="16021"/>
    <cellStyle name="40% - Accent6 4 5 3 2" xfId="32242"/>
    <cellStyle name="40% - Accent6 4 5 4" xfId="18602"/>
    <cellStyle name="40% - Accent6 4 5 4 2" xfId="34823"/>
    <cellStyle name="40% - Accent6 4 5 5" xfId="28139"/>
    <cellStyle name="40% - Accent6 4 5 6" xfId="39428"/>
    <cellStyle name="40% - Accent6 4 6" xfId="10727"/>
    <cellStyle name="40% - Accent6 4 6 2" xfId="20348"/>
    <cellStyle name="40% - Accent6 4 6 2 2" xfId="36569"/>
    <cellStyle name="40% - Accent6 4 6 3" xfId="29881"/>
    <cellStyle name="40% - Accent6 4 7" xfId="14436"/>
    <cellStyle name="40% - Accent6 4 7 2" xfId="30658"/>
    <cellStyle name="40% - Accent6 4 8" xfId="18591"/>
    <cellStyle name="40% - Accent6 4 8 2" xfId="34812"/>
    <cellStyle name="40% - Accent6 4 9" xfId="28128"/>
    <cellStyle name="40% - Accent6 5" xfId="6837"/>
    <cellStyle name="40% - Accent6 5 2" xfId="6838"/>
    <cellStyle name="40% - Accent6 5 2 2" xfId="6839"/>
    <cellStyle name="40% - Accent6 5 2 2 2" xfId="10741"/>
    <cellStyle name="40% - Accent6 5 2 2 2 2" xfId="20362"/>
    <cellStyle name="40% - Accent6 5 2 2 2 2 2" xfId="36583"/>
    <cellStyle name="40% - Accent6 5 2 2 2 3" xfId="29895"/>
    <cellStyle name="40% - Accent6 5 2 2 3" xfId="16945"/>
    <cellStyle name="40% - Accent6 5 2 2 3 2" xfId="33166"/>
    <cellStyle name="40% - Accent6 5 2 2 4" xfId="18605"/>
    <cellStyle name="40% - Accent6 5 2 2 4 2" xfId="34826"/>
    <cellStyle name="40% - Accent6 5 2 2 5" xfId="28142"/>
    <cellStyle name="40% - Accent6 5 2 3" xfId="10740"/>
    <cellStyle name="40% - Accent6 5 2 3 2" xfId="20361"/>
    <cellStyle name="40% - Accent6 5 2 3 2 2" xfId="36582"/>
    <cellStyle name="40% - Accent6 5 2 3 3" xfId="29894"/>
    <cellStyle name="40% - Accent6 5 2 4" xfId="15360"/>
    <cellStyle name="40% - Accent6 5 2 4 2" xfId="31582"/>
    <cellStyle name="40% - Accent6 5 2 5" xfId="18604"/>
    <cellStyle name="40% - Accent6 5 2 5 2" xfId="34825"/>
    <cellStyle name="40% - Accent6 5 2 6" xfId="28141"/>
    <cellStyle name="40% - Accent6 5 2 7" xfId="39143"/>
    <cellStyle name="40% - Accent6 5 3" xfId="6840"/>
    <cellStyle name="40% - Accent6 5 3 2" xfId="10742"/>
    <cellStyle name="40% - Accent6 5 3 2 2" xfId="20363"/>
    <cellStyle name="40% - Accent6 5 3 2 2 2" xfId="36584"/>
    <cellStyle name="40% - Accent6 5 3 2 3" xfId="29896"/>
    <cellStyle name="40% - Accent6 5 3 3" xfId="16153"/>
    <cellStyle name="40% - Accent6 5 3 3 2" xfId="32374"/>
    <cellStyle name="40% - Accent6 5 3 4" xfId="18606"/>
    <cellStyle name="40% - Accent6 5 3 4 2" xfId="34827"/>
    <cellStyle name="40% - Accent6 5 3 5" xfId="28143"/>
    <cellStyle name="40% - Accent6 5 3 6" xfId="39291"/>
    <cellStyle name="40% - Accent6 5 4" xfId="10739"/>
    <cellStyle name="40% - Accent6 5 4 2" xfId="20360"/>
    <cellStyle name="40% - Accent6 5 4 2 2" xfId="36581"/>
    <cellStyle name="40% - Accent6 5 4 3" xfId="29893"/>
    <cellStyle name="40% - Accent6 5 4 4" xfId="39440"/>
    <cellStyle name="40% - Accent6 5 5" xfId="14568"/>
    <cellStyle name="40% - Accent6 5 5 2" xfId="30790"/>
    <cellStyle name="40% - Accent6 5 6" xfId="18603"/>
    <cellStyle name="40% - Accent6 5 6 2" xfId="34824"/>
    <cellStyle name="40% - Accent6 5 7" xfId="28140"/>
    <cellStyle name="40% - Accent6 5 8" xfId="39009"/>
    <cellStyle name="40% - Accent6 6" xfId="6841"/>
    <cellStyle name="40% - Accent6 6 2" xfId="6842"/>
    <cellStyle name="40% - Accent6 6 2 2" xfId="6843"/>
    <cellStyle name="40% - Accent6 6 2 2 2" xfId="10745"/>
    <cellStyle name="40% - Accent6 6 2 2 2 2" xfId="20366"/>
    <cellStyle name="40% - Accent6 6 2 2 2 2 2" xfId="36587"/>
    <cellStyle name="40% - Accent6 6 2 2 2 3" xfId="29899"/>
    <cellStyle name="40% - Accent6 6 2 2 3" xfId="17209"/>
    <cellStyle name="40% - Accent6 6 2 2 3 2" xfId="33430"/>
    <cellStyle name="40% - Accent6 6 2 2 4" xfId="18609"/>
    <cellStyle name="40% - Accent6 6 2 2 4 2" xfId="34830"/>
    <cellStyle name="40% - Accent6 6 2 2 5" xfId="28146"/>
    <cellStyle name="40% - Accent6 6 2 3" xfId="10744"/>
    <cellStyle name="40% - Accent6 6 2 3 2" xfId="20365"/>
    <cellStyle name="40% - Accent6 6 2 3 2 2" xfId="36586"/>
    <cellStyle name="40% - Accent6 6 2 3 3" xfId="29898"/>
    <cellStyle name="40% - Accent6 6 2 4" xfId="15624"/>
    <cellStyle name="40% - Accent6 6 2 4 2" xfId="31846"/>
    <cellStyle name="40% - Accent6 6 2 5" xfId="18608"/>
    <cellStyle name="40% - Accent6 6 2 5 2" xfId="34829"/>
    <cellStyle name="40% - Accent6 6 2 6" xfId="28145"/>
    <cellStyle name="40% - Accent6 6 3" xfId="6844"/>
    <cellStyle name="40% - Accent6 6 3 2" xfId="10746"/>
    <cellStyle name="40% - Accent6 6 3 2 2" xfId="20367"/>
    <cellStyle name="40% - Accent6 6 3 2 2 2" xfId="36588"/>
    <cellStyle name="40% - Accent6 6 3 2 3" xfId="29900"/>
    <cellStyle name="40% - Accent6 6 3 3" xfId="16417"/>
    <cellStyle name="40% - Accent6 6 3 3 2" xfId="32638"/>
    <cellStyle name="40% - Accent6 6 3 4" xfId="18610"/>
    <cellStyle name="40% - Accent6 6 3 4 2" xfId="34831"/>
    <cellStyle name="40% - Accent6 6 3 5" xfId="28147"/>
    <cellStyle name="40% - Accent6 6 4" xfId="10743"/>
    <cellStyle name="40% - Accent6 6 4 2" xfId="20364"/>
    <cellStyle name="40% - Accent6 6 4 2 2" xfId="36585"/>
    <cellStyle name="40% - Accent6 6 4 3" xfId="29897"/>
    <cellStyle name="40% - Accent6 6 5" xfId="14832"/>
    <cellStyle name="40% - Accent6 6 5 2" xfId="31054"/>
    <cellStyle name="40% - Accent6 6 6" xfId="18607"/>
    <cellStyle name="40% - Accent6 6 6 2" xfId="34828"/>
    <cellStyle name="40% - Accent6 6 7" xfId="28144"/>
    <cellStyle name="40% - Accent6 6 8" xfId="39087"/>
    <cellStyle name="40% - Accent6 7" xfId="6845"/>
    <cellStyle name="40% - Accent6 7 2" xfId="6846"/>
    <cellStyle name="40% - Accent6 7 2 2" xfId="10748"/>
    <cellStyle name="40% - Accent6 7 2 2 2" xfId="20369"/>
    <cellStyle name="40% - Accent6 7 2 2 2 2" xfId="36590"/>
    <cellStyle name="40% - Accent6 7 2 2 3" xfId="29902"/>
    <cellStyle name="40% - Accent6 7 2 3" xfId="16681"/>
    <cellStyle name="40% - Accent6 7 2 3 2" xfId="32902"/>
    <cellStyle name="40% - Accent6 7 2 4" xfId="18612"/>
    <cellStyle name="40% - Accent6 7 2 4 2" xfId="34833"/>
    <cellStyle name="40% - Accent6 7 2 5" xfId="28149"/>
    <cellStyle name="40% - Accent6 7 3" xfId="10747"/>
    <cellStyle name="40% - Accent6 7 3 2" xfId="20368"/>
    <cellStyle name="40% - Accent6 7 3 2 2" xfId="36589"/>
    <cellStyle name="40% - Accent6 7 3 3" xfId="29901"/>
    <cellStyle name="40% - Accent6 7 4" xfId="15096"/>
    <cellStyle name="40% - Accent6 7 4 2" xfId="31318"/>
    <cellStyle name="40% - Accent6 7 5" xfId="18611"/>
    <cellStyle name="40% - Accent6 7 5 2" xfId="34832"/>
    <cellStyle name="40% - Accent6 7 6" xfId="28148"/>
    <cellStyle name="40% - Accent6 7 7" xfId="39235"/>
    <cellStyle name="40% - Accent6 8" xfId="6847"/>
    <cellStyle name="40% - Accent6 8 2" xfId="10749"/>
    <cellStyle name="40% - Accent6 8 2 2" xfId="20370"/>
    <cellStyle name="40% - Accent6 8 2 2 2" xfId="36591"/>
    <cellStyle name="40% - Accent6 8 2 3" xfId="29903"/>
    <cellStyle name="40% - Accent6 8 3" xfId="15889"/>
    <cellStyle name="40% - Accent6 8 3 2" xfId="32110"/>
    <cellStyle name="40% - Accent6 8 4" xfId="18613"/>
    <cellStyle name="40% - Accent6 8 4 2" xfId="34834"/>
    <cellStyle name="40% - Accent6 8 5" xfId="28150"/>
    <cellStyle name="40% - Accent6 8 6" xfId="39384"/>
    <cellStyle name="40% - Accent6 9" xfId="10654"/>
    <cellStyle name="40% - Accent6 9 2" xfId="20275"/>
    <cellStyle name="40% - Accent6 9 2 2" xfId="36496"/>
    <cellStyle name="40% - Accent6 9 3" xfId="29808"/>
    <cellStyle name="60% - Accent1" xfId="48" builtinId="32" customBuiltin="1"/>
    <cellStyle name="60% - Accent1 2" xfId="4878"/>
    <cellStyle name="60% - Accent1 2 2" xfId="38780"/>
    <cellStyle name="60% - Accent1 3" xfId="4832"/>
    <cellStyle name="60% - Accent2" xfId="49" builtinId="36" customBuiltin="1"/>
    <cellStyle name="60% - Accent2 2" xfId="4879"/>
    <cellStyle name="60% - Accent2 2 2" xfId="38781"/>
    <cellStyle name="60% - Accent2 3" xfId="4836"/>
    <cellStyle name="60% - Accent3" xfId="50" builtinId="40" customBuiltin="1"/>
    <cellStyle name="60% - Accent3 2" xfId="4880"/>
    <cellStyle name="60% - Accent3 2 2" xfId="38782"/>
    <cellStyle name="60% - Accent3 3" xfId="4840"/>
    <cellStyle name="60% - Accent4" xfId="51" builtinId="44" customBuiltin="1"/>
    <cellStyle name="60% - Accent4 2" xfId="4881"/>
    <cellStyle name="60% - Accent4 2 2" xfId="38783"/>
    <cellStyle name="60% - Accent4 3" xfId="4844"/>
    <cellStyle name="60% - Accent5" xfId="52" builtinId="48" customBuiltin="1"/>
    <cellStyle name="60% - Accent5 2" xfId="4882"/>
    <cellStyle name="60% - Accent5 2 2" xfId="38784"/>
    <cellStyle name="60% - Accent5 3" xfId="4848"/>
    <cellStyle name="60% - Accent6" xfId="53" builtinId="52" customBuiltin="1"/>
    <cellStyle name="60% - Accent6 2" xfId="4883"/>
    <cellStyle name="60% - Accent6 2 2" xfId="38785"/>
    <cellStyle name="60% - Accent6 3" xfId="4852"/>
    <cellStyle name="Accent1" xfId="54" builtinId="29" customBuiltin="1"/>
    <cellStyle name="Accent1 2" xfId="4884"/>
    <cellStyle name="Accent1 2 2" xfId="38786"/>
    <cellStyle name="Accent1 3" xfId="4829"/>
    <cellStyle name="Accent2" xfId="55" builtinId="33" customBuiltin="1"/>
    <cellStyle name="Accent2 2" xfId="4885"/>
    <cellStyle name="Accent2 2 2" xfId="38787"/>
    <cellStyle name="Accent2 3" xfId="4833"/>
    <cellStyle name="Accent3" xfId="56" builtinId="37" customBuiltin="1"/>
    <cellStyle name="Accent3 2" xfId="4886"/>
    <cellStyle name="Accent3 2 2" xfId="38788"/>
    <cellStyle name="Accent3 3" xfId="4837"/>
    <cellStyle name="Accent4" xfId="57" builtinId="41" customBuiltin="1"/>
    <cellStyle name="Accent4 2" xfId="4887"/>
    <cellStyle name="Accent4 2 2" xfId="38789"/>
    <cellStyle name="Accent4 3" xfId="4841"/>
    <cellStyle name="Accent5" xfId="58" builtinId="45" customBuiltin="1"/>
    <cellStyle name="Accent5 2" xfId="4888"/>
    <cellStyle name="Accent5 2 2" xfId="38790"/>
    <cellStyle name="Accent5 3" xfId="4845"/>
    <cellStyle name="Accent6" xfId="59" builtinId="49" customBuiltin="1"/>
    <cellStyle name="Accent6 2" xfId="4889"/>
    <cellStyle name="Accent6 2 2" xfId="38791"/>
    <cellStyle name="Accent6 3" xfId="4849"/>
    <cellStyle name="Bad" xfId="60" builtinId="27" customBuiltin="1"/>
    <cellStyle name="Bad 2" xfId="4890"/>
    <cellStyle name="Bad 2 2" xfId="38792"/>
    <cellStyle name="Bad 3" xfId="4822"/>
    <cellStyle name="Calculation" xfId="61" builtinId="22" customBuiltin="1"/>
    <cellStyle name="Calculation 2" xfId="4891"/>
    <cellStyle name="Calculation 2 2" xfId="38793"/>
    <cellStyle name="Calculation 3" xfId="4825"/>
    <cellStyle name="Check" xfId="39626"/>
    <cellStyle name="Check Cell" xfId="62" builtinId="23" customBuiltin="1"/>
    <cellStyle name="Check Cell 2" xfId="4892"/>
    <cellStyle name="Check Cell 2 2" xfId="38794"/>
    <cellStyle name="Check Cell 3" xfId="4827"/>
    <cellStyle name="Comma" xfId="63" builtinId="3"/>
    <cellStyle name="Comma 10" xfId="64"/>
    <cellStyle name="Comma 10 10" xfId="4961"/>
    <cellStyle name="Comma 10 10 2" xfId="10751"/>
    <cellStyle name="Comma 10 11" xfId="4962"/>
    <cellStyle name="Comma 10 11 2" xfId="10752"/>
    <cellStyle name="Comma 10 12" xfId="4963"/>
    <cellStyle name="Comma 10 12 2" xfId="10753"/>
    <cellStyle name="Comma 10 13" xfId="4964"/>
    <cellStyle name="Comma 10 13 2" xfId="10754"/>
    <cellStyle name="Comma 10 14" xfId="4965"/>
    <cellStyle name="Comma 10 14 2" xfId="10755"/>
    <cellStyle name="Comma 10 15" xfId="4966"/>
    <cellStyle name="Comma 10 15 2" xfId="10756"/>
    <cellStyle name="Comma 10 16" xfId="4967"/>
    <cellStyle name="Comma 10 16 2" xfId="10757"/>
    <cellStyle name="Comma 10 17" xfId="4968"/>
    <cellStyle name="Comma 10 17 2" xfId="10758"/>
    <cellStyle name="Comma 10 18" xfId="4969"/>
    <cellStyle name="Comma 10 18 2" xfId="10759"/>
    <cellStyle name="Comma 10 19" xfId="4970"/>
    <cellStyle name="Comma 10 19 2" xfId="10760"/>
    <cellStyle name="Comma 10 2" xfId="65"/>
    <cellStyle name="Comma 10 2 2" xfId="10761"/>
    <cellStyle name="Comma 10 2 3" xfId="4971"/>
    <cellStyle name="Comma 10 2 4" xfId="25472"/>
    <cellStyle name="Comma 10 2 5" xfId="3305"/>
    <cellStyle name="Comma 10 20" xfId="4972"/>
    <cellStyle name="Comma 10 20 2" xfId="10762"/>
    <cellStyle name="Comma 10 21" xfId="4973"/>
    <cellStyle name="Comma 10 21 2" xfId="10763"/>
    <cellStyle name="Comma 10 22" xfId="4974"/>
    <cellStyle name="Comma 10 22 2" xfId="10764"/>
    <cellStyle name="Comma 10 23" xfId="4975"/>
    <cellStyle name="Comma 10 23 2" xfId="10765"/>
    <cellStyle name="Comma 10 24" xfId="4976"/>
    <cellStyle name="Comma 10 24 2" xfId="10766"/>
    <cellStyle name="Comma 10 25" xfId="4977"/>
    <cellStyle name="Comma 10 25 2" xfId="10767"/>
    <cellStyle name="Comma 10 26" xfId="4978"/>
    <cellStyle name="Comma 10 26 2" xfId="10768"/>
    <cellStyle name="Comma 10 27" xfId="4979"/>
    <cellStyle name="Comma 10 27 2" xfId="10769"/>
    <cellStyle name="Comma 10 28" xfId="4980"/>
    <cellStyle name="Comma 10 28 2" xfId="10770"/>
    <cellStyle name="Comma 10 29" xfId="10750"/>
    <cellStyle name="Comma 10 3" xfId="4803"/>
    <cellStyle name="Comma 10 3 2" xfId="10771"/>
    <cellStyle name="Comma 10 3 3" xfId="4981"/>
    <cellStyle name="Comma 10 3 4" xfId="26970"/>
    <cellStyle name="Comma 10 30" xfId="4945"/>
    <cellStyle name="Comma 10 31" xfId="22476"/>
    <cellStyle name="Comma 10 31 2" xfId="38688"/>
    <cellStyle name="Comma 10 32" xfId="23974"/>
    <cellStyle name="Comma 10 33" xfId="39572"/>
    <cellStyle name="Comma 10 34" xfId="1806"/>
    <cellStyle name="Comma 10 4" xfId="4982"/>
    <cellStyle name="Comma 10 4 2" xfId="10772"/>
    <cellStyle name="Comma 10 5" xfId="4983"/>
    <cellStyle name="Comma 10 5 2" xfId="10773"/>
    <cellStyle name="Comma 10 6" xfId="4984"/>
    <cellStyle name="Comma 10 6 2" xfId="10774"/>
    <cellStyle name="Comma 10 7" xfId="4985"/>
    <cellStyle name="Comma 10 7 2" xfId="10775"/>
    <cellStyle name="Comma 10 8" xfId="4986"/>
    <cellStyle name="Comma 10 8 2" xfId="10776"/>
    <cellStyle name="Comma 10 9" xfId="4987"/>
    <cellStyle name="Comma 10 9 2" xfId="10777"/>
    <cellStyle name="Comma 11" xfId="66"/>
    <cellStyle name="Comma 11 2" xfId="3309"/>
    <cellStyle name="Comma 11 2 2" xfId="10778"/>
    <cellStyle name="Comma 11 2 3" xfId="6848"/>
    <cellStyle name="Comma 11 2 4" xfId="25476"/>
    <cellStyle name="Comma 11 3" xfId="4807"/>
    <cellStyle name="Comma 11 3 2" xfId="26974"/>
    <cellStyle name="Comma 11 4" xfId="14236"/>
    <cellStyle name="Comma 11 5" xfId="22480"/>
    <cellStyle name="Comma 11 5 2" xfId="38692"/>
    <cellStyle name="Comma 11 6" xfId="23978"/>
    <cellStyle name="Comma 11 7" xfId="39576"/>
    <cellStyle name="Comma 11 8" xfId="1810"/>
    <cellStyle name="Comma 12" xfId="14238"/>
    <cellStyle name="Comma 12 10" xfId="4988"/>
    <cellStyle name="Comma 12 10 10" xfId="14314"/>
    <cellStyle name="Comma 12 10 10 2" xfId="30539"/>
    <cellStyle name="Comma 12 10 2" xfId="6849"/>
    <cellStyle name="Comma 12 10 2 10" xfId="14350"/>
    <cellStyle name="Comma 12 10 2 10 2" xfId="30572"/>
    <cellStyle name="Comma 12 10 2 2" xfId="6850"/>
    <cellStyle name="Comma 12 10 2 2 2" xfId="6851"/>
    <cellStyle name="Comma 12 10 2 2 2 2" xfId="6852"/>
    <cellStyle name="Comma 12 10 2 2 2 2 2" xfId="6853"/>
    <cellStyle name="Comma 12 10 2 2 2 2 2 2" xfId="6854"/>
    <cellStyle name="Comma 12 10 2 2 2 2 2 2 2" xfId="10784"/>
    <cellStyle name="Comma 12 10 2 2 2 2 2 2 3" xfId="17189"/>
    <cellStyle name="Comma 12 10 2 2 2 2 2 2 3 2" xfId="33410"/>
    <cellStyle name="Comma 12 10 2 2 2 2 2 3" xfId="6855"/>
    <cellStyle name="Comma 12 10 2 2 2 2 2 3 2" xfId="10785"/>
    <cellStyle name="Comma 12 10 2 2 2 2 2 4" xfId="10783"/>
    <cellStyle name="Comma 12 10 2 2 2 2 2 5" xfId="15604"/>
    <cellStyle name="Comma 12 10 2 2 2 2 2 5 2" xfId="31826"/>
    <cellStyle name="Comma 12 10 2 2 2 2 3" xfId="6856"/>
    <cellStyle name="Comma 12 10 2 2 2 2 3 2" xfId="10786"/>
    <cellStyle name="Comma 12 10 2 2 2 2 3 3" xfId="16397"/>
    <cellStyle name="Comma 12 10 2 2 2 2 3 3 2" xfId="32618"/>
    <cellStyle name="Comma 12 10 2 2 2 2 4" xfId="6857"/>
    <cellStyle name="Comma 12 10 2 2 2 2 4 2" xfId="10787"/>
    <cellStyle name="Comma 12 10 2 2 2 2 5" xfId="10782"/>
    <cellStyle name="Comma 12 10 2 2 2 2 6" xfId="14812"/>
    <cellStyle name="Comma 12 10 2 2 2 2 6 2" xfId="31034"/>
    <cellStyle name="Comma 12 10 2 2 2 3" xfId="6858"/>
    <cellStyle name="Comma 12 10 2 2 2 3 2" xfId="6859"/>
    <cellStyle name="Comma 12 10 2 2 2 3 2 2" xfId="6860"/>
    <cellStyle name="Comma 12 10 2 2 2 3 2 2 2" xfId="10790"/>
    <cellStyle name="Comma 12 10 2 2 2 3 2 2 3" xfId="17453"/>
    <cellStyle name="Comma 12 10 2 2 2 3 2 2 3 2" xfId="33674"/>
    <cellStyle name="Comma 12 10 2 2 2 3 2 3" xfId="6861"/>
    <cellStyle name="Comma 12 10 2 2 2 3 2 3 2" xfId="10791"/>
    <cellStyle name="Comma 12 10 2 2 2 3 2 4" xfId="10789"/>
    <cellStyle name="Comma 12 10 2 2 2 3 2 5" xfId="15868"/>
    <cellStyle name="Comma 12 10 2 2 2 3 2 5 2" xfId="32090"/>
    <cellStyle name="Comma 12 10 2 2 2 3 3" xfId="6862"/>
    <cellStyle name="Comma 12 10 2 2 2 3 3 2" xfId="10792"/>
    <cellStyle name="Comma 12 10 2 2 2 3 3 3" xfId="16661"/>
    <cellStyle name="Comma 12 10 2 2 2 3 3 3 2" xfId="32882"/>
    <cellStyle name="Comma 12 10 2 2 2 3 4" xfId="6863"/>
    <cellStyle name="Comma 12 10 2 2 2 3 4 2" xfId="10793"/>
    <cellStyle name="Comma 12 10 2 2 2 3 5" xfId="10788"/>
    <cellStyle name="Comma 12 10 2 2 2 3 6" xfId="15076"/>
    <cellStyle name="Comma 12 10 2 2 2 3 6 2" xfId="31298"/>
    <cellStyle name="Comma 12 10 2 2 2 4" xfId="6864"/>
    <cellStyle name="Comma 12 10 2 2 2 4 2" xfId="6865"/>
    <cellStyle name="Comma 12 10 2 2 2 4 2 2" xfId="10795"/>
    <cellStyle name="Comma 12 10 2 2 2 4 2 3" xfId="16925"/>
    <cellStyle name="Comma 12 10 2 2 2 4 2 3 2" xfId="33146"/>
    <cellStyle name="Comma 12 10 2 2 2 4 3" xfId="6866"/>
    <cellStyle name="Comma 12 10 2 2 2 4 3 2" xfId="10796"/>
    <cellStyle name="Comma 12 10 2 2 2 4 4" xfId="10794"/>
    <cellStyle name="Comma 12 10 2 2 2 4 5" xfId="15340"/>
    <cellStyle name="Comma 12 10 2 2 2 4 5 2" xfId="31562"/>
    <cellStyle name="Comma 12 10 2 2 2 5" xfId="6867"/>
    <cellStyle name="Comma 12 10 2 2 2 5 2" xfId="10797"/>
    <cellStyle name="Comma 12 10 2 2 2 5 3" xfId="16133"/>
    <cellStyle name="Comma 12 10 2 2 2 5 3 2" xfId="32354"/>
    <cellStyle name="Comma 12 10 2 2 2 6" xfId="6868"/>
    <cellStyle name="Comma 12 10 2 2 2 6 2" xfId="10798"/>
    <cellStyle name="Comma 12 10 2 2 2 7" xfId="10781"/>
    <cellStyle name="Comma 12 10 2 2 2 8" xfId="14548"/>
    <cellStyle name="Comma 12 10 2 2 2 8 2" xfId="30770"/>
    <cellStyle name="Comma 12 10 2 2 3" xfId="6869"/>
    <cellStyle name="Comma 12 10 2 2 3 2" xfId="6870"/>
    <cellStyle name="Comma 12 10 2 2 3 2 2" xfId="6871"/>
    <cellStyle name="Comma 12 10 2 2 3 2 2 2" xfId="10801"/>
    <cellStyle name="Comma 12 10 2 2 3 2 2 3" xfId="17057"/>
    <cellStyle name="Comma 12 10 2 2 3 2 2 3 2" xfId="33278"/>
    <cellStyle name="Comma 12 10 2 2 3 2 3" xfId="6872"/>
    <cellStyle name="Comma 12 10 2 2 3 2 3 2" xfId="10802"/>
    <cellStyle name="Comma 12 10 2 2 3 2 4" xfId="10800"/>
    <cellStyle name="Comma 12 10 2 2 3 2 5" xfId="15472"/>
    <cellStyle name="Comma 12 10 2 2 3 2 5 2" xfId="31694"/>
    <cellStyle name="Comma 12 10 2 2 3 3" xfId="6873"/>
    <cellStyle name="Comma 12 10 2 2 3 3 2" xfId="10803"/>
    <cellStyle name="Comma 12 10 2 2 3 3 3" xfId="16265"/>
    <cellStyle name="Comma 12 10 2 2 3 3 3 2" xfId="32486"/>
    <cellStyle name="Comma 12 10 2 2 3 4" xfId="6874"/>
    <cellStyle name="Comma 12 10 2 2 3 4 2" xfId="10804"/>
    <cellStyle name="Comma 12 10 2 2 3 5" xfId="10799"/>
    <cellStyle name="Comma 12 10 2 2 3 6" xfId="14680"/>
    <cellStyle name="Comma 12 10 2 2 3 6 2" xfId="30902"/>
    <cellStyle name="Comma 12 10 2 2 4" xfId="6875"/>
    <cellStyle name="Comma 12 10 2 2 4 2" xfId="6876"/>
    <cellStyle name="Comma 12 10 2 2 4 2 2" xfId="6877"/>
    <cellStyle name="Comma 12 10 2 2 4 2 2 2" xfId="10807"/>
    <cellStyle name="Comma 12 10 2 2 4 2 2 3" xfId="17321"/>
    <cellStyle name="Comma 12 10 2 2 4 2 2 3 2" xfId="33542"/>
    <cellStyle name="Comma 12 10 2 2 4 2 3" xfId="6878"/>
    <cellStyle name="Comma 12 10 2 2 4 2 3 2" xfId="10808"/>
    <cellStyle name="Comma 12 10 2 2 4 2 4" xfId="10806"/>
    <cellStyle name="Comma 12 10 2 2 4 2 5" xfId="15736"/>
    <cellStyle name="Comma 12 10 2 2 4 2 5 2" xfId="31958"/>
    <cellStyle name="Comma 12 10 2 2 4 3" xfId="6879"/>
    <cellStyle name="Comma 12 10 2 2 4 3 2" xfId="10809"/>
    <cellStyle name="Comma 12 10 2 2 4 3 3" xfId="16529"/>
    <cellStyle name="Comma 12 10 2 2 4 3 3 2" xfId="32750"/>
    <cellStyle name="Comma 12 10 2 2 4 4" xfId="6880"/>
    <cellStyle name="Comma 12 10 2 2 4 4 2" xfId="10810"/>
    <cellStyle name="Comma 12 10 2 2 4 5" xfId="10805"/>
    <cellStyle name="Comma 12 10 2 2 4 6" xfId="14944"/>
    <cellStyle name="Comma 12 10 2 2 4 6 2" xfId="31166"/>
    <cellStyle name="Comma 12 10 2 2 5" xfId="6881"/>
    <cellStyle name="Comma 12 10 2 2 5 2" xfId="6882"/>
    <cellStyle name="Comma 12 10 2 2 5 2 2" xfId="10812"/>
    <cellStyle name="Comma 12 10 2 2 5 2 3" xfId="16793"/>
    <cellStyle name="Comma 12 10 2 2 5 2 3 2" xfId="33014"/>
    <cellStyle name="Comma 12 10 2 2 5 3" xfId="6883"/>
    <cellStyle name="Comma 12 10 2 2 5 3 2" xfId="10813"/>
    <cellStyle name="Comma 12 10 2 2 5 4" xfId="10811"/>
    <cellStyle name="Comma 12 10 2 2 5 5" xfId="15208"/>
    <cellStyle name="Comma 12 10 2 2 5 5 2" xfId="31430"/>
    <cellStyle name="Comma 12 10 2 2 6" xfId="6884"/>
    <cellStyle name="Comma 12 10 2 2 6 2" xfId="10814"/>
    <cellStyle name="Comma 12 10 2 2 6 3" xfId="16001"/>
    <cellStyle name="Comma 12 10 2 2 6 3 2" xfId="32222"/>
    <cellStyle name="Comma 12 10 2 2 7" xfId="6885"/>
    <cellStyle name="Comma 12 10 2 2 7 2" xfId="10815"/>
    <cellStyle name="Comma 12 10 2 2 8" xfId="10780"/>
    <cellStyle name="Comma 12 10 2 2 9" xfId="14416"/>
    <cellStyle name="Comma 12 10 2 2 9 2" xfId="30638"/>
    <cellStyle name="Comma 12 10 2 3" xfId="6886"/>
    <cellStyle name="Comma 12 10 2 3 2" xfId="6887"/>
    <cellStyle name="Comma 12 10 2 3 2 2" xfId="6888"/>
    <cellStyle name="Comma 12 10 2 3 2 2 2" xfId="6889"/>
    <cellStyle name="Comma 12 10 2 3 2 2 2 2" xfId="10819"/>
    <cellStyle name="Comma 12 10 2 3 2 2 2 3" xfId="17123"/>
    <cellStyle name="Comma 12 10 2 3 2 2 2 3 2" xfId="33344"/>
    <cellStyle name="Comma 12 10 2 3 2 2 3" xfId="6890"/>
    <cellStyle name="Comma 12 10 2 3 2 2 3 2" xfId="10820"/>
    <cellStyle name="Comma 12 10 2 3 2 2 4" xfId="10818"/>
    <cellStyle name="Comma 12 10 2 3 2 2 5" xfId="15538"/>
    <cellStyle name="Comma 12 10 2 3 2 2 5 2" xfId="31760"/>
    <cellStyle name="Comma 12 10 2 3 2 3" xfId="6891"/>
    <cellStyle name="Comma 12 10 2 3 2 3 2" xfId="10821"/>
    <cellStyle name="Comma 12 10 2 3 2 3 3" xfId="16331"/>
    <cellStyle name="Comma 12 10 2 3 2 3 3 2" xfId="32552"/>
    <cellStyle name="Comma 12 10 2 3 2 4" xfId="6892"/>
    <cellStyle name="Comma 12 10 2 3 2 4 2" xfId="10822"/>
    <cellStyle name="Comma 12 10 2 3 2 5" xfId="10817"/>
    <cellStyle name="Comma 12 10 2 3 2 6" xfId="14746"/>
    <cellStyle name="Comma 12 10 2 3 2 6 2" xfId="30968"/>
    <cellStyle name="Comma 12 10 2 3 3" xfId="6893"/>
    <cellStyle name="Comma 12 10 2 3 3 2" xfId="6894"/>
    <cellStyle name="Comma 12 10 2 3 3 2 2" xfId="6895"/>
    <cellStyle name="Comma 12 10 2 3 3 2 2 2" xfId="10825"/>
    <cellStyle name="Comma 12 10 2 3 3 2 2 3" xfId="17387"/>
    <cellStyle name="Comma 12 10 2 3 3 2 2 3 2" xfId="33608"/>
    <cellStyle name="Comma 12 10 2 3 3 2 3" xfId="6896"/>
    <cellStyle name="Comma 12 10 2 3 3 2 3 2" xfId="10826"/>
    <cellStyle name="Comma 12 10 2 3 3 2 4" xfId="10824"/>
    <cellStyle name="Comma 12 10 2 3 3 2 5" xfId="15802"/>
    <cellStyle name="Comma 12 10 2 3 3 2 5 2" xfId="32024"/>
    <cellStyle name="Comma 12 10 2 3 3 3" xfId="6897"/>
    <cellStyle name="Comma 12 10 2 3 3 3 2" xfId="10827"/>
    <cellStyle name="Comma 12 10 2 3 3 3 3" xfId="16595"/>
    <cellStyle name="Comma 12 10 2 3 3 3 3 2" xfId="32816"/>
    <cellStyle name="Comma 12 10 2 3 3 4" xfId="6898"/>
    <cellStyle name="Comma 12 10 2 3 3 4 2" xfId="10828"/>
    <cellStyle name="Comma 12 10 2 3 3 5" xfId="10823"/>
    <cellStyle name="Comma 12 10 2 3 3 6" xfId="15010"/>
    <cellStyle name="Comma 12 10 2 3 3 6 2" xfId="31232"/>
    <cellStyle name="Comma 12 10 2 3 4" xfId="6899"/>
    <cellStyle name="Comma 12 10 2 3 4 2" xfId="6900"/>
    <cellStyle name="Comma 12 10 2 3 4 2 2" xfId="10830"/>
    <cellStyle name="Comma 12 10 2 3 4 2 3" xfId="16859"/>
    <cellStyle name="Comma 12 10 2 3 4 2 3 2" xfId="33080"/>
    <cellStyle name="Comma 12 10 2 3 4 3" xfId="6901"/>
    <cellStyle name="Comma 12 10 2 3 4 3 2" xfId="10831"/>
    <cellStyle name="Comma 12 10 2 3 4 4" xfId="10829"/>
    <cellStyle name="Comma 12 10 2 3 4 5" xfId="15274"/>
    <cellStyle name="Comma 12 10 2 3 4 5 2" xfId="31496"/>
    <cellStyle name="Comma 12 10 2 3 5" xfId="6902"/>
    <cellStyle name="Comma 12 10 2 3 5 2" xfId="10832"/>
    <cellStyle name="Comma 12 10 2 3 5 3" xfId="16067"/>
    <cellStyle name="Comma 12 10 2 3 5 3 2" xfId="32288"/>
    <cellStyle name="Comma 12 10 2 3 6" xfId="6903"/>
    <cellStyle name="Comma 12 10 2 3 6 2" xfId="10833"/>
    <cellStyle name="Comma 12 10 2 3 7" xfId="10816"/>
    <cellStyle name="Comma 12 10 2 3 8" xfId="14482"/>
    <cellStyle name="Comma 12 10 2 3 8 2" xfId="30704"/>
    <cellStyle name="Comma 12 10 2 4" xfId="6904"/>
    <cellStyle name="Comma 12 10 2 4 2" xfId="6905"/>
    <cellStyle name="Comma 12 10 2 4 2 2" xfId="6906"/>
    <cellStyle name="Comma 12 10 2 4 2 2 2" xfId="10836"/>
    <cellStyle name="Comma 12 10 2 4 2 2 3" xfId="16991"/>
    <cellStyle name="Comma 12 10 2 4 2 2 3 2" xfId="33212"/>
    <cellStyle name="Comma 12 10 2 4 2 3" xfId="6907"/>
    <cellStyle name="Comma 12 10 2 4 2 3 2" xfId="10837"/>
    <cellStyle name="Comma 12 10 2 4 2 4" xfId="10835"/>
    <cellStyle name="Comma 12 10 2 4 2 5" xfId="15406"/>
    <cellStyle name="Comma 12 10 2 4 2 5 2" xfId="31628"/>
    <cellStyle name="Comma 12 10 2 4 3" xfId="6908"/>
    <cellStyle name="Comma 12 10 2 4 3 2" xfId="10838"/>
    <cellStyle name="Comma 12 10 2 4 3 3" xfId="16199"/>
    <cellStyle name="Comma 12 10 2 4 3 3 2" xfId="32420"/>
    <cellStyle name="Comma 12 10 2 4 4" xfId="6909"/>
    <cellStyle name="Comma 12 10 2 4 4 2" xfId="10839"/>
    <cellStyle name="Comma 12 10 2 4 5" xfId="10834"/>
    <cellStyle name="Comma 12 10 2 4 6" xfId="14614"/>
    <cellStyle name="Comma 12 10 2 4 6 2" xfId="30836"/>
    <cellStyle name="Comma 12 10 2 5" xfId="6910"/>
    <cellStyle name="Comma 12 10 2 5 2" xfId="6911"/>
    <cellStyle name="Comma 12 10 2 5 2 2" xfId="6912"/>
    <cellStyle name="Comma 12 10 2 5 2 2 2" xfId="10842"/>
    <cellStyle name="Comma 12 10 2 5 2 2 3" xfId="17255"/>
    <cellStyle name="Comma 12 10 2 5 2 2 3 2" xfId="33476"/>
    <cellStyle name="Comma 12 10 2 5 2 3" xfId="6913"/>
    <cellStyle name="Comma 12 10 2 5 2 3 2" xfId="10843"/>
    <cellStyle name="Comma 12 10 2 5 2 4" xfId="10841"/>
    <cellStyle name="Comma 12 10 2 5 2 5" xfId="15670"/>
    <cellStyle name="Comma 12 10 2 5 2 5 2" xfId="31892"/>
    <cellStyle name="Comma 12 10 2 5 3" xfId="6914"/>
    <cellStyle name="Comma 12 10 2 5 3 2" xfId="10844"/>
    <cellStyle name="Comma 12 10 2 5 3 3" xfId="16463"/>
    <cellStyle name="Comma 12 10 2 5 3 3 2" xfId="32684"/>
    <cellStyle name="Comma 12 10 2 5 4" xfId="6915"/>
    <cellStyle name="Comma 12 10 2 5 4 2" xfId="10845"/>
    <cellStyle name="Comma 12 10 2 5 5" xfId="10840"/>
    <cellStyle name="Comma 12 10 2 5 6" xfId="14878"/>
    <cellStyle name="Comma 12 10 2 5 6 2" xfId="31100"/>
    <cellStyle name="Comma 12 10 2 6" xfId="6916"/>
    <cellStyle name="Comma 12 10 2 6 2" xfId="6917"/>
    <cellStyle name="Comma 12 10 2 6 2 2" xfId="10847"/>
    <cellStyle name="Comma 12 10 2 6 2 3" xfId="16727"/>
    <cellStyle name="Comma 12 10 2 6 2 3 2" xfId="32948"/>
    <cellStyle name="Comma 12 10 2 6 3" xfId="6918"/>
    <cellStyle name="Comma 12 10 2 6 3 2" xfId="10848"/>
    <cellStyle name="Comma 12 10 2 6 4" xfId="10846"/>
    <cellStyle name="Comma 12 10 2 6 5" xfId="15142"/>
    <cellStyle name="Comma 12 10 2 6 5 2" xfId="31364"/>
    <cellStyle name="Comma 12 10 2 7" xfId="6919"/>
    <cellStyle name="Comma 12 10 2 7 2" xfId="10849"/>
    <cellStyle name="Comma 12 10 2 7 3" xfId="15935"/>
    <cellStyle name="Comma 12 10 2 7 3 2" xfId="32156"/>
    <cellStyle name="Comma 12 10 2 8" xfId="6920"/>
    <cellStyle name="Comma 12 10 2 8 2" xfId="10850"/>
    <cellStyle name="Comma 12 10 2 9" xfId="10779"/>
    <cellStyle name="Comma 12 10 3" xfId="6921"/>
    <cellStyle name="Comma 12 10 3 2" xfId="6922"/>
    <cellStyle name="Comma 12 10 3 2 2" xfId="6923"/>
    <cellStyle name="Comma 12 10 3 2 2 2" xfId="6924"/>
    <cellStyle name="Comma 12 10 3 2 2 2 2" xfId="6925"/>
    <cellStyle name="Comma 12 10 3 2 2 2 2 2" xfId="10855"/>
    <cellStyle name="Comma 12 10 3 2 2 2 2 3" xfId="17156"/>
    <cellStyle name="Comma 12 10 3 2 2 2 2 3 2" xfId="33377"/>
    <cellStyle name="Comma 12 10 3 2 2 2 3" xfId="6926"/>
    <cellStyle name="Comma 12 10 3 2 2 2 3 2" xfId="10856"/>
    <cellStyle name="Comma 12 10 3 2 2 2 4" xfId="10854"/>
    <cellStyle name="Comma 12 10 3 2 2 2 5" xfId="15571"/>
    <cellStyle name="Comma 12 10 3 2 2 2 5 2" xfId="31793"/>
    <cellStyle name="Comma 12 10 3 2 2 3" xfId="6927"/>
    <cellStyle name="Comma 12 10 3 2 2 3 2" xfId="10857"/>
    <cellStyle name="Comma 12 10 3 2 2 3 3" xfId="16364"/>
    <cellStyle name="Comma 12 10 3 2 2 3 3 2" xfId="32585"/>
    <cellStyle name="Comma 12 10 3 2 2 4" xfId="6928"/>
    <cellStyle name="Comma 12 10 3 2 2 4 2" xfId="10858"/>
    <cellStyle name="Comma 12 10 3 2 2 5" xfId="10853"/>
    <cellStyle name="Comma 12 10 3 2 2 6" xfId="14779"/>
    <cellStyle name="Comma 12 10 3 2 2 6 2" xfId="31001"/>
    <cellStyle name="Comma 12 10 3 2 3" xfId="6929"/>
    <cellStyle name="Comma 12 10 3 2 3 2" xfId="6930"/>
    <cellStyle name="Comma 12 10 3 2 3 2 2" xfId="6931"/>
    <cellStyle name="Comma 12 10 3 2 3 2 2 2" xfId="10861"/>
    <cellStyle name="Comma 12 10 3 2 3 2 2 3" xfId="17420"/>
    <cellStyle name="Comma 12 10 3 2 3 2 2 3 2" xfId="33641"/>
    <cellStyle name="Comma 12 10 3 2 3 2 3" xfId="6932"/>
    <cellStyle name="Comma 12 10 3 2 3 2 3 2" xfId="10862"/>
    <cellStyle name="Comma 12 10 3 2 3 2 4" xfId="10860"/>
    <cellStyle name="Comma 12 10 3 2 3 2 5" xfId="15835"/>
    <cellStyle name="Comma 12 10 3 2 3 2 5 2" xfId="32057"/>
    <cellStyle name="Comma 12 10 3 2 3 3" xfId="6933"/>
    <cellStyle name="Comma 12 10 3 2 3 3 2" xfId="10863"/>
    <cellStyle name="Comma 12 10 3 2 3 3 3" xfId="16628"/>
    <cellStyle name="Comma 12 10 3 2 3 3 3 2" xfId="32849"/>
    <cellStyle name="Comma 12 10 3 2 3 4" xfId="6934"/>
    <cellStyle name="Comma 12 10 3 2 3 4 2" xfId="10864"/>
    <cellStyle name="Comma 12 10 3 2 3 5" xfId="10859"/>
    <cellStyle name="Comma 12 10 3 2 3 6" xfId="15043"/>
    <cellStyle name="Comma 12 10 3 2 3 6 2" xfId="31265"/>
    <cellStyle name="Comma 12 10 3 2 4" xfId="6935"/>
    <cellStyle name="Comma 12 10 3 2 4 2" xfId="6936"/>
    <cellStyle name="Comma 12 10 3 2 4 2 2" xfId="10866"/>
    <cellStyle name="Comma 12 10 3 2 4 2 3" xfId="16892"/>
    <cellStyle name="Comma 12 10 3 2 4 2 3 2" xfId="33113"/>
    <cellStyle name="Comma 12 10 3 2 4 3" xfId="6937"/>
    <cellStyle name="Comma 12 10 3 2 4 3 2" xfId="10867"/>
    <cellStyle name="Comma 12 10 3 2 4 4" xfId="10865"/>
    <cellStyle name="Comma 12 10 3 2 4 5" xfId="15307"/>
    <cellStyle name="Comma 12 10 3 2 4 5 2" xfId="31529"/>
    <cellStyle name="Comma 12 10 3 2 5" xfId="6938"/>
    <cellStyle name="Comma 12 10 3 2 5 2" xfId="10868"/>
    <cellStyle name="Comma 12 10 3 2 5 3" xfId="16100"/>
    <cellStyle name="Comma 12 10 3 2 5 3 2" xfId="32321"/>
    <cellStyle name="Comma 12 10 3 2 6" xfId="6939"/>
    <cellStyle name="Comma 12 10 3 2 6 2" xfId="10869"/>
    <cellStyle name="Comma 12 10 3 2 7" xfId="10852"/>
    <cellStyle name="Comma 12 10 3 2 8" xfId="14515"/>
    <cellStyle name="Comma 12 10 3 2 8 2" xfId="30737"/>
    <cellStyle name="Comma 12 10 3 3" xfId="6940"/>
    <cellStyle name="Comma 12 10 3 3 2" xfId="6941"/>
    <cellStyle name="Comma 12 10 3 3 2 2" xfId="6942"/>
    <cellStyle name="Comma 12 10 3 3 2 2 2" xfId="10872"/>
    <cellStyle name="Comma 12 10 3 3 2 2 3" xfId="17024"/>
    <cellStyle name="Comma 12 10 3 3 2 2 3 2" xfId="33245"/>
    <cellStyle name="Comma 12 10 3 3 2 3" xfId="6943"/>
    <cellStyle name="Comma 12 10 3 3 2 3 2" xfId="10873"/>
    <cellStyle name="Comma 12 10 3 3 2 4" xfId="10871"/>
    <cellStyle name="Comma 12 10 3 3 2 5" xfId="15439"/>
    <cellStyle name="Comma 12 10 3 3 2 5 2" xfId="31661"/>
    <cellStyle name="Comma 12 10 3 3 3" xfId="6944"/>
    <cellStyle name="Comma 12 10 3 3 3 2" xfId="10874"/>
    <cellStyle name="Comma 12 10 3 3 3 3" xfId="16232"/>
    <cellStyle name="Comma 12 10 3 3 3 3 2" xfId="32453"/>
    <cellStyle name="Comma 12 10 3 3 4" xfId="6945"/>
    <cellStyle name="Comma 12 10 3 3 4 2" xfId="10875"/>
    <cellStyle name="Comma 12 10 3 3 5" xfId="10870"/>
    <cellStyle name="Comma 12 10 3 3 6" xfId="14647"/>
    <cellStyle name="Comma 12 10 3 3 6 2" xfId="30869"/>
    <cellStyle name="Comma 12 10 3 4" xfId="6946"/>
    <cellStyle name="Comma 12 10 3 4 2" xfId="6947"/>
    <cellStyle name="Comma 12 10 3 4 2 2" xfId="6948"/>
    <cellStyle name="Comma 12 10 3 4 2 2 2" xfId="10878"/>
    <cellStyle name="Comma 12 10 3 4 2 2 3" xfId="17288"/>
    <cellStyle name="Comma 12 10 3 4 2 2 3 2" xfId="33509"/>
    <cellStyle name="Comma 12 10 3 4 2 3" xfId="6949"/>
    <cellStyle name="Comma 12 10 3 4 2 3 2" xfId="10879"/>
    <cellStyle name="Comma 12 10 3 4 2 4" xfId="10877"/>
    <cellStyle name="Comma 12 10 3 4 2 5" xfId="15703"/>
    <cellStyle name="Comma 12 10 3 4 2 5 2" xfId="31925"/>
    <cellStyle name="Comma 12 10 3 4 3" xfId="6950"/>
    <cellStyle name="Comma 12 10 3 4 3 2" xfId="10880"/>
    <cellStyle name="Comma 12 10 3 4 3 3" xfId="16496"/>
    <cellStyle name="Comma 12 10 3 4 3 3 2" xfId="32717"/>
    <cellStyle name="Comma 12 10 3 4 4" xfId="6951"/>
    <cellStyle name="Comma 12 10 3 4 4 2" xfId="10881"/>
    <cellStyle name="Comma 12 10 3 4 5" xfId="10876"/>
    <cellStyle name="Comma 12 10 3 4 6" xfId="14911"/>
    <cellStyle name="Comma 12 10 3 4 6 2" xfId="31133"/>
    <cellStyle name="Comma 12 10 3 5" xfId="6952"/>
    <cellStyle name="Comma 12 10 3 5 2" xfId="6953"/>
    <cellStyle name="Comma 12 10 3 5 2 2" xfId="10883"/>
    <cellStyle name="Comma 12 10 3 5 2 3" xfId="16760"/>
    <cellStyle name="Comma 12 10 3 5 2 3 2" xfId="32981"/>
    <cellStyle name="Comma 12 10 3 5 3" xfId="6954"/>
    <cellStyle name="Comma 12 10 3 5 3 2" xfId="10884"/>
    <cellStyle name="Comma 12 10 3 5 4" xfId="10882"/>
    <cellStyle name="Comma 12 10 3 5 5" xfId="15175"/>
    <cellStyle name="Comma 12 10 3 5 5 2" xfId="31397"/>
    <cellStyle name="Comma 12 10 3 6" xfId="6955"/>
    <cellStyle name="Comma 12 10 3 6 2" xfId="10885"/>
    <cellStyle name="Comma 12 10 3 6 3" xfId="15968"/>
    <cellStyle name="Comma 12 10 3 6 3 2" xfId="32189"/>
    <cellStyle name="Comma 12 10 3 7" xfId="6956"/>
    <cellStyle name="Comma 12 10 3 7 2" xfId="10886"/>
    <cellStyle name="Comma 12 10 3 8" xfId="10851"/>
    <cellStyle name="Comma 12 10 3 9" xfId="14383"/>
    <cellStyle name="Comma 12 10 3 9 2" xfId="30605"/>
    <cellStyle name="Comma 12 10 4" xfId="6957"/>
    <cellStyle name="Comma 12 10 4 2" xfId="6958"/>
    <cellStyle name="Comma 12 10 4 2 2" xfId="6959"/>
    <cellStyle name="Comma 12 10 4 2 2 2" xfId="6960"/>
    <cellStyle name="Comma 12 10 4 2 2 2 2" xfId="10890"/>
    <cellStyle name="Comma 12 10 4 2 2 2 3" xfId="17090"/>
    <cellStyle name="Comma 12 10 4 2 2 2 3 2" xfId="33311"/>
    <cellStyle name="Comma 12 10 4 2 2 3" xfId="6961"/>
    <cellStyle name="Comma 12 10 4 2 2 3 2" xfId="10891"/>
    <cellStyle name="Comma 12 10 4 2 2 4" xfId="10889"/>
    <cellStyle name="Comma 12 10 4 2 2 5" xfId="15505"/>
    <cellStyle name="Comma 12 10 4 2 2 5 2" xfId="31727"/>
    <cellStyle name="Comma 12 10 4 2 3" xfId="6962"/>
    <cellStyle name="Comma 12 10 4 2 3 2" xfId="10892"/>
    <cellStyle name="Comma 12 10 4 2 3 3" xfId="16298"/>
    <cellStyle name="Comma 12 10 4 2 3 3 2" xfId="32519"/>
    <cellStyle name="Comma 12 10 4 2 4" xfId="6963"/>
    <cellStyle name="Comma 12 10 4 2 4 2" xfId="10893"/>
    <cellStyle name="Comma 12 10 4 2 5" xfId="10888"/>
    <cellStyle name="Comma 12 10 4 2 6" xfId="14713"/>
    <cellStyle name="Comma 12 10 4 2 6 2" xfId="30935"/>
    <cellStyle name="Comma 12 10 4 3" xfId="6964"/>
    <cellStyle name="Comma 12 10 4 3 2" xfId="6965"/>
    <cellStyle name="Comma 12 10 4 3 2 2" xfId="6966"/>
    <cellStyle name="Comma 12 10 4 3 2 2 2" xfId="10896"/>
    <cellStyle name="Comma 12 10 4 3 2 2 3" xfId="17354"/>
    <cellStyle name="Comma 12 10 4 3 2 2 3 2" xfId="33575"/>
    <cellStyle name="Comma 12 10 4 3 2 3" xfId="6967"/>
    <cellStyle name="Comma 12 10 4 3 2 3 2" xfId="10897"/>
    <cellStyle name="Comma 12 10 4 3 2 4" xfId="10895"/>
    <cellStyle name="Comma 12 10 4 3 2 5" xfId="15769"/>
    <cellStyle name="Comma 12 10 4 3 2 5 2" xfId="31991"/>
    <cellStyle name="Comma 12 10 4 3 3" xfId="6968"/>
    <cellStyle name="Comma 12 10 4 3 3 2" xfId="10898"/>
    <cellStyle name="Comma 12 10 4 3 3 3" xfId="16562"/>
    <cellStyle name="Comma 12 10 4 3 3 3 2" xfId="32783"/>
    <cellStyle name="Comma 12 10 4 3 4" xfId="6969"/>
    <cellStyle name="Comma 12 10 4 3 4 2" xfId="10899"/>
    <cellStyle name="Comma 12 10 4 3 5" xfId="10894"/>
    <cellStyle name="Comma 12 10 4 3 6" xfId="14977"/>
    <cellStyle name="Comma 12 10 4 3 6 2" xfId="31199"/>
    <cellStyle name="Comma 12 10 4 4" xfId="6970"/>
    <cellStyle name="Comma 12 10 4 4 2" xfId="6971"/>
    <cellStyle name="Comma 12 10 4 4 2 2" xfId="10901"/>
    <cellStyle name="Comma 12 10 4 4 2 3" xfId="16826"/>
    <cellStyle name="Comma 12 10 4 4 2 3 2" xfId="33047"/>
    <cellStyle name="Comma 12 10 4 4 3" xfId="6972"/>
    <cellStyle name="Comma 12 10 4 4 3 2" xfId="10902"/>
    <cellStyle name="Comma 12 10 4 4 4" xfId="10900"/>
    <cellStyle name="Comma 12 10 4 4 5" xfId="15241"/>
    <cellStyle name="Comma 12 10 4 4 5 2" xfId="31463"/>
    <cellStyle name="Comma 12 10 4 5" xfId="6973"/>
    <cellStyle name="Comma 12 10 4 5 2" xfId="10903"/>
    <cellStyle name="Comma 12 10 4 5 3" xfId="16034"/>
    <cellStyle name="Comma 12 10 4 5 3 2" xfId="32255"/>
    <cellStyle name="Comma 12 10 4 6" xfId="6974"/>
    <cellStyle name="Comma 12 10 4 6 2" xfId="10904"/>
    <cellStyle name="Comma 12 10 4 7" xfId="10887"/>
    <cellStyle name="Comma 12 10 4 8" xfId="14449"/>
    <cellStyle name="Comma 12 10 4 8 2" xfId="30671"/>
    <cellStyle name="Comma 12 10 5" xfId="6975"/>
    <cellStyle name="Comma 12 10 5 2" xfId="6976"/>
    <cellStyle name="Comma 12 10 5 2 2" xfId="6977"/>
    <cellStyle name="Comma 12 10 5 2 2 2" xfId="10907"/>
    <cellStyle name="Comma 12 10 5 2 2 3" xfId="16958"/>
    <cellStyle name="Comma 12 10 5 2 2 3 2" xfId="33179"/>
    <cellStyle name="Comma 12 10 5 2 3" xfId="6978"/>
    <cellStyle name="Comma 12 10 5 2 3 2" xfId="10908"/>
    <cellStyle name="Comma 12 10 5 2 4" xfId="10906"/>
    <cellStyle name="Comma 12 10 5 2 5" xfId="15373"/>
    <cellStyle name="Comma 12 10 5 2 5 2" xfId="31595"/>
    <cellStyle name="Comma 12 10 5 3" xfId="6979"/>
    <cellStyle name="Comma 12 10 5 3 2" xfId="10909"/>
    <cellStyle name="Comma 12 10 5 3 3" xfId="16166"/>
    <cellStyle name="Comma 12 10 5 3 3 2" xfId="32387"/>
    <cellStyle name="Comma 12 10 5 4" xfId="6980"/>
    <cellStyle name="Comma 12 10 5 4 2" xfId="10910"/>
    <cellStyle name="Comma 12 10 5 5" xfId="10905"/>
    <cellStyle name="Comma 12 10 5 6" xfId="14581"/>
    <cellStyle name="Comma 12 10 5 6 2" xfId="30803"/>
    <cellStyle name="Comma 12 10 6" xfId="6981"/>
    <cellStyle name="Comma 12 10 6 2" xfId="6982"/>
    <cellStyle name="Comma 12 10 6 2 2" xfId="6983"/>
    <cellStyle name="Comma 12 10 6 2 2 2" xfId="10913"/>
    <cellStyle name="Comma 12 10 6 2 2 3" xfId="17222"/>
    <cellStyle name="Comma 12 10 6 2 2 3 2" xfId="33443"/>
    <cellStyle name="Comma 12 10 6 2 3" xfId="6984"/>
    <cellStyle name="Comma 12 10 6 2 3 2" xfId="10914"/>
    <cellStyle name="Comma 12 10 6 2 4" xfId="10912"/>
    <cellStyle name="Comma 12 10 6 2 5" xfId="15637"/>
    <cellStyle name="Comma 12 10 6 2 5 2" xfId="31859"/>
    <cellStyle name="Comma 12 10 6 3" xfId="6985"/>
    <cellStyle name="Comma 12 10 6 3 2" xfId="10915"/>
    <cellStyle name="Comma 12 10 6 3 3" xfId="16430"/>
    <cellStyle name="Comma 12 10 6 3 3 2" xfId="32651"/>
    <cellStyle name="Comma 12 10 6 4" xfId="6986"/>
    <cellStyle name="Comma 12 10 6 4 2" xfId="10916"/>
    <cellStyle name="Comma 12 10 6 5" xfId="10911"/>
    <cellStyle name="Comma 12 10 6 6" xfId="14845"/>
    <cellStyle name="Comma 12 10 6 6 2" xfId="31067"/>
    <cellStyle name="Comma 12 10 7" xfId="6987"/>
    <cellStyle name="Comma 12 10 7 2" xfId="6988"/>
    <cellStyle name="Comma 12 10 7 2 2" xfId="10918"/>
    <cellStyle name="Comma 12 10 7 2 3" xfId="16694"/>
    <cellStyle name="Comma 12 10 7 2 3 2" xfId="32915"/>
    <cellStyle name="Comma 12 10 7 3" xfId="6989"/>
    <cellStyle name="Comma 12 10 7 3 2" xfId="10919"/>
    <cellStyle name="Comma 12 10 7 4" xfId="10917"/>
    <cellStyle name="Comma 12 10 7 5" xfId="15109"/>
    <cellStyle name="Comma 12 10 7 5 2" xfId="31331"/>
    <cellStyle name="Comma 12 10 8" xfId="6990"/>
    <cellStyle name="Comma 12 10 8 2" xfId="6991"/>
    <cellStyle name="Comma 12 10 8 2 2" xfId="10921"/>
    <cellStyle name="Comma 12 10 8 3" xfId="10920"/>
    <cellStyle name="Comma 12 10 8 4" xfId="15902"/>
    <cellStyle name="Comma 12 10 8 4 2" xfId="32123"/>
    <cellStyle name="Comma 12 10 9" xfId="6992"/>
    <cellStyle name="Comma 12 10 9 2" xfId="10922"/>
    <cellStyle name="Comma 12 11" xfId="4989"/>
    <cellStyle name="Comma 12 11 10" xfId="14315"/>
    <cellStyle name="Comma 12 11 10 2" xfId="30540"/>
    <cellStyle name="Comma 12 11 2" xfId="6993"/>
    <cellStyle name="Comma 12 11 2 10" xfId="14351"/>
    <cellStyle name="Comma 12 11 2 10 2" xfId="30573"/>
    <cellStyle name="Comma 12 11 2 2" xfId="6994"/>
    <cellStyle name="Comma 12 11 2 2 2" xfId="6995"/>
    <cellStyle name="Comma 12 11 2 2 2 2" xfId="6996"/>
    <cellStyle name="Comma 12 11 2 2 2 2 2" xfId="6997"/>
    <cellStyle name="Comma 12 11 2 2 2 2 2 2" xfId="6998"/>
    <cellStyle name="Comma 12 11 2 2 2 2 2 2 2" xfId="10928"/>
    <cellStyle name="Comma 12 11 2 2 2 2 2 2 3" xfId="17190"/>
    <cellStyle name="Comma 12 11 2 2 2 2 2 2 3 2" xfId="33411"/>
    <cellStyle name="Comma 12 11 2 2 2 2 2 3" xfId="6999"/>
    <cellStyle name="Comma 12 11 2 2 2 2 2 3 2" xfId="10929"/>
    <cellStyle name="Comma 12 11 2 2 2 2 2 4" xfId="10927"/>
    <cellStyle name="Comma 12 11 2 2 2 2 2 5" xfId="15605"/>
    <cellStyle name="Comma 12 11 2 2 2 2 2 5 2" xfId="31827"/>
    <cellStyle name="Comma 12 11 2 2 2 2 3" xfId="7000"/>
    <cellStyle name="Comma 12 11 2 2 2 2 3 2" xfId="10930"/>
    <cellStyle name="Comma 12 11 2 2 2 2 3 3" xfId="16398"/>
    <cellStyle name="Comma 12 11 2 2 2 2 3 3 2" xfId="32619"/>
    <cellStyle name="Comma 12 11 2 2 2 2 4" xfId="7001"/>
    <cellStyle name="Comma 12 11 2 2 2 2 4 2" xfId="10931"/>
    <cellStyle name="Comma 12 11 2 2 2 2 5" xfId="10926"/>
    <cellStyle name="Comma 12 11 2 2 2 2 6" xfId="14813"/>
    <cellStyle name="Comma 12 11 2 2 2 2 6 2" xfId="31035"/>
    <cellStyle name="Comma 12 11 2 2 2 3" xfId="7002"/>
    <cellStyle name="Comma 12 11 2 2 2 3 2" xfId="7003"/>
    <cellStyle name="Comma 12 11 2 2 2 3 2 2" xfId="7004"/>
    <cellStyle name="Comma 12 11 2 2 2 3 2 2 2" xfId="10934"/>
    <cellStyle name="Comma 12 11 2 2 2 3 2 2 3" xfId="17454"/>
    <cellStyle name="Comma 12 11 2 2 2 3 2 2 3 2" xfId="33675"/>
    <cellStyle name="Comma 12 11 2 2 2 3 2 3" xfId="7005"/>
    <cellStyle name="Comma 12 11 2 2 2 3 2 3 2" xfId="10935"/>
    <cellStyle name="Comma 12 11 2 2 2 3 2 4" xfId="10933"/>
    <cellStyle name="Comma 12 11 2 2 2 3 2 5" xfId="15869"/>
    <cellStyle name="Comma 12 11 2 2 2 3 2 5 2" xfId="32091"/>
    <cellStyle name="Comma 12 11 2 2 2 3 3" xfId="7006"/>
    <cellStyle name="Comma 12 11 2 2 2 3 3 2" xfId="10936"/>
    <cellStyle name="Comma 12 11 2 2 2 3 3 3" xfId="16662"/>
    <cellStyle name="Comma 12 11 2 2 2 3 3 3 2" xfId="32883"/>
    <cellStyle name="Comma 12 11 2 2 2 3 4" xfId="7007"/>
    <cellStyle name="Comma 12 11 2 2 2 3 4 2" xfId="10937"/>
    <cellStyle name="Comma 12 11 2 2 2 3 5" xfId="10932"/>
    <cellStyle name="Comma 12 11 2 2 2 3 6" xfId="15077"/>
    <cellStyle name="Comma 12 11 2 2 2 3 6 2" xfId="31299"/>
    <cellStyle name="Comma 12 11 2 2 2 4" xfId="7008"/>
    <cellStyle name="Comma 12 11 2 2 2 4 2" xfId="7009"/>
    <cellStyle name="Comma 12 11 2 2 2 4 2 2" xfId="10939"/>
    <cellStyle name="Comma 12 11 2 2 2 4 2 3" xfId="16926"/>
    <cellStyle name="Comma 12 11 2 2 2 4 2 3 2" xfId="33147"/>
    <cellStyle name="Comma 12 11 2 2 2 4 3" xfId="7010"/>
    <cellStyle name="Comma 12 11 2 2 2 4 3 2" xfId="10940"/>
    <cellStyle name="Comma 12 11 2 2 2 4 4" xfId="10938"/>
    <cellStyle name="Comma 12 11 2 2 2 4 5" xfId="15341"/>
    <cellStyle name="Comma 12 11 2 2 2 4 5 2" xfId="31563"/>
    <cellStyle name="Comma 12 11 2 2 2 5" xfId="7011"/>
    <cellStyle name="Comma 12 11 2 2 2 5 2" xfId="10941"/>
    <cellStyle name="Comma 12 11 2 2 2 5 3" xfId="16134"/>
    <cellStyle name="Comma 12 11 2 2 2 5 3 2" xfId="32355"/>
    <cellStyle name="Comma 12 11 2 2 2 6" xfId="7012"/>
    <cellStyle name="Comma 12 11 2 2 2 6 2" xfId="10942"/>
    <cellStyle name="Comma 12 11 2 2 2 7" xfId="10925"/>
    <cellStyle name="Comma 12 11 2 2 2 8" xfId="14549"/>
    <cellStyle name="Comma 12 11 2 2 2 8 2" xfId="30771"/>
    <cellStyle name="Comma 12 11 2 2 3" xfId="7013"/>
    <cellStyle name="Comma 12 11 2 2 3 2" xfId="7014"/>
    <cellStyle name="Comma 12 11 2 2 3 2 2" xfId="7015"/>
    <cellStyle name="Comma 12 11 2 2 3 2 2 2" xfId="10945"/>
    <cellStyle name="Comma 12 11 2 2 3 2 2 3" xfId="17058"/>
    <cellStyle name="Comma 12 11 2 2 3 2 2 3 2" xfId="33279"/>
    <cellStyle name="Comma 12 11 2 2 3 2 3" xfId="7016"/>
    <cellStyle name="Comma 12 11 2 2 3 2 3 2" xfId="10946"/>
    <cellStyle name="Comma 12 11 2 2 3 2 4" xfId="10944"/>
    <cellStyle name="Comma 12 11 2 2 3 2 5" xfId="15473"/>
    <cellStyle name="Comma 12 11 2 2 3 2 5 2" xfId="31695"/>
    <cellStyle name="Comma 12 11 2 2 3 3" xfId="7017"/>
    <cellStyle name="Comma 12 11 2 2 3 3 2" xfId="10947"/>
    <cellStyle name="Comma 12 11 2 2 3 3 3" xfId="16266"/>
    <cellStyle name="Comma 12 11 2 2 3 3 3 2" xfId="32487"/>
    <cellStyle name="Comma 12 11 2 2 3 4" xfId="7018"/>
    <cellStyle name="Comma 12 11 2 2 3 4 2" xfId="10948"/>
    <cellStyle name="Comma 12 11 2 2 3 5" xfId="10943"/>
    <cellStyle name="Comma 12 11 2 2 3 6" xfId="14681"/>
    <cellStyle name="Comma 12 11 2 2 3 6 2" xfId="30903"/>
    <cellStyle name="Comma 12 11 2 2 4" xfId="7019"/>
    <cellStyle name="Comma 12 11 2 2 4 2" xfId="7020"/>
    <cellStyle name="Comma 12 11 2 2 4 2 2" xfId="7021"/>
    <cellStyle name="Comma 12 11 2 2 4 2 2 2" xfId="10951"/>
    <cellStyle name="Comma 12 11 2 2 4 2 2 3" xfId="17322"/>
    <cellStyle name="Comma 12 11 2 2 4 2 2 3 2" xfId="33543"/>
    <cellStyle name="Comma 12 11 2 2 4 2 3" xfId="7022"/>
    <cellStyle name="Comma 12 11 2 2 4 2 3 2" xfId="10952"/>
    <cellStyle name="Comma 12 11 2 2 4 2 4" xfId="10950"/>
    <cellStyle name="Comma 12 11 2 2 4 2 5" xfId="15737"/>
    <cellStyle name="Comma 12 11 2 2 4 2 5 2" xfId="31959"/>
    <cellStyle name="Comma 12 11 2 2 4 3" xfId="7023"/>
    <cellStyle name="Comma 12 11 2 2 4 3 2" xfId="10953"/>
    <cellStyle name="Comma 12 11 2 2 4 3 3" xfId="16530"/>
    <cellStyle name="Comma 12 11 2 2 4 3 3 2" xfId="32751"/>
    <cellStyle name="Comma 12 11 2 2 4 4" xfId="7024"/>
    <cellStyle name="Comma 12 11 2 2 4 4 2" xfId="10954"/>
    <cellStyle name="Comma 12 11 2 2 4 5" xfId="10949"/>
    <cellStyle name="Comma 12 11 2 2 4 6" xfId="14945"/>
    <cellStyle name="Comma 12 11 2 2 4 6 2" xfId="31167"/>
    <cellStyle name="Comma 12 11 2 2 5" xfId="7025"/>
    <cellStyle name="Comma 12 11 2 2 5 2" xfId="7026"/>
    <cellStyle name="Comma 12 11 2 2 5 2 2" xfId="10956"/>
    <cellStyle name="Comma 12 11 2 2 5 2 3" xfId="16794"/>
    <cellStyle name="Comma 12 11 2 2 5 2 3 2" xfId="33015"/>
    <cellStyle name="Comma 12 11 2 2 5 3" xfId="7027"/>
    <cellStyle name="Comma 12 11 2 2 5 3 2" xfId="10957"/>
    <cellStyle name="Comma 12 11 2 2 5 4" xfId="10955"/>
    <cellStyle name="Comma 12 11 2 2 5 5" xfId="15209"/>
    <cellStyle name="Comma 12 11 2 2 5 5 2" xfId="31431"/>
    <cellStyle name="Comma 12 11 2 2 6" xfId="7028"/>
    <cellStyle name="Comma 12 11 2 2 6 2" xfId="10958"/>
    <cellStyle name="Comma 12 11 2 2 6 3" xfId="16002"/>
    <cellStyle name="Comma 12 11 2 2 6 3 2" xfId="32223"/>
    <cellStyle name="Comma 12 11 2 2 7" xfId="7029"/>
    <cellStyle name="Comma 12 11 2 2 7 2" xfId="10959"/>
    <cellStyle name="Comma 12 11 2 2 8" xfId="10924"/>
    <cellStyle name="Comma 12 11 2 2 9" xfId="14417"/>
    <cellStyle name="Comma 12 11 2 2 9 2" xfId="30639"/>
    <cellStyle name="Comma 12 11 2 3" xfId="7030"/>
    <cellStyle name="Comma 12 11 2 3 2" xfId="7031"/>
    <cellStyle name="Comma 12 11 2 3 2 2" xfId="7032"/>
    <cellStyle name="Comma 12 11 2 3 2 2 2" xfId="7033"/>
    <cellStyle name="Comma 12 11 2 3 2 2 2 2" xfId="10963"/>
    <cellStyle name="Comma 12 11 2 3 2 2 2 3" xfId="17124"/>
    <cellStyle name="Comma 12 11 2 3 2 2 2 3 2" xfId="33345"/>
    <cellStyle name="Comma 12 11 2 3 2 2 3" xfId="7034"/>
    <cellStyle name="Comma 12 11 2 3 2 2 3 2" xfId="10964"/>
    <cellStyle name="Comma 12 11 2 3 2 2 4" xfId="10962"/>
    <cellStyle name="Comma 12 11 2 3 2 2 5" xfId="15539"/>
    <cellStyle name="Comma 12 11 2 3 2 2 5 2" xfId="31761"/>
    <cellStyle name="Comma 12 11 2 3 2 3" xfId="7035"/>
    <cellStyle name="Comma 12 11 2 3 2 3 2" xfId="10965"/>
    <cellStyle name="Comma 12 11 2 3 2 3 3" xfId="16332"/>
    <cellStyle name="Comma 12 11 2 3 2 3 3 2" xfId="32553"/>
    <cellStyle name="Comma 12 11 2 3 2 4" xfId="7036"/>
    <cellStyle name="Comma 12 11 2 3 2 4 2" xfId="10966"/>
    <cellStyle name="Comma 12 11 2 3 2 5" xfId="10961"/>
    <cellStyle name="Comma 12 11 2 3 2 6" xfId="14747"/>
    <cellStyle name="Comma 12 11 2 3 2 6 2" xfId="30969"/>
    <cellStyle name="Comma 12 11 2 3 3" xfId="7037"/>
    <cellStyle name="Comma 12 11 2 3 3 2" xfId="7038"/>
    <cellStyle name="Comma 12 11 2 3 3 2 2" xfId="7039"/>
    <cellStyle name="Comma 12 11 2 3 3 2 2 2" xfId="10969"/>
    <cellStyle name="Comma 12 11 2 3 3 2 2 3" xfId="17388"/>
    <cellStyle name="Comma 12 11 2 3 3 2 2 3 2" xfId="33609"/>
    <cellStyle name="Comma 12 11 2 3 3 2 3" xfId="7040"/>
    <cellStyle name="Comma 12 11 2 3 3 2 3 2" xfId="10970"/>
    <cellStyle name="Comma 12 11 2 3 3 2 4" xfId="10968"/>
    <cellStyle name="Comma 12 11 2 3 3 2 5" xfId="15803"/>
    <cellStyle name="Comma 12 11 2 3 3 2 5 2" xfId="32025"/>
    <cellStyle name="Comma 12 11 2 3 3 3" xfId="7041"/>
    <cellStyle name="Comma 12 11 2 3 3 3 2" xfId="10971"/>
    <cellStyle name="Comma 12 11 2 3 3 3 3" xfId="16596"/>
    <cellStyle name="Comma 12 11 2 3 3 3 3 2" xfId="32817"/>
    <cellStyle name="Comma 12 11 2 3 3 4" xfId="7042"/>
    <cellStyle name="Comma 12 11 2 3 3 4 2" xfId="10972"/>
    <cellStyle name="Comma 12 11 2 3 3 5" xfId="10967"/>
    <cellStyle name="Comma 12 11 2 3 3 6" xfId="15011"/>
    <cellStyle name="Comma 12 11 2 3 3 6 2" xfId="31233"/>
    <cellStyle name="Comma 12 11 2 3 4" xfId="7043"/>
    <cellStyle name="Comma 12 11 2 3 4 2" xfId="7044"/>
    <cellStyle name="Comma 12 11 2 3 4 2 2" xfId="10974"/>
    <cellStyle name="Comma 12 11 2 3 4 2 3" xfId="16860"/>
    <cellStyle name="Comma 12 11 2 3 4 2 3 2" xfId="33081"/>
    <cellStyle name="Comma 12 11 2 3 4 3" xfId="7045"/>
    <cellStyle name="Comma 12 11 2 3 4 3 2" xfId="10975"/>
    <cellStyle name="Comma 12 11 2 3 4 4" xfId="10973"/>
    <cellStyle name="Comma 12 11 2 3 4 5" xfId="15275"/>
    <cellStyle name="Comma 12 11 2 3 4 5 2" xfId="31497"/>
    <cellStyle name="Comma 12 11 2 3 5" xfId="7046"/>
    <cellStyle name="Comma 12 11 2 3 5 2" xfId="10976"/>
    <cellStyle name="Comma 12 11 2 3 5 3" xfId="16068"/>
    <cellStyle name="Comma 12 11 2 3 5 3 2" xfId="32289"/>
    <cellStyle name="Comma 12 11 2 3 6" xfId="7047"/>
    <cellStyle name="Comma 12 11 2 3 6 2" xfId="10977"/>
    <cellStyle name="Comma 12 11 2 3 7" xfId="10960"/>
    <cellStyle name="Comma 12 11 2 3 8" xfId="14483"/>
    <cellStyle name="Comma 12 11 2 3 8 2" xfId="30705"/>
    <cellStyle name="Comma 12 11 2 4" xfId="7048"/>
    <cellStyle name="Comma 12 11 2 4 2" xfId="7049"/>
    <cellStyle name="Comma 12 11 2 4 2 2" xfId="7050"/>
    <cellStyle name="Comma 12 11 2 4 2 2 2" xfId="10980"/>
    <cellStyle name="Comma 12 11 2 4 2 2 3" xfId="16992"/>
    <cellStyle name="Comma 12 11 2 4 2 2 3 2" xfId="33213"/>
    <cellStyle name="Comma 12 11 2 4 2 3" xfId="7051"/>
    <cellStyle name="Comma 12 11 2 4 2 3 2" xfId="10981"/>
    <cellStyle name="Comma 12 11 2 4 2 4" xfId="10979"/>
    <cellStyle name="Comma 12 11 2 4 2 5" xfId="15407"/>
    <cellStyle name="Comma 12 11 2 4 2 5 2" xfId="31629"/>
    <cellStyle name="Comma 12 11 2 4 3" xfId="7052"/>
    <cellStyle name="Comma 12 11 2 4 3 2" xfId="10982"/>
    <cellStyle name="Comma 12 11 2 4 3 3" xfId="16200"/>
    <cellStyle name="Comma 12 11 2 4 3 3 2" xfId="32421"/>
    <cellStyle name="Comma 12 11 2 4 4" xfId="7053"/>
    <cellStyle name="Comma 12 11 2 4 4 2" xfId="10983"/>
    <cellStyle name="Comma 12 11 2 4 5" xfId="10978"/>
    <cellStyle name="Comma 12 11 2 4 6" xfId="14615"/>
    <cellStyle name="Comma 12 11 2 4 6 2" xfId="30837"/>
    <cellStyle name="Comma 12 11 2 5" xfId="7054"/>
    <cellStyle name="Comma 12 11 2 5 2" xfId="7055"/>
    <cellStyle name="Comma 12 11 2 5 2 2" xfId="7056"/>
    <cellStyle name="Comma 12 11 2 5 2 2 2" xfId="10986"/>
    <cellStyle name="Comma 12 11 2 5 2 2 3" xfId="17256"/>
    <cellStyle name="Comma 12 11 2 5 2 2 3 2" xfId="33477"/>
    <cellStyle name="Comma 12 11 2 5 2 3" xfId="7057"/>
    <cellStyle name="Comma 12 11 2 5 2 3 2" xfId="10987"/>
    <cellStyle name="Comma 12 11 2 5 2 4" xfId="10985"/>
    <cellStyle name="Comma 12 11 2 5 2 5" xfId="15671"/>
    <cellStyle name="Comma 12 11 2 5 2 5 2" xfId="31893"/>
    <cellStyle name="Comma 12 11 2 5 3" xfId="7058"/>
    <cellStyle name="Comma 12 11 2 5 3 2" xfId="10988"/>
    <cellStyle name="Comma 12 11 2 5 3 3" xfId="16464"/>
    <cellStyle name="Comma 12 11 2 5 3 3 2" xfId="32685"/>
    <cellStyle name="Comma 12 11 2 5 4" xfId="7059"/>
    <cellStyle name="Comma 12 11 2 5 4 2" xfId="10989"/>
    <cellStyle name="Comma 12 11 2 5 5" xfId="10984"/>
    <cellStyle name="Comma 12 11 2 5 6" xfId="14879"/>
    <cellStyle name="Comma 12 11 2 5 6 2" xfId="31101"/>
    <cellStyle name="Comma 12 11 2 6" xfId="7060"/>
    <cellStyle name="Comma 12 11 2 6 2" xfId="7061"/>
    <cellStyle name="Comma 12 11 2 6 2 2" xfId="10991"/>
    <cellStyle name="Comma 12 11 2 6 2 3" xfId="16728"/>
    <cellStyle name="Comma 12 11 2 6 2 3 2" xfId="32949"/>
    <cellStyle name="Comma 12 11 2 6 3" xfId="7062"/>
    <cellStyle name="Comma 12 11 2 6 3 2" xfId="10992"/>
    <cellStyle name="Comma 12 11 2 6 4" xfId="10990"/>
    <cellStyle name="Comma 12 11 2 6 5" xfId="15143"/>
    <cellStyle name="Comma 12 11 2 6 5 2" xfId="31365"/>
    <cellStyle name="Comma 12 11 2 7" xfId="7063"/>
    <cellStyle name="Comma 12 11 2 7 2" xfId="10993"/>
    <cellStyle name="Comma 12 11 2 7 3" xfId="15936"/>
    <cellStyle name="Comma 12 11 2 7 3 2" xfId="32157"/>
    <cellStyle name="Comma 12 11 2 8" xfId="7064"/>
    <cellStyle name="Comma 12 11 2 8 2" xfId="10994"/>
    <cellStyle name="Comma 12 11 2 9" xfId="10923"/>
    <cellStyle name="Comma 12 11 3" xfId="7065"/>
    <cellStyle name="Comma 12 11 3 2" xfId="7066"/>
    <cellStyle name="Comma 12 11 3 2 2" xfId="7067"/>
    <cellStyle name="Comma 12 11 3 2 2 2" xfId="7068"/>
    <cellStyle name="Comma 12 11 3 2 2 2 2" xfId="7069"/>
    <cellStyle name="Comma 12 11 3 2 2 2 2 2" xfId="10999"/>
    <cellStyle name="Comma 12 11 3 2 2 2 2 3" xfId="17157"/>
    <cellStyle name="Comma 12 11 3 2 2 2 2 3 2" xfId="33378"/>
    <cellStyle name="Comma 12 11 3 2 2 2 3" xfId="7070"/>
    <cellStyle name="Comma 12 11 3 2 2 2 3 2" xfId="11000"/>
    <cellStyle name="Comma 12 11 3 2 2 2 4" xfId="10998"/>
    <cellStyle name="Comma 12 11 3 2 2 2 5" xfId="15572"/>
    <cellStyle name="Comma 12 11 3 2 2 2 5 2" xfId="31794"/>
    <cellStyle name="Comma 12 11 3 2 2 3" xfId="7071"/>
    <cellStyle name="Comma 12 11 3 2 2 3 2" xfId="11001"/>
    <cellStyle name="Comma 12 11 3 2 2 3 3" xfId="16365"/>
    <cellStyle name="Comma 12 11 3 2 2 3 3 2" xfId="32586"/>
    <cellStyle name="Comma 12 11 3 2 2 4" xfId="7072"/>
    <cellStyle name="Comma 12 11 3 2 2 4 2" xfId="11002"/>
    <cellStyle name="Comma 12 11 3 2 2 5" xfId="10997"/>
    <cellStyle name="Comma 12 11 3 2 2 6" xfId="14780"/>
    <cellStyle name="Comma 12 11 3 2 2 6 2" xfId="31002"/>
    <cellStyle name="Comma 12 11 3 2 3" xfId="7073"/>
    <cellStyle name="Comma 12 11 3 2 3 2" xfId="7074"/>
    <cellStyle name="Comma 12 11 3 2 3 2 2" xfId="7075"/>
    <cellStyle name="Comma 12 11 3 2 3 2 2 2" xfId="11005"/>
    <cellStyle name="Comma 12 11 3 2 3 2 2 3" xfId="17421"/>
    <cellStyle name="Comma 12 11 3 2 3 2 2 3 2" xfId="33642"/>
    <cellStyle name="Comma 12 11 3 2 3 2 3" xfId="7076"/>
    <cellStyle name="Comma 12 11 3 2 3 2 3 2" xfId="11006"/>
    <cellStyle name="Comma 12 11 3 2 3 2 4" xfId="11004"/>
    <cellStyle name="Comma 12 11 3 2 3 2 5" xfId="15836"/>
    <cellStyle name="Comma 12 11 3 2 3 2 5 2" xfId="32058"/>
    <cellStyle name="Comma 12 11 3 2 3 3" xfId="7077"/>
    <cellStyle name="Comma 12 11 3 2 3 3 2" xfId="11007"/>
    <cellStyle name="Comma 12 11 3 2 3 3 3" xfId="16629"/>
    <cellStyle name="Comma 12 11 3 2 3 3 3 2" xfId="32850"/>
    <cellStyle name="Comma 12 11 3 2 3 4" xfId="7078"/>
    <cellStyle name="Comma 12 11 3 2 3 4 2" xfId="11008"/>
    <cellStyle name="Comma 12 11 3 2 3 5" xfId="11003"/>
    <cellStyle name="Comma 12 11 3 2 3 6" xfId="15044"/>
    <cellStyle name="Comma 12 11 3 2 3 6 2" xfId="31266"/>
    <cellStyle name="Comma 12 11 3 2 4" xfId="7079"/>
    <cellStyle name="Comma 12 11 3 2 4 2" xfId="7080"/>
    <cellStyle name="Comma 12 11 3 2 4 2 2" xfId="11010"/>
    <cellStyle name="Comma 12 11 3 2 4 2 3" xfId="16893"/>
    <cellStyle name="Comma 12 11 3 2 4 2 3 2" xfId="33114"/>
    <cellStyle name="Comma 12 11 3 2 4 3" xfId="7081"/>
    <cellStyle name="Comma 12 11 3 2 4 3 2" xfId="11011"/>
    <cellStyle name="Comma 12 11 3 2 4 4" xfId="11009"/>
    <cellStyle name="Comma 12 11 3 2 4 5" xfId="15308"/>
    <cellStyle name="Comma 12 11 3 2 4 5 2" xfId="31530"/>
    <cellStyle name="Comma 12 11 3 2 5" xfId="7082"/>
    <cellStyle name="Comma 12 11 3 2 5 2" xfId="11012"/>
    <cellStyle name="Comma 12 11 3 2 5 3" xfId="16101"/>
    <cellStyle name="Comma 12 11 3 2 5 3 2" xfId="32322"/>
    <cellStyle name="Comma 12 11 3 2 6" xfId="7083"/>
    <cellStyle name="Comma 12 11 3 2 6 2" xfId="11013"/>
    <cellStyle name="Comma 12 11 3 2 7" xfId="10996"/>
    <cellStyle name="Comma 12 11 3 2 8" xfId="14516"/>
    <cellStyle name="Comma 12 11 3 2 8 2" xfId="30738"/>
    <cellStyle name="Comma 12 11 3 3" xfId="7084"/>
    <cellStyle name="Comma 12 11 3 3 2" xfId="7085"/>
    <cellStyle name="Comma 12 11 3 3 2 2" xfId="7086"/>
    <cellStyle name="Comma 12 11 3 3 2 2 2" xfId="11016"/>
    <cellStyle name="Comma 12 11 3 3 2 2 3" xfId="17025"/>
    <cellStyle name="Comma 12 11 3 3 2 2 3 2" xfId="33246"/>
    <cellStyle name="Comma 12 11 3 3 2 3" xfId="7087"/>
    <cellStyle name="Comma 12 11 3 3 2 3 2" xfId="11017"/>
    <cellStyle name="Comma 12 11 3 3 2 4" xfId="11015"/>
    <cellStyle name="Comma 12 11 3 3 2 5" xfId="15440"/>
    <cellStyle name="Comma 12 11 3 3 2 5 2" xfId="31662"/>
    <cellStyle name="Comma 12 11 3 3 3" xfId="7088"/>
    <cellStyle name="Comma 12 11 3 3 3 2" xfId="11018"/>
    <cellStyle name="Comma 12 11 3 3 3 3" xfId="16233"/>
    <cellStyle name="Comma 12 11 3 3 3 3 2" xfId="32454"/>
    <cellStyle name="Comma 12 11 3 3 4" xfId="7089"/>
    <cellStyle name="Comma 12 11 3 3 4 2" xfId="11019"/>
    <cellStyle name="Comma 12 11 3 3 5" xfId="11014"/>
    <cellStyle name="Comma 12 11 3 3 6" xfId="14648"/>
    <cellStyle name="Comma 12 11 3 3 6 2" xfId="30870"/>
    <cellStyle name="Comma 12 11 3 4" xfId="7090"/>
    <cellStyle name="Comma 12 11 3 4 2" xfId="7091"/>
    <cellStyle name="Comma 12 11 3 4 2 2" xfId="7092"/>
    <cellStyle name="Comma 12 11 3 4 2 2 2" xfId="11022"/>
    <cellStyle name="Comma 12 11 3 4 2 2 3" xfId="17289"/>
    <cellStyle name="Comma 12 11 3 4 2 2 3 2" xfId="33510"/>
    <cellStyle name="Comma 12 11 3 4 2 3" xfId="7093"/>
    <cellStyle name="Comma 12 11 3 4 2 3 2" xfId="11023"/>
    <cellStyle name="Comma 12 11 3 4 2 4" xfId="11021"/>
    <cellStyle name="Comma 12 11 3 4 2 5" xfId="15704"/>
    <cellStyle name="Comma 12 11 3 4 2 5 2" xfId="31926"/>
    <cellStyle name="Comma 12 11 3 4 3" xfId="7094"/>
    <cellStyle name="Comma 12 11 3 4 3 2" xfId="11024"/>
    <cellStyle name="Comma 12 11 3 4 3 3" xfId="16497"/>
    <cellStyle name="Comma 12 11 3 4 3 3 2" xfId="32718"/>
    <cellStyle name="Comma 12 11 3 4 4" xfId="7095"/>
    <cellStyle name="Comma 12 11 3 4 4 2" xfId="11025"/>
    <cellStyle name="Comma 12 11 3 4 5" xfId="11020"/>
    <cellStyle name="Comma 12 11 3 4 6" xfId="14912"/>
    <cellStyle name="Comma 12 11 3 4 6 2" xfId="31134"/>
    <cellStyle name="Comma 12 11 3 5" xfId="7096"/>
    <cellStyle name="Comma 12 11 3 5 2" xfId="7097"/>
    <cellStyle name="Comma 12 11 3 5 2 2" xfId="11027"/>
    <cellStyle name="Comma 12 11 3 5 2 3" xfId="16761"/>
    <cellStyle name="Comma 12 11 3 5 2 3 2" xfId="32982"/>
    <cellStyle name="Comma 12 11 3 5 3" xfId="7098"/>
    <cellStyle name="Comma 12 11 3 5 3 2" xfId="11028"/>
    <cellStyle name="Comma 12 11 3 5 4" xfId="11026"/>
    <cellStyle name="Comma 12 11 3 5 5" xfId="15176"/>
    <cellStyle name="Comma 12 11 3 5 5 2" xfId="31398"/>
    <cellStyle name="Comma 12 11 3 6" xfId="7099"/>
    <cellStyle name="Comma 12 11 3 6 2" xfId="11029"/>
    <cellStyle name="Comma 12 11 3 6 3" xfId="15969"/>
    <cellStyle name="Comma 12 11 3 6 3 2" xfId="32190"/>
    <cellStyle name="Comma 12 11 3 7" xfId="7100"/>
    <cellStyle name="Comma 12 11 3 7 2" xfId="11030"/>
    <cellStyle name="Comma 12 11 3 8" xfId="10995"/>
    <cellStyle name="Comma 12 11 3 9" xfId="14384"/>
    <cellStyle name="Comma 12 11 3 9 2" xfId="30606"/>
    <cellStyle name="Comma 12 11 4" xfId="7101"/>
    <cellStyle name="Comma 12 11 4 2" xfId="7102"/>
    <cellStyle name="Comma 12 11 4 2 2" xfId="7103"/>
    <cellStyle name="Comma 12 11 4 2 2 2" xfId="7104"/>
    <cellStyle name="Comma 12 11 4 2 2 2 2" xfId="11034"/>
    <cellStyle name="Comma 12 11 4 2 2 2 3" xfId="17091"/>
    <cellStyle name="Comma 12 11 4 2 2 2 3 2" xfId="33312"/>
    <cellStyle name="Comma 12 11 4 2 2 3" xfId="7105"/>
    <cellStyle name="Comma 12 11 4 2 2 3 2" xfId="11035"/>
    <cellStyle name="Comma 12 11 4 2 2 4" xfId="11033"/>
    <cellStyle name="Comma 12 11 4 2 2 5" xfId="15506"/>
    <cellStyle name="Comma 12 11 4 2 2 5 2" xfId="31728"/>
    <cellStyle name="Comma 12 11 4 2 3" xfId="7106"/>
    <cellStyle name="Comma 12 11 4 2 3 2" xfId="11036"/>
    <cellStyle name="Comma 12 11 4 2 3 3" xfId="16299"/>
    <cellStyle name="Comma 12 11 4 2 3 3 2" xfId="32520"/>
    <cellStyle name="Comma 12 11 4 2 4" xfId="7107"/>
    <cellStyle name="Comma 12 11 4 2 4 2" xfId="11037"/>
    <cellStyle name="Comma 12 11 4 2 5" xfId="11032"/>
    <cellStyle name="Comma 12 11 4 2 6" xfId="14714"/>
    <cellStyle name="Comma 12 11 4 2 6 2" xfId="30936"/>
    <cellStyle name="Comma 12 11 4 3" xfId="7108"/>
    <cellStyle name="Comma 12 11 4 3 2" xfId="7109"/>
    <cellStyle name="Comma 12 11 4 3 2 2" xfId="7110"/>
    <cellStyle name="Comma 12 11 4 3 2 2 2" xfId="11040"/>
    <cellStyle name="Comma 12 11 4 3 2 2 3" xfId="17355"/>
    <cellStyle name="Comma 12 11 4 3 2 2 3 2" xfId="33576"/>
    <cellStyle name="Comma 12 11 4 3 2 3" xfId="7111"/>
    <cellStyle name="Comma 12 11 4 3 2 3 2" xfId="11041"/>
    <cellStyle name="Comma 12 11 4 3 2 4" xfId="11039"/>
    <cellStyle name="Comma 12 11 4 3 2 5" xfId="15770"/>
    <cellStyle name="Comma 12 11 4 3 2 5 2" xfId="31992"/>
    <cellStyle name="Comma 12 11 4 3 3" xfId="7112"/>
    <cellStyle name="Comma 12 11 4 3 3 2" xfId="11042"/>
    <cellStyle name="Comma 12 11 4 3 3 3" xfId="16563"/>
    <cellStyle name="Comma 12 11 4 3 3 3 2" xfId="32784"/>
    <cellStyle name="Comma 12 11 4 3 4" xfId="7113"/>
    <cellStyle name="Comma 12 11 4 3 4 2" xfId="11043"/>
    <cellStyle name="Comma 12 11 4 3 5" xfId="11038"/>
    <cellStyle name="Comma 12 11 4 3 6" xfId="14978"/>
    <cellStyle name="Comma 12 11 4 3 6 2" xfId="31200"/>
    <cellStyle name="Comma 12 11 4 4" xfId="7114"/>
    <cellStyle name="Comma 12 11 4 4 2" xfId="7115"/>
    <cellStyle name="Comma 12 11 4 4 2 2" xfId="11045"/>
    <cellStyle name="Comma 12 11 4 4 2 3" xfId="16827"/>
    <cellStyle name="Comma 12 11 4 4 2 3 2" xfId="33048"/>
    <cellStyle name="Comma 12 11 4 4 3" xfId="7116"/>
    <cellStyle name="Comma 12 11 4 4 3 2" xfId="11046"/>
    <cellStyle name="Comma 12 11 4 4 4" xfId="11044"/>
    <cellStyle name="Comma 12 11 4 4 5" xfId="15242"/>
    <cellStyle name="Comma 12 11 4 4 5 2" xfId="31464"/>
    <cellStyle name="Comma 12 11 4 5" xfId="7117"/>
    <cellStyle name="Comma 12 11 4 5 2" xfId="11047"/>
    <cellStyle name="Comma 12 11 4 5 3" xfId="16035"/>
    <cellStyle name="Comma 12 11 4 5 3 2" xfId="32256"/>
    <cellStyle name="Comma 12 11 4 6" xfId="7118"/>
    <cellStyle name="Comma 12 11 4 6 2" xfId="11048"/>
    <cellStyle name="Comma 12 11 4 7" xfId="11031"/>
    <cellStyle name="Comma 12 11 4 8" xfId="14450"/>
    <cellStyle name="Comma 12 11 4 8 2" xfId="30672"/>
    <cellStyle name="Comma 12 11 5" xfId="7119"/>
    <cellStyle name="Comma 12 11 5 2" xfId="7120"/>
    <cellStyle name="Comma 12 11 5 2 2" xfId="7121"/>
    <cellStyle name="Comma 12 11 5 2 2 2" xfId="11051"/>
    <cellStyle name="Comma 12 11 5 2 2 3" xfId="16959"/>
    <cellStyle name="Comma 12 11 5 2 2 3 2" xfId="33180"/>
    <cellStyle name="Comma 12 11 5 2 3" xfId="7122"/>
    <cellStyle name="Comma 12 11 5 2 3 2" xfId="11052"/>
    <cellStyle name="Comma 12 11 5 2 4" xfId="11050"/>
    <cellStyle name="Comma 12 11 5 2 5" xfId="15374"/>
    <cellStyle name="Comma 12 11 5 2 5 2" xfId="31596"/>
    <cellStyle name="Comma 12 11 5 3" xfId="7123"/>
    <cellStyle name="Comma 12 11 5 3 2" xfId="11053"/>
    <cellStyle name="Comma 12 11 5 3 3" xfId="16167"/>
    <cellStyle name="Comma 12 11 5 3 3 2" xfId="32388"/>
    <cellStyle name="Comma 12 11 5 4" xfId="7124"/>
    <cellStyle name="Comma 12 11 5 4 2" xfId="11054"/>
    <cellStyle name="Comma 12 11 5 5" xfId="11049"/>
    <cellStyle name="Comma 12 11 5 6" xfId="14582"/>
    <cellStyle name="Comma 12 11 5 6 2" xfId="30804"/>
    <cellStyle name="Comma 12 11 6" xfId="7125"/>
    <cellStyle name="Comma 12 11 6 2" xfId="7126"/>
    <cellStyle name="Comma 12 11 6 2 2" xfId="7127"/>
    <cellStyle name="Comma 12 11 6 2 2 2" xfId="11057"/>
    <cellStyle name="Comma 12 11 6 2 2 3" xfId="17223"/>
    <cellStyle name="Comma 12 11 6 2 2 3 2" xfId="33444"/>
    <cellStyle name="Comma 12 11 6 2 3" xfId="7128"/>
    <cellStyle name="Comma 12 11 6 2 3 2" xfId="11058"/>
    <cellStyle name="Comma 12 11 6 2 4" xfId="11056"/>
    <cellStyle name="Comma 12 11 6 2 5" xfId="15638"/>
    <cellStyle name="Comma 12 11 6 2 5 2" xfId="31860"/>
    <cellStyle name="Comma 12 11 6 3" xfId="7129"/>
    <cellStyle name="Comma 12 11 6 3 2" xfId="11059"/>
    <cellStyle name="Comma 12 11 6 3 3" xfId="16431"/>
    <cellStyle name="Comma 12 11 6 3 3 2" xfId="32652"/>
    <cellStyle name="Comma 12 11 6 4" xfId="7130"/>
    <cellStyle name="Comma 12 11 6 4 2" xfId="11060"/>
    <cellStyle name="Comma 12 11 6 5" xfId="11055"/>
    <cellStyle name="Comma 12 11 6 6" xfId="14846"/>
    <cellStyle name="Comma 12 11 6 6 2" xfId="31068"/>
    <cellStyle name="Comma 12 11 7" xfId="7131"/>
    <cellStyle name="Comma 12 11 7 2" xfId="7132"/>
    <cellStyle name="Comma 12 11 7 2 2" xfId="11062"/>
    <cellStyle name="Comma 12 11 7 2 3" xfId="16695"/>
    <cellStyle name="Comma 12 11 7 2 3 2" xfId="32916"/>
    <cellStyle name="Comma 12 11 7 3" xfId="7133"/>
    <cellStyle name="Comma 12 11 7 3 2" xfId="11063"/>
    <cellStyle name="Comma 12 11 7 4" xfId="11061"/>
    <cellStyle name="Comma 12 11 7 5" xfId="15110"/>
    <cellStyle name="Comma 12 11 7 5 2" xfId="31332"/>
    <cellStyle name="Comma 12 11 8" xfId="7134"/>
    <cellStyle name="Comma 12 11 8 2" xfId="7135"/>
    <cellStyle name="Comma 12 11 8 2 2" xfId="11065"/>
    <cellStyle name="Comma 12 11 8 3" xfId="11064"/>
    <cellStyle name="Comma 12 11 8 4" xfId="15903"/>
    <cellStyle name="Comma 12 11 8 4 2" xfId="32124"/>
    <cellStyle name="Comma 12 11 9" xfId="7136"/>
    <cellStyle name="Comma 12 11 9 2" xfId="11066"/>
    <cellStyle name="Comma 12 12" xfId="4990"/>
    <cellStyle name="Comma 12 12 2" xfId="4991"/>
    <cellStyle name="Comma 12 12 3" xfId="4992"/>
    <cellStyle name="Comma 12 13" xfId="4993"/>
    <cellStyle name="Comma 12 13 2" xfId="11067"/>
    <cellStyle name="Comma 12 13 3" xfId="7137"/>
    <cellStyle name="Comma 12 13 4" xfId="27018"/>
    <cellStyle name="Comma 12 14" xfId="7138"/>
    <cellStyle name="Comma 12 14 2" xfId="11068"/>
    <cellStyle name="Comma 12 2" xfId="4994"/>
    <cellStyle name="Comma 12 2 2" xfId="4995"/>
    <cellStyle name="Comma 12 2 3" xfId="4996"/>
    <cellStyle name="Comma 12 2 3 2" xfId="4997"/>
    <cellStyle name="Comma 12 2 3 3" xfId="4998"/>
    <cellStyle name="Comma 12 2 4" xfId="4999"/>
    <cellStyle name="Comma 12 2 4 2" xfId="11070"/>
    <cellStyle name="Comma 12 2 4 3" xfId="7139"/>
    <cellStyle name="Comma 12 2 4 4" xfId="27019"/>
    <cellStyle name="Comma 12 2 5" xfId="7140"/>
    <cellStyle name="Comma 12 2 5 2" xfId="11071"/>
    <cellStyle name="Comma 12 2 6" xfId="11069"/>
    <cellStyle name="Comma 12 3" xfId="5000"/>
    <cellStyle name="Comma 12 3 2" xfId="11072"/>
    <cellStyle name="Comma 12 4" xfId="5001"/>
    <cellStyle name="Comma 12 4 2" xfId="11073"/>
    <cellStyle name="Comma 12 5" xfId="5002"/>
    <cellStyle name="Comma 12 5 2" xfId="11074"/>
    <cellStyle name="Comma 12 6" xfId="5003"/>
    <cellStyle name="Comma 12 6 2" xfId="11075"/>
    <cellStyle name="Comma 12 7" xfId="5004"/>
    <cellStyle name="Comma 12 7 2" xfId="11076"/>
    <cellStyle name="Comma 12 8" xfId="5005"/>
    <cellStyle name="Comma 12 8 2" xfId="11077"/>
    <cellStyle name="Comma 12 9" xfId="5006"/>
    <cellStyle name="Comma 12 9 10" xfId="14316"/>
    <cellStyle name="Comma 12 9 10 2" xfId="30541"/>
    <cellStyle name="Comma 12 9 2" xfId="7141"/>
    <cellStyle name="Comma 12 9 2 10" xfId="14352"/>
    <cellStyle name="Comma 12 9 2 10 2" xfId="30574"/>
    <cellStyle name="Comma 12 9 2 2" xfId="7142"/>
    <cellStyle name="Comma 12 9 2 2 2" xfId="7143"/>
    <cellStyle name="Comma 12 9 2 2 2 2" xfId="7144"/>
    <cellStyle name="Comma 12 9 2 2 2 2 2" xfId="7145"/>
    <cellStyle name="Comma 12 9 2 2 2 2 2 2" xfId="7146"/>
    <cellStyle name="Comma 12 9 2 2 2 2 2 2 2" xfId="11083"/>
    <cellStyle name="Comma 12 9 2 2 2 2 2 2 3" xfId="17191"/>
    <cellStyle name="Comma 12 9 2 2 2 2 2 2 3 2" xfId="33412"/>
    <cellStyle name="Comma 12 9 2 2 2 2 2 3" xfId="7147"/>
    <cellStyle name="Comma 12 9 2 2 2 2 2 3 2" xfId="11084"/>
    <cellStyle name="Comma 12 9 2 2 2 2 2 4" xfId="11082"/>
    <cellStyle name="Comma 12 9 2 2 2 2 2 5" xfId="15606"/>
    <cellStyle name="Comma 12 9 2 2 2 2 2 5 2" xfId="31828"/>
    <cellStyle name="Comma 12 9 2 2 2 2 3" xfId="7148"/>
    <cellStyle name="Comma 12 9 2 2 2 2 3 2" xfId="11085"/>
    <cellStyle name="Comma 12 9 2 2 2 2 3 3" xfId="16399"/>
    <cellStyle name="Comma 12 9 2 2 2 2 3 3 2" xfId="32620"/>
    <cellStyle name="Comma 12 9 2 2 2 2 4" xfId="7149"/>
    <cellStyle name="Comma 12 9 2 2 2 2 4 2" xfId="11086"/>
    <cellStyle name="Comma 12 9 2 2 2 2 5" xfId="11081"/>
    <cellStyle name="Comma 12 9 2 2 2 2 6" xfId="14814"/>
    <cellStyle name="Comma 12 9 2 2 2 2 6 2" xfId="31036"/>
    <cellStyle name="Comma 12 9 2 2 2 3" xfId="7150"/>
    <cellStyle name="Comma 12 9 2 2 2 3 2" xfId="7151"/>
    <cellStyle name="Comma 12 9 2 2 2 3 2 2" xfId="7152"/>
    <cellStyle name="Comma 12 9 2 2 2 3 2 2 2" xfId="11089"/>
    <cellStyle name="Comma 12 9 2 2 2 3 2 2 3" xfId="17455"/>
    <cellStyle name="Comma 12 9 2 2 2 3 2 2 3 2" xfId="33676"/>
    <cellStyle name="Comma 12 9 2 2 2 3 2 3" xfId="7153"/>
    <cellStyle name="Comma 12 9 2 2 2 3 2 3 2" xfId="11090"/>
    <cellStyle name="Comma 12 9 2 2 2 3 2 4" xfId="11088"/>
    <cellStyle name="Comma 12 9 2 2 2 3 2 5" xfId="15870"/>
    <cellStyle name="Comma 12 9 2 2 2 3 2 5 2" xfId="32092"/>
    <cellStyle name="Comma 12 9 2 2 2 3 3" xfId="7154"/>
    <cellStyle name="Comma 12 9 2 2 2 3 3 2" xfId="11091"/>
    <cellStyle name="Comma 12 9 2 2 2 3 3 3" xfId="16663"/>
    <cellStyle name="Comma 12 9 2 2 2 3 3 3 2" xfId="32884"/>
    <cellStyle name="Comma 12 9 2 2 2 3 4" xfId="7155"/>
    <cellStyle name="Comma 12 9 2 2 2 3 4 2" xfId="11092"/>
    <cellStyle name="Comma 12 9 2 2 2 3 5" xfId="11087"/>
    <cellStyle name="Comma 12 9 2 2 2 3 6" xfId="15078"/>
    <cellStyle name="Comma 12 9 2 2 2 3 6 2" xfId="31300"/>
    <cellStyle name="Comma 12 9 2 2 2 4" xfId="7156"/>
    <cellStyle name="Comma 12 9 2 2 2 4 2" xfId="7157"/>
    <cellStyle name="Comma 12 9 2 2 2 4 2 2" xfId="11094"/>
    <cellStyle name="Comma 12 9 2 2 2 4 2 3" xfId="16927"/>
    <cellStyle name="Comma 12 9 2 2 2 4 2 3 2" xfId="33148"/>
    <cellStyle name="Comma 12 9 2 2 2 4 3" xfId="7158"/>
    <cellStyle name="Comma 12 9 2 2 2 4 3 2" xfId="11095"/>
    <cellStyle name="Comma 12 9 2 2 2 4 4" xfId="11093"/>
    <cellStyle name="Comma 12 9 2 2 2 4 5" xfId="15342"/>
    <cellStyle name="Comma 12 9 2 2 2 4 5 2" xfId="31564"/>
    <cellStyle name="Comma 12 9 2 2 2 5" xfId="7159"/>
    <cellStyle name="Comma 12 9 2 2 2 5 2" xfId="11096"/>
    <cellStyle name="Comma 12 9 2 2 2 5 3" xfId="16135"/>
    <cellStyle name="Comma 12 9 2 2 2 5 3 2" xfId="32356"/>
    <cellStyle name="Comma 12 9 2 2 2 6" xfId="7160"/>
    <cellStyle name="Comma 12 9 2 2 2 6 2" xfId="11097"/>
    <cellStyle name="Comma 12 9 2 2 2 7" xfId="11080"/>
    <cellStyle name="Comma 12 9 2 2 2 8" xfId="14550"/>
    <cellStyle name="Comma 12 9 2 2 2 8 2" xfId="30772"/>
    <cellStyle name="Comma 12 9 2 2 3" xfId="7161"/>
    <cellStyle name="Comma 12 9 2 2 3 2" xfId="7162"/>
    <cellStyle name="Comma 12 9 2 2 3 2 2" xfId="7163"/>
    <cellStyle name="Comma 12 9 2 2 3 2 2 2" xfId="11100"/>
    <cellStyle name="Comma 12 9 2 2 3 2 2 3" xfId="17059"/>
    <cellStyle name="Comma 12 9 2 2 3 2 2 3 2" xfId="33280"/>
    <cellStyle name="Comma 12 9 2 2 3 2 3" xfId="7164"/>
    <cellStyle name="Comma 12 9 2 2 3 2 3 2" xfId="11101"/>
    <cellStyle name="Comma 12 9 2 2 3 2 4" xfId="11099"/>
    <cellStyle name="Comma 12 9 2 2 3 2 5" xfId="15474"/>
    <cellStyle name="Comma 12 9 2 2 3 2 5 2" xfId="31696"/>
    <cellStyle name="Comma 12 9 2 2 3 3" xfId="7165"/>
    <cellStyle name="Comma 12 9 2 2 3 3 2" xfId="11102"/>
    <cellStyle name="Comma 12 9 2 2 3 3 3" xfId="16267"/>
    <cellStyle name="Comma 12 9 2 2 3 3 3 2" xfId="32488"/>
    <cellStyle name="Comma 12 9 2 2 3 4" xfId="7166"/>
    <cellStyle name="Comma 12 9 2 2 3 4 2" xfId="11103"/>
    <cellStyle name="Comma 12 9 2 2 3 5" xfId="11098"/>
    <cellStyle name="Comma 12 9 2 2 3 6" xfId="14682"/>
    <cellStyle name="Comma 12 9 2 2 3 6 2" xfId="30904"/>
    <cellStyle name="Comma 12 9 2 2 4" xfId="7167"/>
    <cellStyle name="Comma 12 9 2 2 4 2" xfId="7168"/>
    <cellStyle name="Comma 12 9 2 2 4 2 2" xfId="7169"/>
    <cellStyle name="Comma 12 9 2 2 4 2 2 2" xfId="11106"/>
    <cellStyle name="Comma 12 9 2 2 4 2 2 3" xfId="17323"/>
    <cellStyle name="Comma 12 9 2 2 4 2 2 3 2" xfId="33544"/>
    <cellStyle name="Comma 12 9 2 2 4 2 3" xfId="7170"/>
    <cellStyle name="Comma 12 9 2 2 4 2 3 2" xfId="11107"/>
    <cellStyle name="Comma 12 9 2 2 4 2 4" xfId="11105"/>
    <cellStyle name="Comma 12 9 2 2 4 2 5" xfId="15738"/>
    <cellStyle name="Comma 12 9 2 2 4 2 5 2" xfId="31960"/>
    <cellStyle name="Comma 12 9 2 2 4 3" xfId="7171"/>
    <cellStyle name="Comma 12 9 2 2 4 3 2" xfId="11108"/>
    <cellStyle name="Comma 12 9 2 2 4 3 3" xfId="16531"/>
    <cellStyle name="Comma 12 9 2 2 4 3 3 2" xfId="32752"/>
    <cellStyle name="Comma 12 9 2 2 4 4" xfId="7172"/>
    <cellStyle name="Comma 12 9 2 2 4 4 2" xfId="11109"/>
    <cellStyle name="Comma 12 9 2 2 4 5" xfId="11104"/>
    <cellStyle name="Comma 12 9 2 2 4 6" xfId="14946"/>
    <cellStyle name="Comma 12 9 2 2 4 6 2" xfId="31168"/>
    <cellStyle name="Comma 12 9 2 2 5" xfId="7173"/>
    <cellStyle name="Comma 12 9 2 2 5 2" xfId="7174"/>
    <cellStyle name="Comma 12 9 2 2 5 2 2" xfId="11111"/>
    <cellStyle name="Comma 12 9 2 2 5 2 3" xfId="16795"/>
    <cellStyle name="Comma 12 9 2 2 5 2 3 2" xfId="33016"/>
    <cellStyle name="Comma 12 9 2 2 5 3" xfId="7175"/>
    <cellStyle name="Comma 12 9 2 2 5 3 2" xfId="11112"/>
    <cellStyle name="Comma 12 9 2 2 5 4" xfId="11110"/>
    <cellStyle name="Comma 12 9 2 2 5 5" xfId="15210"/>
    <cellStyle name="Comma 12 9 2 2 5 5 2" xfId="31432"/>
    <cellStyle name="Comma 12 9 2 2 6" xfId="7176"/>
    <cellStyle name="Comma 12 9 2 2 6 2" xfId="11113"/>
    <cellStyle name="Comma 12 9 2 2 6 3" xfId="16003"/>
    <cellStyle name="Comma 12 9 2 2 6 3 2" xfId="32224"/>
    <cellStyle name="Comma 12 9 2 2 7" xfId="7177"/>
    <cellStyle name="Comma 12 9 2 2 7 2" xfId="11114"/>
    <cellStyle name="Comma 12 9 2 2 8" xfId="11079"/>
    <cellStyle name="Comma 12 9 2 2 9" xfId="14418"/>
    <cellStyle name="Comma 12 9 2 2 9 2" xfId="30640"/>
    <cellStyle name="Comma 12 9 2 3" xfId="7178"/>
    <cellStyle name="Comma 12 9 2 3 2" xfId="7179"/>
    <cellStyle name="Comma 12 9 2 3 2 2" xfId="7180"/>
    <cellStyle name="Comma 12 9 2 3 2 2 2" xfId="7181"/>
    <cellStyle name="Comma 12 9 2 3 2 2 2 2" xfId="11118"/>
    <cellStyle name="Comma 12 9 2 3 2 2 2 3" xfId="17125"/>
    <cellStyle name="Comma 12 9 2 3 2 2 2 3 2" xfId="33346"/>
    <cellStyle name="Comma 12 9 2 3 2 2 3" xfId="7182"/>
    <cellStyle name="Comma 12 9 2 3 2 2 3 2" xfId="11119"/>
    <cellStyle name="Comma 12 9 2 3 2 2 4" xfId="11117"/>
    <cellStyle name="Comma 12 9 2 3 2 2 5" xfId="15540"/>
    <cellStyle name="Comma 12 9 2 3 2 2 5 2" xfId="31762"/>
    <cellStyle name="Comma 12 9 2 3 2 3" xfId="7183"/>
    <cellStyle name="Comma 12 9 2 3 2 3 2" xfId="11120"/>
    <cellStyle name="Comma 12 9 2 3 2 3 3" xfId="16333"/>
    <cellStyle name="Comma 12 9 2 3 2 3 3 2" xfId="32554"/>
    <cellStyle name="Comma 12 9 2 3 2 4" xfId="7184"/>
    <cellStyle name="Comma 12 9 2 3 2 4 2" xfId="11121"/>
    <cellStyle name="Comma 12 9 2 3 2 5" xfId="11116"/>
    <cellStyle name="Comma 12 9 2 3 2 6" xfId="14748"/>
    <cellStyle name="Comma 12 9 2 3 2 6 2" xfId="30970"/>
    <cellStyle name="Comma 12 9 2 3 3" xfId="7185"/>
    <cellStyle name="Comma 12 9 2 3 3 2" xfId="7186"/>
    <cellStyle name="Comma 12 9 2 3 3 2 2" xfId="7187"/>
    <cellStyle name="Comma 12 9 2 3 3 2 2 2" xfId="11124"/>
    <cellStyle name="Comma 12 9 2 3 3 2 2 3" xfId="17389"/>
    <cellStyle name="Comma 12 9 2 3 3 2 2 3 2" xfId="33610"/>
    <cellStyle name="Comma 12 9 2 3 3 2 3" xfId="7188"/>
    <cellStyle name="Comma 12 9 2 3 3 2 3 2" xfId="11125"/>
    <cellStyle name="Comma 12 9 2 3 3 2 4" xfId="11123"/>
    <cellStyle name="Comma 12 9 2 3 3 2 5" xfId="15804"/>
    <cellStyle name="Comma 12 9 2 3 3 2 5 2" xfId="32026"/>
    <cellStyle name="Comma 12 9 2 3 3 3" xfId="7189"/>
    <cellStyle name="Comma 12 9 2 3 3 3 2" xfId="11126"/>
    <cellStyle name="Comma 12 9 2 3 3 3 3" xfId="16597"/>
    <cellStyle name="Comma 12 9 2 3 3 3 3 2" xfId="32818"/>
    <cellStyle name="Comma 12 9 2 3 3 4" xfId="7190"/>
    <cellStyle name="Comma 12 9 2 3 3 4 2" xfId="11127"/>
    <cellStyle name="Comma 12 9 2 3 3 5" xfId="11122"/>
    <cellStyle name="Comma 12 9 2 3 3 6" xfId="15012"/>
    <cellStyle name="Comma 12 9 2 3 3 6 2" xfId="31234"/>
    <cellStyle name="Comma 12 9 2 3 4" xfId="7191"/>
    <cellStyle name="Comma 12 9 2 3 4 2" xfId="7192"/>
    <cellStyle name="Comma 12 9 2 3 4 2 2" xfId="11129"/>
    <cellStyle name="Comma 12 9 2 3 4 2 3" xfId="16861"/>
    <cellStyle name="Comma 12 9 2 3 4 2 3 2" xfId="33082"/>
    <cellStyle name="Comma 12 9 2 3 4 3" xfId="7193"/>
    <cellStyle name="Comma 12 9 2 3 4 3 2" xfId="11130"/>
    <cellStyle name="Comma 12 9 2 3 4 4" xfId="11128"/>
    <cellStyle name="Comma 12 9 2 3 4 5" xfId="15276"/>
    <cellStyle name="Comma 12 9 2 3 4 5 2" xfId="31498"/>
    <cellStyle name="Comma 12 9 2 3 5" xfId="7194"/>
    <cellStyle name="Comma 12 9 2 3 5 2" xfId="11131"/>
    <cellStyle name="Comma 12 9 2 3 5 3" xfId="16069"/>
    <cellStyle name="Comma 12 9 2 3 5 3 2" xfId="32290"/>
    <cellStyle name="Comma 12 9 2 3 6" xfId="7195"/>
    <cellStyle name="Comma 12 9 2 3 6 2" xfId="11132"/>
    <cellStyle name="Comma 12 9 2 3 7" xfId="11115"/>
    <cellStyle name="Comma 12 9 2 3 8" xfId="14484"/>
    <cellStyle name="Comma 12 9 2 3 8 2" xfId="30706"/>
    <cellStyle name="Comma 12 9 2 4" xfId="7196"/>
    <cellStyle name="Comma 12 9 2 4 2" xfId="7197"/>
    <cellStyle name="Comma 12 9 2 4 2 2" xfId="7198"/>
    <cellStyle name="Comma 12 9 2 4 2 2 2" xfId="11135"/>
    <cellStyle name="Comma 12 9 2 4 2 2 3" xfId="16993"/>
    <cellStyle name="Comma 12 9 2 4 2 2 3 2" xfId="33214"/>
    <cellStyle name="Comma 12 9 2 4 2 3" xfId="7199"/>
    <cellStyle name="Comma 12 9 2 4 2 3 2" xfId="11136"/>
    <cellStyle name="Comma 12 9 2 4 2 4" xfId="11134"/>
    <cellStyle name="Comma 12 9 2 4 2 5" xfId="15408"/>
    <cellStyle name="Comma 12 9 2 4 2 5 2" xfId="31630"/>
    <cellStyle name="Comma 12 9 2 4 3" xfId="7200"/>
    <cellStyle name="Comma 12 9 2 4 3 2" xfId="11137"/>
    <cellStyle name="Comma 12 9 2 4 3 3" xfId="16201"/>
    <cellStyle name="Comma 12 9 2 4 3 3 2" xfId="32422"/>
    <cellStyle name="Comma 12 9 2 4 4" xfId="7201"/>
    <cellStyle name="Comma 12 9 2 4 4 2" xfId="11138"/>
    <cellStyle name="Comma 12 9 2 4 5" xfId="11133"/>
    <cellStyle name="Comma 12 9 2 4 6" xfId="14616"/>
    <cellStyle name="Comma 12 9 2 4 6 2" xfId="30838"/>
    <cellStyle name="Comma 12 9 2 5" xfId="7202"/>
    <cellStyle name="Comma 12 9 2 5 2" xfId="7203"/>
    <cellStyle name="Comma 12 9 2 5 2 2" xfId="7204"/>
    <cellStyle name="Comma 12 9 2 5 2 2 2" xfId="11141"/>
    <cellStyle name="Comma 12 9 2 5 2 2 3" xfId="17257"/>
    <cellStyle name="Comma 12 9 2 5 2 2 3 2" xfId="33478"/>
    <cellStyle name="Comma 12 9 2 5 2 3" xfId="7205"/>
    <cellStyle name="Comma 12 9 2 5 2 3 2" xfId="11142"/>
    <cellStyle name="Comma 12 9 2 5 2 4" xfId="11140"/>
    <cellStyle name="Comma 12 9 2 5 2 5" xfId="15672"/>
    <cellStyle name="Comma 12 9 2 5 2 5 2" xfId="31894"/>
    <cellStyle name="Comma 12 9 2 5 3" xfId="7206"/>
    <cellStyle name="Comma 12 9 2 5 3 2" xfId="11143"/>
    <cellStyle name="Comma 12 9 2 5 3 3" xfId="16465"/>
    <cellStyle name="Comma 12 9 2 5 3 3 2" xfId="32686"/>
    <cellStyle name="Comma 12 9 2 5 4" xfId="7207"/>
    <cellStyle name="Comma 12 9 2 5 4 2" xfId="11144"/>
    <cellStyle name="Comma 12 9 2 5 5" xfId="11139"/>
    <cellStyle name="Comma 12 9 2 5 6" xfId="14880"/>
    <cellStyle name="Comma 12 9 2 5 6 2" xfId="31102"/>
    <cellStyle name="Comma 12 9 2 6" xfId="7208"/>
    <cellStyle name="Comma 12 9 2 6 2" xfId="7209"/>
    <cellStyle name="Comma 12 9 2 6 2 2" xfId="11146"/>
    <cellStyle name="Comma 12 9 2 6 2 3" xfId="16729"/>
    <cellStyle name="Comma 12 9 2 6 2 3 2" xfId="32950"/>
    <cellStyle name="Comma 12 9 2 6 3" xfId="7210"/>
    <cellStyle name="Comma 12 9 2 6 3 2" xfId="11147"/>
    <cellStyle name="Comma 12 9 2 6 4" xfId="11145"/>
    <cellStyle name="Comma 12 9 2 6 5" xfId="15144"/>
    <cellStyle name="Comma 12 9 2 6 5 2" xfId="31366"/>
    <cellStyle name="Comma 12 9 2 7" xfId="7211"/>
    <cellStyle name="Comma 12 9 2 7 2" xfId="11148"/>
    <cellStyle name="Comma 12 9 2 7 3" xfId="15937"/>
    <cellStyle name="Comma 12 9 2 7 3 2" xfId="32158"/>
    <cellStyle name="Comma 12 9 2 8" xfId="7212"/>
    <cellStyle name="Comma 12 9 2 8 2" xfId="11149"/>
    <cellStyle name="Comma 12 9 2 9" xfId="11078"/>
    <cellStyle name="Comma 12 9 3" xfId="7213"/>
    <cellStyle name="Comma 12 9 3 2" xfId="7214"/>
    <cellStyle name="Comma 12 9 3 2 2" xfId="7215"/>
    <cellStyle name="Comma 12 9 3 2 2 2" xfId="7216"/>
    <cellStyle name="Comma 12 9 3 2 2 2 2" xfId="7217"/>
    <cellStyle name="Comma 12 9 3 2 2 2 2 2" xfId="11154"/>
    <cellStyle name="Comma 12 9 3 2 2 2 2 3" xfId="17158"/>
    <cellStyle name="Comma 12 9 3 2 2 2 2 3 2" xfId="33379"/>
    <cellStyle name="Comma 12 9 3 2 2 2 3" xfId="7218"/>
    <cellStyle name="Comma 12 9 3 2 2 2 3 2" xfId="11155"/>
    <cellStyle name="Comma 12 9 3 2 2 2 4" xfId="11153"/>
    <cellStyle name="Comma 12 9 3 2 2 2 5" xfId="15573"/>
    <cellStyle name="Comma 12 9 3 2 2 2 5 2" xfId="31795"/>
    <cellStyle name="Comma 12 9 3 2 2 3" xfId="7219"/>
    <cellStyle name="Comma 12 9 3 2 2 3 2" xfId="11156"/>
    <cellStyle name="Comma 12 9 3 2 2 3 3" xfId="16366"/>
    <cellStyle name="Comma 12 9 3 2 2 3 3 2" xfId="32587"/>
    <cellStyle name="Comma 12 9 3 2 2 4" xfId="7220"/>
    <cellStyle name="Comma 12 9 3 2 2 4 2" xfId="11157"/>
    <cellStyle name="Comma 12 9 3 2 2 5" xfId="11152"/>
    <cellStyle name="Comma 12 9 3 2 2 6" xfId="14781"/>
    <cellStyle name="Comma 12 9 3 2 2 6 2" xfId="31003"/>
    <cellStyle name="Comma 12 9 3 2 3" xfId="7221"/>
    <cellStyle name="Comma 12 9 3 2 3 2" xfId="7222"/>
    <cellStyle name="Comma 12 9 3 2 3 2 2" xfId="7223"/>
    <cellStyle name="Comma 12 9 3 2 3 2 2 2" xfId="11160"/>
    <cellStyle name="Comma 12 9 3 2 3 2 2 3" xfId="17422"/>
    <cellStyle name="Comma 12 9 3 2 3 2 2 3 2" xfId="33643"/>
    <cellStyle name="Comma 12 9 3 2 3 2 3" xfId="7224"/>
    <cellStyle name="Comma 12 9 3 2 3 2 3 2" xfId="11161"/>
    <cellStyle name="Comma 12 9 3 2 3 2 4" xfId="11159"/>
    <cellStyle name="Comma 12 9 3 2 3 2 5" xfId="15837"/>
    <cellStyle name="Comma 12 9 3 2 3 2 5 2" xfId="32059"/>
    <cellStyle name="Comma 12 9 3 2 3 3" xfId="7225"/>
    <cellStyle name="Comma 12 9 3 2 3 3 2" xfId="11162"/>
    <cellStyle name="Comma 12 9 3 2 3 3 3" xfId="16630"/>
    <cellStyle name="Comma 12 9 3 2 3 3 3 2" xfId="32851"/>
    <cellStyle name="Comma 12 9 3 2 3 4" xfId="7226"/>
    <cellStyle name="Comma 12 9 3 2 3 4 2" xfId="11163"/>
    <cellStyle name="Comma 12 9 3 2 3 5" xfId="11158"/>
    <cellStyle name="Comma 12 9 3 2 3 6" xfId="15045"/>
    <cellStyle name="Comma 12 9 3 2 3 6 2" xfId="31267"/>
    <cellStyle name="Comma 12 9 3 2 4" xfId="7227"/>
    <cellStyle name="Comma 12 9 3 2 4 2" xfId="7228"/>
    <cellStyle name="Comma 12 9 3 2 4 2 2" xfId="11165"/>
    <cellStyle name="Comma 12 9 3 2 4 2 3" xfId="16894"/>
    <cellStyle name="Comma 12 9 3 2 4 2 3 2" xfId="33115"/>
    <cellStyle name="Comma 12 9 3 2 4 3" xfId="7229"/>
    <cellStyle name="Comma 12 9 3 2 4 3 2" xfId="11166"/>
    <cellStyle name="Comma 12 9 3 2 4 4" xfId="11164"/>
    <cellStyle name="Comma 12 9 3 2 4 5" xfId="15309"/>
    <cellStyle name="Comma 12 9 3 2 4 5 2" xfId="31531"/>
    <cellStyle name="Comma 12 9 3 2 5" xfId="7230"/>
    <cellStyle name="Comma 12 9 3 2 5 2" xfId="11167"/>
    <cellStyle name="Comma 12 9 3 2 5 3" xfId="16102"/>
    <cellStyle name="Comma 12 9 3 2 5 3 2" xfId="32323"/>
    <cellStyle name="Comma 12 9 3 2 6" xfId="7231"/>
    <cellStyle name="Comma 12 9 3 2 6 2" xfId="11168"/>
    <cellStyle name="Comma 12 9 3 2 7" xfId="11151"/>
    <cellStyle name="Comma 12 9 3 2 8" xfId="14517"/>
    <cellStyle name="Comma 12 9 3 2 8 2" xfId="30739"/>
    <cellStyle name="Comma 12 9 3 3" xfId="7232"/>
    <cellStyle name="Comma 12 9 3 3 2" xfId="7233"/>
    <cellStyle name="Comma 12 9 3 3 2 2" xfId="7234"/>
    <cellStyle name="Comma 12 9 3 3 2 2 2" xfId="11171"/>
    <cellStyle name="Comma 12 9 3 3 2 2 3" xfId="17026"/>
    <cellStyle name="Comma 12 9 3 3 2 2 3 2" xfId="33247"/>
    <cellStyle name="Comma 12 9 3 3 2 3" xfId="7235"/>
    <cellStyle name="Comma 12 9 3 3 2 3 2" xfId="11172"/>
    <cellStyle name="Comma 12 9 3 3 2 4" xfId="11170"/>
    <cellStyle name="Comma 12 9 3 3 2 5" xfId="15441"/>
    <cellStyle name="Comma 12 9 3 3 2 5 2" xfId="31663"/>
    <cellStyle name="Comma 12 9 3 3 3" xfId="7236"/>
    <cellStyle name="Comma 12 9 3 3 3 2" xfId="11173"/>
    <cellStyle name="Comma 12 9 3 3 3 3" xfId="16234"/>
    <cellStyle name="Comma 12 9 3 3 3 3 2" xfId="32455"/>
    <cellStyle name="Comma 12 9 3 3 4" xfId="7237"/>
    <cellStyle name="Comma 12 9 3 3 4 2" xfId="11174"/>
    <cellStyle name="Comma 12 9 3 3 5" xfId="11169"/>
    <cellStyle name="Comma 12 9 3 3 6" xfId="14649"/>
    <cellStyle name="Comma 12 9 3 3 6 2" xfId="30871"/>
    <cellStyle name="Comma 12 9 3 4" xfId="7238"/>
    <cellStyle name="Comma 12 9 3 4 2" xfId="7239"/>
    <cellStyle name="Comma 12 9 3 4 2 2" xfId="7240"/>
    <cellStyle name="Comma 12 9 3 4 2 2 2" xfId="11177"/>
    <cellStyle name="Comma 12 9 3 4 2 2 3" xfId="17290"/>
    <cellStyle name="Comma 12 9 3 4 2 2 3 2" xfId="33511"/>
    <cellStyle name="Comma 12 9 3 4 2 3" xfId="7241"/>
    <cellStyle name="Comma 12 9 3 4 2 3 2" xfId="11178"/>
    <cellStyle name="Comma 12 9 3 4 2 4" xfId="11176"/>
    <cellStyle name="Comma 12 9 3 4 2 5" xfId="15705"/>
    <cellStyle name="Comma 12 9 3 4 2 5 2" xfId="31927"/>
    <cellStyle name="Comma 12 9 3 4 3" xfId="7242"/>
    <cellStyle name="Comma 12 9 3 4 3 2" xfId="11179"/>
    <cellStyle name="Comma 12 9 3 4 3 3" xfId="16498"/>
    <cellStyle name="Comma 12 9 3 4 3 3 2" xfId="32719"/>
    <cellStyle name="Comma 12 9 3 4 4" xfId="7243"/>
    <cellStyle name="Comma 12 9 3 4 4 2" xfId="11180"/>
    <cellStyle name="Comma 12 9 3 4 5" xfId="11175"/>
    <cellStyle name="Comma 12 9 3 4 6" xfId="14913"/>
    <cellStyle name="Comma 12 9 3 4 6 2" xfId="31135"/>
    <cellStyle name="Comma 12 9 3 5" xfId="7244"/>
    <cellStyle name="Comma 12 9 3 5 2" xfId="7245"/>
    <cellStyle name="Comma 12 9 3 5 2 2" xfId="11182"/>
    <cellStyle name="Comma 12 9 3 5 2 3" xfId="16762"/>
    <cellStyle name="Comma 12 9 3 5 2 3 2" xfId="32983"/>
    <cellStyle name="Comma 12 9 3 5 3" xfId="7246"/>
    <cellStyle name="Comma 12 9 3 5 3 2" xfId="11183"/>
    <cellStyle name="Comma 12 9 3 5 4" xfId="11181"/>
    <cellStyle name="Comma 12 9 3 5 5" xfId="15177"/>
    <cellStyle name="Comma 12 9 3 5 5 2" xfId="31399"/>
    <cellStyle name="Comma 12 9 3 6" xfId="7247"/>
    <cellStyle name="Comma 12 9 3 6 2" xfId="11184"/>
    <cellStyle name="Comma 12 9 3 6 3" xfId="15970"/>
    <cellStyle name="Comma 12 9 3 6 3 2" xfId="32191"/>
    <cellStyle name="Comma 12 9 3 7" xfId="7248"/>
    <cellStyle name="Comma 12 9 3 7 2" xfId="11185"/>
    <cellStyle name="Comma 12 9 3 8" xfId="11150"/>
    <cellStyle name="Comma 12 9 3 9" xfId="14385"/>
    <cellStyle name="Comma 12 9 3 9 2" xfId="30607"/>
    <cellStyle name="Comma 12 9 4" xfId="7249"/>
    <cellStyle name="Comma 12 9 4 2" xfId="7250"/>
    <cellStyle name="Comma 12 9 4 2 2" xfId="7251"/>
    <cellStyle name="Comma 12 9 4 2 2 2" xfId="7252"/>
    <cellStyle name="Comma 12 9 4 2 2 2 2" xfId="11189"/>
    <cellStyle name="Comma 12 9 4 2 2 2 3" xfId="17092"/>
    <cellStyle name="Comma 12 9 4 2 2 2 3 2" xfId="33313"/>
    <cellStyle name="Comma 12 9 4 2 2 3" xfId="7253"/>
    <cellStyle name="Comma 12 9 4 2 2 3 2" xfId="11190"/>
    <cellStyle name="Comma 12 9 4 2 2 4" xfId="11188"/>
    <cellStyle name="Comma 12 9 4 2 2 5" xfId="15507"/>
    <cellStyle name="Comma 12 9 4 2 2 5 2" xfId="31729"/>
    <cellStyle name="Comma 12 9 4 2 3" xfId="7254"/>
    <cellStyle name="Comma 12 9 4 2 3 2" xfId="11191"/>
    <cellStyle name="Comma 12 9 4 2 3 3" xfId="16300"/>
    <cellStyle name="Comma 12 9 4 2 3 3 2" xfId="32521"/>
    <cellStyle name="Comma 12 9 4 2 4" xfId="7255"/>
    <cellStyle name="Comma 12 9 4 2 4 2" xfId="11192"/>
    <cellStyle name="Comma 12 9 4 2 5" xfId="11187"/>
    <cellStyle name="Comma 12 9 4 2 6" xfId="14715"/>
    <cellStyle name="Comma 12 9 4 2 6 2" xfId="30937"/>
    <cellStyle name="Comma 12 9 4 3" xfId="7256"/>
    <cellStyle name="Comma 12 9 4 3 2" xfId="7257"/>
    <cellStyle name="Comma 12 9 4 3 2 2" xfId="7258"/>
    <cellStyle name="Comma 12 9 4 3 2 2 2" xfId="11195"/>
    <cellStyle name="Comma 12 9 4 3 2 2 3" xfId="17356"/>
    <cellStyle name="Comma 12 9 4 3 2 2 3 2" xfId="33577"/>
    <cellStyle name="Comma 12 9 4 3 2 3" xfId="7259"/>
    <cellStyle name="Comma 12 9 4 3 2 3 2" xfId="11196"/>
    <cellStyle name="Comma 12 9 4 3 2 4" xfId="11194"/>
    <cellStyle name="Comma 12 9 4 3 2 5" xfId="15771"/>
    <cellStyle name="Comma 12 9 4 3 2 5 2" xfId="31993"/>
    <cellStyle name="Comma 12 9 4 3 3" xfId="7260"/>
    <cellStyle name="Comma 12 9 4 3 3 2" xfId="11197"/>
    <cellStyle name="Comma 12 9 4 3 3 3" xfId="16564"/>
    <cellStyle name="Comma 12 9 4 3 3 3 2" xfId="32785"/>
    <cellStyle name="Comma 12 9 4 3 4" xfId="7261"/>
    <cellStyle name="Comma 12 9 4 3 4 2" xfId="11198"/>
    <cellStyle name="Comma 12 9 4 3 5" xfId="11193"/>
    <cellStyle name="Comma 12 9 4 3 6" xfId="14979"/>
    <cellStyle name="Comma 12 9 4 3 6 2" xfId="31201"/>
    <cellStyle name="Comma 12 9 4 4" xfId="7262"/>
    <cellStyle name="Comma 12 9 4 4 2" xfId="7263"/>
    <cellStyle name="Comma 12 9 4 4 2 2" xfId="11200"/>
    <cellStyle name="Comma 12 9 4 4 2 3" xfId="16828"/>
    <cellStyle name="Comma 12 9 4 4 2 3 2" xfId="33049"/>
    <cellStyle name="Comma 12 9 4 4 3" xfId="7264"/>
    <cellStyle name="Comma 12 9 4 4 3 2" xfId="11201"/>
    <cellStyle name="Comma 12 9 4 4 4" xfId="11199"/>
    <cellStyle name="Comma 12 9 4 4 5" xfId="15243"/>
    <cellStyle name="Comma 12 9 4 4 5 2" xfId="31465"/>
    <cellStyle name="Comma 12 9 4 5" xfId="7265"/>
    <cellStyle name="Comma 12 9 4 5 2" xfId="11202"/>
    <cellStyle name="Comma 12 9 4 5 3" xfId="16036"/>
    <cellStyle name="Comma 12 9 4 5 3 2" xfId="32257"/>
    <cellStyle name="Comma 12 9 4 6" xfId="7266"/>
    <cellStyle name="Comma 12 9 4 6 2" xfId="11203"/>
    <cellStyle name="Comma 12 9 4 7" xfId="11186"/>
    <cellStyle name="Comma 12 9 4 8" xfId="14451"/>
    <cellStyle name="Comma 12 9 4 8 2" xfId="30673"/>
    <cellStyle name="Comma 12 9 5" xfId="7267"/>
    <cellStyle name="Comma 12 9 5 2" xfId="7268"/>
    <cellStyle name="Comma 12 9 5 2 2" xfId="7269"/>
    <cellStyle name="Comma 12 9 5 2 2 2" xfId="11206"/>
    <cellStyle name="Comma 12 9 5 2 2 3" xfId="16960"/>
    <cellStyle name="Comma 12 9 5 2 2 3 2" xfId="33181"/>
    <cellStyle name="Comma 12 9 5 2 3" xfId="7270"/>
    <cellStyle name="Comma 12 9 5 2 3 2" xfId="11207"/>
    <cellStyle name="Comma 12 9 5 2 4" xfId="11205"/>
    <cellStyle name="Comma 12 9 5 2 5" xfId="15375"/>
    <cellStyle name="Comma 12 9 5 2 5 2" xfId="31597"/>
    <cellStyle name="Comma 12 9 5 3" xfId="7271"/>
    <cellStyle name="Comma 12 9 5 3 2" xfId="11208"/>
    <cellStyle name="Comma 12 9 5 3 3" xfId="16168"/>
    <cellStyle name="Comma 12 9 5 3 3 2" xfId="32389"/>
    <cellStyle name="Comma 12 9 5 4" xfId="7272"/>
    <cellStyle name="Comma 12 9 5 4 2" xfId="11209"/>
    <cellStyle name="Comma 12 9 5 5" xfId="11204"/>
    <cellStyle name="Comma 12 9 5 6" xfId="14583"/>
    <cellStyle name="Comma 12 9 5 6 2" xfId="30805"/>
    <cellStyle name="Comma 12 9 6" xfId="7273"/>
    <cellStyle name="Comma 12 9 6 2" xfId="7274"/>
    <cellStyle name="Comma 12 9 6 2 2" xfId="7275"/>
    <cellStyle name="Comma 12 9 6 2 2 2" xfId="11212"/>
    <cellStyle name="Comma 12 9 6 2 2 3" xfId="17224"/>
    <cellStyle name="Comma 12 9 6 2 2 3 2" xfId="33445"/>
    <cellStyle name="Comma 12 9 6 2 3" xfId="7276"/>
    <cellStyle name="Comma 12 9 6 2 3 2" xfId="11213"/>
    <cellStyle name="Comma 12 9 6 2 4" xfId="11211"/>
    <cellStyle name="Comma 12 9 6 2 5" xfId="15639"/>
    <cellStyle name="Comma 12 9 6 2 5 2" xfId="31861"/>
    <cellStyle name="Comma 12 9 6 3" xfId="7277"/>
    <cellStyle name="Comma 12 9 6 3 2" xfId="11214"/>
    <cellStyle name="Comma 12 9 6 3 3" xfId="16432"/>
    <cellStyle name="Comma 12 9 6 3 3 2" xfId="32653"/>
    <cellStyle name="Comma 12 9 6 4" xfId="7278"/>
    <cellStyle name="Comma 12 9 6 4 2" xfId="11215"/>
    <cellStyle name="Comma 12 9 6 5" xfId="11210"/>
    <cellStyle name="Comma 12 9 6 6" xfId="14847"/>
    <cellStyle name="Comma 12 9 6 6 2" xfId="31069"/>
    <cellStyle name="Comma 12 9 7" xfId="7279"/>
    <cellStyle name="Comma 12 9 7 2" xfId="7280"/>
    <cellStyle name="Comma 12 9 7 2 2" xfId="11217"/>
    <cellStyle name="Comma 12 9 7 2 3" xfId="16696"/>
    <cellStyle name="Comma 12 9 7 2 3 2" xfId="32917"/>
    <cellStyle name="Comma 12 9 7 3" xfId="7281"/>
    <cellStyle name="Comma 12 9 7 3 2" xfId="11218"/>
    <cellStyle name="Comma 12 9 7 4" xfId="11216"/>
    <cellStyle name="Comma 12 9 7 5" xfId="15111"/>
    <cellStyle name="Comma 12 9 7 5 2" xfId="31333"/>
    <cellStyle name="Comma 12 9 8" xfId="7282"/>
    <cellStyle name="Comma 12 9 8 2" xfId="7283"/>
    <cellStyle name="Comma 12 9 8 2 2" xfId="11220"/>
    <cellStyle name="Comma 12 9 8 3" xfId="11219"/>
    <cellStyle name="Comma 12 9 8 4" xfId="15904"/>
    <cellStyle name="Comma 12 9 8 4 2" xfId="32125"/>
    <cellStyle name="Comma 12 9 9" xfId="7284"/>
    <cellStyle name="Comma 12 9 9 2" xfId="11221"/>
    <cellStyle name="Comma 13" xfId="14239"/>
    <cellStyle name="Comma 13 2" xfId="5007"/>
    <cellStyle name="Comma 13 2 2" xfId="11222"/>
    <cellStyle name="Comma 13 3" xfId="5008"/>
    <cellStyle name="Comma 13 3 2" xfId="11223"/>
    <cellStyle name="Comma 13 4" xfId="5009"/>
    <cellStyle name="Comma 13 4 2" xfId="11224"/>
    <cellStyle name="Comma 13 5" xfId="5010"/>
    <cellStyle name="Comma 13 5 2" xfId="11225"/>
    <cellStyle name="Comma 13 6" xfId="5011"/>
    <cellStyle name="Comma 13 6 2" xfId="11226"/>
    <cellStyle name="Comma 14" xfId="20983"/>
    <cellStyle name="Comma 14 2" xfId="5012"/>
    <cellStyle name="Comma 14 2 2" xfId="11227"/>
    <cellStyle name="Comma 14 3" xfId="5013"/>
    <cellStyle name="Comma 14 3 2" xfId="11228"/>
    <cellStyle name="Comma 14 4" xfId="5014"/>
    <cellStyle name="Comma 14 4 2" xfId="11229"/>
    <cellStyle name="Comma 14 5" xfId="5015"/>
    <cellStyle name="Comma 14 5 2" xfId="11230"/>
    <cellStyle name="Comma 14 6" xfId="5016"/>
    <cellStyle name="Comma 14 6 2" xfId="11231"/>
    <cellStyle name="Comma 15 2" xfId="5017"/>
    <cellStyle name="Comma 15 2 2" xfId="11232"/>
    <cellStyle name="Comma 15 3" xfId="5018"/>
    <cellStyle name="Comma 15 3 2" xfId="11233"/>
    <cellStyle name="Comma 15 4" xfId="5019"/>
    <cellStyle name="Comma 15 4 2" xfId="11234"/>
    <cellStyle name="Comma 15 5" xfId="5020"/>
    <cellStyle name="Comma 15 5 2" xfId="11235"/>
    <cellStyle name="Comma 15 6" xfId="5021"/>
    <cellStyle name="Comma 15 6 2" xfId="11236"/>
    <cellStyle name="Comma 15 7" xfId="5022"/>
    <cellStyle name="Comma 15 7 2" xfId="5023"/>
    <cellStyle name="Comma 15 7 2 2" xfId="11238"/>
    <cellStyle name="Comma 15 7 3" xfId="11237"/>
    <cellStyle name="Comma 16" xfId="39609"/>
    <cellStyle name="Comma 16 2" xfId="5024"/>
    <cellStyle name="Comma 16 2 2" xfId="11239"/>
    <cellStyle name="Comma 16 3" xfId="5025"/>
    <cellStyle name="Comma 16 3 2" xfId="11240"/>
    <cellStyle name="Comma 16 4" xfId="5026"/>
    <cellStyle name="Comma 16 4 2" xfId="11241"/>
    <cellStyle name="Comma 16 5" xfId="5027"/>
    <cellStyle name="Comma 16 5 2" xfId="11242"/>
    <cellStyle name="Comma 16 6" xfId="5028"/>
    <cellStyle name="Comma 16 6 2" xfId="11243"/>
    <cellStyle name="Comma 2" xfId="67"/>
    <cellStyle name="Comma 2 10" xfId="727"/>
    <cellStyle name="Comma 2 10 2" xfId="2226"/>
    <cellStyle name="Comma 2 10 2 2" xfId="11245"/>
    <cellStyle name="Comma 2 10 2 3" xfId="24394"/>
    <cellStyle name="Comma 2 10 2 4" xfId="39010"/>
    <cellStyle name="Comma 2 10 3" xfId="3725"/>
    <cellStyle name="Comma 2 10 3 2" xfId="25892"/>
    <cellStyle name="Comma 2 10 3 3" xfId="39144"/>
    <cellStyle name="Comma 2 10 4" xfId="5029"/>
    <cellStyle name="Comma 2 10 4 2" xfId="39292"/>
    <cellStyle name="Comma 2 10 5" xfId="21398"/>
    <cellStyle name="Comma 2 10 5 2" xfId="37610"/>
    <cellStyle name="Comma 2 10 5 3" xfId="39441"/>
    <cellStyle name="Comma 2 10 6" xfId="22896"/>
    <cellStyle name="Comma 2 10 7" xfId="38862"/>
    <cellStyle name="Comma 2 11" xfId="1078"/>
    <cellStyle name="Comma 2 11 2" xfId="2577"/>
    <cellStyle name="Comma 2 11 2 2" xfId="11246"/>
    <cellStyle name="Comma 2 11 2 3" xfId="24745"/>
    <cellStyle name="Comma 2 11 2 4" xfId="39487"/>
    <cellStyle name="Comma 2 11 3" xfId="4076"/>
    <cellStyle name="Comma 2 11 3 2" xfId="26243"/>
    <cellStyle name="Comma 2 11 4" xfId="5030"/>
    <cellStyle name="Comma 2 11 5" xfId="21749"/>
    <cellStyle name="Comma 2 11 5 2" xfId="37961"/>
    <cellStyle name="Comma 2 11 6" xfId="23247"/>
    <cellStyle name="Comma 2 11 7" xfId="38914"/>
    <cellStyle name="Comma 2 12" xfId="1429"/>
    <cellStyle name="Comma 2 12 2" xfId="2928"/>
    <cellStyle name="Comma 2 12 2 2" xfId="11247"/>
    <cellStyle name="Comma 2 12 2 3" xfId="25096"/>
    <cellStyle name="Comma 2 12 3" xfId="4427"/>
    <cellStyle name="Comma 2 12 3 2" xfId="26594"/>
    <cellStyle name="Comma 2 12 4" xfId="5031"/>
    <cellStyle name="Comma 2 12 5" xfId="22100"/>
    <cellStyle name="Comma 2 12 5 2" xfId="38312"/>
    <cellStyle name="Comma 2 12 6" xfId="23598"/>
    <cellStyle name="Comma 2 12 7" xfId="39040"/>
    <cellStyle name="Comma 2 13" xfId="311"/>
    <cellStyle name="Comma 2 13 2" xfId="1847"/>
    <cellStyle name="Comma 2 13 2 2" xfId="11248"/>
    <cellStyle name="Comma 2 13 2 3" xfId="24015"/>
    <cellStyle name="Comma 2 13 3" xfId="3346"/>
    <cellStyle name="Comma 2 13 3 2" xfId="25513"/>
    <cellStyle name="Comma 2 13 4" xfId="5032"/>
    <cellStyle name="Comma 2 13 5" xfId="21019"/>
    <cellStyle name="Comma 2 13 5 2" xfId="37231"/>
    <cellStyle name="Comma 2 13 6" xfId="22517"/>
    <cellStyle name="Comma 2 13 7" xfId="39188"/>
    <cellStyle name="Comma 2 14" xfId="1784"/>
    <cellStyle name="Comma 2 14 2" xfId="3283"/>
    <cellStyle name="Comma 2 14 2 2" xfId="11249"/>
    <cellStyle name="Comma 2 14 2 3" xfId="25450"/>
    <cellStyle name="Comma 2 14 3" xfId="4781"/>
    <cellStyle name="Comma 2 14 3 2" xfId="26948"/>
    <cellStyle name="Comma 2 14 4" xfId="5033"/>
    <cellStyle name="Comma 2 14 5" xfId="22454"/>
    <cellStyle name="Comma 2 14 5 2" xfId="38666"/>
    <cellStyle name="Comma 2 14 6" xfId="23952"/>
    <cellStyle name="Comma 2 14 7" xfId="39337"/>
    <cellStyle name="Comma 2 15" xfId="1819"/>
    <cellStyle name="Comma 2 15 2" xfId="11250"/>
    <cellStyle name="Comma 2 15 3" xfId="5034"/>
    <cellStyle name="Comma 2 15 4" xfId="23987"/>
    <cellStyle name="Comma 2 16" xfId="3318"/>
    <cellStyle name="Comma 2 16 2" xfId="11251"/>
    <cellStyle name="Comma 2 16 3" xfId="5035"/>
    <cellStyle name="Comma 2 16 4" xfId="25485"/>
    <cellStyle name="Comma 2 17" xfId="5036"/>
    <cellStyle name="Comma 2 17 2" xfId="11252"/>
    <cellStyle name="Comma 2 18" xfId="5037"/>
    <cellStyle name="Comma 2 18 2" xfId="11253"/>
    <cellStyle name="Comma 2 19" xfId="5038"/>
    <cellStyle name="Comma 2 19 2" xfId="11254"/>
    <cellStyle name="Comma 2 2" xfId="68"/>
    <cellStyle name="Comma 2 2 10" xfId="1079"/>
    <cellStyle name="Comma 2 2 10 2" xfId="2578"/>
    <cellStyle name="Comma 2 2 10 2 2" xfId="24746"/>
    <cellStyle name="Comma 2 2 10 3" xfId="4077"/>
    <cellStyle name="Comma 2 2 10 3 2" xfId="26244"/>
    <cellStyle name="Comma 2 2 10 4" xfId="21750"/>
    <cellStyle name="Comma 2 2 10 4 2" xfId="37962"/>
    <cellStyle name="Comma 2 2 10 5" xfId="23248"/>
    <cellStyle name="Comma 2 2 10 6" xfId="39190"/>
    <cellStyle name="Comma 2 2 11" xfId="1430"/>
    <cellStyle name="Comma 2 2 11 2" xfId="2929"/>
    <cellStyle name="Comma 2 2 11 2 2" xfId="25097"/>
    <cellStyle name="Comma 2 2 11 3" xfId="4428"/>
    <cellStyle name="Comma 2 2 11 3 2" xfId="26595"/>
    <cellStyle name="Comma 2 2 11 4" xfId="22101"/>
    <cellStyle name="Comma 2 2 11 4 2" xfId="38313"/>
    <cellStyle name="Comma 2 2 11 5" xfId="23599"/>
    <cellStyle name="Comma 2 2 11 6" xfId="39339"/>
    <cellStyle name="Comma 2 2 12" xfId="312"/>
    <cellStyle name="Comma 2 2 12 2" xfId="1848"/>
    <cellStyle name="Comma 2 2 12 2 2" xfId="24016"/>
    <cellStyle name="Comma 2 2 12 3" xfId="3347"/>
    <cellStyle name="Comma 2 2 12 3 2" xfId="25514"/>
    <cellStyle name="Comma 2 2 12 4" xfId="21020"/>
    <cellStyle name="Comma 2 2 12 4 2" xfId="37232"/>
    <cellStyle name="Comma 2 2 12 5" xfId="22518"/>
    <cellStyle name="Comma 2 2 13" xfId="1820"/>
    <cellStyle name="Comma 2 2 13 2" xfId="23988"/>
    <cellStyle name="Comma 2 2 14" xfId="3319"/>
    <cellStyle name="Comma 2 2 14 2" xfId="25486"/>
    <cellStyle name="Comma 2 2 15" xfId="20992"/>
    <cellStyle name="Comma 2 2 15 2" xfId="37204"/>
    <cellStyle name="Comma 2 2 16" xfId="22490"/>
    <cellStyle name="Comma 2 2 17" xfId="38712"/>
    <cellStyle name="Comma 2 2 18" xfId="271"/>
    <cellStyle name="Comma 2 2 2" xfId="69"/>
    <cellStyle name="Comma 2 2 2 10" xfId="1824"/>
    <cellStyle name="Comma 2 2 2 10 2" xfId="23992"/>
    <cellStyle name="Comma 2 2 2 11" xfId="3323"/>
    <cellStyle name="Comma 2 2 2 11 2" xfId="25490"/>
    <cellStyle name="Comma 2 2 2 12" xfId="20996"/>
    <cellStyle name="Comma 2 2 2 12 2" xfId="37208"/>
    <cellStyle name="Comma 2 2 2 13" xfId="22494"/>
    <cellStyle name="Comma 2 2 2 14" xfId="38716"/>
    <cellStyle name="Comma 2 2 2 15" xfId="287"/>
    <cellStyle name="Comma 2 2 2 2" xfId="398"/>
    <cellStyle name="Comma 2 2 2 2 2" xfId="38756"/>
    <cellStyle name="Comma 2 2 2 2 3" xfId="38844"/>
    <cellStyle name="Comma 2 2 2 2 4" xfId="38884"/>
    <cellStyle name="Comma 2 2 2 2 5" xfId="38936"/>
    <cellStyle name="Comma 2 2 2 2 6" xfId="39062"/>
    <cellStyle name="Comma 2 2 2 2 7" xfId="39210"/>
    <cellStyle name="Comma 2 2 2 2 8" xfId="39359"/>
    <cellStyle name="Comma 2 2 2 2 9" xfId="38724"/>
    <cellStyle name="Comma 2 2 2 3" xfId="496"/>
    <cellStyle name="Comma 2 2 2 3 2" xfId="849"/>
    <cellStyle name="Comma 2 2 2 3 2 2" xfId="2348"/>
    <cellStyle name="Comma 2 2 2 3 2 2 2" xfId="24516"/>
    <cellStyle name="Comma 2 2 2 3 2 3" xfId="3847"/>
    <cellStyle name="Comma 2 2 2 3 2 3 2" xfId="26014"/>
    <cellStyle name="Comma 2 2 2 3 2 4" xfId="21520"/>
    <cellStyle name="Comma 2 2 2 3 2 4 2" xfId="37732"/>
    <cellStyle name="Comma 2 2 2 3 2 5" xfId="23018"/>
    <cellStyle name="Comma 2 2 2 3 2 6" xfId="39496"/>
    <cellStyle name="Comma 2 2 2 3 3" xfId="1200"/>
    <cellStyle name="Comma 2 2 2 3 3 2" xfId="2699"/>
    <cellStyle name="Comma 2 2 2 3 3 2 2" xfId="24867"/>
    <cellStyle name="Comma 2 2 2 3 3 3" xfId="4198"/>
    <cellStyle name="Comma 2 2 2 3 3 3 2" xfId="26365"/>
    <cellStyle name="Comma 2 2 2 3 3 4" xfId="21871"/>
    <cellStyle name="Comma 2 2 2 3 3 4 2" xfId="38083"/>
    <cellStyle name="Comma 2 2 2 3 3 5" xfId="23369"/>
    <cellStyle name="Comma 2 2 2 3 4" xfId="1551"/>
    <cellStyle name="Comma 2 2 2 3 4 2" xfId="3050"/>
    <cellStyle name="Comma 2 2 2 3 4 2 2" xfId="25218"/>
    <cellStyle name="Comma 2 2 2 3 4 3" xfId="4549"/>
    <cellStyle name="Comma 2 2 2 3 4 3 2" xfId="26716"/>
    <cellStyle name="Comma 2 2 2 3 4 4" xfId="22222"/>
    <cellStyle name="Comma 2 2 2 3 4 4 2" xfId="38434"/>
    <cellStyle name="Comma 2 2 2 3 4 5" xfId="23720"/>
    <cellStyle name="Comma 2 2 2 3 5" xfId="1997"/>
    <cellStyle name="Comma 2 2 2 3 5 2" xfId="24165"/>
    <cellStyle name="Comma 2 2 2 3 6" xfId="3496"/>
    <cellStyle name="Comma 2 2 2 3 6 2" xfId="25663"/>
    <cellStyle name="Comma 2 2 2 3 7" xfId="21169"/>
    <cellStyle name="Comma 2 2 2 3 7 2" xfId="37381"/>
    <cellStyle name="Comma 2 2 2 3 8" xfId="22667"/>
    <cellStyle name="Comma 2 2 2 3 9" xfId="38742"/>
    <cellStyle name="Comma 2 2 2 4" xfId="614"/>
    <cellStyle name="Comma 2 2 2 4 2" xfId="966"/>
    <cellStyle name="Comma 2 2 2 4 2 2" xfId="2465"/>
    <cellStyle name="Comma 2 2 2 4 2 2 2" xfId="24633"/>
    <cellStyle name="Comma 2 2 2 4 2 3" xfId="3964"/>
    <cellStyle name="Comma 2 2 2 4 2 3 2" xfId="26131"/>
    <cellStyle name="Comma 2 2 2 4 2 4" xfId="21637"/>
    <cellStyle name="Comma 2 2 2 4 2 4 2" xfId="37849"/>
    <cellStyle name="Comma 2 2 2 4 2 5" xfId="23135"/>
    <cellStyle name="Comma 2 2 2 4 3" xfId="1317"/>
    <cellStyle name="Comma 2 2 2 4 3 2" xfId="2816"/>
    <cellStyle name="Comma 2 2 2 4 3 2 2" xfId="24984"/>
    <cellStyle name="Comma 2 2 2 4 3 3" xfId="4315"/>
    <cellStyle name="Comma 2 2 2 4 3 3 2" xfId="26482"/>
    <cellStyle name="Comma 2 2 2 4 3 4" xfId="21988"/>
    <cellStyle name="Comma 2 2 2 4 3 4 2" xfId="38200"/>
    <cellStyle name="Comma 2 2 2 4 3 5" xfId="23486"/>
    <cellStyle name="Comma 2 2 2 4 4" xfId="1668"/>
    <cellStyle name="Comma 2 2 2 4 4 2" xfId="3167"/>
    <cellStyle name="Comma 2 2 2 4 4 2 2" xfId="25335"/>
    <cellStyle name="Comma 2 2 2 4 4 3" xfId="4666"/>
    <cellStyle name="Comma 2 2 2 4 4 3 2" xfId="26833"/>
    <cellStyle name="Comma 2 2 2 4 4 4" xfId="22339"/>
    <cellStyle name="Comma 2 2 2 4 4 4 2" xfId="38551"/>
    <cellStyle name="Comma 2 2 2 4 4 5" xfId="23837"/>
    <cellStyle name="Comma 2 2 2 4 5" xfId="2114"/>
    <cellStyle name="Comma 2 2 2 4 5 2" xfId="24282"/>
    <cellStyle name="Comma 2 2 2 4 6" xfId="3613"/>
    <cellStyle name="Comma 2 2 2 4 6 2" xfId="25780"/>
    <cellStyle name="Comma 2 2 2 4 7" xfId="21286"/>
    <cellStyle name="Comma 2 2 2 4 7 2" xfId="37498"/>
    <cellStyle name="Comma 2 2 2 4 8" xfId="22784"/>
    <cellStyle name="Comma 2 2 2 4 9" xfId="38830"/>
    <cellStyle name="Comma 2 2 2 5" xfId="345"/>
    <cellStyle name="Comma 2 2 2 5 2" xfId="1880"/>
    <cellStyle name="Comma 2 2 2 5 2 2" xfId="24048"/>
    <cellStyle name="Comma 2 2 2 5 3" xfId="3379"/>
    <cellStyle name="Comma 2 2 2 5 3 2" xfId="25546"/>
    <cellStyle name="Comma 2 2 2 5 4" xfId="21052"/>
    <cellStyle name="Comma 2 2 2 5 4 2" xfId="37264"/>
    <cellStyle name="Comma 2 2 2 5 5" xfId="22550"/>
    <cellStyle name="Comma 2 2 2 5 6" xfId="38870"/>
    <cellStyle name="Comma 2 2 2 6" xfId="732"/>
    <cellStyle name="Comma 2 2 2 6 2" xfId="2231"/>
    <cellStyle name="Comma 2 2 2 6 2 2" xfId="24399"/>
    <cellStyle name="Comma 2 2 2 6 3" xfId="3730"/>
    <cellStyle name="Comma 2 2 2 6 3 2" xfId="25897"/>
    <cellStyle name="Comma 2 2 2 6 4" xfId="21403"/>
    <cellStyle name="Comma 2 2 2 6 4 2" xfId="37615"/>
    <cellStyle name="Comma 2 2 2 6 5" xfId="22901"/>
    <cellStyle name="Comma 2 2 2 6 6" xfId="38922"/>
    <cellStyle name="Comma 2 2 2 7" xfId="1083"/>
    <cellStyle name="Comma 2 2 2 7 2" xfId="2582"/>
    <cellStyle name="Comma 2 2 2 7 2 2" xfId="24750"/>
    <cellStyle name="Comma 2 2 2 7 3" xfId="4081"/>
    <cellStyle name="Comma 2 2 2 7 3 2" xfId="26248"/>
    <cellStyle name="Comma 2 2 2 7 4" xfId="21754"/>
    <cellStyle name="Comma 2 2 2 7 4 2" xfId="37966"/>
    <cellStyle name="Comma 2 2 2 7 5" xfId="23252"/>
    <cellStyle name="Comma 2 2 2 7 6" xfId="39048"/>
    <cellStyle name="Comma 2 2 2 8" xfId="1434"/>
    <cellStyle name="Comma 2 2 2 8 2" xfId="2933"/>
    <cellStyle name="Comma 2 2 2 8 2 2" xfId="25101"/>
    <cellStyle name="Comma 2 2 2 8 3" xfId="4432"/>
    <cellStyle name="Comma 2 2 2 8 3 2" xfId="26599"/>
    <cellStyle name="Comma 2 2 2 8 4" xfId="22105"/>
    <cellStyle name="Comma 2 2 2 8 4 2" xfId="38317"/>
    <cellStyle name="Comma 2 2 2 8 5" xfId="23603"/>
    <cellStyle name="Comma 2 2 2 8 6" xfId="39196"/>
    <cellStyle name="Comma 2 2 2 9" xfId="316"/>
    <cellStyle name="Comma 2 2 2 9 2" xfId="1852"/>
    <cellStyle name="Comma 2 2 2 9 2 2" xfId="24020"/>
    <cellStyle name="Comma 2 2 2 9 3" xfId="3351"/>
    <cellStyle name="Comma 2 2 2 9 3 2" xfId="25518"/>
    <cellStyle name="Comma 2 2 2 9 4" xfId="21024"/>
    <cellStyle name="Comma 2 2 2 9 4 2" xfId="37236"/>
    <cellStyle name="Comma 2 2 2 9 5" xfId="22522"/>
    <cellStyle name="Comma 2 2 2 9 6" xfId="39345"/>
    <cellStyle name="Comma 2 2 3" xfId="70"/>
    <cellStyle name="Comma 2 2 3 10" xfId="22554"/>
    <cellStyle name="Comma 2 2 3 11" xfId="38720"/>
    <cellStyle name="Comma 2 2 3 12" xfId="349"/>
    <cellStyle name="Comma 2 2 3 2" xfId="500"/>
    <cellStyle name="Comma 2 2 3 2 2" xfId="853"/>
    <cellStyle name="Comma 2 2 3 2 2 2" xfId="2352"/>
    <cellStyle name="Comma 2 2 3 2 2 2 2" xfId="24520"/>
    <cellStyle name="Comma 2 2 3 2 2 3" xfId="3851"/>
    <cellStyle name="Comma 2 2 3 2 2 3 2" xfId="26018"/>
    <cellStyle name="Comma 2 2 3 2 2 4" xfId="21524"/>
    <cellStyle name="Comma 2 2 3 2 2 4 2" xfId="37736"/>
    <cellStyle name="Comma 2 2 3 2 2 5" xfId="23022"/>
    <cellStyle name="Comma 2 2 3 2 3" xfId="1204"/>
    <cellStyle name="Comma 2 2 3 2 3 2" xfId="2703"/>
    <cellStyle name="Comma 2 2 3 2 3 2 2" xfId="24871"/>
    <cellStyle name="Comma 2 2 3 2 3 3" xfId="4202"/>
    <cellStyle name="Comma 2 2 3 2 3 3 2" xfId="26369"/>
    <cellStyle name="Comma 2 2 3 2 3 4" xfId="21875"/>
    <cellStyle name="Comma 2 2 3 2 3 4 2" xfId="38087"/>
    <cellStyle name="Comma 2 2 3 2 3 5" xfId="23373"/>
    <cellStyle name="Comma 2 2 3 2 4" xfId="1555"/>
    <cellStyle name="Comma 2 2 3 2 4 2" xfId="3054"/>
    <cellStyle name="Comma 2 2 3 2 4 2 2" xfId="25222"/>
    <cellStyle name="Comma 2 2 3 2 4 3" xfId="4553"/>
    <cellStyle name="Comma 2 2 3 2 4 3 2" xfId="26720"/>
    <cellStyle name="Comma 2 2 3 2 4 4" xfId="22226"/>
    <cellStyle name="Comma 2 2 3 2 4 4 2" xfId="38438"/>
    <cellStyle name="Comma 2 2 3 2 4 5" xfId="23724"/>
    <cellStyle name="Comma 2 2 3 2 5" xfId="2001"/>
    <cellStyle name="Comma 2 2 3 2 5 2" xfId="24169"/>
    <cellStyle name="Comma 2 2 3 2 6" xfId="3500"/>
    <cellStyle name="Comma 2 2 3 2 6 2" xfId="25667"/>
    <cellStyle name="Comma 2 2 3 2 7" xfId="21173"/>
    <cellStyle name="Comma 2 2 3 2 7 2" xfId="37385"/>
    <cellStyle name="Comma 2 2 3 2 8" xfId="22671"/>
    <cellStyle name="Comma 2 2 3 2 9" xfId="38750"/>
    <cellStyle name="Comma 2 2 3 3" xfId="618"/>
    <cellStyle name="Comma 2 2 3 3 2" xfId="970"/>
    <cellStyle name="Comma 2 2 3 3 2 2" xfId="2469"/>
    <cellStyle name="Comma 2 2 3 3 2 2 2" xfId="24637"/>
    <cellStyle name="Comma 2 2 3 3 2 3" xfId="3968"/>
    <cellStyle name="Comma 2 2 3 3 2 3 2" xfId="26135"/>
    <cellStyle name="Comma 2 2 3 3 2 4" xfId="21641"/>
    <cellStyle name="Comma 2 2 3 3 2 4 2" xfId="37853"/>
    <cellStyle name="Comma 2 2 3 3 2 5" xfId="23139"/>
    <cellStyle name="Comma 2 2 3 3 3" xfId="1321"/>
    <cellStyle name="Comma 2 2 3 3 3 2" xfId="2820"/>
    <cellStyle name="Comma 2 2 3 3 3 2 2" xfId="24988"/>
    <cellStyle name="Comma 2 2 3 3 3 3" xfId="4319"/>
    <cellStyle name="Comma 2 2 3 3 3 3 2" xfId="26486"/>
    <cellStyle name="Comma 2 2 3 3 3 4" xfId="21992"/>
    <cellStyle name="Comma 2 2 3 3 3 4 2" xfId="38204"/>
    <cellStyle name="Comma 2 2 3 3 3 5" xfId="23490"/>
    <cellStyle name="Comma 2 2 3 3 4" xfId="1672"/>
    <cellStyle name="Comma 2 2 3 3 4 2" xfId="3171"/>
    <cellStyle name="Comma 2 2 3 3 4 2 2" xfId="25339"/>
    <cellStyle name="Comma 2 2 3 3 4 3" xfId="4670"/>
    <cellStyle name="Comma 2 2 3 3 4 3 2" xfId="26837"/>
    <cellStyle name="Comma 2 2 3 3 4 4" xfId="22343"/>
    <cellStyle name="Comma 2 2 3 3 4 4 2" xfId="38555"/>
    <cellStyle name="Comma 2 2 3 3 4 5" xfId="23841"/>
    <cellStyle name="Comma 2 2 3 3 5" xfId="2118"/>
    <cellStyle name="Comma 2 2 3 3 5 2" xfId="24286"/>
    <cellStyle name="Comma 2 2 3 3 6" xfId="3617"/>
    <cellStyle name="Comma 2 2 3 3 6 2" xfId="25784"/>
    <cellStyle name="Comma 2 2 3 3 7" xfId="21290"/>
    <cellStyle name="Comma 2 2 3 3 7 2" xfId="37502"/>
    <cellStyle name="Comma 2 2 3 3 8" xfId="22788"/>
    <cellStyle name="Comma 2 2 3 3 9" xfId="38838"/>
    <cellStyle name="Comma 2 2 3 4" xfId="736"/>
    <cellStyle name="Comma 2 2 3 4 2" xfId="2235"/>
    <cellStyle name="Comma 2 2 3 4 2 2" xfId="24403"/>
    <cellStyle name="Comma 2 2 3 4 3" xfId="3734"/>
    <cellStyle name="Comma 2 2 3 4 3 2" xfId="25901"/>
    <cellStyle name="Comma 2 2 3 4 4" xfId="21407"/>
    <cellStyle name="Comma 2 2 3 4 4 2" xfId="37619"/>
    <cellStyle name="Comma 2 2 3 4 5" xfId="22905"/>
    <cellStyle name="Comma 2 2 3 4 6" xfId="38878"/>
    <cellStyle name="Comma 2 2 3 5" xfId="1087"/>
    <cellStyle name="Comma 2 2 3 5 2" xfId="2586"/>
    <cellStyle name="Comma 2 2 3 5 2 2" xfId="24754"/>
    <cellStyle name="Comma 2 2 3 5 3" xfId="4085"/>
    <cellStyle name="Comma 2 2 3 5 3 2" xfId="26252"/>
    <cellStyle name="Comma 2 2 3 5 4" xfId="21758"/>
    <cellStyle name="Comma 2 2 3 5 4 2" xfId="37970"/>
    <cellStyle name="Comma 2 2 3 5 5" xfId="23256"/>
    <cellStyle name="Comma 2 2 3 5 6" xfId="38930"/>
    <cellStyle name="Comma 2 2 3 6" xfId="1438"/>
    <cellStyle name="Comma 2 2 3 6 2" xfId="2937"/>
    <cellStyle name="Comma 2 2 3 6 2 2" xfId="25105"/>
    <cellStyle name="Comma 2 2 3 6 3" xfId="4436"/>
    <cellStyle name="Comma 2 2 3 6 3 2" xfId="26603"/>
    <cellStyle name="Comma 2 2 3 6 4" xfId="22109"/>
    <cellStyle name="Comma 2 2 3 6 4 2" xfId="38321"/>
    <cellStyle name="Comma 2 2 3 6 5" xfId="23607"/>
    <cellStyle name="Comma 2 2 3 6 6" xfId="39056"/>
    <cellStyle name="Comma 2 2 3 7" xfId="1884"/>
    <cellStyle name="Comma 2 2 3 7 2" xfId="24052"/>
    <cellStyle name="Comma 2 2 3 7 3" xfId="39204"/>
    <cellStyle name="Comma 2 2 3 8" xfId="3383"/>
    <cellStyle name="Comma 2 2 3 8 2" xfId="25550"/>
    <cellStyle name="Comma 2 2 3 8 3" xfId="39353"/>
    <cellStyle name="Comma 2 2 3 9" xfId="21056"/>
    <cellStyle name="Comma 2 2 3 9 2" xfId="37268"/>
    <cellStyle name="Comma 2 2 4" xfId="353"/>
    <cellStyle name="Comma 2 2 4 10" xfId="22558"/>
    <cellStyle name="Comma 2 2 4 11" xfId="38729"/>
    <cellStyle name="Comma 2 2 4 2" xfId="504"/>
    <cellStyle name="Comma 2 2 4 2 2" xfId="857"/>
    <cellStyle name="Comma 2 2 4 2 2 2" xfId="2356"/>
    <cellStyle name="Comma 2 2 4 2 2 2 2" xfId="24524"/>
    <cellStyle name="Comma 2 2 4 2 2 3" xfId="3855"/>
    <cellStyle name="Comma 2 2 4 2 2 3 2" xfId="26022"/>
    <cellStyle name="Comma 2 2 4 2 2 4" xfId="21528"/>
    <cellStyle name="Comma 2 2 4 2 2 4 2" xfId="37740"/>
    <cellStyle name="Comma 2 2 4 2 2 5" xfId="23026"/>
    <cellStyle name="Comma 2 2 4 2 3" xfId="1208"/>
    <cellStyle name="Comma 2 2 4 2 3 2" xfId="2707"/>
    <cellStyle name="Comma 2 2 4 2 3 2 2" xfId="24875"/>
    <cellStyle name="Comma 2 2 4 2 3 3" xfId="4206"/>
    <cellStyle name="Comma 2 2 4 2 3 3 2" xfId="26373"/>
    <cellStyle name="Comma 2 2 4 2 3 4" xfId="21879"/>
    <cellStyle name="Comma 2 2 4 2 3 4 2" xfId="38091"/>
    <cellStyle name="Comma 2 2 4 2 3 5" xfId="23377"/>
    <cellStyle name="Comma 2 2 4 2 4" xfId="1559"/>
    <cellStyle name="Comma 2 2 4 2 4 2" xfId="3058"/>
    <cellStyle name="Comma 2 2 4 2 4 2 2" xfId="25226"/>
    <cellStyle name="Comma 2 2 4 2 4 3" xfId="4557"/>
    <cellStyle name="Comma 2 2 4 2 4 3 2" xfId="26724"/>
    <cellStyle name="Comma 2 2 4 2 4 4" xfId="22230"/>
    <cellStyle name="Comma 2 2 4 2 4 4 2" xfId="38442"/>
    <cellStyle name="Comma 2 2 4 2 4 5" xfId="23728"/>
    <cellStyle name="Comma 2 2 4 2 5" xfId="2005"/>
    <cellStyle name="Comma 2 2 4 2 5 2" xfId="24173"/>
    <cellStyle name="Comma 2 2 4 2 6" xfId="3504"/>
    <cellStyle name="Comma 2 2 4 2 6 2" xfId="25671"/>
    <cellStyle name="Comma 2 2 4 2 7" xfId="21177"/>
    <cellStyle name="Comma 2 2 4 2 7 2" xfId="37389"/>
    <cellStyle name="Comma 2 2 4 2 8" xfId="22675"/>
    <cellStyle name="Comma 2 2 4 2 9" xfId="38850"/>
    <cellStyle name="Comma 2 2 4 3" xfId="622"/>
    <cellStyle name="Comma 2 2 4 3 2" xfId="974"/>
    <cellStyle name="Comma 2 2 4 3 2 2" xfId="2473"/>
    <cellStyle name="Comma 2 2 4 3 2 2 2" xfId="24641"/>
    <cellStyle name="Comma 2 2 4 3 2 3" xfId="3972"/>
    <cellStyle name="Comma 2 2 4 3 2 3 2" xfId="26139"/>
    <cellStyle name="Comma 2 2 4 3 2 4" xfId="21645"/>
    <cellStyle name="Comma 2 2 4 3 2 4 2" xfId="37857"/>
    <cellStyle name="Comma 2 2 4 3 2 5" xfId="23143"/>
    <cellStyle name="Comma 2 2 4 3 3" xfId="1325"/>
    <cellStyle name="Comma 2 2 4 3 3 2" xfId="2824"/>
    <cellStyle name="Comma 2 2 4 3 3 2 2" xfId="24992"/>
    <cellStyle name="Comma 2 2 4 3 3 3" xfId="4323"/>
    <cellStyle name="Comma 2 2 4 3 3 3 2" xfId="26490"/>
    <cellStyle name="Comma 2 2 4 3 3 4" xfId="21996"/>
    <cellStyle name="Comma 2 2 4 3 3 4 2" xfId="38208"/>
    <cellStyle name="Comma 2 2 4 3 3 5" xfId="23494"/>
    <cellStyle name="Comma 2 2 4 3 4" xfId="1676"/>
    <cellStyle name="Comma 2 2 4 3 4 2" xfId="3175"/>
    <cellStyle name="Comma 2 2 4 3 4 2 2" xfId="25343"/>
    <cellStyle name="Comma 2 2 4 3 4 3" xfId="4674"/>
    <cellStyle name="Comma 2 2 4 3 4 3 2" xfId="26841"/>
    <cellStyle name="Comma 2 2 4 3 4 4" xfId="22347"/>
    <cellStyle name="Comma 2 2 4 3 4 4 2" xfId="38559"/>
    <cellStyle name="Comma 2 2 4 3 4 5" xfId="23845"/>
    <cellStyle name="Comma 2 2 4 3 5" xfId="2122"/>
    <cellStyle name="Comma 2 2 4 3 5 2" xfId="24290"/>
    <cellStyle name="Comma 2 2 4 3 6" xfId="3621"/>
    <cellStyle name="Comma 2 2 4 3 6 2" xfId="25788"/>
    <cellStyle name="Comma 2 2 4 3 7" xfId="21294"/>
    <cellStyle name="Comma 2 2 4 3 7 2" xfId="37506"/>
    <cellStyle name="Comma 2 2 4 3 8" xfId="22792"/>
    <cellStyle name="Comma 2 2 4 3 9" xfId="38890"/>
    <cellStyle name="Comma 2 2 4 4" xfId="740"/>
    <cellStyle name="Comma 2 2 4 4 2" xfId="2239"/>
    <cellStyle name="Comma 2 2 4 4 2 2" xfId="24407"/>
    <cellStyle name="Comma 2 2 4 4 3" xfId="3738"/>
    <cellStyle name="Comma 2 2 4 4 3 2" xfId="25905"/>
    <cellStyle name="Comma 2 2 4 4 4" xfId="21411"/>
    <cellStyle name="Comma 2 2 4 4 4 2" xfId="37623"/>
    <cellStyle name="Comma 2 2 4 4 5" xfId="22909"/>
    <cellStyle name="Comma 2 2 4 4 6" xfId="38942"/>
    <cellStyle name="Comma 2 2 4 5" xfId="1091"/>
    <cellStyle name="Comma 2 2 4 5 2" xfId="2590"/>
    <cellStyle name="Comma 2 2 4 5 2 2" xfId="24758"/>
    <cellStyle name="Comma 2 2 4 5 3" xfId="4089"/>
    <cellStyle name="Comma 2 2 4 5 3 2" xfId="26256"/>
    <cellStyle name="Comma 2 2 4 5 4" xfId="21762"/>
    <cellStyle name="Comma 2 2 4 5 4 2" xfId="37974"/>
    <cellStyle name="Comma 2 2 4 5 5" xfId="23260"/>
    <cellStyle name="Comma 2 2 4 5 6" xfId="39068"/>
    <cellStyle name="Comma 2 2 4 6" xfId="1442"/>
    <cellStyle name="Comma 2 2 4 6 2" xfId="2941"/>
    <cellStyle name="Comma 2 2 4 6 2 2" xfId="25109"/>
    <cellStyle name="Comma 2 2 4 6 3" xfId="4440"/>
    <cellStyle name="Comma 2 2 4 6 3 2" xfId="26607"/>
    <cellStyle name="Comma 2 2 4 6 4" xfId="22113"/>
    <cellStyle name="Comma 2 2 4 6 4 2" xfId="38325"/>
    <cellStyle name="Comma 2 2 4 6 5" xfId="23611"/>
    <cellStyle name="Comma 2 2 4 6 6" xfId="39216"/>
    <cellStyle name="Comma 2 2 4 7" xfId="1888"/>
    <cellStyle name="Comma 2 2 4 7 2" xfId="24056"/>
    <cellStyle name="Comma 2 2 4 7 3" xfId="39365"/>
    <cellStyle name="Comma 2 2 4 8" xfId="3387"/>
    <cellStyle name="Comma 2 2 4 8 2" xfId="25554"/>
    <cellStyle name="Comma 2 2 4 9" xfId="21060"/>
    <cellStyle name="Comma 2 2 4 9 2" xfId="37272"/>
    <cellStyle name="Comma 2 2 5" xfId="362"/>
    <cellStyle name="Comma 2 2 5 2" xfId="38860"/>
    <cellStyle name="Comma 2 2 5 3" xfId="38900"/>
    <cellStyle name="Comma 2 2 5 4" xfId="38951"/>
    <cellStyle name="Comma 2 2 5 5" xfId="39089"/>
    <cellStyle name="Comma 2 2 5 6" xfId="39237"/>
    <cellStyle name="Comma 2 2 5 7" xfId="39386"/>
    <cellStyle name="Comma 2 2 5 8" xfId="38736"/>
    <cellStyle name="Comma 2 2 6" xfId="492"/>
    <cellStyle name="Comma 2 2 6 2" xfId="845"/>
    <cellStyle name="Comma 2 2 6 2 2" xfId="2344"/>
    <cellStyle name="Comma 2 2 6 2 2 2" xfId="24512"/>
    <cellStyle name="Comma 2 2 6 2 3" xfId="3843"/>
    <cellStyle name="Comma 2 2 6 2 3 2" xfId="26010"/>
    <cellStyle name="Comma 2 2 6 2 4" xfId="21516"/>
    <cellStyle name="Comma 2 2 6 2 4 2" xfId="37728"/>
    <cellStyle name="Comma 2 2 6 2 5" xfId="23014"/>
    <cellStyle name="Comma 2 2 6 2 6" xfId="39011"/>
    <cellStyle name="Comma 2 2 6 3" xfId="1196"/>
    <cellStyle name="Comma 2 2 6 3 2" xfId="2695"/>
    <cellStyle name="Comma 2 2 6 3 2 2" xfId="24863"/>
    <cellStyle name="Comma 2 2 6 3 3" xfId="4194"/>
    <cellStyle name="Comma 2 2 6 3 3 2" xfId="26361"/>
    <cellStyle name="Comma 2 2 6 3 4" xfId="21867"/>
    <cellStyle name="Comma 2 2 6 3 4 2" xfId="38079"/>
    <cellStyle name="Comma 2 2 6 3 5" xfId="23365"/>
    <cellStyle name="Comma 2 2 6 3 6" xfId="39145"/>
    <cellStyle name="Comma 2 2 6 4" xfId="1547"/>
    <cellStyle name="Comma 2 2 6 4 2" xfId="3046"/>
    <cellStyle name="Comma 2 2 6 4 2 2" xfId="25214"/>
    <cellStyle name="Comma 2 2 6 4 3" xfId="4545"/>
    <cellStyle name="Comma 2 2 6 4 3 2" xfId="26712"/>
    <cellStyle name="Comma 2 2 6 4 4" xfId="22218"/>
    <cellStyle name="Comma 2 2 6 4 4 2" xfId="38430"/>
    <cellStyle name="Comma 2 2 6 4 5" xfId="23716"/>
    <cellStyle name="Comma 2 2 6 4 6" xfId="39293"/>
    <cellStyle name="Comma 2 2 6 5" xfId="1993"/>
    <cellStyle name="Comma 2 2 6 5 2" xfId="24161"/>
    <cellStyle name="Comma 2 2 6 5 3" xfId="39442"/>
    <cellStyle name="Comma 2 2 6 6" xfId="3492"/>
    <cellStyle name="Comma 2 2 6 6 2" xfId="25659"/>
    <cellStyle name="Comma 2 2 6 7" xfId="21165"/>
    <cellStyle name="Comma 2 2 6 7 2" xfId="37377"/>
    <cellStyle name="Comma 2 2 6 8" xfId="22663"/>
    <cellStyle name="Comma 2 2 6 9" xfId="38824"/>
    <cellStyle name="Comma 2 2 7" xfId="610"/>
    <cellStyle name="Comma 2 2 7 2" xfId="962"/>
    <cellStyle name="Comma 2 2 7 2 2" xfId="2461"/>
    <cellStyle name="Comma 2 2 7 2 2 2" xfId="24629"/>
    <cellStyle name="Comma 2 2 7 2 3" xfId="3960"/>
    <cellStyle name="Comma 2 2 7 2 3 2" xfId="26127"/>
    <cellStyle name="Comma 2 2 7 2 4" xfId="21633"/>
    <cellStyle name="Comma 2 2 7 2 4 2" xfId="37845"/>
    <cellStyle name="Comma 2 2 7 2 5" xfId="23131"/>
    <cellStyle name="Comma 2 2 7 2 6" xfId="39491"/>
    <cellStyle name="Comma 2 2 7 3" xfId="1313"/>
    <cellStyle name="Comma 2 2 7 3 2" xfId="2812"/>
    <cellStyle name="Comma 2 2 7 3 2 2" xfId="24980"/>
    <cellStyle name="Comma 2 2 7 3 3" xfId="4311"/>
    <cellStyle name="Comma 2 2 7 3 3 2" xfId="26478"/>
    <cellStyle name="Comma 2 2 7 3 4" xfId="21984"/>
    <cellStyle name="Comma 2 2 7 3 4 2" xfId="38196"/>
    <cellStyle name="Comma 2 2 7 3 5" xfId="23482"/>
    <cellStyle name="Comma 2 2 7 4" xfId="1664"/>
    <cellStyle name="Comma 2 2 7 4 2" xfId="3163"/>
    <cellStyle name="Comma 2 2 7 4 2 2" xfId="25331"/>
    <cellStyle name="Comma 2 2 7 4 3" xfId="4662"/>
    <cellStyle name="Comma 2 2 7 4 3 2" xfId="26829"/>
    <cellStyle name="Comma 2 2 7 4 4" xfId="22335"/>
    <cellStyle name="Comma 2 2 7 4 4 2" xfId="38547"/>
    <cellStyle name="Comma 2 2 7 4 5" xfId="23833"/>
    <cellStyle name="Comma 2 2 7 5" xfId="2110"/>
    <cellStyle name="Comma 2 2 7 5 2" xfId="24278"/>
    <cellStyle name="Comma 2 2 7 6" xfId="3609"/>
    <cellStyle name="Comma 2 2 7 6 2" xfId="25776"/>
    <cellStyle name="Comma 2 2 7 7" xfId="21282"/>
    <cellStyle name="Comma 2 2 7 7 2" xfId="37494"/>
    <cellStyle name="Comma 2 2 7 8" xfId="22780"/>
    <cellStyle name="Comma 2 2 7 9" xfId="38864"/>
    <cellStyle name="Comma 2 2 8" xfId="341"/>
    <cellStyle name="Comma 2 2 8 2" xfId="1876"/>
    <cellStyle name="Comma 2 2 8 2 2" xfId="24044"/>
    <cellStyle name="Comma 2 2 8 3" xfId="3375"/>
    <cellStyle name="Comma 2 2 8 3 2" xfId="25542"/>
    <cellStyle name="Comma 2 2 8 4" xfId="21048"/>
    <cellStyle name="Comma 2 2 8 4 2" xfId="37260"/>
    <cellStyle name="Comma 2 2 8 5" xfId="22546"/>
    <cellStyle name="Comma 2 2 8 6" xfId="38916"/>
    <cellStyle name="Comma 2 2 9" xfId="728"/>
    <cellStyle name="Comma 2 2 9 2" xfId="2227"/>
    <cellStyle name="Comma 2 2 9 2 2" xfId="24395"/>
    <cellStyle name="Comma 2 2 9 3" xfId="3726"/>
    <cellStyle name="Comma 2 2 9 3 2" xfId="25893"/>
    <cellStyle name="Comma 2 2 9 4" xfId="21399"/>
    <cellStyle name="Comma 2 2 9 4 2" xfId="37611"/>
    <cellStyle name="Comma 2 2 9 5" xfId="22897"/>
    <cellStyle name="Comma 2 2 9 6" xfId="39042"/>
    <cellStyle name="Comma 2 20" xfId="5039"/>
    <cellStyle name="Comma 2 20 2" xfId="11255"/>
    <cellStyle name="Comma 2 21" xfId="5040"/>
    <cellStyle name="Comma 2 21 2" xfId="11256"/>
    <cellStyle name="Comma 2 22" xfId="5041"/>
    <cellStyle name="Comma 2 22 2" xfId="11257"/>
    <cellStyle name="Comma 2 23" xfId="7285"/>
    <cellStyle name="Comma 2 23 2" xfId="11258"/>
    <cellStyle name="Comma 2 24" xfId="11244"/>
    <cellStyle name="Comma 2 25" xfId="14202"/>
    <cellStyle name="Comma 2 25 2" xfId="20978"/>
    <cellStyle name="Comma 2 25 2 2" xfId="37197"/>
    <cellStyle name="Comma 2 25 3" xfId="30509"/>
    <cellStyle name="Comma 2 26" xfId="14224"/>
    <cellStyle name="Comma 2 26 2" xfId="30512"/>
    <cellStyle name="Comma 2 27" xfId="20984"/>
    <cellStyle name="Comma 2 27 2" xfId="37200"/>
    <cellStyle name="Comma 2 28" xfId="4894"/>
    <cellStyle name="Comma 2 28 2" xfId="27014"/>
    <cellStyle name="Comma 2 29" xfId="20991"/>
    <cellStyle name="Comma 2 29 2" xfId="37203"/>
    <cellStyle name="Comma 2 3" xfId="71"/>
    <cellStyle name="Comma 2 3 10" xfId="1823"/>
    <cellStyle name="Comma 2 3 10 2" xfId="23991"/>
    <cellStyle name="Comma 2 3 10 3" xfId="39341"/>
    <cellStyle name="Comma 2 3 11" xfId="3322"/>
    <cellStyle name="Comma 2 3 11 2" xfId="25489"/>
    <cellStyle name="Comma 2 3 12" xfId="20995"/>
    <cellStyle name="Comma 2 3 12 2" xfId="37207"/>
    <cellStyle name="Comma 2 3 13" xfId="22493"/>
    <cellStyle name="Comma 2 3 14" xfId="38714"/>
    <cellStyle name="Comma 2 3 15" xfId="286"/>
    <cellStyle name="Comma 2 3 2" xfId="72"/>
    <cellStyle name="Comma 2 3 2 10" xfId="38722"/>
    <cellStyle name="Comma 2 3 2 11" xfId="399"/>
    <cellStyle name="Comma 2 3 2 2" xfId="38758"/>
    <cellStyle name="Comma 2 3 2 2 2" xfId="38846"/>
    <cellStyle name="Comma 2 3 2 2 3" xfId="38886"/>
    <cellStyle name="Comma 2 3 2 2 4" xfId="38938"/>
    <cellStyle name="Comma 2 3 2 2 5" xfId="39064"/>
    <cellStyle name="Comma 2 3 2 2 6" xfId="39212"/>
    <cellStyle name="Comma 2 3 2 2 7" xfId="39361"/>
    <cellStyle name="Comma 2 3 2 3" xfId="38744"/>
    <cellStyle name="Comma 2 3 2 4" xfId="38832"/>
    <cellStyle name="Comma 2 3 2 5" xfId="38872"/>
    <cellStyle name="Comma 2 3 2 6" xfId="38924"/>
    <cellStyle name="Comma 2 3 2 7" xfId="39050"/>
    <cellStyle name="Comma 2 3 2 8" xfId="39198"/>
    <cellStyle name="Comma 2 3 2 9" xfId="39347"/>
    <cellStyle name="Comma 2 3 3" xfId="495"/>
    <cellStyle name="Comma 2 3 3 2" xfId="848"/>
    <cellStyle name="Comma 2 3 3 2 2" xfId="2347"/>
    <cellStyle name="Comma 2 3 3 2 2 2" xfId="24515"/>
    <cellStyle name="Comma 2 3 3 2 3" xfId="3846"/>
    <cellStyle name="Comma 2 3 3 2 3 2" xfId="26013"/>
    <cellStyle name="Comma 2 3 3 2 4" xfId="21519"/>
    <cellStyle name="Comma 2 3 3 2 4 2" xfId="37731"/>
    <cellStyle name="Comma 2 3 3 2 5" xfId="23017"/>
    <cellStyle name="Comma 2 3 3 2 6" xfId="38752"/>
    <cellStyle name="Comma 2 3 3 3" xfId="1199"/>
    <cellStyle name="Comma 2 3 3 3 2" xfId="2698"/>
    <cellStyle name="Comma 2 3 3 3 2 2" xfId="24866"/>
    <cellStyle name="Comma 2 3 3 3 3" xfId="4197"/>
    <cellStyle name="Comma 2 3 3 3 3 2" xfId="26364"/>
    <cellStyle name="Comma 2 3 3 3 4" xfId="21870"/>
    <cellStyle name="Comma 2 3 3 3 4 2" xfId="38082"/>
    <cellStyle name="Comma 2 3 3 3 5" xfId="23368"/>
    <cellStyle name="Comma 2 3 3 3 6" xfId="38840"/>
    <cellStyle name="Comma 2 3 3 4" xfId="1550"/>
    <cellStyle name="Comma 2 3 3 4 2" xfId="3049"/>
    <cellStyle name="Comma 2 3 3 4 2 2" xfId="25217"/>
    <cellStyle name="Comma 2 3 3 4 3" xfId="4548"/>
    <cellStyle name="Comma 2 3 3 4 3 2" xfId="26715"/>
    <cellStyle name="Comma 2 3 3 4 4" xfId="22221"/>
    <cellStyle name="Comma 2 3 3 4 4 2" xfId="38433"/>
    <cellStyle name="Comma 2 3 3 4 5" xfId="23719"/>
    <cellStyle name="Comma 2 3 3 4 6" xfId="38880"/>
    <cellStyle name="Comma 2 3 3 5" xfId="1996"/>
    <cellStyle name="Comma 2 3 3 5 2" xfId="24164"/>
    <cellStyle name="Comma 2 3 3 5 3" xfId="38932"/>
    <cellStyle name="Comma 2 3 3 6" xfId="3495"/>
    <cellStyle name="Comma 2 3 3 6 2" xfId="25662"/>
    <cellStyle name="Comma 2 3 3 6 3" xfId="39058"/>
    <cellStyle name="Comma 2 3 3 7" xfId="21168"/>
    <cellStyle name="Comma 2 3 3 7 2" xfId="37380"/>
    <cellStyle name="Comma 2 3 3 7 3" xfId="39206"/>
    <cellStyle name="Comma 2 3 3 8" xfId="22666"/>
    <cellStyle name="Comma 2 3 3 8 2" xfId="39355"/>
    <cellStyle name="Comma 2 3 3 9" xfId="38731"/>
    <cellStyle name="Comma 2 3 4" xfId="613"/>
    <cellStyle name="Comma 2 3 4 2" xfId="965"/>
    <cellStyle name="Comma 2 3 4 2 2" xfId="2464"/>
    <cellStyle name="Comma 2 3 4 2 2 2" xfId="24632"/>
    <cellStyle name="Comma 2 3 4 2 3" xfId="3963"/>
    <cellStyle name="Comma 2 3 4 2 3 2" xfId="26130"/>
    <cellStyle name="Comma 2 3 4 2 4" xfId="21636"/>
    <cellStyle name="Comma 2 3 4 2 4 2" xfId="37848"/>
    <cellStyle name="Comma 2 3 4 2 5" xfId="23134"/>
    <cellStyle name="Comma 2 3 4 2 6" xfId="38852"/>
    <cellStyle name="Comma 2 3 4 3" xfId="1316"/>
    <cellStyle name="Comma 2 3 4 3 2" xfId="2815"/>
    <cellStyle name="Comma 2 3 4 3 2 2" xfId="24983"/>
    <cellStyle name="Comma 2 3 4 3 3" xfId="4314"/>
    <cellStyle name="Comma 2 3 4 3 3 2" xfId="26481"/>
    <cellStyle name="Comma 2 3 4 3 4" xfId="21987"/>
    <cellStyle name="Comma 2 3 4 3 4 2" xfId="38199"/>
    <cellStyle name="Comma 2 3 4 3 5" xfId="23485"/>
    <cellStyle name="Comma 2 3 4 3 6" xfId="38892"/>
    <cellStyle name="Comma 2 3 4 4" xfId="1667"/>
    <cellStyle name="Comma 2 3 4 4 2" xfId="3166"/>
    <cellStyle name="Comma 2 3 4 4 2 2" xfId="25334"/>
    <cellStyle name="Comma 2 3 4 4 3" xfId="4665"/>
    <cellStyle name="Comma 2 3 4 4 3 2" xfId="26832"/>
    <cellStyle name="Comma 2 3 4 4 4" xfId="22338"/>
    <cellStyle name="Comma 2 3 4 4 4 2" xfId="38550"/>
    <cellStyle name="Comma 2 3 4 4 5" xfId="23836"/>
    <cellStyle name="Comma 2 3 4 4 6" xfId="38944"/>
    <cellStyle name="Comma 2 3 4 5" xfId="2113"/>
    <cellStyle name="Comma 2 3 4 5 2" xfId="24281"/>
    <cellStyle name="Comma 2 3 4 5 3" xfId="39070"/>
    <cellStyle name="Comma 2 3 4 6" xfId="3612"/>
    <cellStyle name="Comma 2 3 4 6 2" xfId="25779"/>
    <cellStyle name="Comma 2 3 4 6 3" xfId="39218"/>
    <cellStyle name="Comma 2 3 4 7" xfId="21285"/>
    <cellStyle name="Comma 2 3 4 7 2" xfId="37497"/>
    <cellStyle name="Comma 2 3 4 7 3" xfId="39367"/>
    <cellStyle name="Comma 2 3 4 8" xfId="22783"/>
    <cellStyle name="Comma 2 3 4 9" xfId="38738"/>
    <cellStyle name="Comma 2 3 5" xfId="344"/>
    <cellStyle name="Comma 2 3 5 2" xfId="1879"/>
    <cellStyle name="Comma 2 3 5 2 2" xfId="24047"/>
    <cellStyle name="Comma 2 3 5 2 3" xfId="39495"/>
    <cellStyle name="Comma 2 3 5 3" xfId="3378"/>
    <cellStyle name="Comma 2 3 5 3 2" xfId="25545"/>
    <cellStyle name="Comma 2 3 5 4" xfId="21051"/>
    <cellStyle name="Comma 2 3 5 4 2" xfId="37263"/>
    <cellStyle name="Comma 2 3 5 5" xfId="22549"/>
    <cellStyle name="Comma 2 3 5 6" xfId="38826"/>
    <cellStyle name="Comma 2 3 6" xfId="731"/>
    <cellStyle name="Comma 2 3 6 2" xfId="2230"/>
    <cellStyle name="Comma 2 3 6 2 2" xfId="24398"/>
    <cellStyle name="Comma 2 3 6 3" xfId="3729"/>
    <cellStyle name="Comma 2 3 6 3 2" xfId="25896"/>
    <cellStyle name="Comma 2 3 6 4" xfId="21402"/>
    <cellStyle name="Comma 2 3 6 4 2" xfId="37614"/>
    <cellStyle name="Comma 2 3 6 5" xfId="22900"/>
    <cellStyle name="Comma 2 3 6 6" xfId="38866"/>
    <cellStyle name="Comma 2 3 7" xfId="1082"/>
    <cellStyle name="Comma 2 3 7 2" xfId="2581"/>
    <cellStyle name="Comma 2 3 7 2 2" xfId="24749"/>
    <cellStyle name="Comma 2 3 7 3" xfId="4080"/>
    <cellStyle name="Comma 2 3 7 3 2" xfId="26247"/>
    <cellStyle name="Comma 2 3 7 4" xfId="21753"/>
    <cellStyle name="Comma 2 3 7 4 2" xfId="37965"/>
    <cellStyle name="Comma 2 3 7 5" xfId="23251"/>
    <cellStyle name="Comma 2 3 7 6" xfId="38918"/>
    <cellStyle name="Comma 2 3 8" xfId="1433"/>
    <cellStyle name="Comma 2 3 8 2" xfId="2932"/>
    <cellStyle name="Comma 2 3 8 2 2" xfId="25100"/>
    <cellStyle name="Comma 2 3 8 3" xfId="4431"/>
    <cellStyle name="Comma 2 3 8 3 2" xfId="26598"/>
    <cellStyle name="Comma 2 3 8 4" xfId="22104"/>
    <cellStyle name="Comma 2 3 8 4 2" xfId="38316"/>
    <cellStyle name="Comma 2 3 8 5" xfId="23602"/>
    <cellStyle name="Comma 2 3 8 6" xfId="39044"/>
    <cellStyle name="Comma 2 3 9" xfId="315"/>
    <cellStyle name="Comma 2 3 9 2" xfId="1851"/>
    <cellStyle name="Comma 2 3 9 2 2" xfId="24019"/>
    <cellStyle name="Comma 2 3 9 3" xfId="3350"/>
    <cellStyle name="Comma 2 3 9 3 2" xfId="25517"/>
    <cellStyle name="Comma 2 3 9 4" xfId="21023"/>
    <cellStyle name="Comma 2 3 9 4 2" xfId="37235"/>
    <cellStyle name="Comma 2 3 9 5" xfId="22521"/>
    <cellStyle name="Comma 2 3 9 6" xfId="39192"/>
    <cellStyle name="Comma 2 30" xfId="22489"/>
    <cellStyle name="Comma 2 31" xfId="39550"/>
    <cellStyle name="Comma 2 32" xfId="270"/>
    <cellStyle name="Comma 2 33" xfId="39612"/>
    <cellStyle name="Comma 2 4" xfId="73"/>
    <cellStyle name="Comma 2 4 10" xfId="3329"/>
    <cellStyle name="Comma 2 4 10 2" xfId="25496"/>
    <cellStyle name="Comma 2 4 11" xfId="5042"/>
    <cellStyle name="Comma 2 4 12" xfId="21002"/>
    <cellStyle name="Comma 2 4 12 2" xfId="37214"/>
    <cellStyle name="Comma 2 4 13" xfId="22500"/>
    <cellStyle name="Comma 2 4 14" xfId="38718"/>
    <cellStyle name="Comma 2 4 15" xfId="294"/>
    <cellStyle name="Comma 2 4 2" xfId="499"/>
    <cellStyle name="Comma 2 4 2 10" xfId="38754"/>
    <cellStyle name="Comma 2 4 2 2" xfId="852"/>
    <cellStyle name="Comma 2 4 2 2 2" xfId="2351"/>
    <cellStyle name="Comma 2 4 2 2 2 2" xfId="24519"/>
    <cellStyle name="Comma 2 4 2 2 3" xfId="3850"/>
    <cellStyle name="Comma 2 4 2 2 3 2" xfId="26017"/>
    <cellStyle name="Comma 2 4 2 2 4" xfId="21523"/>
    <cellStyle name="Comma 2 4 2 2 4 2" xfId="37735"/>
    <cellStyle name="Comma 2 4 2 2 5" xfId="23021"/>
    <cellStyle name="Comma 2 4 2 2 6" xfId="38842"/>
    <cellStyle name="Comma 2 4 2 3" xfId="1203"/>
    <cellStyle name="Comma 2 4 2 3 2" xfId="2702"/>
    <cellStyle name="Comma 2 4 2 3 2 2" xfId="24870"/>
    <cellStyle name="Comma 2 4 2 3 3" xfId="4201"/>
    <cellStyle name="Comma 2 4 2 3 3 2" xfId="26368"/>
    <cellStyle name="Comma 2 4 2 3 4" xfId="21874"/>
    <cellStyle name="Comma 2 4 2 3 4 2" xfId="38086"/>
    <cellStyle name="Comma 2 4 2 3 5" xfId="23372"/>
    <cellStyle name="Comma 2 4 2 3 6" xfId="38882"/>
    <cellStyle name="Comma 2 4 2 4" xfId="1554"/>
    <cellStyle name="Comma 2 4 2 4 2" xfId="3053"/>
    <cellStyle name="Comma 2 4 2 4 2 2" xfId="25221"/>
    <cellStyle name="Comma 2 4 2 4 3" xfId="4552"/>
    <cellStyle name="Comma 2 4 2 4 3 2" xfId="26719"/>
    <cellStyle name="Comma 2 4 2 4 4" xfId="22225"/>
    <cellStyle name="Comma 2 4 2 4 4 2" xfId="38437"/>
    <cellStyle name="Comma 2 4 2 4 5" xfId="23723"/>
    <cellStyle name="Comma 2 4 2 4 6" xfId="38934"/>
    <cellStyle name="Comma 2 4 2 5" xfId="2000"/>
    <cellStyle name="Comma 2 4 2 5 2" xfId="24168"/>
    <cellStyle name="Comma 2 4 2 5 3" xfId="39060"/>
    <cellStyle name="Comma 2 4 2 6" xfId="3499"/>
    <cellStyle name="Comma 2 4 2 6 2" xfId="25666"/>
    <cellStyle name="Comma 2 4 2 6 3" xfId="39208"/>
    <cellStyle name="Comma 2 4 2 7" xfId="11259"/>
    <cellStyle name="Comma 2 4 2 7 2" xfId="39357"/>
    <cellStyle name="Comma 2 4 2 8" xfId="21172"/>
    <cellStyle name="Comma 2 4 2 8 2" xfId="37384"/>
    <cellStyle name="Comma 2 4 2 9" xfId="22670"/>
    <cellStyle name="Comma 2 4 3" xfId="617"/>
    <cellStyle name="Comma 2 4 3 2" xfId="969"/>
    <cellStyle name="Comma 2 4 3 2 2" xfId="2468"/>
    <cellStyle name="Comma 2 4 3 2 2 2" xfId="24636"/>
    <cellStyle name="Comma 2 4 3 2 3" xfId="3967"/>
    <cellStyle name="Comma 2 4 3 2 3 2" xfId="26134"/>
    <cellStyle name="Comma 2 4 3 2 4" xfId="21640"/>
    <cellStyle name="Comma 2 4 3 2 4 2" xfId="37852"/>
    <cellStyle name="Comma 2 4 3 2 5" xfId="23138"/>
    <cellStyle name="Comma 2 4 3 3" xfId="1320"/>
    <cellStyle name="Comma 2 4 3 3 2" xfId="2819"/>
    <cellStyle name="Comma 2 4 3 3 2 2" xfId="24987"/>
    <cellStyle name="Comma 2 4 3 3 3" xfId="4318"/>
    <cellStyle name="Comma 2 4 3 3 3 2" xfId="26485"/>
    <cellStyle name="Comma 2 4 3 3 4" xfId="21991"/>
    <cellStyle name="Comma 2 4 3 3 4 2" xfId="38203"/>
    <cellStyle name="Comma 2 4 3 3 5" xfId="23489"/>
    <cellStyle name="Comma 2 4 3 4" xfId="1671"/>
    <cellStyle name="Comma 2 4 3 4 2" xfId="3170"/>
    <cellStyle name="Comma 2 4 3 4 2 2" xfId="25338"/>
    <cellStyle name="Comma 2 4 3 4 3" xfId="4669"/>
    <cellStyle name="Comma 2 4 3 4 3 2" xfId="26836"/>
    <cellStyle name="Comma 2 4 3 4 4" xfId="22342"/>
    <cellStyle name="Comma 2 4 3 4 4 2" xfId="38554"/>
    <cellStyle name="Comma 2 4 3 4 5" xfId="23840"/>
    <cellStyle name="Comma 2 4 3 5" xfId="2117"/>
    <cellStyle name="Comma 2 4 3 5 2" xfId="24285"/>
    <cellStyle name="Comma 2 4 3 6" xfId="3616"/>
    <cellStyle name="Comma 2 4 3 6 2" xfId="25783"/>
    <cellStyle name="Comma 2 4 3 7" xfId="21289"/>
    <cellStyle name="Comma 2 4 3 7 2" xfId="37501"/>
    <cellStyle name="Comma 2 4 3 8" xfId="22787"/>
    <cellStyle name="Comma 2 4 3 9" xfId="38740"/>
    <cellStyle name="Comma 2 4 4" xfId="348"/>
    <cellStyle name="Comma 2 4 4 2" xfId="1883"/>
    <cellStyle name="Comma 2 4 4 2 2" xfId="24051"/>
    <cellStyle name="Comma 2 4 4 3" xfId="3382"/>
    <cellStyle name="Comma 2 4 4 3 2" xfId="25549"/>
    <cellStyle name="Comma 2 4 4 4" xfId="21055"/>
    <cellStyle name="Comma 2 4 4 4 2" xfId="37267"/>
    <cellStyle name="Comma 2 4 4 5" xfId="22553"/>
    <cellStyle name="Comma 2 4 4 6" xfId="38828"/>
    <cellStyle name="Comma 2 4 5" xfId="735"/>
    <cellStyle name="Comma 2 4 5 2" xfId="2234"/>
    <cellStyle name="Comma 2 4 5 2 2" xfId="24402"/>
    <cellStyle name="Comma 2 4 5 3" xfId="3733"/>
    <cellStyle name="Comma 2 4 5 3 2" xfId="25900"/>
    <cellStyle name="Comma 2 4 5 4" xfId="21406"/>
    <cellStyle name="Comma 2 4 5 4 2" xfId="37618"/>
    <cellStyle name="Comma 2 4 5 5" xfId="22904"/>
    <cellStyle name="Comma 2 4 5 6" xfId="38868"/>
    <cellStyle name="Comma 2 4 6" xfId="1086"/>
    <cellStyle name="Comma 2 4 6 2" xfId="2585"/>
    <cellStyle name="Comma 2 4 6 2 2" xfId="24753"/>
    <cellStyle name="Comma 2 4 6 3" xfId="4084"/>
    <cellStyle name="Comma 2 4 6 3 2" xfId="26251"/>
    <cellStyle name="Comma 2 4 6 4" xfId="21757"/>
    <cellStyle name="Comma 2 4 6 4 2" xfId="37969"/>
    <cellStyle name="Comma 2 4 6 5" xfId="23255"/>
    <cellStyle name="Comma 2 4 6 6" xfId="38920"/>
    <cellStyle name="Comma 2 4 7" xfId="1437"/>
    <cellStyle name="Comma 2 4 7 2" xfId="2936"/>
    <cellStyle name="Comma 2 4 7 2 2" xfId="25104"/>
    <cellStyle name="Comma 2 4 7 3" xfId="4435"/>
    <cellStyle name="Comma 2 4 7 3 2" xfId="26602"/>
    <cellStyle name="Comma 2 4 7 4" xfId="22108"/>
    <cellStyle name="Comma 2 4 7 4 2" xfId="38320"/>
    <cellStyle name="Comma 2 4 7 5" xfId="23606"/>
    <cellStyle name="Comma 2 4 7 6" xfId="39046"/>
    <cellStyle name="Comma 2 4 8" xfId="323"/>
    <cellStyle name="Comma 2 4 8 2" xfId="1858"/>
    <cellStyle name="Comma 2 4 8 2 2" xfId="24026"/>
    <cellStyle name="Comma 2 4 8 3" xfId="3357"/>
    <cellStyle name="Comma 2 4 8 3 2" xfId="25524"/>
    <cellStyle name="Comma 2 4 8 4" xfId="21030"/>
    <cellStyle name="Comma 2 4 8 4 2" xfId="37242"/>
    <cellStyle name="Comma 2 4 8 5" xfId="22528"/>
    <cellStyle name="Comma 2 4 8 6" xfId="39194"/>
    <cellStyle name="Comma 2 4 9" xfId="1830"/>
    <cellStyle name="Comma 2 4 9 2" xfId="23998"/>
    <cellStyle name="Comma 2 4 9 3" xfId="39343"/>
    <cellStyle name="Comma 2 5" xfId="74"/>
    <cellStyle name="Comma 2 5 10" xfId="21059"/>
    <cellStyle name="Comma 2 5 10 2" xfId="37271"/>
    <cellStyle name="Comma 2 5 11" xfId="22557"/>
    <cellStyle name="Comma 2 5 12" xfId="38710"/>
    <cellStyle name="Comma 2 5 13" xfId="352"/>
    <cellStyle name="Comma 2 5 2" xfId="75"/>
    <cellStyle name="Comma 2 5 2 10" xfId="503"/>
    <cellStyle name="Comma 2 5 2 2" xfId="856"/>
    <cellStyle name="Comma 2 5 2 2 2" xfId="2355"/>
    <cellStyle name="Comma 2 5 2 2 2 2" xfId="24523"/>
    <cellStyle name="Comma 2 5 2 2 3" xfId="3854"/>
    <cellStyle name="Comma 2 5 2 2 3 2" xfId="26021"/>
    <cellStyle name="Comma 2 5 2 2 4" xfId="21527"/>
    <cellStyle name="Comma 2 5 2 2 4 2" xfId="37739"/>
    <cellStyle name="Comma 2 5 2 2 5" xfId="23025"/>
    <cellStyle name="Comma 2 5 2 3" xfId="1207"/>
    <cellStyle name="Comma 2 5 2 3 2" xfId="2706"/>
    <cellStyle name="Comma 2 5 2 3 2 2" xfId="24874"/>
    <cellStyle name="Comma 2 5 2 3 3" xfId="4205"/>
    <cellStyle name="Comma 2 5 2 3 3 2" xfId="26372"/>
    <cellStyle name="Comma 2 5 2 3 4" xfId="21878"/>
    <cellStyle name="Comma 2 5 2 3 4 2" xfId="38090"/>
    <cellStyle name="Comma 2 5 2 3 5" xfId="23376"/>
    <cellStyle name="Comma 2 5 2 4" xfId="1558"/>
    <cellStyle name="Comma 2 5 2 4 2" xfId="3057"/>
    <cellStyle name="Comma 2 5 2 4 2 2" xfId="25225"/>
    <cellStyle name="Comma 2 5 2 4 3" xfId="4556"/>
    <cellStyle name="Comma 2 5 2 4 3 2" xfId="26723"/>
    <cellStyle name="Comma 2 5 2 4 4" xfId="22229"/>
    <cellStyle name="Comma 2 5 2 4 4 2" xfId="38441"/>
    <cellStyle name="Comma 2 5 2 4 5" xfId="23727"/>
    <cellStyle name="Comma 2 5 2 5" xfId="2004"/>
    <cellStyle name="Comma 2 5 2 5 2" xfId="24172"/>
    <cellStyle name="Comma 2 5 2 6" xfId="3503"/>
    <cellStyle name="Comma 2 5 2 6 2" xfId="25670"/>
    <cellStyle name="Comma 2 5 2 7" xfId="11260"/>
    <cellStyle name="Comma 2 5 2 8" xfId="21176"/>
    <cellStyle name="Comma 2 5 2 8 2" xfId="37388"/>
    <cellStyle name="Comma 2 5 2 9" xfId="22674"/>
    <cellStyle name="Comma 2 5 3" xfId="621"/>
    <cellStyle name="Comma 2 5 3 2" xfId="973"/>
    <cellStyle name="Comma 2 5 3 2 2" xfId="2472"/>
    <cellStyle name="Comma 2 5 3 2 2 2" xfId="24640"/>
    <cellStyle name="Comma 2 5 3 2 3" xfId="3971"/>
    <cellStyle name="Comma 2 5 3 2 3 2" xfId="26138"/>
    <cellStyle name="Comma 2 5 3 2 4" xfId="21644"/>
    <cellStyle name="Comma 2 5 3 2 4 2" xfId="37856"/>
    <cellStyle name="Comma 2 5 3 2 5" xfId="23142"/>
    <cellStyle name="Comma 2 5 3 3" xfId="1324"/>
    <cellStyle name="Comma 2 5 3 3 2" xfId="2823"/>
    <cellStyle name="Comma 2 5 3 3 2 2" xfId="24991"/>
    <cellStyle name="Comma 2 5 3 3 3" xfId="4322"/>
    <cellStyle name="Comma 2 5 3 3 3 2" xfId="26489"/>
    <cellStyle name="Comma 2 5 3 3 4" xfId="21995"/>
    <cellStyle name="Comma 2 5 3 3 4 2" xfId="38207"/>
    <cellStyle name="Comma 2 5 3 3 5" xfId="23493"/>
    <cellStyle name="Comma 2 5 3 4" xfId="1675"/>
    <cellStyle name="Comma 2 5 3 4 2" xfId="3174"/>
    <cellStyle name="Comma 2 5 3 4 2 2" xfId="25342"/>
    <cellStyle name="Comma 2 5 3 4 3" xfId="4673"/>
    <cellStyle name="Comma 2 5 3 4 3 2" xfId="26840"/>
    <cellStyle name="Comma 2 5 3 4 4" xfId="22346"/>
    <cellStyle name="Comma 2 5 3 4 4 2" xfId="38558"/>
    <cellStyle name="Comma 2 5 3 4 5" xfId="23844"/>
    <cellStyle name="Comma 2 5 3 5" xfId="2121"/>
    <cellStyle name="Comma 2 5 3 5 2" xfId="24289"/>
    <cellStyle name="Comma 2 5 3 6" xfId="3620"/>
    <cellStyle name="Comma 2 5 3 6 2" xfId="25787"/>
    <cellStyle name="Comma 2 5 3 7" xfId="21293"/>
    <cellStyle name="Comma 2 5 3 7 2" xfId="37505"/>
    <cellStyle name="Comma 2 5 3 8" xfId="22791"/>
    <cellStyle name="Comma 2 5 4" xfId="739"/>
    <cellStyle name="Comma 2 5 4 2" xfId="2238"/>
    <cellStyle name="Comma 2 5 4 2 2" xfId="24406"/>
    <cellStyle name="Comma 2 5 4 3" xfId="3737"/>
    <cellStyle name="Comma 2 5 4 3 2" xfId="25904"/>
    <cellStyle name="Comma 2 5 4 4" xfId="21410"/>
    <cellStyle name="Comma 2 5 4 4 2" xfId="37622"/>
    <cellStyle name="Comma 2 5 4 5" xfId="22908"/>
    <cellStyle name="Comma 2 5 5" xfId="1090"/>
    <cellStyle name="Comma 2 5 5 2" xfId="2589"/>
    <cellStyle name="Comma 2 5 5 2 2" xfId="24757"/>
    <cellStyle name="Comma 2 5 5 3" xfId="4088"/>
    <cellStyle name="Comma 2 5 5 3 2" xfId="26255"/>
    <cellStyle name="Comma 2 5 5 4" xfId="21761"/>
    <cellStyle name="Comma 2 5 5 4 2" xfId="37973"/>
    <cellStyle name="Comma 2 5 5 5" xfId="23259"/>
    <cellStyle name="Comma 2 5 6" xfId="1441"/>
    <cellStyle name="Comma 2 5 6 2" xfId="2940"/>
    <cellStyle name="Comma 2 5 6 2 2" xfId="25108"/>
    <cellStyle name="Comma 2 5 6 3" xfId="4439"/>
    <cellStyle name="Comma 2 5 6 3 2" xfId="26606"/>
    <cellStyle name="Comma 2 5 6 4" xfId="22112"/>
    <cellStyle name="Comma 2 5 6 4 2" xfId="38324"/>
    <cellStyle name="Comma 2 5 6 5" xfId="23610"/>
    <cellStyle name="Comma 2 5 7" xfId="1887"/>
    <cellStyle name="Comma 2 5 7 2" xfId="24055"/>
    <cellStyle name="Comma 2 5 8" xfId="3386"/>
    <cellStyle name="Comma 2 5 8 2" xfId="25553"/>
    <cellStyle name="Comma 2 5 9" xfId="5043"/>
    <cellStyle name="Comma 2 6" xfId="76"/>
    <cellStyle name="Comma 2 6 10" xfId="358"/>
    <cellStyle name="Comma 2 6 2" xfId="77"/>
    <cellStyle name="Comma 2 6 2 2" xfId="38748"/>
    <cellStyle name="Comma 2 6 2 3" xfId="11261"/>
    <cellStyle name="Comma 2 6 3" xfId="38836"/>
    <cellStyle name="Comma 2 6 4" xfId="38876"/>
    <cellStyle name="Comma 2 6 5" xfId="38928"/>
    <cellStyle name="Comma 2 6 6" xfId="39054"/>
    <cellStyle name="Comma 2 6 7" xfId="39202"/>
    <cellStyle name="Comma 2 6 8" xfId="39351"/>
    <cellStyle name="Comma 2 6 9" xfId="38727"/>
    <cellStyle name="Comma 2 7" xfId="78"/>
    <cellStyle name="Comma 2 7 10" xfId="38734"/>
    <cellStyle name="Comma 2 7 11" xfId="491"/>
    <cellStyle name="Comma 2 7 2" xfId="844"/>
    <cellStyle name="Comma 2 7 2 2" xfId="2343"/>
    <cellStyle name="Comma 2 7 2 2 2" xfId="24511"/>
    <cellStyle name="Comma 2 7 2 3" xfId="3842"/>
    <cellStyle name="Comma 2 7 2 3 2" xfId="26009"/>
    <cellStyle name="Comma 2 7 2 4" xfId="11262"/>
    <cellStyle name="Comma 2 7 2 5" xfId="21515"/>
    <cellStyle name="Comma 2 7 2 5 2" xfId="37727"/>
    <cellStyle name="Comma 2 7 2 6" xfId="23013"/>
    <cellStyle name="Comma 2 7 2 7" xfId="38848"/>
    <cellStyle name="Comma 2 7 3" xfId="1195"/>
    <cellStyle name="Comma 2 7 3 2" xfId="2694"/>
    <cellStyle name="Comma 2 7 3 2 2" xfId="24862"/>
    <cellStyle name="Comma 2 7 3 3" xfId="4193"/>
    <cellStyle name="Comma 2 7 3 3 2" xfId="26360"/>
    <cellStyle name="Comma 2 7 3 4" xfId="21866"/>
    <cellStyle name="Comma 2 7 3 4 2" xfId="38078"/>
    <cellStyle name="Comma 2 7 3 5" xfId="23364"/>
    <cellStyle name="Comma 2 7 3 6" xfId="38888"/>
    <cellStyle name="Comma 2 7 4" xfId="1546"/>
    <cellStyle name="Comma 2 7 4 2" xfId="3045"/>
    <cellStyle name="Comma 2 7 4 2 2" xfId="25213"/>
    <cellStyle name="Comma 2 7 4 3" xfId="4544"/>
    <cellStyle name="Comma 2 7 4 3 2" xfId="26711"/>
    <cellStyle name="Comma 2 7 4 4" xfId="22217"/>
    <cellStyle name="Comma 2 7 4 4 2" xfId="38429"/>
    <cellStyle name="Comma 2 7 4 5" xfId="23715"/>
    <cellStyle name="Comma 2 7 4 6" xfId="38940"/>
    <cellStyle name="Comma 2 7 5" xfId="1992"/>
    <cellStyle name="Comma 2 7 5 2" xfId="24160"/>
    <cellStyle name="Comma 2 7 5 3" xfId="39066"/>
    <cellStyle name="Comma 2 7 6" xfId="3491"/>
    <cellStyle name="Comma 2 7 6 2" xfId="25658"/>
    <cellStyle name="Comma 2 7 6 3" xfId="39214"/>
    <cellStyle name="Comma 2 7 7" xfId="5044"/>
    <cellStyle name="Comma 2 7 7 2" xfId="39363"/>
    <cellStyle name="Comma 2 7 8" xfId="21164"/>
    <cellStyle name="Comma 2 7 8 2" xfId="37376"/>
    <cellStyle name="Comma 2 7 9" xfId="22662"/>
    <cellStyle name="Comma 2 8" xfId="609"/>
    <cellStyle name="Comma 2 8 10" xfId="38856"/>
    <cellStyle name="Comma 2 8 2" xfId="961"/>
    <cellStyle name="Comma 2 8 2 2" xfId="2460"/>
    <cellStyle name="Comma 2 8 2 2 2" xfId="24628"/>
    <cellStyle name="Comma 2 8 2 3" xfId="3959"/>
    <cellStyle name="Comma 2 8 2 3 2" xfId="26126"/>
    <cellStyle name="Comma 2 8 2 4" xfId="11263"/>
    <cellStyle name="Comma 2 8 2 5" xfId="21632"/>
    <cellStyle name="Comma 2 8 2 5 2" xfId="37844"/>
    <cellStyle name="Comma 2 8 2 6" xfId="23130"/>
    <cellStyle name="Comma 2 8 2 7" xfId="38896"/>
    <cellStyle name="Comma 2 8 3" xfId="1312"/>
    <cellStyle name="Comma 2 8 3 2" xfId="2811"/>
    <cellStyle name="Comma 2 8 3 2 2" xfId="24979"/>
    <cellStyle name="Comma 2 8 3 3" xfId="4310"/>
    <cellStyle name="Comma 2 8 3 3 2" xfId="26477"/>
    <cellStyle name="Comma 2 8 3 4" xfId="21983"/>
    <cellStyle name="Comma 2 8 3 4 2" xfId="38195"/>
    <cellStyle name="Comma 2 8 3 5" xfId="23481"/>
    <cellStyle name="Comma 2 8 3 6" xfId="38948"/>
    <cellStyle name="Comma 2 8 4" xfId="1663"/>
    <cellStyle name="Comma 2 8 4 2" xfId="3162"/>
    <cellStyle name="Comma 2 8 4 2 2" xfId="25330"/>
    <cellStyle name="Comma 2 8 4 3" xfId="4661"/>
    <cellStyle name="Comma 2 8 4 3 2" xfId="26828"/>
    <cellStyle name="Comma 2 8 4 4" xfId="22334"/>
    <cellStyle name="Comma 2 8 4 4 2" xfId="38546"/>
    <cellStyle name="Comma 2 8 4 5" xfId="23832"/>
    <cellStyle name="Comma 2 8 4 6" xfId="39074"/>
    <cellStyle name="Comma 2 8 5" xfId="2109"/>
    <cellStyle name="Comma 2 8 5 2" xfId="24277"/>
    <cellStyle name="Comma 2 8 5 3" xfId="39222"/>
    <cellStyle name="Comma 2 8 6" xfId="3608"/>
    <cellStyle name="Comma 2 8 6 2" xfId="25775"/>
    <cellStyle name="Comma 2 8 6 3" xfId="39371"/>
    <cellStyle name="Comma 2 8 7" xfId="5045"/>
    <cellStyle name="Comma 2 8 8" xfId="21281"/>
    <cellStyle name="Comma 2 8 8 2" xfId="37493"/>
    <cellStyle name="Comma 2 8 9" xfId="22779"/>
    <cellStyle name="Comma 2 9" xfId="340"/>
    <cellStyle name="Comma 2 9 2" xfId="1875"/>
    <cellStyle name="Comma 2 9 2 2" xfId="11264"/>
    <cellStyle name="Comma 2 9 2 3" xfId="24043"/>
    <cellStyle name="Comma 2 9 2 4" xfId="38950"/>
    <cellStyle name="Comma 2 9 3" xfId="3374"/>
    <cellStyle name="Comma 2 9 3 2" xfId="25541"/>
    <cellStyle name="Comma 2 9 3 3" xfId="39088"/>
    <cellStyle name="Comma 2 9 4" xfId="5046"/>
    <cellStyle name="Comma 2 9 4 2" xfId="39236"/>
    <cellStyle name="Comma 2 9 5" xfId="21047"/>
    <cellStyle name="Comma 2 9 5 2" xfId="37259"/>
    <cellStyle name="Comma 2 9 5 3" xfId="39385"/>
    <cellStyle name="Comma 2 9 6" xfId="22545"/>
    <cellStyle name="Comma 2 9 7" xfId="38822"/>
    <cellStyle name="Comma 21 2" xfId="5047"/>
    <cellStyle name="Comma 21 2 2" xfId="11265"/>
    <cellStyle name="Comma 21 3" xfId="5048"/>
    <cellStyle name="Comma 21 3 2" xfId="11266"/>
    <cellStyle name="Comma 23 2" xfId="5049"/>
    <cellStyle name="Comma 23 2 2" xfId="11267"/>
    <cellStyle name="Comma 23 3" xfId="5050"/>
    <cellStyle name="Comma 23 3 2" xfId="11268"/>
    <cellStyle name="Comma 24 2" xfId="5051"/>
    <cellStyle name="Comma 24 2 2" xfId="11269"/>
    <cellStyle name="Comma 24 3" xfId="5052"/>
    <cellStyle name="Comma 24 3 2" xfId="11270"/>
    <cellStyle name="Comma 25 2" xfId="4948"/>
    <cellStyle name="Comma 25 2 10" xfId="5053"/>
    <cellStyle name="Comma 25 2 10 2" xfId="11272"/>
    <cellStyle name="Comma 25 2 11" xfId="5054"/>
    <cellStyle name="Comma 25 2 11 2" xfId="11273"/>
    <cellStyle name="Comma 25 2 12" xfId="5055"/>
    <cellStyle name="Comma 25 2 12 2" xfId="11274"/>
    <cellStyle name="Comma 25 2 13" xfId="5056"/>
    <cellStyle name="Comma 25 2 13 2" xfId="11275"/>
    <cellStyle name="Comma 25 2 14" xfId="5057"/>
    <cellStyle name="Comma 25 2 14 2" xfId="11276"/>
    <cellStyle name="Comma 25 2 15" xfId="5058"/>
    <cellStyle name="Comma 25 2 15 2" xfId="11277"/>
    <cellStyle name="Comma 25 2 16" xfId="5059"/>
    <cellStyle name="Comma 25 2 16 2" xfId="11278"/>
    <cellStyle name="Comma 25 2 17" xfId="5060"/>
    <cellStyle name="Comma 25 2 17 2" xfId="11279"/>
    <cellStyle name="Comma 25 2 18" xfId="5061"/>
    <cellStyle name="Comma 25 2 18 2" xfId="11280"/>
    <cellStyle name="Comma 25 2 19" xfId="11271"/>
    <cellStyle name="Comma 25 2 2" xfId="5062"/>
    <cellStyle name="Comma 25 2 2 2" xfId="11281"/>
    <cellStyle name="Comma 25 2 3" xfId="5063"/>
    <cellStyle name="Comma 25 2 3 2" xfId="11282"/>
    <cellStyle name="Comma 25 2 4" xfId="5064"/>
    <cellStyle name="Comma 25 2 4 2" xfId="11283"/>
    <cellStyle name="Comma 25 2 5" xfId="5065"/>
    <cellStyle name="Comma 25 2 5 2" xfId="11284"/>
    <cellStyle name="Comma 25 2 6" xfId="5066"/>
    <cellStyle name="Comma 25 2 6 2" xfId="11285"/>
    <cellStyle name="Comma 25 2 7" xfId="5067"/>
    <cellStyle name="Comma 25 2 7 2" xfId="11286"/>
    <cellStyle name="Comma 25 2 8" xfId="5068"/>
    <cellStyle name="Comma 25 2 8 2" xfId="11287"/>
    <cellStyle name="Comma 25 2 9" xfId="5069"/>
    <cellStyle name="Comma 25 2 9 2" xfId="11288"/>
    <cellStyle name="Comma 25 3" xfId="5070"/>
    <cellStyle name="Comma 25 3 10" xfId="5071"/>
    <cellStyle name="Comma 25 3 10 2" xfId="11290"/>
    <cellStyle name="Comma 25 3 11" xfId="5072"/>
    <cellStyle name="Comma 25 3 11 2" xfId="11291"/>
    <cellStyle name="Comma 25 3 12" xfId="5073"/>
    <cellStyle name="Comma 25 3 12 2" xfId="11292"/>
    <cellStyle name="Comma 25 3 13" xfId="5074"/>
    <cellStyle name="Comma 25 3 13 2" xfId="11293"/>
    <cellStyle name="Comma 25 3 14" xfId="5075"/>
    <cellStyle name="Comma 25 3 14 2" xfId="11294"/>
    <cellStyle name="Comma 25 3 15" xfId="5076"/>
    <cellStyle name="Comma 25 3 15 2" xfId="11295"/>
    <cellStyle name="Comma 25 3 16" xfId="5077"/>
    <cellStyle name="Comma 25 3 16 2" xfId="11296"/>
    <cellStyle name="Comma 25 3 17" xfId="5078"/>
    <cellStyle name="Comma 25 3 17 2" xfId="11297"/>
    <cellStyle name="Comma 25 3 18" xfId="5079"/>
    <cellStyle name="Comma 25 3 18 2" xfId="11298"/>
    <cellStyle name="Comma 25 3 19" xfId="11289"/>
    <cellStyle name="Comma 25 3 2" xfId="5080"/>
    <cellStyle name="Comma 25 3 2 2" xfId="11299"/>
    <cellStyle name="Comma 25 3 3" xfId="5081"/>
    <cellStyle name="Comma 25 3 3 2" xfId="11300"/>
    <cellStyle name="Comma 25 3 4" xfId="5082"/>
    <cellStyle name="Comma 25 3 4 2" xfId="11301"/>
    <cellStyle name="Comma 25 3 5" xfId="5083"/>
    <cellStyle name="Comma 25 3 5 2" xfId="11302"/>
    <cellStyle name="Comma 25 3 6" xfId="5084"/>
    <cellStyle name="Comma 25 3 6 2" xfId="11303"/>
    <cellStyle name="Comma 25 3 7" xfId="5085"/>
    <cellStyle name="Comma 25 3 7 2" xfId="11304"/>
    <cellStyle name="Comma 25 3 8" xfId="5086"/>
    <cellStyle name="Comma 25 3 8 2" xfId="11305"/>
    <cellStyle name="Comma 25 3 9" xfId="5087"/>
    <cellStyle name="Comma 25 3 9 2" xfId="11306"/>
    <cellStyle name="Comma 25 4" xfId="5088"/>
    <cellStyle name="Comma 25 4 2" xfId="11307"/>
    <cellStyle name="Comma 27 2" xfId="5089"/>
    <cellStyle name="Comma 27 2 2" xfId="11308"/>
    <cellStyle name="Comma 3" xfId="79"/>
    <cellStyle name="Comma 3 10" xfId="7286"/>
    <cellStyle name="Comma 3 10 2" xfId="7287"/>
    <cellStyle name="Comma 3 10 2 2" xfId="11310"/>
    <cellStyle name="Comma 3 10 2 3" xfId="16682"/>
    <cellStyle name="Comma 3 10 2 3 2" xfId="32903"/>
    <cellStyle name="Comma 3 10 3" xfId="7288"/>
    <cellStyle name="Comma 3 10 3 2" xfId="11311"/>
    <cellStyle name="Comma 3 10 4" xfId="11309"/>
    <cellStyle name="Comma 3 10 5" xfId="15097"/>
    <cellStyle name="Comma 3 10 5 2" xfId="31319"/>
    <cellStyle name="Comma 3 11" xfId="7289"/>
    <cellStyle name="Comma 3 11 2" xfId="7290"/>
    <cellStyle name="Comma 3 11 2 2" xfId="11313"/>
    <cellStyle name="Comma 3 11 3" xfId="11312"/>
    <cellStyle name="Comma 3 11 4" xfId="15890"/>
    <cellStyle name="Comma 3 11 4 2" xfId="32111"/>
    <cellStyle name="Comma 3 12" xfId="7291"/>
    <cellStyle name="Comma 3 12 2" xfId="11314"/>
    <cellStyle name="Comma 3 13" xfId="14240"/>
    <cellStyle name="Comma 3 13 2" xfId="30524"/>
    <cellStyle name="Comma 3 14" xfId="20977"/>
    <cellStyle name="Comma 3 15" xfId="14201"/>
    <cellStyle name="Comma 3 16" xfId="4895"/>
    <cellStyle name="Comma 3 17" xfId="21004"/>
    <cellStyle name="Comma 3 17 2" xfId="37216"/>
    <cellStyle name="Comma 3 18" xfId="22502"/>
    <cellStyle name="Comma 3 19" xfId="39552"/>
    <cellStyle name="Comma 3 2" xfId="80"/>
    <cellStyle name="Comma 3 2 10" xfId="5091"/>
    <cellStyle name="Comma 3 2 10 2" xfId="11315"/>
    <cellStyle name="Comma 3 2 11" xfId="5092"/>
    <cellStyle name="Comma 3 2 11 2" xfId="11316"/>
    <cellStyle name="Comma 3 2 12" xfId="5093"/>
    <cellStyle name="Comma 3 2 12 2" xfId="11317"/>
    <cellStyle name="Comma 3 2 13" xfId="5094"/>
    <cellStyle name="Comma 3 2 13 2" xfId="11318"/>
    <cellStyle name="Comma 3 2 14" xfId="5095"/>
    <cellStyle name="Comma 3 2 14 2" xfId="11319"/>
    <cellStyle name="Comma 3 2 15" xfId="5096"/>
    <cellStyle name="Comma 3 2 15 2" xfId="11320"/>
    <cellStyle name="Comma 3 2 16" xfId="5097"/>
    <cellStyle name="Comma 3 2 16 2" xfId="11321"/>
    <cellStyle name="Comma 3 2 17" xfId="5098"/>
    <cellStyle name="Comma 3 2 17 2" xfId="11322"/>
    <cellStyle name="Comma 3 2 18" xfId="5099"/>
    <cellStyle name="Comma 3 2 18 2" xfId="11323"/>
    <cellStyle name="Comma 3 2 19" xfId="5100"/>
    <cellStyle name="Comma 3 2 19 2" xfId="11324"/>
    <cellStyle name="Comma 3 2 2" xfId="5101"/>
    <cellStyle name="Comma 3 2 2 2" xfId="11325"/>
    <cellStyle name="Comma 3 2 20" xfId="5102"/>
    <cellStyle name="Comma 3 2 20 2" xfId="11326"/>
    <cellStyle name="Comma 3 2 21" xfId="5103"/>
    <cellStyle name="Comma 3 2 21 2" xfId="11327"/>
    <cellStyle name="Comma 3 2 22" xfId="5104"/>
    <cellStyle name="Comma 3 2 22 2" xfId="11328"/>
    <cellStyle name="Comma 3 2 23" xfId="5105"/>
    <cellStyle name="Comma 3 2 23 2" xfId="11329"/>
    <cellStyle name="Comma 3 2 24" xfId="5106"/>
    <cellStyle name="Comma 3 2 24 2" xfId="11330"/>
    <cellStyle name="Comma 3 2 25" xfId="5107"/>
    <cellStyle name="Comma 3 2 25 2" xfId="11331"/>
    <cellStyle name="Comma 3 2 26" xfId="5108"/>
    <cellStyle name="Comma 3 2 26 2" xfId="11332"/>
    <cellStyle name="Comma 3 2 27" xfId="5109"/>
    <cellStyle name="Comma 3 2 27 2" xfId="11333"/>
    <cellStyle name="Comma 3 2 28" xfId="5110"/>
    <cellStyle name="Comma 3 2 28 2" xfId="11334"/>
    <cellStyle name="Comma 3 2 29" xfId="5111"/>
    <cellStyle name="Comma 3 2 29 2" xfId="11335"/>
    <cellStyle name="Comma 3 2 3" xfId="5112"/>
    <cellStyle name="Comma 3 2 3 2" xfId="11336"/>
    <cellStyle name="Comma 3 2 30" xfId="5113"/>
    <cellStyle name="Comma 3 2 30 2" xfId="11337"/>
    <cellStyle name="Comma 3 2 31" xfId="5114"/>
    <cellStyle name="Comma 3 2 31 2" xfId="11338"/>
    <cellStyle name="Comma 3 2 32" xfId="5115"/>
    <cellStyle name="Comma 3 2 32 2" xfId="11339"/>
    <cellStyle name="Comma 3 2 33" xfId="5116"/>
    <cellStyle name="Comma 3 2 33 2" xfId="11340"/>
    <cellStyle name="Comma 3 2 34" xfId="5117"/>
    <cellStyle name="Comma 3 2 34 2" xfId="11341"/>
    <cellStyle name="Comma 3 2 35" xfId="5118"/>
    <cellStyle name="Comma 3 2 35 2" xfId="11342"/>
    <cellStyle name="Comma 3 2 36" xfId="5119"/>
    <cellStyle name="Comma 3 2 36 2" xfId="11343"/>
    <cellStyle name="Comma 3 2 37" xfId="5120"/>
    <cellStyle name="Comma 3 2 37 2" xfId="11344"/>
    <cellStyle name="Comma 3 2 38" xfId="5121"/>
    <cellStyle name="Comma 3 2 38 2" xfId="11345"/>
    <cellStyle name="Comma 3 2 39" xfId="5122"/>
    <cellStyle name="Comma 3 2 39 2" xfId="11346"/>
    <cellStyle name="Comma 3 2 4" xfId="5123"/>
    <cellStyle name="Comma 3 2 4 2" xfId="11347"/>
    <cellStyle name="Comma 3 2 40" xfId="5090"/>
    <cellStyle name="Comma 3 2 41" xfId="4950"/>
    <cellStyle name="Comma 3 2 42" xfId="38746"/>
    <cellStyle name="Comma 3 2 43" xfId="361"/>
    <cellStyle name="Comma 3 2 5" xfId="5124"/>
    <cellStyle name="Comma 3 2 5 2" xfId="11348"/>
    <cellStyle name="Comma 3 2 6" xfId="5125"/>
    <cellStyle name="Comma 3 2 6 2" xfId="11349"/>
    <cellStyle name="Comma 3 2 7" xfId="5126"/>
    <cellStyle name="Comma 3 2 7 2" xfId="11350"/>
    <cellStyle name="Comma 3 2 8" xfId="5127"/>
    <cellStyle name="Comma 3 2 8 2" xfId="11351"/>
    <cellStyle name="Comma 3 2 9" xfId="5128"/>
    <cellStyle name="Comma 3 2 9 2" xfId="11352"/>
    <cellStyle name="Comma 3 20" xfId="296"/>
    <cellStyle name="Comma 3 3" xfId="81"/>
    <cellStyle name="Comma 3 3 10" xfId="5129"/>
    <cellStyle name="Comma 3 3 10 2" xfId="11354"/>
    <cellStyle name="Comma 3 3 11" xfId="5130"/>
    <cellStyle name="Comma 3 3 11 2" xfId="11355"/>
    <cellStyle name="Comma 3 3 12" xfId="5131"/>
    <cellStyle name="Comma 3 3 12 2" xfId="11356"/>
    <cellStyle name="Comma 3 3 13" xfId="5132"/>
    <cellStyle name="Comma 3 3 13 2" xfId="11357"/>
    <cellStyle name="Comma 3 3 14" xfId="5133"/>
    <cellStyle name="Comma 3 3 14 2" xfId="11358"/>
    <cellStyle name="Comma 3 3 15" xfId="5134"/>
    <cellStyle name="Comma 3 3 15 2" xfId="11359"/>
    <cellStyle name="Comma 3 3 16" xfId="5135"/>
    <cellStyle name="Comma 3 3 16 2" xfId="11360"/>
    <cellStyle name="Comma 3 3 17" xfId="5136"/>
    <cellStyle name="Comma 3 3 17 2" xfId="11361"/>
    <cellStyle name="Comma 3 3 18" xfId="5137"/>
    <cellStyle name="Comma 3 3 18 2" xfId="11362"/>
    <cellStyle name="Comma 3 3 19" xfId="5138"/>
    <cellStyle name="Comma 3 3 19 2" xfId="11363"/>
    <cellStyle name="Comma 3 3 2" xfId="5139"/>
    <cellStyle name="Comma 3 3 2 2" xfId="11364"/>
    <cellStyle name="Comma 3 3 20" xfId="5140"/>
    <cellStyle name="Comma 3 3 20 2" xfId="11365"/>
    <cellStyle name="Comma 3 3 21" xfId="5141"/>
    <cellStyle name="Comma 3 3 21 2" xfId="11366"/>
    <cellStyle name="Comma 3 3 22" xfId="5142"/>
    <cellStyle name="Comma 3 3 22 2" xfId="11367"/>
    <cellStyle name="Comma 3 3 23" xfId="5143"/>
    <cellStyle name="Comma 3 3 23 2" xfId="11368"/>
    <cellStyle name="Comma 3 3 24" xfId="5144"/>
    <cellStyle name="Comma 3 3 24 2" xfId="11369"/>
    <cellStyle name="Comma 3 3 25" xfId="5145"/>
    <cellStyle name="Comma 3 3 25 2" xfId="11370"/>
    <cellStyle name="Comma 3 3 26" xfId="5146"/>
    <cellStyle name="Comma 3 3 26 2" xfId="11371"/>
    <cellStyle name="Comma 3 3 27" xfId="5147"/>
    <cellStyle name="Comma 3 3 27 2" xfId="11372"/>
    <cellStyle name="Comma 3 3 28" xfId="5148"/>
    <cellStyle name="Comma 3 3 28 2" xfId="11373"/>
    <cellStyle name="Comma 3 3 29" xfId="5149"/>
    <cellStyle name="Comma 3 3 29 2" xfId="11374"/>
    <cellStyle name="Comma 3 3 3" xfId="5150"/>
    <cellStyle name="Comma 3 3 3 2" xfId="11375"/>
    <cellStyle name="Comma 3 3 30" xfId="5151"/>
    <cellStyle name="Comma 3 3 30 2" xfId="11376"/>
    <cellStyle name="Comma 3 3 31" xfId="5152"/>
    <cellStyle name="Comma 3 3 31 2" xfId="11377"/>
    <cellStyle name="Comma 3 3 32" xfId="5153"/>
    <cellStyle name="Comma 3 3 32 2" xfId="11378"/>
    <cellStyle name="Comma 3 3 33" xfId="5154"/>
    <cellStyle name="Comma 3 3 33 2" xfId="11379"/>
    <cellStyle name="Comma 3 3 34" xfId="5155"/>
    <cellStyle name="Comma 3 3 34 2" xfId="11380"/>
    <cellStyle name="Comma 3 3 35" xfId="5156"/>
    <cellStyle name="Comma 3 3 35 2" xfId="11381"/>
    <cellStyle name="Comma 3 3 36" xfId="5157"/>
    <cellStyle name="Comma 3 3 36 2" xfId="11382"/>
    <cellStyle name="Comma 3 3 37" xfId="5158"/>
    <cellStyle name="Comma 3 3 37 2" xfId="11383"/>
    <cellStyle name="Comma 3 3 38" xfId="5159"/>
    <cellStyle name="Comma 3 3 38 2" xfId="11384"/>
    <cellStyle name="Comma 3 3 39" xfId="5160"/>
    <cellStyle name="Comma 3 3 39 2" xfId="11385"/>
    <cellStyle name="Comma 3 3 4" xfId="5161"/>
    <cellStyle name="Comma 3 3 4 2" xfId="11386"/>
    <cellStyle name="Comma 3 3 40" xfId="11353"/>
    <cellStyle name="Comma 3 3 41" xfId="38834"/>
    <cellStyle name="Comma 3 3 42" xfId="363"/>
    <cellStyle name="Comma 3 3 5" xfId="5162"/>
    <cellStyle name="Comma 3 3 5 2" xfId="11387"/>
    <cellStyle name="Comma 3 3 6" xfId="5163"/>
    <cellStyle name="Comma 3 3 6 2" xfId="11388"/>
    <cellStyle name="Comma 3 3 7" xfId="5164"/>
    <cellStyle name="Comma 3 3 7 2" xfId="11389"/>
    <cellStyle name="Comma 3 3 8" xfId="5165"/>
    <cellStyle name="Comma 3 3 8 2" xfId="11390"/>
    <cellStyle name="Comma 3 3 9" xfId="5166"/>
    <cellStyle name="Comma 3 3 9 2" xfId="11391"/>
    <cellStyle name="Comma 3 4" xfId="82"/>
    <cellStyle name="Comma 3 4 10" xfId="11392"/>
    <cellStyle name="Comma 3 4 11" xfId="14244"/>
    <cellStyle name="Comma 3 4 11 2" xfId="30528"/>
    <cellStyle name="Comma 3 4 12" xfId="7292"/>
    <cellStyle name="Comma 3 4 13" xfId="4960"/>
    <cellStyle name="Comma 3 4 14" xfId="21032"/>
    <cellStyle name="Comma 3 4 14 2" xfId="37244"/>
    <cellStyle name="Comma 3 4 15" xfId="22530"/>
    <cellStyle name="Comma 3 4 16" xfId="38874"/>
    <cellStyle name="Comma 3 4 17" xfId="325"/>
    <cellStyle name="Comma 3 4 2" xfId="268"/>
    <cellStyle name="Comma 3 4 2 10" xfId="14339"/>
    <cellStyle name="Comma 3 4 2 10 2" xfId="30561"/>
    <cellStyle name="Comma 3 4 2 11" xfId="7293"/>
    <cellStyle name="Comma 3 4 2 12" xfId="24028"/>
    <cellStyle name="Comma 3 4 2 13" xfId="1860"/>
    <cellStyle name="Comma 3 4 2 2" xfId="7294"/>
    <cellStyle name="Comma 3 4 2 2 2" xfId="7295"/>
    <cellStyle name="Comma 3 4 2 2 2 2" xfId="7296"/>
    <cellStyle name="Comma 3 4 2 2 2 2 2" xfId="7297"/>
    <cellStyle name="Comma 3 4 2 2 2 2 2 2" xfId="7298"/>
    <cellStyle name="Comma 3 4 2 2 2 2 2 2 2" xfId="11398"/>
    <cellStyle name="Comma 3 4 2 2 2 2 2 2 3" xfId="17178"/>
    <cellStyle name="Comma 3 4 2 2 2 2 2 2 3 2" xfId="33399"/>
    <cellStyle name="Comma 3 4 2 2 2 2 2 3" xfId="7299"/>
    <cellStyle name="Comma 3 4 2 2 2 2 2 3 2" xfId="11399"/>
    <cellStyle name="Comma 3 4 2 2 2 2 2 4" xfId="11397"/>
    <cellStyle name="Comma 3 4 2 2 2 2 2 5" xfId="15593"/>
    <cellStyle name="Comma 3 4 2 2 2 2 2 5 2" xfId="31815"/>
    <cellStyle name="Comma 3 4 2 2 2 2 3" xfId="7300"/>
    <cellStyle name="Comma 3 4 2 2 2 2 3 2" xfId="11400"/>
    <cellStyle name="Comma 3 4 2 2 2 2 3 3" xfId="16386"/>
    <cellStyle name="Comma 3 4 2 2 2 2 3 3 2" xfId="32607"/>
    <cellStyle name="Comma 3 4 2 2 2 2 4" xfId="7301"/>
    <cellStyle name="Comma 3 4 2 2 2 2 4 2" xfId="11401"/>
    <cellStyle name="Comma 3 4 2 2 2 2 5" xfId="11396"/>
    <cellStyle name="Comma 3 4 2 2 2 2 6" xfId="14801"/>
    <cellStyle name="Comma 3 4 2 2 2 2 6 2" xfId="31023"/>
    <cellStyle name="Comma 3 4 2 2 2 3" xfId="7302"/>
    <cellStyle name="Comma 3 4 2 2 2 3 2" xfId="7303"/>
    <cellStyle name="Comma 3 4 2 2 2 3 2 2" xfId="7304"/>
    <cellStyle name="Comma 3 4 2 2 2 3 2 2 2" xfId="11404"/>
    <cellStyle name="Comma 3 4 2 2 2 3 2 2 3" xfId="17442"/>
    <cellStyle name="Comma 3 4 2 2 2 3 2 2 3 2" xfId="33663"/>
    <cellStyle name="Comma 3 4 2 2 2 3 2 3" xfId="7305"/>
    <cellStyle name="Comma 3 4 2 2 2 3 2 3 2" xfId="11405"/>
    <cellStyle name="Comma 3 4 2 2 2 3 2 4" xfId="11403"/>
    <cellStyle name="Comma 3 4 2 2 2 3 2 5" xfId="15857"/>
    <cellStyle name="Comma 3 4 2 2 2 3 2 5 2" xfId="32079"/>
    <cellStyle name="Comma 3 4 2 2 2 3 3" xfId="7306"/>
    <cellStyle name="Comma 3 4 2 2 2 3 3 2" xfId="11406"/>
    <cellStyle name="Comma 3 4 2 2 2 3 3 3" xfId="16650"/>
    <cellStyle name="Comma 3 4 2 2 2 3 3 3 2" xfId="32871"/>
    <cellStyle name="Comma 3 4 2 2 2 3 4" xfId="7307"/>
    <cellStyle name="Comma 3 4 2 2 2 3 4 2" xfId="11407"/>
    <cellStyle name="Comma 3 4 2 2 2 3 5" xfId="11402"/>
    <cellStyle name="Comma 3 4 2 2 2 3 6" xfId="15065"/>
    <cellStyle name="Comma 3 4 2 2 2 3 6 2" xfId="31287"/>
    <cellStyle name="Comma 3 4 2 2 2 4" xfId="7308"/>
    <cellStyle name="Comma 3 4 2 2 2 4 2" xfId="7309"/>
    <cellStyle name="Comma 3 4 2 2 2 4 2 2" xfId="11409"/>
    <cellStyle name="Comma 3 4 2 2 2 4 2 3" xfId="16914"/>
    <cellStyle name="Comma 3 4 2 2 2 4 2 3 2" xfId="33135"/>
    <cellStyle name="Comma 3 4 2 2 2 4 3" xfId="7310"/>
    <cellStyle name="Comma 3 4 2 2 2 4 3 2" xfId="11410"/>
    <cellStyle name="Comma 3 4 2 2 2 4 4" xfId="11408"/>
    <cellStyle name="Comma 3 4 2 2 2 4 5" xfId="15329"/>
    <cellStyle name="Comma 3 4 2 2 2 4 5 2" xfId="31551"/>
    <cellStyle name="Comma 3 4 2 2 2 5" xfId="7311"/>
    <cellStyle name="Comma 3 4 2 2 2 5 2" xfId="11411"/>
    <cellStyle name="Comma 3 4 2 2 2 5 3" xfId="16122"/>
    <cellStyle name="Comma 3 4 2 2 2 5 3 2" xfId="32343"/>
    <cellStyle name="Comma 3 4 2 2 2 6" xfId="7312"/>
    <cellStyle name="Comma 3 4 2 2 2 6 2" xfId="11412"/>
    <cellStyle name="Comma 3 4 2 2 2 7" xfId="11395"/>
    <cellStyle name="Comma 3 4 2 2 2 8" xfId="14537"/>
    <cellStyle name="Comma 3 4 2 2 2 8 2" xfId="30759"/>
    <cellStyle name="Comma 3 4 2 2 3" xfId="7313"/>
    <cellStyle name="Comma 3 4 2 2 3 2" xfId="7314"/>
    <cellStyle name="Comma 3 4 2 2 3 2 2" xfId="7315"/>
    <cellStyle name="Comma 3 4 2 2 3 2 2 2" xfId="11415"/>
    <cellStyle name="Comma 3 4 2 2 3 2 2 3" xfId="17046"/>
    <cellStyle name="Comma 3 4 2 2 3 2 2 3 2" xfId="33267"/>
    <cellStyle name="Comma 3 4 2 2 3 2 3" xfId="7316"/>
    <cellStyle name="Comma 3 4 2 2 3 2 3 2" xfId="11416"/>
    <cellStyle name="Comma 3 4 2 2 3 2 4" xfId="11414"/>
    <cellStyle name="Comma 3 4 2 2 3 2 5" xfId="15461"/>
    <cellStyle name="Comma 3 4 2 2 3 2 5 2" xfId="31683"/>
    <cellStyle name="Comma 3 4 2 2 3 3" xfId="7317"/>
    <cellStyle name="Comma 3 4 2 2 3 3 2" xfId="11417"/>
    <cellStyle name="Comma 3 4 2 2 3 3 3" xfId="16254"/>
    <cellStyle name="Comma 3 4 2 2 3 3 3 2" xfId="32475"/>
    <cellStyle name="Comma 3 4 2 2 3 4" xfId="7318"/>
    <cellStyle name="Comma 3 4 2 2 3 4 2" xfId="11418"/>
    <cellStyle name="Comma 3 4 2 2 3 5" xfId="11413"/>
    <cellStyle name="Comma 3 4 2 2 3 6" xfId="14669"/>
    <cellStyle name="Comma 3 4 2 2 3 6 2" xfId="30891"/>
    <cellStyle name="Comma 3 4 2 2 4" xfId="7319"/>
    <cellStyle name="Comma 3 4 2 2 4 2" xfId="7320"/>
    <cellStyle name="Comma 3 4 2 2 4 2 2" xfId="7321"/>
    <cellStyle name="Comma 3 4 2 2 4 2 2 2" xfId="11421"/>
    <cellStyle name="Comma 3 4 2 2 4 2 2 3" xfId="17310"/>
    <cellStyle name="Comma 3 4 2 2 4 2 2 3 2" xfId="33531"/>
    <cellStyle name="Comma 3 4 2 2 4 2 3" xfId="7322"/>
    <cellStyle name="Comma 3 4 2 2 4 2 3 2" xfId="11422"/>
    <cellStyle name="Comma 3 4 2 2 4 2 4" xfId="11420"/>
    <cellStyle name="Comma 3 4 2 2 4 2 5" xfId="15725"/>
    <cellStyle name="Comma 3 4 2 2 4 2 5 2" xfId="31947"/>
    <cellStyle name="Comma 3 4 2 2 4 3" xfId="7323"/>
    <cellStyle name="Comma 3 4 2 2 4 3 2" xfId="11423"/>
    <cellStyle name="Comma 3 4 2 2 4 3 3" xfId="16518"/>
    <cellStyle name="Comma 3 4 2 2 4 3 3 2" xfId="32739"/>
    <cellStyle name="Comma 3 4 2 2 4 4" xfId="7324"/>
    <cellStyle name="Comma 3 4 2 2 4 4 2" xfId="11424"/>
    <cellStyle name="Comma 3 4 2 2 4 5" xfId="11419"/>
    <cellStyle name="Comma 3 4 2 2 4 6" xfId="14933"/>
    <cellStyle name="Comma 3 4 2 2 4 6 2" xfId="31155"/>
    <cellStyle name="Comma 3 4 2 2 5" xfId="7325"/>
    <cellStyle name="Comma 3 4 2 2 5 2" xfId="7326"/>
    <cellStyle name="Comma 3 4 2 2 5 2 2" xfId="11426"/>
    <cellStyle name="Comma 3 4 2 2 5 2 3" xfId="16782"/>
    <cellStyle name="Comma 3 4 2 2 5 2 3 2" xfId="33003"/>
    <cellStyle name="Comma 3 4 2 2 5 3" xfId="7327"/>
    <cellStyle name="Comma 3 4 2 2 5 3 2" xfId="11427"/>
    <cellStyle name="Comma 3 4 2 2 5 4" xfId="11425"/>
    <cellStyle name="Comma 3 4 2 2 5 5" xfId="15197"/>
    <cellStyle name="Comma 3 4 2 2 5 5 2" xfId="31419"/>
    <cellStyle name="Comma 3 4 2 2 6" xfId="7328"/>
    <cellStyle name="Comma 3 4 2 2 6 2" xfId="11428"/>
    <cellStyle name="Comma 3 4 2 2 6 3" xfId="15990"/>
    <cellStyle name="Comma 3 4 2 2 6 3 2" xfId="32211"/>
    <cellStyle name="Comma 3 4 2 2 7" xfId="7329"/>
    <cellStyle name="Comma 3 4 2 2 7 2" xfId="11429"/>
    <cellStyle name="Comma 3 4 2 2 8" xfId="11394"/>
    <cellStyle name="Comma 3 4 2 2 9" xfId="14405"/>
    <cellStyle name="Comma 3 4 2 2 9 2" xfId="30627"/>
    <cellStyle name="Comma 3 4 2 3" xfId="7330"/>
    <cellStyle name="Comma 3 4 2 3 2" xfId="7331"/>
    <cellStyle name="Comma 3 4 2 3 2 2" xfId="7332"/>
    <cellStyle name="Comma 3 4 2 3 2 2 2" xfId="7333"/>
    <cellStyle name="Comma 3 4 2 3 2 2 2 2" xfId="11433"/>
    <cellStyle name="Comma 3 4 2 3 2 2 2 3" xfId="17112"/>
    <cellStyle name="Comma 3 4 2 3 2 2 2 3 2" xfId="33333"/>
    <cellStyle name="Comma 3 4 2 3 2 2 3" xfId="7334"/>
    <cellStyle name="Comma 3 4 2 3 2 2 3 2" xfId="11434"/>
    <cellStyle name="Comma 3 4 2 3 2 2 4" xfId="11432"/>
    <cellStyle name="Comma 3 4 2 3 2 2 5" xfId="15527"/>
    <cellStyle name="Comma 3 4 2 3 2 2 5 2" xfId="31749"/>
    <cellStyle name="Comma 3 4 2 3 2 3" xfId="7335"/>
    <cellStyle name="Comma 3 4 2 3 2 3 2" xfId="11435"/>
    <cellStyle name="Comma 3 4 2 3 2 3 3" xfId="16320"/>
    <cellStyle name="Comma 3 4 2 3 2 3 3 2" xfId="32541"/>
    <cellStyle name="Comma 3 4 2 3 2 4" xfId="7336"/>
    <cellStyle name="Comma 3 4 2 3 2 4 2" xfId="11436"/>
    <cellStyle name="Comma 3 4 2 3 2 5" xfId="11431"/>
    <cellStyle name="Comma 3 4 2 3 2 6" xfId="14735"/>
    <cellStyle name="Comma 3 4 2 3 2 6 2" xfId="30957"/>
    <cellStyle name="Comma 3 4 2 3 3" xfId="7337"/>
    <cellStyle name="Comma 3 4 2 3 3 2" xfId="7338"/>
    <cellStyle name="Comma 3 4 2 3 3 2 2" xfId="7339"/>
    <cellStyle name="Comma 3 4 2 3 3 2 2 2" xfId="11439"/>
    <cellStyle name="Comma 3 4 2 3 3 2 2 3" xfId="17376"/>
    <cellStyle name="Comma 3 4 2 3 3 2 2 3 2" xfId="33597"/>
    <cellStyle name="Comma 3 4 2 3 3 2 3" xfId="7340"/>
    <cellStyle name="Comma 3 4 2 3 3 2 3 2" xfId="11440"/>
    <cellStyle name="Comma 3 4 2 3 3 2 4" xfId="11438"/>
    <cellStyle name="Comma 3 4 2 3 3 2 5" xfId="15791"/>
    <cellStyle name="Comma 3 4 2 3 3 2 5 2" xfId="32013"/>
    <cellStyle name="Comma 3 4 2 3 3 3" xfId="7341"/>
    <cellStyle name="Comma 3 4 2 3 3 3 2" xfId="11441"/>
    <cellStyle name="Comma 3 4 2 3 3 3 3" xfId="16584"/>
    <cellStyle name="Comma 3 4 2 3 3 3 3 2" xfId="32805"/>
    <cellStyle name="Comma 3 4 2 3 3 4" xfId="7342"/>
    <cellStyle name="Comma 3 4 2 3 3 4 2" xfId="11442"/>
    <cellStyle name="Comma 3 4 2 3 3 5" xfId="11437"/>
    <cellStyle name="Comma 3 4 2 3 3 6" xfId="14999"/>
    <cellStyle name="Comma 3 4 2 3 3 6 2" xfId="31221"/>
    <cellStyle name="Comma 3 4 2 3 4" xfId="7343"/>
    <cellStyle name="Comma 3 4 2 3 4 2" xfId="7344"/>
    <cellStyle name="Comma 3 4 2 3 4 2 2" xfId="11444"/>
    <cellStyle name="Comma 3 4 2 3 4 2 3" xfId="16848"/>
    <cellStyle name="Comma 3 4 2 3 4 2 3 2" xfId="33069"/>
    <cellStyle name="Comma 3 4 2 3 4 3" xfId="7345"/>
    <cellStyle name="Comma 3 4 2 3 4 3 2" xfId="11445"/>
    <cellStyle name="Comma 3 4 2 3 4 4" xfId="11443"/>
    <cellStyle name="Comma 3 4 2 3 4 5" xfId="15263"/>
    <cellStyle name="Comma 3 4 2 3 4 5 2" xfId="31485"/>
    <cellStyle name="Comma 3 4 2 3 5" xfId="7346"/>
    <cellStyle name="Comma 3 4 2 3 5 2" xfId="11446"/>
    <cellStyle name="Comma 3 4 2 3 5 3" xfId="16056"/>
    <cellStyle name="Comma 3 4 2 3 5 3 2" xfId="32277"/>
    <cellStyle name="Comma 3 4 2 3 6" xfId="7347"/>
    <cellStyle name="Comma 3 4 2 3 6 2" xfId="11447"/>
    <cellStyle name="Comma 3 4 2 3 7" xfId="11430"/>
    <cellStyle name="Comma 3 4 2 3 8" xfId="14471"/>
    <cellStyle name="Comma 3 4 2 3 8 2" xfId="30693"/>
    <cellStyle name="Comma 3 4 2 4" xfId="7348"/>
    <cellStyle name="Comma 3 4 2 4 2" xfId="7349"/>
    <cellStyle name="Comma 3 4 2 4 2 2" xfId="7350"/>
    <cellStyle name="Comma 3 4 2 4 2 2 2" xfId="11450"/>
    <cellStyle name="Comma 3 4 2 4 2 2 3" xfId="16980"/>
    <cellStyle name="Comma 3 4 2 4 2 2 3 2" xfId="33201"/>
    <cellStyle name="Comma 3 4 2 4 2 3" xfId="7351"/>
    <cellStyle name="Comma 3 4 2 4 2 3 2" xfId="11451"/>
    <cellStyle name="Comma 3 4 2 4 2 4" xfId="11449"/>
    <cellStyle name="Comma 3 4 2 4 2 5" xfId="15395"/>
    <cellStyle name="Comma 3 4 2 4 2 5 2" xfId="31617"/>
    <cellStyle name="Comma 3 4 2 4 3" xfId="7352"/>
    <cellStyle name="Comma 3 4 2 4 3 2" xfId="11452"/>
    <cellStyle name="Comma 3 4 2 4 3 3" xfId="16188"/>
    <cellStyle name="Comma 3 4 2 4 3 3 2" xfId="32409"/>
    <cellStyle name="Comma 3 4 2 4 4" xfId="7353"/>
    <cellStyle name="Comma 3 4 2 4 4 2" xfId="11453"/>
    <cellStyle name="Comma 3 4 2 4 5" xfId="11448"/>
    <cellStyle name="Comma 3 4 2 4 6" xfId="14603"/>
    <cellStyle name="Comma 3 4 2 4 6 2" xfId="30825"/>
    <cellStyle name="Comma 3 4 2 5" xfId="7354"/>
    <cellStyle name="Comma 3 4 2 5 2" xfId="7355"/>
    <cellStyle name="Comma 3 4 2 5 2 2" xfId="7356"/>
    <cellStyle name="Comma 3 4 2 5 2 2 2" xfId="11456"/>
    <cellStyle name="Comma 3 4 2 5 2 2 3" xfId="17244"/>
    <cellStyle name="Comma 3 4 2 5 2 2 3 2" xfId="33465"/>
    <cellStyle name="Comma 3 4 2 5 2 3" xfId="7357"/>
    <cellStyle name="Comma 3 4 2 5 2 3 2" xfId="11457"/>
    <cellStyle name="Comma 3 4 2 5 2 4" xfId="11455"/>
    <cellStyle name="Comma 3 4 2 5 2 5" xfId="15659"/>
    <cellStyle name="Comma 3 4 2 5 2 5 2" xfId="31881"/>
    <cellStyle name="Comma 3 4 2 5 3" xfId="7358"/>
    <cellStyle name="Comma 3 4 2 5 3 2" xfId="11458"/>
    <cellStyle name="Comma 3 4 2 5 3 3" xfId="16452"/>
    <cellStyle name="Comma 3 4 2 5 3 3 2" xfId="32673"/>
    <cellStyle name="Comma 3 4 2 5 4" xfId="7359"/>
    <cellStyle name="Comma 3 4 2 5 4 2" xfId="11459"/>
    <cellStyle name="Comma 3 4 2 5 5" xfId="11454"/>
    <cellStyle name="Comma 3 4 2 5 6" xfId="14867"/>
    <cellStyle name="Comma 3 4 2 5 6 2" xfId="31089"/>
    <cellStyle name="Comma 3 4 2 6" xfId="7360"/>
    <cellStyle name="Comma 3 4 2 6 2" xfId="7361"/>
    <cellStyle name="Comma 3 4 2 6 2 2" xfId="11461"/>
    <cellStyle name="Comma 3 4 2 6 2 3" xfId="16716"/>
    <cellStyle name="Comma 3 4 2 6 2 3 2" xfId="32937"/>
    <cellStyle name="Comma 3 4 2 6 3" xfId="7362"/>
    <cellStyle name="Comma 3 4 2 6 3 2" xfId="11462"/>
    <cellStyle name="Comma 3 4 2 6 4" xfId="11460"/>
    <cellStyle name="Comma 3 4 2 6 5" xfId="15131"/>
    <cellStyle name="Comma 3 4 2 6 5 2" xfId="31353"/>
    <cellStyle name="Comma 3 4 2 7" xfId="7363"/>
    <cellStyle name="Comma 3 4 2 7 2" xfId="11463"/>
    <cellStyle name="Comma 3 4 2 7 3" xfId="15924"/>
    <cellStyle name="Comma 3 4 2 7 3 2" xfId="32145"/>
    <cellStyle name="Comma 3 4 2 8" xfId="7364"/>
    <cellStyle name="Comma 3 4 2 8 2" xfId="11464"/>
    <cellStyle name="Comma 3 4 2 9" xfId="11393"/>
    <cellStyle name="Comma 3 4 3" xfId="3359"/>
    <cellStyle name="Comma 3 4 3 10" xfId="7365"/>
    <cellStyle name="Comma 3 4 3 11" xfId="25526"/>
    <cellStyle name="Comma 3 4 3 2" xfId="7366"/>
    <cellStyle name="Comma 3 4 3 2 2" xfId="7367"/>
    <cellStyle name="Comma 3 4 3 2 2 2" xfId="7368"/>
    <cellStyle name="Comma 3 4 3 2 2 2 2" xfId="7369"/>
    <cellStyle name="Comma 3 4 3 2 2 2 2 2" xfId="11469"/>
    <cellStyle name="Comma 3 4 3 2 2 2 2 3" xfId="17145"/>
    <cellStyle name="Comma 3 4 3 2 2 2 2 3 2" xfId="33366"/>
    <cellStyle name="Comma 3 4 3 2 2 2 3" xfId="7370"/>
    <cellStyle name="Comma 3 4 3 2 2 2 3 2" xfId="11470"/>
    <cellStyle name="Comma 3 4 3 2 2 2 4" xfId="11468"/>
    <cellStyle name="Comma 3 4 3 2 2 2 5" xfId="15560"/>
    <cellStyle name="Comma 3 4 3 2 2 2 5 2" xfId="31782"/>
    <cellStyle name="Comma 3 4 3 2 2 3" xfId="7371"/>
    <cellStyle name="Comma 3 4 3 2 2 3 2" xfId="11471"/>
    <cellStyle name="Comma 3 4 3 2 2 3 3" xfId="16353"/>
    <cellStyle name="Comma 3 4 3 2 2 3 3 2" xfId="32574"/>
    <cellStyle name="Comma 3 4 3 2 2 4" xfId="7372"/>
    <cellStyle name="Comma 3 4 3 2 2 4 2" xfId="11472"/>
    <cellStyle name="Comma 3 4 3 2 2 5" xfId="11467"/>
    <cellStyle name="Comma 3 4 3 2 2 6" xfId="14768"/>
    <cellStyle name="Comma 3 4 3 2 2 6 2" xfId="30990"/>
    <cellStyle name="Comma 3 4 3 2 3" xfId="7373"/>
    <cellStyle name="Comma 3 4 3 2 3 2" xfId="7374"/>
    <cellStyle name="Comma 3 4 3 2 3 2 2" xfId="7375"/>
    <cellStyle name="Comma 3 4 3 2 3 2 2 2" xfId="11475"/>
    <cellStyle name="Comma 3 4 3 2 3 2 2 3" xfId="17409"/>
    <cellStyle name="Comma 3 4 3 2 3 2 2 3 2" xfId="33630"/>
    <cellStyle name="Comma 3 4 3 2 3 2 3" xfId="7376"/>
    <cellStyle name="Comma 3 4 3 2 3 2 3 2" xfId="11476"/>
    <cellStyle name="Comma 3 4 3 2 3 2 4" xfId="11474"/>
    <cellStyle name="Comma 3 4 3 2 3 2 5" xfId="15824"/>
    <cellStyle name="Comma 3 4 3 2 3 2 5 2" xfId="32046"/>
    <cellStyle name="Comma 3 4 3 2 3 3" xfId="7377"/>
    <cellStyle name="Comma 3 4 3 2 3 3 2" xfId="11477"/>
    <cellStyle name="Comma 3 4 3 2 3 3 3" xfId="16617"/>
    <cellStyle name="Comma 3 4 3 2 3 3 3 2" xfId="32838"/>
    <cellStyle name="Comma 3 4 3 2 3 4" xfId="7378"/>
    <cellStyle name="Comma 3 4 3 2 3 4 2" xfId="11478"/>
    <cellStyle name="Comma 3 4 3 2 3 5" xfId="11473"/>
    <cellStyle name="Comma 3 4 3 2 3 6" xfId="15032"/>
    <cellStyle name="Comma 3 4 3 2 3 6 2" xfId="31254"/>
    <cellStyle name="Comma 3 4 3 2 4" xfId="7379"/>
    <cellStyle name="Comma 3 4 3 2 4 2" xfId="7380"/>
    <cellStyle name="Comma 3 4 3 2 4 2 2" xfId="11480"/>
    <cellStyle name="Comma 3 4 3 2 4 2 3" xfId="16881"/>
    <cellStyle name="Comma 3 4 3 2 4 2 3 2" xfId="33102"/>
    <cellStyle name="Comma 3 4 3 2 4 3" xfId="7381"/>
    <cellStyle name="Comma 3 4 3 2 4 3 2" xfId="11481"/>
    <cellStyle name="Comma 3 4 3 2 4 4" xfId="11479"/>
    <cellStyle name="Comma 3 4 3 2 4 5" xfId="15296"/>
    <cellStyle name="Comma 3 4 3 2 4 5 2" xfId="31518"/>
    <cellStyle name="Comma 3 4 3 2 5" xfId="7382"/>
    <cellStyle name="Comma 3 4 3 2 5 2" xfId="11482"/>
    <cellStyle name="Comma 3 4 3 2 5 3" xfId="16089"/>
    <cellStyle name="Comma 3 4 3 2 5 3 2" xfId="32310"/>
    <cellStyle name="Comma 3 4 3 2 6" xfId="7383"/>
    <cellStyle name="Comma 3 4 3 2 6 2" xfId="11483"/>
    <cellStyle name="Comma 3 4 3 2 7" xfId="11466"/>
    <cellStyle name="Comma 3 4 3 2 8" xfId="14504"/>
    <cellStyle name="Comma 3 4 3 2 8 2" xfId="30726"/>
    <cellStyle name="Comma 3 4 3 3" xfId="7384"/>
    <cellStyle name="Comma 3 4 3 3 2" xfId="7385"/>
    <cellStyle name="Comma 3 4 3 3 2 2" xfId="7386"/>
    <cellStyle name="Comma 3 4 3 3 2 2 2" xfId="11486"/>
    <cellStyle name="Comma 3 4 3 3 2 2 3" xfId="17013"/>
    <cellStyle name="Comma 3 4 3 3 2 2 3 2" xfId="33234"/>
    <cellStyle name="Comma 3 4 3 3 2 3" xfId="7387"/>
    <cellStyle name="Comma 3 4 3 3 2 3 2" xfId="11487"/>
    <cellStyle name="Comma 3 4 3 3 2 4" xfId="11485"/>
    <cellStyle name="Comma 3 4 3 3 2 5" xfId="15428"/>
    <cellStyle name="Comma 3 4 3 3 2 5 2" xfId="31650"/>
    <cellStyle name="Comma 3 4 3 3 3" xfId="7388"/>
    <cellStyle name="Comma 3 4 3 3 3 2" xfId="11488"/>
    <cellStyle name="Comma 3 4 3 3 3 3" xfId="16221"/>
    <cellStyle name="Comma 3 4 3 3 3 3 2" xfId="32442"/>
    <cellStyle name="Comma 3 4 3 3 4" xfId="7389"/>
    <cellStyle name="Comma 3 4 3 3 4 2" xfId="11489"/>
    <cellStyle name="Comma 3 4 3 3 5" xfId="11484"/>
    <cellStyle name="Comma 3 4 3 3 6" xfId="14636"/>
    <cellStyle name="Comma 3 4 3 3 6 2" xfId="30858"/>
    <cellStyle name="Comma 3 4 3 4" xfId="7390"/>
    <cellStyle name="Comma 3 4 3 4 2" xfId="7391"/>
    <cellStyle name="Comma 3 4 3 4 2 2" xfId="7392"/>
    <cellStyle name="Comma 3 4 3 4 2 2 2" xfId="11492"/>
    <cellStyle name="Comma 3 4 3 4 2 2 3" xfId="17277"/>
    <cellStyle name="Comma 3 4 3 4 2 2 3 2" xfId="33498"/>
    <cellStyle name="Comma 3 4 3 4 2 3" xfId="7393"/>
    <cellStyle name="Comma 3 4 3 4 2 3 2" xfId="11493"/>
    <cellStyle name="Comma 3 4 3 4 2 4" xfId="11491"/>
    <cellStyle name="Comma 3 4 3 4 2 5" xfId="15692"/>
    <cellStyle name="Comma 3 4 3 4 2 5 2" xfId="31914"/>
    <cellStyle name="Comma 3 4 3 4 3" xfId="7394"/>
    <cellStyle name="Comma 3 4 3 4 3 2" xfId="11494"/>
    <cellStyle name="Comma 3 4 3 4 3 3" xfId="16485"/>
    <cellStyle name="Comma 3 4 3 4 3 3 2" xfId="32706"/>
    <cellStyle name="Comma 3 4 3 4 4" xfId="7395"/>
    <cellStyle name="Comma 3 4 3 4 4 2" xfId="11495"/>
    <cellStyle name="Comma 3 4 3 4 5" xfId="11490"/>
    <cellStyle name="Comma 3 4 3 4 6" xfId="14900"/>
    <cellStyle name="Comma 3 4 3 4 6 2" xfId="31122"/>
    <cellStyle name="Comma 3 4 3 5" xfId="7396"/>
    <cellStyle name="Comma 3 4 3 5 2" xfId="7397"/>
    <cellStyle name="Comma 3 4 3 5 2 2" xfId="11497"/>
    <cellStyle name="Comma 3 4 3 5 2 3" xfId="16749"/>
    <cellStyle name="Comma 3 4 3 5 2 3 2" xfId="32970"/>
    <cellStyle name="Comma 3 4 3 5 3" xfId="7398"/>
    <cellStyle name="Comma 3 4 3 5 3 2" xfId="11498"/>
    <cellStyle name="Comma 3 4 3 5 4" xfId="11496"/>
    <cellStyle name="Comma 3 4 3 5 5" xfId="15164"/>
    <cellStyle name="Comma 3 4 3 5 5 2" xfId="31386"/>
    <cellStyle name="Comma 3 4 3 6" xfId="7399"/>
    <cellStyle name="Comma 3 4 3 6 2" xfId="11499"/>
    <cellStyle name="Comma 3 4 3 6 3" xfId="15957"/>
    <cellStyle name="Comma 3 4 3 6 3 2" xfId="32178"/>
    <cellStyle name="Comma 3 4 3 7" xfId="7400"/>
    <cellStyle name="Comma 3 4 3 7 2" xfId="11500"/>
    <cellStyle name="Comma 3 4 3 8" xfId="11465"/>
    <cellStyle name="Comma 3 4 3 9" xfId="14372"/>
    <cellStyle name="Comma 3 4 3 9 2" xfId="30594"/>
    <cellStyle name="Comma 3 4 4" xfId="7401"/>
    <cellStyle name="Comma 3 4 4 2" xfId="7402"/>
    <cellStyle name="Comma 3 4 4 2 2" xfId="7403"/>
    <cellStyle name="Comma 3 4 4 2 2 2" xfId="7404"/>
    <cellStyle name="Comma 3 4 4 2 2 2 2" xfId="11504"/>
    <cellStyle name="Comma 3 4 4 2 2 2 3" xfId="17079"/>
    <cellStyle name="Comma 3 4 4 2 2 2 3 2" xfId="33300"/>
    <cellStyle name="Comma 3 4 4 2 2 3" xfId="7405"/>
    <cellStyle name="Comma 3 4 4 2 2 3 2" xfId="11505"/>
    <cellStyle name="Comma 3 4 4 2 2 4" xfId="11503"/>
    <cellStyle name="Comma 3 4 4 2 2 5" xfId="15494"/>
    <cellStyle name="Comma 3 4 4 2 2 5 2" xfId="31716"/>
    <cellStyle name="Comma 3 4 4 2 3" xfId="7406"/>
    <cellStyle name="Comma 3 4 4 2 3 2" xfId="11506"/>
    <cellStyle name="Comma 3 4 4 2 3 3" xfId="16287"/>
    <cellStyle name="Comma 3 4 4 2 3 3 2" xfId="32508"/>
    <cellStyle name="Comma 3 4 4 2 4" xfId="7407"/>
    <cellStyle name="Comma 3 4 4 2 4 2" xfId="11507"/>
    <cellStyle name="Comma 3 4 4 2 5" xfId="11502"/>
    <cellStyle name="Comma 3 4 4 2 6" xfId="14702"/>
    <cellStyle name="Comma 3 4 4 2 6 2" xfId="30924"/>
    <cellStyle name="Comma 3 4 4 3" xfId="7408"/>
    <cellStyle name="Comma 3 4 4 3 2" xfId="7409"/>
    <cellStyle name="Comma 3 4 4 3 2 2" xfId="7410"/>
    <cellStyle name="Comma 3 4 4 3 2 2 2" xfId="11510"/>
    <cellStyle name="Comma 3 4 4 3 2 2 3" xfId="17343"/>
    <cellStyle name="Comma 3 4 4 3 2 2 3 2" xfId="33564"/>
    <cellStyle name="Comma 3 4 4 3 2 3" xfId="7411"/>
    <cellStyle name="Comma 3 4 4 3 2 3 2" xfId="11511"/>
    <cellStyle name="Comma 3 4 4 3 2 4" xfId="11509"/>
    <cellStyle name="Comma 3 4 4 3 2 5" xfId="15758"/>
    <cellStyle name="Comma 3 4 4 3 2 5 2" xfId="31980"/>
    <cellStyle name="Comma 3 4 4 3 3" xfId="7412"/>
    <cellStyle name="Comma 3 4 4 3 3 2" xfId="11512"/>
    <cellStyle name="Comma 3 4 4 3 3 3" xfId="16551"/>
    <cellStyle name="Comma 3 4 4 3 3 3 2" xfId="32772"/>
    <cellStyle name="Comma 3 4 4 3 4" xfId="7413"/>
    <cellStyle name="Comma 3 4 4 3 4 2" xfId="11513"/>
    <cellStyle name="Comma 3 4 4 3 5" xfId="11508"/>
    <cellStyle name="Comma 3 4 4 3 6" xfId="14966"/>
    <cellStyle name="Comma 3 4 4 3 6 2" xfId="31188"/>
    <cellStyle name="Comma 3 4 4 4" xfId="7414"/>
    <cellStyle name="Comma 3 4 4 4 2" xfId="7415"/>
    <cellStyle name="Comma 3 4 4 4 2 2" xfId="11515"/>
    <cellStyle name="Comma 3 4 4 4 2 3" xfId="16815"/>
    <cellStyle name="Comma 3 4 4 4 2 3 2" xfId="33036"/>
    <cellStyle name="Comma 3 4 4 4 3" xfId="7416"/>
    <cellStyle name="Comma 3 4 4 4 3 2" xfId="11516"/>
    <cellStyle name="Comma 3 4 4 4 4" xfId="11514"/>
    <cellStyle name="Comma 3 4 4 4 5" xfId="15230"/>
    <cellStyle name="Comma 3 4 4 4 5 2" xfId="31452"/>
    <cellStyle name="Comma 3 4 4 5" xfId="7417"/>
    <cellStyle name="Comma 3 4 4 5 2" xfId="11517"/>
    <cellStyle name="Comma 3 4 4 5 3" xfId="16023"/>
    <cellStyle name="Comma 3 4 4 5 3 2" xfId="32244"/>
    <cellStyle name="Comma 3 4 4 6" xfId="7418"/>
    <cellStyle name="Comma 3 4 4 6 2" xfId="11518"/>
    <cellStyle name="Comma 3 4 4 7" xfId="11501"/>
    <cellStyle name="Comma 3 4 4 8" xfId="14438"/>
    <cellStyle name="Comma 3 4 4 8 2" xfId="30660"/>
    <cellStyle name="Comma 3 4 5" xfId="7419"/>
    <cellStyle name="Comma 3 4 5 2" xfId="7420"/>
    <cellStyle name="Comma 3 4 5 2 2" xfId="7421"/>
    <cellStyle name="Comma 3 4 5 2 2 2" xfId="11521"/>
    <cellStyle name="Comma 3 4 5 2 2 3" xfId="16947"/>
    <cellStyle name="Comma 3 4 5 2 2 3 2" xfId="33168"/>
    <cellStyle name="Comma 3 4 5 2 3" xfId="7422"/>
    <cellStyle name="Comma 3 4 5 2 3 2" xfId="11522"/>
    <cellStyle name="Comma 3 4 5 2 4" xfId="11520"/>
    <cellStyle name="Comma 3 4 5 2 5" xfId="15362"/>
    <cellStyle name="Comma 3 4 5 2 5 2" xfId="31584"/>
    <cellStyle name="Comma 3 4 5 3" xfId="7423"/>
    <cellStyle name="Comma 3 4 5 3 2" xfId="11523"/>
    <cellStyle name="Comma 3 4 5 3 3" xfId="16155"/>
    <cellStyle name="Comma 3 4 5 3 3 2" xfId="32376"/>
    <cellStyle name="Comma 3 4 5 4" xfId="7424"/>
    <cellStyle name="Comma 3 4 5 4 2" xfId="11524"/>
    <cellStyle name="Comma 3 4 5 5" xfId="11519"/>
    <cellStyle name="Comma 3 4 5 6" xfId="14570"/>
    <cellStyle name="Comma 3 4 5 6 2" xfId="30792"/>
    <cellStyle name="Comma 3 4 6" xfId="7425"/>
    <cellStyle name="Comma 3 4 6 2" xfId="7426"/>
    <cellStyle name="Comma 3 4 6 2 2" xfId="7427"/>
    <cellStyle name="Comma 3 4 6 2 2 2" xfId="11527"/>
    <cellStyle name="Comma 3 4 6 2 2 3" xfId="17211"/>
    <cellStyle name="Comma 3 4 6 2 2 3 2" xfId="33432"/>
    <cellStyle name="Comma 3 4 6 2 3" xfId="7428"/>
    <cellStyle name="Comma 3 4 6 2 3 2" xfId="11528"/>
    <cellStyle name="Comma 3 4 6 2 4" xfId="11526"/>
    <cellStyle name="Comma 3 4 6 2 5" xfId="15626"/>
    <cellStyle name="Comma 3 4 6 2 5 2" xfId="31848"/>
    <cellStyle name="Comma 3 4 6 3" xfId="7429"/>
    <cellStyle name="Comma 3 4 6 3 2" xfId="11529"/>
    <cellStyle name="Comma 3 4 6 3 3" xfId="16419"/>
    <cellStyle name="Comma 3 4 6 3 3 2" xfId="32640"/>
    <cellStyle name="Comma 3 4 6 4" xfId="7430"/>
    <cellStyle name="Comma 3 4 6 4 2" xfId="11530"/>
    <cellStyle name="Comma 3 4 6 5" xfId="11525"/>
    <cellStyle name="Comma 3 4 6 6" xfId="14834"/>
    <cellStyle name="Comma 3 4 6 6 2" xfId="31056"/>
    <cellStyle name="Comma 3 4 7" xfId="7431"/>
    <cellStyle name="Comma 3 4 7 2" xfId="7432"/>
    <cellStyle name="Comma 3 4 7 2 2" xfId="11532"/>
    <cellStyle name="Comma 3 4 7 2 3" xfId="16683"/>
    <cellStyle name="Comma 3 4 7 2 3 2" xfId="32904"/>
    <cellStyle name="Comma 3 4 7 3" xfId="7433"/>
    <cellStyle name="Comma 3 4 7 3 2" xfId="11533"/>
    <cellStyle name="Comma 3 4 7 4" xfId="11531"/>
    <cellStyle name="Comma 3 4 7 5" xfId="15098"/>
    <cellStyle name="Comma 3 4 7 5 2" xfId="31320"/>
    <cellStyle name="Comma 3 4 8" xfId="7434"/>
    <cellStyle name="Comma 3 4 8 2" xfId="11534"/>
    <cellStyle name="Comma 3 4 8 3" xfId="15891"/>
    <cellStyle name="Comma 3 4 8 3 2" xfId="32112"/>
    <cellStyle name="Comma 3 4 9" xfId="7435"/>
    <cellStyle name="Comma 3 4 9 2" xfId="11535"/>
    <cellStyle name="Comma 3 5" xfId="1786"/>
    <cellStyle name="Comma 3 5 10" xfId="14338"/>
    <cellStyle name="Comma 3 5 10 2" xfId="30560"/>
    <cellStyle name="Comma 3 5 11" xfId="7436"/>
    <cellStyle name="Comma 3 5 12" xfId="22456"/>
    <cellStyle name="Comma 3 5 12 2" xfId="38668"/>
    <cellStyle name="Comma 3 5 13" xfId="23954"/>
    <cellStyle name="Comma 3 5 14" xfId="38926"/>
    <cellStyle name="Comma 3 5 2" xfId="3285"/>
    <cellStyle name="Comma 3 5 2 10" xfId="7437"/>
    <cellStyle name="Comma 3 5 2 11" xfId="25452"/>
    <cellStyle name="Comma 3 5 2 2" xfId="7438"/>
    <cellStyle name="Comma 3 5 2 2 2" xfId="7439"/>
    <cellStyle name="Comma 3 5 2 2 2 2" xfId="7440"/>
    <cellStyle name="Comma 3 5 2 2 2 2 2" xfId="7441"/>
    <cellStyle name="Comma 3 5 2 2 2 2 2 2" xfId="11541"/>
    <cellStyle name="Comma 3 5 2 2 2 2 2 3" xfId="17177"/>
    <cellStyle name="Comma 3 5 2 2 2 2 2 3 2" xfId="33398"/>
    <cellStyle name="Comma 3 5 2 2 2 2 3" xfId="7442"/>
    <cellStyle name="Comma 3 5 2 2 2 2 3 2" xfId="11542"/>
    <cellStyle name="Comma 3 5 2 2 2 2 4" xfId="11540"/>
    <cellStyle name="Comma 3 5 2 2 2 2 5" xfId="15592"/>
    <cellStyle name="Comma 3 5 2 2 2 2 5 2" xfId="31814"/>
    <cellStyle name="Comma 3 5 2 2 2 3" xfId="7443"/>
    <cellStyle name="Comma 3 5 2 2 2 3 2" xfId="11543"/>
    <cellStyle name="Comma 3 5 2 2 2 3 3" xfId="16385"/>
    <cellStyle name="Comma 3 5 2 2 2 3 3 2" xfId="32606"/>
    <cellStyle name="Comma 3 5 2 2 2 4" xfId="7444"/>
    <cellStyle name="Comma 3 5 2 2 2 4 2" xfId="11544"/>
    <cellStyle name="Comma 3 5 2 2 2 5" xfId="11539"/>
    <cellStyle name="Comma 3 5 2 2 2 6" xfId="14800"/>
    <cellStyle name="Comma 3 5 2 2 2 6 2" xfId="31022"/>
    <cellStyle name="Comma 3 5 2 2 3" xfId="7445"/>
    <cellStyle name="Comma 3 5 2 2 3 2" xfId="7446"/>
    <cellStyle name="Comma 3 5 2 2 3 2 2" xfId="7447"/>
    <cellStyle name="Comma 3 5 2 2 3 2 2 2" xfId="11547"/>
    <cellStyle name="Comma 3 5 2 2 3 2 2 3" xfId="17441"/>
    <cellStyle name="Comma 3 5 2 2 3 2 2 3 2" xfId="33662"/>
    <cellStyle name="Comma 3 5 2 2 3 2 3" xfId="7448"/>
    <cellStyle name="Comma 3 5 2 2 3 2 3 2" xfId="11548"/>
    <cellStyle name="Comma 3 5 2 2 3 2 4" xfId="11546"/>
    <cellStyle name="Comma 3 5 2 2 3 2 5" xfId="15856"/>
    <cellStyle name="Comma 3 5 2 2 3 2 5 2" xfId="32078"/>
    <cellStyle name="Comma 3 5 2 2 3 3" xfId="7449"/>
    <cellStyle name="Comma 3 5 2 2 3 3 2" xfId="11549"/>
    <cellStyle name="Comma 3 5 2 2 3 3 3" xfId="16649"/>
    <cellStyle name="Comma 3 5 2 2 3 3 3 2" xfId="32870"/>
    <cellStyle name="Comma 3 5 2 2 3 4" xfId="7450"/>
    <cellStyle name="Comma 3 5 2 2 3 4 2" xfId="11550"/>
    <cellStyle name="Comma 3 5 2 2 3 5" xfId="11545"/>
    <cellStyle name="Comma 3 5 2 2 3 6" xfId="15064"/>
    <cellStyle name="Comma 3 5 2 2 3 6 2" xfId="31286"/>
    <cellStyle name="Comma 3 5 2 2 4" xfId="7451"/>
    <cellStyle name="Comma 3 5 2 2 4 2" xfId="7452"/>
    <cellStyle name="Comma 3 5 2 2 4 2 2" xfId="11552"/>
    <cellStyle name="Comma 3 5 2 2 4 2 3" xfId="16913"/>
    <cellStyle name="Comma 3 5 2 2 4 2 3 2" xfId="33134"/>
    <cellStyle name="Comma 3 5 2 2 4 3" xfId="7453"/>
    <cellStyle name="Comma 3 5 2 2 4 3 2" xfId="11553"/>
    <cellStyle name="Comma 3 5 2 2 4 4" xfId="11551"/>
    <cellStyle name="Comma 3 5 2 2 4 5" xfId="15328"/>
    <cellStyle name="Comma 3 5 2 2 4 5 2" xfId="31550"/>
    <cellStyle name="Comma 3 5 2 2 5" xfId="7454"/>
    <cellStyle name="Comma 3 5 2 2 5 2" xfId="11554"/>
    <cellStyle name="Comma 3 5 2 2 5 3" xfId="16121"/>
    <cellStyle name="Comma 3 5 2 2 5 3 2" xfId="32342"/>
    <cellStyle name="Comma 3 5 2 2 6" xfId="7455"/>
    <cellStyle name="Comma 3 5 2 2 6 2" xfId="11555"/>
    <cellStyle name="Comma 3 5 2 2 7" xfId="11538"/>
    <cellStyle name="Comma 3 5 2 2 8" xfId="14536"/>
    <cellStyle name="Comma 3 5 2 2 8 2" xfId="30758"/>
    <cellStyle name="Comma 3 5 2 3" xfId="7456"/>
    <cellStyle name="Comma 3 5 2 3 2" xfId="7457"/>
    <cellStyle name="Comma 3 5 2 3 2 2" xfId="7458"/>
    <cellStyle name="Comma 3 5 2 3 2 2 2" xfId="11558"/>
    <cellStyle name="Comma 3 5 2 3 2 2 3" xfId="17045"/>
    <cellStyle name="Comma 3 5 2 3 2 2 3 2" xfId="33266"/>
    <cellStyle name="Comma 3 5 2 3 2 3" xfId="7459"/>
    <cellStyle name="Comma 3 5 2 3 2 3 2" xfId="11559"/>
    <cellStyle name="Comma 3 5 2 3 2 4" xfId="11557"/>
    <cellStyle name="Comma 3 5 2 3 2 5" xfId="15460"/>
    <cellStyle name="Comma 3 5 2 3 2 5 2" xfId="31682"/>
    <cellStyle name="Comma 3 5 2 3 3" xfId="7460"/>
    <cellStyle name="Comma 3 5 2 3 3 2" xfId="11560"/>
    <cellStyle name="Comma 3 5 2 3 3 3" xfId="16253"/>
    <cellStyle name="Comma 3 5 2 3 3 3 2" xfId="32474"/>
    <cellStyle name="Comma 3 5 2 3 4" xfId="7461"/>
    <cellStyle name="Comma 3 5 2 3 4 2" xfId="11561"/>
    <cellStyle name="Comma 3 5 2 3 5" xfId="11556"/>
    <cellStyle name="Comma 3 5 2 3 6" xfId="14668"/>
    <cellStyle name="Comma 3 5 2 3 6 2" xfId="30890"/>
    <cellStyle name="Comma 3 5 2 4" xfId="7462"/>
    <cellStyle name="Comma 3 5 2 4 2" xfId="7463"/>
    <cellStyle name="Comma 3 5 2 4 2 2" xfId="7464"/>
    <cellStyle name="Comma 3 5 2 4 2 2 2" xfId="11564"/>
    <cellStyle name="Comma 3 5 2 4 2 2 3" xfId="17309"/>
    <cellStyle name="Comma 3 5 2 4 2 2 3 2" xfId="33530"/>
    <cellStyle name="Comma 3 5 2 4 2 3" xfId="7465"/>
    <cellStyle name="Comma 3 5 2 4 2 3 2" xfId="11565"/>
    <cellStyle name="Comma 3 5 2 4 2 4" xfId="11563"/>
    <cellStyle name="Comma 3 5 2 4 2 5" xfId="15724"/>
    <cellStyle name="Comma 3 5 2 4 2 5 2" xfId="31946"/>
    <cellStyle name="Comma 3 5 2 4 3" xfId="7466"/>
    <cellStyle name="Comma 3 5 2 4 3 2" xfId="11566"/>
    <cellStyle name="Comma 3 5 2 4 3 3" xfId="16517"/>
    <cellStyle name="Comma 3 5 2 4 3 3 2" xfId="32738"/>
    <cellStyle name="Comma 3 5 2 4 4" xfId="7467"/>
    <cellStyle name="Comma 3 5 2 4 4 2" xfId="11567"/>
    <cellStyle name="Comma 3 5 2 4 5" xfId="11562"/>
    <cellStyle name="Comma 3 5 2 4 6" xfId="14932"/>
    <cellStyle name="Comma 3 5 2 4 6 2" xfId="31154"/>
    <cellStyle name="Comma 3 5 2 5" xfId="7468"/>
    <cellStyle name="Comma 3 5 2 5 2" xfId="7469"/>
    <cellStyle name="Comma 3 5 2 5 2 2" xfId="11569"/>
    <cellStyle name="Comma 3 5 2 5 2 3" xfId="16781"/>
    <cellStyle name="Comma 3 5 2 5 2 3 2" xfId="33002"/>
    <cellStyle name="Comma 3 5 2 5 3" xfId="7470"/>
    <cellStyle name="Comma 3 5 2 5 3 2" xfId="11570"/>
    <cellStyle name="Comma 3 5 2 5 4" xfId="11568"/>
    <cellStyle name="Comma 3 5 2 5 5" xfId="15196"/>
    <cellStyle name="Comma 3 5 2 5 5 2" xfId="31418"/>
    <cellStyle name="Comma 3 5 2 6" xfId="7471"/>
    <cellStyle name="Comma 3 5 2 6 2" xfId="11571"/>
    <cellStyle name="Comma 3 5 2 6 3" xfId="15989"/>
    <cellStyle name="Comma 3 5 2 6 3 2" xfId="32210"/>
    <cellStyle name="Comma 3 5 2 7" xfId="7472"/>
    <cellStyle name="Comma 3 5 2 7 2" xfId="11572"/>
    <cellStyle name="Comma 3 5 2 8" xfId="11537"/>
    <cellStyle name="Comma 3 5 2 9" xfId="14404"/>
    <cellStyle name="Comma 3 5 2 9 2" xfId="30626"/>
    <cellStyle name="Comma 3 5 3" xfId="4783"/>
    <cellStyle name="Comma 3 5 3 10" xfId="26950"/>
    <cellStyle name="Comma 3 5 3 2" xfId="7474"/>
    <cellStyle name="Comma 3 5 3 2 2" xfId="7475"/>
    <cellStyle name="Comma 3 5 3 2 2 2" xfId="7476"/>
    <cellStyle name="Comma 3 5 3 2 2 2 2" xfId="11576"/>
    <cellStyle name="Comma 3 5 3 2 2 2 3" xfId="17111"/>
    <cellStyle name="Comma 3 5 3 2 2 2 3 2" xfId="33332"/>
    <cellStyle name="Comma 3 5 3 2 2 3" xfId="7477"/>
    <cellStyle name="Comma 3 5 3 2 2 3 2" xfId="11577"/>
    <cellStyle name="Comma 3 5 3 2 2 4" xfId="11575"/>
    <cellStyle name="Comma 3 5 3 2 2 5" xfId="15526"/>
    <cellStyle name="Comma 3 5 3 2 2 5 2" xfId="31748"/>
    <cellStyle name="Comma 3 5 3 2 3" xfId="7478"/>
    <cellStyle name="Comma 3 5 3 2 3 2" xfId="11578"/>
    <cellStyle name="Comma 3 5 3 2 3 3" xfId="16319"/>
    <cellStyle name="Comma 3 5 3 2 3 3 2" xfId="32540"/>
    <cellStyle name="Comma 3 5 3 2 4" xfId="7479"/>
    <cellStyle name="Comma 3 5 3 2 4 2" xfId="11579"/>
    <cellStyle name="Comma 3 5 3 2 5" xfId="11574"/>
    <cellStyle name="Comma 3 5 3 2 6" xfId="14734"/>
    <cellStyle name="Comma 3 5 3 2 6 2" xfId="30956"/>
    <cellStyle name="Comma 3 5 3 3" xfId="7480"/>
    <cellStyle name="Comma 3 5 3 3 2" xfId="7481"/>
    <cellStyle name="Comma 3 5 3 3 2 2" xfId="7482"/>
    <cellStyle name="Comma 3 5 3 3 2 2 2" xfId="11582"/>
    <cellStyle name="Comma 3 5 3 3 2 2 3" xfId="17375"/>
    <cellStyle name="Comma 3 5 3 3 2 2 3 2" xfId="33596"/>
    <cellStyle name="Comma 3 5 3 3 2 3" xfId="7483"/>
    <cellStyle name="Comma 3 5 3 3 2 3 2" xfId="11583"/>
    <cellStyle name="Comma 3 5 3 3 2 4" xfId="11581"/>
    <cellStyle name="Comma 3 5 3 3 2 5" xfId="15790"/>
    <cellStyle name="Comma 3 5 3 3 2 5 2" xfId="32012"/>
    <cellStyle name="Comma 3 5 3 3 3" xfId="7484"/>
    <cellStyle name="Comma 3 5 3 3 3 2" xfId="11584"/>
    <cellStyle name="Comma 3 5 3 3 3 3" xfId="16583"/>
    <cellStyle name="Comma 3 5 3 3 3 3 2" xfId="32804"/>
    <cellStyle name="Comma 3 5 3 3 4" xfId="7485"/>
    <cellStyle name="Comma 3 5 3 3 4 2" xfId="11585"/>
    <cellStyle name="Comma 3 5 3 3 5" xfId="11580"/>
    <cellStyle name="Comma 3 5 3 3 6" xfId="14998"/>
    <cellStyle name="Comma 3 5 3 3 6 2" xfId="31220"/>
    <cellStyle name="Comma 3 5 3 4" xfId="7486"/>
    <cellStyle name="Comma 3 5 3 4 2" xfId="7487"/>
    <cellStyle name="Comma 3 5 3 4 2 2" xfId="11587"/>
    <cellStyle name="Comma 3 5 3 4 2 3" xfId="16847"/>
    <cellStyle name="Comma 3 5 3 4 2 3 2" xfId="33068"/>
    <cellStyle name="Comma 3 5 3 4 3" xfId="7488"/>
    <cellStyle name="Comma 3 5 3 4 3 2" xfId="11588"/>
    <cellStyle name="Comma 3 5 3 4 4" xfId="11586"/>
    <cellStyle name="Comma 3 5 3 4 5" xfId="15262"/>
    <cellStyle name="Comma 3 5 3 4 5 2" xfId="31484"/>
    <cellStyle name="Comma 3 5 3 5" xfId="7489"/>
    <cellStyle name="Comma 3 5 3 5 2" xfId="11589"/>
    <cellStyle name="Comma 3 5 3 5 3" xfId="16055"/>
    <cellStyle name="Comma 3 5 3 5 3 2" xfId="32276"/>
    <cellStyle name="Comma 3 5 3 6" xfId="7490"/>
    <cellStyle name="Comma 3 5 3 6 2" xfId="11590"/>
    <cellStyle name="Comma 3 5 3 7" xfId="11573"/>
    <cellStyle name="Comma 3 5 3 8" xfId="14470"/>
    <cellStyle name="Comma 3 5 3 8 2" xfId="30692"/>
    <cellStyle name="Comma 3 5 3 9" xfId="7473"/>
    <cellStyle name="Comma 3 5 4" xfId="7491"/>
    <cellStyle name="Comma 3 5 4 2" xfId="7492"/>
    <cellStyle name="Comma 3 5 4 2 2" xfId="7493"/>
    <cellStyle name="Comma 3 5 4 2 2 2" xfId="11593"/>
    <cellStyle name="Comma 3 5 4 2 2 3" xfId="16979"/>
    <cellStyle name="Comma 3 5 4 2 2 3 2" xfId="33200"/>
    <cellStyle name="Comma 3 5 4 2 3" xfId="7494"/>
    <cellStyle name="Comma 3 5 4 2 3 2" xfId="11594"/>
    <cellStyle name="Comma 3 5 4 2 4" xfId="11592"/>
    <cellStyle name="Comma 3 5 4 2 5" xfId="15394"/>
    <cellStyle name="Comma 3 5 4 2 5 2" xfId="31616"/>
    <cellStyle name="Comma 3 5 4 3" xfId="7495"/>
    <cellStyle name="Comma 3 5 4 3 2" xfId="11595"/>
    <cellStyle name="Comma 3 5 4 3 3" xfId="16187"/>
    <cellStyle name="Comma 3 5 4 3 3 2" xfId="32408"/>
    <cellStyle name="Comma 3 5 4 4" xfId="7496"/>
    <cellStyle name="Comma 3 5 4 4 2" xfId="11596"/>
    <cellStyle name="Comma 3 5 4 5" xfId="11591"/>
    <cellStyle name="Comma 3 5 4 6" xfId="14602"/>
    <cellStyle name="Comma 3 5 4 6 2" xfId="30824"/>
    <cellStyle name="Comma 3 5 5" xfId="7497"/>
    <cellStyle name="Comma 3 5 5 2" xfId="7498"/>
    <cellStyle name="Comma 3 5 5 2 2" xfId="7499"/>
    <cellStyle name="Comma 3 5 5 2 2 2" xfId="11599"/>
    <cellStyle name="Comma 3 5 5 2 2 3" xfId="17243"/>
    <cellStyle name="Comma 3 5 5 2 2 3 2" xfId="33464"/>
    <cellStyle name="Comma 3 5 5 2 3" xfId="7500"/>
    <cellStyle name="Comma 3 5 5 2 3 2" xfId="11600"/>
    <cellStyle name="Comma 3 5 5 2 4" xfId="11598"/>
    <cellStyle name="Comma 3 5 5 2 5" xfId="15658"/>
    <cellStyle name="Comma 3 5 5 2 5 2" xfId="31880"/>
    <cellStyle name="Comma 3 5 5 3" xfId="7501"/>
    <cellStyle name="Comma 3 5 5 3 2" xfId="11601"/>
    <cellStyle name="Comma 3 5 5 3 3" xfId="16451"/>
    <cellStyle name="Comma 3 5 5 3 3 2" xfId="32672"/>
    <cellStyle name="Comma 3 5 5 4" xfId="7502"/>
    <cellStyle name="Comma 3 5 5 4 2" xfId="11602"/>
    <cellStyle name="Comma 3 5 5 5" xfId="11597"/>
    <cellStyle name="Comma 3 5 5 6" xfId="14866"/>
    <cellStyle name="Comma 3 5 5 6 2" xfId="31088"/>
    <cellStyle name="Comma 3 5 6" xfId="7503"/>
    <cellStyle name="Comma 3 5 6 2" xfId="7504"/>
    <cellStyle name="Comma 3 5 6 2 2" xfId="11604"/>
    <cellStyle name="Comma 3 5 6 2 3" xfId="16715"/>
    <cellStyle name="Comma 3 5 6 2 3 2" xfId="32936"/>
    <cellStyle name="Comma 3 5 6 3" xfId="7505"/>
    <cellStyle name="Comma 3 5 6 3 2" xfId="11605"/>
    <cellStyle name="Comma 3 5 6 4" xfId="11603"/>
    <cellStyle name="Comma 3 5 6 5" xfId="15130"/>
    <cellStyle name="Comma 3 5 6 5 2" xfId="31352"/>
    <cellStyle name="Comma 3 5 7" xfId="7506"/>
    <cellStyle name="Comma 3 5 7 2" xfId="11606"/>
    <cellStyle name="Comma 3 5 7 3" xfId="15923"/>
    <cellStyle name="Comma 3 5 7 3 2" xfId="32144"/>
    <cellStyle name="Comma 3 5 8" xfId="7507"/>
    <cellStyle name="Comma 3 5 8 2" xfId="11607"/>
    <cellStyle name="Comma 3 5 9" xfId="11536"/>
    <cellStyle name="Comma 3 6" xfId="1832"/>
    <cellStyle name="Comma 3 6 10" xfId="7508"/>
    <cellStyle name="Comma 3 6 11" xfId="24000"/>
    <cellStyle name="Comma 3 6 12" xfId="39052"/>
    <cellStyle name="Comma 3 6 2" xfId="7509"/>
    <cellStyle name="Comma 3 6 2 2" xfId="7510"/>
    <cellStyle name="Comma 3 6 2 2 2" xfId="7511"/>
    <cellStyle name="Comma 3 6 2 2 2 2" xfId="7512"/>
    <cellStyle name="Comma 3 6 2 2 2 2 2" xfId="11612"/>
    <cellStyle name="Comma 3 6 2 2 2 2 3" xfId="17144"/>
    <cellStyle name="Comma 3 6 2 2 2 2 3 2" xfId="33365"/>
    <cellStyle name="Comma 3 6 2 2 2 3" xfId="7513"/>
    <cellStyle name="Comma 3 6 2 2 2 3 2" xfId="11613"/>
    <cellStyle name="Comma 3 6 2 2 2 4" xfId="11611"/>
    <cellStyle name="Comma 3 6 2 2 2 5" xfId="15559"/>
    <cellStyle name="Comma 3 6 2 2 2 5 2" xfId="31781"/>
    <cellStyle name="Comma 3 6 2 2 3" xfId="7514"/>
    <cellStyle name="Comma 3 6 2 2 3 2" xfId="11614"/>
    <cellStyle name="Comma 3 6 2 2 3 3" xfId="16352"/>
    <cellStyle name="Comma 3 6 2 2 3 3 2" xfId="32573"/>
    <cellStyle name="Comma 3 6 2 2 4" xfId="7515"/>
    <cellStyle name="Comma 3 6 2 2 4 2" xfId="11615"/>
    <cellStyle name="Comma 3 6 2 2 5" xfId="11610"/>
    <cellStyle name="Comma 3 6 2 2 6" xfId="14767"/>
    <cellStyle name="Comma 3 6 2 2 6 2" xfId="30989"/>
    <cellStyle name="Comma 3 6 2 3" xfId="7516"/>
    <cellStyle name="Comma 3 6 2 3 2" xfId="7517"/>
    <cellStyle name="Comma 3 6 2 3 2 2" xfId="7518"/>
    <cellStyle name="Comma 3 6 2 3 2 2 2" xfId="11618"/>
    <cellStyle name="Comma 3 6 2 3 2 2 3" xfId="17408"/>
    <cellStyle name="Comma 3 6 2 3 2 2 3 2" xfId="33629"/>
    <cellStyle name="Comma 3 6 2 3 2 3" xfId="7519"/>
    <cellStyle name="Comma 3 6 2 3 2 3 2" xfId="11619"/>
    <cellStyle name="Comma 3 6 2 3 2 4" xfId="11617"/>
    <cellStyle name="Comma 3 6 2 3 2 5" xfId="15823"/>
    <cellStyle name="Comma 3 6 2 3 2 5 2" xfId="32045"/>
    <cellStyle name="Comma 3 6 2 3 3" xfId="7520"/>
    <cellStyle name="Comma 3 6 2 3 3 2" xfId="11620"/>
    <cellStyle name="Comma 3 6 2 3 3 3" xfId="16616"/>
    <cellStyle name="Comma 3 6 2 3 3 3 2" xfId="32837"/>
    <cellStyle name="Comma 3 6 2 3 4" xfId="7521"/>
    <cellStyle name="Comma 3 6 2 3 4 2" xfId="11621"/>
    <cellStyle name="Comma 3 6 2 3 5" xfId="11616"/>
    <cellStyle name="Comma 3 6 2 3 6" xfId="15031"/>
    <cellStyle name="Comma 3 6 2 3 6 2" xfId="31253"/>
    <cellStyle name="Comma 3 6 2 4" xfId="7522"/>
    <cellStyle name="Comma 3 6 2 4 2" xfId="7523"/>
    <cellStyle name="Comma 3 6 2 4 2 2" xfId="11623"/>
    <cellStyle name="Comma 3 6 2 4 2 3" xfId="16880"/>
    <cellStyle name="Comma 3 6 2 4 2 3 2" xfId="33101"/>
    <cellStyle name="Comma 3 6 2 4 3" xfId="7524"/>
    <cellStyle name="Comma 3 6 2 4 3 2" xfId="11624"/>
    <cellStyle name="Comma 3 6 2 4 4" xfId="11622"/>
    <cellStyle name="Comma 3 6 2 4 5" xfId="15295"/>
    <cellStyle name="Comma 3 6 2 4 5 2" xfId="31517"/>
    <cellStyle name="Comma 3 6 2 5" xfId="7525"/>
    <cellStyle name="Comma 3 6 2 5 2" xfId="11625"/>
    <cellStyle name="Comma 3 6 2 5 3" xfId="16088"/>
    <cellStyle name="Comma 3 6 2 5 3 2" xfId="32309"/>
    <cellStyle name="Comma 3 6 2 6" xfId="7526"/>
    <cellStyle name="Comma 3 6 2 6 2" xfId="11626"/>
    <cellStyle name="Comma 3 6 2 7" xfId="11609"/>
    <cellStyle name="Comma 3 6 2 8" xfId="14503"/>
    <cellStyle name="Comma 3 6 2 8 2" xfId="30725"/>
    <cellStyle name="Comma 3 6 3" xfId="7527"/>
    <cellStyle name="Comma 3 6 3 2" xfId="7528"/>
    <cellStyle name="Comma 3 6 3 2 2" xfId="7529"/>
    <cellStyle name="Comma 3 6 3 2 2 2" xfId="11629"/>
    <cellStyle name="Comma 3 6 3 2 2 3" xfId="17012"/>
    <cellStyle name="Comma 3 6 3 2 2 3 2" xfId="33233"/>
    <cellStyle name="Comma 3 6 3 2 3" xfId="7530"/>
    <cellStyle name="Comma 3 6 3 2 3 2" xfId="11630"/>
    <cellStyle name="Comma 3 6 3 2 4" xfId="11628"/>
    <cellStyle name="Comma 3 6 3 2 5" xfId="15427"/>
    <cellStyle name="Comma 3 6 3 2 5 2" xfId="31649"/>
    <cellStyle name="Comma 3 6 3 3" xfId="7531"/>
    <cellStyle name="Comma 3 6 3 3 2" xfId="11631"/>
    <cellStyle name="Comma 3 6 3 3 3" xfId="16220"/>
    <cellStyle name="Comma 3 6 3 3 3 2" xfId="32441"/>
    <cellStyle name="Comma 3 6 3 4" xfId="7532"/>
    <cellStyle name="Comma 3 6 3 4 2" xfId="11632"/>
    <cellStyle name="Comma 3 6 3 5" xfId="11627"/>
    <cellStyle name="Comma 3 6 3 6" xfId="14635"/>
    <cellStyle name="Comma 3 6 3 6 2" xfId="30857"/>
    <cellStyle name="Comma 3 6 4" xfId="7533"/>
    <cellStyle name="Comma 3 6 4 2" xfId="7534"/>
    <cellStyle name="Comma 3 6 4 2 2" xfId="7535"/>
    <cellStyle name="Comma 3 6 4 2 2 2" xfId="11635"/>
    <cellStyle name="Comma 3 6 4 2 2 3" xfId="17276"/>
    <cellStyle name="Comma 3 6 4 2 2 3 2" xfId="33497"/>
    <cellStyle name="Comma 3 6 4 2 3" xfId="7536"/>
    <cellStyle name="Comma 3 6 4 2 3 2" xfId="11636"/>
    <cellStyle name="Comma 3 6 4 2 4" xfId="11634"/>
    <cellStyle name="Comma 3 6 4 2 5" xfId="15691"/>
    <cellStyle name="Comma 3 6 4 2 5 2" xfId="31913"/>
    <cellStyle name="Comma 3 6 4 3" xfId="7537"/>
    <cellStyle name="Comma 3 6 4 3 2" xfId="11637"/>
    <cellStyle name="Comma 3 6 4 3 3" xfId="16484"/>
    <cellStyle name="Comma 3 6 4 3 3 2" xfId="32705"/>
    <cellStyle name="Comma 3 6 4 4" xfId="7538"/>
    <cellStyle name="Comma 3 6 4 4 2" xfId="11638"/>
    <cellStyle name="Comma 3 6 4 5" xfId="11633"/>
    <cellStyle name="Comma 3 6 4 6" xfId="14899"/>
    <cellStyle name="Comma 3 6 4 6 2" xfId="31121"/>
    <cellStyle name="Comma 3 6 5" xfId="7539"/>
    <cellStyle name="Comma 3 6 5 2" xfId="7540"/>
    <cellStyle name="Comma 3 6 5 2 2" xfId="11640"/>
    <cellStyle name="Comma 3 6 5 2 3" xfId="16748"/>
    <cellStyle name="Comma 3 6 5 2 3 2" xfId="32969"/>
    <cellStyle name="Comma 3 6 5 3" xfId="7541"/>
    <cellStyle name="Comma 3 6 5 3 2" xfId="11641"/>
    <cellStyle name="Comma 3 6 5 4" xfId="11639"/>
    <cellStyle name="Comma 3 6 5 5" xfId="15163"/>
    <cellStyle name="Comma 3 6 5 5 2" xfId="31385"/>
    <cellStyle name="Comma 3 6 6" xfId="7542"/>
    <cellStyle name="Comma 3 6 6 2" xfId="11642"/>
    <cellStyle name="Comma 3 6 6 3" xfId="15956"/>
    <cellStyle name="Comma 3 6 6 3 2" xfId="32177"/>
    <cellStyle name="Comma 3 6 7" xfId="7543"/>
    <cellStyle name="Comma 3 6 7 2" xfId="11643"/>
    <cellStyle name="Comma 3 6 8" xfId="11608"/>
    <cellStyle name="Comma 3 6 9" xfId="14371"/>
    <cellStyle name="Comma 3 6 9 2" xfId="30593"/>
    <cellStyle name="Comma 3 7" xfId="3331"/>
    <cellStyle name="Comma 3 7 10" xfId="25498"/>
    <cellStyle name="Comma 3 7 11" xfId="39200"/>
    <cellStyle name="Comma 3 7 2" xfId="7545"/>
    <cellStyle name="Comma 3 7 2 2" xfId="7546"/>
    <cellStyle name="Comma 3 7 2 2 2" xfId="7547"/>
    <cellStyle name="Comma 3 7 2 2 2 2" xfId="11647"/>
    <cellStyle name="Comma 3 7 2 2 2 3" xfId="17078"/>
    <cellStyle name="Comma 3 7 2 2 2 3 2" xfId="33299"/>
    <cellStyle name="Comma 3 7 2 2 3" xfId="7548"/>
    <cellStyle name="Comma 3 7 2 2 3 2" xfId="11648"/>
    <cellStyle name="Comma 3 7 2 2 4" xfId="11646"/>
    <cellStyle name="Comma 3 7 2 2 5" xfId="15493"/>
    <cellStyle name="Comma 3 7 2 2 5 2" xfId="31715"/>
    <cellStyle name="Comma 3 7 2 3" xfId="7549"/>
    <cellStyle name="Comma 3 7 2 3 2" xfId="11649"/>
    <cellStyle name="Comma 3 7 2 3 3" xfId="16286"/>
    <cellStyle name="Comma 3 7 2 3 3 2" xfId="32507"/>
    <cellStyle name="Comma 3 7 2 4" xfId="7550"/>
    <cellStyle name="Comma 3 7 2 4 2" xfId="11650"/>
    <cellStyle name="Comma 3 7 2 5" xfId="11645"/>
    <cellStyle name="Comma 3 7 2 6" xfId="14701"/>
    <cellStyle name="Comma 3 7 2 6 2" xfId="30923"/>
    <cellStyle name="Comma 3 7 3" xfId="7551"/>
    <cellStyle name="Comma 3 7 3 2" xfId="7552"/>
    <cellStyle name="Comma 3 7 3 2 2" xfId="7553"/>
    <cellStyle name="Comma 3 7 3 2 2 2" xfId="11653"/>
    <cellStyle name="Comma 3 7 3 2 2 3" xfId="17342"/>
    <cellStyle name="Comma 3 7 3 2 2 3 2" xfId="33563"/>
    <cellStyle name="Comma 3 7 3 2 3" xfId="7554"/>
    <cellStyle name="Comma 3 7 3 2 3 2" xfId="11654"/>
    <cellStyle name="Comma 3 7 3 2 4" xfId="11652"/>
    <cellStyle name="Comma 3 7 3 2 5" xfId="15757"/>
    <cellStyle name="Comma 3 7 3 2 5 2" xfId="31979"/>
    <cellStyle name="Comma 3 7 3 3" xfId="7555"/>
    <cellStyle name="Comma 3 7 3 3 2" xfId="11655"/>
    <cellStyle name="Comma 3 7 3 3 3" xfId="16550"/>
    <cellStyle name="Comma 3 7 3 3 3 2" xfId="32771"/>
    <cellStyle name="Comma 3 7 3 4" xfId="7556"/>
    <cellStyle name="Comma 3 7 3 4 2" xfId="11656"/>
    <cellStyle name="Comma 3 7 3 5" xfId="11651"/>
    <cellStyle name="Comma 3 7 3 6" xfId="14965"/>
    <cellStyle name="Comma 3 7 3 6 2" xfId="31187"/>
    <cellStyle name="Comma 3 7 4" xfId="7557"/>
    <cellStyle name="Comma 3 7 4 2" xfId="7558"/>
    <cellStyle name="Comma 3 7 4 2 2" xfId="11658"/>
    <cellStyle name="Comma 3 7 4 2 3" xfId="16814"/>
    <cellStyle name="Comma 3 7 4 2 3 2" xfId="33035"/>
    <cellStyle name="Comma 3 7 4 3" xfId="7559"/>
    <cellStyle name="Comma 3 7 4 3 2" xfId="11659"/>
    <cellStyle name="Comma 3 7 4 4" xfId="11657"/>
    <cellStyle name="Comma 3 7 4 5" xfId="15229"/>
    <cellStyle name="Comma 3 7 4 5 2" xfId="31451"/>
    <cellStyle name="Comma 3 7 5" xfId="7560"/>
    <cellStyle name="Comma 3 7 5 2" xfId="11660"/>
    <cellStyle name="Comma 3 7 5 3" xfId="16022"/>
    <cellStyle name="Comma 3 7 5 3 2" xfId="32243"/>
    <cellStyle name="Comma 3 7 6" xfId="7561"/>
    <cellStyle name="Comma 3 7 6 2" xfId="11661"/>
    <cellStyle name="Comma 3 7 7" xfId="11644"/>
    <cellStyle name="Comma 3 7 8" xfId="14437"/>
    <cellStyle name="Comma 3 7 8 2" xfId="30659"/>
    <cellStyle name="Comma 3 7 9" xfId="7544"/>
    <cellStyle name="Comma 3 8" xfId="7562"/>
    <cellStyle name="Comma 3 8 2" xfId="7563"/>
    <cellStyle name="Comma 3 8 2 2" xfId="7564"/>
    <cellStyle name="Comma 3 8 2 2 2" xfId="11664"/>
    <cellStyle name="Comma 3 8 2 2 3" xfId="16946"/>
    <cellStyle name="Comma 3 8 2 2 3 2" xfId="33167"/>
    <cellStyle name="Comma 3 8 2 3" xfId="7565"/>
    <cellStyle name="Comma 3 8 2 3 2" xfId="11665"/>
    <cellStyle name="Comma 3 8 2 4" xfId="11663"/>
    <cellStyle name="Comma 3 8 2 5" xfId="15361"/>
    <cellStyle name="Comma 3 8 2 5 2" xfId="31583"/>
    <cellStyle name="Comma 3 8 3" xfId="7566"/>
    <cellStyle name="Comma 3 8 3 2" xfId="11666"/>
    <cellStyle name="Comma 3 8 3 3" xfId="16154"/>
    <cellStyle name="Comma 3 8 3 3 2" xfId="32375"/>
    <cellStyle name="Comma 3 8 4" xfId="7567"/>
    <cellStyle name="Comma 3 8 4 2" xfId="11667"/>
    <cellStyle name="Comma 3 8 5" xfId="11662"/>
    <cellStyle name="Comma 3 8 6" xfId="14569"/>
    <cellStyle name="Comma 3 8 6 2" xfId="30791"/>
    <cellStyle name="Comma 3 8 7" xfId="39349"/>
    <cellStyle name="Comma 3 9" xfId="7568"/>
    <cellStyle name="Comma 3 9 2" xfId="7569"/>
    <cellStyle name="Comma 3 9 2 2" xfId="7570"/>
    <cellStyle name="Comma 3 9 2 2 2" xfId="11670"/>
    <cellStyle name="Comma 3 9 2 2 3" xfId="17210"/>
    <cellStyle name="Comma 3 9 2 2 3 2" xfId="33431"/>
    <cellStyle name="Comma 3 9 2 3" xfId="7571"/>
    <cellStyle name="Comma 3 9 2 3 2" xfId="11671"/>
    <cellStyle name="Comma 3 9 2 4" xfId="11669"/>
    <cellStyle name="Comma 3 9 2 5" xfId="15625"/>
    <cellStyle name="Comma 3 9 2 5 2" xfId="31847"/>
    <cellStyle name="Comma 3 9 3" xfId="7572"/>
    <cellStyle name="Comma 3 9 3 2" xfId="11672"/>
    <cellStyle name="Comma 3 9 3 3" xfId="16418"/>
    <cellStyle name="Comma 3 9 3 3 2" xfId="32639"/>
    <cellStyle name="Comma 3 9 4" xfId="7573"/>
    <cellStyle name="Comma 3 9 4 2" xfId="11673"/>
    <cellStyle name="Comma 3 9 5" xfId="11668"/>
    <cellStyle name="Comma 3 9 6" xfId="14833"/>
    <cellStyle name="Comma 3 9 6 2" xfId="31055"/>
    <cellStyle name="Comma 31 2" xfId="5167"/>
    <cellStyle name="Comma 31 2 2" xfId="11674"/>
    <cellStyle name="Comma 32 2" xfId="5168"/>
    <cellStyle name="Comma 32 2 2" xfId="11675"/>
    <cellStyle name="Comma 33 2" xfId="5169"/>
    <cellStyle name="Comma 33 2 2" xfId="11676"/>
    <cellStyle name="Comma 33 3" xfId="5170"/>
    <cellStyle name="Comma 33 3 2" xfId="11677"/>
    <cellStyle name="Comma 33 4" xfId="5171"/>
    <cellStyle name="Comma 33 4 2" xfId="11678"/>
    <cellStyle name="Comma 33 5" xfId="5172"/>
    <cellStyle name="Comma 33 5 2" xfId="11679"/>
    <cellStyle name="Comma 33 6" xfId="5173"/>
    <cellStyle name="Comma 33 6 2" xfId="11680"/>
    <cellStyle name="Comma 33 7" xfId="5174"/>
    <cellStyle name="Comma 33 7 2" xfId="11681"/>
    <cellStyle name="Comma 33 8" xfId="5175"/>
    <cellStyle name="Comma 33 8 2" xfId="11682"/>
    <cellStyle name="Comma 34 2" xfId="5176"/>
    <cellStyle name="Comma 34 2 2" xfId="11683"/>
    <cellStyle name="Comma 34 3" xfId="5177"/>
    <cellStyle name="Comma 34 3 2" xfId="11684"/>
    <cellStyle name="Comma 34 4" xfId="5178"/>
    <cellStyle name="Comma 34 4 2" xfId="11685"/>
    <cellStyle name="Comma 34 5" xfId="5179"/>
    <cellStyle name="Comma 34 5 2" xfId="11686"/>
    <cellStyle name="Comma 35 2" xfId="5180"/>
    <cellStyle name="Comma 35 2 2" xfId="11687"/>
    <cellStyle name="Comma 35 3" xfId="5181"/>
    <cellStyle name="Comma 35 3 2" xfId="11688"/>
    <cellStyle name="Comma 36 2" xfId="5182"/>
    <cellStyle name="Comma 36 2 2" xfId="11689"/>
    <cellStyle name="Comma 36 3" xfId="5183"/>
    <cellStyle name="Comma 36 3 2" xfId="11690"/>
    <cellStyle name="Comma 37 2" xfId="5184"/>
    <cellStyle name="Comma 37 2 2" xfId="11691"/>
    <cellStyle name="Comma 37 3" xfId="5185"/>
    <cellStyle name="Comma 37 3 2" xfId="11692"/>
    <cellStyle name="Comma 38 2" xfId="5186"/>
    <cellStyle name="Comma 38 2 2" xfId="11693"/>
    <cellStyle name="Comma 38 3" xfId="5187"/>
    <cellStyle name="Comma 38 3 2" xfId="11694"/>
    <cellStyle name="Comma 39 2" xfId="5188"/>
    <cellStyle name="Comma 39 2 2" xfId="11695"/>
    <cellStyle name="Comma 39 3" xfId="5189"/>
    <cellStyle name="Comma 39 3 2" xfId="11696"/>
    <cellStyle name="Comma 4" xfId="83"/>
    <cellStyle name="Comma 4 10" xfId="38762"/>
    <cellStyle name="Comma 4 11" xfId="39554"/>
    <cellStyle name="Comma 4 12" xfId="298"/>
    <cellStyle name="Comma 4 2" xfId="84"/>
    <cellStyle name="Comma 4 2 2" xfId="11697"/>
    <cellStyle name="Comma 4 2 3" xfId="7574"/>
    <cellStyle name="Comma 4 2 4" xfId="4951"/>
    <cellStyle name="Comma 4 2 5" xfId="364"/>
    <cellStyle name="Comma 4 3" xfId="85"/>
    <cellStyle name="Comma 4 3 2" xfId="1862"/>
    <cellStyle name="Comma 4 3 2 2" xfId="11698"/>
    <cellStyle name="Comma 4 3 2 3" xfId="24030"/>
    <cellStyle name="Comma 4 3 3" xfId="3361"/>
    <cellStyle name="Comma 4 3 3 2" xfId="25528"/>
    <cellStyle name="Comma 4 3 4" xfId="7575"/>
    <cellStyle name="Comma 4 3 5" xfId="21034"/>
    <cellStyle name="Comma 4 3 5 2" xfId="37246"/>
    <cellStyle name="Comma 4 3 6" xfId="22532"/>
    <cellStyle name="Comma 4 3 7" xfId="327"/>
    <cellStyle name="Comma 4 4" xfId="1788"/>
    <cellStyle name="Comma 4 4 2" xfId="3287"/>
    <cellStyle name="Comma 4 4 2 2" xfId="25454"/>
    <cellStyle name="Comma 4 4 3" xfId="4785"/>
    <cellStyle name="Comma 4 4 3 2" xfId="26952"/>
    <cellStyle name="Comma 4 4 4" xfId="7576"/>
    <cellStyle name="Comma 4 4 5" xfId="22458"/>
    <cellStyle name="Comma 4 4 5 2" xfId="38670"/>
    <cellStyle name="Comma 4 4 6" xfId="23956"/>
    <cellStyle name="Comma 4 5" xfId="1834"/>
    <cellStyle name="Comma 4 5 2" xfId="14223"/>
    <cellStyle name="Comma 4 5 3" xfId="24002"/>
    <cellStyle name="Comma 4 6" xfId="3333"/>
    <cellStyle name="Comma 4 6 2" xfId="25500"/>
    <cellStyle name="Comma 4 7" xfId="4896"/>
    <cellStyle name="Comma 4 8" xfId="21006"/>
    <cellStyle name="Comma 4 8 2" xfId="37218"/>
    <cellStyle name="Comma 4 9" xfId="22504"/>
    <cellStyle name="Comma 40 2" xfId="5190"/>
    <cellStyle name="Comma 40 2 2" xfId="11699"/>
    <cellStyle name="Comma 40 3" xfId="5191"/>
    <cellStyle name="Comma 40 3 2" xfId="11700"/>
    <cellStyle name="Comma 40 4" xfId="5192"/>
    <cellStyle name="Comma 40 4 2" xfId="11701"/>
    <cellStyle name="Comma 40 5" xfId="5193"/>
    <cellStyle name="Comma 40 5 2" xfId="11702"/>
    <cellStyle name="Comma 40 6" xfId="5194"/>
    <cellStyle name="Comma 40 6 2" xfId="11703"/>
    <cellStyle name="Comma 40 7" xfId="5195"/>
    <cellStyle name="Comma 40 7 2" xfId="11704"/>
    <cellStyle name="Comma 41 2" xfId="5196"/>
    <cellStyle name="Comma 41 2 2" xfId="11705"/>
    <cellStyle name="Comma 41 3" xfId="5197"/>
    <cellStyle name="Comma 41 3 2" xfId="11706"/>
    <cellStyle name="Comma 43 2" xfId="5198"/>
    <cellStyle name="Comma 43 2 2" xfId="11707"/>
    <cellStyle name="Comma 43 3" xfId="5199"/>
    <cellStyle name="Comma 43 3 2" xfId="11708"/>
    <cellStyle name="Comma 44 2" xfId="5200"/>
    <cellStyle name="Comma 44 2 2" xfId="11709"/>
    <cellStyle name="Comma 44 3" xfId="5201"/>
    <cellStyle name="Comma 44 3 2" xfId="11710"/>
    <cellStyle name="Comma 45 2" xfId="5202"/>
    <cellStyle name="Comma 45 2 2" xfId="11711"/>
    <cellStyle name="Comma 45 3" xfId="5203"/>
    <cellStyle name="Comma 45 3 2" xfId="11712"/>
    <cellStyle name="Comma 47" xfId="5204"/>
    <cellStyle name="Comma 47 2" xfId="5205"/>
    <cellStyle name="Comma 47 2 2" xfId="5206"/>
    <cellStyle name="Comma 47 2 2 2" xfId="11714"/>
    <cellStyle name="Comma 47 2 3" xfId="5207"/>
    <cellStyle name="Comma 47 2 3 2" xfId="11715"/>
    <cellStyle name="Comma 47 2 4" xfId="11713"/>
    <cellStyle name="Comma 47 3" xfId="5208"/>
    <cellStyle name="Comma 47 3 2" xfId="5209"/>
    <cellStyle name="Comma 47 3 2 2" xfId="11717"/>
    <cellStyle name="Comma 47 3 3" xfId="5210"/>
    <cellStyle name="Comma 47 3 3 2" xfId="11718"/>
    <cellStyle name="Comma 47 3 4" xfId="11716"/>
    <cellStyle name="Comma 47 4" xfId="5211"/>
    <cellStyle name="Comma 47 4 2" xfId="11719"/>
    <cellStyle name="Comma 47 5" xfId="5212"/>
    <cellStyle name="Comma 47 5 2" xfId="5213"/>
    <cellStyle name="Comma 47 5 2 2" xfId="11721"/>
    <cellStyle name="Comma 47 5 3" xfId="11720"/>
    <cellStyle name="Comma 47 6" xfId="5214"/>
    <cellStyle name="Comma 47 6 2" xfId="11722"/>
    <cellStyle name="Comma 5" xfId="86"/>
    <cellStyle name="Comma 5 10" xfId="7577"/>
    <cellStyle name="Comma 5 10 2" xfId="7578"/>
    <cellStyle name="Comma 5 10 2 2" xfId="7579"/>
    <cellStyle name="Comma 5 10 2 2 2" xfId="11725"/>
    <cellStyle name="Comma 5 10 2 2 3" xfId="17212"/>
    <cellStyle name="Comma 5 10 2 2 3 2" xfId="33433"/>
    <cellStyle name="Comma 5 10 2 3" xfId="7580"/>
    <cellStyle name="Comma 5 10 2 3 2" xfId="11726"/>
    <cellStyle name="Comma 5 10 2 4" xfId="11724"/>
    <cellStyle name="Comma 5 10 2 5" xfId="15627"/>
    <cellStyle name="Comma 5 10 2 5 2" xfId="31849"/>
    <cellStyle name="Comma 5 10 3" xfId="7581"/>
    <cellStyle name="Comma 5 10 3 2" xfId="11727"/>
    <cellStyle name="Comma 5 10 3 3" xfId="16420"/>
    <cellStyle name="Comma 5 10 3 3 2" xfId="32641"/>
    <cellStyle name="Comma 5 10 4" xfId="7582"/>
    <cellStyle name="Comma 5 10 4 2" xfId="11728"/>
    <cellStyle name="Comma 5 10 5" xfId="11723"/>
    <cellStyle name="Comma 5 10 6" xfId="14835"/>
    <cellStyle name="Comma 5 10 6 2" xfId="31057"/>
    <cellStyle name="Comma 5 11" xfId="7583"/>
    <cellStyle name="Comma 5 11 2" xfId="7584"/>
    <cellStyle name="Comma 5 11 2 2" xfId="11730"/>
    <cellStyle name="Comma 5 11 2 3" xfId="16684"/>
    <cellStyle name="Comma 5 11 2 3 2" xfId="32905"/>
    <cellStyle name="Comma 5 11 3" xfId="7585"/>
    <cellStyle name="Comma 5 11 3 2" xfId="11731"/>
    <cellStyle name="Comma 5 11 4" xfId="11729"/>
    <cellStyle name="Comma 5 11 5" xfId="15099"/>
    <cellStyle name="Comma 5 11 5 2" xfId="31321"/>
    <cellStyle name="Comma 5 12" xfId="7586"/>
    <cellStyle name="Comma 5 12 2" xfId="7587"/>
    <cellStyle name="Comma 5 12 2 2" xfId="11733"/>
    <cellStyle name="Comma 5 12 3" xfId="11732"/>
    <cellStyle name="Comma 5 12 4" xfId="15892"/>
    <cellStyle name="Comma 5 12 4 2" xfId="32113"/>
    <cellStyle name="Comma 5 13" xfId="7588"/>
    <cellStyle name="Comma 5 13 2" xfId="11734"/>
    <cellStyle name="Comma 5 14" xfId="14245"/>
    <cellStyle name="Comma 5 14 2" xfId="30529"/>
    <cellStyle name="Comma 5 15" xfId="4893"/>
    <cellStyle name="Comma 5 16" xfId="21008"/>
    <cellStyle name="Comma 5 16 2" xfId="37220"/>
    <cellStyle name="Comma 5 17" xfId="22506"/>
    <cellStyle name="Comma 5 18" xfId="38767"/>
    <cellStyle name="Comma 5 19" xfId="39556"/>
    <cellStyle name="Comma 5 2" xfId="87"/>
    <cellStyle name="Comma 5 2 2" xfId="4953"/>
    <cellStyle name="Comma 5 2 2 2" xfId="11735"/>
    <cellStyle name="Comma 5 2 3" xfId="5215"/>
    <cellStyle name="Comma 5 2 4" xfId="4937"/>
    <cellStyle name="Comma 5 2 5" xfId="366"/>
    <cellStyle name="Comma 5 20" xfId="300"/>
    <cellStyle name="Comma 5 3" xfId="88"/>
    <cellStyle name="Comma 5 3 2" xfId="4957"/>
    <cellStyle name="Comma 5 3 2 2" xfId="11736"/>
    <cellStyle name="Comma 5 3 3" xfId="5216"/>
    <cellStyle name="Comma 5 3 4" xfId="4925"/>
    <cellStyle name="Comma 5 3 5" xfId="367"/>
    <cellStyle name="Comma 5 4" xfId="365"/>
    <cellStyle name="Comma 5 4 10" xfId="7589"/>
    <cellStyle name="Comma 5 4 10 2" xfId="11738"/>
    <cellStyle name="Comma 5 4 11" xfId="11737"/>
    <cellStyle name="Comma 5 4 12" xfId="14246"/>
    <cellStyle name="Comma 5 4 12 2" xfId="30530"/>
    <cellStyle name="Comma 5 4 2" xfId="7590"/>
    <cellStyle name="Comma 5 4 2 2" xfId="11739"/>
    <cellStyle name="Comma 5 4 3" xfId="7591"/>
    <cellStyle name="Comma 5 4 3 10" xfId="14341"/>
    <cellStyle name="Comma 5 4 3 10 2" xfId="30563"/>
    <cellStyle name="Comma 5 4 3 2" xfId="7592"/>
    <cellStyle name="Comma 5 4 3 2 2" xfId="7593"/>
    <cellStyle name="Comma 5 4 3 2 2 2" xfId="7594"/>
    <cellStyle name="Comma 5 4 3 2 2 2 2" xfId="7595"/>
    <cellStyle name="Comma 5 4 3 2 2 2 2 2" xfId="7596"/>
    <cellStyle name="Comma 5 4 3 2 2 2 2 2 2" xfId="11745"/>
    <cellStyle name="Comma 5 4 3 2 2 2 2 2 3" xfId="17180"/>
    <cellStyle name="Comma 5 4 3 2 2 2 2 2 3 2" xfId="33401"/>
    <cellStyle name="Comma 5 4 3 2 2 2 2 3" xfId="7597"/>
    <cellStyle name="Comma 5 4 3 2 2 2 2 3 2" xfId="11746"/>
    <cellStyle name="Comma 5 4 3 2 2 2 2 4" xfId="11744"/>
    <cellStyle name="Comma 5 4 3 2 2 2 2 5" xfId="15595"/>
    <cellStyle name="Comma 5 4 3 2 2 2 2 5 2" xfId="31817"/>
    <cellStyle name="Comma 5 4 3 2 2 2 3" xfId="7598"/>
    <cellStyle name="Comma 5 4 3 2 2 2 3 2" xfId="11747"/>
    <cellStyle name="Comma 5 4 3 2 2 2 3 3" xfId="16388"/>
    <cellStyle name="Comma 5 4 3 2 2 2 3 3 2" xfId="32609"/>
    <cellStyle name="Comma 5 4 3 2 2 2 4" xfId="7599"/>
    <cellStyle name="Comma 5 4 3 2 2 2 4 2" xfId="11748"/>
    <cellStyle name="Comma 5 4 3 2 2 2 5" xfId="11743"/>
    <cellStyle name="Comma 5 4 3 2 2 2 6" xfId="14803"/>
    <cellStyle name="Comma 5 4 3 2 2 2 6 2" xfId="31025"/>
    <cellStyle name="Comma 5 4 3 2 2 3" xfId="7600"/>
    <cellStyle name="Comma 5 4 3 2 2 3 2" xfId="7601"/>
    <cellStyle name="Comma 5 4 3 2 2 3 2 2" xfId="7602"/>
    <cellStyle name="Comma 5 4 3 2 2 3 2 2 2" xfId="11751"/>
    <cellStyle name="Comma 5 4 3 2 2 3 2 2 3" xfId="17444"/>
    <cellStyle name="Comma 5 4 3 2 2 3 2 2 3 2" xfId="33665"/>
    <cellStyle name="Comma 5 4 3 2 2 3 2 3" xfId="7603"/>
    <cellStyle name="Comma 5 4 3 2 2 3 2 3 2" xfId="11752"/>
    <cellStyle name="Comma 5 4 3 2 2 3 2 4" xfId="11750"/>
    <cellStyle name="Comma 5 4 3 2 2 3 2 5" xfId="15859"/>
    <cellStyle name="Comma 5 4 3 2 2 3 2 5 2" xfId="32081"/>
    <cellStyle name="Comma 5 4 3 2 2 3 3" xfId="7604"/>
    <cellStyle name="Comma 5 4 3 2 2 3 3 2" xfId="11753"/>
    <cellStyle name="Comma 5 4 3 2 2 3 3 3" xfId="16652"/>
    <cellStyle name="Comma 5 4 3 2 2 3 3 3 2" xfId="32873"/>
    <cellStyle name="Comma 5 4 3 2 2 3 4" xfId="7605"/>
    <cellStyle name="Comma 5 4 3 2 2 3 4 2" xfId="11754"/>
    <cellStyle name="Comma 5 4 3 2 2 3 5" xfId="11749"/>
    <cellStyle name="Comma 5 4 3 2 2 3 6" xfId="15067"/>
    <cellStyle name="Comma 5 4 3 2 2 3 6 2" xfId="31289"/>
    <cellStyle name="Comma 5 4 3 2 2 4" xfId="7606"/>
    <cellStyle name="Comma 5 4 3 2 2 4 2" xfId="7607"/>
    <cellStyle name="Comma 5 4 3 2 2 4 2 2" xfId="11756"/>
    <cellStyle name="Comma 5 4 3 2 2 4 2 3" xfId="16916"/>
    <cellStyle name="Comma 5 4 3 2 2 4 2 3 2" xfId="33137"/>
    <cellStyle name="Comma 5 4 3 2 2 4 3" xfId="7608"/>
    <cellStyle name="Comma 5 4 3 2 2 4 3 2" xfId="11757"/>
    <cellStyle name="Comma 5 4 3 2 2 4 4" xfId="11755"/>
    <cellStyle name="Comma 5 4 3 2 2 4 5" xfId="15331"/>
    <cellStyle name="Comma 5 4 3 2 2 4 5 2" xfId="31553"/>
    <cellStyle name="Comma 5 4 3 2 2 5" xfId="7609"/>
    <cellStyle name="Comma 5 4 3 2 2 5 2" xfId="11758"/>
    <cellStyle name="Comma 5 4 3 2 2 5 3" xfId="16124"/>
    <cellStyle name="Comma 5 4 3 2 2 5 3 2" xfId="32345"/>
    <cellStyle name="Comma 5 4 3 2 2 6" xfId="7610"/>
    <cellStyle name="Comma 5 4 3 2 2 6 2" xfId="11759"/>
    <cellStyle name="Comma 5 4 3 2 2 7" xfId="11742"/>
    <cellStyle name="Comma 5 4 3 2 2 8" xfId="14539"/>
    <cellStyle name="Comma 5 4 3 2 2 8 2" xfId="30761"/>
    <cellStyle name="Comma 5 4 3 2 3" xfId="7611"/>
    <cellStyle name="Comma 5 4 3 2 3 2" xfId="7612"/>
    <cellStyle name="Comma 5 4 3 2 3 2 2" xfId="7613"/>
    <cellStyle name="Comma 5 4 3 2 3 2 2 2" xfId="11762"/>
    <cellStyle name="Comma 5 4 3 2 3 2 2 3" xfId="17048"/>
    <cellStyle name="Comma 5 4 3 2 3 2 2 3 2" xfId="33269"/>
    <cellStyle name="Comma 5 4 3 2 3 2 3" xfId="7614"/>
    <cellStyle name="Comma 5 4 3 2 3 2 3 2" xfId="11763"/>
    <cellStyle name="Comma 5 4 3 2 3 2 4" xfId="11761"/>
    <cellStyle name="Comma 5 4 3 2 3 2 5" xfId="15463"/>
    <cellStyle name="Comma 5 4 3 2 3 2 5 2" xfId="31685"/>
    <cellStyle name="Comma 5 4 3 2 3 3" xfId="7615"/>
    <cellStyle name="Comma 5 4 3 2 3 3 2" xfId="11764"/>
    <cellStyle name="Comma 5 4 3 2 3 3 3" xfId="16256"/>
    <cellStyle name="Comma 5 4 3 2 3 3 3 2" xfId="32477"/>
    <cellStyle name="Comma 5 4 3 2 3 4" xfId="7616"/>
    <cellStyle name="Comma 5 4 3 2 3 4 2" xfId="11765"/>
    <cellStyle name="Comma 5 4 3 2 3 5" xfId="11760"/>
    <cellStyle name="Comma 5 4 3 2 3 6" xfId="14671"/>
    <cellStyle name="Comma 5 4 3 2 3 6 2" xfId="30893"/>
    <cellStyle name="Comma 5 4 3 2 4" xfId="7617"/>
    <cellStyle name="Comma 5 4 3 2 4 2" xfId="7618"/>
    <cellStyle name="Comma 5 4 3 2 4 2 2" xfId="7619"/>
    <cellStyle name="Comma 5 4 3 2 4 2 2 2" xfId="11768"/>
    <cellStyle name="Comma 5 4 3 2 4 2 2 3" xfId="17312"/>
    <cellStyle name="Comma 5 4 3 2 4 2 2 3 2" xfId="33533"/>
    <cellStyle name="Comma 5 4 3 2 4 2 3" xfId="7620"/>
    <cellStyle name="Comma 5 4 3 2 4 2 3 2" xfId="11769"/>
    <cellStyle name="Comma 5 4 3 2 4 2 4" xfId="11767"/>
    <cellStyle name="Comma 5 4 3 2 4 2 5" xfId="15727"/>
    <cellStyle name="Comma 5 4 3 2 4 2 5 2" xfId="31949"/>
    <cellStyle name="Comma 5 4 3 2 4 3" xfId="7621"/>
    <cellStyle name="Comma 5 4 3 2 4 3 2" xfId="11770"/>
    <cellStyle name="Comma 5 4 3 2 4 3 3" xfId="16520"/>
    <cellStyle name="Comma 5 4 3 2 4 3 3 2" xfId="32741"/>
    <cellStyle name="Comma 5 4 3 2 4 4" xfId="7622"/>
    <cellStyle name="Comma 5 4 3 2 4 4 2" xfId="11771"/>
    <cellStyle name="Comma 5 4 3 2 4 5" xfId="11766"/>
    <cellStyle name="Comma 5 4 3 2 4 6" xfId="14935"/>
    <cellStyle name="Comma 5 4 3 2 4 6 2" xfId="31157"/>
    <cellStyle name="Comma 5 4 3 2 5" xfId="7623"/>
    <cellStyle name="Comma 5 4 3 2 5 2" xfId="7624"/>
    <cellStyle name="Comma 5 4 3 2 5 2 2" xfId="11773"/>
    <cellStyle name="Comma 5 4 3 2 5 2 3" xfId="16784"/>
    <cellStyle name="Comma 5 4 3 2 5 2 3 2" xfId="33005"/>
    <cellStyle name="Comma 5 4 3 2 5 3" xfId="7625"/>
    <cellStyle name="Comma 5 4 3 2 5 3 2" xfId="11774"/>
    <cellStyle name="Comma 5 4 3 2 5 4" xfId="11772"/>
    <cellStyle name="Comma 5 4 3 2 5 5" xfId="15199"/>
    <cellStyle name="Comma 5 4 3 2 5 5 2" xfId="31421"/>
    <cellStyle name="Comma 5 4 3 2 6" xfId="7626"/>
    <cellStyle name="Comma 5 4 3 2 6 2" xfId="11775"/>
    <cellStyle name="Comma 5 4 3 2 6 3" xfId="15992"/>
    <cellStyle name="Comma 5 4 3 2 6 3 2" xfId="32213"/>
    <cellStyle name="Comma 5 4 3 2 7" xfId="7627"/>
    <cellStyle name="Comma 5 4 3 2 7 2" xfId="11776"/>
    <cellStyle name="Comma 5 4 3 2 8" xfId="11741"/>
    <cellStyle name="Comma 5 4 3 2 9" xfId="14407"/>
    <cellStyle name="Comma 5 4 3 2 9 2" xfId="30629"/>
    <cellStyle name="Comma 5 4 3 3" xfId="7628"/>
    <cellStyle name="Comma 5 4 3 3 2" xfId="7629"/>
    <cellStyle name="Comma 5 4 3 3 2 2" xfId="7630"/>
    <cellStyle name="Comma 5 4 3 3 2 2 2" xfId="7631"/>
    <cellStyle name="Comma 5 4 3 3 2 2 2 2" xfId="11780"/>
    <cellStyle name="Comma 5 4 3 3 2 2 2 3" xfId="17114"/>
    <cellStyle name="Comma 5 4 3 3 2 2 2 3 2" xfId="33335"/>
    <cellStyle name="Comma 5 4 3 3 2 2 3" xfId="7632"/>
    <cellStyle name="Comma 5 4 3 3 2 2 3 2" xfId="11781"/>
    <cellStyle name="Comma 5 4 3 3 2 2 4" xfId="11779"/>
    <cellStyle name="Comma 5 4 3 3 2 2 5" xfId="15529"/>
    <cellStyle name="Comma 5 4 3 3 2 2 5 2" xfId="31751"/>
    <cellStyle name="Comma 5 4 3 3 2 3" xfId="7633"/>
    <cellStyle name="Comma 5 4 3 3 2 3 2" xfId="11782"/>
    <cellStyle name="Comma 5 4 3 3 2 3 3" xfId="16322"/>
    <cellStyle name="Comma 5 4 3 3 2 3 3 2" xfId="32543"/>
    <cellStyle name="Comma 5 4 3 3 2 4" xfId="7634"/>
    <cellStyle name="Comma 5 4 3 3 2 4 2" xfId="11783"/>
    <cellStyle name="Comma 5 4 3 3 2 5" xfId="11778"/>
    <cellStyle name="Comma 5 4 3 3 2 6" xfId="14737"/>
    <cellStyle name="Comma 5 4 3 3 2 6 2" xfId="30959"/>
    <cellStyle name="Comma 5 4 3 3 3" xfId="7635"/>
    <cellStyle name="Comma 5 4 3 3 3 2" xfId="7636"/>
    <cellStyle name="Comma 5 4 3 3 3 2 2" xfId="7637"/>
    <cellStyle name="Comma 5 4 3 3 3 2 2 2" xfId="11786"/>
    <cellStyle name="Comma 5 4 3 3 3 2 2 3" xfId="17378"/>
    <cellStyle name="Comma 5 4 3 3 3 2 2 3 2" xfId="33599"/>
    <cellStyle name="Comma 5 4 3 3 3 2 3" xfId="7638"/>
    <cellStyle name="Comma 5 4 3 3 3 2 3 2" xfId="11787"/>
    <cellStyle name="Comma 5 4 3 3 3 2 4" xfId="11785"/>
    <cellStyle name="Comma 5 4 3 3 3 2 5" xfId="15793"/>
    <cellStyle name="Comma 5 4 3 3 3 2 5 2" xfId="32015"/>
    <cellStyle name="Comma 5 4 3 3 3 3" xfId="7639"/>
    <cellStyle name="Comma 5 4 3 3 3 3 2" xfId="11788"/>
    <cellStyle name="Comma 5 4 3 3 3 3 3" xfId="16586"/>
    <cellStyle name="Comma 5 4 3 3 3 3 3 2" xfId="32807"/>
    <cellStyle name="Comma 5 4 3 3 3 4" xfId="7640"/>
    <cellStyle name="Comma 5 4 3 3 3 4 2" xfId="11789"/>
    <cellStyle name="Comma 5 4 3 3 3 5" xfId="11784"/>
    <cellStyle name="Comma 5 4 3 3 3 6" xfId="15001"/>
    <cellStyle name="Comma 5 4 3 3 3 6 2" xfId="31223"/>
    <cellStyle name="Comma 5 4 3 3 4" xfId="7641"/>
    <cellStyle name="Comma 5 4 3 3 4 2" xfId="7642"/>
    <cellStyle name="Comma 5 4 3 3 4 2 2" xfId="11791"/>
    <cellStyle name="Comma 5 4 3 3 4 2 3" xfId="16850"/>
    <cellStyle name="Comma 5 4 3 3 4 2 3 2" xfId="33071"/>
    <cellStyle name="Comma 5 4 3 3 4 3" xfId="7643"/>
    <cellStyle name="Comma 5 4 3 3 4 3 2" xfId="11792"/>
    <cellStyle name="Comma 5 4 3 3 4 4" xfId="11790"/>
    <cellStyle name="Comma 5 4 3 3 4 5" xfId="15265"/>
    <cellStyle name="Comma 5 4 3 3 4 5 2" xfId="31487"/>
    <cellStyle name="Comma 5 4 3 3 5" xfId="7644"/>
    <cellStyle name="Comma 5 4 3 3 5 2" xfId="11793"/>
    <cellStyle name="Comma 5 4 3 3 5 3" xfId="16058"/>
    <cellStyle name="Comma 5 4 3 3 5 3 2" xfId="32279"/>
    <cellStyle name="Comma 5 4 3 3 6" xfId="7645"/>
    <cellStyle name="Comma 5 4 3 3 6 2" xfId="11794"/>
    <cellStyle name="Comma 5 4 3 3 7" xfId="11777"/>
    <cellStyle name="Comma 5 4 3 3 8" xfId="14473"/>
    <cellStyle name="Comma 5 4 3 3 8 2" xfId="30695"/>
    <cellStyle name="Comma 5 4 3 4" xfId="7646"/>
    <cellStyle name="Comma 5 4 3 4 2" xfId="7647"/>
    <cellStyle name="Comma 5 4 3 4 2 2" xfId="7648"/>
    <cellStyle name="Comma 5 4 3 4 2 2 2" xfId="11797"/>
    <cellStyle name="Comma 5 4 3 4 2 2 3" xfId="16982"/>
    <cellStyle name="Comma 5 4 3 4 2 2 3 2" xfId="33203"/>
    <cellStyle name="Comma 5 4 3 4 2 3" xfId="7649"/>
    <cellStyle name="Comma 5 4 3 4 2 3 2" xfId="11798"/>
    <cellStyle name="Comma 5 4 3 4 2 4" xfId="11796"/>
    <cellStyle name="Comma 5 4 3 4 2 5" xfId="15397"/>
    <cellStyle name="Comma 5 4 3 4 2 5 2" xfId="31619"/>
    <cellStyle name="Comma 5 4 3 4 3" xfId="7650"/>
    <cellStyle name="Comma 5 4 3 4 3 2" xfId="11799"/>
    <cellStyle name="Comma 5 4 3 4 3 3" xfId="16190"/>
    <cellStyle name="Comma 5 4 3 4 3 3 2" xfId="32411"/>
    <cellStyle name="Comma 5 4 3 4 4" xfId="7651"/>
    <cellStyle name="Comma 5 4 3 4 4 2" xfId="11800"/>
    <cellStyle name="Comma 5 4 3 4 5" xfId="11795"/>
    <cellStyle name="Comma 5 4 3 4 6" xfId="14605"/>
    <cellStyle name="Comma 5 4 3 4 6 2" xfId="30827"/>
    <cellStyle name="Comma 5 4 3 5" xfId="7652"/>
    <cellStyle name="Comma 5 4 3 5 2" xfId="7653"/>
    <cellStyle name="Comma 5 4 3 5 2 2" xfId="7654"/>
    <cellStyle name="Comma 5 4 3 5 2 2 2" xfId="11803"/>
    <cellStyle name="Comma 5 4 3 5 2 2 3" xfId="17246"/>
    <cellStyle name="Comma 5 4 3 5 2 2 3 2" xfId="33467"/>
    <cellStyle name="Comma 5 4 3 5 2 3" xfId="7655"/>
    <cellStyle name="Comma 5 4 3 5 2 3 2" xfId="11804"/>
    <cellStyle name="Comma 5 4 3 5 2 4" xfId="11802"/>
    <cellStyle name="Comma 5 4 3 5 2 5" xfId="15661"/>
    <cellStyle name="Comma 5 4 3 5 2 5 2" xfId="31883"/>
    <cellStyle name="Comma 5 4 3 5 3" xfId="7656"/>
    <cellStyle name="Comma 5 4 3 5 3 2" xfId="11805"/>
    <cellStyle name="Comma 5 4 3 5 3 3" xfId="16454"/>
    <cellStyle name="Comma 5 4 3 5 3 3 2" xfId="32675"/>
    <cellStyle name="Comma 5 4 3 5 4" xfId="7657"/>
    <cellStyle name="Comma 5 4 3 5 4 2" xfId="11806"/>
    <cellStyle name="Comma 5 4 3 5 5" xfId="11801"/>
    <cellStyle name="Comma 5 4 3 5 6" xfId="14869"/>
    <cellStyle name="Comma 5 4 3 5 6 2" xfId="31091"/>
    <cellStyle name="Comma 5 4 3 6" xfId="7658"/>
    <cellStyle name="Comma 5 4 3 6 2" xfId="7659"/>
    <cellStyle name="Comma 5 4 3 6 2 2" xfId="11808"/>
    <cellStyle name="Comma 5 4 3 6 2 3" xfId="16718"/>
    <cellStyle name="Comma 5 4 3 6 2 3 2" xfId="32939"/>
    <cellStyle name="Comma 5 4 3 6 3" xfId="7660"/>
    <cellStyle name="Comma 5 4 3 6 3 2" xfId="11809"/>
    <cellStyle name="Comma 5 4 3 6 4" xfId="11807"/>
    <cellStyle name="Comma 5 4 3 6 5" xfId="15133"/>
    <cellStyle name="Comma 5 4 3 6 5 2" xfId="31355"/>
    <cellStyle name="Comma 5 4 3 7" xfId="7661"/>
    <cellStyle name="Comma 5 4 3 7 2" xfId="11810"/>
    <cellStyle name="Comma 5 4 3 7 3" xfId="15926"/>
    <cellStyle name="Comma 5 4 3 7 3 2" xfId="32147"/>
    <cellStyle name="Comma 5 4 3 8" xfId="7662"/>
    <cellStyle name="Comma 5 4 3 8 2" xfId="11811"/>
    <cellStyle name="Comma 5 4 3 9" xfId="11740"/>
    <cellStyle name="Comma 5 4 4" xfId="7663"/>
    <cellStyle name="Comma 5 4 4 2" xfId="7664"/>
    <cellStyle name="Comma 5 4 4 2 2" xfId="7665"/>
    <cellStyle name="Comma 5 4 4 2 2 2" xfId="7666"/>
    <cellStyle name="Comma 5 4 4 2 2 2 2" xfId="7667"/>
    <cellStyle name="Comma 5 4 4 2 2 2 2 2" xfId="11816"/>
    <cellStyle name="Comma 5 4 4 2 2 2 2 3" xfId="17147"/>
    <cellStyle name="Comma 5 4 4 2 2 2 2 3 2" xfId="33368"/>
    <cellStyle name="Comma 5 4 4 2 2 2 3" xfId="7668"/>
    <cellStyle name="Comma 5 4 4 2 2 2 3 2" xfId="11817"/>
    <cellStyle name="Comma 5 4 4 2 2 2 4" xfId="11815"/>
    <cellStyle name="Comma 5 4 4 2 2 2 5" xfId="15562"/>
    <cellStyle name="Comma 5 4 4 2 2 2 5 2" xfId="31784"/>
    <cellStyle name="Comma 5 4 4 2 2 3" xfId="7669"/>
    <cellStyle name="Comma 5 4 4 2 2 3 2" xfId="11818"/>
    <cellStyle name="Comma 5 4 4 2 2 3 3" xfId="16355"/>
    <cellStyle name="Comma 5 4 4 2 2 3 3 2" xfId="32576"/>
    <cellStyle name="Comma 5 4 4 2 2 4" xfId="7670"/>
    <cellStyle name="Comma 5 4 4 2 2 4 2" xfId="11819"/>
    <cellStyle name="Comma 5 4 4 2 2 5" xfId="11814"/>
    <cellStyle name="Comma 5 4 4 2 2 6" xfId="14770"/>
    <cellStyle name="Comma 5 4 4 2 2 6 2" xfId="30992"/>
    <cellStyle name="Comma 5 4 4 2 3" xfId="7671"/>
    <cellStyle name="Comma 5 4 4 2 3 2" xfId="7672"/>
    <cellStyle name="Comma 5 4 4 2 3 2 2" xfId="7673"/>
    <cellStyle name="Comma 5 4 4 2 3 2 2 2" xfId="11822"/>
    <cellStyle name="Comma 5 4 4 2 3 2 2 3" xfId="17411"/>
    <cellStyle name="Comma 5 4 4 2 3 2 2 3 2" xfId="33632"/>
    <cellStyle name="Comma 5 4 4 2 3 2 3" xfId="7674"/>
    <cellStyle name="Comma 5 4 4 2 3 2 3 2" xfId="11823"/>
    <cellStyle name="Comma 5 4 4 2 3 2 4" xfId="11821"/>
    <cellStyle name="Comma 5 4 4 2 3 2 5" xfId="15826"/>
    <cellStyle name="Comma 5 4 4 2 3 2 5 2" xfId="32048"/>
    <cellStyle name="Comma 5 4 4 2 3 3" xfId="7675"/>
    <cellStyle name="Comma 5 4 4 2 3 3 2" xfId="11824"/>
    <cellStyle name="Comma 5 4 4 2 3 3 3" xfId="16619"/>
    <cellStyle name="Comma 5 4 4 2 3 3 3 2" xfId="32840"/>
    <cellStyle name="Comma 5 4 4 2 3 4" xfId="7676"/>
    <cellStyle name="Comma 5 4 4 2 3 4 2" xfId="11825"/>
    <cellStyle name="Comma 5 4 4 2 3 5" xfId="11820"/>
    <cellStyle name="Comma 5 4 4 2 3 6" xfId="15034"/>
    <cellStyle name="Comma 5 4 4 2 3 6 2" xfId="31256"/>
    <cellStyle name="Comma 5 4 4 2 4" xfId="7677"/>
    <cellStyle name="Comma 5 4 4 2 4 2" xfId="7678"/>
    <cellStyle name="Comma 5 4 4 2 4 2 2" xfId="11827"/>
    <cellStyle name="Comma 5 4 4 2 4 2 3" xfId="16883"/>
    <cellStyle name="Comma 5 4 4 2 4 2 3 2" xfId="33104"/>
    <cellStyle name="Comma 5 4 4 2 4 3" xfId="7679"/>
    <cellStyle name="Comma 5 4 4 2 4 3 2" xfId="11828"/>
    <cellStyle name="Comma 5 4 4 2 4 4" xfId="11826"/>
    <cellStyle name="Comma 5 4 4 2 4 5" xfId="15298"/>
    <cellStyle name="Comma 5 4 4 2 4 5 2" xfId="31520"/>
    <cellStyle name="Comma 5 4 4 2 5" xfId="7680"/>
    <cellStyle name="Comma 5 4 4 2 5 2" xfId="11829"/>
    <cellStyle name="Comma 5 4 4 2 5 3" xfId="16091"/>
    <cellStyle name="Comma 5 4 4 2 5 3 2" xfId="32312"/>
    <cellStyle name="Comma 5 4 4 2 6" xfId="7681"/>
    <cellStyle name="Comma 5 4 4 2 6 2" xfId="11830"/>
    <cellStyle name="Comma 5 4 4 2 7" xfId="11813"/>
    <cellStyle name="Comma 5 4 4 2 8" xfId="14506"/>
    <cellStyle name="Comma 5 4 4 2 8 2" xfId="30728"/>
    <cellStyle name="Comma 5 4 4 3" xfId="7682"/>
    <cellStyle name="Comma 5 4 4 3 2" xfId="7683"/>
    <cellStyle name="Comma 5 4 4 3 2 2" xfId="7684"/>
    <cellStyle name="Comma 5 4 4 3 2 2 2" xfId="11833"/>
    <cellStyle name="Comma 5 4 4 3 2 2 3" xfId="17015"/>
    <cellStyle name="Comma 5 4 4 3 2 2 3 2" xfId="33236"/>
    <cellStyle name="Comma 5 4 4 3 2 3" xfId="7685"/>
    <cellStyle name="Comma 5 4 4 3 2 3 2" xfId="11834"/>
    <cellStyle name="Comma 5 4 4 3 2 4" xfId="11832"/>
    <cellStyle name="Comma 5 4 4 3 2 5" xfId="15430"/>
    <cellStyle name="Comma 5 4 4 3 2 5 2" xfId="31652"/>
    <cellStyle name="Comma 5 4 4 3 3" xfId="7686"/>
    <cellStyle name="Comma 5 4 4 3 3 2" xfId="11835"/>
    <cellStyle name="Comma 5 4 4 3 3 3" xfId="16223"/>
    <cellStyle name="Comma 5 4 4 3 3 3 2" xfId="32444"/>
    <cellStyle name="Comma 5 4 4 3 4" xfId="7687"/>
    <cellStyle name="Comma 5 4 4 3 4 2" xfId="11836"/>
    <cellStyle name="Comma 5 4 4 3 5" xfId="11831"/>
    <cellStyle name="Comma 5 4 4 3 6" xfId="14638"/>
    <cellStyle name="Comma 5 4 4 3 6 2" xfId="30860"/>
    <cellStyle name="Comma 5 4 4 4" xfId="7688"/>
    <cellStyle name="Comma 5 4 4 4 2" xfId="7689"/>
    <cellStyle name="Comma 5 4 4 4 2 2" xfId="7690"/>
    <cellStyle name="Comma 5 4 4 4 2 2 2" xfId="11839"/>
    <cellStyle name="Comma 5 4 4 4 2 2 3" xfId="17279"/>
    <cellStyle name="Comma 5 4 4 4 2 2 3 2" xfId="33500"/>
    <cellStyle name="Comma 5 4 4 4 2 3" xfId="7691"/>
    <cellStyle name="Comma 5 4 4 4 2 3 2" xfId="11840"/>
    <cellStyle name="Comma 5 4 4 4 2 4" xfId="11838"/>
    <cellStyle name="Comma 5 4 4 4 2 5" xfId="15694"/>
    <cellStyle name="Comma 5 4 4 4 2 5 2" xfId="31916"/>
    <cellStyle name="Comma 5 4 4 4 3" xfId="7692"/>
    <cellStyle name="Comma 5 4 4 4 3 2" xfId="11841"/>
    <cellStyle name="Comma 5 4 4 4 3 3" xfId="16487"/>
    <cellStyle name="Comma 5 4 4 4 3 3 2" xfId="32708"/>
    <cellStyle name="Comma 5 4 4 4 4" xfId="7693"/>
    <cellStyle name="Comma 5 4 4 4 4 2" xfId="11842"/>
    <cellStyle name="Comma 5 4 4 4 5" xfId="11837"/>
    <cellStyle name="Comma 5 4 4 4 6" xfId="14902"/>
    <cellStyle name="Comma 5 4 4 4 6 2" xfId="31124"/>
    <cellStyle name="Comma 5 4 4 5" xfId="7694"/>
    <cellStyle name="Comma 5 4 4 5 2" xfId="7695"/>
    <cellStyle name="Comma 5 4 4 5 2 2" xfId="11844"/>
    <cellStyle name="Comma 5 4 4 5 2 3" xfId="16751"/>
    <cellStyle name="Comma 5 4 4 5 2 3 2" xfId="32972"/>
    <cellStyle name="Comma 5 4 4 5 3" xfId="7696"/>
    <cellStyle name="Comma 5 4 4 5 3 2" xfId="11845"/>
    <cellStyle name="Comma 5 4 4 5 4" xfId="11843"/>
    <cellStyle name="Comma 5 4 4 5 5" xfId="15166"/>
    <cellStyle name="Comma 5 4 4 5 5 2" xfId="31388"/>
    <cellStyle name="Comma 5 4 4 6" xfId="7697"/>
    <cellStyle name="Comma 5 4 4 6 2" xfId="11846"/>
    <cellStyle name="Comma 5 4 4 6 3" xfId="15959"/>
    <cellStyle name="Comma 5 4 4 6 3 2" xfId="32180"/>
    <cellStyle name="Comma 5 4 4 7" xfId="7698"/>
    <cellStyle name="Comma 5 4 4 7 2" xfId="11847"/>
    <cellStyle name="Comma 5 4 4 8" xfId="11812"/>
    <cellStyle name="Comma 5 4 4 9" xfId="14374"/>
    <cellStyle name="Comma 5 4 4 9 2" xfId="30596"/>
    <cellStyle name="Comma 5 4 5" xfId="7699"/>
    <cellStyle name="Comma 5 4 5 2" xfId="7700"/>
    <cellStyle name="Comma 5 4 5 2 2" xfId="7701"/>
    <cellStyle name="Comma 5 4 5 2 2 2" xfId="7702"/>
    <cellStyle name="Comma 5 4 5 2 2 2 2" xfId="11851"/>
    <cellStyle name="Comma 5 4 5 2 2 2 3" xfId="17081"/>
    <cellStyle name="Comma 5 4 5 2 2 2 3 2" xfId="33302"/>
    <cellStyle name="Comma 5 4 5 2 2 3" xfId="7703"/>
    <cellStyle name="Comma 5 4 5 2 2 3 2" xfId="11852"/>
    <cellStyle name="Comma 5 4 5 2 2 4" xfId="11850"/>
    <cellStyle name="Comma 5 4 5 2 2 5" xfId="15496"/>
    <cellStyle name="Comma 5 4 5 2 2 5 2" xfId="31718"/>
    <cellStyle name="Comma 5 4 5 2 3" xfId="7704"/>
    <cellStyle name="Comma 5 4 5 2 3 2" xfId="11853"/>
    <cellStyle name="Comma 5 4 5 2 3 3" xfId="16289"/>
    <cellStyle name="Comma 5 4 5 2 3 3 2" xfId="32510"/>
    <cellStyle name="Comma 5 4 5 2 4" xfId="7705"/>
    <cellStyle name="Comma 5 4 5 2 4 2" xfId="11854"/>
    <cellStyle name="Comma 5 4 5 2 5" xfId="11849"/>
    <cellStyle name="Comma 5 4 5 2 6" xfId="14704"/>
    <cellStyle name="Comma 5 4 5 2 6 2" xfId="30926"/>
    <cellStyle name="Comma 5 4 5 3" xfId="7706"/>
    <cellStyle name="Comma 5 4 5 3 2" xfId="7707"/>
    <cellStyle name="Comma 5 4 5 3 2 2" xfId="7708"/>
    <cellStyle name="Comma 5 4 5 3 2 2 2" xfId="11857"/>
    <cellStyle name="Comma 5 4 5 3 2 2 3" xfId="17345"/>
    <cellStyle name="Comma 5 4 5 3 2 2 3 2" xfId="33566"/>
    <cellStyle name="Comma 5 4 5 3 2 3" xfId="7709"/>
    <cellStyle name="Comma 5 4 5 3 2 3 2" xfId="11858"/>
    <cellStyle name="Comma 5 4 5 3 2 4" xfId="11856"/>
    <cellStyle name="Comma 5 4 5 3 2 5" xfId="15760"/>
    <cellStyle name="Comma 5 4 5 3 2 5 2" xfId="31982"/>
    <cellStyle name="Comma 5 4 5 3 3" xfId="7710"/>
    <cellStyle name="Comma 5 4 5 3 3 2" xfId="11859"/>
    <cellStyle name="Comma 5 4 5 3 3 3" xfId="16553"/>
    <cellStyle name="Comma 5 4 5 3 3 3 2" xfId="32774"/>
    <cellStyle name="Comma 5 4 5 3 4" xfId="7711"/>
    <cellStyle name="Comma 5 4 5 3 4 2" xfId="11860"/>
    <cellStyle name="Comma 5 4 5 3 5" xfId="11855"/>
    <cellStyle name="Comma 5 4 5 3 6" xfId="14968"/>
    <cellStyle name="Comma 5 4 5 3 6 2" xfId="31190"/>
    <cellStyle name="Comma 5 4 5 4" xfId="7712"/>
    <cellStyle name="Comma 5 4 5 4 2" xfId="7713"/>
    <cellStyle name="Comma 5 4 5 4 2 2" xfId="11862"/>
    <cellStyle name="Comma 5 4 5 4 2 3" xfId="16817"/>
    <cellStyle name="Comma 5 4 5 4 2 3 2" xfId="33038"/>
    <cellStyle name="Comma 5 4 5 4 3" xfId="7714"/>
    <cellStyle name="Comma 5 4 5 4 3 2" xfId="11863"/>
    <cellStyle name="Comma 5 4 5 4 4" xfId="11861"/>
    <cellStyle name="Comma 5 4 5 4 5" xfId="15232"/>
    <cellStyle name="Comma 5 4 5 4 5 2" xfId="31454"/>
    <cellStyle name="Comma 5 4 5 5" xfId="7715"/>
    <cellStyle name="Comma 5 4 5 5 2" xfId="11864"/>
    <cellStyle name="Comma 5 4 5 5 3" xfId="16025"/>
    <cellStyle name="Comma 5 4 5 5 3 2" xfId="32246"/>
    <cellStyle name="Comma 5 4 5 6" xfId="7716"/>
    <cellStyle name="Comma 5 4 5 6 2" xfId="11865"/>
    <cellStyle name="Comma 5 4 5 7" xfId="11848"/>
    <cellStyle name="Comma 5 4 5 8" xfId="14440"/>
    <cellStyle name="Comma 5 4 5 8 2" xfId="30662"/>
    <cellStyle name="Comma 5 4 6" xfId="7717"/>
    <cellStyle name="Comma 5 4 6 2" xfId="7718"/>
    <cellStyle name="Comma 5 4 6 2 2" xfId="7719"/>
    <cellStyle name="Comma 5 4 6 2 2 2" xfId="11868"/>
    <cellStyle name="Comma 5 4 6 2 2 3" xfId="16949"/>
    <cellStyle name="Comma 5 4 6 2 2 3 2" xfId="33170"/>
    <cellStyle name="Comma 5 4 6 2 3" xfId="7720"/>
    <cellStyle name="Comma 5 4 6 2 3 2" xfId="11869"/>
    <cellStyle name="Comma 5 4 6 2 4" xfId="11867"/>
    <cellStyle name="Comma 5 4 6 2 5" xfId="15364"/>
    <cellStyle name="Comma 5 4 6 2 5 2" xfId="31586"/>
    <cellStyle name="Comma 5 4 6 3" xfId="7721"/>
    <cellStyle name="Comma 5 4 6 3 2" xfId="11870"/>
    <cellStyle name="Comma 5 4 6 3 3" xfId="16157"/>
    <cellStyle name="Comma 5 4 6 3 3 2" xfId="32378"/>
    <cellStyle name="Comma 5 4 6 4" xfId="7722"/>
    <cellStyle name="Comma 5 4 6 4 2" xfId="11871"/>
    <cellStyle name="Comma 5 4 6 5" xfId="11866"/>
    <cellStyle name="Comma 5 4 6 6" xfId="14572"/>
    <cellStyle name="Comma 5 4 6 6 2" xfId="30794"/>
    <cellStyle name="Comma 5 4 7" xfId="7723"/>
    <cellStyle name="Comma 5 4 7 2" xfId="7724"/>
    <cellStyle name="Comma 5 4 7 2 2" xfId="7725"/>
    <cellStyle name="Comma 5 4 7 2 2 2" xfId="11874"/>
    <cellStyle name="Comma 5 4 7 2 2 3" xfId="17213"/>
    <cellStyle name="Comma 5 4 7 2 2 3 2" xfId="33434"/>
    <cellStyle name="Comma 5 4 7 2 3" xfId="7726"/>
    <cellStyle name="Comma 5 4 7 2 3 2" xfId="11875"/>
    <cellStyle name="Comma 5 4 7 2 4" xfId="11873"/>
    <cellStyle name="Comma 5 4 7 2 5" xfId="15628"/>
    <cellStyle name="Comma 5 4 7 2 5 2" xfId="31850"/>
    <cellStyle name="Comma 5 4 7 3" xfId="7727"/>
    <cellStyle name="Comma 5 4 7 3 2" xfId="11876"/>
    <cellStyle name="Comma 5 4 7 3 3" xfId="16421"/>
    <cellStyle name="Comma 5 4 7 3 3 2" xfId="32642"/>
    <cellStyle name="Comma 5 4 7 4" xfId="7728"/>
    <cellStyle name="Comma 5 4 7 4 2" xfId="11877"/>
    <cellStyle name="Comma 5 4 7 5" xfId="11872"/>
    <cellStyle name="Comma 5 4 7 6" xfId="14836"/>
    <cellStyle name="Comma 5 4 7 6 2" xfId="31058"/>
    <cellStyle name="Comma 5 4 8" xfId="7729"/>
    <cellStyle name="Comma 5 4 8 2" xfId="7730"/>
    <cellStyle name="Comma 5 4 8 2 2" xfId="11879"/>
    <cellStyle name="Comma 5 4 8 2 3" xfId="16685"/>
    <cellStyle name="Comma 5 4 8 2 3 2" xfId="32906"/>
    <cellStyle name="Comma 5 4 8 3" xfId="7731"/>
    <cellStyle name="Comma 5 4 8 3 2" xfId="11880"/>
    <cellStyle name="Comma 5 4 8 4" xfId="11878"/>
    <cellStyle name="Comma 5 4 8 5" xfId="15100"/>
    <cellStyle name="Comma 5 4 8 5 2" xfId="31322"/>
    <cellStyle name="Comma 5 4 9" xfId="7732"/>
    <cellStyle name="Comma 5 4 9 2" xfId="7733"/>
    <cellStyle name="Comma 5 4 9 2 2" xfId="11882"/>
    <cellStyle name="Comma 5 4 9 3" xfId="11881"/>
    <cellStyle name="Comma 5 4 9 4" xfId="15893"/>
    <cellStyle name="Comma 5 4 9 4 2" xfId="32114"/>
    <cellStyle name="Comma 5 5" xfId="329"/>
    <cellStyle name="Comma 5 5 2" xfId="1864"/>
    <cellStyle name="Comma 5 5 2 2" xfId="11883"/>
    <cellStyle name="Comma 5 5 2 3" xfId="24032"/>
    <cellStyle name="Comma 5 5 3" xfId="3363"/>
    <cellStyle name="Comma 5 5 3 2" xfId="25530"/>
    <cellStyle name="Comma 5 5 4" xfId="5217"/>
    <cellStyle name="Comma 5 5 5" xfId="21036"/>
    <cellStyle name="Comma 5 5 5 2" xfId="37248"/>
    <cellStyle name="Comma 5 5 6" xfId="22534"/>
    <cellStyle name="Comma 5 6" xfId="1790"/>
    <cellStyle name="Comma 5 6 10" xfId="14340"/>
    <cellStyle name="Comma 5 6 10 2" xfId="30562"/>
    <cellStyle name="Comma 5 6 11" xfId="7734"/>
    <cellStyle name="Comma 5 6 12" xfId="22460"/>
    <cellStyle name="Comma 5 6 12 2" xfId="38672"/>
    <cellStyle name="Comma 5 6 13" xfId="23958"/>
    <cellStyle name="Comma 5 6 2" xfId="3289"/>
    <cellStyle name="Comma 5 6 2 10" xfId="7735"/>
    <cellStyle name="Comma 5 6 2 11" xfId="25456"/>
    <cellStyle name="Comma 5 6 2 2" xfId="7736"/>
    <cellStyle name="Comma 5 6 2 2 2" xfId="7737"/>
    <cellStyle name="Comma 5 6 2 2 2 2" xfId="7738"/>
    <cellStyle name="Comma 5 6 2 2 2 2 2" xfId="7739"/>
    <cellStyle name="Comma 5 6 2 2 2 2 2 2" xfId="11889"/>
    <cellStyle name="Comma 5 6 2 2 2 2 2 3" xfId="17179"/>
    <cellStyle name="Comma 5 6 2 2 2 2 2 3 2" xfId="33400"/>
    <cellStyle name="Comma 5 6 2 2 2 2 3" xfId="7740"/>
    <cellStyle name="Comma 5 6 2 2 2 2 3 2" xfId="11890"/>
    <cellStyle name="Comma 5 6 2 2 2 2 4" xfId="11888"/>
    <cellStyle name="Comma 5 6 2 2 2 2 5" xfId="15594"/>
    <cellStyle name="Comma 5 6 2 2 2 2 5 2" xfId="31816"/>
    <cellStyle name="Comma 5 6 2 2 2 3" xfId="7741"/>
    <cellStyle name="Comma 5 6 2 2 2 3 2" xfId="11891"/>
    <cellStyle name="Comma 5 6 2 2 2 3 3" xfId="16387"/>
    <cellStyle name="Comma 5 6 2 2 2 3 3 2" xfId="32608"/>
    <cellStyle name="Comma 5 6 2 2 2 4" xfId="7742"/>
    <cellStyle name="Comma 5 6 2 2 2 4 2" xfId="11892"/>
    <cellStyle name="Comma 5 6 2 2 2 5" xfId="11887"/>
    <cellStyle name="Comma 5 6 2 2 2 6" xfId="14802"/>
    <cellStyle name="Comma 5 6 2 2 2 6 2" xfId="31024"/>
    <cellStyle name="Comma 5 6 2 2 3" xfId="7743"/>
    <cellStyle name="Comma 5 6 2 2 3 2" xfId="7744"/>
    <cellStyle name="Comma 5 6 2 2 3 2 2" xfId="7745"/>
    <cellStyle name="Comma 5 6 2 2 3 2 2 2" xfId="11895"/>
    <cellStyle name="Comma 5 6 2 2 3 2 2 3" xfId="17443"/>
    <cellStyle name="Comma 5 6 2 2 3 2 2 3 2" xfId="33664"/>
    <cellStyle name="Comma 5 6 2 2 3 2 3" xfId="7746"/>
    <cellStyle name="Comma 5 6 2 2 3 2 3 2" xfId="11896"/>
    <cellStyle name="Comma 5 6 2 2 3 2 4" xfId="11894"/>
    <cellStyle name="Comma 5 6 2 2 3 2 5" xfId="15858"/>
    <cellStyle name="Comma 5 6 2 2 3 2 5 2" xfId="32080"/>
    <cellStyle name="Comma 5 6 2 2 3 3" xfId="7747"/>
    <cellStyle name="Comma 5 6 2 2 3 3 2" xfId="11897"/>
    <cellStyle name="Comma 5 6 2 2 3 3 3" xfId="16651"/>
    <cellStyle name="Comma 5 6 2 2 3 3 3 2" xfId="32872"/>
    <cellStyle name="Comma 5 6 2 2 3 4" xfId="7748"/>
    <cellStyle name="Comma 5 6 2 2 3 4 2" xfId="11898"/>
    <cellStyle name="Comma 5 6 2 2 3 5" xfId="11893"/>
    <cellStyle name="Comma 5 6 2 2 3 6" xfId="15066"/>
    <cellStyle name="Comma 5 6 2 2 3 6 2" xfId="31288"/>
    <cellStyle name="Comma 5 6 2 2 4" xfId="7749"/>
    <cellStyle name="Comma 5 6 2 2 4 2" xfId="7750"/>
    <cellStyle name="Comma 5 6 2 2 4 2 2" xfId="11900"/>
    <cellStyle name="Comma 5 6 2 2 4 2 3" xfId="16915"/>
    <cellStyle name="Comma 5 6 2 2 4 2 3 2" xfId="33136"/>
    <cellStyle name="Comma 5 6 2 2 4 3" xfId="7751"/>
    <cellStyle name="Comma 5 6 2 2 4 3 2" xfId="11901"/>
    <cellStyle name="Comma 5 6 2 2 4 4" xfId="11899"/>
    <cellStyle name="Comma 5 6 2 2 4 5" xfId="15330"/>
    <cellStyle name="Comma 5 6 2 2 4 5 2" xfId="31552"/>
    <cellStyle name="Comma 5 6 2 2 5" xfId="7752"/>
    <cellStyle name="Comma 5 6 2 2 5 2" xfId="11902"/>
    <cellStyle name="Comma 5 6 2 2 5 3" xfId="16123"/>
    <cellStyle name="Comma 5 6 2 2 5 3 2" xfId="32344"/>
    <cellStyle name="Comma 5 6 2 2 6" xfId="7753"/>
    <cellStyle name="Comma 5 6 2 2 6 2" xfId="11903"/>
    <cellStyle name="Comma 5 6 2 2 7" xfId="11886"/>
    <cellStyle name="Comma 5 6 2 2 8" xfId="14538"/>
    <cellStyle name="Comma 5 6 2 2 8 2" xfId="30760"/>
    <cellStyle name="Comma 5 6 2 3" xfId="7754"/>
    <cellStyle name="Comma 5 6 2 3 2" xfId="7755"/>
    <cellStyle name="Comma 5 6 2 3 2 2" xfId="7756"/>
    <cellStyle name="Comma 5 6 2 3 2 2 2" xfId="11906"/>
    <cellStyle name="Comma 5 6 2 3 2 2 3" xfId="17047"/>
    <cellStyle name="Comma 5 6 2 3 2 2 3 2" xfId="33268"/>
    <cellStyle name="Comma 5 6 2 3 2 3" xfId="7757"/>
    <cellStyle name="Comma 5 6 2 3 2 3 2" xfId="11907"/>
    <cellStyle name="Comma 5 6 2 3 2 4" xfId="11905"/>
    <cellStyle name="Comma 5 6 2 3 2 5" xfId="15462"/>
    <cellStyle name="Comma 5 6 2 3 2 5 2" xfId="31684"/>
    <cellStyle name="Comma 5 6 2 3 3" xfId="7758"/>
    <cellStyle name="Comma 5 6 2 3 3 2" xfId="11908"/>
    <cellStyle name="Comma 5 6 2 3 3 3" xfId="16255"/>
    <cellStyle name="Comma 5 6 2 3 3 3 2" xfId="32476"/>
    <cellStyle name="Comma 5 6 2 3 4" xfId="7759"/>
    <cellStyle name="Comma 5 6 2 3 4 2" xfId="11909"/>
    <cellStyle name="Comma 5 6 2 3 5" xfId="11904"/>
    <cellStyle name="Comma 5 6 2 3 6" xfId="14670"/>
    <cellStyle name="Comma 5 6 2 3 6 2" xfId="30892"/>
    <cellStyle name="Comma 5 6 2 4" xfId="7760"/>
    <cellStyle name="Comma 5 6 2 4 2" xfId="7761"/>
    <cellStyle name="Comma 5 6 2 4 2 2" xfId="7762"/>
    <cellStyle name="Comma 5 6 2 4 2 2 2" xfId="11912"/>
    <cellStyle name="Comma 5 6 2 4 2 2 3" xfId="17311"/>
    <cellStyle name="Comma 5 6 2 4 2 2 3 2" xfId="33532"/>
    <cellStyle name="Comma 5 6 2 4 2 3" xfId="7763"/>
    <cellStyle name="Comma 5 6 2 4 2 3 2" xfId="11913"/>
    <cellStyle name="Comma 5 6 2 4 2 4" xfId="11911"/>
    <cellStyle name="Comma 5 6 2 4 2 5" xfId="15726"/>
    <cellStyle name="Comma 5 6 2 4 2 5 2" xfId="31948"/>
    <cellStyle name="Comma 5 6 2 4 3" xfId="7764"/>
    <cellStyle name="Comma 5 6 2 4 3 2" xfId="11914"/>
    <cellStyle name="Comma 5 6 2 4 3 3" xfId="16519"/>
    <cellStyle name="Comma 5 6 2 4 3 3 2" xfId="32740"/>
    <cellStyle name="Comma 5 6 2 4 4" xfId="7765"/>
    <cellStyle name="Comma 5 6 2 4 4 2" xfId="11915"/>
    <cellStyle name="Comma 5 6 2 4 5" xfId="11910"/>
    <cellStyle name="Comma 5 6 2 4 6" xfId="14934"/>
    <cellStyle name="Comma 5 6 2 4 6 2" xfId="31156"/>
    <cellStyle name="Comma 5 6 2 5" xfId="7766"/>
    <cellStyle name="Comma 5 6 2 5 2" xfId="7767"/>
    <cellStyle name="Comma 5 6 2 5 2 2" xfId="11917"/>
    <cellStyle name="Comma 5 6 2 5 2 3" xfId="16783"/>
    <cellStyle name="Comma 5 6 2 5 2 3 2" xfId="33004"/>
    <cellStyle name="Comma 5 6 2 5 3" xfId="7768"/>
    <cellStyle name="Comma 5 6 2 5 3 2" xfId="11918"/>
    <cellStyle name="Comma 5 6 2 5 4" xfId="11916"/>
    <cellStyle name="Comma 5 6 2 5 5" xfId="15198"/>
    <cellStyle name="Comma 5 6 2 5 5 2" xfId="31420"/>
    <cellStyle name="Comma 5 6 2 6" xfId="7769"/>
    <cellStyle name="Comma 5 6 2 6 2" xfId="11919"/>
    <cellStyle name="Comma 5 6 2 6 3" xfId="15991"/>
    <cellStyle name="Comma 5 6 2 6 3 2" xfId="32212"/>
    <cellStyle name="Comma 5 6 2 7" xfId="7770"/>
    <cellStyle name="Comma 5 6 2 7 2" xfId="11920"/>
    <cellStyle name="Comma 5 6 2 8" xfId="11885"/>
    <cellStyle name="Comma 5 6 2 9" xfId="14406"/>
    <cellStyle name="Comma 5 6 2 9 2" xfId="30628"/>
    <cellStyle name="Comma 5 6 3" xfId="4787"/>
    <cellStyle name="Comma 5 6 3 10" xfId="26954"/>
    <cellStyle name="Comma 5 6 3 2" xfId="7772"/>
    <cellStyle name="Comma 5 6 3 2 2" xfId="7773"/>
    <cellStyle name="Comma 5 6 3 2 2 2" xfId="7774"/>
    <cellStyle name="Comma 5 6 3 2 2 2 2" xfId="11924"/>
    <cellStyle name="Comma 5 6 3 2 2 2 3" xfId="17113"/>
    <cellStyle name="Comma 5 6 3 2 2 2 3 2" xfId="33334"/>
    <cellStyle name="Comma 5 6 3 2 2 3" xfId="7775"/>
    <cellStyle name="Comma 5 6 3 2 2 3 2" xfId="11925"/>
    <cellStyle name="Comma 5 6 3 2 2 4" xfId="11923"/>
    <cellStyle name="Comma 5 6 3 2 2 5" xfId="15528"/>
    <cellStyle name="Comma 5 6 3 2 2 5 2" xfId="31750"/>
    <cellStyle name="Comma 5 6 3 2 3" xfId="7776"/>
    <cellStyle name="Comma 5 6 3 2 3 2" xfId="11926"/>
    <cellStyle name="Comma 5 6 3 2 3 3" xfId="16321"/>
    <cellStyle name="Comma 5 6 3 2 3 3 2" xfId="32542"/>
    <cellStyle name="Comma 5 6 3 2 4" xfId="7777"/>
    <cellStyle name="Comma 5 6 3 2 4 2" xfId="11927"/>
    <cellStyle name="Comma 5 6 3 2 5" xfId="11922"/>
    <cellStyle name="Comma 5 6 3 2 6" xfId="14736"/>
    <cellStyle name="Comma 5 6 3 2 6 2" xfId="30958"/>
    <cellStyle name="Comma 5 6 3 3" xfId="7778"/>
    <cellStyle name="Comma 5 6 3 3 2" xfId="7779"/>
    <cellStyle name="Comma 5 6 3 3 2 2" xfId="7780"/>
    <cellStyle name="Comma 5 6 3 3 2 2 2" xfId="11930"/>
    <cellStyle name="Comma 5 6 3 3 2 2 3" xfId="17377"/>
    <cellStyle name="Comma 5 6 3 3 2 2 3 2" xfId="33598"/>
    <cellStyle name="Comma 5 6 3 3 2 3" xfId="7781"/>
    <cellStyle name="Comma 5 6 3 3 2 3 2" xfId="11931"/>
    <cellStyle name="Comma 5 6 3 3 2 4" xfId="11929"/>
    <cellStyle name="Comma 5 6 3 3 2 5" xfId="15792"/>
    <cellStyle name="Comma 5 6 3 3 2 5 2" xfId="32014"/>
    <cellStyle name="Comma 5 6 3 3 3" xfId="7782"/>
    <cellStyle name="Comma 5 6 3 3 3 2" xfId="11932"/>
    <cellStyle name="Comma 5 6 3 3 3 3" xfId="16585"/>
    <cellStyle name="Comma 5 6 3 3 3 3 2" xfId="32806"/>
    <cellStyle name="Comma 5 6 3 3 4" xfId="7783"/>
    <cellStyle name="Comma 5 6 3 3 4 2" xfId="11933"/>
    <cellStyle name="Comma 5 6 3 3 5" xfId="11928"/>
    <cellStyle name="Comma 5 6 3 3 6" xfId="15000"/>
    <cellStyle name="Comma 5 6 3 3 6 2" xfId="31222"/>
    <cellStyle name="Comma 5 6 3 4" xfId="7784"/>
    <cellStyle name="Comma 5 6 3 4 2" xfId="7785"/>
    <cellStyle name="Comma 5 6 3 4 2 2" xfId="11935"/>
    <cellStyle name="Comma 5 6 3 4 2 3" xfId="16849"/>
    <cellStyle name="Comma 5 6 3 4 2 3 2" xfId="33070"/>
    <cellStyle name="Comma 5 6 3 4 3" xfId="7786"/>
    <cellStyle name="Comma 5 6 3 4 3 2" xfId="11936"/>
    <cellStyle name="Comma 5 6 3 4 4" xfId="11934"/>
    <cellStyle name="Comma 5 6 3 4 5" xfId="15264"/>
    <cellStyle name="Comma 5 6 3 4 5 2" xfId="31486"/>
    <cellStyle name="Comma 5 6 3 5" xfId="7787"/>
    <cellStyle name="Comma 5 6 3 5 2" xfId="11937"/>
    <cellStyle name="Comma 5 6 3 5 3" xfId="16057"/>
    <cellStyle name="Comma 5 6 3 5 3 2" xfId="32278"/>
    <cellStyle name="Comma 5 6 3 6" xfId="7788"/>
    <cellStyle name="Comma 5 6 3 6 2" xfId="11938"/>
    <cellStyle name="Comma 5 6 3 7" xfId="11921"/>
    <cellStyle name="Comma 5 6 3 8" xfId="14472"/>
    <cellStyle name="Comma 5 6 3 8 2" xfId="30694"/>
    <cellStyle name="Comma 5 6 3 9" xfId="7771"/>
    <cellStyle name="Comma 5 6 4" xfId="7789"/>
    <cellStyle name="Comma 5 6 4 2" xfId="7790"/>
    <cellStyle name="Comma 5 6 4 2 2" xfId="7791"/>
    <cellStyle name="Comma 5 6 4 2 2 2" xfId="11941"/>
    <cellStyle name="Comma 5 6 4 2 2 3" xfId="16981"/>
    <cellStyle name="Comma 5 6 4 2 2 3 2" xfId="33202"/>
    <cellStyle name="Comma 5 6 4 2 3" xfId="7792"/>
    <cellStyle name="Comma 5 6 4 2 3 2" xfId="11942"/>
    <cellStyle name="Comma 5 6 4 2 4" xfId="11940"/>
    <cellStyle name="Comma 5 6 4 2 5" xfId="15396"/>
    <cellStyle name="Comma 5 6 4 2 5 2" xfId="31618"/>
    <cellStyle name="Comma 5 6 4 3" xfId="7793"/>
    <cellStyle name="Comma 5 6 4 3 2" xfId="11943"/>
    <cellStyle name="Comma 5 6 4 3 3" xfId="16189"/>
    <cellStyle name="Comma 5 6 4 3 3 2" xfId="32410"/>
    <cellStyle name="Comma 5 6 4 4" xfId="7794"/>
    <cellStyle name="Comma 5 6 4 4 2" xfId="11944"/>
    <cellStyle name="Comma 5 6 4 5" xfId="11939"/>
    <cellStyle name="Comma 5 6 4 6" xfId="14604"/>
    <cellStyle name="Comma 5 6 4 6 2" xfId="30826"/>
    <cellStyle name="Comma 5 6 5" xfId="7795"/>
    <cellStyle name="Comma 5 6 5 2" xfId="7796"/>
    <cellStyle name="Comma 5 6 5 2 2" xfId="7797"/>
    <cellStyle name="Comma 5 6 5 2 2 2" xfId="11947"/>
    <cellStyle name="Comma 5 6 5 2 2 3" xfId="17245"/>
    <cellStyle name="Comma 5 6 5 2 2 3 2" xfId="33466"/>
    <cellStyle name="Comma 5 6 5 2 3" xfId="7798"/>
    <cellStyle name="Comma 5 6 5 2 3 2" xfId="11948"/>
    <cellStyle name="Comma 5 6 5 2 4" xfId="11946"/>
    <cellStyle name="Comma 5 6 5 2 5" xfId="15660"/>
    <cellStyle name="Comma 5 6 5 2 5 2" xfId="31882"/>
    <cellStyle name="Comma 5 6 5 3" xfId="7799"/>
    <cellStyle name="Comma 5 6 5 3 2" xfId="11949"/>
    <cellStyle name="Comma 5 6 5 3 3" xfId="16453"/>
    <cellStyle name="Comma 5 6 5 3 3 2" xfId="32674"/>
    <cellStyle name="Comma 5 6 5 4" xfId="7800"/>
    <cellStyle name="Comma 5 6 5 4 2" xfId="11950"/>
    <cellStyle name="Comma 5 6 5 5" xfId="11945"/>
    <cellStyle name="Comma 5 6 5 6" xfId="14868"/>
    <cellStyle name="Comma 5 6 5 6 2" xfId="31090"/>
    <cellStyle name="Comma 5 6 6" xfId="7801"/>
    <cellStyle name="Comma 5 6 6 2" xfId="7802"/>
    <cellStyle name="Comma 5 6 6 2 2" xfId="11952"/>
    <cellStyle name="Comma 5 6 6 2 3" xfId="16717"/>
    <cellStyle name="Comma 5 6 6 2 3 2" xfId="32938"/>
    <cellStyle name="Comma 5 6 6 3" xfId="7803"/>
    <cellStyle name="Comma 5 6 6 3 2" xfId="11953"/>
    <cellStyle name="Comma 5 6 6 4" xfId="11951"/>
    <cellStyle name="Comma 5 6 6 5" xfId="15132"/>
    <cellStyle name="Comma 5 6 6 5 2" xfId="31354"/>
    <cellStyle name="Comma 5 6 7" xfId="7804"/>
    <cellStyle name="Comma 5 6 7 2" xfId="11954"/>
    <cellStyle name="Comma 5 6 7 3" xfId="15925"/>
    <cellStyle name="Comma 5 6 7 3 2" xfId="32146"/>
    <cellStyle name="Comma 5 6 8" xfId="7805"/>
    <cellStyle name="Comma 5 6 8 2" xfId="11955"/>
    <cellStyle name="Comma 5 6 9" xfId="11884"/>
    <cellStyle name="Comma 5 7" xfId="1836"/>
    <cellStyle name="Comma 5 7 10" xfId="7806"/>
    <cellStyle name="Comma 5 7 11" xfId="24004"/>
    <cellStyle name="Comma 5 7 2" xfId="7807"/>
    <cellStyle name="Comma 5 7 2 2" xfId="7808"/>
    <cellStyle name="Comma 5 7 2 2 2" xfId="7809"/>
    <cellStyle name="Comma 5 7 2 2 2 2" xfId="7810"/>
    <cellStyle name="Comma 5 7 2 2 2 2 2" xfId="11960"/>
    <cellStyle name="Comma 5 7 2 2 2 2 3" xfId="17146"/>
    <cellStyle name="Comma 5 7 2 2 2 2 3 2" xfId="33367"/>
    <cellStyle name="Comma 5 7 2 2 2 3" xfId="7811"/>
    <cellStyle name="Comma 5 7 2 2 2 3 2" xfId="11961"/>
    <cellStyle name="Comma 5 7 2 2 2 4" xfId="11959"/>
    <cellStyle name="Comma 5 7 2 2 2 5" xfId="15561"/>
    <cellStyle name="Comma 5 7 2 2 2 5 2" xfId="31783"/>
    <cellStyle name="Comma 5 7 2 2 3" xfId="7812"/>
    <cellStyle name="Comma 5 7 2 2 3 2" xfId="11962"/>
    <cellStyle name="Comma 5 7 2 2 3 3" xfId="16354"/>
    <cellStyle name="Comma 5 7 2 2 3 3 2" xfId="32575"/>
    <cellStyle name="Comma 5 7 2 2 4" xfId="7813"/>
    <cellStyle name="Comma 5 7 2 2 4 2" xfId="11963"/>
    <cellStyle name="Comma 5 7 2 2 5" xfId="11958"/>
    <cellStyle name="Comma 5 7 2 2 6" xfId="14769"/>
    <cellStyle name="Comma 5 7 2 2 6 2" xfId="30991"/>
    <cellStyle name="Comma 5 7 2 3" xfId="7814"/>
    <cellStyle name="Comma 5 7 2 3 2" xfId="7815"/>
    <cellStyle name="Comma 5 7 2 3 2 2" xfId="7816"/>
    <cellStyle name="Comma 5 7 2 3 2 2 2" xfId="11966"/>
    <cellStyle name="Comma 5 7 2 3 2 2 3" xfId="17410"/>
    <cellStyle name="Comma 5 7 2 3 2 2 3 2" xfId="33631"/>
    <cellStyle name="Comma 5 7 2 3 2 3" xfId="7817"/>
    <cellStyle name="Comma 5 7 2 3 2 3 2" xfId="11967"/>
    <cellStyle name="Comma 5 7 2 3 2 4" xfId="11965"/>
    <cellStyle name="Comma 5 7 2 3 2 5" xfId="15825"/>
    <cellStyle name="Comma 5 7 2 3 2 5 2" xfId="32047"/>
    <cellStyle name="Comma 5 7 2 3 3" xfId="7818"/>
    <cellStyle name="Comma 5 7 2 3 3 2" xfId="11968"/>
    <cellStyle name="Comma 5 7 2 3 3 3" xfId="16618"/>
    <cellStyle name="Comma 5 7 2 3 3 3 2" xfId="32839"/>
    <cellStyle name="Comma 5 7 2 3 4" xfId="7819"/>
    <cellStyle name="Comma 5 7 2 3 4 2" xfId="11969"/>
    <cellStyle name="Comma 5 7 2 3 5" xfId="11964"/>
    <cellStyle name="Comma 5 7 2 3 6" xfId="15033"/>
    <cellStyle name="Comma 5 7 2 3 6 2" xfId="31255"/>
    <cellStyle name="Comma 5 7 2 4" xfId="7820"/>
    <cellStyle name="Comma 5 7 2 4 2" xfId="7821"/>
    <cellStyle name="Comma 5 7 2 4 2 2" xfId="11971"/>
    <cellStyle name="Comma 5 7 2 4 2 3" xfId="16882"/>
    <cellStyle name="Comma 5 7 2 4 2 3 2" xfId="33103"/>
    <cellStyle name="Comma 5 7 2 4 3" xfId="7822"/>
    <cellStyle name="Comma 5 7 2 4 3 2" xfId="11972"/>
    <cellStyle name="Comma 5 7 2 4 4" xfId="11970"/>
    <cellStyle name="Comma 5 7 2 4 5" xfId="15297"/>
    <cellStyle name="Comma 5 7 2 4 5 2" xfId="31519"/>
    <cellStyle name="Comma 5 7 2 5" xfId="7823"/>
    <cellStyle name="Comma 5 7 2 5 2" xfId="11973"/>
    <cellStyle name="Comma 5 7 2 5 3" xfId="16090"/>
    <cellStyle name="Comma 5 7 2 5 3 2" xfId="32311"/>
    <cellStyle name="Comma 5 7 2 6" xfId="7824"/>
    <cellStyle name="Comma 5 7 2 6 2" xfId="11974"/>
    <cellStyle name="Comma 5 7 2 7" xfId="11957"/>
    <cellStyle name="Comma 5 7 2 8" xfId="14505"/>
    <cellStyle name="Comma 5 7 2 8 2" xfId="30727"/>
    <cellStyle name="Comma 5 7 3" xfId="7825"/>
    <cellStyle name="Comma 5 7 3 2" xfId="7826"/>
    <cellStyle name="Comma 5 7 3 2 2" xfId="7827"/>
    <cellStyle name="Comma 5 7 3 2 2 2" xfId="11977"/>
    <cellStyle name="Comma 5 7 3 2 2 3" xfId="17014"/>
    <cellStyle name="Comma 5 7 3 2 2 3 2" xfId="33235"/>
    <cellStyle name="Comma 5 7 3 2 3" xfId="7828"/>
    <cellStyle name="Comma 5 7 3 2 3 2" xfId="11978"/>
    <cellStyle name="Comma 5 7 3 2 4" xfId="11976"/>
    <cellStyle name="Comma 5 7 3 2 5" xfId="15429"/>
    <cellStyle name="Comma 5 7 3 2 5 2" xfId="31651"/>
    <cellStyle name="Comma 5 7 3 3" xfId="7829"/>
    <cellStyle name="Comma 5 7 3 3 2" xfId="11979"/>
    <cellStyle name="Comma 5 7 3 3 3" xfId="16222"/>
    <cellStyle name="Comma 5 7 3 3 3 2" xfId="32443"/>
    <cellStyle name="Comma 5 7 3 4" xfId="7830"/>
    <cellStyle name="Comma 5 7 3 4 2" xfId="11980"/>
    <cellStyle name="Comma 5 7 3 5" xfId="11975"/>
    <cellStyle name="Comma 5 7 3 6" xfId="14637"/>
    <cellStyle name="Comma 5 7 3 6 2" xfId="30859"/>
    <cellStyle name="Comma 5 7 4" xfId="7831"/>
    <cellStyle name="Comma 5 7 4 2" xfId="7832"/>
    <cellStyle name="Comma 5 7 4 2 2" xfId="7833"/>
    <cellStyle name="Comma 5 7 4 2 2 2" xfId="11983"/>
    <cellStyle name="Comma 5 7 4 2 2 3" xfId="17278"/>
    <cellStyle name="Comma 5 7 4 2 2 3 2" xfId="33499"/>
    <cellStyle name="Comma 5 7 4 2 3" xfId="7834"/>
    <cellStyle name="Comma 5 7 4 2 3 2" xfId="11984"/>
    <cellStyle name="Comma 5 7 4 2 4" xfId="11982"/>
    <cellStyle name="Comma 5 7 4 2 5" xfId="15693"/>
    <cellStyle name="Comma 5 7 4 2 5 2" xfId="31915"/>
    <cellStyle name="Comma 5 7 4 3" xfId="7835"/>
    <cellStyle name="Comma 5 7 4 3 2" xfId="11985"/>
    <cellStyle name="Comma 5 7 4 3 3" xfId="16486"/>
    <cellStyle name="Comma 5 7 4 3 3 2" xfId="32707"/>
    <cellStyle name="Comma 5 7 4 4" xfId="7836"/>
    <cellStyle name="Comma 5 7 4 4 2" xfId="11986"/>
    <cellStyle name="Comma 5 7 4 5" xfId="11981"/>
    <cellStyle name="Comma 5 7 4 6" xfId="14901"/>
    <cellStyle name="Comma 5 7 4 6 2" xfId="31123"/>
    <cellStyle name="Comma 5 7 5" xfId="7837"/>
    <cellStyle name="Comma 5 7 5 2" xfId="7838"/>
    <cellStyle name="Comma 5 7 5 2 2" xfId="11988"/>
    <cellStyle name="Comma 5 7 5 2 3" xfId="16750"/>
    <cellStyle name="Comma 5 7 5 2 3 2" xfId="32971"/>
    <cellStyle name="Comma 5 7 5 3" xfId="7839"/>
    <cellStyle name="Comma 5 7 5 3 2" xfId="11989"/>
    <cellStyle name="Comma 5 7 5 4" xfId="11987"/>
    <cellStyle name="Comma 5 7 5 5" xfId="15165"/>
    <cellStyle name="Comma 5 7 5 5 2" xfId="31387"/>
    <cellStyle name="Comma 5 7 6" xfId="7840"/>
    <cellStyle name="Comma 5 7 6 2" xfId="11990"/>
    <cellStyle name="Comma 5 7 6 3" xfId="15958"/>
    <cellStyle name="Comma 5 7 6 3 2" xfId="32179"/>
    <cellStyle name="Comma 5 7 7" xfId="7841"/>
    <cellStyle name="Comma 5 7 7 2" xfId="11991"/>
    <cellStyle name="Comma 5 7 8" xfId="11956"/>
    <cellStyle name="Comma 5 7 9" xfId="14373"/>
    <cellStyle name="Comma 5 7 9 2" xfId="30595"/>
    <cellStyle name="Comma 5 8" xfId="3335"/>
    <cellStyle name="Comma 5 8 10" xfId="25502"/>
    <cellStyle name="Comma 5 8 2" xfId="7843"/>
    <cellStyle name="Comma 5 8 2 2" xfId="7844"/>
    <cellStyle name="Comma 5 8 2 2 2" xfId="7845"/>
    <cellStyle name="Comma 5 8 2 2 2 2" xfId="11995"/>
    <cellStyle name="Comma 5 8 2 2 2 3" xfId="17080"/>
    <cellStyle name="Comma 5 8 2 2 2 3 2" xfId="33301"/>
    <cellStyle name="Comma 5 8 2 2 3" xfId="7846"/>
    <cellStyle name="Comma 5 8 2 2 3 2" xfId="11996"/>
    <cellStyle name="Comma 5 8 2 2 4" xfId="11994"/>
    <cellStyle name="Comma 5 8 2 2 5" xfId="15495"/>
    <cellStyle name="Comma 5 8 2 2 5 2" xfId="31717"/>
    <cellStyle name="Comma 5 8 2 3" xfId="7847"/>
    <cellStyle name="Comma 5 8 2 3 2" xfId="11997"/>
    <cellStyle name="Comma 5 8 2 3 3" xfId="16288"/>
    <cellStyle name="Comma 5 8 2 3 3 2" xfId="32509"/>
    <cellStyle name="Comma 5 8 2 4" xfId="7848"/>
    <cellStyle name="Comma 5 8 2 4 2" xfId="11998"/>
    <cellStyle name="Comma 5 8 2 5" xfId="11993"/>
    <cellStyle name="Comma 5 8 2 6" xfId="14703"/>
    <cellStyle name="Comma 5 8 2 6 2" xfId="30925"/>
    <cellStyle name="Comma 5 8 3" xfId="7849"/>
    <cellStyle name="Comma 5 8 3 2" xfId="7850"/>
    <cellStyle name="Comma 5 8 3 2 2" xfId="7851"/>
    <cellStyle name="Comma 5 8 3 2 2 2" xfId="12001"/>
    <cellStyle name="Comma 5 8 3 2 2 3" xfId="17344"/>
    <cellStyle name="Comma 5 8 3 2 2 3 2" xfId="33565"/>
    <cellStyle name="Comma 5 8 3 2 3" xfId="7852"/>
    <cellStyle name="Comma 5 8 3 2 3 2" xfId="12002"/>
    <cellStyle name="Comma 5 8 3 2 4" xfId="12000"/>
    <cellStyle name="Comma 5 8 3 2 5" xfId="15759"/>
    <cellStyle name="Comma 5 8 3 2 5 2" xfId="31981"/>
    <cellStyle name="Comma 5 8 3 3" xfId="7853"/>
    <cellStyle name="Comma 5 8 3 3 2" xfId="12003"/>
    <cellStyle name="Comma 5 8 3 3 3" xfId="16552"/>
    <cellStyle name="Comma 5 8 3 3 3 2" xfId="32773"/>
    <cellStyle name="Comma 5 8 3 4" xfId="7854"/>
    <cellStyle name="Comma 5 8 3 4 2" xfId="12004"/>
    <cellStyle name="Comma 5 8 3 5" xfId="11999"/>
    <cellStyle name="Comma 5 8 3 6" xfId="14967"/>
    <cellStyle name="Comma 5 8 3 6 2" xfId="31189"/>
    <cellStyle name="Comma 5 8 4" xfId="7855"/>
    <cellStyle name="Comma 5 8 4 2" xfId="7856"/>
    <cellStyle name="Comma 5 8 4 2 2" xfId="12006"/>
    <cellStyle name="Comma 5 8 4 2 3" xfId="16816"/>
    <cellStyle name="Comma 5 8 4 2 3 2" xfId="33037"/>
    <cellStyle name="Comma 5 8 4 3" xfId="7857"/>
    <cellStyle name="Comma 5 8 4 3 2" xfId="12007"/>
    <cellStyle name="Comma 5 8 4 4" xfId="12005"/>
    <cellStyle name="Comma 5 8 4 5" xfId="15231"/>
    <cellStyle name="Comma 5 8 4 5 2" xfId="31453"/>
    <cellStyle name="Comma 5 8 5" xfId="7858"/>
    <cellStyle name="Comma 5 8 5 2" xfId="12008"/>
    <cellStyle name="Comma 5 8 5 3" xfId="16024"/>
    <cellStyle name="Comma 5 8 5 3 2" xfId="32245"/>
    <cellStyle name="Comma 5 8 6" xfId="7859"/>
    <cellStyle name="Comma 5 8 6 2" xfId="12009"/>
    <cellStyle name="Comma 5 8 7" xfId="11992"/>
    <cellStyle name="Comma 5 8 8" xfId="14439"/>
    <cellStyle name="Comma 5 8 8 2" xfId="30661"/>
    <cellStyle name="Comma 5 8 9" xfId="7842"/>
    <cellStyle name="Comma 5 9" xfId="7860"/>
    <cellStyle name="Comma 5 9 2" xfId="7861"/>
    <cellStyle name="Comma 5 9 2 2" xfId="7862"/>
    <cellStyle name="Comma 5 9 2 2 2" xfId="12012"/>
    <cellStyle name="Comma 5 9 2 2 3" xfId="16948"/>
    <cellStyle name="Comma 5 9 2 2 3 2" xfId="33169"/>
    <cellStyle name="Comma 5 9 2 3" xfId="7863"/>
    <cellStyle name="Comma 5 9 2 3 2" xfId="12013"/>
    <cellStyle name="Comma 5 9 2 4" xfId="12011"/>
    <cellStyle name="Comma 5 9 2 5" xfId="15363"/>
    <cellStyle name="Comma 5 9 2 5 2" xfId="31585"/>
    <cellStyle name="Comma 5 9 3" xfId="7864"/>
    <cellStyle name="Comma 5 9 3 2" xfId="12014"/>
    <cellStyle name="Comma 5 9 3 3" xfId="16156"/>
    <cellStyle name="Comma 5 9 3 3 2" xfId="32377"/>
    <cellStyle name="Comma 5 9 4" xfId="7865"/>
    <cellStyle name="Comma 5 9 4 2" xfId="12015"/>
    <cellStyle name="Comma 5 9 5" xfId="12010"/>
    <cellStyle name="Comma 5 9 6" xfId="14571"/>
    <cellStyle name="Comma 5 9 6 2" xfId="30793"/>
    <cellStyle name="Comma 51 2" xfId="5218"/>
    <cellStyle name="Comma 51 2 2" xfId="12016"/>
    <cellStyle name="Comma 56" xfId="5219"/>
    <cellStyle name="Comma 57" xfId="5220"/>
    <cellStyle name="Comma 57 2" xfId="5221"/>
    <cellStyle name="Comma 57 2 2" xfId="12018"/>
    <cellStyle name="Comma 57 3" xfId="12017"/>
    <cellStyle name="Comma 58" xfId="5222"/>
    <cellStyle name="Comma 58 2" xfId="5223"/>
    <cellStyle name="Comma 58 2 2" xfId="12020"/>
    <cellStyle name="Comma 58 3" xfId="12019"/>
    <cellStyle name="Comma 59" xfId="5224"/>
    <cellStyle name="Comma 59 2" xfId="5225"/>
    <cellStyle name="Comma 6" xfId="89"/>
    <cellStyle name="Comma 6 10" xfId="7866"/>
    <cellStyle name="Comma 6 10 2" xfId="7867"/>
    <cellStyle name="Comma 6 10 2 2" xfId="7868"/>
    <cellStyle name="Comma 6 10 2 2 2" xfId="12023"/>
    <cellStyle name="Comma 6 10 2 2 3" xfId="17229"/>
    <cellStyle name="Comma 6 10 2 2 3 2" xfId="33450"/>
    <cellStyle name="Comma 6 10 2 3" xfId="7869"/>
    <cellStyle name="Comma 6 10 2 3 2" xfId="12024"/>
    <cellStyle name="Comma 6 10 2 4" xfId="12022"/>
    <cellStyle name="Comma 6 10 2 5" xfId="15644"/>
    <cellStyle name="Comma 6 10 2 5 2" xfId="31866"/>
    <cellStyle name="Comma 6 10 3" xfId="7870"/>
    <cellStyle name="Comma 6 10 3 2" xfId="12025"/>
    <cellStyle name="Comma 6 10 3 3" xfId="16437"/>
    <cellStyle name="Comma 6 10 3 3 2" xfId="32658"/>
    <cellStyle name="Comma 6 10 4" xfId="7871"/>
    <cellStyle name="Comma 6 10 4 2" xfId="12026"/>
    <cellStyle name="Comma 6 10 5" xfId="12021"/>
    <cellStyle name="Comma 6 10 6" xfId="14852"/>
    <cellStyle name="Comma 6 10 6 2" xfId="31074"/>
    <cellStyle name="Comma 6 11" xfId="7872"/>
    <cellStyle name="Comma 6 11 2" xfId="7873"/>
    <cellStyle name="Comma 6 11 2 2" xfId="12028"/>
    <cellStyle name="Comma 6 11 2 3" xfId="16701"/>
    <cellStyle name="Comma 6 11 2 3 2" xfId="32922"/>
    <cellStyle name="Comma 6 11 3" xfId="7874"/>
    <cellStyle name="Comma 6 11 3 2" xfId="12029"/>
    <cellStyle name="Comma 6 11 4" xfId="12027"/>
    <cellStyle name="Comma 6 11 5" xfId="15116"/>
    <cellStyle name="Comma 6 11 5 2" xfId="31338"/>
    <cellStyle name="Comma 6 12" xfId="7875"/>
    <cellStyle name="Comma 6 12 2" xfId="7876"/>
    <cellStyle name="Comma 6 12 2 2" xfId="12031"/>
    <cellStyle name="Comma 6 12 3" xfId="12030"/>
    <cellStyle name="Comma 6 12 4" xfId="15909"/>
    <cellStyle name="Comma 6 12 4 2" xfId="32130"/>
    <cellStyle name="Comma 6 13" xfId="7877"/>
    <cellStyle name="Comma 6 13 2" xfId="12032"/>
    <cellStyle name="Comma 6 14" xfId="14324"/>
    <cellStyle name="Comma 6 14 2" xfId="30546"/>
    <cellStyle name="Comma 6 15" xfId="21011"/>
    <cellStyle name="Comma 6 15 2" xfId="37223"/>
    <cellStyle name="Comma 6 16" xfId="22509"/>
    <cellStyle name="Comma 6 17" xfId="39559"/>
    <cellStyle name="Comma 6 18" xfId="303"/>
    <cellStyle name="Comma 6 2" xfId="90"/>
    <cellStyle name="Comma 6 2 2" xfId="12033"/>
    <cellStyle name="Comma 6 2 3" xfId="369"/>
    <cellStyle name="Comma 6 3" xfId="368"/>
    <cellStyle name="Comma 6 3 2" xfId="12034"/>
    <cellStyle name="Comma 6 4" xfId="332"/>
    <cellStyle name="Comma 6 4 2" xfId="1867"/>
    <cellStyle name="Comma 6 4 2 2" xfId="12035"/>
    <cellStyle name="Comma 6 4 2 3" xfId="24035"/>
    <cellStyle name="Comma 6 4 3" xfId="3366"/>
    <cellStyle name="Comma 6 4 3 2" xfId="25533"/>
    <cellStyle name="Comma 6 4 4" xfId="5226"/>
    <cellStyle name="Comma 6 4 5" xfId="21039"/>
    <cellStyle name="Comma 6 4 5 2" xfId="37251"/>
    <cellStyle name="Comma 6 4 6" xfId="22537"/>
    <cellStyle name="Comma 6 5" xfId="1793"/>
    <cellStyle name="Comma 6 5 2" xfId="3292"/>
    <cellStyle name="Comma 6 5 2 2" xfId="12036"/>
    <cellStyle name="Comma 6 5 2 3" xfId="25459"/>
    <cellStyle name="Comma 6 5 3" xfId="4790"/>
    <cellStyle name="Comma 6 5 3 2" xfId="26957"/>
    <cellStyle name="Comma 6 5 4" xfId="5227"/>
    <cellStyle name="Comma 6 5 5" xfId="22463"/>
    <cellStyle name="Comma 6 5 5 2" xfId="38675"/>
    <cellStyle name="Comma 6 5 6" xfId="23961"/>
    <cellStyle name="Comma 6 6" xfId="1839"/>
    <cellStyle name="Comma 6 6 10" xfId="14357"/>
    <cellStyle name="Comma 6 6 10 2" xfId="30579"/>
    <cellStyle name="Comma 6 6 11" xfId="7878"/>
    <cellStyle name="Comma 6 6 12" xfId="24007"/>
    <cellStyle name="Comma 6 6 2" xfId="7879"/>
    <cellStyle name="Comma 6 6 2 2" xfId="7880"/>
    <cellStyle name="Comma 6 6 2 2 2" xfId="7881"/>
    <cellStyle name="Comma 6 6 2 2 2 2" xfId="7882"/>
    <cellStyle name="Comma 6 6 2 2 2 2 2" xfId="7883"/>
    <cellStyle name="Comma 6 6 2 2 2 2 2 2" xfId="12042"/>
    <cellStyle name="Comma 6 6 2 2 2 2 2 3" xfId="17196"/>
    <cellStyle name="Comma 6 6 2 2 2 2 2 3 2" xfId="33417"/>
    <cellStyle name="Comma 6 6 2 2 2 2 3" xfId="7884"/>
    <cellStyle name="Comma 6 6 2 2 2 2 3 2" xfId="12043"/>
    <cellStyle name="Comma 6 6 2 2 2 2 4" xfId="12041"/>
    <cellStyle name="Comma 6 6 2 2 2 2 5" xfId="15611"/>
    <cellStyle name="Comma 6 6 2 2 2 2 5 2" xfId="31833"/>
    <cellStyle name="Comma 6 6 2 2 2 3" xfId="7885"/>
    <cellStyle name="Comma 6 6 2 2 2 3 2" xfId="12044"/>
    <cellStyle name="Comma 6 6 2 2 2 3 3" xfId="16404"/>
    <cellStyle name="Comma 6 6 2 2 2 3 3 2" xfId="32625"/>
    <cellStyle name="Comma 6 6 2 2 2 4" xfId="7886"/>
    <cellStyle name="Comma 6 6 2 2 2 4 2" xfId="12045"/>
    <cellStyle name="Comma 6 6 2 2 2 5" xfId="12040"/>
    <cellStyle name="Comma 6 6 2 2 2 6" xfId="14819"/>
    <cellStyle name="Comma 6 6 2 2 2 6 2" xfId="31041"/>
    <cellStyle name="Comma 6 6 2 2 3" xfId="7887"/>
    <cellStyle name="Comma 6 6 2 2 3 2" xfId="7888"/>
    <cellStyle name="Comma 6 6 2 2 3 2 2" xfId="7889"/>
    <cellStyle name="Comma 6 6 2 2 3 2 2 2" xfId="12048"/>
    <cellStyle name="Comma 6 6 2 2 3 2 2 3" xfId="17460"/>
    <cellStyle name="Comma 6 6 2 2 3 2 2 3 2" xfId="33681"/>
    <cellStyle name="Comma 6 6 2 2 3 2 3" xfId="7890"/>
    <cellStyle name="Comma 6 6 2 2 3 2 3 2" xfId="12049"/>
    <cellStyle name="Comma 6 6 2 2 3 2 4" xfId="12047"/>
    <cellStyle name="Comma 6 6 2 2 3 2 5" xfId="15875"/>
    <cellStyle name="Comma 6 6 2 2 3 2 5 2" xfId="32097"/>
    <cellStyle name="Comma 6 6 2 2 3 3" xfId="7891"/>
    <cellStyle name="Comma 6 6 2 2 3 3 2" xfId="12050"/>
    <cellStyle name="Comma 6 6 2 2 3 3 3" xfId="16668"/>
    <cellStyle name="Comma 6 6 2 2 3 3 3 2" xfId="32889"/>
    <cellStyle name="Comma 6 6 2 2 3 4" xfId="7892"/>
    <cellStyle name="Comma 6 6 2 2 3 4 2" xfId="12051"/>
    <cellStyle name="Comma 6 6 2 2 3 5" xfId="12046"/>
    <cellStyle name="Comma 6 6 2 2 3 6" xfId="15083"/>
    <cellStyle name="Comma 6 6 2 2 3 6 2" xfId="31305"/>
    <cellStyle name="Comma 6 6 2 2 4" xfId="7893"/>
    <cellStyle name="Comma 6 6 2 2 4 2" xfId="7894"/>
    <cellStyle name="Comma 6 6 2 2 4 2 2" xfId="12053"/>
    <cellStyle name="Comma 6 6 2 2 4 2 3" xfId="16932"/>
    <cellStyle name="Comma 6 6 2 2 4 2 3 2" xfId="33153"/>
    <cellStyle name="Comma 6 6 2 2 4 3" xfId="7895"/>
    <cellStyle name="Comma 6 6 2 2 4 3 2" xfId="12054"/>
    <cellStyle name="Comma 6 6 2 2 4 4" xfId="12052"/>
    <cellStyle name="Comma 6 6 2 2 4 5" xfId="15347"/>
    <cellStyle name="Comma 6 6 2 2 4 5 2" xfId="31569"/>
    <cellStyle name="Comma 6 6 2 2 5" xfId="7896"/>
    <cellStyle name="Comma 6 6 2 2 5 2" xfId="12055"/>
    <cellStyle name="Comma 6 6 2 2 5 3" xfId="16140"/>
    <cellStyle name="Comma 6 6 2 2 5 3 2" xfId="32361"/>
    <cellStyle name="Comma 6 6 2 2 6" xfId="7897"/>
    <cellStyle name="Comma 6 6 2 2 6 2" xfId="12056"/>
    <cellStyle name="Comma 6 6 2 2 7" xfId="12039"/>
    <cellStyle name="Comma 6 6 2 2 8" xfId="14555"/>
    <cellStyle name="Comma 6 6 2 2 8 2" xfId="30777"/>
    <cellStyle name="Comma 6 6 2 3" xfId="7898"/>
    <cellStyle name="Comma 6 6 2 3 2" xfId="7899"/>
    <cellStyle name="Comma 6 6 2 3 2 2" xfId="7900"/>
    <cellStyle name="Comma 6 6 2 3 2 2 2" xfId="12059"/>
    <cellStyle name="Comma 6 6 2 3 2 2 3" xfId="17064"/>
    <cellStyle name="Comma 6 6 2 3 2 2 3 2" xfId="33285"/>
    <cellStyle name="Comma 6 6 2 3 2 3" xfId="7901"/>
    <cellStyle name="Comma 6 6 2 3 2 3 2" xfId="12060"/>
    <cellStyle name="Comma 6 6 2 3 2 4" xfId="12058"/>
    <cellStyle name="Comma 6 6 2 3 2 5" xfId="15479"/>
    <cellStyle name="Comma 6 6 2 3 2 5 2" xfId="31701"/>
    <cellStyle name="Comma 6 6 2 3 3" xfId="7902"/>
    <cellStyle name="Comma 6 6 2 3 3 2" xfId="12061"/>
    <cellStyle name="Comma 6 6 2 3 3 3" xfId="16272"/>
    <cellStyle name="Comma 6 6 2 3 3 3 2" xfId="32493"/>
    <cellStyle name="Comma 6 6 2 3 4" xfId="7903"/>
    <cellStyle name="Comma 6 6 2 3 4 2" xfId="12062"/>
    <cellStyle name="Comma 6 6 2 3 5" xfId="12057"/>
    <cellStyle name="Comma 6 6 2 3 6" xfId="14687"/>
    <cellStyle name="Comma 6 6 2 3 6 2" xfId="30909"/>
    <cellStyle name="Comma 6 6 2 4" xfId="7904"/>
    <cellStyle name="Comma 6 6 2 4 2" xfId="7905"/>
    <cellStyle name="Comma 6 6 2 4 2 2" xfId="7906"/>
    <cellStyle name="Comma 6 6 2 4 2 2 2" xfId="12065"/>
    <cellStyle name="Comma 6 6 2 4 2 2 3" xfId="17328"/>
    <cellStyle name="Comma 6 6 2 4 2 2 3 2" xfId="33549"/>
    <cellStyle name="Comma 6 6 2 4 2 3" xfId="7907"/>
    <cellStyle name="Comma 6 6 2 4 2 3 2" xfId="12066"/>
    <cellStyle name="Comma 6 6 2 4 2 4" xfId="12064"/>
    <cellStyle name="Comma 6 6 2 4 2 5" xfId="15743"/>
    <cellStyle name="Comma 6 6 2 4 2 5 2" xfId="31965"/>
    <cellStyle name="Comma 6 6 2 4 3" xfId="7908"/>
    <cellStyle name="Comma 6 6 2 4 3 2" xfId="12067"/>
    <cellStyle name="Comma 6 6 2 4 3 3" xfId="16536"/>
    <cellStyle name="Comma 6 6 2 4 3 3 2" xfId="32757"/>
    <cellStyle name="Comma 6 6 2 4 4" xfId="7909"/>
    <cellStyle name="Comma 6 6 2 4 4 2" xfId="12068"/>
    <cellStyle name="Comma 6 6 2 4 5" xfId="12063"/>
    <cellStyle name="Comma 6 6 2 4 6" xfId="14951"/>
    <cellStyle name="Comma 6 6 2 4 6 2" xfId="31173"/>
    <cellStyle name="Comma 6 6 2 5" xfId="7910"/>
    <cellStyle name="Comma 6 6 2 5 2" xfId="7911"/>
    <cellStyle name="Comma 6 6 2 5 2 2" xfId="12070"/>
    <cellStyle name="Comma 6 6 2 5 2 3" xfId="16800"/>
    <cellStyle name="Comma 6 6 2 5 2 3 2" xfId="33021"/>
    <cellStyle name="Comma 6 6 2 5 3" xfId="7912"/>
    <cellStyle name="Comma 6 6 2 5 3 2" xfId="12071"/>
    <cellStyle name="Comma 6 6 2 5 4" xfId="12069"/>
    <cellStyle name="Comma 6 6 2 5 5" xfId="15215"/>
    <cellStyle name="Comma 6 6 2 5 5 2" xfId="31437"/>
    <cellStyle name="Comma 6 6 2 6" xfId="7913"/>
    <cellStyle name="Comma 6 6 2 6 2" xfId="12072"/>
    <cellStyle name="Comma 6 6 2 6 3" xfId="16008"/>
    <cellStyle name="Comma 6 6 2 6 3 2" xfId="32229"/>
    <cellStyle name="Comma 6 6 2 7" xfId="7914"/>
    <cellStyle name="Comma 6 6 2 7 2" xfId="12073"/>
    <cellStyle name="Comma 6 6 2 8" xfId="12038"/>
    <cellStyle name="Comma 6 6 2 9" xfId="14423"/>
    <cellStyle name="Comma 6 6 2 9 2" xfId="30645"/>
    <cellStyle name="Comma 6 6 3" xfId="7915"/>
    <cellStyle name="Comma 6 6 3 2" xfId="7916"/>
    <cellStyle name="Comma 6 6 3 2 2" xfId="7917"/>
    <cellStyle name="Comma 6 6 3 2 2 2" xfId="7918"/>
    <cellStyle name="Comma 6 6 3 2 2 2 2" xfId="12077"/>
    <cellStyle name="Comma 6 6 3 2 2 2 3" xfId="17130"/>
    <cellStyle name="Comma 6 6 3 2 2 2 3 2" xfId="33351"/>
    <cellStyle name="Comma 6 6 3 2 2 3" xfId="7919"/>
    <cellStyle name="Comma 6 6 3 2 2 3 2" xfId="12078"/>
    <cellStyle name="Comma 6 6 3 2 2 4" xfId="12076"/>
    <cellStyle name="Comma 6 6 3 2 2 5" xfId="15545"/>
    <cellStyle name="Comma 6 6 3 2 2 5 2" xfId="31767"/>
    <cellStyle name="Comma 6 6 3 2 3" xfId="7920"/>
    <cellStyle name="Comma 6 6 3 2 3 2" xfId="12079"/>
    <cellStyle name="Comma 6 6 3 2 3 3" xfId="16338"/>
    <cellStyle name="Comma 6 6 3 2 3 3 2" xfId="32559"/>
    <cellStyle name="Comma 6 6 3 2 4" xfId="7921"/>
    <cellStyle name="Comma 6 6 3 2 4 2" xfId="12080"/>
    <cellStyle name="Comma 6 6 3 2 5" xfId="12075"/>
    <cellStyle name="Comma 6 6 3 2 6" xfId="14753"/>
    <cellStyle name="Comma 6 6 3 2 6 2" xfId="30975"/>
    <cellStyle name="Comma 6 6 3 3" xfId="7922"/>
    <cellStyle name="Comma 6 6 3 3 2" xfId="7923"/>
    <cellStyle name="Comma 6 6 3 3 2 2" xfId="7924"/>
    <cellStyle name="Comma 6 6 3 3 2 2 2" xfId="12083"/>
    <cellStyle name="Comma 6 6 3 3 2 2 3" xfId="17394"/>
    <cellStyle name="Comma 6 6 3 3 2 2 3 2" xfId="33615"/>
    <cellStyle name="Comma 6 6 3 3 2 3" xfId="7925"/>
    <cellStyle name="Comma 6 6 3 3 2 3 2" xfId="12084"/>
    <cellStyle name="Comma 6 6 3 3 2 4" xfId="12082"/>
    <cellStyle name="Comma 6 6 3 3 2 5" xfId="15809"/>
    <cellStyle name="Comma 6 6 3 3 2 5 2" xfId="32031"/>
    <cellStyle name="Comma 6 6 3 3 3" xfId="7926"/>
    <cellStyle name="Comma 6 6 3 3 3 2" xfId="12085"/>
    <cellStyle name="Comma 6 6 3 3 3 3" xfId="16602"/>
    <cellStyle name="Comma 6 6 3 3 3 3 2" xfId="32823"/>
    <cellStyle name="Comma 6 6 3 3 4" xfId="7927"/>
    <cellStyle name="Comma 6 6 3 3 4 2" xfId="12086"/>
    <cellStyle name="Comma 6 6 3 3 5" xfId="12081"/>
    <cellStyle name="Comma 6 6 3 3 6" xfId="15017"/>
    <cellStyle name="Comma 6 6 3 3 6 2" xfId="31239"/>
    <cellStyle name="Comma 6 6 3 4" xfId="7928"/>
    <cellStyle name="Comma 6 6 3 4 2" xfId="7929"/>
    <cellStyle name="Comma 6 6 3 4 2 2" xfId="12088"/>
    <cellStyle name="Comma 6 6 3 4 2 3" xfId="16866"/>
    <cellStyle name="Comma 6 6 3 4 2 3 2" xfId="33087"/>
    <cellStyle name="Comma 6 6 3 4 3" xfId="7930"/>
    <cellStyle name="Comma 6 6 3 4 3 2" xfId="12089"/>
    <cellStyle name="Comma 6 6 3 4 4" xfId="12087"/>
    <cellStyle name="Comma 6 6 3 4 5" xfId="15281"/>
    <cellStyle name="Comma 6 6 3 4 5 2" xfId="31503"/>
    <cellStyle name="Comma 6 6 3 5" xfId="7931"/>
    <cellStyle name="Comma 6 6 3 5 2" xfId="12090"/>
    <cellStyle name="Comma 6 6 3 5 3" xfId="16074"/>
    <cellStyle name="Comma 6 6 3 5 3 2" xfId="32295"/>
    <cellStyle name="Comma 6 6 3 6" xfId="7932"/>
    <cellStyle name="Comma 6 6 3 6 2" xfId="12091"/>
    <cellStyle name="Comma 6 6 3 7" xfId="12074"/>
    <cellStyle name="Comma 6 6 3 8" xfId="14489"/>
    <cellStyle name="Comma 6 6 3 8 2" xfId="30711"/>
    <cellStyle name="Comma 6 6 4" xfId="7933"/>
    <cellStyle name="Comma 6 6 4 2" xfId="7934"/>
    <cellStyle name="Comma 6 6 4 2 2" xfId="7935"/>
    <cellStyle name="Comma 6 6 4 2 2 2" xfId="12094"/>
    <cellStyle name="Comma 6 6 4 2 2 3" xfId="16998"/>
    <cellStyle name="Comma 6 6 4 2 2 3 2" xfId="33219"/>
    <cellStyle name="Comma 6 6 4 2 3" xfId="7936"/>
    <cellStyle name="Comma 6 6 4 2 3 2" xfId="12095"/>
    <cellStyle name="Comma 6 6 4 2 4" xfId="12093"/>
    <cellStyle name="Comma 6 6 4 2 5" xfId="15413"/>
    <cellStyle name="Comma 6 6 4 2 5 2" xfId="31635"/>
    <cellStyle name="Comma 6 6 4 3" xfId="7937"/>
    <cellStyle name="Comma 6 6 4 3 2" xfId="12096"/>
    <cellStyle name="Comma 6 6 4 3 3" xfId="16206"/>
    <cellStyle name="Comma 6 6 4 3 3 2" xfId="32427"/>
    <cellStyle name="Comma 6 6 4 4" xfId="7938"/>
    <cellStyle name="Comma 6 6 4 4 2" xfId="12097"/>
    <cellStyle name="Comma 6 6 4 5" xfId="12092"/>
    <cellStyle name="Comma 6 6 4 6" xfId="14621"/>
    <cellStyle name="Comma 6 6 4 6 2" xfId="30843"/>
    <cellStyle name="Comma 6 6 5" xfId="7939"/>
    <cellStyle name="Comma 6 6 5 2" xfId="7940"/>
    <cellStyle name="Comma 6 6 5 2 2" xfId="7941"/>
    <cellStyle name="Comma 6 6 5 2 2 2" xfId="12100"/>
    <cellStyle name="Comma 6 6 5 2 2 3" xfId="17262"/>
    <cellStyle name="Comma 6 6 5 2 2 3 2" xfId="33483"/>
    <cellStyle name="Comma 6 6 5 2 3" xfId="7942"/>
    <cellStyle name="Comma 6 6 5 2 3 2" xfId="12101"/>
    <cellStyle name="Comma 6 6 5 2 4" xfId="12099"/>
    <cellStyle name="Comma 6 6 5 2 5" xfId="15677"/>
    <cellStyle name="Comma 6 6 5 2 5 2" xfId="31899"/>
    <cellStyle name="Comma 6 6 5 3" xfId="7943"/>
    <cellStyle name="Comma 6 6 5 3 2" xfId="12102"/>
    <cellStyle name="Comma 6 6 5 3 3" xfId="16470"/>
    <cellStyle name="Comma 6 6 5 3 3 2" xfId="32691"/>
    <cellStyle name="Comma 6 6 5 4" xfId="7944"/>
    <cellStyle name="Comma 6 6 5 4 2" xfId="12103"/>
    <cellStyle name="Comma 6 6 5 5" xfId="12098"/>
    <cellStyle name="Comma 6 6 5 6" xfId="14885"/>
    <cellStyle name="Comma 6 6 5 6 2" xfId="31107"/>
    <cellStyle name="Comma 6 6 6" xfId="7945"/>
    <cellStyle name="Comma 6 6 6 2" xfId="7946"/>
    <cellStyle name="Comma 6 6 6 2 2" xfId="12105"/>
    <cellStyle name="Comma 6 6 6 2 3" xfId="16734"/>
    <cellStyle name="Comma 6 6 6 2 3 2" xfId="32955"/>
    <cellStyle name="Comma 6 6 6 3" xfId="7947"/>
    <cellStyle name="Comma 6 6 6 3 2" xfId="12106"/>
    <cellStyle name="Comma 6 6 6 4" xfId="12104"/>
    <cellStyle name="Comma 6 6 6 5" xfId="15149"/>
    <cellStyle name="Comma 6 6 6 5 2" xfId="31371"/>
    <cellStyle name="Comma 6 6 7" xfId="7948"/>
    <cellStyle name="Comma 6 6 7 2" xfId="12107"/>
    <cellStyle name="Comma 6 6 7 3" xfId="15942"/>
    <cellStyle name="Comma 6 6 7 3 2" xfId="32163"/>
    <cellStyle name="Comma 6 6 8" xfId="7949"/>
    <cellStyle name="Comma 6 6 8 2" xfId="12108"/>
    <cellStyle name="Comma 6 6 9" xfId="12037"/>
    <cellStyle name="Comma 6 7" xfId="3338"/>
    <cellStyle name="Comma 6 7 10" xfId="7950"/>
    <cellStyle name="Comma 6 7 11" xfId="25505"/>
    <cellStyle name="Comma 6 7 2" xfId="7951"/>
    <cellStyle name="Comma 6 7 2 2" xfId="7952"/>
    <cellStyle name="Comma 6 7 2 2 2" xfId="7953"/>
    <cellStyle name="Comma 6 7 2 2 2 2" xfId="7954"/>
    <cellStyle name="Comma 6 7 2 2 2 2 2" xfId="12113"/>
    <cellStyle name="Comma 6 7 2 2 2 2 3" xfId="17163"/>
    <cellStyle name="Comma 6 7 2 2 2 2 3 2" xfId="33384"/>
    <cellStyle name="Comma 6 7 2 2 2 3" xfId="7955"/>
    <cellStyle name="Comma 6 7 2 2 2 3 2" xfId="12114"/>
    <cellStyle name="Comma 6 7 2 2 2 4" xfId="12112"/>
    <cellStyle name="Comma 6 7 2 2 2 5" xfId="15578"/>
    <cellStyle name="Comma 6 7 2 2 2 5 2" xfId="31800"/>
    <cellStyle name="Comma 6 7 2 2 3" xfId="7956"/>
    <cellStyle name="Comma 6 7 2 2 3 2" xfId="12115"/>
    <cellStyle name="Comma 6 7 2 2 3 3" xfId="16371"/>
    <cellStyle name="Comma 6 7 2 2 3 3 2" xfId="32592"/>
    <cellStyle name="Comma 6 7 2 2 4" xfId="7957"/>
    <cellStyle name="Comma 6 7 2 2 4 2" xfId="12116"/>
    <cellStyle name="Comma 6 7 2 2 5" xfId="12111"/>
    <cellStyle name="Comma 6 7 2 2 6" xfId="14786"/>
    <cellStyle name="Comma 6 7 2 2 6 2" xfId="31008"/>
    <cellStyle name="Comma 6 7 2 3" xfId="7958"/>
    <cellStyle name="Comma 6 7 2 3 2" xfId="7959"/>
    <cellStyle name="Comma 6 7 2 3 2 2" xfId="7960"/>
    <cellStyle name="Comma 6 7 2 3 2 2 2" xfId="12119"/>
    <cellStyle name="Comma 6 7 2 3 2 2 3" xfId="17427"/>
    <cellStyle name="Comma 6 7 2 3 2 2 3 2" xfId="33648"/>
    <cellStyle name="Comma 6 7 2 3 2 3" xfId="7961"/>
    <cellStyle name="Comma 6 7 2 3 2 3 2" xfId="12120"/>
    <cellStyle name="Comma 6 7 2 3 2 4" xfId="12118"/>
    <cellStyle name="Comma 6 7 2 3 2 5" xfId="15842"/>
    <cellStyle name="Comma 6 7 2 3 2 5 2" xfId="32064"/>
    <cellStyle name="Comma 6 7 2 3 3" xfId="7962"/>
    <cellStyle name="Comma 6 7 2 3 3 2" xfId="12121"/>
    <cellStyle name="Comma 6 7 2 3 3 3" xfId="16635"/>
    <cellStyle name="Comma 6 7 2 3 3 3 2" xfId="32856"/>
    <cellStyle name="Comma 6 7 2 3 4" xfId="7963"/>
    <cellStyle name="Comma 6 7 2 3 4 2" xfId="12122"/>
    <cellStyle name="Comma 6 7 2 3 5" xfId="12117"/>
    <cellStyle name="Comma 6 7 2 3 6" xfId="15050"/>
    <cellStyle name="Comma 6 7 2 3 6 2" xfId="31272"/>
    <cellStyle name="Comma 6 7 2 4" xfId="7964"/>
    <cellStyle name="Comma 6 7 2 4 2" xfId="7965"/>
    <cellStyle name="Comma 6 7 2 4 2 2" xfId="12124"/>
    <cellStyle name="Comma 6 7 2 4 2 3" xfId="16899"/>
    <cellStyle name="Comma 6 7 2 4 2 3 2" xfId="33120"/>
    <cellStyle name="Comma 6 7 2 4 3" xfId="7966"/>
    <cellStyle name="Comma 6 7 2 4 3 2" xfId="12125"/>
    <cellStyle name="Comma 6 7 2 4 4" xfId="12123"/>
    <cellStyle name="Comma 6 7 2 4 5" xfId="15314"/>
    <cellStyle name="Comma 6 7 2 4 5 2" xfId="31536"/>
    <cellStyle name="Comma 6 7 2 5" xfId="7967"/>
    <cellStyle name="Comma 6 7 2 5 2" xfId="12126"/>
    <cellStyle name="Comma 6 7 2 5 3" xfId="16107"/>
    <cellStyle name="Comma 6 7 2 5 3 2" xfId="32328"/>
    <cellStyle name="Comma 6 7 2 6" xfId="7968"/>
    <cellStyle name="Comma 6 7 2 6 2" xfId="12127"/>
    <cellStyle name="Comma 6 7 2 7" xfId="12110"/>
    <cellStyle name="Comma 6 7 2 8" xfId="14522"/>
    <cellStyle name="Comma 6 7 2 8 2" xfId="30744"/>
    <cellStyle name="Comma 6 7 3" xfId="7969"/>
    <cellStyle name="Comma 6 7 3 2" xfId="7970"/>
    <cellStyle name="Comma 6 7 3 2 2" xfId="7971"/>
    <cellStyle name="Comma 6 7 3 2 2 2" xfId="12130"/>
    <cellStyle name="Comma 6 7 3 2 2 3" xfId="17031"/>
    <cellStyle name="Comma 6 7 3 2 2 3 2" xfId="33252"/>
    <cellStyle name="Comma 6 7 3 2 3" xfId="7972"/>
    <cellStyle name="Comma 6 7 3 2 3 2" xfId="12131"/>
    <cellStyle name="Comma 6 7 3 2 4" xfId="12129"/>
    <cellStyle name="Comma 6 7 3 2 5" xfId="15446"/>
    <cellStyle name="Comma 6 7 3 2 5 2" xfId="31668"/>
    <cellStyle name="Comma 6 7 3 3" xfId="7973"/>
    <cellStyle name="Comma 6 7 3 3 2" xfId="12132"/>
    <cellStyle name="Comma 6 7 3 3 3" xfId="16239"/>
    <cellStyle name="Comma 6 7 3 3 3 2" xfId="32460"/>
    <cellStyle name="Comma 6 7 3 4" xfId="7974"/>
    <cellStyle name="Comma 6 7 3 4 2" xfId="12133"/>
    <cellStyle name="Comma 6 7 3 5" xfId="12128"/>
    <cellStyle name="Comma 6 7 3 6" xfId="14654"/>
    <cellStyle name="Comma 6 7 3 6 2" xfId="30876"/>
    <cellStyle name="Comma 6 7 4" xfId="7975"/>
    <cellStyle name="Comma 6 7 4 2" xfId="7976"/>
    <cellStyle name="Comma 6 7 4 2 2" xfId="7977"/>
    <cellStyle name="Comma 6 7 4 2 2 2" xfId="12136"/>
    <cellStyle name="Comma 6 7 4 2 2 3" xfId="17295"/>
    <cellStyle name="Comma 6 7 4 2 2 3 2" xfId="33516"/>
    <cellStyle name="Comma 6 7 4 2 3" xfId="7978"/>
    <cellStyle name="Comma 6 7 4 2 3 2" xfId="12137"/>
    <cellStyle name="Comma 6 7 4 2 4" xfId="12135"/>
    <cellStyle name="Comma 6 7 4 2 5" xfId="15710"/>
    <cellStyle name="Comma 6 7 4 2 5 2" xfId="31932"/>
    <cellStyle name="Comma 6 7 4 3" xfId="7979"/>
    <cellStyle name="Comma 6 7 4 3 2" xfId="12138"/>
    <cellStyle name="Comma 6 7 4 3 3" xfId="16503"/>
    <cellStyle name="Comma 6 7 4 3 3 2" xfId="32724"/>
    <cellStyle name="Comma 6 7 4 4" xfId="7980"/>
    <cellStyle name="Comma 6 7 4 4 2" xfId="12139"/>
    <cellStyle name="Comma 6 7 4 5" xfId="12134"/>
    <cellStyle name="Comma 6 7 4 6" xfId="14918"/>
    <cellStyle name="Comma 6 7 4 6 2" xfId="31140"/>
    <cellStyle name="Comma 6 7 5" xfId="7981"/>
    <cellStyle name="Comma 6 7 5 2" xfId="7982"/>
    <cellStyle name="Comma 6 7 5 2 2" xfId="12141"/>
    <cellStyle name="Comma 6 7 5 2 3" xfId="16767"/>
    <cellStyle name="Comma 6 7 5 2 3 2" xfId="32988"/>
    <cellStyle name="Comma 6 7 5 3" xfId="7983"/>
    <cellStyle name="Comma 6 7 5 3 2" xfId="12142"/>
    <cellStyle name="Comma 6 7 5 4" xfId="12140"/>
    <cellStyle name="Comma 6 7 5 5" xfId="15182"/>
    <cellStyle name="Comma 6 7 5 5 2" xfId="31404"/>
    <cellStyle name="Comma 6 7 6" xfId="7984"/>
    <cellStyle name="Comma 6 7 6 2" xfId="12143"/>
    <cellStyle name="Comma 6 7 6 3" xfId="15975"/>
    <cellStyle name="Comma 6 7 6 3 2" xfId="32196"/>
    <cellStyle name="Comma 6 7 7" xfId="7985"/>
    <cellStyle name="Comma 6 7 7 2" xfId="12144"/>
    <cellStyle name="Comma 6 7 8" xfId="12109"/>
    <cellStyle name="Comma 6 7 9" xfId="14390"/>
    <cellStyle name="Comma 6 7 9 2" xfId="30612"/>
    <cellStyle name="Comma 6 8" xfId="7986"/>
    <cellStyle name="Comma 6 8 2" xfId="7987"/>
    <cellStyle name="Comma 6 8 2 2" xfId="7988"/>
    <cellStyle name="Comma 6 8 2 2 2" xfId="7989"/>
    <cellStyle name="Comma 6 8 2 2 2 2" xfId="12148"/>
    <cellStyle name="Comma 6 8 2 2 2 3" xfId="17097"/>
    <cellStyle name="Comma 6 8 2 2 2 3 2" xfId="33318"/>
    <cellStyle name="Comma 6 8 2 2 3" xfId="7990"/>
    <cellStyle name="Comma 6 8 2 2 3 2" xfId="12149"/>
    <cellStyle name="Comma 6 8 2 2 4" xfId="12147"/>
    <cellStyle name="Comma 6 8 2 2 5" xfId="15512"/>
    <cellStyle name="Comma 6 8 2 2 5 2" xfId="31734"/>
    <cellStyle name="Comma 6 8 2 3" xfId="7991"/>
    <cellStyle name="Comma 6 8 2 3 2" xfId="12150"/>
    <cellStyle name="Comma 6 8 2 3 3" xfId="16305"/>
    <cellStyle name="Comma 6 8 2 3 3 2" xfId="32526"/>
    <cellStyle name="Comma 6 8 2 4" xfId="7992"/>
    <cellStyle name="Comma 6 8 2 4 2" xfId="12151"/>
    <cellStyle name="Comma 6 8 2 5" xfId="12146"/>
    <cellStyle name="Comma 6 8 2 6" xfId="14720"/>
    <cellStyle name="Comma 6 8 2 6 2" xfId="30942"/>
    <cellStyle name="Comma 6 8 3" xfId="7993"/>
    <cellStyle name="Comma 6 8 3 2" xfId="7994"/>
    <cellStyle name="Comma 6 8 3 2 2" xfId="7995"/>
    <cellStyle name="Comma 6 8 3 2 2 2" xfId="12154"/>
    <cellStyle name="Comma 6 8 3 2 2 3" xfId="17361"/>
    <cellStyle name="Comma 6 8 3 2 2 3 2" xfId="33582"/>
    <cellStyle name="Comma 6 8 3 2 3" xfId="7996"/>
    <cellStyle name="Comma 6 8 3 2 3 2" xfId="12155"/>
    <cellStyle name="Comma 6 8 3 2 4" xfId="12153"/>
    <cellStyle name="Comma 6 8 3 2 5" xfId="15776"/>
    <cellStyle name="Comma 6 8 3 2 5 2" xfId="31998"/>
    <cellStyle name="Comma 6 8 3 3" xfId="7997"/>
    <cellStyle name="Comma 6 8 3 3 2" xfId="12156"/>
    <cellStyle name="Comma 6 8 3 3 3" xfId="16569"/>
    <cellStyle name="Comma 6 8 3 3 3 2" xfId="32790"/>
    <cellStyle name="Comma 6 8 3 4" xfId="7998"/>
    <cellStyle name="Comma 6 8 3 4 2" xfId="12157"/>
    <cellStyle name="Comma 6 8 3 5" xfId="12152"/>
    <cellStyle name="Comma 6 8 3 6" xfId="14984"/>
    <cellStyle name="Comma 6 8 3 6 2" xfId="31206"/>
    <cellStyle name="Comma 6 8 4" xfId="7999"/>
    <cellStyle name="Comma 6 8 4 2" xfId="8000"/>
    <cellStyle name="Comma 6 8 4 2 2" xfId="12159"/>
    <cellStyle name="Comma 6 8 4 2 3" xfId="16833"/>
    <cellStyle name="Comma 6 8 4 2 3 2" xfId="33054"/>
    <cellStyle name="Comma 6 8 4 3" xfId="8001"/>
    <cellStyle name="Comma 6 8 4 3 2" xfId="12160"/>
    <cellStyle name="Comma 6 8 4 4" xfId="12158"/>
    <cellStyle name="Comma 6 8 4 5" xfId="15248"/>
    <cellStyle name="Comma 6 8 4 5 2" xfId="31470"/>
    <cellStyle name="Comma 6 8 5" xfId="8002"/>
    <cellStyle name="Comma 6 8 5 2" xfId="12161"/>
    <cellStyle name="Comma 6 8 5 3" xfId="16041"/>
    <cellStyle name="Comma 6 8 5 3 2" xfId="32262"/>
    <cellStyle name="Comma 6 8 6" xfId="8003"/>
    <cellStyle name="Comma 6 8 6 2" xfId="12162"/>
    <cellStyle name="Comma 6 8 7" xfId="12145"/>
    <cellStyle name="Comma 6 8 8" xfId="14456"/>
    <cellStyle name="Comma 6 8 8 2" xfId="30678"/>
    <cellStyle name="Comma 6 9" xfId="8004"/>
    <cellStyle name="Comma 6 9 2" xfId="8005"/>
    <cellStyle name="Comma 6 9 2 2" xfId="8006"/>
    <cellStyle name="Comma 6 9 2 2 2" xfId="12165"/>
    <cellStyle name="Comma 6 9 2 2 3" xfId="16965"/>
    <cellStyle name="Comma 6 9 2 2 3 2" xfId="33186"/>
    <cellStyle name="Comma 6 9 2 3" xfId="8007"/>
    <cellStyle name="Comma 6 9 2 3 2" xfId="12166"/>
    <cellStyle name="Comma 6 9 2 4" xfId="12164"/>
    <cellStyle name="Comma 6 9 2 5" xfId="15380"/>
    <cellStyle name="Comma 6 9 2 5 2" xfId="31602"/>
    <cellStyle name="Comma 6 9 3" xfId="8008"/>
    <cellStyle name="Comma 6 9 3 2" xfId="12167"/>
    <cellStyle name="Comma 6 9 3 3" xfId="16173"/>
    <cellStyle name="Comma 6 9 3 3 2" xfId="32394"/>
    <cellStyle name="Comma 6 9 4" xfId="8009"/>
    <cellStyle name="Comma 6 9 4 2" xfId="12168"/>
    <cellStyle name="Comma 6 9 5" xfId="12163"/>
    <cellStyle name="Comma 6 9 6" xfId="14588"/>
    <cellStyle name="Comma 6 9 6 2" xfId="30810"/>
    <cellStyle name="Comma 60" xfId="5228"/>
    <cellStyle name="Comma 60 2" xfId="5229"/>
    <cellStyle name="Comma 60 2 2" xfId="12170"/>
    <cellStyle name="Comma 60 3" xfId="12169"/>
    <cellStyle name="Comma 61" xfId="5230"/>
    <cellStyle name="Comma 61 2" xfId="5231"/>
    <cellStyle name="Comma 61 2 2" xfId="12172"/>
    <cellStyle name="Comma 61 3" xfId="12171"/>
    <cellStyle name="Comma 62" xfId="5232"/>
    <cellStyle name="Comma 62 2" xfId="5233"/>
    <cellStyle name="Comma 62 2 2" xfId="12174"/>
    <cellStyle name="Comma 62 3" xfId="12173"/>
    <cellStyle name="Comma 63" xfId="5234"/>
    <cellStyle name="Comma 63 2" xfId="5235"/>
    <cellStyle name="Comma 63 2 2" xfId="12176"/>
    <cellStyle name="Comma 63 3" xfId="12175"/>
    <cellStyle name="Comma 64" xfId="5236"/>
    <cellStyle name="Comma 64 2" xfId="5237"/>
    <cellStyle name="Comma 64 2 2" xfId="12178"/>
    <cellStyle name="Comma 64 3" xfId="5238"/>
    <cellStyle name="Comma 64 3 2" xfId="5239"/>
    <cellStyle name="Comma 64 3 2 2" xfId="12180"/>
    <cellStyle name="Comma 64 3 3" xfId="12179"/>
    <cellStyle name="Comma 64 4" xfId="12177"/>
    <cellStyle name="Comma 65" xfId="5240"/>
    <cellStyle name="Comma 65 2" xfId="12181"/>
    <cellStyle name="Comma 66" xfId="5241"/>
    <cellStyle name="Comma 66 2" xfId="5242"/>
    <cellStyle name="Comma 66 2 2" xfId="12183"/>
    <cellStyle name="Comma 66 3" xfId="12182"/>
    <cellStyle name="Comma 67" xfId="8010"/>
    <cellStyle name="Comma 67 2" xfId="12184"/>
    <cellStyle name="Comma 68" xfId="8011"/>
    <cellStyle name="Comma 68 2" xfId="12185"/>
    <cellStyle name="Comma 7" xfId="91"/>
    <cellStyle name="Comma 7 10" xfId="307"/>
    <cellStyle name="Comma 7 2" xfId="370"/>
    <cellStyle name="Comma 7 2 10" xfId="5243"/>
    <cellStyle name="Comma 7 2 10 2" xfId="12187"/>
    <cellStyle name="Comma 7 2 11" xfId="5244"/>
    <cellStyle name="Comma 7 2 11 2" xfId="12188"/>
    <cellStyle name="Comma 7 2 12" xfId="5245"/>
    <cellStyle name="Comma 7 2 12 2" xfId="12189"/>
    <cellStyle name="Comma 7 2 13" xfId="5246"/>
    <cellStyle name="Comma 7 2 13 2" xfId="12190"/>
    <cellStyle name="Comma 7 2 14" xfId="5247"/>
    <cellStyle name="Comma 7 2 14 2" xfId="12191"/>
    <cellStyle name="Comma 7 2 15" xfId="5248"/>
    <cellStyle name="Comma 7 2 15 2" xfId="12192"/>
    <cellStyle name="Comma 7 2 16" xfId="5249"/>
    <cellStyle name="Comma 7 2 16 2" xfId="12193"/>
    <cellStyle name="Comma 7 2 17" xfId="5250"/>
    <cellStyle name="Comma 7 2 17 2" xfId="12194"/>
    <cellStyle name="Comma 7 2 18" xfId="5251"/>
    <cellStyle name="Comma 7 2 18 2" xfId="12195"/>
    <cellStyle name="Comma 7 2 19" xfId="5252"/>
    <cellStyle name="Comma 7 2 19 2" xfId="12196"/>
    <cellStyle name="Comma 7 2 2" xfId="5253"/>
    <cellStyle name="Comma 7 2 2 2" xfId="12197"/>
    <cellStyle name="Comma 7 2 20" xfId="5254"/>
    <cellStyle name="Comma 7 2 20 2" xfId="12198"/>
    <cellStyle name="Comma 7 2 21" xfId="5255"/>
    <cellStyle name="Comma 7 2 21 2" xfId="12199"/>
    <cellStyle name="Comma 7 2 22" xfId="5256"/>
    <cellStyle name="Comma 7 2 22 2" xfId="12200"/>
    <cellStyle name="Comma 7 2 23" xfId="5257"/>
    <cellStyle name="Comma 7 2 23 2" xfId="12201"/>
    <cellStyle name="Comma 7 2 24" xfId="5258"/>
    <cellStyle name="Comma 7 2 24 2" xfId="12202"/>
    <cellStyle name="Comma 7 2 25" xfId="5259"/>
    <cellStyle name="Comma 7 2 25 2" xfId="12203"/>
    <cellStyle name="Comma 7 2 26" xfId="5260"/>
    <cellStyle name="Comma 7 2 26 2" xfId="12204"/>
    <cellStyle name="Comma 7 2 27" xfId="5261"/>
    <cellStyle name="Comma 7 2 27 2" xfId="12205"/>
    <cellStyle name="Comma 7 2 28" xfId="5262"/>
    <cellStyle name="Comma 7 2 28 2" xfId="12206"/>
    <cellStyle name="Comma 7 2 29" xfId="5263"/>
    <cellStyle name="Comma 7 2 29 2" xfId="12207"/>
    <cellStyle name="Comma 7 2 3" xfId="5264"/>
    <cellStyle name="Comma 7 2 3 2" xfId="12208"/>
    <cellStyle name="Comma 7 2 30" xfId="5265"/>
    <cellStyle name="Comma 7 2 30 2" xfId="12209"/>
    <cellStyle name="Comma 7 2 31" xfId="5266"/>
    <cellStyle name="Comma 7 2 31 2" xfId="12210"/>
    <cellStyle name="Comma 7 2 32" xfId="5267"/>
    <cellStyle name="Comma 7 2 32 2" xfId="12211"/>
    <cellStyle name="Comma 7 2 33" xfId="5268"/>
    <cellStyle name="Comma 7 2 33 2" xfId="12212"/>
    <cellStyle name="Comma 7 2 34" xfId="5269"/>
    <cellStyle name="Comma 7 2 34 2" xfId="12213"/>
    <cellStyle name="Comma 7 2 35" xfId="5270"/>
    <cellStyle name="Comma 7 2 35 2" xfId="12214"/>
    <cellStyle name="Comma 7 2 36" xfId="5271"/>
    <cellStyle name="Comma 7 2 36 2" xfId="12215"/>
    <cellStyle name="Comma 7 2 37" xfId="5272"/>
    <cellStyle name="Comma 7 2 37 2" xfId="12216"/>
    <cellStyle name="Comma 7 2 38" xfId="12186"/>
    <cellStyle name="Comma 7 2 4" xfId="5273"/>
    <cellStyle name="Comma 7 2 4 2" xfId="12217"/>
    <cellStyle name="Comma 7 2 5" xfId="5274"/>
    <cellStyle name="Comma 7 2 5 2" xfId="12218"/>
    <cellStyle name="Comma 7 2 6" xfId="5275"/>
    <cellStyle name="Comma 7 2 6 2" xfId="12219"/>
    <cellStyle name="Comma 7 2 7" xfId="5276"/>
    <cellStyle name="Comma 7 2 7 2" xfId="12220"/>
    <cellStyle name="Comma 7 2 8" xfId="5277"/>
    <cellStyle name="Comma 7 2 8 2" xfId="12221"/>
    <cellStyle name="Comma 7 2 9" xfId="5278"/>
    <cellStyle name="Comma 7 2 9 2" xfId="12222"/>
    <cellStyle name="Comma 7 3" xfId="336"/>
    <cellStyle name="Comma 7 3 2" xfId="1871"/>
    <cellStyle name="Comma 7 3 2 2" xfId="24039"/>
    <cellStyle name="Comma 7 3 3" xfId="3370"/>
    <cellStyle name="Comma 7 3 3 2" xfId="25537"/>
    <cellStyle name="Comma 7 3 4" xfId="21043"/>
    <cellStyle name="Comma 7 3 4 2" xfId="37255"/>
    <cellStyle name="Comma 7 3 5" xfId="22541"/>
    <cellStyle name="Comma 7 4" xfId="1797"/>
    <cellStyle name="Comma 7 4 2" xfId="3296"/>
    <cellStyle name="Comma 7 4 2 2" xfId="25463"/>
    <cellStyle name="Comma 7 4 3" xfId="4794"/>
    <cellStyle name="Comma 7 4 3 2" xfId="26961"/>
    <cellStyle name="Comma 7 4 4" xfId="22467"/>
    <cellStyle name="Comma 7 4 4 2" xfId="38679"/>
    <cellStyle name="Comma 7 4 5" xfId="23965"/>
    <cellStyle name="Comma 7 5" xfId="1843"/>
    <cellStyle name="Comma 7 5 2" xfId="24011"/>
    <cellStyle name="Comma 7 6" xfId="3342"/>
    <cellStyle name="Comma 7 6 2" xfId="25509"/>
    <cellStyle name="Comma 7 7" xfId="21015"/>
    <cellStyle name="Comma 7 7 2" xfId="37227"/>
    <cellStyle name="Comma 7 8" xfId="22513"/>
    <cellStyle name="Comma 7 9" xfId="39563"/>
    <cellStyle name="Comma 71 10 2" xfId="4947"/>
    <cellStyle name="Comma 8" xfId="92"/>
    <cellStyle name="Comma 8 10" xfId="39566"/>
    <cellStyle name="Comma 8 11" xfId="310"/>
    <cellStyle name="Comma 8 2" xfId="339"/>
    <cellStyle name="Comma 8 2 2" xfId="1874"/>
    <cellStyle name="Comma 8 2 2 2" xfId="12223"/>
    <cellStyle name="Comma 8 2 2 3" xfId="24042"/>
    <cellStyle name="Comma 8 2 3" xfId="3373"/>
    <cellStyle name="Comma 8 2 3 2" xfId="25540"/>
    <cellStyle name="Comma 8 2 4" xfId="5279"/>
    <cellStyle name="Comma 8 2 5" xfId="21046"/>
    <cellStyle name="Comma 8 2 5 2" xfId="37258"/>
    <cellStyle name="Comma 8 2 6" xfId="22544"/>
    <cellStyle name="Comma 8 3" xfId="1800"/>
    <cellStyle name="Comma 8 3 2" xfId="3299"/>
    <cellStyle name="Comma 8 3 2 2" xfId="12224"/>
    <cellStyle name="Comma 8 3 2 3" xfId="25466"/>
    <cellStyle name="Comma 8 3 3" xfId="4797"/>
    <cellStyle name="Comma 8 3 3 2" xfId="26964"/>
    <cellStyle name="Comma 8 3 4" xfId="5280"/>
    <cellStyle name="Comma 8 3 5" xfId="22470"/>
    <cellStyle name="Comma 8 3 5 2" xfId="38682"/>
    <cellStyle name="Comma 8 3 6" xfId="23968"/>
    <cellStyle name="Comma 8 4" xfId="1846"/>
    <cellStyle name="Comma 8 4 2" xfId="24014"/>
    <cellStyle name="Comma 8 5" xfId="3345"/>
    <cellStyle name="Comma 8 5 2" xfId="25512"/>
    <cellStyle name="Comma 8 6" xfId="14247"/>
    <cellStyle name="Comma 8 7" xfId="21018"/>
    <cellStyle name="Comma 8 7 2" xfId="37230"/>
    <cellStyle name="Comma 8 8" xfId="22516"/>
    <cellStyle name="Comma 8 9" xfId="38820"/>
    <cellStyle name="Comma 83" xfId="4933"/>
    <cellStyle name="Comma 83 2 2" xfId="4943"/>
    <cellStyle name="Comma 89 3 2 2" xfId="4935"/>
    <cellStyle name="Comma 9" xfId="93"/>
    <cellStyle name="Comma 9 10" xfId="5281"/>
    <cellStyle name="Comma 9 10 2" xfId="12225"/>
    <cellStyle name="Comma 9 11" xfId="5282"/>
    <cellStyle name="Comma 9 11 2" xfId="12226"/>
    <cellStyle name="Comma 9 12" xfId="5283"/>
    <cellStyle name="Comma 9 12 2" xfId="12227"/>
    <cellStyle name="Comma 9 13" xfId="5284"/>
    <cellStyle name="Comma 9 13 2" xfId="12228"/>
    <cellStyle name="Comma 9 14" xfId="5285"/>
    <cellStyle name="Comma 9 14 2" xfId="12229"/>
    <cellStyle name="Comma 9 15" xfId="14248"/>
    <cellStyle name="Comma 9 16" xfId="22473"/>
    <cellStyle name="Comma 9 16 2" xfId="38685"/>
    <cellStyle name="Comma 9 17" xfId="23971"/>
    <cellStyle name="Comma 9 18" xfId="39569"/>
    <cellStyle name="Comma 9 19" xfId="1803"/>
    <cellStyle name="Comma 9 2" xfId="94"/>
    <cellStyle name="Comma 9 2 2" xfId="12230"/>
    <cellStyle name="Comma 9 2 3" xfId="5286"/>
    <cellStyle name="Comma 9 2 4" xfId="25469"/>
    <cellStyle name="Comma 9 2 5" xfId="3302"/>
    <cellStyle name="Comma 9 3" xfId="4800"/>
    <cellStyle name="Comma 9 3 2" xfId="12231"/>
    <cellStyle name="Comma 9 3 3" xfId="5287"/>
    <cellStyle name="Comma 9 3 4" xfId="26967"/>
    <cellStyle name="Comma 9 4" xfId="5288"/>
    <cellStyle name="Comma 9 4 2" xfId="12232"/>
    <cellStyle name="Comma 9 5" xfId="5289"/>
    <cellStyle name="Comma 9 5 2" xfId="12233"/>
    <cellStyle name="Comma 9 6" xfId="5290"/>
    <cellStyle name="Comma 9 6 2" xfId="12234"/>
    <cellStyle name="Comma 9 7" xfId="5291"/>
    <cellStyle name="Comma 9 7 2" xfId="12235"/>
    <cellStyle name="Comma 9 8" xfId="5292"/>
    <cellStyle name="Comma 9 8 2" xfId="12236"/>
    <cellStyle name="Comma 9 9" xfId="5293"/>
    <cellStyle name="Comma 9 9 2" xfId="12237"/>
    <cellStyle name="Comma0" xfId="95"/>
    <cellStyle name="Comma0 2" xfId="272"/>
    <cellStyle name="Currency" xfId="96" builtinId="4"/>
    <cellStyle name="Currency 10" xfId="4928"/>
    <cellStyle name="Currency 10 10" xfId="5294"/>
    <cellStyle name="Currency 10 10 2" xfId="12239"/>
    <cellStyle name="Currency 10 11" xfId="5295"/>
    <cellStyle name="Currency 10 11 2" xfId="12240"/>
    <cellStyle name="Currency 10 12" xfId="5296"/>
    <cellStyle name="Currency 10 12 2" xfId="12241"/>
    <cellStyle name="Currency 10 13" xfId="5297"/>
    <cellStyle name="Currency 10 13 2" xfId="12242"/>
    <cellStyle name="Currency 10 14" xfId="5298"/>
    <cellStyle name="Currency 10 14 2" xfId="12243"/>
    <cellStyle name="Currency 10 15" xfId="5299"/>
    <cellStyle name="Currency 10 15 2" xfId="12244"/>
    <cellStyle name="Currency 10 16" xfId="5300"/>
    <cellStyle name="Currency 10 16 2" xfId="12245"/>
    <cellStyle name="Currency 10 17" xfId="5301"/>
    <cellStyle name="Currency 10 17 2" xfId="12246"/>
    <cellStyle name="Currency 10 18" xfId="5302"/>
    <cellStyle name="Currency 10 18 2" xfId="12247"/>
    <cellStyle name="Currency 10 19" xfId="5303"/>
    <cellStyle name="Currency 10 19 2" xfId="12248"/>
    <cellStyle name="Currency 10 2" xfId="5304"/>
    <cellStyle name="Currency 10 2 2" xfId="12249"/>
    <cellStyle name="Currency 10 20" xfId="5305"/>
    <cellStyle name="Currency 10 20 2" xfId="12250"/>
    <cellStyle name="Currency 10 21" xfId="5306"/>
    <cellStyle name="Currency 10 21 2" xfId="12251"/>
    <cellStyle name="Currency 10 22" xfId="5307"/>
    <cellStyle name="Currency 10 22 2" xfId="12252"/>
    <cellStyle name="Currency 10 23" xfId="5308"/>
    <cellStyle name="Currency 10 23 2" xfId="12253"/>
    <cellStyle name="Currency 10 24" xfId="5309"/>
    <cellStyle name="Currency 10 24 2" xfId="12254"/>
    <cellStyle name="Currency 10 25" xfId="5310"/>
    <cellStyle name="Currency 10 25 2" xfId="12255"/>
    <cellStyle name="Currency 10 26" xfId="5311"/>
    <cellStyle name="Currency 10 26 2" xfId="12256"/>
    <cellStyle name="Currency 10 27" xfId="5312"/>
    <cellStyle name="Currency 10 27 2" xfId="12257"/>
    <cellStyle name="Currency 10 28" xfId="12238"/>
    <cellStyle name="Currency 10 3" xfId="5313"/>
    <cellStyle name="Currency 10 3 2" xfId="12258"/>
    <cellStyle name="Currency 10 4" xfId="5314"/>
    <cellStyle name="Currency 10 4 2" xfId="12259"/>
    <cellStyle name="Currency 10 5" xfId="5315"/>
    <cellStyle name="Currency 10 5 2" xfId="12260"/>
    <cellStyle name="Currency 10 6" xfId="5316"/>
    <cellStyle name="Currency 10 6 2" xfId="12261"/>
    <cellStyle name="Currency 10 7" xfId="5317"/>
    <cellStyle name="Currency 10 7 2" xfId="12262"/>
    <cellStyle name="Currency 10 8" xfId="5318"/>
    <cellStyle name="Currency 10 8 2" xfId="12263"/>
    <cellStyle name="Currency 10 9" xfId="5319"/>
    <cellStyle name="Currency 10 9 2" xfId="12264"/>
    <cellStyle name="Currency 11" xfId="14249"/>
    <cellStyle name="Currency 11 2" xfId="8012"/>
    <cellStyle name="Currency 11 2 2" xfId="12265"/>
    <cellStyle name="Currency 12" xfId="14250"/>
    <cellStyle name="Currency 12 2" xfId="5320"/>
    <cellStyle name="Currency 12 2 2" xfId="12266"/>
    <cellStyle name="Currency 12 3" xfId="5321"/>
    <cellStyle name="Currency 12 3 2" xfId="12267"/>
    <cellStyle name="Currency 12 4" xfId="5322"/>
    <cellStyle name="Currency 12 4 2" xfId="12268"/>
    <cellStyle name="Currency 12 5" xfId="5323"/>
    <cellStyle name="Currency 12 5 2" xfId="12269"/>
    <cellStyle name="Currency 12 6" xfId="5324"/>
    <cellStyle name="Currency 12 6 2" xfId="12270"/>
    <cellStyle name="Currency 12 7" xfId="5325"/>
    <cellStyle name="Currency 12 7 2" xfId="12271"/>
    <cellStyle name="Currency 13" xfId="14251"/>
    <cellStyle name="Currency 13 2" xfId="5326"/>
    <cellStyle name="Currency 13 2 2" xfId="12272"/>
    <cellStyle name="Currency 13 3" xfId="5327"/>
    <cellStyle name="Currency 13 3 2" xfId="12273"/>
    <cellStyle name="Currency 13 4" xfId="5328"/>
    <cellStyle name="Currency 13 4 2" xfId="12274"/>
    <cellStyle name="Currency 13 5" xfId="5329"/>
    <cellStyle name="Currency 13 5 2" xfId="12275"/>
    <cellStyle name="Currency 13 6" xfId="5330"/>
    <cellStyle name="Currency 13 6 2" xfId="12276"/>
    <cellStyle name="Currency 14" xfId="14252"/>
    <cellStyle name="Currency 14 2" xfId="5331"/>
    <cellStyle name="Currency 14 2 2" xfId="12277"/>
    <cellStyle name="Currency 15" xfId="14253"/>
    <cellStyle name="Currency 15 2" xfId="5332"/>
    <cellStyle name="Currency 15 2 2" xfId="5333"/>
    <cellStyle name="Currency 15 2 2 2" xfId="12279"/>
    <cellStyle name="Currency 15 2 3" xfId="12278"/>
    <cellStyle name="Currency 15 3" xfId="5334"/>
    <cellStyle name="Currency 15 3 2" xfId="12280"/>
    <cellStyle name="Currency 16" xfId="14254"/>
    <cellStyle name="Currency 16 2" xfId="8013"/>
    <cellStyle name="Currency 16 2 2" xfId="12281"/>
    <cellStyle name="Currency 17" xfId="14255"/>
    <cellStyle name="Currency 17 2" xfId="8014"/>
    <cellStyle name="Currency 17 2 2" xfId="12282"/>
    <cellStyle name="Currency 18" xfId="14256"/>
    <cellStyle name="Currency 18 2" xfId="5335"/>
    <cellStyle name="Currency 18 2 2" xfId="12283"/>
    <cellStyle name="Currency 18 3" xfId="5336"/>
    <cellStyle name="Currency 18 3 2" xfId="12284"/>
    <cellStyle name="Currency 18 4" xfId="5337"/>
    <cellStyle name="Currency 18 4 2" xfId="12285"/>
    <cellStyle name="Currency 18 5" xfId="5338"/>
    <cellStyle name="Currency 18 5 2" xfId="12286"/>
    <cellStyle name="Currency 18 6" xfId="5339"/>
    <cellStyle name="Currency 18 6 2" xfId="12287"/>
    <cellStyle name="Currency 19" xfId="14257"/>
    <cellStyle name="Currency 19 2" xfId="8015"/>
    <cellStyle name="Currency 19 2 2" xfId="12288"/>
    <cellStyle name="Currency 2" xfId="97"/>
    <cellStyle name="Currency 2 2" xfId="98"/>
    <cellStyle name="Currency 2 2 2" xfId="99"/>
    <cellStyle name="Currency 2 2 2 2" xfId="39492"/>
    <cellStyle name="Currency 2 2 2 3" xfId="38861"/>
    <cellStyle name="Currency 2 2 2 4" xfId="12289"/>
    <cellStyle name="Currency 2 2 3" xfId="5340"/>
    <cellStyle name="Currency 2 2 3 2" xfId="38901"/>
    <cellStyle name="Currency 2 2 4" xfId="371"/>
    <cellStyle name="Currency 2 3" xfId="100"/>
    <cellStyle name="Currency 2 3 2" xfId="101"/>
    <cellStyle name="Currency 2 3 2 2" xfId="39488"/>
    <cellStyle name="Currency 2 3 2 3" xfId="12290"/>
    <cellStyle name="Currency 2 3 3" xfId="102"/>
    <cellStyle name="Currency 2 3 3 2" xfId="5341"/>
    <cellStyle name="Currency 2 3 4" xfId="38857"/>
    <cellStyle name="Currency 2 3 5" xfId="372"/>
    <cellStyle name="Currency 2 4" xfId="103"/>
    <cellStyle name="Currency 2 4 10" xfId="508"/>
    <cellStyle name="Currency 2 4 10 2" xfId="860"/>
    <cellStyle name="Currency 2 4 10 2 2" xfId="2359"/>
    <cellStyle name="Currency 2 4 10 2 2 2" xfId="24527"/>
    <cellStyle name="Currency 2 4 10 2 3" xfId="3858"/>
    <cellStyle name="Currency 2 4 10 2 3 2" xfId="26025"/>
    <cellStyle name="Currency 2 4 10 2 4" xfId="21531"/>
    <cellStyle name="Currency 2 4 10 2 4 2" xfId="37743"/>
    <cellStyle name="Currency 2 4 10 2 5" xfId="23029"/>
    <cellStyle name="Currency 2 4 10 3" xfId="1211"/>
    <cellStyle name="Currency 2 4 10 3 2" xfId="2710"/>
    <cellStyle name="Currency 2 4 10 3 2 2" xfId="24878"/>
    <cellStyle name="Currency 2 4 10 3 3" xfId="4209"/>
    <cellStyle name="Currency 2 4 10 3 3 2" xfId="26376"/>
    <cellStyle name="Currency 2 4 10 3 4" xfId="21882"/>
    <cellStyle name="Currency 2 4 10 3 4 2" xfId="38094"/>
    <cellStyle name="Currency 2 4 10 3 5" xfId="23380"/>
    <cellStyle name="Currency 2 4 10 4" xfId="1562"/>
    <cellStyle name="Currency 2 4 10 4 2" xfId="3061"/>
    <cellStyle name="Currency 2 4 10 4 2 2" xfId="25229"/>
    <cellStyle name="Currency 2 4 10 4 3" xfId="4560"/>
    <cellStyle name="Currency 2 4 10 4 3 2" xfId="26727"/>
    <cellStyle name="Currency 2 4 10 4 4" xfId="22233"/>
    <cellStyle name="Currency 2 4 10 4 4 2" xfId="38445"/>
    <cellStyle name="Currency 2 4 10 4 5" xfId="23731"/>
    <cellStyle name="Currency 2 4 10 5" xfId="2008"/>
    <cellStyle name="Currency 2 4 10 5 2" xfId="24176"/>
    <cellStyle name="Currency 2 4 10 6" xfId="3507"/>
    <cellStyle name="Currency 2 4 10 6 2" xfId="25674"/>
    <cellStyle name="Currency 2 4 10 7" xfId="21180"/>
    <cellStyle name="Currency 2 4 10 7 2" xfId="37392"/>
    <cellStyle name="Currency 2 4 10 8" xfId="22678"/>
    <cellStyle name="Currency 2 4 11" xfId="626"/>
    <cellStyle name="Currency 2 4 11 2" xfId="977"/>
    <cellStyle name="Currency 2 4 11 2 2" xfId="2476"/>
    <cellStyle name="Currency 2 4 11 2 2 2" xfId="24644"/>
    <cellStyle name="Currency 2 4 11 2 3" xfId="3975"/>
    <cellStyle name="Currency 2 4 11 2 3 2" xfId="26142"/>
    <cellStyle name="Currency 2 4 11 2 4" xfId="21648"/>
    <cellStyle name="Currency 2 4 11 2 4 2" xfId="37860"/>
    <cellStyle name="Currency 2 4 11 2 5" xfId="23146"/>
    <cellStyle name="Currency 2 4 11 3" xfId="1328"/>
    <cellStyle name="Currency 2 4 11 3 2" xfId="2827"/>
    <cellStyle name="Currency 2 4 11 3 2 2" xfId="24995"/>
    <cellStyle name="Currency 2 4 11 3 3" xfId="4326"/>
    <cellStyle name="Currency 2 4 11 3 3 2" xfId="26493"/>
    <cellStyle name="Currency 2 4 11 3 4" xfId="21999"/>
    <cellStyle name="Currency 2 4 11 3 4 2" xfId="38211"/>
    <cellStyle name="Currency 2 4 11 3 5" xfId="23497"/>
    <cellStyle name="Currency 2 4 11 4" xfId="1679"/>
    <cellStyle name="Currency 2 4 11 4 2" xfId="3178"/>
    <cellStyle name="Currency 2 4 11 4 2 2" xfId="25346"/>
    <cellStyle name="Currency 2 4 11 4 3" xfId="4677"/>
    <cellStyle name="Currency 2 4 11 4 3 2" xfId="26844"/>
    <cellStyle name="Currency 2 4 11 4 4" xfId="22350"/>
    <cellStyle name="Currency 2 4 11 4 4 2" xfId="38562"/>
    <cellStyle name="Currency 2 4 11 4 5" xfId="23848"/>
    <cellStyle name="Currency 2 4 11 5" xfId="2125"/>
    <cellStyle name="Currency 2 4 11 5 2" xfId="24293"/>
    <cellStyle name="Currency 2 4 11 6" xfId="3624"/>
    <cellStyle name="Currency 2 4 11 6 2" xfId="25791"/>
    <cellStyle name="Currency 2 4 11 7" xfId="21297"/>
    <cellStyle name="Currency 2 4 11 7 2" xfId="37509"/>
    <cellStyle name="Currency 2 4 11 8" xfId="22795"/>
    <cellStyle name="Currency 2 4 12" xfId="743"/>
    <cellStyle name="Currency 2 4 12 2" xfId="2242"/>
    <cellStyle name="Currency 2 4 12 2 2" xfId="24410"/>
    <cellStyle name="Currency 2 4 12 3" xfId="3741"/>
    <cellStyle name="Currency 2 4 12 3 2" xfId="25908"/>
    <cellStyle name="Currency 2 4 12 4" xfId="21414"/>
    <cellStyle name="Currency 2 4 12 4 2" xfId="37626"/>
    <cellStyle name="Currency 2 4 12 5" xfId="22912"/>
    <cellStyle name="Currency 2 4 13" xfId="1094"/>
    <cellStyle name="Currency 2 4 13 2" xfId="2593"/>
    <cellStyle name="Currency 2 4 13 2 2" xfId="24761"/>
    <cellStyle name="Currency 2 4 13 3" xfId="4092"/>
    <cellStyle name="Currency 2 4 13 3 2" xfId="26259"/>
    <cellStyle name="Currency 2 4 13 4" xfId="21765"/>
    <cellStyle name="Currency 2 4 13 4 2" xfId="37977"/>
    <cellStyle name="Currency 2 4 13 5" xfId="23263"/>
    <cellStyle name="Currency 2 4 14" xfId="1445"/>
    <cellStyle name="Currency 2 4 14 2" xfId="2944"/>
    <cellStyle name="Currency 2 4 14 2 2" xfId="25112"/>
    <cellStyle name="Currency 2 4 14 3" xfId="4443"/>
    <cellStyle name="Currency 2 4 14 3 2" xfId="26610"/>
    <cellStyle name="Currency 2 4 14 4" xfId="22116"/>
    <cellStyle name="Currency 2 4 14 4 2" xfId="38328"/>
    <cellStyle name="Currency 2 4 14 5" xfId="23614"/>
    <cellStyle name="Currency 2 4 15" xfId="1891"/>
    <cellStyle name="Currency 2 4 15 2" xfId="24059"/>
    <cellStyle name="Currency 2 4 16" xfId="3390"/>
    <cellStyle name="Currency 2 4 16 2" xfId="25557"/>
    <cellStyle name="Currency 2 4 17" xfId="8016"/>
    <cellStyle name="Currency 2 4 18" xfId="21063"/>
    <cellStyle name="Currency 2 4 18 2" xfId="37275"/>
    <cellStyle name="Currency 2 4 19" xfId="22561"/>
    <cellStyle name="Currency 2 4 2" xfId="391"/>
    <cellStyle name="Currency 2 4 2 10" xfId="748"/>
    <cellStyle name="Currency 2 4 2 10 2" xfId="2247"/>
    <cellStyle name="Currency 2 4 2 10 2 2" xfId="24415"/>
    <cellStyle name="Currency 2 4 2 10 3" xfId="3746"/>
    <cellStyle name="Currency 2 4 2 10 3 2" xfId="25913"/>
    <cellStyle name="Currency 2 4 2 10 4" xfId="21419"/>
    <cellStyle name="Currency 2 4 2 10 4 2" xfId="37631"/>
    <cellStyle name="Currency 2 4 2 10 5" xfId="22917"/>
    <cellStyle name="Currency 2 4 2 11" xfId="1099"/>
    <cellStyle name="Currency 2 4 2 11 2" xfId="2598"/>
    <cellStyle name="Currency 2 4 2 11 2 2" xfId="24766"/>
    <cellStyle name="Currency 2 4 2 11 3" xfId="4097"/>
    <cellStyle name="Currency 2 4 2 11 3 2" xfId="26264"/>
    <cellStyle name="Currency 2 4 2 11 4" xfId="21770"/>
    <cellStyle name="Currency 2 4 2 11 4 2" xfId="37982"/>
    <cellStyle name="Currency 2 4 2 11 5" xfId="23268"/>
    <cellStyle name="Currency 2 4 2 12" xfId="1450"/>
    <cellStyle name="Currency 2 4 2 12 2" xfId="2949"/>
    <cellStyle name="Currency 2 4 2 12 2 2" xfId="25117"/>
    <cellStyle name="Currency 2 4 2 12 3" xfId="4448"/>
    <cellStyle name="Currency 2 4 2 12 3 2" xfId="26615"/>
    <cellStyle name="Currency 2 4 2 12 4" xfId="22121"/>
    <cellStyle name="Currency 2 4 2 12 4 2" xfId="38333"/>
    <cellStyle name="Currency 2 4 2 12 5" xfId="23619"/>
    <cellStyle name="Currency 2 4 2 13" xfId="1896"/>
    <cellStyle name="Currency 2 4 2 13 2" xfId="24064"/>
    <cellStyle name="Currency 2 4 2 14" xfId="3395"/>
    <cellStyle name="Currency 2 4 2 14 2" xfId="25562"/>
    <cellStyle name="Currency 2 4 2 15" xfId="12291"/>
    <cellStyle name="Currency 2 4 2 16" xfId="21068"/>
    <cellStyle name="Currency 2 4 2 16 2" xfId="37280"/>
    <cellStyle name="Currency 2 4 2 17" xfId="22566"/>
    <cellStyle name="Currency 2 4 2 2" xfId="404"/>
    <cellStyle name="Currency 2 4 2 2 10" xfId="21077"/>
    <cellStyle name="Currency 2 4 2 2 10 2" xfId="37289"/>
    <cellStyle name="Currency 2 4 2 2 11" xfId="22575"/>
    <cellStyle name="Currency 2 4 2 2 2" xfId="456"/>
    <cellStyle name="Currency 2 4 2 2 2 10" xfId="22627"/>
    <cellStyle name="Currency 2 4 2 2 2 2" xfId="574"/>
    <cellStyle name="Currency 2 4 2 2 2 2 2" xfId="926"/>
    <cellStyle name="Currency 2 4 2 2 2 2 2 2" xfId="2425"/>
    <cellStyle name="Currency 2 4 2 2 2 2 2 2 2" xfId="24593"/>
    <cellStyle name="Currency 2 4 2 2 2 2 2 3" xfId="3924"/>
    <cellStyle name="Currency 2 4 2 2 2 2 2 3 2" xfId="26091"/>
    <cellStyle name="Currency 2 4 2 2 2 2 2 4" xfId="21597"/>
    <cellStyle name="Currency 2 4 2 2 2 2 2 4 2" xfId="37809"/>
    <cellStyle name="Currency 2 4 2 2 2 2 2 5" xfId="23095"/>
    <cellStyle name="Currency 2 4 2 2 2 2 3" xfId="1277"/>
    <cellStyle name="Currency 2 4 2 2 2 2 3 2" xfId="2776"/>
    <cellStyle name="Currency 2 4 2 2 2 2 3 2 2" xfId="24944"/>
    <cellStyle name="Currency 2 4 2 2 2 2 3 3" xfId="4275"/>
    <cellStyle name="Currency 2 4 2 2 2 2 3 3 2" xfId="26442"/>
    <cellStyle name="Currency 2 4 2 2 2 2 3 4" xfId="21948"/>
    <cellStyle name="Currency 2 4 2 2 2 2 3 4 2" xfId="38160"/>
    <cellStyle name="Currency 2 4 2 2 2 2 3 5" xfId="23446"/>
    <cellStyle name="Currency 2 4 2 2 2 2 4" xfId="1628"/>
    <cellStyle name="Currency 2 4 2 2 2 2 4 2" xfId="3127"/>
    <cellStyle name="Currency 2 4 2 2 2 2 4 2 2" xfId="25295"/>
    <cellStyle name="Currency 2 4 2 2 2 2 4 3" xfId="4626"/>
    <cellStyle name="Currency 2 4 2 2 2 2 4 3 2" xfId="26793"/>
    <cellStyle name="Currency 2 4 2 2 2 2 4 4" xfId="22299"/>
    <cellStyle name="Currency 2 4 2 2 2 2 4 4 2" xfId="38511"/>
    <cellStyle name="Currency 2 4 2 2 2 2 4 5" xfId="23797"/>
    <cellStyle name="Currency 2 4 2 2 2 2 5" xfId="2074"/>
    <cellStyle name="Currency 2 4 2 2 2 2 5 2" xfId="24242"/>
    <cellStyle name="Currency 2 4 2 2 2 2 6" xfId="3573"/>
    <cellStyle name="Currency 2 4 2 2 2 2 6 2" xfId="25740"/>
    <cellStyle name="Currency 2 4 2 2 2 2 7" xfId="21246"/>
    <cellStyle name="Currency 2 4 2 2 2 2 7 2" xfId="37458"/>
    <cellStyle name="Currency 2 4 2 2 2 2 8" xfId="22744"/>
    <cellStyle name="Currency 2 4 2 2 2 3" xfId="692"/>
    <cellStyle name="Currency 2 4 2 2 2 3 2" xfId="1043"/>
    <cellStyle name="Currency 2 4 2 2 2 3 2 2" xfId="2542"/>
    <cellStyle name="Currency 2 4 2 2 2 3 2 2 2" xfId="24710"/>
    <cellStyle name="Currency 2 4 2 2 2 3 2 3" xfId="4041"/>
    <cellStyle name="Currency 2 4 2 2 2 3 2 3 2" xfId="26208"/>
    <cellStyle name="Currency 2 4 2 2 2 3 2 4" xfId="21714"/>
    <cellStyle name="Currency 2 4 2 2 2 3 2 4 2" xfId="37926"/>
    <cellStyle name="Currency 2 4 2 2 2 3 2 5" xfId="23212"/>
    <cellStyle name="Currency 2 4 2 2 2 3 3" xfId="1394"/>
    <cellStyle name="Currency 2 4 2 2 2 3 3 2" xfId="2893"/>
    <cellStyle name="Currency 2 4 2 2 2 3 3 2 2" xfId="25061"/>
    <cellStyle name="Currency 2 4 2 2 2 3 3 3" xfId="4392"/>
    <cellStyle name="Currency 2 4 2 2 2 3 3 3 2" xfId="26559"/>
    <cellStyle name="Currency 2 4 2 2 2 3 3 4" xfId="22065"/>
    <cellStyle name="Currency 2 4 2 2 2 3 3 4 2" xfId="38277"/>
    <cellStyle name="Currency 2 4 2 2 2 3 3 5" xfId="23563"/>
    <cellStyle name="Currency 2 4 2 2 2 3 4" xfId="1745"/>
    <cellStyle name="Currency 2 4 2 2 2 3 4 2" xfId="3244"/>
    <cellStyle name="Currency 2 4 2 2 2 3 4 2 2" xfId="25412"/>
    <cellStyle name="Currency 2 4 2 2 2 3 4 3" xfId="4743"/>
    <cellStyle name="Currency 2 4 2 2 2 3 4 3 2" xfId="26910"/>
    <cellStyle name="Currency 2 4 2 2 2 3 4 4" xfId="22416"/>
    <cellStyle name="Currency 2 4 2 2 2 3 4 4 2" xfId="38628"/>
    <cellStyle name="Currency 2 4 2 2 2 3 4 5" xfId="23914"/>
    <cellStyle name="Currency 2 4 2 2 2 3 5" xfId="2191"/>
    <cellStyle name="Currency 2 4 2 2 2 3 5 2" xfId="24359"/>
    <cellStyle name="Currency 2 4 2 2 2 3 6" xfId="3690"/>
    <cellStyle name="Currency 2 4 2 2 2 3 6 2" xfId="25857"/>
    <cellStyle name="Currency 2 4 2 2 2 3 7" xfId="21363"/>
    <cellStyle name="Currency 2 4 2 2 2 3 7 2" xfId="37575"/>
    <cellStyle name="Currency 2 4 2 2 2 3 8" xfId="22861"/>
    <cellStyle name="Currency 2 4 2 2 2 4" xfId="809"/>
    <cellStyle name="Currency 2 4 2 2 2 4 2" xfId="2308"/>
    <cellStyle name="Currency 2 4 2 2 2 4 2 2" xfId="24476"/>
    <cellStyle name="Currency 2 4 2 2 2 4 3" xfId="3807"/>
    <cellStyle name="Currency 2 4 2 2 2 4 3 2" xfId="25974"/>
    <cellStyle name="Currency 2 4 2 2 2 4 4" xfId="21480"/>
    <cellStyle name="Currency 2 4 2 2 2 4 4 2" xfId="37692"/>
    <cellStyle name="Currency 2 4 2 2 2 4 5" xfId="22978"/>
    <cellStyle name="Currency 2 4 2 2 2 5" xfId="1160"/>
    <cellStyle name="Currency 2 4 2 2 2 5 2" xfId="2659"/>
    <cellStyle name="Currency 2 4 2 2 2 5 2 2" xfId="24827"/>
    <cellStyle name="Currency 2 4 2 2 2 5 3" xfId="4158"/>
    <cellStyle name="Currency 2 4 2 2 2 5 3 2" xfId="26325"/>
    <cellStyle name="Currency 2 4 2 2 2 5 4" xfId="21831"/>
    <cellStyle name="Currency 2 4 2 2 2 5 4 2" xfId="38043"/>
    <cellStyle name="Currency 2 4 2 2 2 5 5" xfId="23329"/>
    <cellStyle name="Currency 2 4 2 2 2 6" xfId="1511"/>
    <cellStyle name="Currency 2 4 2 2 2 6 2" xfId="3010"/>
    <cellStyle name="Currency 2 4 2 2 2 6 2 2" xfId="25178"/>
    <cellStyle name="Currency 2 4 2 2 2 6 3" xfId="4509"/>
    <cellStyle name="Currency 2 4 2 2 2 6 3 2" xfId="26676"/>
    <cellStyle name="Currency 2 4 2 2 2 6 4" xfId="22182"/>
    <cellStyle name="Currency 2 4 2 2 2 6 4 2" xfId="38394"/>
    <cellStyle name="Currency 2 4 2 2 2 6 5" xfId="23680"/>
    <cellStyle name="Currency 2 4 2 2 2 7" xfId="1957"/>
    <cellStyle name="Currency 2 4 2 2 2 7 2" xfId="24125"/>
    <cellStyle name="Currency 2 4 2 2 2 8" xfId="3456"/>
    <cellStyle name="Currency 2 4 2 2 2 8 2" xfId="25623"/>
    <cellStyle name="Currency 2 4 2 2 2 9" xfId="21129"/>
    <cellStyle name="Currency 2 4 2 2 2 9 2" xfId="37341"/>
    <cellStyle name="Currency 2 4 2 2 3" xfId="522"/>
    <cellStyle name="Currency 2 4 2 2 3 2" xfId="874"/>
    <cellStyle name="Currency 2 4 2 2 3 2 2" xfId="2373"/>
    <cellStyle name="Currency 2 4 2 2 3 2 2 2" xfId="24541"/>
    <cellStyle name="Currency 2 4 2 2 3 2 3" xfId="3872"/>
    <cellStyle name="Currency 2 4 2 2 3 2 3 2" xfId="26039"/>
    <cellStyle name="Currency 2 4 2 2 3 2 4" xfId="21545"/>
    <cellStyle name="Currency 2 4 2 2 3 2 4 2" xfId="37757"/>
    <cellStyle name="Currency 2 4 2 2 3 2 5" xfId="23043"/>
    <cellStyle name="Currency 2 4 2 2 3 3" xfId="1225"/>
    <cellStyle name="Currency 2 4 2 2 3 3 2" xfId="2724"/>
    <cellStyle name="Currency 2 4 2 2 3 3 2 2" xfId="24892"/>
    <cellStyle name="Currency 2 4 2 2 3 3 3" xfId="4223"/>
    <cellStyle name="Currency 2 4 2 2 3 3 3 2" xfId="26390"/>
    <cellStyle name="Currency 2 4 2 2 3 3 4" xfId="21896"/>
    <cellStyle name="Currency 2 4 2 2 3 3 4 2" xfId="38108"/>
    <cellStyle name="Currency 2 4 2 2 3 3 5" xfId="23394"/>
    <cellStyle name="Currency 2 4 2 2 3 4" xfId="1576"/>
    <cellStyle name="Currency 2 4 2 2 3 4 2" xfId="3075"/>
    <cellStyle name="Currency 2 4 2 2 3 4 2 2" xfId="25243"/>
    <cellStyle name="Currency 2 4 2 2 3 4 3" xfId="4574"/>
    <cellStyle name="Currency 2 4 2 2 3 4 3 2" xfId="26741"/>
    <cellStyle name="Currency 2 4 2 2 3 4 4" xfId="22247"/>
    <cellStyle name="Currency 2 4 2 2 3 4 4 2" xfId="38459"/>
    <cellStyle name="Currency 2 4 2 2 3 4 5" xfId="23745"/>
    <cellStyle name="Currency 2 4 2 2 3 5" xfId="2022"/>
    <cellStyle name="Currency 2 4 2 2 3 5 2" xfId="24190"/>
    <cellStyle name="Currency 2 4 2 2 3 6" xfId="3521"/>
    <cellStyle name="Currency 2 4 2 2 3 6 2" xfId="25688"/>
    <cellStyle name="Currency 2 4 2 2 3 7" xfId="21194"/>
    <cellStyle name="Currency 2 4 2 2 3 7 2" xfId="37406"/>
    <cellStyle name="Currency 2 4 2 2 3 8" xfId="22692"/>
    <cellStyle name="Currency 2 4 2 2 4" xfId="640"/>
    <cellStyle name="Currency 2 4 2 2 4 2" xfId="991"/>
    <cellStyle name="Currency 2 4 2 2 4 2 2" xfId="2490"/>
    <cellStyle name="Currency 2 4 2 2 4 2 2 2" xfId="24658"/>
    <cellStyle name="Currency 2 4 2 2 4 2 3" xfId="3989"/>
    <cellStyle name="Currency 2 4 2 2 4 2 3 2" xfId="26156"/>
    <cellStyle name="Currency 2 4 2 2 4 2 4" xfId="21662"/>
    <cellStyle name="Currency 2 4 2 2 4 2 4 2" xfId="37874"/>
    <cellStyle name="Currency 2 4 2 2 4 2 5" xfId="23160"/>
    <cellStyle name="Currency 2 4 2 2 4 3" xfId="1342"/>
    <cellStyle name="Currency 2 4 2 2 4 3 2" xfId="2841"/>
    <cellStyle name="Currency 2 4 2 2 4 3 2 2" xfId="25009"/>
    <cellStyle name="Currency 2 4 2 2 4 3 3" xfId="4340"/>
    <cellStyle name="Currency 2 4 2 2 4 3 3 2" xfId="26507"/>
    <cellStyle name="Currency 2 4 2 2 4 3 4" xfId="22013"/>
    <cellStyle name="Currency 2 4 2 2 4 3 4 2" xfId="38225"/>
    <cellStyle name="Currency 2 4 2 2 4 3 5" xfId="23511"/>
    <cellStyle name="Currency 2 4 2 2 4 4" xfId="1693"/>
    <cellStyle name="Currency 2 4 2 2 4 4 2" xfId="3192"/>
    <cellStyle name="Currency 2 4 2 2 4 4 2 2" xfId="25360"/>
    <cellStyle name="Currency 2 4 2 2 4 4 3" xfId="4691"/>
    <cellStyle name="Currency 2 4 2 2 4 4 3 2" xfId="26858"/>
    <cellStyle name="Currency 2 4 2 2 4 4 4" xfId="22364"/>
    <cellStyle name="Currency 2 4 2 2 4 4 4 2" xfId="38576"/>
    <cellStyle name="Currency 2 4 2 2 4 4 5" xfId="23862"/>
    <cellStyle name="Currency 2 4 2 2 4 5" xfId="2139"/>
    <cellStyle name="Currency 2 4 2 2 4 5 2" xfId="24307"/>
    <cellStyle name="Currency 2 4 2 2 4 6" xfId="3638"/>
    <cellStyle name="Currency 2 4 2 2 4 6 2" xfId="25805"/>
    <cellStyle name="Currency 2 4 2 2 4 7" xfId="21311"/>
    <cellStyle name="Currency 2 4 2 2 4 7 2" xfId="37523"/>
    <cellStyle name="Currency 2 4 2 2 4 8" xfId="22809"/>
    <cellStyle name="Currency 2 4 2 2 5" xfId="757"/>
    <cellStyle name="Currency 2 4 2 2 5 2" xfId="2256"/>
    <cellStyle name="Currency 2 4 2 2 5 2 2" xfId="24424"/>
    <cellStyle name="Currency 2 4 2 2 5 3" xfId="3755"/>
    <cellStyle name="Currency 2 4 2 2 5 3 2" xfId="25922"/>
    <cellStyle name="Currency 2 4 2 2 5 4" xfId="21428"/>
    <cellStyle name="Currency 2 4 2 2 5 4 2" xfId="37640"/>
    <cellStyle name="Currency 2 4 2 2 5 5" xfId="22926"/>
    <cellStyle name="Currency 2 4 2 2 6" xfId="1108"/>
    <cellStyle name="Currency 2 4 2 2 6 2" xfId="2607"/>
    <cellStyle name="Currency 2 4 2 2 6 2 2" xfId="24775"/>
    <cellStyle name="Currency 2 4 2 2 6 3" xfId="4106"/>
    <cellStyle name="Currency 2 4 2 2 6 3 2" xfId="26273"/>
    <cellStyle name="Currency 2 4 2 2 6 4" xfId="21779"/>
    <cellStyle name="Currency 2 4 2 2 6 4 2" xfId="37991"/>
    <cellStyle name="Currency 2 4 2 2 6 5" xfId="23277"/>
    <cellStyle name="Currency 2 4 2 2 7" xfId="1459"/>
    <cellStyle name="Currency 2 4 2 2 7 2" xfId="2958"/>
    <cellStyle name="Currency 2 4 2 2 7 2 2" xfId="25126"/>
    <cellStyle name="Currency 2 4 2 2 7 3" xfId="4457"/>
    <cellStyle name="Currency 2 4 2 2 7 3 2" xfId="26624"/>
    <cellStyle name="Currency 2 4 2 2 7 4" xfId="22130"/>
    <cellStyle name="Currency 2 4 2 2 7 4 2" xfId="38342"/>
    <cellStyle name="Currency 2 4 2 2 7 5" xfId="23628"/>
    <cellStyle name="Currency 2 4 2 2 8" xfId="1905"/>
    <cellStyle name="Currency 2 4 2 2 8 2" xfId="24073"/>
    <cellStyle name="Currency 2 4 2 2 9" xfId="3404"/>
    <cellStyle name="Currency 2 4 2 2 9 2" xfId="25571"/>
    <cellStyle name="Currency 2 4 2 3" xfId="416"/>
    <cellStyle name="Currency 2 4 2 3 10" xfId="22587"/>
    <cellStyle name="Currency 2 4 2 3 2" xfId="534"/>
    <cellStyle name="Currency 2 4 2 3 2 2" xfId="886"/>
    <cellStyle name="Currency 2 4 2 3 2 2 2" xfId="2385"/>
    <cellStyle name="Currency 2 4 2 3 2 2 2 2" xfId="24553"/>
    <cellStyle name="Currency 2 4 2 3 2 2 3" xfId="3884"/>
    <cellStyle name="Currency 2 4 2 3 2 2 3 2" xfId="26051"/>
    <cellStyle name="Currency 2 4 2 3 2 2 4" xfId="21557"/>
    <cellStyle name="Currency 2 4 2 3 2 2 4 2" xfId="37769"/>
    <cellStyle name="Currency 2 4 2 3 2 2 5" xfId="23055"/>
    <cellStyle name="Currency 2 4 2 3 2 3" xfId="1237"/>
    <cellStyle name="Currency 2 4 2 3 2 3 2" xfId="2736"/>
    <cellStyle name="Currency 2 4 2 3 2 3 2 2" xfId="24904"/>
    <cellStyle name="Currency 2 4 2 3 2 3 3" xfId="4235"/>
    <cellStyle name="Currency 2 4 2 3 2 3 3 2" xfId="26402"/>
    <cellStyle name="Currency 2 4 2 3 2 3 4" xfId="21908"/>
    <cellStyle name="Currency 2 4 2 3 2 3 4 2" xfId="38120"/>
    <cellStyle name="Currency 2 4 2 3 2 3 5" xfId="23406"/>
    <cellStyle name="Currency 2 4 2 3 2 4" xfId="1588"/>
    <cellStyle name="Currency 2 4 2 3 2 4 2" xfId="3087"/>
    <cellStyle name="Currency 2 4 2 3 2 4 2 2" xfId="25255"/>
    <cellStyle name="Currency 2 4 2 3 2 4 3" xfId="4586"/>
    <cellStyle name="Currency 2 4 2 3 2 4 3 2" xfId="26753"/>
    <cellStyle name="Currency 2 4 2 3 2 4 4" xfId="22259"/>
    <cellStyle name="Currency 2 4 2 3 2 4 4 2" xfId="38471"/>
    <cellStyle name="Currency 2 4 2 3 2 4 5" xfId="23757"/>
    <cellStyle name="Currency 2 4 2 3 2 5" xfId="2034"/>
    <cellStyle name="Currency 2 4 2 3 2 5 2" xfId="24202"/>
    <cellStyle name="Currency 2 4 2 3 2 6" xfId="3533"/>
    <cellStyle name="Currency 2 4 2 3 2 6 2" xfId="25700"/>
    <cellStyle name="Currency 2 4 2 3 2 7" xfId="21206"/>
    <cellStyle name="Currency 2 4 2 3 2 7 2" xfId="37418"/>
    <cellStyle name="Currency 2 4 2 3 2 8" xfId="22704"/>
    <cellStyle name="Currency 2 4 2 3 3" xfId="652"/>
    <cellStyle name="Currency 2 4 2 3 3 2" xfId="1003"/>
    <cellStyle name="Currency 2 4 2 3 3 2 2" xfId="2502"/>
    <cellStyle name="Currency 2 4 2 3 3 2 2 2" xfId="24670"/>
    <cellStyle name="Currency 2 4 2 3 3 2 3" xfId="4001"/>
    <cellStyle name="Currency 2 4 2 3 3 2 3 2" xfId="26168"/>
    <cellStyle name="Currency 2 4 2 3 3 2 4" xfId="21674"/>
    <cellStyle name="Currency 2 4 2 3 3 2 4 2" xfId="37886"/>
    <cellStyle name="Currency 2 4 2 3 3 2 5" xfId="23172"/>
    <cellStyle name="Currency 2 4 2 3 3 3" xfId="1354"/>
    <cellStyle name="Currency 2 4 2 3 3 3 2" xfId="2853"/>
    <cellStyle name="Currency 2 4 2 3 3 3 2 2" xfId="25021"/>
    <cellStyle name="Currency 2 4 2 3 3 3 3" xfId="4352"/>
    <cellStyle name="Currency 2 4 2 3 3 3 3 2" xfId="26519"/>
    <cellStyle name="Currency 2 4 2 3 3 3 4" xfId="22025"/>
    <cellStyle name="Currency 2 4 2 3 3 3 4 2" xfId="38237"/>
    <cellStyle name="Currency 2 4 2 3 3 3 5" xfId="23523"/>
    <cellStyle name="Currency 2 4 2 3 3 4" xfId="1705"/>
    <cellStyle name="Currency 2 4 2 3 3 4 2" xfId="3204"/>
    <cellStyle name="Currency 2 4 2 3 3 4 2 2" xfId="25372"/>
    <cellStyle name="Currency 2 4 2 3 3 4 3" xfId="4703"/>
    <cellStyle name="Currency 2 4 2 3 3 4 3 2" xfId="26870"/>
    <cellStyle name="Currency 2 4 2 3 3 4 4" xfId="22376"/>
    <cellStyle name="Currency 2 4 2 3 3 4 4 2" xfId="38588"/>
    <cellStyle name="Currency 2 4 2 3 3 4 5" xfId="23874"/>
    <cellStyle name="Currency 2 4 2 3 3 5" xfId="2151"/>
    <cellStyle name="Currency 2 4 2 3 3 5 2" xfId="24319"/>
    <cellStyle name="Currency 2 4 2 3 3 6" xfId="3650"/>
    <cellStyle name="Currency 2 4 2 3 3 6 2" xfId="25817"/>
    <cellStyle name="Currency 2 4 2 3 3 7" xfId="21323"/>
    <cellStyle name="Currency 2 4 2 3 3 7 2" xfId="37535"/>
    <cellStyle name="Currency 2 4 2 3 3 8" xfId="22821"/>
    <cellStyle name="Currency 2 4 2 3 4" xfId="769"/>
    <cellStyle name="Currency 2 4 2 3 4 2" xfId="2268"/>
    <cellStyle name="Currency 2 4 2 3 4 2 2" xfId="24436"/>
    <cellStyle name="Currency 2 4 2 3 4 3" xfId="3767"/>
    <cellStyle name="Currency 2 4 2 3 4 3 2" xfId="25934"/>
    <cellStyle name="Currency 2 4 2 3 4 4" xfId="21440"/>
    <cellStyle name="Currency 2 4 2 3 4 4 2" xfId="37652"/>
    <cellStyle name="Currency 2 4 2 3 4 5" xfId="22938"/>
    <cellStyle name="Currency 2 4 2 3 5" xfId="1120"/>
    <cellStyle name="Currency 2 4 2 3 5 2" xfId="2619"/>
    <cellStyle name="Currency 2 4 2 3 5 2 2" xfId="24787"/>
    <cellStyle name="Currency 2 4 2 3 5 3" xfId="4118"/>
    <cellStyle name="Currency 2 4 2 3 5 3 2" xfId="26285"/>
    <cellStyle name="Currency 2 4 2 3 5 4" xfId="21791"/>
    <cellStyle name="Currency 2 4 2 3 5 4 2" xfId="38003"/>
    <cellStyle name="Currency 2 4 2 3 5 5" xfId="23289"/>
    <cellStyle name="Currency 2 4 2 3 6" xfId="1471"/>
    <cellStyle name="Currency 2 4 2 3 6 2" xfId="2970"/>
    <cellStyle name="Currency 2 4 2 3 6 2 2" xfId="25138"/>
    <cellStyle name="Currency 2 4 2 3 6 3" xfId="4469"/>
    <cellStyle name="Currency 2 4 2 3 6 3 2" xfId="26636"/>
    <cellStyle name="Currency 2 4 2 3 6 4" xfId="22142"/>
    <cellStyle name="Currency 2 4 2 3 6 4 2" xfId="38354"/>
    <cellStyle name="Currency 2 4 2 3 6 5" xfId="23640"/>
    <cellStyle name="Currency 2 4 2 3 7" xfId="1917"/>
    <cellStyle name="Currency 2 4 2 3 7 2" xfId="24085"/>
    <cellStyle name="Currency 2 4 2 3 8" xfId="3416"/>
    <cellStyle name="Currency 2 4 2 3 8 2" xfId="25583"/>
    <cellStyle name="Currency 2 4 2 3 9" xfId="21089"/>
    <cellStyle name="Currency 2 4 2 3 9 2" xfId="37301"/>
    <cellStyle name="Currency 2 4 2 4" xfId="429"/>
    <cellStyle name="Currency 2 4 2 4 10" xfId="22600"/>
    <cellStyle name="Currency 2 4 2 4 2" xfId="547"/>
    <cellStyle name="Currency 2 4 2 4 2 2" xfId="899"/>
    <cellStyle name="Currency 2 4 2 4 2 2 2" xfId="2398"/>
    <cellStyle name="Currency 2 4 2 4 2 2 2 2" xfId="24566"/>
    <cellStyle name="Currency 2 4 2 4 2 2 3" xfId="3897"/>
    <cellStyle name="Currency 2 4 2 4 2 2 3 2" xfId="26064"/>
    <cellStyle name="Currency 2 4 2 4 2 2 4" xfId="21570"/>
    <cellStyle name="Currency 2 4 2 4 2 2 4 2" xfId="37782"/>
    <cellStyle name="Currency 2 4 2 4 2 2 5" xfId="23068"/>
    <cellStyle name="Currency 2 4 2 4 2 3" xfId="1250"/>
    <cellStyle name="Currency 2 4 2 4 2 3 2" xfId="2749"/>
    <cellStyle name="Currency 2 4 2 4 2 3 2 2" xfId="24917"/>
    <cellStyle name="Currency 2 4 2 4 2 3 3" xfId="4248"/>
    <cellStyle name="Currency 2 4 2 4 2 3 3 2" xfId="26415"/>
    <cellStyle name="Currency 2 4 2 4 2 3 4" xfId="21921"/>
    <cellStyle name="Currency 2 4 2 4 2 3 4 2" xfId="38133"/>
    <cellStyle name="Currency 2 4 2 4 2 3 5" xfId="23419"/>
    <cellStyle name="Currency 2 4 2 4 2 4" xfId="1601"/>
    <cellStyle name="Currency 2 4 2 4 2 4 2" xfId="3100"/>
    <cellStyle name="Currency 2 4 2 4 2 4 2 2" xfId="25268"/>
    <cellStyle name="Currency 2 4 2 4 2 4 3" xfId="4599"/>
    <cellStyle name="Currency 2 4 2 4 2 4 3 2" xfId="26766"/>
    <cellStyle name="Currency 2 4 2 4 2 4 4" xfId="22272"/>
    <cellStyle name="Currency 2 4 2 4 2 4 4 2" xfId="38484"/>
    <cellStyle name="Currency 2 4 2 4 2 4 5" xfId="23770"/>
    <cellStyle name="Currency 2 4 2 4 2 5" xfId="2047"/>
    <cellStyle name="Currency 2 4 2 4 2 5 2" xfId="24215"/>
    <cellStyle name="Currency 2 4 2 4 2 6" xfId="3546"/>
    <cellStyle name="Currency 2 4 2 4 2 6 2" xfId="25713"/>
    <cellStyle name="Currency 2 4 2 4 2 7" xfId="21219"/>
    <cellStyle name="Currency 2 4 2 4 2 7 2" xfId="37431"/>
    <cellStyle name="Currency 2 4 2 4 2 8" xfId="22717"/>
    <cellStyle name="Currency 2 4 2 4 3" xfId="665"/>
    <cellStyle name="Currency 2 4 2 4 3 2" xfId="1016"/>
    <cellStyle name="Currency 2 4 2 4 3 2 2" xfId="2515"/>
    <cellStyle name="Currency 2 4 2 4 3 2 2 2" xfId="24683"/>
    <cellStyle name="Currency 2 4 2 4 3 2 3" xfId="4014"/>
    <cellStyle name="Currency 2 4 2 4 3 2 3 2" xfId="26181"/>
    <cellStyle name="Currency 2 4 2 4 3 2 4" xfId="21687"/>
    <cellStyle name="Currency 2 4 2 4 3 2 4 2" xfId="37899"/>
    <cellStyle name="Currency 2 4 2 4 3 2 5" xfId="23185"/>
    <cellStyle name="Currency 2 4 2 4 3 3" xfId="1367"/>
    <cellStyle name="Currency 2 4 2 4 3 3 2" xfId="2866"/>
    <cellStyle name="Currency 2 4 2 4 3 3 2 2" xfId="25034"/>
    <cellStyle name="Currency 2 4 2 4 3 3 3" xfId="4365"/>
    <cellStyle name="Currency 2 4 2 4 3 3 3 2" xfId="26532"/>
    <cellStyle name="Currency 2 4 2 4 3 3 4" xfId="22038"/>
    <cellStyle name="Currency 2 4 2 4 3 3 4 2" xfId="38250"/>
    <cellStyle name="Currency 2 4 2 4 3 3 5" xfId="23536"/>
    <cellStyle name="Currency 2 4 2 4 3 4" xfId="1718"/>
    <cellStyle name="Currency 2 4 2 4 3 4 2" xfId="3217"/>
    <cellStyle name="Currency 2 4 2 4 3 4 2 2" xfId="25385"/>
    <cellStyle name="Currency 2 4 2 4 3 4 3" xfId="4716"/>
    <cellStyle name="Currency 2 4 2 4 3 4 3 2" xfId="26883"/>
    <cellStyle name="Currency 2 4 2 4 3 4 4" xfId="22389"/>
    <cellStyle name="Currency 2 4 2 4 3 4 4 2" xfId="38601"/>
    <cellStyle name="Currency 2 4 2 4 3 4 5" xfId="23887"/>
    <cellStyle name="Currency 2 4 2 4 3 5" xfId="2164"/>
    <cellStyle name="Currency 2 4 2 4 3 5 2" xfId="24332"/>
    <cellStyle name="Currency 2 4 2 4 3 6" xfId="3663"/>
    <cellStyle name="Currency 2 4 2 4 3 6 2" xfId="25830"/>
    <cellStyle name="Currency 2 4 2 4 3 7" xfId="21336"/>
    <cellStyle name="Currency 2 4 2 4 3 7 2" xfId="37548"/>
    <cellStyle name="Currency 2 4 2 4 3 8" xfId="22834"/>
    <cellStyle name="Currency 2 4 2 4 4" xfId="782"/>
    <cellStyle name="Currency 2 4 2 4 4 2" xfId="2281"/>
    <cellStyle name="Currency 2 4 2 4 4 2 2" xfId="24449"/>
    <cellStyle name="Currency 2 4 2 4 4 3" xfId="3780"/>
    <cellStyle name="Currency 2 4 2 4 4 3 2" xfId="25947"/>
    <cellStyle name="Currency 2 4 2 4 4 4" xfId="21453"/>
    <cellStyle name="Currency 2 4 2 4 4 4 2" xfId="37665"/>
    <cellStyle name="Currency 2 4 2 4 4 5" xfId="22951"/>
    <cellStyle name="Currency 2 4 2 4 5" xfId="1133"/>
    <cellStyle name="Currency 2 4 2 4 5 2" xfId="2632"/>
    <cellStyle name="Currency 2 4 2 4 5 2 2" xfId="24800"/>
    <cellStyle name="Currency 2 4 2 4 5 3" xfId="4131"/>
    <cellStyle name="Currency 2 4 2 4 5 3 2" xfId="26298"/>
    <cellStyle name="Currency 2 4 2 4 5 4" xfId="21804"/>
    <cellStyle name="Currency 2 4 2 4 5 4 2" xfId="38016"/>
    <cellStyle name="Currency 2 4 2 4 5 5" xfId="23302"/>
    <cellStyle name="Currency 2 4 2 4 6" xfId="1484"/>
    <cellStyle name="Currency 2 4 2 4 6 2" xfId="2983"/>
    <cellStyle name="Currency 2 4 2 4 6 2 2" xfId="25151"/>
    <cellStyle name="Currency 2 4 2 4 6 3" xfId="4482"/>
    <cellStyle name="Currency 2 4 2 4 6 3 2" xfId="26649"/>
    <cellStyle name="Currency 2 4 2 4 6 4" xfId="22155"/>
    <cellStyle name="Currency 2 4 2 4 6 4 2" xfId="38367"/>
    <cellStyle name="Currency 2 4 2 4 6 5" xfId="23653"/>
    <cellStyle name="Currency 2 4 2 4 7" xfId="1930"/>
    <cellStyle name="Currency 2 4 2 4 7 2" xfId="24098"/>
    <cellStyle name="Currency 2 4 2 4 8" xfId="3429"/>
    <cellStyle name="Currency 2 4 2 4 8 2" xfId="25596"/>
    <cellStyle name="Currency 2 4 2 4 9" xfId="21102"/>
    <cellStyle name="Currency 2 4 2 4 9 2" xfId="37314"/>
    <cellStyle name="Currency 2 4 2 5" xfId="447"/>
    <cellStyle name="Currency 2 4 2 5 10" xfId="22618"/>
    <cellStyle name="Currency 2 4 2 5 2" xfId="565"/>
    <cellStyle name="Currency 2 4 2 5 2 2" xfId="917"/>
    <cellStyle name="Currency 2 4 2 5 2 2 2" xfId="2416"/>
    <cellStyle name="Currency 2 4 2 5 2 2 2 2" xfId="24584"/>
    <cellStyle name="Currency 2 4 2 5 2 2 3" xfId="3915"/>
    <cellStyle name="Currency 2 4 2 5 2 2 3 2" xfId="26082"/>
    <cellStyle name="Currency 2 4 2 5 2 2 4" xfId="21588"/>
    <cellStyle name="Currency 2 4 2 5 2 2 4 2" xfId="37800"/>
    <cellStyle name="Currency 2 4 2 5 2 2 5" xfId="23086"/>
    <cellStyle name="Currency 2 4 2 5 2 3" xfId="1268"/>
    <cellStyle name="Currency 2 4 2 5 2 3 2" xfId="2767"/>
    <cellStyle name="Currency 2 4 2 5 2 3 2 2" xfId="24935"/>
    <cellStyle name="Currency 2 4 2 5 2 3 3" xfId="4266"/>
    <cellStyle name="Currency 2 4 2 5 2 3 3 2" xfId="26433"/>
    <cellStyle name="Currency 2 4 2 5 2 3 4" xfId="21939"/>
    <cellStyle name="Currency 2 4 2 5 2 3 4 2" xfId="38151"/>
    <cellStyle name="Currency 2 4 2 5 2 3 5" xfId="23437"/>
    <cellStyle name="Currency 2 4 2 5 2 4" xfId="1619"/>
    <cellStyle name="Currency 2 4 2 5 2 4 2" xfId="3118"/>
    <cellStyle name="Currency 2 4 2 5 2 4 2 2" xfId="25286"/>
    <cellStyle name="Currency 2 4 2 5 2 4 3" xfId="4617"/>
    <cellStyle name="Currency 2 4 2 5 2 4 3 2" xfId="26784"/>
    <cellStyle name="Currency 2 4 2 5 2 4 4" xfId="22290"/>
    <cellStyle name="Currency 2 4 2 5 2 4 4 2" xfId="38502"/>
    <cellStyle name="Currency 2 4 2 5 2 4 5" xfId="23788"/>
    <cellStyle name="Currency 2 4 2 5 2 5" xfId="2065"/>
    <cellStyle name="Currency 2 4 2 5 2 5 2" xfId="24233"/>
    <cellStyle name="Currency 2 4 2 5 2 6" xfId="3564"/>
    <cellStyle name="Currency 2 4 2 5 2 6 2" xfId="25731"/>
    <cellStyle name="Currency 2 4 2 5 2 7" xfId="21237"/>
    <cellStyle name="Currency 2 4 2 5 2 7 2" xfId="37449"/>
    <cellStyle name="Currency 2 4 2 5 2 8" xfId="22735"/>
    <cellStyle name="Currency 2 4 2 5 3" xfId="683"/>
    <cellStyle name="Currency 2 4 2 5 3 2" xfId="1034"/>
    <cellStyle name="Currency 2 4 2 5 3 2 2" xfId="2533"/>
    <cellStyle name="Currency 2 4 2 5 3 2 2 2" xfId="24701"/>
    <cellStyle name="Currency 2 4 2 5 3 2 3" xfId="4032"/>
    <cellStyle name="Currency 2 4 2 5 3 2 3 2" xfId="26199"/>
    <cellStyle name="Currency 2 4 2 5 3 2 4" xfId="21705"/>
    <cellStyle name="Currency 2 4 2 5 3 2 4 2" xfId="37917"/>
    <cellStyle name="Currency 2 4 2 5 3 2 5" xfId="23203"/>
    <cellStyle name="Currency 2 4 2 5 3 3" xfId="1385"/>
    <cellStyle name="Currency 2 4 2 5 3 3 2" xfId="2884"/>
    <cellStyle name="Currency 2 4 2 5 3 3 2 2" xfId="25052"/>
    <cellStyle name="Currency 2 4 2 5 3 3 3" xfId="4383"/>
    <cellStyle name="Currency 2 4 2 5 3 3 3 2" xfId="26550"/>
    <cellStyle name="Currency 2 4 2 5 3 3 4" xfId="22056"/>
    <cellStyle name="Currency 2 4 2 5 3 3 4 2" xfId="38268"/>
    <cellStyle name="Currency 2 4 2 5 3 3 5" xfId="23554"/>
    <cellStyle name="Currency 2 4 2 5 3 4" xfId="1736"/>
    <cellStyle name="Currency 2 4 2 5 3 4 2" xfId="3235"/>
    <cellStyle name="Currency 2 4 2 5 3 4 2 2" xfId="25403"/>
    <cellStyle name="Currency 2 4 2 5 3 4 3" xfId="4734"/>
    <cellStyle name="Currency 2 4 2 5 3 4 3 2" xfId="26901"/>
    <cellStyle name="Currency 2 4 2 5 3 4 4" xfId="22407"/>
    <cellStyle name="Currency 2 4 2 5 3 4 4 2" xfId="38619"/>
    <cellStyle name="Currency 2 4 2 5 3 4 5" xfId="23905"/>
    <cellStyle name="Currency 2 4 2 5 3 5" xfId="2182"/>
    <cellStyle name="Currency 2 4 2 5 3 5 2" xfId="24350"/>
    <cellStyle name="Currency 2 4 2 5 3 6" xfId="3681"/>
    <cellStyle name="Currency 2 4 2 5 3 6 2" xfId="25848"/>
    <cellStyle name="Currency 2 4 2 5 3 7" xfId="21354"/>
    <cellStyle name="Currency 2 4 2 5 3 7 2" xfId="37566"/>
    <cellStyle name="Currency 2 4 2 5 3 8" xfId="22852"/>
    <cellStyle name="Currency 2 4 2 5 4" xfId="800"/>
    <cellStyle name="Currency 2 4 2 5 4 2" xfId="2299"/>
    <cellStyle name="Currency 2 4 2 5 4 2 2" xfId="24467"/>
    <cellStyle name="Currency 2 4 2 5 4 3" xfId="3798"/>
    <cellStyle name="Currency 2 4 2 5 4 3 2" xfId="25965"/>
    <cellStyle name="Currency 2 4 2 5 4 4" xfId="21471"/>
    <cellStyle name="Currency 2 4 2 5 4 4 2" xfId="37683"/>
    <cellStyle name="Currency 2 4 2 5 4 5" xfId="22969"/>
    <cellStyle name="Currency 2 4 2 5 5" xfId="1151"/>
    <cellStyle name="Currency 2 4 2 5 5 2" xfId="2650"/>
    <cellStyle name="Currency 2 4 2 5 5 2 2" xfId="24818"/>
    <cellStyle name="Currency 2 4 2 5 5 3" xfId="4149"/>
    <cellStyle name="Currency 2 4 2 5 5 3 2" xfId="26316"/>
    <cellStyle name="Currency 2 4 2 5 5 4" xfId="21822"/>
    <cellStyle name="Currency 2 4 2 5 5 4 2" xfId="38034"/>
    <cellStyle name="Currency 2 4 2 5 5 5" xfId="23320"/>
    <cellStyle name="Currency 2 4 2 5 6" xfId="1502"/>
    <cellStyle name="Currency 2 4 2 5 6 2" xfId="3001"/>
    <cellStyle name="Currency 2 4 2 5 6 2 2" xfId="25169"/>
    <cellStyle name="Currency 2 4 2 5 6 3" xfId="4500"/>
    <cellStyle name="Currency 2 4 2 5 6 3 2" xfId="26667"/>
    <cellStyle name="Currency 2 4 2 5 6 4" xfId="22173"/>
    <cellStyle name="Currency 2 4 2 5 6 4 2" xfId="38385"/>
    <cellStyle name="Currency 2 4 2 5 6 5" xfId="23671"/>
    <cellStyle name="Currency 2 4 2 5 7" xfId="1948"/>
    <cellStyle name="Currency 2 4 2 5 7 2" xfId="24116"/>
    <cellStyle name="Currency 2 4 2 5 8" xfId="3447"/>
    <cellStyle name="Currency 2 4 2 5 8 2" xfId="25614"/>
    <cellStyle name="Currency 2 4 2 5 9" xfId="21120"/>
    <cellStyle name="Currency 2 4 2 5 9 2" xfId="37332"/>
    <cellStyle name="Currency 2 4 2 6" xfId="472"/>
    <cellStyle name="Currency 2 4 2 6 10" xfId="22643"/>
    <cellStyle name="Currency 2 4 2 6 2" xfId="590"/>
    <cellStyle name="Currency 2 4 2 6 2 2" xfId="942"/>
    <cellStyle name="Currency 2 4 2 6 2 2 2" xfId="2441"/>
    <cellStyle name="Currency 2 4 2 6 2 2 2 2" xfId="24609"/>
    <cellStyle name="Currency 2 4 2 6 2 2 3" xfId="3940"/>
    <cellStyle name="Currency 2 4 2 6 2 2 3 2" xfId="26107"/>
    <cellStyle name="Currency 2 4 2 6 2 2 4" xfId="21613"/>
    <cellStyle name="Currency 2 4 2 6 2 2 4 2" xfId="37825"/>
    <cellStyle name="Currency 2 4 2 6 2 2 5" xfId="23111"/>
    <cellStyle name="Currency 2 4 2 6 2 3" xfId="1293"/>
    <cellStyle name="Currency 2 4 2 6 2 3 2" xfId="2792"/>
    <cellStyle name="Currency 2 4 2 6 2 3 2 2" xfId="24960"/>
    <cellStyle name="Currency 2 4 2 6 2 3 3" xfId="4291"/>
    <cellStyle name="Currency 2 4 2 6 2 3 3 2" xfId="26458"/>
    <cellStyle name="Currency 2 4 2 6 2 3 4" xfId="21964"/>
    <cellStyle name="Currency 2 4 2 6 2 3 4 2" xfId="38176"/>
    <cellStyle name="Currency 2 4 2 6 2 3 5" xfId="23462"/>
    <cellStyle name="Currency 2 4 2 6 2 4" xfId="1644"/>
    <cellStyle name="Currency 2 4 2 6 2 4 2" xfId="3143"/>
    <cellStyle name="Currency 2 4 2 6 2 4 2 2" xfId="25311"/>
    <cellStyle name="Currency 2 4 2 6 2 4 3" xfId="4642"/>
    <cellStyle name="Currency 2 4 2 6 2 4 3 2" xfId="26809"/>
    <cellStyle name="Currency 2 4 2 6 2 4 4" xfId="22315"/>
    <cellStyle name="Currency 2 4 2 6 2 4 4 2" xfId="38527"/>
    <cellStyle name="Currency 2 4 2 6 2 4 5" xfId="23813"/>
    <cellStyle name="Currency 2 4 2 6 2 5" xfId="2090"/>
    <cellStyle name="Currency 2 4 2 6 2 5 2" xfId="24258"/>
    <cellStyle name="Currency 2 4 2 6 2 6" xfId="3589"/>
    <cellStyle name="Currency 2 4 2 6 2 6 2" xfId="25756"/>
    <cellStyle name="Currency 2 4 2 6 2 7" xfId="21262"/>
    <cellStyle name="Currency 2 4 2 6 2 7 2" xfId="37474"/>
    <cellStyle name="Currency 2 4 2 6 2 8" xfId="22760"/>
    <cellStyle name="Currency 2 4 2 6 3" xfId="708"/>
    <cellStyle name="Currency 2 4 2 6 3 2" xfId="1059"/>
    <cellStyle name="Currency 2 4 2 6 3 2 2" xfId="2558"/>
    <cellStyle name="Currency 2 4 2 6 3 2 2 2" xfId="24726"/>
    <cellStyle name="Currency 2 4 2 6 3 2 3" xfId="4057"/>
    <cellStyle name="Currency 2 4 2 6 3 2 3 2" xfId="26224"/>
    <cellStyle name="Currency 2 4 2 6 3 2 4" xfId="21730"/>
    <cellStyle name="Currency 2 4 2 6 3 2 4 2" xfId="37942"/>
    <cellStyle name="Currency 2 4 2 6 3 2 5" xfId="23228"/>
    <cellStyle name="Currency 2 4 2 6 3 3" xfId="1410"/>
    <cellStyle name="Currency 2 4 2 6 3 3 2" xfId="2909"/>
    <cellStyle name="Currency 2 4 2 6 3 3 2 2" xfId="25077"/>
    <cellStyle name="Currency 2 4 2 6 3 3 3" xfId="4408"/>
    <cellStyle name="Currency 2 4 2 6 3 3 3 2" xfId="26575"/>
    <cellStyle name="Currency 2 4 2 6 3 3 4" xfId="22081"/>
    <cellStyle name="Currency 2 4 2 6 3 3 4 2" xfId="38293"/>
    <cellStyle name="Currency 2 4 2 6 3 3 5" xfId="23579"/>
    <cellStyle name="Currency 2 4 2 6 3 4" xfId="1761"/>
    <cellStyle name="Currency 2 4 2 6 3 4 2" xfId="3260"/>
    <cellStyle name="Currency 2 4 2 6 3 4 2 2" xfId="25428"/>
    <cellStyle name="Currency 2 4 2 6 3 4 3" xfId="4759"/>
    <cellStyle name="Currency 2 4 2 6 3 4 3 2" xfId="26926"/>
    <cellStyle name="Currency 2 4 2 6 3 4 4" xfId="22432"/>
    <cellStyle name="Currency 2 4 2 6 3 4 4 2" xfId="38644"/>
    <cellStyle name="Currency 2 4 2 6 3 4 5" xfId="23930"/>
    <cellStyle name="Currency 2 4 2 6 3 5" xfId="2207"/>
    <cellStyle name="Currency 2 4 2 6 3 5 2" xfId="24375"/>
    <cellStyle name="Currency 2 4 2 6 3 6" xfId="3706"/>
    <cellStyle name="Currency 2 4 2 6 3 6 2" xfId="25873"/>
    <cellStyle name="Currency 2 4 2 6 3 7" xfId="21379"/>
    <cellStyle name="Currency 2 4 2 6 3 7 2" xfId="37591"/>
    <cellStyle name="Currency 2 4 2 6 3 8" xfId="22877"/>
    <cellStyle name="Currency 2 4 2 6 4" xfId="825"/>
    <cellStyle name="Currency 2 4 2 6 4 2" xfId="2324"/>
    <cellStyle name="Currency 2 4 2 6 4 2 2" xfId="24492"/>
    <cellStyle name="Currency 2 4 2 6 4 3" xfId="3823"/>
    <cellStyle name="Currency 2 4 2 6 4 3 2" xfId="25990"/>
    <cellStyle name="Currency 2 4 2 6 4 4" xfId="21496"/>
    <cellStyle name="Currency 2 4 2 6 4 4 2" xfId="37708"/>
    <cellStyle name="Currency 2 4 2 6 4 5" xfId="22994"/>
    <cellStyle name="Currency 2 4 2 6 5" xfId="1176"/>
    <cellStyle name="Currency 2 4 2 6 5 2" xfId="2675"/>
    <cellStyle name="Currency 2 4 2 6 5 2 2" xfId="24843"/>
    <cellStyle name="Currency 2 4 2 6 5 3" xfId="4174"/>
    <cellStyle name="Currency 2 4 2 6 5 3 2" xfId="26341"/>
    <cellStyle name="Currency 2 4 2 6 5 4" xfId="21847"/>
    <cellStyle name="Currency 2 4 2 6 5 4 2" xfId="38059"/>
    <cellStyle name="Currency 2 4 2 6 5 5" xfId="23345"/>
    <cellStyle name="Currency 2 4 2 6 6" xfId="1527"/>
    <cellStyle name="Currency 2 4 2 6 6 2" xfId="3026"/>
    <cellStyle name="Currency 2 4 2 6 6 2 2" xfId="25194"/>
    <cellStyle name="Currency 2 4 2 6 6 3" xfId="4525"/>
    <cellStyle name="Currency 2 4 2 6 6 3 2" xfId="26692"/>
    <cellStyle name="Currency 2 4 2 6 6 4" xfId="22198"/>
    <cellStyle name="Currency 2 4 2 6 6 4 2" xfId="38410"/>
    <cellStyle name="Currency 2 4 2 6 6 5" xfId="23696"/>
    <cellStyle name="Currency 2 4 2 6 7" xfId="1973"/>
    <cellStyle name="Currency 2 4 2 6 7 2" xfId="24141"/>
    <cellStyle name="Currency 2 4 2 6 8" xfId="3472"/>
    <cellStyle name="Currency 2 4 2 6 8 2" xfId="25639"/>
    <cellStyle name="Currency 2 4 2 6 9" xfId="21145"/>
    <cellStyle name="Currency 2 4 2 6 9 2" xfId="37357"/>
    <cellStyle name="Currency 2 4 2 7" xfId="485"/>
    <cellStyle name="Currency 2 4 2 7 10" xfId="22656"/>
    <cellStyle name="Currency 2 4 2 7 2" xfId="603"/>
    <cellStyle name="Currency 2 4 2 7 2 2" xfId="955"/>
    <cellStyle name="Currency 2 4 2 7 2 2 2" xfId="2454"/>
    <cellStyle name="Currency 2 4 2 7 2 2 2 2" xfId="24622"/>
    <cellStyle name="Currency 2 4 2 7 2 2 3" xfId="3953"/>
    <cellStyle name="Currency 2 4 2 7 2 2 3 2" xfId="26120"/>
    <cellStyle name="Currency 2 4 2 7 2 2 4" xfId="21626"/>
    <cellStyle name="Currency 2 4 2 7 2 2 4 2" xfId="37838"/>
    <cellStyle name="Currency 2 4 2 7 2 2 5" xfId="23124"/>
    <cellStyle name="Currency 2 4 2 7 2 3" xfId="1306"/>
    <cellStyle name="Currency 2 4 2 7 2 3 2" xfId="2805"/>
    <cellStyle name="Currency 2 4 2 7 2 3 2 2" xfId="24973"/>
    <cellStyle name="Currency 2 4 2 7 2 3 3" xfId="4304"/>
    <cellStyle name="Currency 2 4 2 7 2 3 3 2" xfId="26471"/>
    <cellStyle name="Currency 2 4 2 7 2 3 4" xfId="21977"/>
    <cellStyle name="Currency 2 4 2 7 2 3 4 2" xfId="38189"/>
    <cellStyle name="Currency 2 4 2 7 2 3 5" xfId="23475"/>
    <cellStyle name="Currency 2 4 2 7 2 4" xfId="1657"/>
    <cellStyle name="Currency 2 4 2 7 2 4 2" xfId="3156"/>
    <cellStyle name="Currency 2 4 2 7 2 4 2 2" xfId="25324"/>
    <cellStyle name="Currency 2 4 2 7 2 4 3" xfId="4655"/>
    <cellStyle name="Currency 2 4 2 7 2 4 3 2" xfId="26822"/>
    <cellStyle name="Currency 2 4 2 7 2 4 4" xfId="22328"/>
    <cellStyle name="Currency 2 4 2 7 2 4 4 2" xfId="38540"/>
    <cellStyle name="Currency 2 4 2 7 2 4 5" xfId="23826"/>
    <cellStyle name="Currency 2 4 2 7 2 5" xfId="2103"/>
    <cellStyle name="Currency 2 4 2 7 2 5 2" xfId="24271"/>
    <cellStyle name="Currency 2 4 2 7 2 6" xfId="3602"/>
    <cellStyle name="Currency 2 4 2 7 2 6 2" xfId="25769"/>
    <cellStyle name="Currency 2 4 2 7 2 7" xfId="21275"/>
    <cellStyle name="Currency 2 4 2 7 2 7 2" xfId="37487"/>
    <cellStyle name="Currency 2 4 2 7 2 8" xfId="22773"/>
    <cellStyle name="Currency 2 4 2 7 3" xfId="721"/>
    <cellStyle name="Currency 2 4 2 7 3 2" xfId="1072"/>
    <cellStyle name="Currency 2 4 2 7 3 2 2" xfId="2571"/>
    <cellStyle name="Currency 2 4 2 7 3 2 2 2" xfId="24739"/>
    <cellStyle name="Currency 2 4 2 7 3 2 3" xfId="4070"/>
    <cellStyle name="Currency 2 4 2 7 3 2 3 2" xfId="26237"/>
    <cellStyle name="Currency 2 4 2 7 3 2 4" xfId="21743"/>
    <cellStyle name="Currency 2 4 2 7 3 2 4 2" xfId="37955"/>
    <cellStyle name="Currency 2 4 2 7 3 2 5" xfId="23241"/>
    <cellStyle name="Currency 2 4 2 7 3 3" xfId="1423"/>
    <cellStyle name="Currency 2 4 2 7 3 3 2" xfId="2922"/>
    <cellStyle name="Currency 2 4 2 7 3 3 2 2" xfId="25090"/>
    <cellStyle name="Currency 2 4 2 7 3 3 3" xfId="4421"/>
    <cellStyle name="Currency 2 4 2 7 3 3 3 2" xfId="26588"/>
    <cellStyle name="Currency 2 4 2 7 3 3 4" xfId="22094"/>
    <cellStyle name="Currency 2 4 2 7 3 3 4 2" xfId="38306"/>
    <cellStyle name="Currency 2 4 2 7 3 3 5" xfId="23592"/>
    <cellStyle name="Currency 2 4 2 7 3 4" xfId="1774"/>
    <cellStyle name="Currency 2 4 2 7 3 4 2" xfId="3273"/>
    <cellStyle name="Currency 2 4 2 7 3 4 2 2" xfId="25441"/>
    <cellStyle name="Currency 2 4 2 7 3 4 3" xfId="4772"/>
    <cellStyle name="Currency 2 4 2 7 3 4 3 2" xfId="26939"/>
    <cellStyle name="Currency 2 4 2 7 3 4 4" xfId="22445"/>
    <cellStyle name="Currency 2 4 2 7 3 4 4 2" xfId="38657"/>
    <cellStyle name="Currency 2 4 2 7 3 4 5" xfId="23943"/>
    <cellStyle name="Currency 2 4 2 7 3 5" xfId="2220"/>
    <cellStyle name="Currency 2 4 2 7 3 5 2" xfId="24388"/>
    <cellStyle name="Currency 2 4 2 7 3 6" xfId="3719"/>
    <cellStyle name="Currency 2 4 2 7 3 6 2" xfId="25886"/>
    <cellStyle name="Currency 2 4 2 7 3 7" xfId="21392"/>
    <cellStyle name="Currency 2 4 2 7 3 7 2" xfId="37604"/>
    <cellStyle name="Currency 2 4 2 7 3 8" xfId="22890"/>
    <cellStyle name="Currency 2 4 2 7 4" xfId="838"/>
    <cellStyle name="Currency 2 4 2 7 4 2" xfId="2337"/>
    <cellStyle name="Currency 2 4 2 7 4 2 2" xfId="24505"/>
    <cellStyle name="Currency 2 4 2 7 4 3" xfId="3836"/>
    <cellStyle name="Currency 2 4 2 7 4 3 2" xfId="26003"/>
    <cellStyle name="Currency 2 4 2 7 4 4" xfId="21509"/>
    <cellStyle name="Currency 2 4 2 7 4 4 2" xfId="37721"/>
    <cellStyle name="Currency 2 4 2 7 4 5" xfId="23007"/>
    <cellStyle name="Currency 2 4 2 7 5" xfId="1189"/>
    <cellStyle name="Currency 2 4 2 7 5 2" xfId="2688"/>
    <cellStyle name="Currency 2 4 2 7 5 2 2" xfId="24856"/>
    <cellStyle name="Currency 2 4 2 7 5 3" xfId="4187"/>
    <cellStyle name="Currency 2 4 2 7 5 3 2" xfId="26354"/>
    <cellStyle name="Currency 2 4 2 7 5 4" xfId="21860"/>
    <cellStyle name="Currency 2 4 2 7 5 4 2" xfId="38072"/>
    <cellStyle name="Currency 2 4 2 7 5 5" xfId="23358"/>
    <cellStyle name="Currency 2 4 2 7 6" xfId="1540"/>
    <cellStyle name="Currency 2 4 2 7 6 2" xfId="3039"/>
    <cellStyle name="Currency 2 4 2 7 6 2 2" xfId="25207"/>
    <cellStyle name="Currency 2 4 2 7 6 3" xfId="4538"/>
    <cellStyle name="Currency 2 4 2 7 6 3 2" xfId="26705"/>
    <cellStyle name="Currency 2 4 2 7 6 4" xfId="22211"/>
    <cellStyle name="Currency 2 4 2 7 6 4 2" xfId="38423"/>
    <cellStyle name="Currency 2 4 2 7 6 5" xfId="23709"/>
    <cellStyle name="Currency 2 4 2 7 7" xfId="1986"/>
    <cellStyle name="Currency 2 4 2 7 7 2" xfId="24154"/>
    <cellStyle name="Currency 2 4 2 7 8" xfId="3485"/>
    <cellStyle name="Currency 2 4 2 7 8 2" xfId="25652"/>
    <cellStyle name="Currency 2 4 2 7 9" xfId="21158"/>
    <cellStyle name="Currency 2 4 2 7 9 2" xfId="37370"/>
    <cellStyle name="Currency 2 4 2 8" xfId="513"/>
    <cellStyle name="Currency 2 4 2 8 2" xfId="865"/>
    <cellStyle name="Currency 2 4 2 8 2 2" xfId="2364"/>
    <cellStyle name="Currency 2 4 2 8 2 2 2" xfId="24532"/>
    <cellStyle name="Currency 2 4 2 8 2 3" xfId="3863"/>
    <cellStyle name="Currency 2 4 2 8 2 3 2" xfId="26030"/>
    <cellStyle name="Currency 2 4 2 8 2 4" xfId="21536"/>
    <cellStyle name="Currency 2 4 2 8 2 4 2" xfId="37748"/>
    <cellStyle name="Currency 2 4 2 8 2 5" xfId="23034"/>
    <cellStyle name="Currency 2 4 2 8 3" xfId="1216"/>
    <cellStyle name="Currency 2 4 2 8 3 2" xfId="2715"/>
    <cellStyle name="Currency 2 4 2 8 3 2 2" xfId="24883"/>
    <cellStyle name="Currency 2 4 2 8 3 3" xfId="4214"/>
    <cellStyle name="Currency 2 4 2 8 3 3 2" xfId="26381"/>
    <cellStyle name="Currency 2 4 2 8 3 4" xfId="21887"/>
    <cellStyle name="Currency 2 4 2 8 3 4 2" xfId="38099"/>
    <cellStyle name="Currency 2 4 2 8 3 5" xfId="23385"/>
    <cellStyle name="Currency 2 4 2 8 4" xfId="1567"/>
    <cellStyle name="Currency 2 4 2 8 4 2" xfId="3066"/>
    <cellStyle name="Currency 2 4 2 8 4 2 2" xfId="25234"/>
    <cellStyle name="Currency 2 4 2 8 4 3" xfId="4565"/>
    <cellStyle name="Currency 2 4 2 8 4 3 2" xfId="26732"/>
    <cellStyle name="Currency 2 4 2 8 4 4" xfId="22238"/>
    <cellStyle name="Currency 2 4 2 8 4 4 2" xfId="38450"/>
    <cellStyle name="Currency 2 4 2 8 4 5" xfId="23736"/>
    <cellStyle name="Currency 2 4 2 8 5" xfId="2013"/>
    <cellStyle name="Currency 2 4 2 8 5 2" xfId="24181"/>
    <cellStyle name="Currency 2 4 2 8 6" xfId="3512"/>
    <cellStyle name="Currency 2 4 2 8 6 2" xfId="25679"/>
    <cellStyle name="Currency 2 4 2 8 7" xfId="21185"/>
    <cellStyle name="Currency 2 4 2 8 7 2" xfId="37397"/>
    <cellStyle name="Currency 2 4 2 8 8" xfId="22683"/>
    <cellStyle name="Currency 2 4 2 9" xfId="631"/>
    <cellStyle name="Currency 2 4 2 9 2" xfId="982"/>
    <cellStyle name="Currency 2 4 2 9 2 2" xfId="2481"/>
    <cellStyle name="Currency 2 4 2 9 2 2 2" xfId="24649"/>
    <cellStyle name="Currency 2 4 2 9 2 3" xfId="3980"/>
    <cellStyle name="Currency 2 4 2 9 2 3 2" xfId="26147"/>
    <cellStyle name="Currency 2 4 2 9 2 4" xfId="21653"/>
    <cellStyle name="Currency 2 4 2 9 2 4 2" xfId="37865"/>
    <cellStyle name="Currency 2 4 2 9 2 5" xfId="23151"/>
    <cellStyle name="Currency 2 4 2 9 3" xfId="1333"/>
    <cellStyle name="Currency 2 4 2 9 3 2" xfId="2832"/>
    <cellStyle name="Currency 2 4 2 9 3 2 2" xfId="25000"/>
    <cellStyle name="Currency 2 4 2 9 3 3" xfId="4331"/>
    <cellStyle name="Currency 2 4 2 9 3 3 2" xfId="26498"/>
    <cellStyle name="Currency 2 4 2 9 3 4" xfId="22004"/>
    <cellStyle name="Currency 2 4 2 9 3 4 2" xfId="38216"/>
    <cellStyle name="Currency 2 4 2 9 3 5" xfId="23502"/>
    <cellStyle name="Currency 2 4 2 9 4" xfId="1684"/>
    <cellStyle name="Currency 2 4 2 9 4 2" xfId="3183"/>
    <cellStyle name="Currency 2 4 2 9 4 2 2" xfId="25351"/>
    <cellStyle name="Currency 2 4 2 9 4 3" xfId="4682"/>
    <cellStyle name="Currency 2 4 2 9 4 3 2" xfId="26849"/>
    <cellStyle name="Currency 2 4 2 9 4 4" xfId="22355"/>
    <cellStyle name="Currency 2 4 2 9 4 4 2" xfId="38567"/>
    <cellStyle name="Currency 2 4 2 9 4 5" xfId="23853"/>
    <cellStyle name="Currency 2 4 2 9 5" xfId="2130"/>
    <cellStyle name="Currency 2 4 2 9 5 2" xfId="24298"/>
    <cellStyle name="Currency 2 4 2 9 6" xfId="3629"/>
    <cellStyle name="Currency 2 4 2 9 6 2" xfId="25796"/>
    <cellStyle name="Currency 2 4 2 9 7" xfId="21302"/>
    <cellStyle name="Currency 2 4 2 9 7 2" xfId="37514"/>
    <cellStyle name="Currency 2 4 2 9 8" xfId="22800"/>
    <cellStyle name="Currency 2 4 20" xfId="38897"/>
    <cellStyle name="Currency 2 4 21" xfId="373"/>
    <cellStyle name="Currency 2 4 3" xfId="403"/>
    <cellStyle name="Currency 2 4 3 10" xfId="21076"/>
    <cellStyle name="Currency 2 4 3 10 2" xfId="37288"/>
    <cellStyle name="Currency 2 4 3 11" xfId="22574"/>
    <cellStyle name="Currency 2 4 3 2" xfId="455"/>
    <cellStyle name="Currency 2 4 3 2 10" xfId="22626"/>
    <cellStyle name="Currency 2 4 3 2 2" xfId="573"/>
    <cellStyle name="Currency 2 4 3 2 2 2" xfId="925"/>
    <cellStyle name="Currency 2 4 3 2 2 2 2" xfId="2424"/>
    <cellStyle name="Currency 2 4 3 2 2 2 2 2" xfId="24592"/>
    <cellStyle name="Currency 2 4 3 2 2 2 3" xfId="3923"/>
    <cellStyle name="Currency 2 4 3 2 2 2 3 2" xfId="26090"/>
    <cellStyle name="Currency 2 4 3 2 2 2 4" xfId="21596"/>
    <cellStyle name="Currency 2 4 3 2 2 2 4 2" xfId="37808"/>
    <cellStyle name="Currency 2 4 3 2 2 2 5" xfId="23094"/>
    <cellStyle name="Currency 2 4 3 2 2 3" xfId="1276"/>
    <cellStyle name="Currency 2 4 3 2 2 3 2" xfId="2775"/>
    <cellStyle name="Currency 2 4 3 2 2 3 2 2" xfId="24943"/>
    <cellStyle name="Currency 2 4 3 2 2 3 3" xfId="4274"/>
    <cellStyle name="Currency 2 4 3 2 2 3 3 2" xfId="26441"/>
    <cellStyle name="Currency 2 4 3 2 2 3 4" xfId="21947"/>
    <cellStyle name="Currency 2 4 3 2 2 3 4 2" xfId="38159"/>
    <cellStyle name="Currency 2 4 3 2 2 3 5" xfId="23445"/>
    <cellStyle name="Currency 2 4 3 2 2 4" xfId="1627"/>
    <cellStyle name="Currency 2 4 3 2 2 4 2" xfId="3126"/>
    <cellStyle name="Currency 2 4 3 2 2 4 2 2" xfId="25294"/>
    <cellStyle name="Currency 2 4 3 2 2 4 3" xfId="4625"/>
    <cellStyle name="Currency 2 4 3 2 2 4 3 2" xfId="26792"/>
    <cellStyle name="Currency 2 4 3 2 2 4 4" xfId="22298"/>
    <cellStyle name="Currency 2 4 3 2 2 4 4 2" xfId="38510"/>
    <cellStyle name="Currency 2 4 3 2 2 4 5" xfId="23796"/>
    <cellStyle name="Currency 2 4 3 2 2 5" xfId="2073"/>
    <cellStyle name="Currency 2 4 3 2 2 5 2" xfId="24241"/>
    <cellStyle name="Currency 2 4 3 2 2 6" xfId="3572"/>
    <cellStyle name="Currency 2 4 3 2 2 6 2" xfId="25739"/>
    <cellStyle name="Currency 2 4 3 2 2 7" xfId="21245"/>
    <cellStyle name="Currency 2 4 3 2 2 7 2" xfId="37457"/>
    <cellStyle name="Currency 2 4 3 2 2 8" xfId="22743"/>
    <cellStyle name="Currency 2 4 3 2 3" xfId="691"/>
    <cellStyle name="Currency 2 4 3 2 3 2" xfId="1042"/>
    <cellStyle name="Currency 2 4 3 2 3 2 2" xfId="2541"/>
    <cellStyle name="Currency 2 4 3 2 3 2 2 2" xfId="24709"/>
    <cellStyle name="Currency 2 4 3 2 3 2 3" xfId="4040"/>
    <cellStyle name="Currency 2 4 3 2 3 2 3 2" xfId="26207"/>
    <cellStyle name="Currency 2 4 3 2 3 2 4" xfId="21713"/>
    <cellStyle name="Currency 2 4 3 2 3 2 4 2" xfId="37925"/>
    <cellStyle name="Currency 2 4 3 2 3 2 5" xfId="23211"/>
    <cellStyle name="Currency 2 4 3 2 3 3" xfId="1393"/>
    <cellStyle name="Currency 2 4 3 2 3 3 2" xfId="2892"/>
    <cellStyle name="Currency 2 4 3 2 3 3 2 2" xfId="25060"/>
    <cellStyle name="Currency 2 4 3 2 3 3 3" xfId="4391"/>
    <cellStyle name="Currency 2 4 3 2 3 3 3 2" xfId="26558"/>
    <cellStyle name="Currency 2 4 3 2 3 3 4" xfId="22064"/>
    <cellStyle name="Currency 2 4 3 2 3 3 4 2" xfId="38276"/>
    <cellStyle name="Currency 2 4 3 2 3 3 5" xfId="23562"/>
    <cellStyle name="Currency 2 4 3 2 3 4" xfId="1744"/>
    <cellStyle name="Currency 2 4 3 2 3 4 2" xfId="3243"/>
    <cellStyle name="Currency 2 4 3 2 3 4 2 2" xfId="25411"/>
    <cellStyle name="Currency 2 4 3 2 3 4 3" xfId="4742"/>
    <cellStyle name="Currency 2 4 3 2 3 4 3 2" xfId="26909"/>
    <cellStyle name="Currency 2 4 3 2 3 4 4" xfId="22415"/>
    <cellStyle name="Currency 2 4 3 2 3 4 4 2" xfId="38627"/>
    <cellStyle name="Currency 2 4 3 2 3 4 5" xfId="23913"/>
    <cellStyle name="Currency 2 4 3 2 3 5" xfId="2190"/>
    <cellStyle name="Currency 2 4 3 2 3 5 2" xfId="24358"/>
    <cellStyle name="Currency 2 4 3 2 3 6" xfId="3689"/>
    <cellStyle name="Currency 2 4 3 2 3 6 2" xfId="25856"/>
    <cellStyle name="Currency 2 4 3 2 3 7" xfId="21362"/>
    <cellStyle name="Currency 2 4 3 2 3 7 2" xfId="37574"/>
    <cellStyle name="Currency 2 4 3 2 3 8" xfId="22860"/>
    <cellStyle name="Currency 2 4 3 2 4" xfId="808"/>
    <cellStyle name="Currency 2 4 3 2 4 2" xfId="2307"/>
    <cellStyle name="Currency 2 4 3 2 4 2 2" xfId="24475"/>
    <cellStyle name="Currency 2 4 3 2 4 3" xfId="3806"/>
    <cellStyle name="Currency 2 4 3 2 4 3 2" xfId="25973"/>
    <cellStyle name="Currency 2 4 3 2 4 4" xfId="21479"/>
    <cellStyle name="Currency 2 4 3 2 4 4 2" xfId="37691"/>
    <cellStyle name="Currency 2 4 3 2 4 5" xfId="22977"/>
    <cellStyle name="Currency 2 4 3 2 5" xfId="1159"/>
    <cellStyle name="Currency 2 4 3 2 5 2" xfId="2658"/>
    <cellStyle name="Currency 2 4 3 2 5 2 2" xfId="24826"/>
    <cellStyle name="Currency 2 4 3 2 5 3" xfId="4157"/>
    <cellStyle name="Currency 2 4 3 2 5 3 2" xfId="26324"/>
    <cellStyle name="Currency 2 4 3 2 5 4" xfId="21830"/>
    <cellStyle name="Currency 2 4 3 2 5 4 2" xfId="38042"/>
    <cellStyle name="Currency 2 4 3 2 5 5" xfId="23328"/>
    <cellStyle name="Currency 2 4 3 2 6" xfId="1510"/>
    <cellStyle name="Currency 2 4 3 2 6 2" xfId="3009"/>
    <cellStyle name="Currency 2 4 3 2 6 2 2" xfId="25177"/>
    <cellStyle name="Currency 2 4 3 2 6 3" xfId="4508"/>
    <cellStyle name="Currency 2 4 3 2 6 3 2" xfId="26675"/>
    <cellStyle name="Currency 2 4 3 2 6 4" xfId="22181"/>
    <cellStyle name="Currency 2 4 3 2 6 4 2" xfId="38393"/>
    <cellStyle name="Currency 2 4 3 2 6 5" xfId="23679"/>
    <cellStyle name="Currency 2 4 3 2 7" xfId="1956"/>
    <cellStyle name="Currency 2 4 3 2 7 2" xfId="24124"/>
    <cellStyle name="Currency 2 4 3 2 8" xfId="3455"/>
    <cellStyle name="Currency 2 4 3 2 8 2" xfId="25622"/>
    <cellStyle name="Currency 2 4 3 2 9" xfId="21128"/>
    <cellStyle name="Currency 2 4 3 2 9 2" xfId="37340"/>
    <cellStyle name="Currency 2 4 3 3" xfId="521"/>
    <cellStyle name="Currency 2 4 3 3 2" xfId="873"/>
    <cellStyle name="Currency 2 4 3 3 2 2" xfId="2372"/>
    <cellStyle name="Currency 2 4 3 3 2 2 2" xfId="24540"/>
    <cellStyle name="Currency 2 4 3 3 2 3" xfId="3871"/>
    <cellStyle name="Currency 2 4 3 3 2 3 2" xfId="26038"/>
    <cellStyle name="Currency 2 4 3 3 2 4" xfId="21544"/>
    <cellStyle name="Currency 2 4 3 3 2 4 2" xfId="37756"/>
    <cellStyle name="Currency 2 4 3 3 2 5" xfId="23042"/>
    <cellStyle name="Currency 2 4 3 3 3" xfId="1224"/>
    <cellStyle name="Currency 2 4 3 3 3 2" xfId="2723"/>
    <cellStyle name="Currency 2 4 3 3 3 2 2" xfId="24891"/>
    <cellStyle name="Currency 2 4 3 3 3 3" xfId="4222"/>
    <cellStyle name="Currency 2 4 3 3 3 3 2" xfId="26389"/>
    <cellStyle name="Currency 2 4 3 3 3 4" xfId="21895"/>
    <cellStyle name="Currency 2 4 3 3 3 4 2" xfId="38107"/>
    <cellStyle name="Currency 2 4 3 3 3 5" xfId="23393"/>
    <cellStyle name="Currency 2 4 3 3 4" xfId="1575"/>
    <cellStyle name="Currency 2 4 3 3 4 2" xfId="3074"/>
    <cellStyle name="Currency 2 4 3 3 4 2 2" xfId="25242"/>
    <cellStyle name="Currency 2 4 3 3 4 3" xfId="4573"/>
    <cellStyle name="Currency 2 4 3 3 4 3 2" xfId="26740"/>
    <cellStyle name="Currency 2 4 3 3 4 4" xfId="22246"/>
    <cellStyle name="Currency 2 4 3 3 4 4 2" xfId="38458"/>
    <cellStyle name="Currency 2 4 3 3 4 5" xfId="23744"/>
    <cellStyle name="Currency 2 4 3 3 5" xfId="2021"/>
    <cellStyle name="Currency 2 4 3 3 5 2" xfId="24189"/>
    <cellStyle name="Currency 2 4 3 3 6" xfId="3520"/>
    <cellStyle name="Currency 2 4 3 3 6 2" xfId="25687"/>
    <cellStyle name="Currency 2 4 3 3 7" xfId="21193"/>
    <cellStyle name="Currency 2 4 3 3 7 2" xfId="37405"/>
    <cellStyle name="Currency 2 4 3 3 8" xfId="22691"/>
    <cellStyle name="Currency 2 4 3 4" xfId="639"/>
    <cellStyle name="Currency 2 4 3 4 2" xfId="990"/>
    <cellStyle name="Currency 2 4 3 4 2 2" xfId="2489"/>
    <cellStyle name="Currency 2 4 3 4 2 2 2" xfId="24657"/>
    <cellStyle name="Currency 2 4 3 4 2 3" xfId="3988"/>
    <cellStyle name="Currency 2 4 3 4 2 3 2" xfId="26155"/>
    <cellStyle name="Currency 2 4 3 4 2 4" xfId="21661"/>
    <cellStyle name="Currency 2 4 3 4 2 4 2" xfId="37873"/>
    <cellStyle name="Currency 2 4 3 4 2 5" xfId="23159"/>
    <cellStyle name="Currency 2 4 3 4 3" xfId="1341"/>
    <cellStyle name="Currency 2 4 3 4 3 2" xfId="2840"/>
    <cellStyle name="Currency 2 4 3 4 3 2 2" xfId="25008"/>
    <cellStyle name="Currency 2 4 3 4 3 3" xfId="4339"/>
    <cellStyle name="Currency 2 4 3 4 3 3 2" xfId="26506"/>
    <cellStyle name="Currency 2 4 3 4 3 4" xfId="22012"/>
    <cellStyle name="Currency 2 4 3 4 3 4 2" xfId="38224"/>
    <cellStyle name="Currency 2 4 3 4 3 5" xfId="23510"/>
    <cellStyle name="Currency 2 4 3 4 4" xfId="1692"/>
    <cellStyle name="Currency 2 4 3 4 4 2" xfId="3191"/>
    <cellStyle name="Currency 2 4 3 4 4 2 2" xfId="25359"/>
    <cellStyle name="Currency 2 4 3 4 4 3" xfId="4690"/>
    <cellStyle name="Currency 2 4 3 4 4 3 2" xfId="26857"/>
    <cellStyle name="Currency 2 4 3 4 4 4" xfId="22363"/>
    <cellStyle name="Currency 2 4 3 4 4 4 2" xfId="38575"/>
    <cellStyle name="Currency 2 4 3 4 4 5" xfId="23861"/>
    <cellStyle name="Currency 2 4 3 4 5" xfId="2138"/>
    <cellStyle name="Currency 2 4 3 4 5 2" xfId="24306"/>
    <cellStyle name="Currency 2 4 3 4 6" xfId="3637"/>
    <cellStyle name="Currency 2 4 3 4 6 2" xfId="25804"/>
    <cellStyle name="Currency 2 4 3 4 7" xfId="21310"/>
    <cellStyle name="Currency 2 4 3 4 7 2" xfId="37522"/>
    <cellStyle name="Currency 2 4 3 4 8" xfId="22808"/>
    <cellStyle name="Currency 2 4 3 5" xfId="756"/>
    <cellStyle name="Currency 2 4 3 5 2" xfId="2255"/>
    <cellStyle name="Currency 2 4 3 5 2 2" xfId="24423"/>
    <cellStyle name="Currency 2 4 3 5 3" xfId="3754"/>
    <cellStyle name="Currency 2 4 3 5 3 2" xfId="25921"/>
    <cellStyle name="Currency 2 4 3 5 4" xfId="21427"/>
    <cellStyle name="Currency 2 4 3 5 4 2" xfId="37639"/>
    <cellStyle name="Currency 2 4 3 5 5" xfId="22925"/>
    <cellStyle name="Currency 2 4 3 6" xfId="1107"/>
    <cellStyle name="Currency 2 4 3 6 2" xfId="2606"/>
    <cellStyle name="Currency 2 4 3 6 2 2" xfId="24774"/>
    <cellStyle name="Currency 2 4 3 6 3" xfId="4105"/>
    <cellStyle name="Currency 2 4 3 6 3 2" xfId="26272"/>
    <cellStyle name="Currency 2 4 3 6 4" xfId="21778"/>
    <cellStyle name="Currency 2 4 3 6 4 2" xfId="37990"/>
    <cellStyle name="Currency 2 4 3 6 5" xfId="23276"/>
    <cellStyle name="Currency 2 4 3 7" xfId="1458"/>
    <cellStyle name="Currency 2 4 3 7 2" xfId="2957"/>
    <cellStyle name="Currency 2 4 3 7 2 2" xfId="25125"/>
    <cellStyle name="Currency 2 4 3 7 3" xfId="4456"/>
    <cellStyle name="Currency 2 4 3 7 3 2" xfId="26623"/>
    <cellStyle name="Currency 2 4 3 7 4" xfId="22129"/>
    <cellStyle name="Currency 2 4 3 7 4 2" xfId="38341"/>
    <cellStyle name="Currency 2 4 3 7 5" xfId="23627"/>
    <cellStyle name="Currency 2 4 3 8" xfId="1904"/>
    <cellStyle name="Currency 2 4 3 8 2" xfId="24072"/>
    <cellStyle name="Currency 2 4 3 9" xfId="3403"/>
    <cellStyle name="Currency 2 4 3 9 2" xfId="25570"/>
    <cellStyle name="Currency 2 4 4" xfId="415"/>
    <cellStyle name="Currency 2 4 4 10" xfId="22586"/>
    <cellStyle name="Currency 2 4 4 2" xfId="533"/>
    <cellStyle name="Currency 2 4 4 2 2" xfId="885"/>
    <cellStyle name="Currency 2 4 4 2 2 2" xfId="2384"/>
    <cellStyle name="Currency 2 4 4 2 2 2 2" xfId="24552"/>
    <cellStyle name="Currency 2 4 4 2 2 3" xfId="3883"/>
    <cellStyle name="Currency 2 4 4 2 2 3 2" xfId="26050"/>
    <cellStyle name="Currency 2 4 4 2 2 4" xfId="21556"/>
    <cellStyle name="Currency 2 4 4 2 2 4 2" xfId="37768"/>
    <cellStyle name="Currency 2 4 4 2 2 5" xfId="23054"/>
    <cellStyle name="Currency 2 4 4 2 3" xfId="1236"/>
    <cellStyle name="Currency 2 4 4 2 3 2" xfId="2735"/>
    <cellStyle name="Currency 2 4 4 2 3 2 2" xfId="24903"/>
    <cellStyle name="Currency 2 4 4 2 3 3" xfId="4234"/>
    <cellStyle name="Currency 2 4 4 2 3 3 2" xfId="26401"/>
    <cellStyle name="Currency 2 4 4 2 3 4" xfId="21907"/>
    <cellStyle name="Currency 2 4 4 2 3 4 2" xfId="38119"/>
    <cellStyle name="Currency 2 4 4 2 3 5" xfId="23405"/>
    <cellStyle name="Currency 2 4 4 2 4" xfId="1587"/>
    <cellStyle name="Currency 2 4 4 2 4 2" xfId="3086"/>
    <cellStyle name="Currency 2 4 4 2 4 2 2" xfId="25254"/>
    <cellStyle name="Currency 2 4 4 2 4 3" xfId="4585"/>
    <cellStyle name="Currency 2 4 4 2 4 3 2" xfId="26752"/>
    <cellStyle name="Currency 2 4 4 2 4 4" xfId="22258"/>
    <cellStyle name="Currency 2 4 4 2 4 4 2" xfId="38470"/>
    <cellStyle name="Currency 2 4 4 2 4 5" xfId="23756"/>
    <cellStyle name="Currency 2 4 4 2 5" xfId="2033"/>
    <cellStyle name="Currency 2 4 4 2 5 2" xfId="24201"/>
    <cellStyle name="Currency 2 4 4 2 6" xfId="3532"/>
    <cellStyle name="Currency 2 4 4 2 6 2" xfId="25699"/>
    <cellStyle name="Currency 2 4 4 2 7" xfId="21205"/>
    <cellStyle name="Currency 2 4 4 2 7 2" xfId="37417"/>
    <cellStyle name="Currency 2 4 4 2 8" xfId="22703"/>
    <cellStyle name="Currency 2 4 4 3" xfId="651"/>
    <cellStyle name="Currency 2 4 4 3 2" xfId="1002"/>
    <cellStyle name="Currency 2 4 4 3 2 2" xfId="2501"/>
    <cellStyle name="Currency 2 4 4 3 2 2 2" xfId="24669"/>
    <cellStyle name="Currency 2 4 4 3 2 3" xfId="4000"/>
    <cellStyle name="Currency 2 4 4 3 2 3 2" xfId="26167"/>
    <cellStyle name="Currency 2 4 4 3 2 4" xfId="21673"/>
    <cellStyle name="Currency 2 4 4 3 2 4 2" xfId="37885"/>
    <cellStyle name="Currency 2 4 4 3 2 5" xfId="23171"/>
    <cellStyle name="Currency 2 4 4 3 3" xfId="1353"/>
    <cellStyle name="Currency 2 4 4 3 3 2" xfId="2852"/>
    <cellStyle name="Currency 2 4 4 3 3 2 2" xfId="25020"/>
    <cellStyle name="Currency 2 4 4 3 3 3" xfId="4351"/>
    <cellStyle name="Currency 2 4 4 3 3 3 2" xfId="26518"/>
    <cellStyle name="Currency 2 4 4 3 3 4" xfId="22024"/>
    <cellStyle name="Currency 2 4 4 3 3 4 2" xfId="38236"/>
    <cellStyle name="Currency 2 4 4 3 3 5" xfId="23522"/>
    <cellStyle name="Currency 2 4 4 3 4" xfId="1704"/>
    <cellStyle name="Currency 2 4 4 3 4 2" xfId="3203"/>
    <cellStyle name="Currency 2 4 4 3 4 2 2" xfId="25371"/>
    <cellStyle name="Currency 2 4 4 3 4 3" xfId="4702"/>
    <cellStyle name="Currency 2 4 4 3 4 3 2" xfId="26869"/>
    <cellStyle name="Currency 2 4 4 3 4 4" xfId="22375"/>
    <cellStyle name="Currency 2 4 4 3 4 4 2" xfId="38587"/>
    <cellStyle name="Currency 2 4 4 3 4 5" xfId="23873"/>
    <cellStyle name="Currency 2 4 4 3 5" xfId="2150"/>
    <cellStyle name="Currency 2 4 4 3 5 2" xfId="24318"/>
    <cellStyle name="Currency 2 4 4 3 6" xfId="3649"/>
    <cellStyle name="Currency 2 4 4 3 6 2" xfId="25816"/>
    <cellStyle name="Currency 2 4 4 3 7" xfId="21322"/>
    <cellStyle name="Currency 2 4 4 3 7 2" xfId="37534"/>
    <cellStyle name="Currency 2 4 4 3 8" xfId="22820"/>
    <cellStyle name="Currency 2 4 4 4" xfId="768"/>
    <cellStyle name="Currency 2 4 4 4 2" xfId="2267"/>
    <cellStyle name="Currency 2 4 4 4 2 2" xfId="24435"/>
    <cellStyle name="Currency 2 4 4 4 3" xfId="3766"/>
    <cellStyle name="Currency 2 4 4 4 3 2" xfId="25933"/>
    <cellStyle name="Currency 2 4 4 4 4" xfId="21439"/>
    <cellStyle name="Currency 2 4 4 4 4 2" xfId="37651"/>
    <cellStyle name="Currency 2 4 4 4 5" xfId="22937"/>
    <cellStyle name="Currency 2 4 4 5" xfId="1119"/>
    <cellStyle name="Currency 2 4 4 5 2" xfId="2618"/>
    <cellStyle name="Currency 2 4 4 5 2 2" xfId="24786"/>
    <cellStyle name="Currency 2 4 4 5 3" xfId="4117"/>
    <cellStyle name="Currency 2 4 4 5 3 2" xfId="26284"/>
    <cellStyle name="Currency 2 4 4 5 4" xfId="21790"/>
    <cellStyle name="Currency 2 4 4 5 4 2" xfId="38002"/>
    <cellStyle name="Currency 2 4 4 5 5" xfId="23288"/>
    <cellStyle name="Currency 2 4 4 6" xfId="1470"/>
    <cellStyle name="Currency 2 4 4 6 2" xfId="2969"/>
    <cellStyle name="Currency 2 4 4 6 2 2" xfId="25137"/>
    <cellStyle name="Currency 2 4 4 6 3" xfId="4468"/>
    <cellStyle name="Currency 2 4 4 6 3 2" xfId="26635"/>
    <cellStyle name="Currency 2 4 4 6 4" xfId="22141"/>
    <cellStyle name="Currency 2 4 4 6 4 2" xfId="38353"/>
    <cellStyle name="Currency 2 4 4 6 5" xfId="23639"/>
    <cellStyle name="Currency 2 4 4 7" xfId="1916"/>
    <cellStyle name="Currency 2 4 4 7 2" xfId="24084"/>
    <cellStyle name="Currency 2 4 4 8" xfId="3415"/>
    <cellStyle name="Currency 2 4 4 8 2" xfId="25582"/>
    <cellStyle name="Currency 2 4 4 9" xfId="21088"/>
    <cellStyle name="Currency 2 4 4 9 2" xfId="37300"/>
    <cellStyle name="Currency 2 4 5" xfId="428"/>
    <cellStyle name="Currency 2 4 5 10" xfId="22599"/>
    <cellStyle name="Currency 2 4 5 2" xfId="546"/>
    <cellStyle name="Currency 2 4 5 2 2" xfId="898"/>
    <cellStyle name="Currency 2 4 5 2 2 2" xfId="2397"/>
    <cellStyle name="Currency 2 4 5 2 2 2 2" xfId="24565"/>
    <cellStyle name="Currency 2 4 5 2 2 3" xfId="3896"/>
    <cellStyle name="Currency 2 4 5 2 2 3 2" xfId="26063"/>
    <cellStyle name="Currency 2 4 5 2 2 4" xfId="21569"/>
    <cellStyle name="Currency 2 4 5 2 2 4 2" xfId="37781"/>
    <cellStyle name="Currency 2 4 5 2 2 5" xfId="23067"/>
    <cellStyle name="Currency 2 4 5 2 3" xfId="1249"/>
    <cellStyle name="Currency 2 4 5 2 3 2" xfId="2748"/>
    <cellStyle name="Currency 2 4 5 2 3 2 2" xfId="24916"/>
    <cellStyle name="Currency 2 4 5 2 3 3" xfId="4247"/>
    <cellStyle name="Currency 2 4 5 2 3 3 2" xfId="26414"/>
    <cellStyle name="Currency 2 4 5 2 3 4" xfId="21920"/>
    <cellStyle name="Currency 2 4 5 2 3 4 2" xfId="38132"/>
    <cellStyle name="Currency 2 4 5 2 3 5" xfId="23418"/>
    <cellStyle name="Currency 2 4 5 2 4" xfId="1600"/>
    <cellStyle name="Currency 2 4 5 2 4 2" xfId="3099"/>
    <cellStyle name="Currency 2 4 5 2 4 2 2" xfId="25267"/>
    <cellStyle name="Currency 2 4 5 2 4 3" xfId="4598"/>
    <cellStyle name="Currency 2 4 5 2 4 3 2" xfId="26765"/>
    <cellStyle name="Currency 2 4 5 2 4 4" xfId="22271"/>
    <cellStyle name="Currency 2 4 5 2 4 4 2" xfId="38483"/>
    <cellStyle name="Currency 2 4 5 2 4 5" xfId="23769"/>
    <cellStyle name="Currency 2 4 5 2 5" xfId="2046"/>
    <cellStyle name="Currency 2 4 5 2 5 2" xfId="24214"/>
    <cellStyle name="Currency 2 4 5 2 6" xfId="3545"/>
    <cellStyle name="Currency 2 4 5 2 6 2" xfId="25712"/>
    <cellStyle name="Currency 2 4 5 2 7" xfId="21218"/>
    <cellStyle name="Currency 2 4 5 2 7 2" xfId="37430"/>
    <cellStyle name="Currency 2 4 5 2 8" xfId="22716"/>
    <cellStyle name="Currency 2 4 5 3" xfId="664"/>
    <cellStyle name="Currency 2 4 5 3 2" xfId="1015"/>
    <cellStyle name="Currency 2 4 5 3 2 2" xfId="2514"/>
    <cellStyle name="Currency 2 4 5 3 2 2 2" xfId="24682"/>
    <cellStyle name="Currency 2 4 5 3 2 3" xfId="4013"/>
    <cellStyle name="Currency 2 4 5 3 2 3 2" xfId="26180"/>
    <cellStyle name="Currency 2 4 5 3 2 4" xfId="21686"/>
    <cellStyle name="Currency 2 4 5 3 2 4 2" xfId="37898"/>
    <cellStyle name="Currency 2 4 5 3 2 5" xfId="23184"/>
    <cellStyle name="Currency 2 4 5 3 3" xfId="1366"/>
    <cellStyle name="Currency 2 4 5 3 3 2" xfId="2865"/>
    <cellStyle name="Currency 2 4 5 3 3 2 2" xfId="25033"/>
    <cellStyle name="Currency 2 4 5 3 3 3" xfId="4364"/>
    <cellStyle name="Currency 2 4 5 3 3 3 2" xfId="26531"/>
    <cellStyle name="Currency 2 4 5 3 3 4" xfId="22037"/>
    <cellStyle name="Currency 2 4 5 3 3 4 2" xfId="38249"/>
    <cellStyle name="Currency 2 4 5 3 3 5" xfId="23535"/>
    <cellStyle name="Currency 2 4 5 3 4" xfId="1717"/>
    <cellStyle name="Currency 2 4 5 3 4 2" xfId="3216"/>
    <cellStyle name="Currency 2 4 5 3 4 2 2" xfId="25384"/>
    <cellStyle name="Currency 2 4 5 3 4 3" xfId="4715"/>
    <cellStyle name="Currency 2 4 5 3 4 3 2" xfId="26882"/>
    <cellStyle name="Currency 2 4 5 3 4 4" xfId="22388"/>
    <cellStyle name="Currency 2 4 5 3 4 4 2" xfId="38600"/>
    <cellStyle name="Currency 2 4 5 3 4 5" xfId="23886"/>
    <cellStyle name="Currency 2 4 5 3 5" xfId="2163"/>
    <cellStyle name="Currency 2 4 5 3 5 2" xfId="24331"/>
    <cellStyle name="Currency 2 4 5 3 6" xfId="3662"/>
    <cellStyle name="Currency 2 4 5 3 6 2" xfId="25829"/>
    <cellStyle name="Currency 2 4 5 3 7" xfId="21335"/>
    <cellStyle name="Currency 2 4 5 3 7 2" xfId="37547"/>
    <cellStyle name="Currency 2 4 5 3 8" xfId="22833"/>
    <cellStyle name="Currency 2 4 5 4" xfId="781"/>
    <cellStyle name="Currency 2 4 5 4 2" xfId="2280"/>
    <cellStyle name="Currency 2 4 5 4 2 2" xfId="24448"/>
    <cellStyle name="Currency 2 4 5 4 3" xfId="3779"/>
    <cellStyle name="Currency 2 4 5 4 3 2" xfId="25946"/>
    <cellStyle name="Currency 2 4 5 4 4" xfId="21452"/>
    <cellStyle name="Currency 2 4 5 4 4 2" xfId="37664"/>
    <cellStyle name="Currency 2 4 5 4 5" xfId="22950"/>
    <cellStyle name="Currency 2 4 5 5" xfId="1132"/>
    <cellStyle name="Currency 2 4 5 5 2" xfId="2631"/>
    <cellStyle name="Currency 2 4 5 5 2 2" xfId="24799"/>
    <cellStyle name="Currency 2 4 5 5 3" xfId="4130"/>
    <cellStyle name="Currency 2 4 5 5 3 2" xfId="26297"/>
    <cellStyle name="Currency 2 4 5 5 4" xfId="21803"/>
    <cellStyle name="Currency 2 4 5 5 4 2" xfId="38015"/>
    <cellStyle name="Currency 2 4 5 5 5" xfId="23301"/>
    <cellStyle name="Currency 2 4 5 6" xfId="1483"/>
    <cellStyle name="Currency 2 4 5 6 2" xfId="2982"/>
    <cellStyle name="Currency 2 4 5 6 2 2" xfId="25150"/>
    <cellStyle name="Currency 2 4 5 6 3" xfId="4481"/>
    <cellStyle name="Currency 2 4 5 6 3 2" xfId="26648"/>
    <cellStyle name="Currency 2 4 5 6 4" xfId="22154"/>
    <cellStyle name="Currency 2 4 5 6 4 2" xfId="38366"/>
    <cellStyle name="Currency 2 4 5 6 5" xfId="23652"/>
    <cellStyle name="Currency 2 4 5 7" xfId="1929"/>
    <cellStyle name="Currency 2 4 5 7 2" xfId="24097"/>
    <cellStyle name="Currency 2 4 5 8" xfId="3428"/>
    <cellStyle name="Currency 2 4 5 8 2" xfId="25595"/>
    <cellStyle name="Currency 2 4 5 9" xfId="21101"/>
    <cellStyle name="Currency 2 4 5 9 2" xfId="37313"/>
    <cellStyle name="Currency 2 4 6" xfId="437"/>
    <cellStyle name="Currency 2 4 6 10" xfId="22608"/>
    <cellStyle name="Currency 2 4 6 2" xfId="555"/>
    <cellStyle name="Currency 2 4 6 2 2" xfId="907"/>
    <cellStyle name="Currency 2 4 6 2 2 2" xfId="2406"/>
    <cellStyle name="Currency 2 4 6 2 2 2 2" xfId="24574"/>
    <cellStyle name="Currency 2 4 6 2 2 3" xfId="3905"/>
    <cellStyle name="Currency 2 4 6 2 2 3 2" xfId="26072"/>
    <cellStyle name="Currency 2 4 6 2 2 4" xfId="21578"/>
    <cellStyle name="Currency 2 4 6 2 2 4 2" xfId="37790"/>
    <cellStyle name="Currency 2 4 6 2 2 5" xfId="23076"/>
    <cellStyle name="Currency 2 4 6 2 3" xfId="1258"/>
    <cellStyle name="Currency 2 4 6 2 3 2" xfId="2757"/>
    <cellStyle name="Currency 2 4 6 2 3 2 2" xfId="24925"/>
    <cellStyle name="Currency 2 4 6 2 3 3" xfId="4256"/>
    <cellStyle name="Currency 2 4 6 2 3 3 2" xfId="26423"/>
    <cellStyle name="Currency 2 4 6 2 3 4" xfId="21929"/>
    <cellStyle name="Currency 2 4 6 2 3 4 2" xfId="38141"/>
    <cellStyle name="Currency 2 4 6 2 3 5" xfId="23427"/>
    <cellStyle name="Currency 2 4 6 2 4" xfId="1609"/>
    <cellStyle name="Currency 2 4 6 2 4 2" xfId="3108"/>
    <cellStyle name="Currency 2 4 6 2 4 2 2" xfId="25276"/>
    <cellStyle name="Currency 2 4 6 2 4 3" xfId="4607"/>
    <cellStyle name="Currency 2 4 6 2 4 3 2" xfId="26774"/>
    <cellStyle name="Currency 2 4 6 2 4 4" xfId="22280"/>
    <cellStyle name="Currency 2 4 6 2 4 4 2" xfId="38492"/>
    <cellStyle name="Currency 2 4 6 2 4 5" xfId="23778"/>
    <cellStyle name="Currency 2 4 6 2 5" xfId="2055"/>
    <cellStyle name="Currency 2 4 6 2 5 2" xfId="24223"/>
    <cellStyle name="Currency 2 4 6 2 6" xfId="3554"/>
    <cellStyle name="Currency 2 4 6 2 6 2" xfId="25721"/>
    <cellStyle name="Currency 2 4 6 2 7" xfId="21227"/>
    <cellStyle name="Currency 2 4 6 2 7 2" xfId="37439"/>
    <cellStyle name="Currency 2 4 6 2 8" xfId="22725"/>
    <cellStyle name="Currency 2 4 6 3" xfId="673"/>
    <cellStyle name="Currency 2 4 6 3 2" xfId="1024"/>
    <cellStyle name="Currency 2 4 6 3 2 2" xfId="2523"/>
    <cellStyle name="Currency 2 4 6 3 2 2 2" xfId="24691"/>
    <cellStyle name="Currency 2 4 6 3 2 3" xfId="4022"/>
    <cellStyle name="Currency 2 4 6 3 2 3 2" xfId="26189"/>
    <cellStyle name="Currency 2 4 6 3 2 4" xfId="21695"/>
    <cellStyle name="Currency 2 4 6 3 2 4 2" xfId="37907"/>
    <cellStyle name="Currency 2 4 6 3 2 5" xfId="23193"/>
    <cellStyle name="Currency 2 4 6 3 3" xfId="1375"/>
    <cellStyle name="Currency 2 4 6 3 3 2" xfId="2874"/>
    <cellStyle name="Currency 2 4 6 3 3 2 2" xfId="25042"/>
    <cellStyle name="Currency 2 4 6 3 3 3" xfId="4373"/>
    <cellStyle name="Currency 2 4 6 3 3 3 2" xfId="26540"/>
    <cellStyle name="Currency 2 4 6 3 3 4" xfId="22046"/>
    <cellStyle name="Currency 2 4 6 3 3 4 2" xfId="38258"/>
    <cellStyle name="Currency 2 4 6 3 3 5" xfId="23544"/>
    <cellStyle name="Currency 2 4 6 3 4" xfId="1726"/>
    <cellStyle name="Currency 2 4 6 3 4 2" xfId="3225"/>
    <cellStyle name="Currency 2 4 6 3 4 2 2" xfId="25393"/>
    <cellStyle name="Currency 2 4 6 3 4 3" xfId="4724"/>
    <cellStyle name="Currency 2 4 6 3 4 3 2" xfId="26891"/>
    <cellStyle name="Currency 2 4 6 3 4 4" xfId="22397"/>
    <cellStyle name="Currency 2 4 6 3 4 4 2" xfId="38609"/>
    <cellStyle name="Currency 2 4 6 3 4 5" xfId="23895"/>
    <cellStyle name="Currency 2 4 6 3 5" xfId="2172"/>
    <cellStyle name="Currency 2 4 6 3 5 2" xfId="24340"/>
    <cellStyle name="Currency 2 4 6 3 6" xfId="3671"/>
    <cellStyle name="Currency 2 4 6 3 6 2" xfId="25838"/>
    <cellStyle name="Currency 2 4 6 3 7" xfId="21344"/>
    <cellStyle name="Currency 2 4 6 3 7 2" xfId="37556"/>
    <cellStyle name="Currency 2 4 6 3 8" xfId="22842"/>
    <cellStyle name="Currency 2 4 6 4" xfId="790"/>
    <cellStyle name="Currency 2 4 6 4 2" xfId="2289"/>
    <cellStyle name="Currency 2 4 6 4 2 2" xfId="24457"/>
    <cellStyle name="Currency 2 4 6 4 3" xfId="3788"/>
    <cellStyle name="Currency 2 4 6 4 3 2" xfId="25955"/>
    <cellStyle name="Currency 2 4 6 4 4" xfId="21461"/>
    <cellStyle name="Currency 2 4 6 4 4 2" xfId="37673"/>
    <cellStyle name="Currency 2 4 6 4 5" xfId="22959"/>
    <cellStyle name="Currency 2 4 6 5" xfId="1141"/>
    <cellStyle name="Currency 2 4 6 5 2" xfId="2640"/>
    <cellStyle name="Currency 2 4 6 5 2 2" xfId="24808"/>
    <cellStyle name="Currency 2 4 6 5 3" xfId="4139"/>
    <cellStyle name="Currency 2 4 6 5 3 2" xfId="26306"/>
    <cellStyle name="Currency 2 4 6 5 4" xfId="21812"/>
    <cellStyle name="Currency 2 4 6 5 4 2" xfId="38024"/>
    <cellStyle name="Currency 2 4 6 5 5" xfId="23310"/>
    <cellStyle name="Currency 2 4 6 6" xfId="1492"/>
    <cellStyle name="Currency 2 4 6 6 2" xfId="2991"/>
    <cellStyle name="Currency 2 4 6 6 2 2" xfId="25159"/>
    <cellStyle name="Currency 2 4 6 6 3" xfId="4490"/>
    <cellStyle name="Currency 2 4 6 6 3 2" xfId="26657"/>
    <cellStyle name="Currency 2 4 6 6 4" xfId="22163"/>
    <cellStyle name="Currency 2 4 6 6 4 2" xfId="38375"/>
    <cellStyle name="Currency 2 4 6 6 5" xfId="23661"/>
    <cellStyle name="Currency 2 4 6 7" xfId="1938"/>
    <cellStyle name="Currency 2 4 6 7 2" xfId="24106"/>
    <cellStyle name="Currency 2 4 6 8" xfId="3437"/>
    <cellStyle name="Currency 2 4 6 8 2" xfId="25604"/>
    <cellStyle name="Currency 2 4 6 9" xfId="21110"/>
    <cellStyle name="Currency 2 4 6 9 2" xfId="37322"/>
    <cellStyle name="Currency 2 4 7" xfId="442"/>
    <cellStyle name="Currency 2 4 7 10" xfId="22613"/>
    <cellStyle name="Currency 2 4 7 2" xfId="560"/>
    <cellStyle name="Currency 2 4 7 2 2" xfId="912"/>
    <cellStyle name="Currency 2 4 7 2 2 2" xfId="2411"/>
    <cellStyle name="Currency 2 4 7 2 2 2 2" xfId="24579"/>
    <cellStyle name="Currency 2 4 7 2 2 3" xfId="3910"/>
    <cellStyle name="Currency 2 4 7 2 2 3 2" xfId="26077"/>
    <cellStyle name="Currency 2 4 7 2 2 4" xfId="21583"/>
    <cellStyle name="Currency 2 4 7 2 2 4 2" xfId="37795"/>
    <cellStyle name="Currency 2 4 7 2 2 5" xfId="23081"/>
    <cellStyle name="Currency 2 4 7 2 3" xfId="1263"/>
    <cellStyle name="Currency 2 4 7 2 3 2" xfId="2762"/>
    <cellStyle name="Currency 2 4 7 2 3 2 2" xfId="24930"/>
    <cellStyle name="Currency 2 4 7 2 3 3" xfId="4261"/>
    <cellStyle name="Currency 2 4 7 2 3 3 2" xfId="26428"/>
    <cellStyle name="Currency 2 4 7 2 3 4" xfId="21934"/>
    <cellStyle name="Currency 2 4 7 2 3 4 2" xfId="38146"/>
    <cellStyle name="Currency 2 4 7 2 3 5" xfId="23432"/>
    <cellStyle name="Currency 2 4 7 2 4" xfId="1614"/>
    <cellStyle name="Currency 2 4 7 2 4 2" xfId="3113"/>
    <cellStyle name="Currency 2 4 7 2 4 2 2" xfId="25281"/>
    <cellStyle name="Currency 2 4 7 2 4 3" xfId="4612"/>
    <cellStyle name="Currency 2 4 7 2 4 3 2" xfId="26779"/>
    <cellStyle name="Currency 2 4 7 2 4 4" xfId="22285"/>
    <cellStyle name="Currency 2 4 7 2 4 4 2" xfId="38497"/>
    <cellStyle name="Currency 2 4 7 2 4 5" xfId="23783"/>
    <cellStyle name="Currency 2 4 7 2 5" xfId="2060"/>
    <cellStyle name="Currency 2 4 7 2 5 2" xfId="24228"/>
    <cellStyle name="Currency 2 4 7 2 6" xfId="3559"/>
    <cellStyle name="Currency 2 4 7 2 6 2" xfId="25726"/>
    <cellStyle name="Currency 2 4 7 2 7" xfId="21232"/>
    <cellStyle name="Currency 2 4 7 2 7 2" xfId="37444"/>
    <cellStyle name="Currency 2 4 7 2 8" xfId="22730"/>
    <cellStyle name="Currency 2 4 7 3" xfId="678"/>
    <cellStyle name="Currency 2 4 7 3 2" xfId="1029"/>
    <cellStyle name="Currency 2 4 7 3 2 2" xfId="2528"/>
    <cellStyle name="Currency 2 4 7 3 2 2 2" xfId="24696"/>
    <cellStyle name="Currency 2 4 7 3 2 3" xfId="4027"/>
    <cellStyle name="Currency 2 4 7 3 2 3 2" xfId="26194"/>
    <cellStyle name="Currency 2 4 7 3 2 4" xfId="21700"/>
    <cellStyle name="Currency 2 4 7 3 2 4 2" xfId="37912"/>
    <cellStyle name="Currency 2 4 7 3 2 5" xfId="23198"/>
    <cellStyle name="Currency 2 4 7 3 3" xfId="1380"/>
    <cellStyle name="Currency 2 4 7 3 3 2" xfId="2879"/>
    <cellStyle name="Currency 2 4 7 3 3 2 2" xfId="25047"/>
    <cellStyle name="Currency 2 4 7 3 3 3" xfId="4378"/>
    <cellStyle name="Currency 2 4 7 3 3 3 2" xfId="26545"/>
    <cellStyle name="Currency 2 4 7 3 3 4" xfId="22051"/>
    <cellStyle name="Currency 2 4 7 3 3 4 2" xfId="38263"/>
    <cellStyle name="Currency 2 4 7 3 3 5" xfId="23549"/>
    <cellStyle name="Currency 2 4 7 3 4" xfId="1731"/>
    <cellStyle name="Currency 2 4 7 3 4 2" xfId="3230"/>
    <cellStyle name="Currency 2 4 7 3 4 2 2" xfId="25398"/>
    <cellStyle name="Currency 2 4 7 3 4 3" xfId="4729"/>
    <cellStyle name="Currency 2 4 7 3 4 3 2" xfId="26896"/>
    <cellStyle name="Currency 2 4 7 3 4 4" xfId="22402"/>
    <cellStyle name="Currency 2 4 7 3 4 4 2" xfId="38614"/>
    <cellStyle name="Currency 2 4 7 3 4 5" xfId="23900"/>
    <cellStyle name="Currency 2 4 7 3 5" xfId="2177"/>
    <cellStyle name="Currency 2 4 7 3 5 2" xfId="24345"/>
    <cellStyle name="Currency 2 4 7 3 6" xfId="3676"/>
    <cellStyle name="Currency 2 4 7 3 6 2" xfId="25843"/>
    <cellStyle name="Currency 2 4 7 3 7" xfId="21349"/>
    <cellStyle name="Currency 2 4 7 3 7 2" xfId="37561"/>
    <cellStyle name="Currency 2 4 7 3 8" xfId="22847"/>
    <cellStyle name="Currency 2 4 7 4" xfId="795"/>
    <cellStyle name="Currency 2 4 7 4 2" xfId="2294"/>
    <cellStyle name="Currency 2 4 7 4 2 2" xfId="24462"/>
    <cellStyle name="Currency 2 4 7 4 3" xfId="3793"/>
    <cellStyle name="Currency 2 4 7 4 3 2" xfId="25960"/>
    <cellStyle name="Currency 2 4 7 4 4" xfId="21466"/>
    <cellStyle name="Currency 2 4 7 4 4 2" xfId="37678"/>
    <cellStyle name="Currency 2 4 7 4 5" xfId="22964"/>
    <cellStyle name="Currency 2 4 7 5" xfId="1146"/>
    <cellStyle name="Currency 2 4 7 5 2" xfId="2645"/>
    <cellStyle name="Currency 2 4 7 5 2 2" xfId="24813"/>
    <cellStyle name="Currency 2 4 7 5 3" xfId="4144"/>
    <cellStyle name="Currency 2 4 7 5 3 2" xfId="26311"/>
    <cellStyle name="Currency 2 4 7 5 4" xfId="21817"/>
    <cellStyle name="Currency 2 4 7 5 4 2" xfId="38029"/>
    <cellStyle name="Currency 2 4 7 5 5" xfId="23315"/>
    <cellStyle name="Currency 2 4 7 6" xfId="1497"/>
    <cellStyle name="Currency 2 4 7 6 2" xfId="2996"/>
    <cellStyle name="Currency 2 4 7 6 2 2" xfId="25164"/>
    <cellStyle name="Currency 2 4 7 6 3" xfId="4495"/>
    <cellStyle name="Currency 2 4 7 6 3 2" xfId="26662"/>
    <cellStyle name="Currency 2 4 7 6 4" xfId="22168"/>
    <cellStyle name="Currency 2 4 7 6 4 2" xfId="38380"/>
    <cellStyle name="Currency 2 4 7 6 5" xfId="23666"/>
    <cellStyle name="Currency 2 4 7 7" xfId="1943"/>
    <cellStyle name="Currency 2 4 7 7 2" xfId="24111"/>
    <cellStyle name="Currency 2 4 7 8" xfId="3442"/>
    <cellStyle name="Currency 2 4 7 8 2" xfId="25609"/>
    <cellStyle name="Currency 2 4 7 9" xfId="21115"/>
    <cellStyle name="Currency 2 4 7 9 2" xfId="37327"/>
    <cellStyle name="Currency 2 4 8" xfId="467"/>
    <cellStyle name="Currency 2 4 8 10" xfId="22638"/>
    <cellStyle name="Currency 2 4 8 2" xfId="585"/>
    <cellStyle name="Currency 2 4 8 2 2" xfId="937"/>
    <cellStyle name="Currency 2 4 8 2 2 2" xfId="2436"/>
    <cellStyle name="Currency 2 4 8 2 2 2 2" xfId="24604"/>
    <cellStyle name="Currency 2 4 8 2 2 3" xfId="3935"/>
    <cellStyle name="Currency 2 4 8 2 2 3 2" xfId="26102"/>
    <cellStyle name="Currency 2 4 8 2 2 4" xfId="21608"/>
    <cellStyle name="Currency 2 4 8 2 2 4 2" xfId="37820"/>
    <cellStyle name="Currency 2 4 8 2 2 5" xfId="23106"/>
    <cellStyle name="Currency 2 4 8 2 3" xfId="1288"/>
    <cellStyle name="Currency 2 4 8 2 3 2" xfId="2787"/>
    <cellStyle name="Currency 2 4 8 2 3 2 2" xfId="24955"/>
    <cellStyle name="Currency 2 4 8 2 3 3" xfId="4286"/>
    <cellStyle name="Currency 2 4 8 2 3 3 2" xfId="26453"/>
    <cellStyle name="Currency 2 4 8 2 3 4" xfId="21959"/>
    <cellStyle name="Currency 2 4 8 2 3 4 2" xfId="38171"/>
    <cellStyle name="Currency 2 4 8 2 3 5" xfId="23457"/>
    <cellStyle name="Currency 2 4 8 2 4" xfId="1639"/>
    <cellStyle name="Currency 2 4 8 2 4 2" xfId="3138"/>
    <cellStyle name="Currency 2 4 8 2 4 2 2" xfId="25306"/>
    <cellStyle name="Currency 2 4 8 2 4 3" xfId="4637"/>
    <cellStyle name="Currency 2 4 8 2 4 3 2" xfId="26804"/>
    <cellStyle name="Currency 2 4 8 2 4 4" xfId="22310"/>
    <cellStyle name="Currency 2 4 8 2 4 4 2" xfId="38522"/>
    <cellStyle name="Currency 2 4 8 2 4 5" xfId="23808"/>
    <cellStyle name="Currency 2 4 8 2 5" xfId="2085"/>
    <cellStyle name="Currency 2 4 8 2 5 2" xfId="24253"/>
    <cellStyle name="Currency 2 4 8 2 6" xfId="3584"/>
    <cellStyle name="Currency 2 4 8 2 6 2" xfId="25751"/>
    <cellStyle name="Currency 2 4 8 2 7" xfId="21257"/>
    <cellStyle name="Currency 2 4 8 2 7 2" xfId="37469"/>
    <cellStyle name="Currency 2 4 8 2 8" xfId="22755"/>
    <cellStyle name="Currency 2 4 8 3" xfId="703"/>
    <cellStyle name="Currency 2 4 8 3 2" xfId="1054"/>
    <cellStyle name="Currency 2 4 8 3 2 2" xfId="2553"/>
    <cellStyle name="Currency 2 4 8 3 2 2 2" xfId="24721"/>
    <cellStyle name="Currency 2 4 8 3 2 3" xfId="4052"/>
    <cellStyle name="Currency 2 4 8 3 2 3 2" xfId="26219"/>
    <cellStyle name="Currency 2 4 8 3 2 4" xfId="21725"/>
    <cellStyle name="Currency 2 4 8 3 2 4 2" xfId="37937"/>
    <cellStyle name="Currency 2 4 8 3 2 5" xfId="23223"/>
    <cellStyle name="Currency 2 4 8 3 3" xfId="1405"/>
    <cellStyle name="Currency 2 4 8 3 3 2" xfId="2904"/>
    <cellStyle name="Currency 2 4 8 3 3 2 2" xfId="25072"/>
    <cellStyle name="Currency 2 4 8 3 3 3" xfId="4403"/>
    <cellStyle name="Currency 2 4 8 3 3 3 2" xfId="26570"/>
    <cellStyle name="Currency 2 4 8 3 3 4" xfId="22076"/>
    <cellStyle name="Currency 2 4 8 3 3 4 2" xfId="38288"/>
    <cellStyle name="Currency 2 4 8 3 3 5" xfId="23574"/>
    <cellStyle name="Currency 2 4 8 3 4" xfId="1756"/>
    <cellStyle name="Currency 2 4 8 3 4 2" xfId="3255"/>
    <cellStyle name="Currency 2 4 8 3 4 2 2" xfId="25423"/>
    <cellStyle name="Currency 2 4 8 3 4 3" xfId="4754"/>
    <cellStyle name="Currency 2 4 8 3 4 3 2" xfId="26921"/>
    <cellStyle name="Currency 2 4 8 3 4 4" xfId="22427"/>
    <cellStyle name="Currency 2 4 8 3 4 4 2" xfId="38639"/>
    <cellStyle name="Currency 2 4 8 3 4 5" xfId="23925"/>
    <cellStyle name="Currency 2 4 8 3 5" xfId="2202"/>
    <cellStyle name="Currency 2 4 8 3 5 2" xfId="24370"/>
    <cellStyle name="Currency 2 4 8 3 6" xfId="3701"/>
    <cellStyle name="Currency 2 4 8 3 6 2" xfId="25868"/>
    <cellStyle name="Currency 2 4 8 3 7" xfId="21374"/>
    <cellStyle name="Currency 2 4 8 3 7 2" xfId="37586"/>
    <cellStyle name="Currency 2 4 8 3 8" xfId="22872"/>
    <cellStyle name="Currency 2 4 8 4" xfId="820"/>
    <cellStyle name="Currency 2 4 8 4 2" xfId="2319"/>
    <cellStyle name="Currency 2 4 8 4 2 2" xfId="24487"/>
    <cellStyle name="Currency 2 4 8 4 3" xfId="3818"/>
    <cellStyle name="Currency 2 4 8 4 3 2" xfId="25985"/>
    <cellStyle name="Currency 2 4 8 4 4" xfId="21491"/>
    <cellStyle name="Currency 2 4 8 4 4 2" xfId="37703"/>
    <cellStyle name="Currency 2 4 8 4 5" xfId="22989"/>
    <cellStyle name="Currency 2 4 8 5" xfId="1171"/>
    <cellStyle name="Currency 2 4 8 5 2" xfId="2670"/>
    <cellStyle name="Currency 2 4 8 5 2 2" xfId="24838"/>
    <cellStyle name="Currency 2 4 8 5 3" xfId="4169"/>
    <cellStyle name="Currency 2 4 8 5 3 2" xfId="26336"/>
    <cellStyle name="Currency 2 4 8 5 4" xfId="21842"/>
    <cellStyle name="Currency 2 4 8 5 4 2" xfId="38054"/>
    <cellStyle name="Currency 2 4 8 5 5" xfId="23340"/>
    <cellStyle name="Currency 2 4 8 6" xfId="1522"/>
    <cellStyle name="Currency 2 4 8 6 2" xfId="3021"/>
    <cellStyle name="Currency 2 4 8 6 2 2" xfId="25189"/>
    <cellStyle name="Currency 2 4 8 6 3" xfId="4520"/>
    <cellStyle name="Currency 2 4 8 6 3 2" xfId="26687"/>
    <cellStyle name="Currency 2 4 8 6 4" xfId="22193"/>
    <cellStyle name="Currency 2 4 8 6 4 2" xfId="38405"/>
    <cellStyle name="Currency 2 4 8 6 5" xfId="23691"/>
    <cellStyle name="Currency 2 4 8 7" xfId="1968"/>
    <cellStyle name="Currency 2 4 8 7 2" xfId="24136"/>
    <cellStyle name="Currency 2 4 8 8" xfId="3467"/>
    <cellStyle name="Currency 2 4 8 8 2" xfId="25634"/>
    <cellStyle name="Currency 2 4 8 9" xfId="21140"/>
    <cellStyle name="Currency 2 4 8 9 2" xfId="37352"/>
    <cellStyle name="Currency 2 4 9" xfId="480"/>
    <cellStyle name="Currency 2 4 9 10" xfId="22651"/>
    <cellStyle name="Currency 2 4 9 2" xfId="598"/>
    <cellStyle name="Currency 2 4 9 2 2" xfId="950"/>
    <cellStyle name="Currency 2 4 9 2 2 2" xfId="2449"/>
    <cellStyle name="Currency 2 4 9 2 2 2 2" xfId="24617"/>
    <cellStyle name="Currency 2 4 9 2 2 3" xfId="3948"/>
    <cellStyle name="Currency 2 4 9 2 2 3 2" xfId="26115"/>
    <cellStyle name="Currency 2 4 9 2 2 4" xfId="21621"/>
    <cellStyle name="Currency 2 4 9 2 2 4 2" xfId="37833"/>
    <cellStyle name="Currency 2 4 9 2 2 5" xfId="23119"/>
    <cellStyle name="Currency 2 4 9 2 3" xfId="1301"/>
    <cellStyle name="Currency 2 4 9 2 3 2" xfId="2800"/>
    <cellStyle name="Currency 2 4 9 2 3 2 2" xfId="24968"/>
    <cellStyle name="Currency 2 4 9 2 3 3" xfId="4299"/>
    <cellStyle name="Currency 2 4 9 2 3 3 2" xfId="26466"/>
    <cellStyle name="Currency 2 4 9 2 3 4" xfId="21972"/>
    <cellStyle name="Currency 2 4 9 2 3 4 2" xfId="38184"/>
    <cellStyle name="Currency 2 4 9 2 3 5" xfId="23470"/>
    <cellStyle name="Currency 2 4 9 2 4" xfId="1652"/>
    <cellStyle name="Currency 2 4 9 2 4 2" xfId="3151"/>
    <cellStyle name="Currency 2 4 9 2 4 2 2" xfId="25319"/>
    <cellStyle name="Currency 2 4 9 2 4 3" xfId="4650"/>
    <cellStyle name="Currency 2 4 9 2 4 3 2" xfId="26817"/>
    <cellStyle name="Currency 2 4 9 2 4 4" xfId="22323"/>
    <cellStyle name="Currency 2 4 9 2 4 4 2" xfId="38535"/>
    <cellStyle name="Currency 2 4 9 2 4 5" xfId="23821"/>
    <cellStyle name="Currency 2 4 9 2 5" xfId="2098"/>
    <cellStyle name="Currency 2 4 9 2 5 2" xfId="24266"/>
    <cellStyle name="Currency 2 4 9 2 6" xfId="3597"/>
    <cellStyle name="Currency 2 4 9 2 6 2" xfId="25764"/>
    <cellStyle name="Currency 2 4 9 2 7" xfId="21270"/>
    <cellStyle name="Currency 2 4 9 2 7 2" xfId="37482"/>
    <cellStyle name="Currency 2 4 9 2 8" xfId="22768"/>
    <cellStyle name="Currency 2 4 9 3" xfId="716"/>
    <cellStyle name="Currency 2 4 9 3 2" xfId="1067"/>
    <cellStyle name="Currency 2 4 9 3 2 2" xfId="2566"/>
    <cellStyle name="Currency 2 4 9 3 2 2 2" xfId="24734"/>
    <cellStyle name="Currency 2 4 9 3 2 3" xfId="4065"/>
    <cellStyle name="Currency 2 4 9 3 2 3 2" xfId="26232"/>
    <cellStyle name="Currency 2 4 9 3 2 4" xfId="21738"/>
    <cellStyle name="Currency 2 4 9 3 2 4 2" xfId="37950"/>
    <cellStyle name="Currency 2 4 9 3 2 5" xfId="23236"/>
    <cellStyle name="Currency 2 4 9 3 3" xfId="1418"/>
    <cellStyle name="Currency 2 4 9 3 3 2" xfId="2917"/>
    <cellStyle name="Currency 2 4 9 3 3 2 2" xfId="25085"/>
    <cellStyle name="Currency 2 4 9 3 3 3" xfId="4416"/>
    <cellStyle name="Currency 2 4 9 3 3 3 2" xfId="26583"/>
    <cellStyle name="Currency 2 4 9 3 3 4" xfId="22089"/>
    <cellStyle name="Currency 2 4 9 3 3 4 2" xfId="38301"/>
    <cellStyle name="Currency 2 4 9 3 3 5" xfId="23587"/>
    <cellStyle name="Currency 2 4 9 3 4" xfId="1769"/>
    <cellStyle name="Currency 2 4 9 3 4 2" xfId="3268"/>
    <cellStyle name="Currency 2 4 9 3 4 2 2" xfId="25436"/>
    <cellStyle name="Currency 2 4 9 3 4 3" xfId="4767"/>
    <cellStyle name="Currency 2 4 9 3 4 3 2" xfId="26934"/>
    <cellStyle name="Currency 2 4 9 3 4 4" xfId="22440"/>
    <cellStyle name="Currency 2 4 9 3 4 4 2" xfId="38652"/>
    <cellStyle name="Currency 2 4 9 3 4 5" xfId="23938"/>
    <cellStyle name="Currency 2 4 9 3 5" xfId="2215"/>
    <cellStyle name="Currency 2 4 9 3 5 2" xfId="24383"/>
    <cellStyle name="Currency 2 4 9 3 6" xfId="3714"/>
    <cellStyle name="Currency 2 4 9 3 6 2" xfId="25881"/>
    <cellStyle name="Currency 2 4 9 3 7" xfId="21387"/>
    <cellStyle name="Currency 2 4 9 3 7 2" xfId="37599"/>
    <cellStyle name="Currency 2 4 9 3 8" xfId="22885"/>
    <cellStyle name="Currency 2 4 9 4" xfId="833"/>
    <cellStyle name="Currency 2 4 9 4 2" xfId="2332"/>
    <cellStyle name="Currency 2 4 9 4 2 2" xfId="24500"/>
    <cellStyle name="Currency 2 4 9 4 3" xfId="3831"/>
    <cellStyle name="Currency 2 4 9 4 3 2" xfId="25998"/>
    <cellStyle name="Currency 2 4 9 4 4" xfId="21504"/>
    <cellStyle name="Currency 2 4 9 4 4 2" xfId="37716"/>
    <cellStyle name="Currency 2 4 9 4 5" xfId="23002"/>
    <cellStyle name="Currency 2 4 9 5" xfId="1184"/>
    <cellStyle name="Currency 2 4 9 5 2" xfId="2683"/>
    <cellStyle name="Currency 2 4 9 5 2 2" xfId="24851"/>
    <cellStyle name="Currency 2 4 9 5 3" xfId="4182"/>
    <cellStyle name="Currency 2 4 9 5 3 2" xfId="26349"/>
    <cellStyle name="Currency 2 4 9 5 4" xfId="21855"/>
    <cellStyle name="Currency 2 4 9 5 4 2" xfId="38067"/>
    <cellStyle name="Currency 2 4 9 5 5" xfId="23353"/>
    <cellStyle name="Currency 2 4 9 6" xfId="1535"/>
    <cellStyle name="Currency 2 4 9 6 2" xfId="3034"/>
    <cellStyle name="Currency 2 4 9 6 2 2" xfId="25202"/>
    <cellStyle name="Currency 2 4 9 6 3" xfId="4533"/>
    <cellStyle name="Currency 2 4 9 6 3 2" xfId="26700"/>
    <cellStyle name="Currency 2 4 9 6 4" xfId="22206"/>
    <cellStyle name="Currency 2 4 9 6 4 2" xfId="38418"/>
    <cellStyle name="Currency 2 4 9 6 5" xfId="23704"/>
    <cellStyle name="Currency 2 4 9 7" xfId="1981"/>
    <cellStyle name="Currency 2 4 9 7 2" xfId="24149"/>
    <cellStyle name="Currency 2 4 9 8" xfId="3480"/>
    <cellStyle name="Currency 2 4 9 8 2" xfId="25647"/>
    <cellStyle name="Currency 2 4 9 9" xfId="21153"/>
    <cellStyle name="Currency 2 4 9 9 2" xfId="37365"/>
    <cellStyle name="Currency 2 5" xfId="104"/>
    <cellStyle name="Currency 2 5 2" xfId="105"/>
    <cellStyle name="Currency 2 5 2 2" xfId="30513"/>
    <cellStyle name="Currency 2 5 3" xfId="38949"/>
    <cellStyle name="Currency 2 5 4" xfId="14226"/>
    <cellStyle name="Currency 2 6" xfId="106"/>
    <cellStyle name="Currency 2 6 2" xfId="107"/>
    <cellStyle name="Currency 2 6 2 2" xfId="37198"/>
    <cellStyle name="Currency 2 6 3" xfId="39075"/>
    <cellStyle name="Currency 2 6 4" xfId="20980"/>
    <cellStyle name="Currency 2 7" xfId="108"/>
    <cellStyle name="Currency 2 7 2" xfId="37201"/>
    <cellStyle name="Currency 2 7 3" xfId="39223"/>
    <cellStyle name="Currency 2 7 4" xfId="20986"/>
    <cellStyle name="Currency 2 8" xfId="14204"/>
    <cellStyle name="Currency 2 8 2" xfId="30510"/>
    <cellStyle name="Currency 2 8 3" xfId="39372"/>
    <cellStyle name="Currency 20" xfId="14258"/>
    <cellStyle name="Currency 20 2" xfId="8017"/>
    <cellStyle name="Currency 20 2 2" xfId="12292"/>
    <cellStyle name="Currency 21" xfId="14259"/>
    <cellStyle name="Currency 21 2" xfId="8018"/>
    <cellStyle name="Currency 21 2 2" xfId="12293"/>
    <cellStyle name="Currency 22" xfId="14260"/>
    <cellStyle name="Currency 22 2" xfId="8019"/>
    <cellStyle name="Currency 22 2 2" xfId="12294"/>
    <cellStyle name="Currency 23" xfId="14261"/>
    <cellStyle name="Currency 23 2" xfId="5342"/>
    <cellStyle name="Currency 23 2 2" xfId="12295"/>
    <cellStyle name="Currency 23 3" xfId="5343"/>
    <cellStyle name="Currency 23 3 2" xfId="12296"/>
    <cellStyle name="Currency 23 4" xfId="5344"/>
    <cellStyle name="Currency 23 4 2" xfId="12297"/>
    <cellStyle name="Currency 23 5" xfId="5345"/>
    <cellStyle name="Currency 23 5 2" xfId="12298"/>
    <cellStyle name="Currency 24" xfId="14262"/>
    <cellStyle name="Currency 24 2" xfId="5346"/>
    <cellStyle name="Currency 24 2 2" xfId="12299"/>
    <cellStyle name="Currency 24 3" xfId="5347"/>
    <cellStyle name="Currency 24 3 2" xfId="12300"/>
    <cellStyle name="Currency 25" xfId="14263"/>
    <cellStyle name="Currency 25 2" xfId="5348"/>
    <cellStyle name="Currency 25 2 2" xfId="12301"/>
    <cellStyle name="Currency 25 3" xfId="5349"/>
    <cellStyle name="Currency 25 3 2" xfId="12302"/>
    <cellStyle name="Currency 26" xfId="14264"/>
    <cellStyle name="Currency 26 2" xfId="4942"/>
    <cellStyle name="Currency 26 2 10" xfId="5350"/>
    <cellStyle name="Currency 26 2 10 2" xfId="4941"/>
    <cellStyle name="Currency 26 2 11" xfId="5351"/>
    <cellStyle name="Currency 26 2 11 2" xfId="12304"/>
    <cellStyle name="Currency 26 2 12" xfId="5352"/>
    <cellStyle name="Currency 26 2 12 2" xfId="12305"/>
    <cellStyle name="Currency 26 2 13" xfId="5353"/>
    <cellStyle name="Currency 26 2 13 2" xfId="12306"/>
    <cellStyle name="Currency 26 2 14" xfId="5354"/>
    <cellStyle name="Currency 26 2 14 2" xfId="12307"/>
    <cellStyle name="Currency 26 2 15" xfId="5355"/>
    <cellStyle name="Currency 26 2 15 2" xfId="12308"/>
    <cellStyle name="Currency 26 2 16" xfId="5356"/>
    <cellStyle name="Currency 26 2 16 2" xfId="12309"/>
    <cellStyle name="Currency 26 2 17" xfId="5357"/>
    <cellStyle name="Currency 26 2 17 2" xfId="12310"/>
    <cellStyle name="Currency 26 2 18" xfId="5358"/>
    <cellStyle name="Currency 26 2 18 2" xfId="12311"/>
    <cellStyle name="Currency 26 2 19" xfId="12303"/>
    <cellStyle name="Currency 26 2 2" xfId="5359"/>
    <cellStyle name="Currency 26 2 2 2" xfId="12312"/>
    <cellStyle name="Currency 26 2 3" xfId="5360"/>
    <cellStyle name="Currency 26 2 3 2" xfId="12313"/>
    <cellStyle name="Currency 26 2 4" xfId="5361"/>
    <cellStyle name="Currency 26 2 4 2" xfId="12314"/>
    <cellStyle name="Currency 26 2 5" xfId="5362"/>
    <cellStyle name="Currency 26 2 5 2" xfId="12315"/>
    <cellStyle name="Currency 26 2 6" xfId="5363"/>
    <cellStyle name="Currency 26 2 6 2" xfId="12316"/>
    <cellStyle name="Currency 26 2 7" xfId="5364"/>
    <cellStyle name="Currency 26 2 7 2" xfId="12317"/>
    <cellStyle name="Currency 26 2 8" xfId="5365"/>
    <cellStyle name="Currency 26 2 8 2" xfId="12318"/>
    <cellStyle name="Currency 26 2 9" xfId="5366"/>
    <cellStyle name="Currency 26 2 9 2" xfId="12319"/>
    <cellStyle name="Currency 26 3" xfId="5367"/>
    <cellStyle name="Currency 26 3 10" xfId="5368"/>
    <cellStyle name="Currency 26 3 10 2" xfId="12321"/>
    <cellStyle name="Currency 26 3 11" xfId="5369"/>
    <cellStyle name="Currency 26 3 11 2" xfId="12322"/>
    <cellStyle name="Currency 26 3 12" xfId="5370"/>
    <cellStyle name="Currency 26 3 12 2" xfId="12323"/>
    <cellStyle name="Currency 26 3 13" xfId="5371"/>
    <cellStyle name="Currency 26 3 13 2" xfId="12324"/>
    <cellStyle name="Currency 26 3 14" xfId="5372"/>
    <cellStyle name="Currency 26 3 14 2" xfId="12325"/>
    <cellStyle name="Currency 26 3 15" xfId="5373"/>
    <cellStyle name="Currency 26 3 15 2" xfId="12326"/>
    <cellStyle name="Currency 26 3 16" xfId="5374"/>
    <cellStyle name="Currency 26 3 16 2" xfId="12327"/>
    <cellStyle name="Currency 26 3 17" xfId="5375"/>
    <cellStyle name="Currency 26 3 17 2" xfId="12328"/>
    <cellStyle name="Currency 26 3 18" xfId="5376"/>
    <cellStyle name="Currency 26 3 18 2" xfId="12329"/>
    <cellStyle name="Currency 26 3 19" xfId="12320"/>
    <cellStyle name="Currency 26 3 2" xfId="5377"/>
    <cellStyle name="Currency 26 3 2 2" xfId="12330"/>
    <cellStyle name="Currency 26 3 3" xfId="5378"/>
    <cellStyle name="Currency 26 3 3 2" xfId="12331"/>
    <cellStyle name="Currency 26 3 4" xfId="5379"/>
    <cellStyle name="Currency 26 3 4 2" xfId="12332"/>
    <cellStyle name="Currency 26 3 5" xfId="5380"/>
    <cellStyle name="Currency 26 3 5 2" xfId="12333"/>
    <cellStyle name="Currency 26 3 6" xfId="5381"/>
    <cellStyle name="Currency 26 3 6 2" xfId="12334"/>
    <cellStyle name="Currency 26 3 7" xfId="5382"/>
    <cellStyle name="Currency 26 3 7 2" xfId="12335"/>
    <cellStyle name="Currency 26 3 8" xfId="5383"/>
    <cellStyle name="Currency 26 3 8 2" xfId="12336"/>
    <cellStyle name="Currency 26 3 9" xfId="5384"/>
    <cellStyle name="Currency 26 3 9 2" xfId="12337"/>
    <cellStyle name="Currency 26 4" xfId="5385"/>
    <cellStyle name="Currency 26 4 2" xfId="12338"/>
    <cellStyle name="Currency 27" xfId="14265"/>
    <cellStyle name="Currency 27 2" xfId="5386"/>
    <cellStyle name="Currency 27 2 10" xfId="5387"/>
    <cellStyle name="Currency 27 2 10 2" xfId="12340"/>
    <cellStyle name="Currency 27 2 11" xfId="5388"/>
    <cellStyle name="Currency 27 2 11 2" xfId="12341"/>
    <cellStyle name="Currency 27 2 12" xfId="5389"/>
    <cellStyle name="Currency 27 2 12 2" xfId="12342"/>
    <cellStyle name="Currency 27 2 13" xfId="5390"/>
    <cellStyle name="Currency 27 2 13 2" xfId="12343"/>
    <cellStyle name="Currency 27 2 14" xfId="5391"/>
    <cellStyle name="Currency 27 2 14 2" xfId="12344"/>
    <cellStyle name="Currency 27 2 15" xfId="5392"/>
    <cellStyle name="Currency 27 2 15 2" xfId="12345"/>
    <cellStyle name="Currency 27 2 16" xfId="5393"/>
    <cellStyle name="Currency 27 2 16 2" xfId="12346"/>
    <cellStyle name="Currency 27 2 17" xfId="5394"/>
    <cellStyle name="Currency 27 2 17 2" xfId="12347"/>
    <cellStyle name="Currency 27 2 18" xfId="5395"/>
    <cellStyle name="Currency 27 2 18 2" xfId="12348"/>
    <cellStyle name="Currency 27 2 19" xfId="12339"/>
    <cellStyle name="Currency 27 2 2" xfId="5396"/>
    <cellStyle name="Currency 27 2 2 2" xfId="12349"/>
    <cellStyle name="Currency 27 2 3" xfId="5397"/>
    <cellStyle name="Currency 27 2 3 2" xfId="12350"/>
    <cellStyle name="Currency 27 2 4" xfId="5398"/>
    <cellStyle name="Currency 27 2 4 2" xfId="12351"/>
    <cellStyle name="Currency 27 2 5" xfId="5399"/>
    <cellStyle name="Currency 27 2 5 2" xfId="12352"/>
    <cellStyle name="Currency 27 2 6" xfId="5400"/>
    <cellStyle name="Currency 27 2 6 2" xfId="12353"/>
    <cellStyle name="Currency 27 2 7" xfId="5401"/>
    <cellStyle name="Currency 27 2 7 2" xfId="12354"/>
    <cellStyle name="Currency 27 2 8" xfId="5402"/>
    <cellStyle name="Currency 27 2 8 2" xfId="12355"/>
    <cellStyle name="Currency 27 2 9" xfId="5403"/>
    <cellStyle name="Currency 27 2 9 2" xfId="12356"/>
    <cellStyle name="Currency 27 3" xfId="5404"/>
    <cellStyle name="Currency 27 3 10" xfId="5405"/>
    <cellStyle name="Currency 27 3 10 2" xfId="12358"/>
    <cellStyle name="Currency 27 3 11" xfId="5406"/>
    <cellStyle name="Currency 27 3 11 2" xfId="12359"/>
    <cellStyle name="Currency 27 3 12" xfId="5407"/>
    <cellStyle name="Currency 27 3 12 2" xfId="12360"/>
    <cellStyle name="Currency 27 3 13" xfId="5408"/>
    <cellStyle name="Currency 27 3 13 2" xfId="12361"/>
    <cellStyle name="Currency 27 3 14" xfId="5409"/>
    <cellStyle name="Currency 27 3 14 2" xfId="12362"/>
    <cellStyle name="Currency 27 3 15" xfId="5410"/>
    <cellStyle name="Currency 27 3 15 2" xfId="12363"/>
    <cellStyle name="Currency 27 3 16" xfId="5411"/>
    <cellStyle name="Currency 27 3 16 2" xfId="12364"/>
    <cellStyle name="Currency 27 3 17" xfId="5412"/>
    <cellStyle name="Currency 27 3 17 2" xfId="12365"/>
    <cellStyle name="Currency 27 3 18" xfId="5413"/>
    <cellStyle name="Currency 27 3 18 2" xfId="12366"/>
    <cellStyle name="Currency 27 3 19" xfId="12357"/>
    <cellStyle name="Currency 27 3 2" xfId="5414"/>
    <cellStyle name="Currency 27 3 2 2" xfId="12367"/>
    <cellStyle name="Currency 27 3 3" xfId="5415"/>
    <cellStyle name="Currency 27 3 3 2" xfId="12368"/>
    <cellStyle name="Currency 27 3 4" xfId="5416"/>
    <cellStyle name="Currency 27 3 4 2" xfId="12369"/>
    <cellStyle name="Currency 27 3 5" xfId="5417"/>
    <cellStyle name="Currency 27 3 5 2" xfId="12370"/>
    <cellStyle name="Currency 27 3 6" xfId="5418"/>
    <cellStyle name="Currency 27 3 6 2" xfId="12371"/>
    <cellStyle name="Currency 27 3 7" xfId="5419"/>
    <cellStyle name="Currency 27 3 7 2" xfId="12372"/>
    <cellStyle name="Currency 27 3 8" xfId="5420"/>
    <cellStyle name="Currency 27 3 8 2" xfId="12373"/>
    <cellStyle name="Currency 27 3 9" xfId="5421"/>
    <cellStyle name="Currency 27 3 9 2" xfId="12374"/>
    <cellStyle name="Currency 28" xfId="14266"/>
    <cellStyle name="Currency 28 2" xfId="8020"/>
    <cellStyle name="Currency 28 2 2" xfId="12375"/>
    <cellStyle name="Currency 29" xfId="14267"/>
    <cellStyle name="Currency 29 2" xfId="5422"/>
    <cellStyle name="Currency 29 2 2" xfId="12376"/>
    <cellStyle name="Currency 29 3" xfId="5423"/>
    <cellStyle name="Currency 29 3 2" xfId="12377"/>
    <cellStyle name="Currency 29 4" xfId="5424"/>
    <cellStyle name="Currency 29 4 2" xfId="12378"/>
    <cellStyle name="Currency 29 5" xfId="5425"/>
    <cellStyle name="Currency 29 5 2" xfId="12379"/>
    <cellStyle name="Currency 29 6" xfId="5426"/>
    <cellStyle name="Currency 29 6 2" xfId="12380"/>
    <cellStyle name="Currency 29 7" xfId="5427"/>
    <cellStyle name="Currency 29 7 2" xfId="12381"/>
    <cellStyle name="Currency 29 8" xfId="5428"/>
    <cellStyle name="Currency 29 8 2" xfId="12382"/>
    <cellStyle name="Currency 29 9" xfId="5429"/>
    <cellStyle name="Currency 29 9 2" xfId="12383"/>
    <cellStyle name="Currency 3" xfId="109"/>
    <cellStyle name="Currency 3 2" xfId="110"/>
    <cellStyle name="Currency 3 2 2" xfId="12384"/>
    <cellStyle name="Currency 3 2 3" xfId="8021"/>
    <cellStyle name="Currency 3 3" xfId="111"/>
    <cellStyle name="Currency 3 3 2" xfId="20979"/>
    <cellStyle name="Currency 3 4" xfId="14203"/>
    <cellStyle name="Currency 3 5" xfId="4898"/>
    <cellStyle name="Currency 3 5 2" xfId="27015"/>
    <cellStyle name="Currency 3 6" xfId="374"/>
    <cellStyle name="Currency 30" xfId="14268"/>
    <cellStyle name="Currency 30 2" xfId="8022"/>
    <cellStyle name="Currency 30 2 2" xfId="12385"/>
    <cellStyle name="Currency 31" xfId="14269"/>
    <cellStyle name="Currency 31 2" xfId="8023"/>
    <cellStyle name="Currency 31 2 2" xfId="12386"/>
    <cellStyle name="Currency 32" xfId="14270"/>
    <cellStyle name="Currency 32 2" xfId="5430"/>
    <cellStyle name="Currency 32 2 2" xfId="12387"/>
    <cellStyle name="Currency 33" xfId="14271"/>
    <cellStyle name="Currency 33 2" xfId="5431"/>
    <cellStyle name="Currency 33 2 2" xfId="12388"/>
    <cellStyle name="Currency 34" xfId="14272"/>
    <cellStyle name="Currency 34 2" xfId="8024"/>
    <cellStyle name="Currency 34 2 2" xfId="12389"/>
    <cellStyle name="Currency 35" xfId="14273"/>
    <cellStyle name="Currency 35 2" xfId="5432"/>
    <cellStyle name="Currency 35 2 2" xfId="12390"/>
    <cellStyle name="Currency 35 3" xfId="5433"/>
    <cellStyle name="Currency 35 3 2" xfId="12391"/>
    <cellStyle name="Currency 35 4" xfId="5434"/>
    <cellStyle name="Currency 35 4 2" xfId="12392"/>
    <cellStyle name="Currency 35 5" xfId="5435"/>
    <cellStyle name="Currency 35 5 2" xfId="12393"/>
    <cellStyle name="Currency 36" xfId="14274"/>
    <cellStyle name="Currency 36 2" xfId="8025"/>
    <cellStyle name="Currency 36 2 2" xfId="12394"/>
    <cellStyle name="Currency 37" xfId="14275"/>
    <cellStyle name="Currency 37 2" xfId="8026"/>
    <cellStyle name="Currency 37 2 2" xfId="12395"/>
    <cellStyle name="Currency 38" xfId="14276"/>
    <cellStyle name="Currency 38 2" xfId="8027"/>
    <cellStyle name="Currency 38 2 2" xfId="12396"/>
    <cellStyle name="Currency 39" xfId="14277"/>
    <cellStyle name="Currency 39 2" xfId="8028"/>
    <cellStyle name="Currency 39 2 2" xfId="12397"/>
    <cellStyle name="Currency 4" xfId="112"/>
    <cellStyle name="Currency 4 10" xfId="375"/>
    <cellStyle name="Currency 4 2" xfId="113"/>
    <cellStyle name="Currency 4 2 10" xfId="5437"/>
    <cellStyle name="Currency 4 2 10 2" xfId="12398"/>
    <cellStyle name="Currency 4 2 11" xfId="5438"/>
    <cellStyle name="Currency 4 2 11 2" xfId="12399"/>
    <cellStyle name="Currency 4 2 12" xfId="5439"/>
    <cellStyle name="Currency 4 2 12 2" xfId="12400"/>
    <cellStyle name="Currency 4 2 13" xfId="5440"/>
    <cellStyle name="Currency 4 2 13 2" xfId="12401"/>
    <cellStyle name="Currency 4 2 14" xfId="5441"/>
    <cellStyle name="Currency 4 2 14 2" xfId="12402"/>
    <cellStyle name="Currency 4 2 15" xfId="5442"/>
    <cellStyle name="Currency 4 2 15 2" xfId="12403"/>
    <cellStyle name="Currency 4 2 16" xfId="5443"/>
    <cellStyle name="Currency 4 2 16 2" xfId="12404"/>
    <cellStyle name="Currency 4 2 17" xfId="5444"/>
    <cellStyle name="Currency 4 2 17 2" xfId="12405"/>
    <cellStyle name="Currency 4 2 18" xfId="5445"/>
    <cellStyle name="Currency 4 2 18 2" xfId="12406"/>
    <cellStyle name="Currency 4 2 19" xfId="5446"/>
    <cellStyle name="Currency 4 2 19 2" xfId="12407"/>
    <cellStyle name="Currency 4 2 2" xfId="4954"/>
    <cellStyle name="Currency 4 2 2 2" xfId="5447"/>
    <cellStyle name="Currency 4 2 20" xfId="5448"/>
    <cellStyle name="Currency 4 2 20 2" xfId="12408"/>
    <cellStyle name="Currency 4 2 21" xfId="5449"/>
    <cellStyle name="Currency 4 2 21 2" xfId="12409"/>
    <cellStyle name="Currency 4 2 22" xfId="5450"/>
    <cellStyle name="Currency 4 2 22 2" xfId="12410"/>
    <cellStyle name="Currency 4 2 23" xfId="5451"/>
    <cellStyle name="Currency 4 2 23 2" xfId="12411"/>
    <cellStyle name="Currency 4 2 24" xfId="5452"/>
    <cellStyle name="Currency 4 2 24 2" xfId="12412"/>
    <cellStyle name="Currency 4 2 25" xfId="5453"/>
    <cellStyle name="Currency 4 2 25 2" xfId="12413"/>
    <cellStyle name="Currency 4 2 26" xfId="5454"/>
    <cellStyle name="Currency 4 2 26 2" xfId="12414"/>
    <cellStyle name="Currency 4 2 27" xfId="5455"/>
    <cellStyle name="Currency 4 2 27 2" xfId="12415"/>
    <cellStyle name="Currency 4 2 28" xfId="5456"/>
    <cellStyle name="Currency 4 2 28 2" xfId="12416"/>
    <cellStyle name="Currency 4 2 29" xfId="5457"/>
    <cellStyle name="Currency 4 2 29 2" xfId="12417"/>
    <cellStyle name="Currency 4 2 3" xfId="5458"/>
    <cellStyle name="Currency 4 2 3 2" xfId="12418"/>
    <cellStyle name="Currency 4 2 30" xfId="5459"/>
    <cellStyle name="Currency 4 2 30 2" xfId="12419"/>
    <cellStyle name="Currency 4 2 31" xfId="5460"/>
    <cellStyle name="Currency 4 2 31 2" xfId="12420"/>
    <cellStyle name="Currency 4 2 32" xfId="5461"/>
    <cellStyle name="Currency 4 2 32 2" xfId="12421"/>
    <cellStyle name="Currency 4 2 33" xfId="5462"/>
    <cellStyle name="Currency 4 2 33 2" xfId="12422"/>
    <cellStyle name="Currency 4 2 34" xfId="5463"/>
    <cellStyle name="Currency 4 2 34 2" xfId="12423"/>
    <cellStyle name="Currency 4 2 35" xfId="5464"/>
    <cellStyle name="Currency 4 2 35 2" xfId="12424"/>
    <cellStyle name="Currency 4 2 36" xfId="5465"/>
    <cellStyle name="Currency 4 2 36 2" xfId="12425"/>
    <cellStyle name="Currency 4 2 37" xfId="5466"/>
    <cellStyle name="Currency 4 2 37 2" xfId="12426"/>
    <cellStyle name="Currency 4 2 38" xfId="5467"/>
    <cellStyle name="Currency 4 2 38 2" xfId="12427"/>
    <cellStyle name="Currency 4 2 39" xfId="5468"/>
    <cellStyle name="Currency 4 2 39 2" xfId="12428"/>
    <cellStyle name="Currency 4 2 4" xfId="5469"/>
    <cellStyle name="Currency 4 2 4 2" xfId="12429"/>
    <cellStyle name="Currency 4 2 40" xfId="5436"/>
    <cellStyle name="Currency 4 2 41" xfId="4938"/>
    <cellStyle name="Currency 4 2 42" xfId="376"/>
    <cellStyle name="Currency 4 2 5" xfId="5470"/>
    <cellStyle name="Currency 4 2 5 2" xfId="12430"/>
    <cellStyle name="Currency 4 2 6" xfId="5471"/>
    <cellStyle name="Currency 4 2 6 2" xfId="12431"/>
    <cellStyle name="Currency 4 2 7" xfId="5472"/>
    <cellStyle name="Currency 4 2 7 2" xfId="12432"/>
    <cellStyle name="Currency 4 2 8" xfId="5473"/>
    <cellStyle name="Currency 4 2 8 2" xfId="12433"/>
    <cellStyle name="Currency 4 2 9" xfId="5474"/>
    <cellStyle name="Currency 4 2 9 2" xfId="12434"/>
    <cellStyle name="Currency 4 3" xfId="4926"/>
    <cellStyle name="Currency 4 3 10" xfId="5476"/>
    <cellStyle name="Currency 4 3 10 2" xfId="12435"/>
    <cellStyle name="Currency 4 3 11" xfId="5477"/>
    <cellStyle name="Currency 4 3 11 2" xfId="12436"/>
    <cellStyle name="Currency 4 3 12" xfId="5478"/>
    <cellStyle name="Currency 4 3 12 2" xfId="12437"/>
    <cellStyle name="Currency 4 3 13" xfId="5479"/>
    <cellStyle name="Currency 4 3 13 2" xfId="12438"/>
    <cellStyle name="Currency 4 3 14" xfId="5480"/>
    <cellStyle name="Currency 4 3 14 2" xfId="12439"/>
    <cellStyle name="Currency 4 3 15" xfId="5481"/>
    <cellStyle name="Currency 4 3 15 2" xfId="12440"/>
    <cellStyle name="Currency 4 3 16" xfId="5482"/>
    <cellStyle name="Currency 4 3 16 2" xfId="12441"/>
    <cellStyle name="Currency 4 3 17" xfId="5483"/>
    <cellStyle name="Currency 4 3 17 2" xfId="12442"/>
    <cellStyle name="Currency 4 3 18" xfId="5484"/>
    <cellStyle name="Currency 4 3 18 2" xfId="12443"/>
    <cellStyle name="Currency 4 3 19" xfId="5485"/>
    <cellStyle name="Currency 4 3 19 2" xfId="12444"/>
    <cellStyle name="Currency 4 3 2" xfId="4958"/>
    <cellStyle name="Currency 4 3 2 2" xfId="5486"/>
    <cellStyle name="Currency 4 3 20" xfId="5487"/>
    <cellStyle name="Currency 4 3 20 2" xfId="12445"/>
    <cellStyle name="Currency 4 3 21" xfId="5488"/>
    <cellStyle name="Currency 4 3 21 2" xfId="12446"/>
    <cellStyle name="Currency 4 3 22" xfId="5489"/>
    <cellStyle name="Currency 4 3 22 2" xfId="12447"/>
    <cellStyle name="Currency 4 3 23" xfId="5490"/>
    <cellStyle name="Currency 4 3 23 2" xfId="12448"/>
    <cellStyle name="Currency 4 3 24" xfId="5491"/>
    <cellStyle name="Currency 4 3 24 2" xfId="12449"/>
    <cellStyle name="Currency 4 3 25" xfId="5492"/>
    <cellStyle name="Currency 4 3 25 2" xfId="12450"/>
    <cellStyle name="Currency 4 3 26" xfId="5493"/>
    <cellStyle name="Currency 4 3 26 2" xfId="12451"/>
    <cellStyle name="Currency 4 3 27" xfId="5494"/>
    <cellStyle name="Currency 4 3 27 2" xfId="12452"/>
    <cellStyle name="Currency 4 3 28" xfId="5495"/>
    <cellStyle name="Currency 4 3 28 2" xfId="12453"/>
    <cellStyle name="Currency 4 3 29" xfId="5496"/>
    <cellStyle name="Currency 4 3 29 2" xfId="12454"/>
    <cellStyle name="Currency 4 3 3" xfId="5497"/>
    <cellStyle name="Currency 4 3 3 2" xfId="12455"/>
    <cellStyle name="Currency 4 3 30" xfId="5498"/>
    <cellStyle name="Currency 4 3 30 2" xfId="12456"/>
    <cellStyle name="Currency 4 3 31" xfId="5499"/>
    <cellStyle name="Currency 4 3 31 2" xfId="12457"/>
    <cellStyle name="Currency 4 3 32" xfId="5500"/>
    <cellStyle name="Currency 4 3 32 2" xfId="12458"/>
    <cellStyle name="Currency 4 3 33" xfId="5501"/>
    <cellStyle name="Currency 4 3 33 2" xfId="12459"/>
    <cellStyle name="Currency 4 3 34" xfId="5502"/>
    <cellStyle name="Currency 4 3 34 2" xfId="12460"/>
    <cellStyle name="Currency 4 3 35" xfId="5503"/>
    <cellStyle name="Currency 4 3 35 2" xfId="12461"/>
    <cellStyle name="Currency 4 3 36" xfId="5504"/>
    <cellStyle name="Currency 4 3 36 2" xfId="12462"/>
    <cellStyle name="Currency 4 3 37" xfId="5505"/>
    <cellStyle name="Currency 4 3 37 2" xfId="12463"/>
    <cellStyle name="Currency 4 3 38" xfId="5506"/>
    <cellStyle name="Currency 4 3 38 2" xfId="12464"/>
    <cellStyle name="Currency 4 3 39" xfId="5507"/>
    <cellStyle name="Currency 4 3 39 2" xfId="12465"/>
    <cellStyle name="Currency 4 3 4" xfId="5508"/>
    <cellStyle name="Currency 4 3 4 2" xfId="12466"/>
    <cellStyle name="Currency 4 3 40" xfId="5475"/>
    <cellStyle name="Currency 4 3 5" xfId="5509"/>
    <cellStyle name="Currency 4 3 5 2" xfId="12467"/>
    <cellStyle name="Currency 4 3 6" xfId="5510"/>
    <cellStyle name="Currency 4 3 6 2" xfId="12468"/>
    <cellStyle name="Currency 4 3 7" xfId="5511"/>
    <cellStyle name="Currency 4 3 7 2" xfId="12469"/>
    <cellStyle name="Currency 4 3 8" xfId="5512"/>
    <cellStyle name="Currency 4 3 8 2" xfId="12470"/>
    <cellStyle name="Currency 4 3 9" xfId="5513"/>
    <cellStyle name="Currency 4 3 9 2" xfId="12471"/>
    <cellStyle name="Currency 4 4" xfId="5514"/>
    <cellStyle name="Currency 4 4 2" xfId="12472"/>
    <cellStyle name="Currency 4 5" xfId="5515"/>
    <cellStyle name="Currency 4 5 2" xfId="12473"/>
    <cellStyle name="Currency 4 6" xfId="5516"/>
    <cellStyle name="Currency 4 6 2" xfId="12474"/>
    <cellStyle name="Currency 4 7" xfId="5517"/>
    <cellStyle name="Currency 4 7 2" xfId="12475"/>
    <cellStyle name="Currency 4 8" xfId="14225"/>
    <cellStyle name="Currency 4 9" xfId="4897"/>
    <cellStyle name="Currency 40" xfId="14278"/>
    <cellStyle name="Currency 40 2" xfId="8029"/>
    <cellStyle name="Currency 40 2 2" xfId="12476"/>
    <cellStyle name="Currency 41" xfId="14279"/>
    <cellStyle name="Currency 41 2" xfId="8030"/>
    <cellStyle name="Currency 41 2 2" xfId="12477"/>
    <cellStyle name="Currency 42" xfId="14280"/>
    <cellStyle name="Currency 42 2" xfId="8031"/>
    <cellStyle name="Currency 42 2 2" xfId="12478"/>
    <cellStyle name="Currency 43" xfId="14281"/>
    <cellStyle name="Currency 43 10 2" xfId="4929"/>
    <cellStyle name="Currency 43 2" xfId="5518"/>
    <cellStyle name="Currency 43 2 2" xfId="12479"/>
    <cellStyle name="Currency 43 3" xfId="5519"/>
    <cellStyle name="Currency 43 3 2" xfId="12480"/>
    <cellStyle name="Currency 44" xfId="14282"/>
    <cellStyle name="Currency 44 2" xfId="5520"/>
    <cellStyle name="Currency 44 2 2" xfId="12481"/>
    <cellStyle name="Currency 44 3" xfId="5521"/>
    <cellStyle name="Currency 44 3 2" xfId="12482"/>
    <cellStyle name="Currency 45" xfId="14283"/>
    <cellStyle name="Currency 45 2" xfId="5522"/>
    <cellStyle name="Currency 45 2 2" xfId="12483"/>
    <cellStyle name="Currency 45 3" xfId="5523"/>
    <cellStyle name="Currency 45 3 2" xfId="12484"/>
    <cellStyle name="Currency 46" xfId="14284"/>
    <cellStyle name="Currency 46 2" xfId="8032"/>
    <cellStyle name="Currency 46 2 2" xfId="12485"/>
    <cellStyle name="Currency 47" xfId="14285"/>
    <cellStyle name="Currency 47 2" xfId="5524"/>
    <cellStyle name="Currency 47 2 2" xfId="12486"/>
    <cellStyle name="Currency 47 3" xfId="5525"/>
    <cellStyle name="Currency 47 3 2" xfId="12487"/>
    <cellStyle name="Currency 48" xfId="5526"/>
    <cellStyle name="Currency 48 2" xfId="5527"/>
    <cellStyle name="Currency 48 2 2" xfId="5528"/>
    <cellStyle name="Currency 48 2 2 2" xfId="12489"/>
    <cellStyle name="Currency 48 2 3" xfId="5529"/>
    <cellStyle name="Currency 48 2 3 2" xfId="12490"/>
    <cellStyle name="Currency 48 2 4" xfId="12488"/>
    <cellStyle name="Currency 48 3" xfId="5530"/>
    <cellStyle name="Currency 48 3 2" xfId="5531"/>
    <cellStyle name="Currency 48 3 2 2" xfId="12492"/>
    <cellStyle name="Currency 48 3 3" xfId="5532"/>
    <cellStyle name="Currency 48 3 3 2" xfId="12493"/>
    <cellStyle name="Currency 48 3 4" xfId="12491"/>
    <cellStyle name="Currency 48 4" xfId="5533"/>
    <cellStyle name="Currency 48 4 2" xfId="12494"/>
    <cellStyle name="Currency 48 5" xfId="5534"/>
    <cellStyle name="Currency 48 5 2" xfId="5535"/>
    <cellStyle name="Currency 48 5 2 2" xfId="12496"/>
    <cellStyle name="Currency 48 5 3" xfId="12495"/>
    <cellStyle name="Currency 48 6" xfId="5536"/>
    <cellStyle name="Currency 48 6 2" xfId="12497"/>
    <cellStyle name="Currency 49" xfId="4944"/>
    <cellStyle name="Currency 49 2" xfId="8033"/>
    <cellStyle name="Currency 49 2 2" xfId="12498"/>
    <cellStyle name="Currency 5" xfId="114"/>
    <cellStyle name="Currency 5 2" xfId="115"/>
    <cellStyle name="Currency 5 2 2" xfId="12499"/>
    <cellStyle name="Currency 5 2 3" xfId="8034"/>
    <cellStyle name="Currency 5 3" xfId="116"/>
    <cellStyle name="Currency 5 3 2" xfId="4899"/>
    <cellStyle name="Currency 5 4" xfId="377"/>
    <cellStyle name="Currency 50" xfId="14286"/>
    <cellStyle name="Currency 50 2" xfId="8035"/>
    <cellStyle name="Currency 50 2 2" xfId="12500"/>
    <cellStyle name="Currency 51" xfId="14287"/>
    <cellStyle name="Currency 51 2" xfId="8036"/>
    <cellStyle name="Currency 51 2 2" xfId="12501"/>
    <cellStyle name="Currency 52" xfId="14288"/>
    <cellStyle name="Currency 52 2" xfId="5537"/>
    <cellStyle name="Currency 52 2 2" xfId="12502"/>
    <cellStyle name="Currency 53" xfId="14289"/>
    <cellStyle name="Currency 53 2" xfId="8037"/>
    <cellStyle name="Currency 53 2 2" xfId="12503"/>
    <cellStyle name="Currency 54" xfId="14290"/>
    <cellStyle name="Currency 54 2" xfId="8038"/>
    <cellStyle name="Currency 54 2 2" xfId="12504"/>
    <cellStyle name="Currency 55" xfId="14291"/>
    <cellStyle name="Currency 55 2" xfId="8039"/>
    <cellStyle name="Currency 55 2 2" xfId="12505"/>
    <cellStyle name="Currency 56" xfId="14292"/>
    <cellStyle name="Currency 56 2" xfId="8040"/>
    <cellStyle name="Currency 56 2 2" xfId="12506"/>
    <cellStyle name="Currency 57" xfId="5538"/>
    <cellStyle name="Currency 57 2" xfId="8041"/>
    <cellStyle name="Currency 57 3" xfId="8042"/>
    <cellStyle name="Currency 57 3 2" xfId="12507"/>
    <cellStyle name="Currency 58" xfId="5539"/>
    <cellStyle name="Currency 58 2" xfId="5540"/>
    <cellStyle name="Currency 58 2 2" xfId="12509"/>
    <cellStyle name="Currency 58 3" xfId="12508"/>
    <cellStyle name="Currency 59" xfId="5541"/>
    <cellStyle name="Currency 59 2" xfId="5542"/>
    <cellStyle name="Currency 59 2 2" xfId="12511"/>
    <cellStyle name="Currency 59 3" xfId="12510"/>
    <cellStyle name="Currency 6" xfId="117"/>
    <cellStyle name="Currency 6 2" xfId="118"/>
    <cellStyle name="Currency 6 2 2" xfId="12512"/>
    <cellStyle name="Currency 6 2 3" xfId="8043"/>
    <cellStyle name="Currency 6 3" xfId="4900"/>
    <cellStyle name="Currency 60" xfId="5543"/>
    <cellStyle name="Currency 60 2" xfId="5544"/>
    <cellStyle name="Currency 60 3" xfId="8044"/>
    <cellStyle name="Currency 60 3 2" xfId="12513"/>
    <cellStyle name="Currency 61" xfId="5545"/>
    <cellStyle name="Currency 61 2" xfId="5546"/>
    <cellStyle name="Currency 61 2 2" xfId="12515"/>
    <cellStyle name="Currency 61 3" xfId="12514"/>
    <cellStyle name="Currency 62" xfId="5547"/>
    <cellStyle name="Currency 62 2" xfId="5548"/>
    <cellStyle name="Currency 62 2 2" xfId="12517"/>
    <cellStyle name="Currency 62 3" xfId="12516"/>
    <cellStyle name="Currency 63" xfId="4934"/>
    <cellStyle name="Currency 63 2" xfId="5549"/>
    <cellStyle name="Currency 63 2 2" xfId="12519"/>
    <cellStyle name="Currency 63 3" xfId="12518"/>
    <cellStyle name="Currency 64" xfId="5550"/>
    <cellStyle name="Currency 64 2" xfId="5551"/>
    <cellStyle name="Currency 64 2 2" xfId="12521"/>
    <cellStyle name="Currency 64 3" xfId="12520"/>
    <cellStyle name="Currency 65" xfId="5552"/>
    <cellStyle name="Currency 65 2" xfId="5553"/>
    <cellStyle name="Currency 65 2 2" xfId="12523"/>
    <cellStyle name="Currency 65 3" xfId="5554"/>
    <cellStyle name="Currency 65 3 2" xfId="5555"/>
    <cellStyle name="Currency 65 3 2 2" xfId="12525"/>
    <cellStyle name="Currency 65 3 3" xfId="12524"/>
    <cellStyle name="Currency 65 4" xfId="12522"/>
    <cellStyle name="Currency 66" xfId="5556"/>
    <cellStyle name="Currency 66 2" xfId="12526"/>
    <cellStyle name="Currency 67" xfId="5557"/>
    <cellStyle name="Currency 67 2" xfId="5558"/>
    <cellStyle name="Currency 67 2 2" xfId="12528"/>
    <cellStyle name="Currency 67 3" xfId="12527"/>
    <cellStyle name="Currency 68" xfId="8045"/>
    <cellStyle name="Currency 68 2" xfId="12529"/>
    <cellStyle name="Currency 69" xfId="8046"/>
    <cellStyle name="Currency 69 2" xfId="12530"/>
    <cellStyle name="Currency 7" xfId="119"/>
    <cellStyle name="Currency 7 2" xfId="120"/>
    <cellStyle name="Currency 7 2 2" xfId="12531"/>
    <cellStyle name="Currency 7 2 3" xfId="8047"/>
    <cellStyle name="Currency 7 3" xfId="14293"/>
    <cellStyle name="Currency 70" xfId="8048"/>
    <cellStyle name="Currency 70 2" xfId="12532"/>
    <cellStyle name="Currency 71" xfId="8049"/>
    <cellStyle name="Currency 71 2" xfId="12533"/>
    <cellStyle name="Currency 72" xfId="8050"/>
    <cellStyle name="Currency 72 2" xfId="12534"/>
    <cellStyle name="Currency 73" xfId="8051"/>
    <cellStyle name="Currency 73 10 2" xfId="4949"/>
    <cellStyle name="Currency 73 2" xfId="12535"/>
    <cellStyle name="Currency 74" xfId="8052"/>
    <cellStyle name="Currency 74 2" xfId="8053"/>
    <cellStyle name="Currency 74 2 2" xfId="12537"/>
    <cellStyle name="Currency 74 3" xfId="8054"/>
    <cellStyle name="Currency 74 3 2" xfId="12538"/>
    <cellStyle name="Currency 74 4" xfId="12536"/>
    <cellStyle name="Currency 75" xfId="8055"/>
    <cellStyle name="Currency 75 2" xfId="8056"/>
    <cellStyle name="Currency 75 2 2" xfId="12540"/>
    <cellStyle name="Currency 75 3" xfId="8057"/>
    <cellStyle name="Currency 75 3 2" xfId="12541"/>
    <cellStyle name="Currency 75 4" xfId="12539"/>
    <cellStyle name="Currency 76" xfId="8058"/>
    <cellStyle name="Currency 76 2" xfId="8059"/>
    <cellStyle name="Currency 76 2 2" xfId="12543"/>
    <cellStyle name="Currency 76 3" xfId="8060"/>
    <cellStyle name="Currency 76 3 2" xfId="12544"/>
    <cellStyle name="Currency 76 4" xfId="12542"/>
    <cellStyle name="Currency 77" xfId="8061"/>
    <cellStyle name="Currency 77 2" xfId="8062"/>
    <cellStyle name="Currency 77 2 2" xfId="12546"/>
    <cellStyle name="Currency 77 3" xfId="8063"/>
    <cellStyle name="Currency 77 3 2" xfId="12547"/>
    <cellStyle name="Currency 77 4" xfId="12545"/>
    <cellStyle name="Currency 78" xfId="8064"/>
    <cellStyle name="Currency 78 2" xfId="12548"/>
    <cellStyle name="Currency 79" xfId="8065"/>
    <cellStyle name="Currency 79 2" xfId="12549"/>
    <cellStyle name="Currency 8" xfId="121"/>
    <cellStyle name="Currency 8 10" xfId="5560"/>
    <cellStyle name="Currency 8 10 2" xfId="12551"/>
    <cellStyle name="Currency 8 11" xfId="5561"/>
    <cellStyle name="Currency 8 11 2" xfId="12552"/>
    <cellStyle name="Currency 8 12" xfId="5562"/>
    <cellStyle name="Currency 8 12 2" xfId="12553"/>
    <cellStyle name="Currency 8 13" xfId="5563"/>
    <cellStyle name="Currency 8 13 2" xfId="12554"/>
    <cellStyle name="Currency 8 14" xfId="5564"/>
    <cellStyle name="Currency 8 14 2" xfId="12555"/>
    <cellStyle name="Currency 8 15" xfId="5565"/>
    <cellStyle name="Currency 8 15 2" xfId="12556"/>
    <cellStyle name="Currency 8 16" xfId="5566"/>
    <cellStyle name="Currency 8 16 2" xfId="12557"/>
    <cellStyle name="Currency 8 17" xfId="5567"/>
    <cellStyle name="Currency 8 17 2" xfId="12558"/>
    <cellStyle name="Currency 8 18" xfId="5568"/>
    <cellStyle name="Currency 8 18 2" xfId="12559"/>
    <cellStyle name="Currency 8 19" xfId="5569"/>
    <cellStyle name="Currency 8 19 2" xfId="12560"/>
    <cellStyle name="Currency 8 2" xfId="5570"/>
    <cellStyle name="Currency 8 2 2" xfId="12561"/>
    <cellStyle name="Currency 8 20" xfId="5571"/>
    <cellStyle name="Currency 8 20 2" xfId="12562"/>
    <cellStyle name="Currency 8 21" xfId="5572"/>
    <cellStyle name="Currency 8 21 2" xfId="12563"/>
    <cellStyle name="Currency 8 22" xfId="5573"/>
    <cellStyle name="Currency 8 22 2" xfId="12564"/>
    <cellStyle name="Currency 8 23" xfId="5574"/>
    <cellStyle name="Currency 8 23 2" xfId="12565"/>
    <cellStyle name="Currency 8 24" xfId="5575"/>
    <cellStyle name="Currency 8 24 2" xfId="12566"/>
    <cellStyle name="Currency 8 25" xfId="5576"/>
    <cellStyle name="Currency 8 25 2" xfId="12567"/>
    <cellStyle name="Currency 8 26" xfId="5577"/>
    <cellStyle name="Currency 8 26 2" xfId="12568"/>
    <cellStyle name="Currency 8 27" xfId="5578"/>
    <cellStyle name="Currency 8 27 2" xfId="12569"/>
    <cellStyle name="Currency 8 28" xfId="5579"/>
    <cellStyle name="Currency 8 28 2" xfId="12570"/>
    <cellStyle name="Currency 8 29" xfId="5580"/>
    <cellStyle name="Currency 8 29 2" xfId="12571"/>
    <cellStyle name="Currency 8 3" xfId="5581"/>
    <cellStyle name="Currency 8 3 2" xfId="12572"/>
    <cellStyle name="Currency 8 30" xfId="5582"/>
    <cellStyle name="Currency 8 30 2" xfId="12573"/>
    <cellStyle name="Currency 8 31" xfId="5583"/>
    <cellStyle name="Currency 8 31 2" xfId="12574"/>
    <cellStyle name="Currency 8 32" xfId="5584"/>
    <cellStyle name="Currency 8 32 2" xfId="12575"/>
    <cellStyle name="Currency 8 33" xfId="5585"/>
    <cellStyle name="Currency 8 33 2" xfId="12576"/>
    <cellStyle name="Currency 8 34" xfId="5586"/>
    <cellStyle name="Currency 8 34 2" xfId="12577"/>
    <cellStyle name="Currency 8 35" xfId="5587"/>
    <cellStyle name="Currency 8 35 2" xfId="12578"/>
    <cellStyle name="Currency 8 36" xfId="5588"/>
    <cellStyle name="Currency 8 36 2" xfId="12579"/>
    <cellStyle name="Currency 8 37" xfId="5589"/>
    <cellStyle name="Currency 8 37 2" xfId="12580"/>
    <cellStyle name="Currency 8 38" xfId="12550"/>
    <cellStyle name="Currency 8 39" xfId="5559"/>
    <cellStyle name="Currency 8 4" xfId="5590"/>
    <cellStyle name="Currency 8 4 2" xfId="12581"/>
    <cellStyle name="Currency 8 5" xfId="5591"/>
    <cellStyle name="Currency 8 5 2" xfId="12582"/>
    <cellStyle name="Currency 8 6" xfId="5592"/>
    <cellStyle name="Currency 8 6 2" xfId="12583"/>
    <cellStyle name="Currency 8 7" xfId="5593"/>
    <cellStyle name="Currency 8 7 2" xfId="12584"/>
    <cellStyle name="Currency 8 8" xfId="5594"/>
    <cellStyle name="Currency 8 8 2" xfId="12585"/>
    <cellStyle name="Currency 8 9" xfId="5595"/>
    <cellStyle name="Currency 8 9 2" xfId="12586"/>
    <cellStyle name="Currency 80" xfId="8066"/>
    <cellStyle name="Currency 80 2" xfId="12587"/>
    <cellStyle name="Currency 81" xfId="8067"/>
    <cellStyle name="Currency 81 2" xfId="12588"/>
    <cellStyle name="Currency 82" xfId="8068"/>
    <cellStyle name="Currency 82 2" xfId="12589"/>
    <cellStyle name="Currency 83" xfId="8069"/>
    <cellStyle name="Currency 83 2" xfId="12590"/>
    <cellStyle name="Currency 84" xfId="4931"/>
    <cellStyle name="Currency 84 2" xfId="12591"/>
    <cellStyle name="Currency 85" xfId="8070"/>
    <cellStyle name="Currency 85 10" xfId="12592"/>
    <cellStyle name="Currency 85 11" xfId="14325"/>
    <cellStyle name="Currency 85 11 2" xfId="30547"/>
    <cellStyle name="Currency 85 2" xfId="8071"/>
    <cellStyle name="Currency 85 2 10" xfId="14358"/>
    <cellStyle name="Currency 85 2 10 2" xfId="30580"/>
    <cellStyle name="Currency 85 2 2" xfId="8072"/>
    <cellStyle name="Currency 85 2 2 2" xfId="8073"/>
    <cellStyle name="Currency 85 2 2 2 2" xfId="8074"/>
    <cellStyle name="Currency 85 2 2 2 2 2" xfId="8075"/>
    <cellStyle name="Currency 85 2 2 2 2 2 2" xfId="8076"/>
    <cellStyle name="Currency 85 2 2 2 2 2 2 2" xfId="12598"/>
    <cellStyle name="Currency 85 2 2 2 2 2 2 3" xfId="17197"/>
    <cellStyle name="Currency 85 2 2 2 2 2 2 3 2" xfId="33418"/>
    <cellStyle name="Currency 85 2 2 2 2 2 3" xfId="8077"/>
    <cellStyle name="Currency 85 2 2 2 2 2 3 2" xfId="12599"/>
    <cellStyle name="Currency 85 2 2 2 2 2 4" xfId="12597"/>
    <cellStyle name="Currency 85 2 2 2 2 2 5" xfId="15612"/>
    <cellStyle name="Currency 85 2 2 2 2 2 5 2" xfId="31834"/>
    <cellStyle name="Currency 85 2 2 2 2 3" xfId="8078"/>
    <cellStyle name="Currency 85 2 2 2 2 3 2" xfId="12600"/>
    <cellStyle name="Currency 85 2 2 2 2 3 3" xfId="16405"/>
    <cellStyle name="Currency 85 2 2 2 2 3 3 2" xfId="32626"/>
    <cellStyle name="Currency 85 2 2 2 2 4" xfId="8079"/>
    <cellStyle name="Currency 85 2 2 2 2 4 2" xfId="12601"/>
    <cellStyle name="Currency 85 2 2 2 2 5" xfId="12596"/>
    <cellStyle name="Currency 85 2 2 2 2 6" xfId="14820"/>
    <cellStyle name="Currency 85 2 2 2 2 6 2" xfId="31042"/>
    <cellStyle name="Currency 85 2 2 2 3" xfId="8080"/>
    <cellStyle name="Currency 85 2 2 2 3 2" xfId="8081"/>
    <cellStyle name="Currency 85 2 2 2 3 2 2" xfId="8082"/>
    <cellStyle name="Currency 85 2 2 2 3 2 2 2" xfId="12604"/>
    <cellStyle name="Currency 85 2 2 2 3 2 2 3" xfId="17461"/>
    <cellStyle name="Currency 85 2 2 2 3 2 2 3 2" xfId="33682"/>
    <cellStyle name="Currency 85 2 2 2 3 2 3" xfId="8083"/>
    <cellStyle name="Currency 85 2 2 2 3 2 3 2" xfId="12605"/>
    <cellStyle name="Currency 85 2 2 2 3 2 4" xfId="12603"/>
    <cellStyle name="Currency 85 2 2 2 3 2 5" xfId="15876"/>
    <cellStyle name="Currency 85 2 2 2 3 2 5 2" xfId="32098"/>
    <cellStyle name="Currency 85 2 2 2 3 3" xfId="8084"/>
    <cellStyle name="Currency 85 2 2 2 3 3 2" xfId="12606"/>
    <cellStyle name="Currency 85 2 2 2 3 3 3" xfId="16669"/>
    <cellStyle name="Currency 85 2 2 2 3 3 3 2" xfId="32890"/>
    <cellStyle name="Currency 85 2 2 2 3 4" xfId="8085"/>
    <cellStyle name="Currency 85 2 2 2 3 4 2" xfId="12607"/>
    <cellStyle name="Currency 85 2 2 2 3 5" xfId="12602"/>
    <cellStyle name="Currency 85 2 2 2 3 6" xfId="15084"/>
    <cellStyle name="Currency 85 2 2 2 3 6 2" xfId="31306"/>
    <cellStyle name="Currency 85 2 2 2 4" xfId="8086"/>
    <cellStyle name="Currency 85 2 2 2 4 2" xfId="8087"/>
    <cellStyle name="Currency 85 2 2 2 4 2 2" xfId="12609"/>
    <cellStyle name="Currency 85 2 2 2 4 2 3" xfId="16933"/>
    <cellStyle name="Currency 85 2 2 2 4 2 3 2" xfId="33154"/>
    <cellStyle name="Currency 85 2 2 2 4 3" xfId="8088"/>
    <cellStyle name="Currency 85 2 2 2 4 3 2" xfId="12610"/>
    <cellStyle name="Currency 85 2 2 2 4 4" xfId="12608"/>
    <cellStyle name="Currency 85 2 2 2 4 5" xfId="15348"/>
    <cellStyle name="Currency 85 2 2 2 4 5 2" xfId="31570"/>
    <cellStyle name="Currency 85 2 2 2 5" xfId="8089"/>
    <cellStyle name="Currency 85 2 2 2 5 2" xfId="12611"/>
    <cellStyle name="Currency 85 2 2 2 5 3" xfId="16141"/>
    <cellStyle name="Currency 85 2 2 2 5 3 2" xfId="32362"/>
    <cellStyle name="Currency 85 2 2 2 6" xfId="8090"/>
    <cellStyle name="Currency 85 2 2 2 6 2" xfId="12612"/>
    <cellStyle name="Currency 85 2 2 2 7" xfId="12595"/>
    <cellStyle name="Currency 85 2 2 2 8" xfId="14556"/>
    <cellStyle name="Currency 85 2 2 2 8 2" xfId="30778"/>
    <cellStyle name="Currency 85 2 2 3" xfId="8091"/>
    <cellStyle name="Currency 85 2 2 3 2" xfId="8092"/>
    <cellStyle name="Currency 85 2 2 3 2 2" xfId="8093"/>
    <cellStyle name="Currency 85 2 2 3 2 2 2" xfId="12615"/>
    <cellStyle name="Currency 85 2 2 3 2 2 3" xfId="17065"/>
    <cellStyle name="Currency 85 2 2 3 2 2 3 2" xfId="33286"/>
    <cellStyle name="Currency 85 2 2 3 2 3" xfId="8094"/>
    <cellStyle name="Currency 85 2 2 3 2 3 2" xfId="12616"/>
    <cellStyle name="Currency 85 2 2 3 2 4" xfId="12614"/>
    <cellStyle name="Currency 85 2 2 3 2 5" xfId="15480"/>
    <cellStyle name="Currency 85 2 2 3 2 5 2" xfId="31702"/>
    <cellStyle name="Currency 85 2 2 3 3" xfId="8095"/>
    <cellStyle name="Currency 85 2 2 3 3 2" xfId="12617"/>
    <cellStyle name="Currency 85 2 2 3 3 3" xfId="16273"/>
    <cellStyle name="Currency 85 2 2 3 3 3 2" xfId="32494"/>
    <cellStyle name="Currency 85 2 2 3 4" xfId="8096"/>
    <cellStyle name="Currency 85 2 2 3 4 2" xfId="12618"/>
    <cellStyle name="Currency 85 2 2 3 5" xfId="12613"/>
    <cellStyle name="Currency 85 2 2 3 6" xfId="14688"/>
    <cellStyle name="Currency 85 2 2 3 6 2" xfId="30910"/>
    <cellStyle name="Currency 85 2 2 4" xfId="8097"/>
    <cellStyle name="Currency 85 2 2 4 2" xfId="8098"/>
    <cellStyle name="Currency 85 2 2 4 2 2" xfId="8099"/>
    <cellStyle name="Currency 85 2 2 4 2 2 2" xfId="12621"/>
    <cellStyle name="Currency 85 2 2 4 2 2 3" xfId="17329"/>
    <cellStyle name="Currency 85 2 2 4 2 2 3 2" xfId="33550"/>
    <cellStyle name="Currency 85 2 2 4 2 3" xfId="8100"/>
    <cellStyle name="Currency 85 2 2 4 2 3 2" xfId="12622"/>
    <cellStyle name="Currency 85 2 2 4 2 4" xfId="12620"/>
    <cellStyle name="Currency 85 2 2 4 2 5" xfId="15744"/>
    <cellStyle name="Currency 85 2 2 4 2 5 2" xfId="31966"/>
    <cellStyle name="Currency 85 2 2 4 3" xfId="8101"/>
    <cellStyle name="Currency 85 2 2 4 3 2" xfId="12623"/>
    <cellStyle name="Currency 85 2 2 4 3 3" xfId="16537"/>
    <cellStyle name="Currency 85 2 2 4 3 3 2" xfId="32758"/>
    <cellStyle name="Currency 85 2 2 4 4" xfId="8102"/>
    <cellStyle name="Currency 85 2 2 4 4 2" xfId="12624"/>
    <cellStyle name="Currency 85 2 2 4 5" xfId="12619"/>
    <cellStyle name="Currency 85 2 2 4 6" xfId="14952"/>
    <cellStyle name="Currency 85 2 2 4 6 2" xfId="31174"/>
    <cellStyle name="Currency 85 2 2 5" xfId="8103"/>
    <cellStyle name="Currency 85 2 2 5 2" xfId="8104"/>
    <cellStyle name="Currency 85 2 2 5 2 2" xfId="12626"/>
    <cellStyle name="Currency 85 2 2 5 2 3" xfId="16801"/>
    <cellStyle name="Currency 85 2 2 5 2 3 2" xfId="33022"/>
    <cellStyle name="Currency 85 2 2 5 3" xfId="8105"/>
    <cellStyle name="Currency 85 2 2 5 3 2" xfId="12627"/>
    <cellStyle name="Currency 85 2 2 5 4" xfId="12625"/>
    <cellStyle name="Currency 85 2 2 5 5" xfId="15216"/>
    <cellStyle name="Currency 85 2 2 5 5 2" xfId="31438"/>
    <cellStyle name="Currency 85 2 2 6" xfId="8106"/>
    <cellStyle name="Currency 85 2 2 6 2" xfId="12628"/>
    <cellStyle name="Currency 85 2 2 6 3" xfId="16009"/>
    <cellStyle name="Currency 85 2 2 6 3 2" xfId="32230"/>
    <cellStyle name="Currency 85 2 2 7" xfId="8107"/>
    <cellStyle name="Currency 85 2 2 7 2" xfId="12629"/>
    <cellStyle name="Currency 85 2 2 8" xfId="12594"/>
    <cellStyle name="Currency 85 2 2 9" xfId="14424"/>
    <cellStyle name="Currency 85 2 2 9 2" xfId="30646"/>
    <cellStyle name="Currency 85 2 3" xfId="8108"/>
    <cellStyle name="Currency 85 2 3 2" xfId="8109"/>
    <cellStyle name="Currency 85 2 3 2 2" xfId="8110"/>
    <cellStyle name="Currency 85 2 3 2 2 2" xfId="8111"/>
    <cellStyle name="Currency 85 2 3 2 2 2 2" xfId="12633"/>
    <cellStyle name="Currency 85 2 3 2 2 2 3" xfId="17131"/>
    <cellStyle name="Currency 85 2 3 2 2 2 3 2" xfId="33352"/>
    <cellStyle name="Currency 85 2 3 2 2 3" xfId="8112"/>
    <cellStyle name="Currency 85 2 3 2 2 3 2" xfId="12634"/>
    <cellStyle name="Currency 85 2 3 2 2 4" xfId="12632"/>
    <cellStyle name="Currency 85 2 3 2 2 5" xfId="15546"/>
    <cellStyle name="Currency 85 2 3 2 2 5 2" xfId="31768"/>
    <cellStyle name="Currency 85 2 3 2 3" xfId="8113"/>
    <cellStyle name="Currency 85 2 3 2 3 2" xfId="12635"/>
    <cellStyle name="Currency 85 2 3 2 3 3" xfId="16339"/>
    <cellStyle name="Currency 85 2 3 2 3 3 2" xfId="32560"/>
    <cellStyle name="Currency 85 2 3 2 4" xfId="8114"/>
    <cellStyle name="Currency 85 2 3 2 4 2" xfId="12636"/>
    <cellStyle name="Currency 85 2 3 2 5" xfId="12631"/>
    <cellStyle name="Currency 85 2 3 2 6" xfId="14754"/>
    <cellStyle name="Currency 85 2 3 2 6 2" xfId="30976"/>
    <cellStyle name="Currency 85 2 3 3" xfId="8115"/>
    <cellStyle name="Currency 85 2 3 3 2" xfId="8116"/>
    <cellStyle name="Currency 85 2 3 3 2 2" xfId="8117"/>
    <cellStyle name="Currency 85 2 3 3 2 2 2" xfId="12639"/>
    <cellStyle name="Currency 85 2 3 3 2 2 3" xfId="17395"/>
    <cellStyle name="Currency 85 2 3 3 2 2 3 2" xfId="33616"/>
    <cellStyle name="Currency 85 2 3 3 2 3" xfId="8118"/>
    <cellStyle name="Currency 85 2 3 3 2 3 2" xfId="12640"/>
    <cellStyle name="Currency 85 2 3 3 2 4" xfId="12638"/>
    <cellStyle name="Currency 85 2 3 3 2 5" xfId="15810"/>
    <cellStyle name="Currency 85 2 3 3 2 5 2" xfId="32032"/>
    <cellStyle name="Currency 85 2 3 3 3" xfId="8119"/>
    <cellStyle name="Currency 85 2 3 3 3 2" xfId="12641"/>
    <cellStyle name="Currency 85 2 3 3 3 3" xfId="16603"/>
    <cellStyle name="Currency 85 2 3 3 3 3 2" xfId="32824"/>
    <cellStyle name="Currency 85 2 3 3 4" xfId="8120"/>
    <cellStyle name="Currency 85 2 3 3 4 2" xfId="12642"/>
    <cellStyle name="Currency 85 2 3 3 5" xfId="12637"/>
    <cellStyle name="Currency 85 2 3 3 6" xfId="15018"/>
    <cellStyle name="Currency 85 2 3 3 6 2" xfId="31240"/>
    <cellStyle name="Currency 85 2 3 4" xfId="8121"/>
    <cellStyle name="Currency 85 2 3 4 2" xfId="8122"/>
    <cellStyle name="Currency 85 2 3 4 2 2" xfId="12644"/>
    <cellStyle name="Currency 85 2 3 4 2 3" xfId="16867"/>
    <cellStyle name="Currency 85 2 3 4 2 3 2" xfId="33088"/>
    <cellStyle name="Currency 85 2 3 4 3" xfId="8123"/>
    <cellStyle name="Currency 85 2 3 4 3 2" xfId="12645"/>
    <cellStyle name="Currency 85 2 3 4 4" xfId="12643"/>
    <cellStyle name="Currency 85 2 3 4 5" xfId="15282"/>
    <cellStyle name="Currency 85 2 3 4 5 2" xfId="31504"/>
    <cellStyle name="Currency 85 2 3 5" xfId="8124"/>
    <cellStyle name="Currency 85 2 3 5 2" xfId="12646"/>
    <cellStyle name="Currency 85 2 3 5 3" xfId="16075"/>
    <cellStyle name="Currency 85 2 3 5 3 2" xfId="32296"/>
    <cellStyle name="Currency 85 2 3 6" xfId="8125"/>
    <cellStyle name="Currency 85 2 3 6 2" xfId="12647"/>
    <cellStyle name="Currency 85 2 3 7" xfId="12630"/>
    <cellStyle name="Currency 85 2 3 8" xfId="14490"/>
    <cellStyle name="Currency 85 2 3 8 2" xfId="30712"/>
    <cellStyle name="Currency 85 2 4" xfId="8126"/>
    <cellStyle name="Currency 85 2 4 2" xfId="8127"/>
    <cellStyle name="Currency 85 2 4 2 2" xfId="8128"/>
    <cellStyle name="Currency 85 2 4 2 2 2" xfId="12650"/>
    <cellStyle name="Currency 85 2 4 2 2 3" xfId="16999"/>
    <cellStyle name="Currency 85 2 4 2 2 3 2" xfId="33220"/>
    <cellStyle name="Currency 85 2 4 2 3" xfId="8129"/>
    <cellStyle name="Currency 85 2 4 2 3 2" xfId="12651"/>
    <cellStyle name="Currency 85 2 4 2 4" xfId="12649"/>
    <cellStyle name="Currency 85 2 4 2 5" xfId="15414"/>
    <cellStyle name="Currency 85 2 4 2 5 2" xfId="31636"/>
    <cellStyle name="Currency 85 2 4 3" xfId="8130"/>
    <cellStyle name="Currency 85 2 4 3 2" xfId="12652"/>
    <cellStyle name="Currency 85 2 4 3 3" xfId="16207"/>
    <cellStyle name="Currency 85 2 4 3 3 2" xfId="32428"/>
    <cellStyle name="Currency 85 2 4 4" xfId="8131"/>
    <cellStyle name="Currency 85 2 4 4 2" xfId="12653"/>
    <cellStyle name="Currency 85 2 4 5" xfId="12648"/>
    <cellStyle name="Currency 85 2 4 6" xfId="14622"/>
    <cellStyle name="Currency 85 2 4 6 2" xfId="30844"/>
    <cellStyle name="Currency 85 2 5" xfId="8132"/>
    <cellStyle name="Currency 85 2 5 2" xfId="8133"/>
    <cellStyle name="Currency 85 2 5 2 2" xfId="8134"/>
    <cellStyle name="Currency 85 2 5 2 2 2" xfId="12656"/>
    <cellStyle name="Currency 85 2 5 2 2 3" xfId="17263"/>
    <cellStyle name="Currency 85 2 5 2 2 3 2" xfId="33484"/>
    <cellStyle name="Currency 85 2 5 2 3" xfId="8135"/>
    <cellStyle name="Currency 85 2 5 2 3 2" xfId="12657"/>
    <cellStyle name="Currency 85 2 5 2 4" xfId="12655"/>
    <cellStyle name="Currency 85 2 5 2 5" xfId="15678"/>
    <cellStyle name="Currency 85 2 5 2 5 2" xfId="31900"/>
    <cellStyle name="Currency 85 2 5 3" xfId="8136"/>
    <cellStyle name="Currency 85 2 5 3 2" xfId="12658"/>
    <cellStyle name="Currency 85 2 5 3 3" xfId="16471"/>
    <cellStyle name="Currency 85 2 5 3 3 2" xfId="32692"/>
    <cellStyle name="Currency 85 2 5 4" xfId="8137"/>
    <cellStyle name="Currency 85 2 5 4 2" xfId="12659"/>
    <cellStyle name="Currency 85 2 5 5" xfId="12654"/>
    <cellStyle name="Currency 85 2 5 6" xfId="14886"/>
    <cellStyle name="Currency 85 2 5 6 2" xfId="31108"/>
    <cellStyle name="Currency 85 2 6" xfId="8138"/>
    <cellStyle name="Currency 85 2 6 2" xfId="8139"/>
    <cellStyle name="Currency 85 2 6 2 2" xfId="12661"/>
    <cellStyle name="Currency 85 2 6 2 3" xfId="16735"/>
    <cellStyle name="Currency 85 2 6 2 3 2" xfId="32956"/>
    <cellStyle name="Currency 85 2 6 3" xfId="8140"/>
    <cellStyle name="Currency 85 2 6 3 2" xfId="12662"/>
    <cellStyle name="Currency 85 2 6 4" xfId="12660"/>
    <cellStyle name="Currency 85 2 6 5" xfId="15150"/>
    <cellStyle name="Currency 85 2 6 5 2" xfId="31372"/>
    <cellStyle name="Currency 85 2 7" xfId="8141"/>
    <cellStyle name="Currency 85 2 7 2" xfId="12663"/>
    <cellStyle name="Currency 85 2 7 3" xfId="15943"/>
    <cellStyle name="Currency 85 2 7 3 2" xfId="32164"/>
    <cellStyle name="Currency 85 2 8" xfId="8142"/>
    <cellStyle name="Currency 85 2 8 2" xfId="12664"/>
    <cellStyle name="Currency 85 2 9" xfId="12593"/>
    <cellStyle name="Currency 85 3" xfId="8143"/>
    <cellStyle name="Currency 85 3 2" xfId="8144"/>
    <cellStyle name="Currency 85 3 2 2" xfId="8145"/>
    <cellStyle name="Currency 85 3 2 2 2" xfId="8146"/>
    <cellStyle name="Currency 85 3 2 2 2 2" xfId="8147"/>
    <cellStyle name="Currency 85 3 2 2 2 2 2" xfId="12669"/>
    <cellStyle name="Currency 85 3 2 2 2 2 3" xfId="17164"/>
    <cellStyle name="Currency 85 3 2 2 2 2 3 2" xfId="33385"/>
    <cellStyle name="Currency 85 3 2 2 2 3" xfId="8148"/>
    <cellStyle name="Currency 85 3 2 2 2 3 2" xfId="12670"/>
    <cellStyle name="Currency 85 3 2 2 2 4" xfId="12668"/>
    <cellStyle name="Currency 85 3 2 2 2 5" xfId="15579"/>
    <cellStyle name="Currency 85 3 2 2 2 5 2" xfId="31801"/>
    <cellStyle name="Currency 85 3 2 2 3" xfId="8149"/>
    <cellStyle name="Currency 85 3 2 2 3 2" xfId="12671"/>
    <cellStyle name="Currency 85 3 2 2 3 3" xfId="16372"/>
    <cellStyle name="Currency 85 3 2 2 3 3 2" xfId="32593"/>
    <cellStyle name="Currency 85 3 2 2 4" xfId="8150"/>
    <cellStyle name="Currency 85 3 2 2 4 2" xfId="12672"/>
    <cellStyle name="Currency 85 3 2 2 5" xfId="12667"/>
    <cellStyle name="Currency 85 3 2 2 6" xfId="14787"/>
    <cellStyle name="Currency 85 3 2 2 6 2" xfId="31009"/>
    <cellStyle name="Currency 85 3 2 3" xfId="8151"/>
    <cellStyle name="Currency 85 3 2 3 2" xfId="8152"/>
    <cellStyle name="Currency 85 3 2 3 2 2" xfId="8153"/>
    <cellStyle name="Currency 85 3 2 3 2 2 2" xfId="12675"/>
    <cellStyle name="Currency 85 3 2 3 2 2 3" xfId="17428"/>
    <cellStyle name="Currency 85 3 2 3 2 2 3 2" xfId="33649"/>
    <cellStyle name="Currency 85 3 2 3 2 3" xfId="8154"/>
    <cellStyle name="Currency 85 3 2 3 2 3 2" xfId="12676"/>
    <cellStyle name="Currency 85 3 2 3 2 4" xfId="12674"/>
    <cellStyle name="Currency 85 3 2 3 2 5" xfId="15843"/>
    <cellStyle name="Currency 85 3 2 3 2 5 2" xfId="32065"/>
    <cellStyle name="Currency 85 3 2 3 3" xfId="8155"/>
    <cellStyle name="Currency 85 3 2 3 3 2" xfId="12677"/>
    <cellStyle name="Currency 85 3 2 3 3 3" xfId="16636"/>
    <cellStyle name="Currency 85 3 2 3 3 3 2" xfId="32857"/>
    <cellStyle name="Currency 85 3 2 3 4" xfId="8156"/>
    <cellStyle name="Currency 85 3 2 3 4 2" xfId="12678"/>
    <cellStyle name="Currency 85 3 2 3 5" xfId="12673"/>
    <cellStyle name="Currency 85 3 2 3 6" xfId="15051"/>
    <cellStyle name="Currency 85 3 2 3 6 2" xfId="31273"/>
    <cellStyle name="Currency 85 3 2 4" xfId="8157"/>
    <cellStyle name="Currency 85 3 2 4 2" xfId="8158"/>
    <cellStyle name="Currency 85 3 2 4 2 2" xfId="12680"/>
    <cellStyle name="Currency 85 3 2 4 2 3" xfId="16900"/>
    <cellStyle name="Currency 85 3 2 4 2 3 2" xfId="33121"/>
    <cellStyle name="Currency 85 3 2 4 3" xfId="8159"/>
    <cellStyle name="Currency 85 3 2 4 3 2" xfId="12681"/>
    <cellStyle name="Currency 85 3 2 4 4" xfId="12679"/>
    <cellStyle name="Currency 85 3 2 4 5" xfId="15315"/>
    <cellStyle name="Currency 85 3 2 4 5 2" xfId="31537"/>
    <cellStyle name="Currency 85 3 2 5" xfId="8160"/>
    <cellStyle name="Currency 85 3 2 5 2" xfId="12682"/>
    <cellStyle name="Currency 85 3 2 5 3" xfId="16108"/>
    <cellStyle name="Currency 85 3 2 5 3 2" xfId="32329"/>
    <cellStyle name="Currency 85 3 2 6" xfId="8161"/>
    <cellStyle name="Currency 85 3 2 6 2" xfId="12683"/>
    <cellStyle name="Currency 85 3 2 7" xfId="12666"/>
    <cellStyle name="Currency 85 3 2 8" xfId="14523"/>
    <cellStyle name="Currency 85 3 2 8 2" xfId="30745"/>
    <cellStyle name="Currency 85 3 3" xfId="8162"/>
    <cellStyle name="Currency 85 3 3 2" xfId="8163"/>
    <cellStyle name="Currency 85 3 3 2 2" xfId="8164"/>
    <cellStyle name="Currency 85 3 3 2 2 2" xfId="12686"/>
    <cellStyle name="Currency 85 3 3 2 2 3" xfId="17032"/>
    <cellStyle name="Currency 85 3 3 2 2 3 2" xfId="33253"/>
    <cellStyle name="Currency 85 3 3 2 3" xfId="8165"/>
    <cellStyle name="Currency 85 3 3 2 3 2" xfId="12687"/>
    <cellStyle name="Currency 85 3 3 2 4" xfId="12685"/>
    <cellStyle name="Currency 85 3 3 2 5" xfId="15447"/>
    <cellStyle name="Currency 85 3 3 2 5 2" xfId="31669"/>
    <cellStyle name="Currency 85 3 3 3" xfId="8166"/>
    <cellStyle name="Currency 85 3 3 3 2" xfId="12688"/>
    <cellStyle name="Currency 85 3 3 3 3" xfId="16240"/>
    <cellStyle name="Currency 85 3 3 3 3 2" xfId="32461"/>
    <cellStyle name="Currency 85 3 3 4" xfId="8167"/>
    <cellStyle name="Currency 85 3 3 4 2" xfId="12689"/>
    <cellStyle name="Currency 85 3 3 5" xfId="12684"/>
    <cellStyle name="Currency 85 3 3 6" xfId="14655"/>
    <cellStyle name="Currency 85 3 3 6 2" xfId="30877"/>
    <cellStyle name="Currency 85 3 4" xfId="8168"/>
    <cellStyle name="Currency 85 3 4 2" xfId="8169"/>
    <cellStyle name="Currency 85 3 4 2 2" xfId="8170"/>
    <cellStyle name="Currency 85 3 4 2 2 2" xfId="12692"/>
    <cellStyle name="Currency 85 3 4 2 2 3" xfId="17296"/>
    <cellStyle name="Currency 85 3 4 2 2 3 2" xfId="33517"/>
    <cellStyle name="Currency 85 3 4 2 3" xfId="8171"/>
    <cellStyle name="Currency 85 3 4 2 3 2" xfId="12693"/>
    <cellStyle name="Currency 85 3 4 2 4" xfId="12691"/>
    <cellStyle name="Currency 85 3 4 2 5" xfId="15711"/>
    <cellStyle name="Currency 85 3 4 2 5 2" xfId="31933"/>
    <cellStyle name="Currency 85 3 4 3" xfId="8172"/>
    <cellStyle name="Currency 85 3 4 3 2" xfId="12694"/>
    <cellStyle name="Currency 85 3 4 3 3" xfId="16504"/>
    <cellStyle name="Currency 85 3 4 3 3 2" xfId="32725"/>
    <cellStyle name="Currency 85 3 4 4" xfId="8173"/>
    <cellStyle name="Currency 85 3 4 4 2" xfId="12695"/>
    <cellStyle name="Currency 85 3 4 5" xfId="12690"/>
    <cellStyle name="Currency 85 3 4 6" xfId="14919"/>
    <cellStyle name="Currency 85 3 4 6 2" xfId="31141"/>
    <cellStyle name="Currency 85 3 5" xfId="8174"/>
    <cellStyle name="Currency 85 3 5 2" xfId="8175"/>
    <cellStyle name="Currency 85 3 5 2 2" xfId="12697"/>
    <cellStyle name="Currency 85 3 5 2 3" xfId="16768"/>
    <cellStyle name="Currency 85 3 5 2 3 2" xfId="32989"/>
    <cellStyle name="Currency 85 3 5 3" xfId="8176"/>
    <cellStyle name="Currency 85 3 5 3 2" xfId="12698"/>
    <cellStyle name="Currency 85 3 5 4" xfId="12696"/>
    <cellStyle name="Currency 85 3 5 5" xfId="15183"/>
    <cellStyle name="Currency 85 3 5 5 2" xfId="31405"/>
    <cellStyle name="Currency 85 3 6" xfId="8177"/>
    <cellStyle name="Currency 85 3 6 2" xfId="12699"/>
    <cellStyle name="Currency 85 3 6 3" xfId="15976"/>
    <cellStyle name="Currency 85 3 6 3 2" xfId="32197"/>
    <cellStyle name="Currency 85 3 7" xfId="8178"/>
    <cellStyle name="Currency 85 3 7 2" xfId="12700"/>
    <cellStyle name="Currency 85 3 8" xfId="12665"/>
    <cellStyle name="Currency 85 3 9" xfId="14391"/>
    <cellStyle name="Currency 85 3 9 2" xfId="30613"/>
    <cellStyle name="Currency 85 4" xfId="8179"/>
    <cellStyle name="Currency 85 4 2" xfId="8180"/>
    <cellStyle name="Currency 85 4 2 2" xfId="8181"/>
    <cellStyle name="Currency 85 4 2 2 2" xfId="8182"/>
    <cellStyle name="Currency 85 4 2 2 2 2" xfId="12704"/>
    <cellStyle name="Currency 85 4 2 2 2 3" xfId="17098"/>
    <cellStyle name="Currency 85 4 2 2 2 3 2" xfId="33319"/>
    <cellStyle name="Currency 85 4 2 2 3" xfId="8183"/>
    <cellStyle name="Currency 85 4 2 2 3 2" xfId="12705"/>
    <cellStyle name="Currency 85 4 2 2 4" xfId="12703"/>
    <cellStyle name="Currency 85 4 2 2 5" xfId="15513"/>
    <cellStyle name="Currency 85 4 2 2 5 2" xfId="31735"/>
    <cellStyle name="Currency 85 4 2 3" xfId="8184"/>
    <cellStyle name="Currency 85 4 2 3 2" xfId="12706"/>
    <cellStyle name="Currency 85 4 2 3 3" xfId="16306"/>
    <cellStyle name="Currency 85 4 2 3 3 2" xfId="32527"/>
    <cellStyle name="Currency 85 4 2 4" xfId="8185"/>
    <cellStyle name="Currency 85 4 2 4 2" xfId="12707"/>
    <cellStyle name="Currency 85 4 2 5" xfId="12702"/>
    <cellStyle name="Currency 85 4 2 6" xfId="14721"/>
    <cellStyle name="Currency 85 4 2 6 2" xfId="30943"/>
    <cellStyle name="Currency 85 4 3" xfId="8186"/>
    <cellStyle name="Currency 85 4 3 2" xfId="8187"/>
    <cellStyle name="Currency 85 4 3 2 2" xfId="8188"/>
    <cellStyle name="Currency 85 4 3 2 2 2" xfId="12710"/>
    <cellStyle name="Currency 85 4 3 2 2 3" xfId="17362"/>
    <cellStyle name="Currency 85 4 3 2 2 3 2" xfId="33583"/>
    <cellStyle name="Currency 85 4 3 2 3" xfId="8189"/>
    <cellStyle name="Currency 85 4 3 2 3 2" xfId="12711"/>
    <cellStyle name="Currency 85 4 3 2 4" xfId="12709"/>
    <cellStyle name="Currency 85 4 3 2 5" xfId="15777"/>
    <cellStyle name="Currency 85 4 3 2 5 2" xfId="31999"/>
    <cellStyle name="Currency 85 4 3 3" xfId="8190"/>
    <cellStyle name="Currency 85 4 3 3 2" xfId="12712"/>
    <cellStyle name="Currency 85 4 3 3 3" xfId="16570"/>
    <cellStyle name="Currency 85 4 3 3 3 2" xfId="32791"/>
    <cellStyle name="Currency 85 4 3 4" xfId="8191"/>
    <cellStyle name="Currency 85 4 3 4 2" xfId="12713"/>
    <cellStyle name="Currency 85 4 3 5" xfId="12708"/>
    <cellStyle name="Currency 85 4 3 6" xfId="14985"/>
    <cellStyle name="Currency 85 4 3 6 2" xfId="31207"/>
    <cellStyle name="Currency 85 4 4" xfId="8192"/>
    <cellStyle name="Currency 85 4 4 2" xfId="8193"/>
    <cellStyle name="Currency 85 4 4 2 2" xfId="12715"/>
    <cellStyle name="Currency 85 4 4 2 3" xfId="16834"/>
    <cellStyle name="Currency 85 4 4 2 3 2" xfId="33055"/>
    <cellStyle name="Currency 85 4 4 3" xfId="8194"/>
    <cellStyle name="Currency 85 4 4 3 2" xfId="12716"/>
    <cellStyle name="Currency 85 4 4 4" xfId="12714"/>
    <cellStyle name="Currency 85 4 4 5" xfId="15249"/>
    <cellStyle name="Currency 85 4 4 5 2" xfId="31471"/>
    <cellStyle name="Currency 85 4 5" xfId="8195"/>
    <cellStyle name="Currency 85 4 5 2" xfId="12717"/>
    <cellStyle name="Currency 85 4 5 3" xfId="16042"/>
    <cellStyle name="Currency 85 4 5 3 2" xfId="32263"/>
    <cellStyle name="Currency 85 4 6" xfId="8196"/>
    <cellStyle name="Currency 85 4 6 2" xfId="12718"/>
    <cellStyle name="Currency 85 4 7" xfId="12701"/>
    <cellStyle name="Currency 85 4 8" xfId="14457"/>
    <cellStyle name="Currency 85 4 8 2" xfId="30679"/>
    <cellStyle name="Currency 85 5" xfId="8197"/>
    <cellStyle name="Currency 85 5 2" xfId="8198"/>
    <cellStyle name="Currency 85 5 2 2" xfId="8199"/>
    <cellStyle name="Currency 85 5 2 2 2" xfId="12721"/>
    <cellStyle name="Currency 85 5 2 2 3" xfId="16966"/>
    <cellStyle name="Currency 85 5 2 2 3 2" xfId="33187"/>
    <cellStyle name="Currency 85 5 2 3" xfId="8200"/>
    <cellStyle name="Currency 85 5 2 3 2" xfId="12722"/>
    <cellStyle name="Currency 85 5 2 4" xfId="12720"/>
    <cellStyle name="Currency 85 5 2 5" xfId="15381"/>
    <cellStyle name="Currency 85 5 2 5 2" xfId="31603"/>
    <cellStyle name="Currency 85 5 3" xfId="8201"/>
    <cellStyle name="Currency 85 5 3 2" xfId="12723"/>
    <cellStyle name="Currency 85 5 3 3" xfId="16174"/>
    <cellStyle name="Currency 85 5 3 3 2" xfId="32395"/>
    <cellStyle name="Currency 85 5 4" xfId="8202"/>
    <cellStyle name="Currency 85 5 4 2" xfId="12724"/>
    <cellStyle name="Currency 85 5 5" xfId="12719"/>
    <cellStyle name="Currency 85 5 6" xfId="14589"/>
    <cellStyle name="Currency 85 5 6 2" xfId="30811"/>
    <cellStyle name="Currency 85 6" xfId="8203"/>
    <cellStyle name="Currency 85 6 2" xfId="8204"/>
    <cellStyle name="Currency 85 6 2 2" xfId="8205"/>
    <cellStyle name="Currency 85 6 2 2 2" xfId="12727"/>
    <cellStyle name="Currency 85 6 2 2 3" xfId="17230"/>
    <cellStyle name="Currency 85 6 2 2 3 2" xfId="33451"/>
    <cellStyle name="Currency 85 6 2 3" xfId="8206"/>
    <cellStyle name="Currency 85 6 2 3 2" xfId="12728"/>
    <cellStyle name="Currency 85 6 2 4" xfId="12726"/>
    <cellStyle name="Currency 85 6 2 5" xfId="15645"/>
    <cellStyle name="Currency 85 6 2 5 2" xfId="31867"/>
    <cellStyle name="Currency 85 6 3" xfId="8207"/>
    <cellStyle name="Currency 85 6 3 2" xfId="12729"/>
    <cellStyle name="Currency 85 6 3 3" xfId="16438"/>
    <cellStyle name="Currency 85 6 3 3 2" xfId="32659"/>
    <cellStyle name="Currency 85 6 4" xfId="8208"/>
    <cellStyle name="Currency 85 6 4 2" xfId="12730"/>
    <cellStyle name="Currency 85 6 5" xfId="12725"/>
    <cellStyle name="Currency 85 6 6" xfId="14853"/>
    <cellStyle name="Currency 85 6 6 2" xfId="31075"/>
    <cellStyle name="Currency 85 7" xfId="8209"/>
    <cellStyle name="Currency 85 7 2" xfId="8210"/>
    <cellStyle name="Currency 85 7 2 2" xfId="12732"/>
    <cellStyle name="Currency 85 7 2 3" xfId="16702"/>
    <cellStyle name="Currency 85 7 2 3 2" xfId="32923"/>
    <cellStyle name="Currency 85 7 3" xfId="8211"/>
    <cellStyle name="Currency 85 7 3 2" xfId="12733"/>
    <cellStyle name="Currency 85 7 4" xfId="12731"/>
    <cellStyle name="Currency 85 7 5" xfId="15117"/>
    <cellStyle name="Currency 85 7 5 2" xfId="31339"/>
    <cellStyle name="Currency 85 8" xfId="8212"/>
    <cellStyle name="Currency 85 8 2" xfId="12734"/>
    <cellStyle name="Currency 85 8 3" xfId="15910"/>
    <cellStyle name="Currency 85 8 3 2" xfId="32131"/>
    <cellStyle name="Currency 85 9" xfId="8213"/>
    <cellStyle name="Currency 85 9 2" xfId="12735"/>
    <cellStyle name="Currency 86" xfId="8214"/>
    <cellStyle name="Currency 86 2" xfId="12736"/>
    <cellStyle name="Currency 87" xfId="8215"/>
    <cellStyle name="Currency 87 2" xfId="12737"/>
    <cellStyle name="Currency 88" xfId="20985"/>
    <cellStyle name="Currency 9" xfId="14294"/>
    <cellStyle name="Currency 9 2" xfId="8216"/>
    <cellStyle name="Currency 9 2 2" xfId="12738"/>
    <cellStyle name="Currency 90 3 2 2" xfId="4939"/>
    <cellStyle name="Currency0" xfId="122"/>
    <cellStyle name="Currency0 2" xfId="38763"/>
    <cellStyle name="Currency0 3" xfId="273"/>
    <cellStyle name="Date" xfId="123"/>
    <cellStyle name="Date 2" xfId="124"/>
    <cellStyle name="Date 2 2" xfId="125"/>
    <cellStyle name="Date 2 3" xfId="38764"/>
    <cellStyle name="Date 3" xfId="126"/>
    <cellStyle name="Date 3 2" xfId="127"/>
    <cellStyle name="Date 3 3" xfId="128"/>
    <cellStyle name="Date 4" xfId="129"/>
    <cellStyle name="Date 5" xfId="130"/>
    <cellStyle name="Date 5 2" xfId="131"/>
    <cellStyle name="Date 6" xfId="132"/>
    <cellStyle name="Date 6 2" xfId="133"/>
    <cellStyle name="Date 7" xfId="134"/>
    <cellStyle name="Date 8" xfId="274"/>
    <cellStyle name="Explanatory Text" xfId="135" builtinId="53" customBuiltin="1"/>
    <cellStyle name="Explanatory Text 2" xfId="4901"/>
    <cellStyle name="Explanatory Text 2 2" xfId="38795"/>
    <cellStyle name="Explanatory Text 3" xfId="4828"/>
    <cellStyle name="F2" xfId="275"/>
    <cellStyle name="F3" xfId="276"/>
    <cellStyle name="F8" xfId="277"/>
    <cellStyle name="Fixed" xfId="136"/>
    <cellStyle name="Fixed 2" xfId="278"/>
    <cellStyle name="FRxAmtStyle" xfId="137"/>
    <cellStyle name="Good" xfId="138" builtinId="26" customBuiltin="1"/>
    <cellStyle name="Good 2" xfId="4902"/>
    <cellStyle name="Good 2 2" xfId="38796"/>
    <cellStyle name="Good 3" xfId="4821"/>
    <cellStyle name="HEADER" xfId="39613"/>
    <cellStyle name="Heading 1" xfId="139" builtinId="16" customBuiltin="1"/>
    <cellStyle name="Heading 1 2" xfId="4904"/>
    <cellStyle name="Heading 1 2 2" xfId="38952"/>
    <cellStyle name="Heading 1 2 3" xfId="38706"/>
    <cellStyle name="Heading 1 3" xfId="4903"/>
    <cellStyle name="Heading 1 4" xfId="4817"/>
    <cellStyle name="Heading 2" xfId="140" builtinId="17" customBuiltin="1"/>
    <cellStyle name="Heading 2 2" xfId="279"/>
    <cellStyle name="Heading 2 2 2" xfId="4905"/>
    <cellStyle name="Heading 2 3" xfId="280"/>
    <cellStyle name="Heading 2 4" xfId="38707"/>
    <cellStyle name="Heading 2 4 2" xfId="38953"/>
    <cellStyle name="Heading 2 5" xfId="4818"/>
    <cellStyle name="Heading 3" xfId="141" builtinId="18" customBuiltin="1"/>
    <cellStyle name="Heading 3 2" xfId="4906"/>
    <cellStyle name="Heading 3 2 2" xfId="38797"/>
    <cellStyle name="Heading 3 2 3" xfId="39499"/>
    <cellStyle name="Heading 3 3" xfId="4819"/>
    <cellStyle name="Heading 4" xfId="142" builtinId="19" customBuiltin="1"/>
    <cellStyle name="Heading 4 2" xfId="4907"/>
    <cellStyle name="Heading 4 2 2" xfId="38798"/>
    <cellStyle name="Heading 4 3" xfId="4820"/>
    <cellStyle name="HEADING: 1" xfId="39623"/>
    <cellStyle name="HEADING: 2" xfId="39624"/>
    <cellStyle name="HEADING: 3" xfId="39614"/>
    <cellStyle name="Hyperlink 10" xfId="14206"/>
    <cellStyle name="Hyperlink 10 2" xfId="5596"/>
    <cellStyle name="Hyperlink 11" xfId="14207"/>
    <cellStyle name="Hyperlink 11 2" xfId="5597"/>
    <cellStyle name="Hyperlink 12" xfId="14208"/>
    <cellStyle name="Hyperlink 12 2" xfId="5598"/>
    <cellStyle name="Hyperlink 13" xfId="14209"/>
    <cellStyle name="Hyperlink 13 2" xfId="5599"/>
    <cellStyle name="Hyperlink 14" xfId="5600"/>
    <cellStyle name="Hyperlink 15" xfId="5601"/>
    <cellStyle name="Hyperlink 16" xfId="5602"/>
    <cellStyle name="Hyperlink 17" xfId="5603"/>
    <cellStyle name="Hyperlink 18" xfId="5604"/>
    <cellStyle name="Hyperlink 2" xfId="143"/>
    <cellStyle name="Hyperlink 2 2" xfId="5605"/>
    <cellStyle name="Hyperlink 2 3" xfId="14205"/>
    <cellStyle name="Hyperlink 20" xfId="5606"/>
    <cellStyle name="Hyperlink 21" xfId="5607"/>
    <cellStyle name="Hyperlink 3" xfId="14210"/>
    <cellStyle name="Hyperlink 3 2" xfId="5608"/>
    <cellStyle name="Hyperlink 5" xfId="14211"/>
    <cellStyle name="Hyperlink 5 2" xfId="5609"/>
    <cellStyle name="Hyperlink 6" xfId="14212"/>
    <cellStyle name="Hyperlink 6 2" xfId="5610"/>
    <cellStyle name="Hyperlink 7" xfId="14213"/>
    <cellStyle name="Hyperlink 7 2" xfId="5611"/>
    <cellStyle name="Hyperlink 8" xfId="14214"/>
    <cellStyle name="Hyperlink 8 2" xfId="5612"/>
    <cellStyle name="Hyperlink 9" xfId="14215"/>
    <cellStyle name="Hyperlink 9 2" xfId="5613"/>
    <cellStyle name="Input" xfId="144" builtinId="20" customBuiltin="1"/>
    <cellStyle name="Input 2" xfId="4908"/>
    <cellStyle name="Input 2 2" xfId="38799"/>
    <cellStyle name="Input 3" xfId="4824"/>
    <cellStyle name="LABEL Name" xfId="39619"/>
    <cellStyle name="LABEL Note" xfId="39620"/>
    <cellStyle name="LABEL Numbered" xfId="39622"/>
    <cellStyle name="LABEL Units" xfId="39625"/>
    <cellStyle name="Linked Cell" xfId="145" builtinId="24" customBuiltin="1"/>
    <cellStyle name="Linked Cell 2" xfId="4909"/>
    <cellStyle name="Linked Cell 2 2" xfId="38800"/>
    <cellStyle name="Linked Cell 3" xfId="4826"/>
    <cellStyle name="Model Inputs" xfId="39629"/>
    <cellStyle name="Neutral" xfId="146" builtinId="28" customBuiltin="1"/>
    <cellStyle name="Neutral 2" xfId="4910"/>
    <cellStyle name="Neutral 2 2" xfId="38801"/>
    <cellStyle name="Neutral 3" xfId="4823"/>
    <cellStyle name="Normal" xfId="0" builtinId="0"/>
    <cellStyle name="Normal 10" xfId="147"/>
    <cellStyle name="Normal 10 10" xfId="1794"/>
    <cellStyle name="Normal 10 10 2" xfId="3293"/>
    <cellStyle name="Normal 10 10 2 2" xfId="25460"/>
    <cellStyle name="Normal 10 10 3" xfId="4791"/>
    <cellStyle name="Normal 10 10 3 2" xfId="26958"/>
    <cellStyle name="Normal 10 10 4" xfId="22464"/>
    <cellStyle name="Normal 10 10 4 2" xfId="38676"/>
    <cellStyle name="Normal 10 10 5" xfId="23962"/>
    <cellStyle name="Normal 10 11" xfId="1840"/>
    <cellStyle name="Normal 10 11 2" xfId="24008"/>
    <cellStyle name="Normal 10 12" xfId="3339"/>
    <cellStyle name="Normal 10 12 2" xfId="25506"/>
    <cellStyle name="Normal 10 13" xfId="4861"/>
    <cellStyle name="Normal 10 13 2" xfId="26998"/>
    <cellStyle name="Normal 10 14" xfId="21012"/>
    <cellStyle name="Normal 10 14 2" xfId="37224"/>
    <cellStyle name="Normal 10 15" xfId="22510"/>
    <cellStyle name="Normal 10 16" xfId="38766"/>
    <cellStyle name="Normal 10 17" xfId="39501"/>
    <cellStyle name="Normal 10 18" xfId="39560"/>
    <cellStyle name="Normal 10 19" xfId="304"/>
    <cellStyle name="Normal 10 2" xfId="148"/>
    <cellStyle name="Normal 10 2 10" xfId="21163"/>
    <cellStyle name="Normal 10 2 10 2" xfId="37375"/>
    <cellStyle name="Normal 10 2 11" xfId="22661"/>
    <cellStyle name="Normal 10 2 12" xfId="490"/>
    <cellStyle name="Normal 10 2 2" xfId="149"/>
    <cellStyle name="Normal 10 2 2 10" xfId="608"/>
    <cellStyle name="Normal 10 2 2 2" xfId="960"/>
    <cellStyle name="Normal 10 2 2 2 2" xfId="2459"/>
    <cellStyle name="Normal 10 2 2 2 2 2" xfId="24627"/>
    <cellStyle name="Normal 10 2 2 2 3" xfId="3958"/>
    <cellStyle name="Normal 10 2 2 2 3 2" xfId="26125"/>
    <cellStyle name="Normal 10 2 2 2 4" xfId="21631"/>
    <cellStyle name="Normal 10 2 2 2 4 2" xfId="37843"/>
    <cellStyle name="Normal 10 2 2 2 5" xfId="23129"/>
    <cellStyle name="Normal 10 2 2 3" xfId="1311"/>
    <cellStyle name="Normal 10 2 2 3 2" xfId="2810"/>
    <cellStyle name="Normal 10 2 2 3 2 2" xfId="24978"/>
    <cellStyle name="Normal 10 2 2 3 3" xfId="4309"/>
    <cellStyle name="Normal 10 2 2 3 3 2" xfId="26476"/>
    <cellStyle name="Normal 10 2 2 3 4" xfId="21982"/>
    <cellStyle name="Normal 10 2 2 3 4 2" xfId="38194"/>
    <cellStyle name="Normal 10 2 2 3 5" xfId="23480"/>
    <cellStyle name="Normal 10 2 2 4" xfId="1662"/>
    <cellStyle name="Normal 10 2 2 4 2" xfId="3161"/>
    <cellStyle name="Normal 10 2 2 4 2 2" xfId="25329"/>
    <cellStyle name="Normal 10 2 2 4 3" xfId="4660"/>
    <cellStyle name="Normal 10 2 2 4 3 2" xfId="26827"/>
    <cellStyle name="Normal 10 2 2 4 4" xfId="22333"/>
    <cellStyle name="Normal 10 2 2 4 4 2" xfId="38545"/>
    <cellStyle name="Normal 10 2 2 4 5" xfId="23831"/>
    <cellStyle name="Normal 10 2 2 5" xfId="2108"/>
    <cellStyle name="Normal 10 2 2 5 2" xfId="24276"/>
    <cellStyle name="Normal 10 2 2 6" xfId="3607"/>
    <cellStyle name="Normal 10 2 2 6 2" xfId="25774"/>
    <cellStyle name="Normal 10 2 2 7" xfId="12739"/>
    <cellStyle name="Normal 10 2 2 8" xfId="21280"/>
    <cellStyle name="Normal 10 2 2 8 2" xfId="37492"/>
    <cellStyle name="Normal 10 2 2 9" xfId="22778"/>
    <cellStyle name="Normal 10 2 3" xfId="726"/>
    <cellStyle name="Normal 10 2 3 2" xfId="1077"/>
    <cellStyle name="Normal 10 2 3 2 2" xfId="2576"/>
    <cellStyle name="Normal 10 2 3 2 2 2" xfId="24744"/>
    <cellStyle name="Normal 10 2 3 2 3" xfId="4075"/>
    <cellStyle name="Normal 10 2 3 2 3 2" xfId="26242"/>
    <cellStyle name="Normal 10 2 3 2 4" xfId="21748"/>
    <cellStyle name="Normal 10 2 3 2 4 2" xfId="37960"/>
    <cellStyle name="Normal 10 2 3 2 5" xfId="23246"/>
    <cellStyle name="Normal 10 2 3 3" xfId="1428"/>
    <cellStyle name="Normal 10 2 3 3 2" xfId="2927"/>
    <cellStyle name="Normal 10 2 3 3 2 2" xfId="25095"/>
    <cellStyle name="Normal 10 2 3 3 3" xfId="4426"/>
    <cellStyle name="Normal 10 2 3 3 3 2" xfId="26593"/>
    <cellStyle name="Normal 10 2 3 3 4" xfId="22099"/>
    <cellStyle name="Normal 10 2 3 3 4 2" xfId="38311"/>
    <cellStyle name="Normal 10 2 3 3 5" xfId="23597"/>
    <cellStyle name="Normal 10 2 3 4" xfId="1779"/>
    <cellStyle name="Normal 10 2 3 4 2" xfId="3278"/>
    <cellStyle name="Normal 10 2 3 4 2 2" xfId="25446"/>
    <cellStyle name="Normal 10 2 3 4 3" xfId="4777"/>
    <cellStyle name="Normal 10 2 3 4 3 2" xfId="26944"/>
    <cellStyle name="Normal 10 2 3 4 4" xfId="22450"/>
    <cellStyle name="Normal 10 2 3 4 4 2" xfId="38662"/>
    <cellStyle name="Normal 10 2 3 4 5" xfId="23948"/>
    <cellStyle name="Normal 10 2 3 5" xfId="2225"/>
    <cellStyle name="Normal 10 2 3 5 2" xfId="24393"/>
    <cellStyle name="Normal 10 2 3 6" xfId="3724"/>
    <cellStyle name="Normal 10 2 3 6 2" xfId="25891"/>
    <cellStyle name="Normal 10 2 3 7" xfId="21397"/>
    <cellStyle name="Normal 10 2 3 7 2" xfId="37609"/>
    <cellStyle name="Normal 10 2 3 8" xfId="22895"/>
    <cellStyle name="Normal 10 2 4" xfId="843"/>
    <cellStyle name="Normal 10 2 4 2" xfId="2342"/>
    <cellStyle name="Normal 10 2 4 2 2" xfId="24510"/>
    <cellStyle name="Normal 10 2 4 3" xfId="3841"/>
    <cellStyle name="Normal 10 2 4 3 2" xfId="26008"/>
    <cellStyle name="Normal 10 2 4 4" xfId="21514"/>
    <cellStyle name="Normal 10 2 4 4 2" xfId="37726"/>
    <cellStyle name="Normal 10 2 4 5" xfId="23012"/>
    <cellStyle name="Normal 10 2 5" xfId="1194"/>
    <cellStyle name="Normal 10 2 5 2" xfId="2693"/>
    <cellStyle name="Normal 10 2 5 2 2" xfId="24861"/>
    <cellStyle name="Normal 10 2 5 3" xfId="4192"/>
    <cellStyle name="Normal 10 2 5 3 2" xfId="26359"/>
    <cellStyle name="Normal 10 2 5 4" xfId="21865"/>
    <cellStyle name="Normal 10 2 5 4 2" xfId="38077"/>
    <cellStyle name="Normal 10 2 5 5" xfId="23363"/>
    <cellStyle name="Normal 10 2 6" xfId="1545"/>
    <cellStyle name="Normal 10 2 6 2" xfId="3044"/>
    <cellStyle name="Normal 10 2 6 2 2" xfId="25212"/>
    <cellStyle name="Normal 10 2 6 3" xfId="4543"/>
    <cellStyle name="Normal 10 2 6 3 2" xfId="26710"/>
    <cellStyle name="Normal 10 2 6 4" xfId="22216"/>
    <cellStyle name="Normal 10 2 6 4 2" xfId="38428"/>
    <cellStyle name="Normal 10 2 6 5" xfId="23714"/>
    <cellStyle name="Normal 10 2 7" xfId="1991"/>
    <cellStyle name="Normal 10 2 7 2" xfId="24159"/>
    <cellStyle name="Normal 10 2 8" xfId="3490"/>
    <cellStyle name="Normal 10 2 8 2" xfId="25657"/>
    <cellStyle name="Normal 10 2 9" xfId="5614"/>
    <cellStyle name="Normal 10 3" xfId="150"/>
    <cellStyle name="Normal 10 3 10" xfId="595"/>
    <cellStyle name="Normal 10 3 2" xfId="947"/>
    <cellStyle name="Normal 10 3 2 2" xfId="2446"/>
    <cellStyle name="Normal 10 3 2 2 2" xfId="24614"/>
    <cellStyle name="Normal 10 3 2 3" xfId="3945"/>
    <cellStyle name="Normal 10 3 2 3 2" xfId="26112"/>
    <cellStyle name="Normal 10 3 2 4" xfId="12740"/>
    <cellStyle name="Normal 10 3 2 5" xfId="21618"/>
    <cellStyle name="Normal 10 3 2 5 2" xfId="37830"/>
    <cellStyle name="Normal 10 3 2 6" xfId="23116"/>
    <cellStyle name="Normal 10 3 3" xfId="1298"/>
    <cellStyle name="Normal 10 3 3 2" xfId="2797"/>
    <cellStyle name="Normal 10 3 3 2 2" xfId="24965"/>
    <cellStyle name="Normal 10 3 3 3" xfId="4296"/>
    <cellStyle name="Normal 10 3 3 3 2" xfId="26463"/>
    <cellStyle name="Normal 10 3 3 4" xfId="21969"/>
    <cellStyle name="Normal 10 3 3 4 2" xfId="38181"/>
    <cellStyle name="Normal 10 3 3 5" xfId="23467"/>
    <cellStyle name="Normal 10 3 4" xfId="1649"/>
    <cellStyle name="Normal 10 3 4 2" xfId="3148"/>
    <cellStyle name="Normal 10 3 4 2 2" xfId="25316"/>
    <cellStyle name="Normal 10 3 4 3" xfId="4647"/>
    <cellStyle name="Normal 10 3 4 3 2" xfId="26814"/>
    <cellStyle name="Normal 10 3 4 4" xfId="22320"/>
    <cellStyle name="Normal 10 3 4 4 2" xfId="38532"/>
    <cellStyle name="Normal 10 3 4 5" xfId="23818"/>
    <cellStyle name="Normal 10 3 5" xfId="2095"/>
    <cellStyle name="Normal 10 3 5 2" xfId="24263"/>
    <cellStyle name="Normal 10 3 6" xfId="3594"/>
    <cellStyle name="Normal 10 3 6 2" xfId="25761"/>
    <cellStyle name="Normal 10 3 7" xfId="5615"/>
    <cellStyle name="Normal 10 3 8" xfId="21267"/>
    <cellStyle name="Normal 10 3 8 2" xfId="37479"/>
    <cellStyle name="Normal 10 3 9" xfId="22765"/>
    <cellStyle name="Normal 10 4" xfId="713"/>
    <cellStyle name="Normal 10 4 2" xfId="1064"/>
    <cellStyle name="Normal 10 4 2 2" xfId="2563"/>
    <cellStyle name="Normal 10 4 2 2 2" xfId="24731"/>
    <cellStyle name="Normal 10 4 2 3" xfId="4062"/>
    <cellStyle name="Normal 10 4 2 3 2" xfId="26229"/>
    <cellStyle name="Normal 10 4 2 4" xfId="21735"/>
    <cellStyle name="Normal 10 4 2 4 2" xfId="37947"/>
    <cellStyle name="Normal 10 4 2 5" xfId="23233"/>
    <cellStyle name="Normal 10 4 3" xfId="1415"/>
    <cellStyle name="Normal 10 4 3 2" xfId="2914"/>
    <cellStyle name="Normal 10 4 3 2 2" xfId="25082"/>
    <cellStyle name="Normal 10 4 3 3" xfId="4413"/>
    <cellStyle name="Normal 10 4 3 3 2" xfId="26580"/>
    <cellStyle name="Normal 10 4 3 4" xfId="22086"/>
    <cellStyle name="Normal 10 4 3 4 2" xfId="38298"/>
    <cellStyle name="Normal 10 4 3 5" xfId="23584"/>
    <cellStyle name="Normal 10 4 4" xfId="1766"/>
    <cellStyle name="Normal 10 4 4 2" xfId="3265"/>
    <cellStyle name="Normal 10 4 4 2 2" xfId="25433"/>
    <cellStyle name="Normal 10 4 4 3" xfId="4764"/>
    <cellStyle name="Normal 10 4 4 3 2" xfId="26931"/>
    <cellStyle name="Normal 10 4 4 4" xfId="22437"/>
    <cellStyle name="Normal 10 4 4 4 2" xfId="38649"/>
    <cellStyle name="Normal 10 4 4 5" xfId="23935"/>
    <cellStyle name="Normal 10 4 5" xfId="2212"/>
    <cellStyle name="Normal 10 4 5 2" xfId="24380"/>
    <cellStyle name="Normal 10 4 6" xfId="3711"/>
    <cellStyle name="Normal 10 4 6 2" xfId="25878"/>
    <cellStyle name="Normal 10 4 7" xfId="21384"/>
    <cellStyle name="Normal 10 4 7 2" xfId="37596"/>
    <cellStyle name="Normal 10 4 8" xfId="22882"/>
    <cellStyle name="Normal 10 5" xfId="477"/>
    <cellStyle name="Normal 10 5 2" xfId="1978"/>
    <cellStyle name="Normal 10 5 2 2" xfId="24146"/>
    <cellStyle name="Normal 10 5 3" xfId="3477"/>
    <cellStyle name="Normal 10 5 3 2" xfId="25644"/>
    <cellStyle name="Normal 10 5 4" xfId="21150"/>
    <cellStyle name="Normal 10 5 4 2" xfId="37362"/>
    <cellStyle name="Normal 10 5 5" xfId="22648"/>
    <cellStyle name="Normal 10 6" xfId="830"/>
    <cellStyle name="Normal 10 6 2" xfId="2329"/>
    <cellStyle name="Normal 10 6 2 2" xfId="24497"/>
    <cellStyle name="Normal 10 6 3" xfId="3828"/>
    <cellStyle name="Normal 10 6 3 2" xfId="25995"/>
    <cellStyle name="Normal 10 6 4" xfId="21501"/>
    <cellStyle name="Normal 10 6 4 2" xfId="37713"/>
    <cellStyle name="Normal 10 6 5" xfId="22999"/>
    <cellStyle name="Normal 10 7" xfId="1181"/>
    <cellStyle name="Normal 10 7 2" xfId="2680"/>
    <cellStyle name="Normal 10 7 2 2" xfId="24848"/>
    <cellStyle name="Normal 10 7 3" xfId="4179"/>
    <cellStyle name="Normal 10 7 3 2" xfId="26346"/>
    <cellStyle name="Normal 10 7 4" xfId="21852"/>
    <cellStyle name="Normal 10 7 4 2" xfId="38064"/>
    <cellStyle name="Normal 10 7 5" xfId="23350"/>
    <cellStyle name="Normal 10 8" xfId="1532"/>
    <cellStyle name="Normal 10 8 2" xfId="3031"/>
    <cellStyle name="Normal 10 8 2 2" xfId="25199"/>
    <cellStyle name="Normal 10 8 3" xfId="4530"/>
    <cellStyle name="Normal 10 8 3 2" xfId="26697"/>
    <cellStyle name="Normal 10 8 4" xfId="22203"/>
    <cellStyle name="Normal 10 8 4 2" xfId="38415"/>
    <cellStyle name="Normal 10 8 5" xfId="23701"/>
    <cellStyle name="Normal 10 9" xfId="333"/>
    <cellStyle name="Normal 10 9 2" xfId="1868"/>
    <cellStyle name="Normal 10 9 2 2" xfId="24036"/>
    <cellStyle name="Normal 10 9 3" xfId="3367"/>
    <cellStyle name="Normal 10 9 3 2" xfId="25534"/>
    <cellStyle name="Normal 10 9 4" xfId="21040"/>
    <cellStyle name="Normal 10 9 4 2" xfId="37252"/>
    <cellStyle name="Normal 10 9 5" xfId="22538"/>
    <cellStyle name="Normal 11" xfId="151"/>
    <cellStyle name="Normal 11 10" xfId="21013"/>
    <cellStyle name="Normal 11 10 2" xfId="37225"/>
    <cellStyle name="Normal 11 11" xfId="22511"/>
    <cellStyle name="Normal 11 12" xfId="39561"/>
    <cellStyle name="Normal 11 13" xfId="305"/>
    <cellStyle name="Normal 11 2" xfId="152"/>
    <cellStyle name="Normal 11 2 2" xfId="153"/>
    <cellStyle name="Normal 11 2 2 2" xfId="12741"/>
    <cellStyle name="Normal 11 2 3" xfId="154"/>
    <cellStyle name="Normal 11 2 4" xfId="507"/>
    <cellStyle name="Normal 11 3" xfId="155"/>
    <cellStyle name="Normal 11 3 2" xfId="156"/>
    <cellStyle name="Normal 11 3 2 2" xfId="12742"/>
    <cellStyle name="Normal 11 3 3" xfId="625"/>
    <cellStyle name="Normal 11 4" xfId="157"/>
    <cellStyle name="Normal 11 4 2" xfId="356"/>
    <cellStyle name="Normal 11 5" xfId="158"/>
    <cellStyle name="Normal 11 5 2" xfId="1869"/>
    <cellStyle name="Normal 11 5 2 2" xfId="24037"/>
    <cellStyle name="Normal 11 5 3" xfId="3368"/>
    <cellStyle name="Normal 11 5 3 2" xfId="25535"/>
    <cellStyle name="Normal 11 5 4" xfId="21041"/>
    <cellStyle name="Normal 11 5 4 2" xfId="37253"/>
    <cellStyle name="Normal 11 5 5" xfId="22539"/>
    <cellStyle name="Normal 11 5 6" xfId="334"/>
    <cellStyle name="Normal 11 6" xfId="1795"/>
    <cellStyle name="Normal 11 6 2" xfId="3294"/>
    <cellStyle name="Normal 11 6 2 2" xfId="25461"/>
    <cellStyle name="Normal 11 6 3" xfId="4792"/>
    <cellStyle name="Normal 11 6 3 2" xfId="26959"/>
    <cellStyle name="Normal 11 6 4" xfId="22465"/>
    <cellStyle name="Normal 11 6 4 2" xfId="38677"/>
    <cellStyle name="Normal 11 6 5" xfId="23963"/>
    <cellStyle name="Normal 11 7" xfId="1841"/>
    <cellStyle name="Normal 11 7 2" xfId="24009"/>
    <cellStyle name="Normal 11 8" xfId="3340"/>
    <cellStyle name="Normal 11 8 2" xfId="25507"/>
    <cellStyle name="Normal 11 9" xfId="4860"/>
    <cellStyle name="Normal 11 9 2" xfId="26997"/>
    <cellStyle name="Normal 12" xfId="159"/>
    <cellStyle name="Normal 12 10" xfId="39562"/>
    <cellStyle name="Normal 12 11" xfId="306"/>
    <cellStyle name="Normal 12 2" xfId="160"/>
    <cellStyle name="Normal 12 2 2" xfId="1870"/>
    <cellStyle name="Normal 12 2 2 2" xfId="12743"/>
    <cellStyle name="Normal 12 2 2 3" xfId="4952"/>
    <cellStyle name="Normal 12 2 2 4" xfId="24038"/>
    <cellStyle name="Normal 12 2 3" xfId="3369"/>
    <cellStyle name="Normal 12 2 3 2" xfId="5616"/>
    <cellStyle name="Normal 12 2 3 3" xfId="25536"/>
    <cellStyle name="Normal 12 2 4" xfId="4932"/>
    <cellStyle name="Normal 12 2 5" xfId="21042"/>
    <cellStyle name="Normal 12 2 5 2" xfId="37254"/>
    <cellStyle name="Normal 12 2 6" xfId="22540"/>
    <cellStyle name="Normal 12 2 7" xfId="335"/>
    <cellStyle name="Normal 12 3" xfId="161"/>
    <cellStyle name="Normal 12 3 2" xfId="3295"/>
    <cellStyle name="Normal 12 3 2 2" xfId="4956"/>
    <cellStyle name="Normal 12 3 2 3" xfId="25462"/>
    <cellStyle name="Normal 12 3 3" xfId="4793"/>
    <cellStyle name="Normal 12 3 3 2" xfId="26960"/>
    <cellStyle name="Normal 12 3 4" xfId="4924"/>
    <cellStyle name="Normal 12 3 5" xfId="22466"/>
    <cellStyle name="Normal 12 3 5 2" xfId="38678"/>
    <cellStyle name="Normal 12 3 6" xfId="23964"/>
    <cellStyle name="Normal 12 3 7" xfId="1796"/>
    <cellStyle name="Normal 12 4" xfId="1842"/>
    <cellStyle name="Normal 12 4 2" xfId="24010"/>
    <cellStyle name="Normal 12 5" xfId="3341"/>
    <cellStyle name="Normal 12 5 2" xfId="25508"/>
    <cellStyle name="Normal 12 6" xfId="4865"/>
    <cellStyle name="Normal 12 7" xfId="21014"/>
    <cellStyle name="Normal 12 7 2" xfId="37226"/>
    <cellStyle name="Normal 12 8" xfId="22512"/>
    <cellStyle name="Normal 12 9" xfId="38802"/>
    <cellStyle name="Normal 13" xfId="162"/>
    <cellStyle name="Normal 13 10" xfId="39564"/>
    <cellStyle name="Normal 13 11" xfId="308"/>
    <cellStyle name="Normal 13 2" xfId="163"/>
    <cellStyle name="Normal 13 2 2" xfId="1872"/>
    <cellStyle name="Normal 13 2 2 2" xfId="12744"/>
    <cellStyle name="Normal 13 2 2 3" xfId="24040"/>
    <cellStyle name="Normal 13 2 3" xfId="3371"/>
    <cellStyle name="Normal 13 2 3 2" xfId="25538"/>
    <cellStyle name="Normal 13 2 4" xfId="5617"/>
    <cellStyle name="Normal 13 2 5" xfId="21044"/>
    <cellStyle name="Normal 13 2 5 2" xfId="37256"/>
    <cellStyle name="Normal 13 2 6" xfId="22542"/>
    <cellStyle name="Normal 13 2 7" xfId="337"/>
    <cellStyle name="Normal 13 3" xfId="164"/>
    <cellStyle name="Normal 13 3 2" xfId="3297"/>
    <cellStyle name="Normal 13 3 2 2" xfId="25464"/>
    <cellStyle name="Normal 13 3 3" xfId="4795"/>
    <cellStyle name="Normal 13 3 3 2" xfId="26962"/>
    <cellStyle name="Normal 13 3 4" xfId="22468"/>
    <cellStyle name="Normal 13 3 4 2" xfId="38680"/>
    <cellStyle name="Normal 13 3 5" xfId="23966"/>
    <cellStyle name="Normal 13 3 6" xfId="1798"/>
    <cellStyle name="Normal 13 4" xfId="1844"/>
    <cellStyle name="Normal 13 4 2" xfId="24012"/>
    <cellStyle name="Normal 13 5" xfId="3343"/>
    <cellStyle name="Normal 13 5 2" xfId="25510"/>
    <cellStyle name="Normal 13 6" xfId="14216"/>
    <cellStyle name="Normal 13 7" xfId="21016"/>
    <cellStyle name="Normal 13 7 2" xfId="37228"/>
    <cellStyle name="Normal 13 8" xfId="22514"/>
    <cellStyle name="Normal 13 9" xfId="38803"/>
    <cellStyle name="Normal 14" xfId="165"/>
    <cellStyle name="Normal 14 10" xfId="309"/>
    <cellStyle name="Normal 14 2" xfId="166"/>
    <cellStyle name="Normal 14 2 2" xfId="1873"/>
    <cellStyle name="Normal 14 2 2 2" xfId="12745"/>
    <cellStyle name="Normal 14 2 2 3" xfId="24041"/>
    <cellStyle name="Normal 14 2 3" xfId="3372"/>
    <cellStyle name="Normal 14 2 3 2" xfId="25539"/>
    <cellStyle name="Normal 14 2 4" xfId="5618"/>
    <cellStyle name="Normal 14 2 5" xfId="21045"/>
    <cellStyle name="Normal 14 2 5 2" xfId="37257"/>
    <cellStyle name="Normal 14 2 6" xfId="22543"/>
    <cellStyle name="Normal 14 2 7" xfId="338"/>
    <cellStyle name="Normal 14 3" xfId="1799"/>
    <cellStyle name="Normal 14 3 2" xfId="3298"/>
    <cellStyle name="Normal 14 3 2 2" xfId="25465"/>
    <cellStyle name="Normal 14 3 3" xfId="4796"/>
    <cellStyle name="Normal 14 3 3 2" xfId="26963"/>
    <cellStyle name="Normal 14 3 4" xfId="22469"/>
    <cellStyle name="Normal 14 3 4 2" xfId="38681"/>
    <cellStyle name="Normal 14 3 5" xfId="23967"/>
    <cellStyle name="Normal 14 4" xfId="1845"/>
    <cellStyle name="Normal 14 4 2" xfId="24013"/>
    <cellStyle name="Normal 14 5" xfId="3344"/>
    <cellStyle name="Normal 14 5 2" xfId="25511"/>
    <cellStyle name="Normal 14 6" xfId="14217"/>
    <cellStyle name="Normal 14 7" xfId="21017"/>
    <cellStyle name="Normal 14 7 2" xfId="37229"/>
    <cellStyle name="Normal 14 8" xfId="22515"/>
    <cellStyle name="Normal 14 9" xfId="39565"/>
    <cellStyle name="Normal 15" xfId="167"/>
    <cellStyle name="Normal 15 2" xfId="319"/>
    <cellStyle name="Normal 15 2 2" xfId="12746"/>
    <cellStyle name="Normal 15 3" xfId="1801"/>
    <cellStyle name="Normal 15 3 2" xfId="3300"/>
    <cellStyle name="Normal 15 3 2 2" xfId="25467"/>
    <cellStyle name="Normal 15 3 3" xfId="4798"/>
    <cellStyle name="Normal 15 3 3 2" xfId="26965"/>
    <cellStyle name="Normal 15 3 4" xfId="22471"/>
    <cellStyle name="Normal 15 3 4 2" xfId="38683"/>
    <cellStyle name="Normal 15 3 5" xfId="23969"/>
    <cellStyle name="Normal 15 4" xfId="38804"/>
    <cellStyle name="Normal 15 5" xfId="39567"/>
    <cellStyle name="Normal 15 6" xfId="290"/>
    <cellStyle name="Normal 16" xfId="168"/>
    <cellStyle name="Normal 16 2" xfId="3301"/>
    <cellStyle name="Normal 16 2 2" xfId="12747"/>
    <cellStyle name="Normal 16 2 3" xfId="5619"/>
    <cellStyle name="Normal 16 2 4" xfId="25468"/>
    <cellStyle name="Normal 16 20" xfId="39611"/>
    <cellStyle name="Normal 16 3" xfId="4799"/>
    <cellStyle name="Normal 16 3 2" xfId="26966"/>
    <cellStyle name="Normal 16 4" xfId="14218"/>
    <cellStyle name="Normal 16 5" xfId="22472"/>
    <cellStyle name="Normal 16 5 2" xfId="38684"/>
    <cellStyle name="Normal 16 6" xfId="23970"/>
    <cellStyle name="Normal 16 7" xfId="38805"/>
    <cellStyle name="Normal 16 8" xfId="39568"/>
    <cellStyle name="Normal 16 9" xfId="1802"/>
    <cellStyle name="Normal 17" xfId="169"/>
    <cellStyle name="Normal 17 2" xfId="3303"/>
    <cellStyle name="Normal 17 2 2" xfId="12748"/>
    <cellStyle name="Normal 17 2 3" xfId="5620"/>
    <cellStyle name="Normal 17 2 4" xfId="25470"/>
    <cellStyle name="Normal 17 3" xfId="4801"/>
    <cellStyle name="Normal 17 3 2" xfId="26968"/>
    <cellStyle name="Normal 17 4" xfId="4946"/>
    <cellStyle name="Normal 17 5" xfId="22474"/>
    <cellStyle name="Normal 17 5 2" xfId="38686"/>
    <cellStyle name="Normal 17 6" xfId="23972"/>
    <cellStyle name="Normal 17 7" xfId="39570"/>
    <cellStyle name="Normal 17 8" xfId="1804"/>
    <cellStyle name="Normal 18" xfId="170"/>
    <cellStyle name="Normal 18 2" xfId="3304"/>
    <cellStyle name="Normal 18 2 2" xfId="12749"/>
    <cellStyle name="Normal 18 2 3" xfId="5621"/>
    <cellStyle name="Normal 18 2 4" xfId="25471"/>
    <cellStyle name="Normal 18 3" xfId="4802"/>
    <cellStyle name="Normal 18 3 2" xfId="26969"/>
    <cellStyle name="Normal 18 4" xfId="14219"/>
    <cellStyle name="Normal 18 5" xfId="22475"/>
    <cellStyle name="Normal 18 5 2" xfId="38687"/>
    <cellStyle name="Normal 18 6" xfId="23973"/>
    <cellStyle name="Normal 18 7" xfId="38806"/>
    <cellStyle name="Normal 18 8" xfId="39571"/>
    <cellStyle name="Normal 18 9" xfId="1805"/>
    <cellStyle name="Normal 19" xfId="171"/>
    <cellStyle name="Normal 19 2" xfId="3306"/>
    <cellStyle name="Normal 19 2 2" xfId="12750"/>
    <cellStyle name="Normal 19 2 3" xfId="5622"/>
    <cellStyle name="Normal 19 2 4" xfId="25473"/>
    <cellStyle name="Normal 19 3" xfId="4804"/>
    <cellStyle name="Normal 19 3 2" xfId="26971"/>
    <cellStyle name="Normal 19 4" xfId="14220"/>
    <cellStyle name="Normal 19 5" xfId="22477"/>
    <cellStyle name="Normal 19 5 2" xfId="38689"/>
    <cellStyle name="Normal 19 6" xfId="23975"/>
    <cellStyle name="Normal 19 7" xfId="38807"/>
    <cellStyle name="Normal 19 8" xfId="39573"/>
    <cellStyle name="Normal 19 9" xfId="1807"/>
    <cellStyle name="Normal 2" xfId="172"/>
    <cellStyle name="Normal 2 10" xfId="5623"/>
    <cellStyle name="Normal 2 10 2" xfId="12752"/>
    <cellStyle name="Normal 2 11" xfId="5624"/>
    <cellStyle name="Normal 2 11 2" xfId="12753"/>
    <cellStyle name="Normal 2 12" xfId="5625"/>
    <cellStyle name="Normal 2 12 2" xfId="12754"/>
    <cellStyle name="Normal 2 13" xfId="5626"/>
    <cellStyle name="Normal 2 13 2" xfId="12755"/>
    <cellStyle name="Normal 2 14" xfId="5627"/>
    <cellStyle name="Normal 2 14 2" xfId="12756"/>
    <cellStyle name="Normal 2 15" xfId="5628"/>
    <cellStyle name="Normal 2 15 2" xfId="12757"/>
    <cellStyle name="Normal 2 16" xfId="5629"/>
    <cellStyle name="Normal 2 16 2" xfId="12758"/>
    <cellStyle name="Normal 2 17" xfId="5630"/>
    <cellStyle name="Normal 2 17 2" xfId="12759"/>
    <cellStyle name="Normal 2 18" xfId="5631"/>
    <cellStyle name="Normal 2 18 2" xfId="12760"/>
    <cellStyle name="Normal 2 19" xfId="5632"/>
    <cellStyle name="Normal 2 19 2" xfId="12761"/>
    <cellStyle name="Normal 2 2" xfId="173"/>
    <cellStyle name="Normal 2 2 10" xfId="38709"/>
    <cellStyle name="Normal 2 2 11" xfId="39608"/>
    <cellStyle name="Normal 2 2 12" xfId="291"/>
    <cellStyle name="Normal 2 2 2" xfId="174"/>
    <cellStyle name="Normal 2 2 2 2" xfId="175"/>
    <cellStyle name="Normal 2 2 2 2 2" xfId="176"/>
    <cellStyle name="Normal 2 2 2 2 2 2" xfId="38955"/>
    <cellStyle name="Normal 2 2 2 2 3" xfId="12762"/>
    <cellStyle name="Normal 2 2 2 3" xfId="177"/>
    <cellStyle name="Normal 2 2 2 3 2" xfId="26999"/>
    <cellStyle name="Normal 2 2 2 3 3" xfId="39091"/>
    <cellStyle name="Normal 2 2 2 3 4" xfId="4862"/>
    <cellStyle name="Normal 2 2 2 4" xfId="39239"/>
    <cellStyle name="Normal 2 2 2 5" xfId="39388"/>
    <cellStyle name="Normal 2 2 2 6" xfId="397"/>
    <cellStyle name="Normal 2 2 3" xfId="178"/>
    <cellStyle name="Normal 2 2 3 2" xfId="179"/>
    <cellStyle name="Normal 2 2 3 2 2" xfId="39147"/>
    <cellStyle name="Normal 2 2 3 2 3" xfId="4936"/>
    <cellStyle name="Normal 2 2 3 3" xfId="39295"/>
    <cellStyle name="Normal 2 2 3 4" xfId="39444"/>
    <cellStyle name="Normal 2 2 3 5" xfId="39013"/>
    <cellStyle name="Normal 2 2 3 6" xfId="360"/>
    <cellStyle name="Normal 2 2 4" xfId="180"/>
    <cellStyle name="Normal 2 2 4 2" xfId="1855"/>
    <cellStyle name="Normal 2 2 4 2 2" xfId="24023"/>
    <cellStyle name="Normal 2 2 4 3" xfId="3354"/>
    <cellStyle name="Normal 2 2 4 3 2" xfId="25521"/>
    <cellStyle name="Normal 2 2 4 4" xfId="21027"/>
    <cellStyle name="Normal 2 2 4 4 2" xfId="37239"/>
    <cellStyle name="Normal 2 2 4 5" xfId="22525"/>
    <cellStyle name="Normal 2 2 4 6" xfId="39497"/>
    <cellStyle name="Normal 2 2 4 7" xfId="320"/>
    <cellStyle name="Normal 2 2 5" xfId="181"/>
    <cellStyle name="Normal 2 2 5 2" xfId="23995"/>
    <cellStyle name="Normal 2 2 5 3" xfId="1827"/>
    <cellStyle name="Normal 2 2 6" xfId="3326"/>
    <cellStyle name="Normal 2 2 6 2" xfId="25493"/>
    <cellStyle name="Normal 2 2 7" xfId="4856"/>
    <cellStyle name="Normal 2 2 7 2" xfId="26996"/>
    <cellStyle name="Normal 2 2 8" xfId="20999"/>
    <cellStyle name="Normal 2 2 8 2" xfId="37211"/>
    <cellStyle name="Normal 2 2 9" xfId="22497"/>
    <cellStyle name="Normal 2 20" xfId="5633"/>
    <cellStyle name="Normal 2 20 2" xfId="12763"/>
    <cellStyle name="Normal 2 21" xfId="5634"/>
    <cellStyle name="Normal 2 21 2" xfId="12764"/>
    <cellStyle name="Normal 2 22" xfId="5635"/>
    <cellStyle name="Normal 2 22 2" xfId="12765"/>
    <cellStyle name="Normal 2 23" xfId="5636"/>
    <cellStyle name="Normal 2 23 2" xfId="12766"/>
    <cellStyle name="Normal 2 24" xfId="5637"/>
    <cellStyle name="Normal 2 24 2" xfId="12767"/>
    <cellStyle name="Normal 2 25" xfId="5638"/>
    <cellStyle name="Normal 2 25 2" xfId="12768"/>
    <cellStyle name="Normal 2 26" xfId="5639"/>
    <cellStyle name="Normal 2 26 2" xfId="12769"/>
    <cellStyle name="Normal 2 27" xfId="5640"/>
    <cellStyle name="Normal 2 27 2" xfId="12770"/>
    <cellStyle name="Normal 2 28" xfId="5641"/>
    <cellStyle name="Normal 2 28 2" xfId="12771"/>
    <cellStyle name="Normal 2 29" xfId="5642"/>
    <cellStyle name="Normal 2 29 2" xfId="12772"/>
    <cellStyle name="Normal 2 3" xfId="182"/>
    <cellStyle name="Normal 2 3 2" xfId="183"/>
    <cellStyle name="Normal 2 3 2 2" xfId="39494"/>
    <cellStyle name="Normal 2 3 2 3" xfId="39090"/>
    <cellStyle name="Normal 2 3 2 4" xfId="12773"/>
    <cellStyle name="Normal 2 3 3" xfId="184"/>
    <cellStyle name="Normal 2 3 3 2" xfId="39238"/>
    <cellStyle name="Normal 2 3 4" xfId="185"/>
    <cellStyle name="Normal 2 3 4 2" xfId="39387"/>
    <cellStyle name="Normal 2 3 5" xfId="38954"/>
    <cellStyle name="Normal 2 3 6" xfId="400"/>
    <cellStyle name="Normal 2 30" xfId="5643"/>
    <cellStyle name="Normal 2 30 2" xfId="12774"/>
    <cellStyle name="Normal 2 31" xfId="5644"/>
    <cellStyle name="Normal 2 31 2" xfId="12775"/>
    <cellStyle name="Normal 2 32" xfId="5645"/>
    <cellStyle name="Normal 2 32 2" xfId="12776"/>
    <cellStyle name="Normal 2 33" xfId="5646"/>
    <cellStyle name="Normal 2 33 2" xfId="12777"/>
    <cellStyle name="Normal 2 34" xfId="5647"/>
    <cellStyle name="Normal 2 34 2" xfId="12778"/>
    <cellStyle name="Normal 2 35" xfId="5648"/>
    <cellStyle name="Normal 2 35 2" xfId="12779"/>
    <cellStyle name="Normal 2 36" xfId="5649"/>
    <cellStyle name="Normal 2 36 2" xfId="12780"/>
    <cellStyle name="Normal 2 37" xfId="5650"/>
    <cellStyle name="Normal 2 37 2" xfId="12781"/>
    <cellStyle name="Normal 2 38" xfId="5651"/>
    <cellStyle name="Normal 2 38 2" xfId="12782"/>
    <cellStyle name="Normal 2 39" xfId="5652"/>
    <cellStyle name="Normal 2 39 2" xfId="12783"/>
    <cellStyle name="Normal 2 4" xfId="186"/>
    <cellStyle name="Normal 2 4 2" xfId="12784"/>
    <cellStyle name="Normal 2 4 2 2" xfId="39146"/>
    <cellStyle name="Normal 2 4 3" xfId="39294"/>
    <cellStyle name="Normal 2 4 4" xfId="39443"/>
    <cellStyle name="Normal 2 4 5" xfId="39012"/>
    <cellStyle name="Normal 2 4 6" xfId="357"/>
    <cellStyle name="Normal 2 40" xfId="5653"/>
    <cellStyle name="Normal 2 40 2" xfId="12785"/>
    <cellStyle name="Normal 2 41" xfId="5654"/>
    <cellStyle name="Normal 2 41 2" xfId="12786"/>
    <cellStyle name="Normal 2 42" xfId="5655"/>
    <cellStyle name="Normal 2 42 2" xfId="12787"/>
    <cellStyle name="Normal 2 43" xfId="5656"/>
    <cellStyle name="Normal 2 43 2" xfId="12788"/>
    <cellStyle name="Normal 2 44" xfId="5657"/>
    <cellStyle name="Normal 2 44 2" xfId="12789"/>
    <cellStyle name="Normal 2 45" xfId="5658"/>
    <cellStyle name="Normal 2 45 2" xfId="12790"/>
    <cellStyle name="Normal 2 46" xfId="5659"/>
    <cellStyle name="Normal 2 46 2" xfId="12791"/>
    <cellStyle name="Normal 2 47" xfId="5660"/>
    <cellStyle name="Normal 2 47 2" xfId="12792"/>
    <cellStyle name="Normal 2 48" xfId="5661"/>
    <cellStyle name="Normal 2 48 2" xfId="12793"/>
    <cellStyle name="Normal 2 49" xfId="5662"/>
    <cellStyle name="Normal 2 49 2" xfId="12794"/>
    <cellStyle name="Normal 2 5" xfId="187"/>
    <cellStyle name="Normal 2 5 2" xfId="3280"/>
    <cellStyle name="Normal 2 5 2 2" xfId="12795"/>
    <cellStyle name="Normal 2 5 2 3" xfId="25447"/>
    <cellStyle name="Normal 2 5 3" xfId="4778"/>
    <cellStyle name="Normal 2 5 3 2" xfId="26945"/>
    <cellStyle name="Normal 2 5 4" xfId="5663"/>
    <cellStyle name="Normal 2 5 5" xfId="22451"/>
    <cellStyle name="Normal 2 5 5 2" xfId="38663"/>
    <cellStyle name="Normal 2 5 6" xfId="23949"/>
    <cellStyle name="Normal 2 5 7" xfId="1781"/>
    <cellStyle name="Normal 2 50" xfId="5664"/>
    <cellStyle name="Normal 2 50 2" xfId="12796"/>
    <cellStyle name="Normal 2 51" xfId="5665"/>
    <cellStyle name="Normal 2 51 2" xfId="12797"/>
    <cellStyle name="Normal 2 52" xfId="5666"/>
    <cellStyle name="Normal 2 52 2" xfId="12798"/>
    <cellStyle name="Normal 2 53" xfId="5667"/>
    <cellStyle name="Normal 2 53 2" xfId="12799"/>
    <cellStyle name="Normal 2 54" xfId="5668"/>
    <cellStyle name="Normal 2 54 2" xfId="12800"/>
    <cellStyle name="Normal 2 55" xfId="5669"/>
    <cellStyle name="Normal 2 55 2" xfId="12801"/>
    <cellStyle name="Normal 2 56" xfId="8217"/>
    <cellStyle name="Normal 2 57" xfId="12751"/>
    <cellStyle name="Normal 2 58" xfId="4855"/>
    <cellStyle name="Normal 2 59" xfId="39547"/>
    <cellStyle name="Normal 2 6" xfId="5670"/>
    <cellStyle name="Normal 2 6 2" xfId="12802"/>
    <cellStyle name="Normal 2 60" xfId="281"/>
    <cellStyle name="Normal 2 7" xfId="5671"/>
    <cellStyle name="Normal 2 7 2" xfId="12803"/>
    <cellStyle name="Normal 2 8" xfId="5672"/>
    <cellStyle name="Normal 2 8 2" xfId="12804"/>
    <cellStyle name="Normal 2 9" xfId="5673"/>
    <cellStyle name="Normal 2 9 2" xfId="12805"/>
    <cellStyle name="Normal 2_Cash Flows w.o FAS 95" xfId="188"/>
    <cellStyle name="Normal 20" xfId="189"/>
    <cellStyle name="Normal 20 10" xfId="39574"/>
    <cellStyle name="Normal 20 10 2" xfId="4930"/>
    <cellStyle name="Normal 20 11" xfId="1808"/>
    <cellStyle name="Normal 20 2" xfId="3307"/>
    <cellStyle name="Normal 20 2 2" xfId="12807"/>
    <cellStyle name="Normal 20 2 3" xfId="5675"/>
    <cellStyle name="Normal 20 2 4" xfId="25474"/>
    <cellStyle name="Normal 20 3" xfId="4805"/>
    <cellStyle name="Normal 20 3 2" xfId="12808"/>
    <cellStyle name="Normal 20 3 3" xfId="5676"/>
    <cellStyle name="Normal 20 3 4" xfId="26972"/>
    <cellStyle name="Normal 20 4" xfId="12806"/>
    <cellStyle name="Normal 20 5" xfId="5674"/>
    <cellStyle name="Normal 20 6" xfId="22478"/>
    <cellStyle name="Normal 20 6 2" xfId="38690"/>
    <cellStyle name="Normal 20 7" xfId="23976"/>
    <cellStyle name="Normal 20 8" xfId="38808"/>
    <cellStyle name="Normal 20 9" xfId="39505"/>
    <cellStyle name="Normal 21" xfId="190"/>
    <cellStyle name="Normal 21 2" xfId="3308"/>
    <cellStyle name="Normal 21 2 2" xfId="12809"/>
    <cellStyle name="Normal 21 2 3" xfId="25475"/>
    <cellStyle name="Normal 21 3" xfId="4806"/>
    <cellStyle name="Normal 21 3 2" xfId="26973"/>
    <cellStyle name="Normal 21 4" xfId="5677"/>
    <cellStyle name="Normal 21 5" xfId="22479"/>
    <cellStyle name="Normal 21 5 2" xfId="38691"/>
    <cellStyle name="Normal 21 6" xfId="23977"/>
    <cellStyle name="Normal 21 7" xfId="39507"/>
    <cellStyle name="Normal 21 8" xfId="39575"/>
    <cellStyle name="Normal 21 9" xfId="1809"/>
    <cellStyle name="Normal 22" xfId="191"/>
    <cellStyle name="Normal 22 10" xfId="39577"/>
    <cellStyle name="Normal 22 11" xfId="1811"/>
    <cellStyle name="Normal 22 2" xfId="3310"/>
    <cellStyle name="Normal 22 2 2" xfId="12810"/>
    <cellStyle name="Normal 22 2 2 2" xfId="20371"/>
    <cellStyle name="Normal 22 2 2 2 2" xfId="36592"/>
    <cellStyle name="Normal 22 2 2 3" xfId="29904"/>
    <cellStyle name="Normal 22 2 3" xfId="18614"/>
    <cellStyle name="Normal 22 2 3 2" xfId="34835"/>
    <cellStyle name="Normal 22 2 4" xfId="8218"/>
    <cellStyle name="Normal 22 2 4 2" xfId="28151"/>
    <cellStyle name="Normal 22 2 5" xfId="25477"/>
    <cellStyle name="Normal 22 3" xfId="4808"/>
    <cellStyle name="Normal 22 3 2" xfId="20981"/>
    <cellStyle name="Normal 22 3 2 2" xfId="37199"/>
    <cellStyle name="Normal 22 3 3" xfId="14221"/>
    <cellStyle name="Normal 22 3 3 2" xfId="30511"/>
    <cellStyle name="Normal 22 3 4" xfId="26975"/>
    <cellStyle name="Normal 22 4" xfId="14237"/>
    <cellStyle name="Normal 22 4 2" xfId="30523"/>
    <cellStyle name="Normal 22 5" xfId="20987"/>
    <cellStyle name="Normal 22 5 2" xfId="37202"/>
    <cellStyle name="Normal 22 6" xfId="5678"/>
    <cellStyle name="Normal 22 7" xfId="22481"/>
    <cellStyle name="Normal 22 7 2" xfId="38693"/>
    <cellStyle name="Normal 22 8" xfId="23979"/>
    <cellStyle name="Normal 22 9" xfId="38809"/>
    <cellStyle name="Normal 23" xfId="267"/>
    <cellStyle name="Normal 23 2" xfId="3311"/>
    <cellStyle name="Normal 23 2 2" xfId="5680"/>
    <cellStyle name="Normal 23 2 3" xfId="25478"/>
    <cellStyle name="Normal 23 3" xfId="4809"/>
    <cellStyle name="Normal 23 3 2" xfId="26976"/>
    <cellStyle name="Normal 23 4" xfId="5679"/>
    <cellStyle name="Normal 23 5" xfId="22482"/>
    <cellStyle name="Normal 23 5 2" xfId="38694"/>
    <cellStyle name="Normal 23 6" xfId="23980"/>
    <cellStyle name="Normal 23 7" xfId="38819"/>
    <cellStyle name="Normal 23 8" xfId="39578"/>
    <cellStyle name="Normal 23 9" xfId="1812"/>
    <cellStyle name="Normal 24" xfId="1813"/>
    <cellStyle name="Normal 24 2" xfId="3312"/>
    <cellStyle name="Normal 24 2 2" xfId="12811"/>
    <cellStyle name="Normal 24 2 3" xfId="25479"/>
    <cellStyle name="Normal 24 3" xfId="4810"/>
    <cellStyle name="Normal 24 3 2" xfId="26977"/>
    <cellStyle name="Normal 24 4" xfId="8219"/>
    <cellStyle name="Normal 24 5" xfId="22483"/>
    <cellStyle name="Normal 24 5 2" xfId="38695"/>
    <cellStyle name="Normal 24 6" xfId="23981"/>
    <cellStyle name="Normal 24 7" xfId="38821"/>
    <cellStyle name="Normal 24 8" xfId="39579"/>
    <cellStyle name="Normal 25" xfId="1814"/>
    <cellStyle name="Normal 25 2" xfId="3313"/>
    <cellStyle name="Normal 25 2 2" xfId="20976"/>
    <cellStyle name="Normal 25 2 3" xfId="25480"/>
    <cellStyle name="Normal 25 3" xfId="4811"/>
    <cellStyle name="Normal 25 3 2" xfId="26978"/>
    <cellStyle name="Normal 25 4" xfId="14200"/>
    <cellStyle name="Normal 25 5" xfId="22484"/>
    <cellStyle name="Normal 25 5 2" xfId="38696"/>
    <cellStyle name="Normal 25 6" xfId="23982"/>
    <cellStyle name="Normal 25 7" xfId="39336"/>
    <cellStyle name="Normal 25 8" xfId="39580"/>
    <cellStyle name="Normal 26" xfId="1815"/>
    <cellStyle name="Normal 26 2" xfId="3314"/>
    <cellStyle name="Normal 26 2 2" xfId="25481"/>
    <cellStyle name="Normal 26 3" xfId="4812"/>
    <cellStyle name="Normal 26 3 2" xfId="26979"/>
    <cellStyle name="Normal 26 4" xfId="14222"/>
    <cellStyle name="Normal 26 5" xfId="22485"/>
    <cellStyle name="Normal 26 5 2" xfId="38697"/>
    <cellStyle name="Normal 26 6" xfId="23983"/>
    <cellStyle name="Normal 26 7" xfId="39581"/>
    <cellStyle name="Normal 27" xfId="1816"/>
    <cellStyle name="Normal 27 2" xfId="3315"/>
    <cellStyle name="Normal 27 2 2" xfId="25482"/>
    <cellStyle name="Normal 27 3" xfId="4813"/>
    <cellStyle name="Normal 27 3 2" xfId="26980"/>
    <cellStyle name="Normal 27 4" xfId="20982"/>
    <cellStyle name="Normal 27 5" xfId="22486"/>
    <cellStyle name="Normal 27 5 2" xfId="38698"/>
    <cellStyle name="Normal 27 6" xfId="23984"/>
    <cellStyle name="Normal 27 7" xfId="39582"/>
    <cellStyle name="Normal 28" xfId="1817"/>
    <cellStyle name="Normal 28 2" xfId="3316"/>
    <cellStyle name="Normal 28 2 2" xfId="20990"/>
    <cellStyle name="Normal 28 2 3" xfId="25483"/>
    <cellStyle name="Normal 28 3" xfId="4814"/>
    <cellStyle name="Normal 28 3 2" xfId="20989"/>
    <cellStyle name="Normal 28 3 3" xfId="26981"/>
    <cellStyle name="Normal 28 4" xfId="20988"/>
    <cellStyle name="Normal 28 5" xfId="6496"/>
    <cellStyle name="Normal 28 6" xfId="22487"/>
    <cellStyle name="Normal 28 6 2" xfId="38699"/>
    <cellStyle name="Normal 28 7" xfId="23985"/>
    <cellStyle name="Normal 28 8" xfId="39583"/>
    <cellStyle name="Normal 29" xfId="1818"/>
    <cellStyle name="Normal 29 2" xfId="3317"/>
    <cellStyle name="Normal 29 2 2" xfId="25484"/>
    <cellStyle name="Normal 29 3" xfId="4815"/>
    <cellStyle name="Normal 29 3 2" xfId="26982"/>
    <cellStyle name="Normal 29 4" xfId="4854"/>
    <cellStyle name="Normal 29 4 2" xfId="26995"/>
    <cellStyle name="Normal 29 5" xfId="22488"/>
    <cellStyle name="Normal 29 5 2" xfId="38700"/>
    <cellStyle name="Normal 29 6" xfId="23986"/>
    <cellStyle name="Normal 29 7" xfId="39584"/>
    <cellStyle name="Normal 3" xfId="192"/>
    <cellStyle name="Normal 3 10" xfId="342"/>
    <cellStyle name="Normal 3 10 2" xfId="1877"/>
    <cellStyle name="Normal 3 10 2 2" xfId="24045"/>
    <cellStyle name="Normal 3 10 2 3" xfId="39485"/>
    <cellStyle name="Normal 3 10 3" xfId="3376"/>
    <cellStyle name="Normal 3 10 3 2" xfId="25543"/>
    <cellStyle name="Normal 3 10 4" xfId="21049"/>
    <cellStyle name="Normal 3 10 4 2" xfId="37261"/>
    <cellStyle name="Normal 3 10 5" xfId="22547"/>
    <cellStyle name="Normal 3 10 6" xfId="38863"/>
    <cellStyle name="Normal 3 11" xfId="729"/>
    <cellStyle name="Normal 3 11 2" xfId="2228"/>
    <cellStyle name="Normal 3 11 2 2" xfId="24396"/>
    <cellStyle name="Normal 3 11 3" xfId="3727"/>
    <cellStyle name="Normal 3 11 3 2" xfId="25894"/>
    <cellStyle name="Normal 3 11 4" xfId="21400"/>
    <cellStyle name="Normal 3 11 4 2" xfId="37612"/>
    <cellStyle name="Normal 3 11 5" xfId="22898"/>
    <cellStyle name="Normal 3 11 6" xfId="38915"/>
    <cellStyle name="Normal 3 12" xfId="1080"/>
    <cellStyle name="Normal 3 12 2" xfId="2579"/>
    <cellStyle name="Normal 3 12 2 2" xfId="24747"/>
    <cellStyle name="Normal 3 12 3" xfId="4078"/>
    <cellStyle name="Normal 3 12 3 2" xfId="26245"/>
    <cellStyle name="Normal 3 12 4" xfId="21751"/>
    <cellStyle name="Normal 3 12 4 2" xfId="37963"/>
    <cellStyle name="Normal 3 12 5" xfId="23249"/>
    <cellStyle name="Normal 3 12 6" xfId="39041"/>
    <cellStyle name="Normal 3 13" xfId="1431"/>
    <cellStyle name="Normal 3 13 2" xfId="2930"/>
    <cellStyle name="Normal 3 13 2 2" xfId="25098"/>
    <cellStyle name="Normal 3 13 3" xfId="4429"/>
    <cellStyle name="Normal 3 13 3 2" xfId="26596"/>
    <cellStyle name="Normal 3 13 4" xfId="22102"/>
    <cellStyle name="Normal 3 13 4 2" xfId="38314"/>
    <cellStyle name="Normal 3 13 5" xfId="23600"/>
    <cellStyle name="Normal 3 13 6" xfId="39189"/>
    <cellStyle name="Normal 3 14" xfId="313"/>
    <cellStyle name="Normal 3 14 2" xfId="1849"/>
    <cellStyle name="Normal 3 14 2 2" xfId="24017"/>
    <cellStyle name="Normal 3 14 3" xfId="3348"/>
    <cellStyle name="Normal 3 14 3 2" xfId="25515"/>
    <cellStyle name="Normal 3 14 4" xfId="21021"/>
    <cellStyle name="Normal 3 14 4 2" xfId="37233"/>
    <cellStyle name="Normal 3 14 5" xfId="22519"/>
    <cellStyle name="Normal 3 14 6" xfId="39338"/>
    <cellStyle name="Normal 3 15" xfId="1782"/>
    <cellStyle name="Normal 3 15 2" xfId="3281"/>
    <cellStyle name="Normal 3 15 2 2" xfId="25448"/>
    <cellStyle name="Normal 3 15 3" xfId="4779"/>
    <cellStyle name="Normal 3 15 3 2" xfId="26946"/>
    <cellStyle name="Normal 3 15 4" xfId="22452"/>
    <cellStyle name="Normal 3 15 4 2" xfId="38664"/>
    <cellStyle name="Normal 3 15 5" xfId="23950"/>
    <cellStyle name="Normal 3 16" xfId="1821"/>
    <cellStyle name="Normal 3 16 2" xfId="23989"/>
    <cellStyle name="Normal 3 17" xfId="3320"/>
    <cellStyle name="Normal 3 17 2" xfId="25487"/>
    <cellStyle name="Normal 3 18" xfId="4857"/>
    <cellStyle name="Normal 3 19" xfId="20993"/>
    <cellStyle name="Normal 3 19 2" xfId="37205"/>
    <cellStyle name="Normal 3 2" xfId="193"/>
    <cellStyle name="Normal 3 2 10" xfId="1432"/>
    <cellStyle name="Normal 3 2 10 2" xfId="2931"/>
    <cellStyle name="Normal 3 2 10 2 2" xfId="25099"/>
    <cellStyle name="Normal 3 2 10 3" xfId="4430"/>
    <cellStyle name="Normal 3 2 10 3 2" xfId="26597"/>
    <cellStyle name="Normal 3 2 10 4" xfId="22103"/>
    <cellStyle name="Normal 3 2 10 4 2" xfId="38315"/>
    <cellStyle name="Normal 3 2 10 5" xfId="23601"/>
    <cellStyle name="Normal 3 2 10 6" xfId="39191"/>
    <cellStyle name="Normal 3 2 11" xfId="314"/>
    <cellStyle name="Normal 3 2 11 2" xfId="1850"/>
    <cellStyle name="Normal 3 2 11 2 2" xfId="24018"/>
    <cellStyle name="Normal 3 2 11 3" xfId="3349"/>
    <cellStyle name="Normal 3 2 11 3 2" xfId="25516"/>
    <cellStyle name="Normal 3 2 11 4" xfId="21022"/>
    <cellStyle name="Normal 3 2 11 4 2" xfId="37234"/>
    <cellStyle name="Normal 3 2 11 5" xfId="22520"/>
    <cellStyle name="Normal 3 2 11 6" xfId="39340"/>
    <cellStyle name="Normal 3 2 12" xfId="1822"/>
    <cellStyle name="Normal 3 2 12 2" xfId="23990"/>
    <cellStyle name="Normal 3 2 13" xfId="3321"/>
    <cellStyle name="Normal 3 2 13 2" xfId="25488"/>
    <cellStyle name="Normal 3 2 14" xfId="4920"/>
    <cellStyle name="Normal 3 2 15" xfId="20994"/>
    <cellStyle name="Normal 3 2 15 2" xfId="37206"/>
    <cellStyle name="Normal 3 2 16" xfId="22492"/>
    <cellStyle name="Normal 3 2 17" xfId="38713"/>
    <cellStyle name="Normal 3 2 18" xfId="283"/>
    <cellStyle name="Normal 3 2 2" xfId="194"/>
    <cellStyle name="Normal 3 2 2 10" xfId="3325"/>
    <cellStyle name="Normal 3 2 2 10 2" xfId="25492"/>
    <cellStyle name="Normal 3 2 2 11" xfId="8220"/>
    <cellStyle name="Normal 3 2 2 12" xfId="20998"/>
    <cellStyle name="Normal 3 2 2 12 2" xfId="37210"/>
    <cellStyle name="Normal 3 2 2 13" xfId="22496"/>
    <cellStyle name="Normal 3 2 2 14" xfId="38717"/>
    <cellStyle name="Normal 3 2 2 15" xfId="289"/>
    <cellStyle name="Normal 3 2 2 2" xfId="498"/>
    <cellStyle name="Normal 3 2 2 2 2" xfId="851"/>
    <cellStyle name="Normal 3 2 2 2 2 2" xfId="2350"/>
    <cellStyle name="Normal 3 2 2 2 2 2 2" xfId="24518"/>
    <cellStyle name="Normal 3 2 2 2 2 3" xfId="3849"/>
    <cellStyle name="Normal 3 2 2 2 2 3 2" xfId="26016"/>
    <cellStyle name="Normal 3 2 2 2 2 4" xfId="21522"/>
    <cellStyle name="Normal 3 2 2 2 2 4 2" xfId="37734"/>
    <cellStyle name="Normal 3 2 2 2 2 5" xfId="23020"/>
    <cellStyle name="Normal 3 2 2 2 2 6" xfId="38757"/>
    <cellStyle name="Normal 3 2 2 2 3" xfId="1202"/>
    <cellStyle name="Normal 3 2 2 2 3 2" xfId="2701"/>
    <cellStyle name="Normal 3 2 2 2 3 2 2" xfId="24869"/>
    <cellStyle name="Normal 3 2 2 2 3 3" xfId="4200"/>
    <cellStyle name="Normal 3 2 2 2 3 3 2" xfId="26367"/>
    <cellStyle name="Normal 3 2 2 2 3 4" xfId="21873"/>
    <cellStyle name="Normal 3 2 2 2 3 4 2" xfId="38085"/>
    <cellStyle name="Normal 3 2 2 2 3 5" xfId="23371"/>
    <cellStyle name="Normal 3 2 2 2 3 6" xfId="38845"/>
    <cellStyle name="Normal 3 2 2 2 4" xfId="1553"/>
    <cellStyle name="Normal 3 2 2 2 4 2" xfId="3052"/>
    <cellStyle name="Normal 3 2 2 2 4 2 2" xfId="25220"/>
    <cellStyle name="Normal 3 2 2 2 4 3" xfId="4551"/>
    <cellStyle name="Normal 3 2 2 2 4 3 2" xfId="26718"/>
    <cellStyle name="Normal 3 2 2 2 4 4" xfId="22224"/>
    <cellStyle name="Normal 3 2 2 2 4 4 2" xfId="38436"/>
    <cellStyle name="Normal 3 2 2 2 4 5" xfId="23722"/>
    <cellStyle name="Normal 3 2 2 2 4 6" xfId="38885"/>
    <cellStyle name="Normal 3 2 2 2 5" xfId="1999"/>
    <cellStyle name="Normal 3 2 2 2 5 2" xfId="24167"/>
    <cellStyle name="Normal 3 2 2 2 5 3" xfId="38937"/>
    <cellStyle name="Normal 3 2 2 2 6" xfId="3498"/>
    <cellStyle name="Normal 3 2 2 2 6 2" xfId="25665"/>
    <cellStyle name="Normal 3 2 2 2 6 3" xfId="39063"/>
    <cellStyle name="Normal 3 2 2 2 7" xfId="21171"/>
    <cellStyle name="Normal 3 2 2 2 7 2" xfId="37383"/>
    <cellStyle name="Normal 3 2 2 2 7 3" xfId="39211"/>
    <cellStyle name="Normal 3 2 2 2 8" xfId="22669"/>
    <cellStyle name="Normal 3 2 2 2 8 2" xfId="39360"/>
    <cellStyle name="Normal 3 2 2 2 9" xfId="38725"/>
    <cellStyle name="Normal 3 2 2 3" xfId="616"/>
    <cellStyle name="Normal 3 2 2 3 2" xfId="968"/>
    <cellStyle name="Normal 3 2 2 3 2 2" xfId="2467"/>
    <cellStyle name="Normal 3 2 2 3 2 2 2" xfId="24635"/>
    <cellStyle name="Normal 3 2 2 3 2 3" xfId="3966"/>
    <cellStyle name="Normal 3 2 2 3 2 3 2" xfId="26133"/>
    <cellStyle name="Normal 3 2 2 3 2 4" xfId="21639"/>
    <cellStyle name="Normal 3 2 2 3 2 4 2" xfId="37851"/>
    <cellStyle name="Normal 3 2 2 3 2 5" xfId="23137"/>
    <cellStyle name="Normal 3 2 2 3 3" xfId="1319"/>
    <cellStyle name="Normal 3 2 2 3 3 2" xfId="2818"/>
    <cellStyle name="Normal 3 2 2 3 3 2 2" xfId="24986"/>
    <cellStyle name="Normal 3 2 2 3 3 3" xfId="4317"/>
    <cellStyle name="Normal 3 2 2 3 3 3 2" xfId="26484"/>
    <cellStyle name="Normal 3 2 2 3 3 4" xfId="21990"/>
    <cellStyle name="Normal 3 2 2 3 3 4 2" xfId="38202"/>
    <cellStyle name="Normal 3 2 2 3 3 5" xfId="23488"/>
    <cellStyle name="Normal 3 2 2 3 4" xfId="1670"/>
    <cellStyle name="Normal 3 2 2 3 4 2" xfId="3169"/>
    <cellStyle name="Normal 3 2 2 3 4 2 2" xfId="25337"/>
    <cellStyle name="Normal 3 2 2 3 4 3" xfId="4668"/>
    <cellStyle name="Normal 3 2 2 3 4 3 2" xfId="26835"/>
    <cellStyle name="Normal 3 2 2 3 4 4" xfId="22341"/>
    <cellStyle name="Normal 3 2 2 3 4 4 2" xfId="38553"/>
    <cellStyle name="Normal 3 2 2 3 4 5" xfId="23839"/>
    <cellStyle name="Normal 3 2 2 3 5" xfId="2116"/>
    <cellStyle name="Normal 3 2 2 3 5 2" xfId="24284"/>
    <cellStyle name="Normal 3 2 2 3 6" xfId="3615"/>
    <cellStyle name="Normal 3 2 2 3 6 2" xfId="25782"/>
    <cellStyle name="Normal 3 2 2 3 7" xfId="21288"/>
    <cellStyle name="Normal 3 2 2 3 7 2" xfId="37500"/>
    <cellStyle name="Normal 3 2 2 3 8" xfId="22786"/>
    <cellStyle name="Normal 3 2 2 3 9" xfId="38743"/>
    <cellStyle name="Normal 3 2 2 4" xfId="347"/>
    <cellStyle name="Normal 3 2 2 4 2" xfId="1882"/>
    <cellStyle name="Normal 3 2 2 4 2 2" xfId="24050"/>
    <cellStyle name="Normal 3 2 2 4 3" xfId="3381"/>
    <cellStyle name="Normal 3 2 2 4 3 2" xfId="25548"/>
    <cellStyle name="Normal 3 2 2 4 4" xfId="21054"/>
    <cellStyle name="Normal 3 2 2 4 4 2" xfId="37266"/>
    <cellStyle name="Normal 3 2 2 4 5" xfId="22552"/>
    <cellStyle name="Normal 3 2 2 4 6" xfId="38831"/>
    <cellStyle name="Normal 3 2 2 5" xfId="734"/>
    <cellStyle name="Normal 3 2 2 5 2" xfId="2233"/>
    <cellStyle name="Normal 3 2 2 5 2 2" xfId="24401"/>
    <cellStyle name="Normal 3 2 2 5 3" xfId="3732"/>
    <cellStyle name="Normal 3 2 2 5 3 2" xfId="25899"/>
    <cellStyle name="Normal 3 2 2 5 4" xfId="21405"/>
    <cellStyle name="Normal 3 2 2 5 4 2" xfId="37617"/>
    <cellStyle name="Normal 3 2 2 5 5" xfId="22903"/>
    <cellStyle name="Normal 3 2 2 5 6" xfId="38871"/>
    <cellStyle name="Normal 3 2 2 6" xfId="1085"/>
    <cellStyle name="Normal 3 2 2 6 2" xfId="2584"/>
    <cellStyle name="Normal 3 2 2 6 2 2" xfId="24752"/>
    <cellStyle name="Normal 3 2 2 6 3" xfId="4083"/>
    <cellStyle name="Normal 3 2 2 6 3 2" xfId="26250"/>
    <cellStyle name="Normal 3 2 2 6 4" xfId="21756"/>
    <cellStyle name="Normal 3 2 2 6 4 2" xfId="37968"/>
    <cellStyle name="Normal 3 2 2 6 5" xfId="23254"/>
    <cellStyle name="Normal 3 2 2 6 6" xfId="38923"/>
    <cellStyle name="Normal 3 2 2 7" xfId="1436"/>
    <cellStyle name="Normal 3 2 2 7 2" xfId="2935"/>
    <cellStyle name="Normal 3 2 2 7 2 2" xfId="25103"/>
    <cellStyle name="Normal 3 2 2 7 3" xfId="4434"/>
    <cellStyle name="Normal 3 2 2 7 3 2" xfId="26601"/>
    <cellStyle name="Normal 3 2 2 7 4" xfId="22107"/>
    <cellStyle name="Normal 3 2 2 7 4 2" xfId="38319"/>
    <cellStyle name="Normal 3 2 2 7 5" xfId="23605"/>
    <cellStyle name="Normal 3 2 2 7 6" xfId="39049"/>
    <cellStyle name="Normal 3 2 2 8" xfId="318"/>
    <cellStyle name="Normal 3 2 2 8 2" xfId="1854"/>
    <cellStyle name="Normal 3 2 2 8 2 2" xfId="24022"/>
    <cellStyle name="Normal 3 2 2 8 3" xfId="3353"/>
    <cellStyle name="Normal 3 2 2 8 3 2" xfId="25520"/>
    <cellStyle name="Normal 3 2 2 8 4" xfId="21026"/>
    <cellStyle name="Normal 3 2 2 8 4 2" xfId="37238"/>
    <cellStyle name="Normal 3 2 2 8 5" xfId="22524"/>
    <cellStyle name="Normal 3 2 2 8 6" xfId="39197"/>
    <cellStyle name="Normal 3 2 2 9" xfId="1826"/>
    <cellStyle name="Normal 3 2 2 9 2" xfId="23994"/>
    <cellStyle name="Normal 3 2 2 9 3" xfId="39346"/>
    <cellStyle name="Normal 3 2 3" xfId="195"/>
    <cellStyle name="Normal 3 2 3 10" xfId="21058"/>
    <cellStyle name="Normal 3 2 3 10 2" xfId="37270"/>
    <cellStyle name="Normal 3 2 3 11" xfId="22556"/>
    <cellStyle name="Normal 3 2 3 12" xfId="38721"/>
    <cellStyle name="Normal 3 2 3 13" xfId="351"/>
    <cellStyle name="Normal 3 2 3 2" xfId="502"/>
    <cellStyle name="Normal 3 2 3 2 2" xfId="855"/>
    <cellStyle name="Normal 3 2 3 2 2 2" xfId="2354"/>
    <cellStyle name="Normal 3 2 3 2 2 2 2" xfId="24522"/>
    <cellStyle name="Normal 3 2 3 2 2 3" xfId="3853"/>
    <cellStyle name="Normal 3 2 3 2 2 3 2" xfId="26020"/>
    <cellStyle name="Normal 3 2 3 2 2 4" xfId="21526"/>
    <cellStyle name="Normal 3 2 3 2 2 4 2" xfId="37738"/>
    <cellStyle name="Normal 3 2 3 2 2 5" xfId="23024"/>
    <cellStyle name="Normal 3 2 3 2 3" xfId="1206"/>
    <cellStyle name="Normal 3 2 3 2 3 2" xfId="2705"/>
    <cellStyle name="Normal 3 2 3 2 3 2 2" xfId="24873"/>
    <cellStyle name="Normal 3 2 3 2 3 3" xfId="4204"/>
    <cellStyle name="Normal 3 2 3 2 3 3 2" xfId="26371"/>
    <cellStyle name="Normal 3 2 3 2 3 4" xfId="21877"/>
    <cellStyle name="Normal 3 2 3 2 3 4 2" xfId="38089"/>
    <cellStyle name="Normal 3 2 3 2 3 5" xfId="23375"/>
    <cellStyle name="Normal 3 2 3 2 4" xfId="1557"/>
    <cellStyle name="Normal 3 2 3 2 4 2" xfId="3056"/>
    <cellStyle name="Normal 3 2 3 2 4 2 2" xfId="25224"/>
    <cellStyle name="Normal 3 2 3 2 4 3" xfId="4555"/>
    <cellStyle name="Normal 3 2 3 2 4 3 2" xfId="26722"/>
    <cellStyle name="Normal 3 2 3 2 4 4" xfId="22228"/>
    <cellStyle name="Normal 3 2 3 2 4 4 2" xfId="38440"/>
    <cellStyle name="Normal 3 2 3 2 4 5" xfId="23726"/>
    <cellStyle name="Normal 3 2 3 2 5" xfId="2003"/>
    <cellStyle name="Normal 3 2 3 2 5 2" xfId="24171"/>
    <cellStyle name="Normal 3 2 3 2 6" xfId="3502"/>
    <cellStyle name="Normal 3 2 3 2 6 2" xfId="25669"/>
    <cellStyle name="Normal 3 2 3 2 7" xfId="21175"/>
    <cellStyle name="Normal 3 2 3 2 7 2" xfId="37387"/>
    <cellStyle name="Normal 3 2 3 2 8" xfId="22673"/>
    <cellStyle name="Normal 3 2 3 2 9" xfId="38751"/>
    <cellStyle name="Normal 3 2 3 3" xfId="620"/>
    <cellStyle name="Normal 3 2 3 3 2" xfId="972"/>
    <cellStyle name="Normal 3 2 3 3 2 2" xfId="2471"/>
    <cellStyle name="Normal 3 2 3 3 2 2 2" xfId="24639"/>
    <cellStyle name="Normal 3 2 3 3 2 3" xfId="3970"/>
    <cellStyle name="Normal 3 2 3 3 2 3 2" xfId="26137"/>
    <cellStyle name="Normal 3 2 3 3 2 4" xfId="21643"/>
    <cellStyle name="Normal 3 2 3 3 2 4 2" xfId="37855"/>
    <cellStyle name="Normal 3 2 3 3 2 5" xfId="23141"/>
    <cellStyle name="Normal 3 2 3 3 3" xfId="1323"/>
    <cellStyle name="Normal 3 2 3 3 3 2" xfId="2822"/>
    <cellStyle name="Normal 3 2 3 3 3 2 2" xfId="24990"/>
    <cellStyle name="Normal 3 2 3 3 3 3" xfId="4321"/>
    <cellStyle name="Normal 3 2 3 3 3 3 2" xfId="26488"/>
    <cellStyle name="Normal 3 2 3 3 3 4" xfId="21994"/>
    <cellStyle name="Normal 3 2 3 3 3 4 2" xfId="38206"/>
    <cellStyle name="Normal 3 2 3 3 3 5" xfId="23492"/>
    <cellStyle name="Normal 3 2 3 3 4" xfId="1674"/>
    <cellStyle name="Normal 3 2 3 3 4 2" xfId="3173"/>
    <cellStyle name="Normal 3 2 3 3 4 2 2" xfId="25341"/>
    <cellStyle name="Normal 3 2 3 3 4 3" xfId="4672"/>
    <cellStyle name="Normal 3 2 3 3 4 3 2" xfId="26839"/>
    <cellStyle name="Normal 3 2 3 3 4 4" xfId="22345"/>
    <cellStyle name="Normal 3 2 3 3 4 4 2" xfId="38557"/>
    <cellStyle name="Normal 3 2 3 3 4 5" xfId="23843"/>
    <cellStyle name="Normal 3 2 3 3 5" xfId="2120"/>
    <cellStyle name="Normal 3 2 3 3 5 2" xfId="24288"/>
    <cellStyle name="Normal 3 2 3 3 6" xfId="3619"/>
    <cellStyle name="Normal 3 2 3 3 6 2" xfId="25786"/>
    <cellStyle name="Normal 3 2 3 3 7" xfId="21292"/>
    <cellStyle name="Normal 3 2 3 3 7 2" xfId="37504"/>
    <cellStyle name="Normal 3 2 3 3 8" xfId="22790"/>
    <cellStyle name="Normal 3 2 3 3 9" xfId="38839"/>
    <cellStyle name="Normal 3 2 3 4" xfId="738"/>
    <cellStyle name="Normal 3 2 3 4 2" xfId="2237"/>
    <cellStyle name="Normal 3 2 3 4 2 2" xfId="24405"/>
    <cellStyle name="Normal 3 2 3 4 3" xfId="3736"/>
    <cellStyle name="Normal 3 2 3 4 3 2" xfId="25903"/>
    <cellStyle name="Normal 3 2 3 4 4" xfId="21409"/>
    <cellStyle name="Normal 3 2 3 4 4 2" xfId="37621"/>
    <cellStyle name="Normal 3 2 3 4 5" xfId="22907"/>
    <cellStyle name="Normal 3 2 3 4 6" xfId="38879"/>
    <cellStyle name="Normal 3 2 3 5" xfId="1089"/>
    <cellStyle name="Normal 3 2 3 5 2" xfId="2588"/>
    <cellStyle name="Normal 3 2 3 5 2 2" xfId="24756"/>
    <cellStyle name="Normal 3 2 3 5 3" xfId="4087"/>
    <cellStyle name="Normal 3 2 3 5 3 2" xfId="26254"/>
    <cellStyle name="Normal 3 2 3 5 4" xfId="21760"/>
    <cellStyle name="Normal 3 2 3 5 4 2" xfId="37972"/>
    <cellStyle name="Normal 3 2 3 5 5" xfId="23258"/>
    <cellStyle name="Normal 3 2 3 5 6" xfId="38931"/>
    <cellStyle name="Normal 3 2 3 6" xfId="1440"/>
    <cellStyle name="Normal 3 2 3 6 2" xfId="2939"/>
    <cellStyle name="Normal 3 2 3 6 2 2" xfId="25107"/>
    <cellStyle name="Normal 3 2 3 6 3" xfId="4438"/>
    <cellStyle name="Normal 3 2 3 6 3 2" xfId="26605"/>
    <cellStyle name="Normal 3 2 3 6 4" xfId="22111"/>
    <cellStyle name="Normal 3 2 3 6 4 2" xfId="38323"/>
    <cellStyle name="Normal 3 2 3 6 5" xfId="23609"/>
    <cellStyle name="Normal 3 2 3 6 6" xfId="39057"/>
    <cellStyle name="Normal 3 2 3 7" xfId="1886"/>
    <cellStyle name="Normal 3 2 3 7 2" xfId="24054"/>
    <cellStyle name="Normal 3 2 3 7 3" xfId="39205"/>
    <cellStyle name="Normal 3 2 3 8" xfId="3385"/>
    <cellStyle name="Normal 3 2 3 8 2" xfId="25552"/>
    <cellStyle name="Normal 3 2 3 8 3" xfId="39354"/>
    <cellStyle name="Normal 3 2 3 9" xfId="5739"/>
    <cellStyle name="Normal 3 2 4" xfId="355"/>
    <cellStyle name="Normal 3 2 4 10" xfId="22560"/>
    <cellStyle name="Normal 3 2 4 11" xfId="38730"/>
    <cellStyle name="Normal 3 2 4 2" xfId="506"/>
    <cellStyle name="Normal 3 2 4 2 2" xfId="859"/>
    <cellStyle name="Normal 3 2 4 2 2 2" xfId="2358"/>
    <cellStyle name="Normal 3 2 4 2 2 2 2" xfId="24526"/>
    <cellStyle name="Normal 3 2 4 2 2 3" xfId="3857"/>
    <cellStyle name="Normal 3 2 4 2 2 3 2" xfId="26024"/>
    <cellStyle name="Normal 3 2 4 2 2 4" xfId="21530"/>
    <cellStyle name="Normal 3 2 4 2 2 4 2" xfId="37742"/>
    <cellStyle name="Normal 3 2 4 2 2 5" xfId="23028"/>
    <cellStyle name="Normal 3 2 4 2 3" xfId="1210"/>
    <cellStyle name="Normal 3 2 4 2 3 2" xfId="2709"/>
    <cellStyle name="Normal 3 2 4 2 3 2 2" xfId="24877"/>
    <cellStyle name="Normal 3 2 4 2 3 3" xfId="4208"/>
    <cellStyle name="Normal 3 2 4 2 3 3 2" xfId="26375"/>
    <cellStyle name="Normal 3 2 4 2 3 4" xfId="21881"/>
    <cellStyle name="Normal 3 2 4 2 3 4 2" xfId="38093"/>
    <cellStyle name="Normal 3 2 4 2 3 5" xfId="23379"/>
    <cellStyle name="Normal 3 2 4 2 4" xfId="1561"/>
    <cellStyle name="Normal 3 2 4 2 4 2" xfId="3060"/>
    <cellStyle name="Normal 3 2 4 2 4 2 2" xfId="25228"/>
    <cellStyle name="Normal 3 2 4 2 4 3" xfId="4559"/>
    <cellStyle name="Normal 3 2 4 2 4 3 2" xfId="26726"/>
    <cellStyle name="Normal 3 2 4 2 4 4" xfId="22232"/>
    <cellStyle name="Normal 3 2 4 2 4 4 2" xfId="38444"/>
    <cellStyle name="Normal 3 2 4 2 4 5" xfId="23730"/>
    <cellStyle name="Normal 3 2 4 2 5" xfId="2007"/>
    <cellStyle name="Normal 3 2 4 2 5 2" xfId="24175"/>
    <cellStyle name="Normal 3 2 4 2 6" xfId="3506"/>
    <cellStyle name="Normal 3 2 4 2 6 2" xfId="25673"/>
    <cellStyle name="Normal 3 2 4 2 7" xfId="21179"/>
    <cellStyle name="Normal 3 2 4 2 7 2" xfId="37391"/>
    <cellStyle name="Normal 3 2 4 2 8" xfId="22677"/>
    <cellStyle name="Normal 3 2 4 2 9" xfId="38851"/>
    <cellStyle name="Normal 3 2 4 3" xfId="624"/>
    <cellStyle name="Normal 3 2 4 3 2" xfId="976"/>
    <cellStyle name="Normal 3 2 4 3 2 2" xfId="2475"/>
    <cellStyle name="Normal 3 2 4 3 2 2 2" xfId="24643"/>
    <cellStyle name="Normal 3 2 4 3 2 3" xfId="3974"/>
    <cellStyle name="Normal 3 2 4 3 2 3 2" xfId="26141"/>
    <cellStyle name="Normal 3 2 4 3 2 4" xfId="21647"/>
    <cellStyle name="Normal 3 2 4 3 2 4 2" xfId="37859"/>
    <cellStyle name="Normal 3 2 4 3 2 5" xfId="23145"/>
    <cellStyle name="Normal 3 2 4 3 3" xfId="1327"/>
    <cellStyle name="Normal 3 2 4 3 3 2" xfId="2826"/>
    <cellStyle name="Normal 3 2 4 3 3 2 2" xfId="24994"/>
    <cellStyle name="Normal 3 2 4 3 3 3" xfId="4325"/>
    <cellStyle name="Normal 3 2 4 3 3 3 2" xfId="26492"/>
    <cellStyle name="Normal 3 2 4 3 3 4" xfId="21998"/>
    <cellStyle name="Normal 3 2 4 3 3 4 2" xfId="38210"/>
    <cellStyle name="Normal 3 2 4 3 3 5" xfId="23496"/>
    <cellStyle name="Normal 3 2 4 3 4" xfId="1678"/>
    <cellStyle name="Normal 3 2 4 3 4 2" xfId="3177"/>
    <cellStyle name="Normal 3 2 4 3 4 2 2" xfId="25345"/>
    <cellStyle name="Normal 3 2 4 3 4 3" xfId="4676"/>
    <cellStyle name="Normal 3 2 4 3 4 3 2" xfId="26843"/>
    <cellStyle name="Normal 3 2 4 3 4 4" xfId="22349"/>
    <cellStyle name="Normal 3 2 4 3 4 4 2" xfId="38561"/>
    <cellStyle name="Normal 3 2 4 3 4 5" xfId="23847"/>
    <cellStyle name="Normal 3 2 4 3 5" xfId="2124"/>
    <cellStyle name="Normal 3 2 4 3 5 2" xfId="24292"/>
    <cellStyle name="Normal 3 2 4 3 6" xfId="3623"/>
    <cellStyle name="Normal 3 2 4 3 6 2" xfId="25790"/>
    <cellStyle name="Normal 3 2 4 3 7" xfId="21296"/>
    <cellStyle name="Normal 3 2 4 3 7 2" xfId="37508"/>
    <cellStyle name="Normal 3 2 4 3 8" xfId="22794"/>
    <cellStyle name="Normal 3 2 4 3 9" xfId="38891"/>
    <cellStyle name="Normal 3 2 4 4" xfId="742"/>
    <cellStyle name="Normal 3 2 4 4 2" xfId="2241"/>
    <cellStyle name="Normal 3 2 4 4 2 2" xfId="24409"/>
    <cellStyle name="Normal 3 2 4 4 3" xfId="3740"/>
    <cellStyle name="Normal 3 2 4 4 3 2" xfId="25907"/>
    <cellStyle name="Normal 3 2 4 4 4" xfId="21413"/>
    <cellStyle name="Normal 3 2 4 4 4 2" xfId="37625"/>
    <cellStyle name="Normal 3 2 4 4 5" xfId="22911"/>
    <cellStyle name="Normal 3 2 4 4 6" xfId="38943"/>
    <cellStyle name="Normal 3 2 4 5" xfId="1093"/>
    <cellStyle name="Normal 3 2 4 5 2" xfId="2592"/>
    <cellStyle name="Normal 3 2 4 5 2 2" xfId="24760"/>
    <cellStyle name="Normal 3 2 4 5 3" xfId="4091"/>
    <cellStyle name="Normal 3 2 4 5 3 2" xfId="26258"/>
    <cellStyle name="Normal 3 2 4 5 4" xfId="21764"/>
    <cellStyle name="Normal 3 2 4 5 4 2" xfId="37976"/>
    <cellStyle name="Normal 3 2 4 5 5" xfId="23262"/>
    <cellStyle name="Normal 3 2 4 5 6" xfId="39069"/>
    <cellStyle name="Normal 3 2 4 6" xfId="1444"/>
    <cellStyle name="Normal 3 2 4 6 2" xfId="2943"/>
    <cellStyle name="Normal 3 2 4 6 2 2" xfId="25111"/>
    <cellStyle name="Normal 3 2 4 6 3" xfId="4442"/>
    <cellStyle name="Normal 3 2 4 6 3 2" xfId="26609"/>
    <cellStyle name="Normal 3 2 4 6 4" xfId="22115"/>
    <cellStyle name="Normal 3 2 4 6 4 2" xfId="38327"/>
    <cellStyle name="Normal 3 2 4 6 5" xfId="23613"/>
    <cellStyle name="Normal 3 2 4 6 6" xfId="39217"/>
    <cellStyle name="Normal 3 2 4 7" xfId="1890"/>
    <cellStyle name="Normal 3 2 4 7 2" xfId="24058"/>
    <cellStyle name="Normal 3 2 4 7 3" xfId="39366"/>
    <cellStyle name="Normal 3 2 4 8" xfId="3389"/>
    <cellStyle name="Normal 3 2 4 8 2" xfId="25556"/>
    <cellStyle name="Normal 3 2 4 9" xfId="21062"/>
    <cellStyle name="Normal 3 2 4 9 2" xfId="37274"/>
    <cellStyle name="Normal 3 2 5" xfId="494"/>
    <cellStyle name="Normal 3 2 5 2" xfId="847"/>
    <cellStyle name="Normal 3 2 5 2 2" xfId="2346"/>
    <cellStyle name="Normal 3 2 5 2 2 2" xfId="24514"/>
    <cellStyle name="Normal 3 2 5 2 3" xfId="3845"/>
    <cellStyle name="Normal 3 2 5 2 3 2" xfId="26012"/>
    <cellStyle name="Normal 3 2 5 2 4" xfId="21518"/>
    <cellStyle name="Normal 3 2 5 2 4 2" xfId="37730"/>
    <cellStyle name="Normal 3 2 5 2 5" xfId="23016"/>
    <cellStyle name="Normal 3 2 5 2 6" xfId="38858"/>
    <cellStyle name="Normal 3 2 5 3" xfId="1198"/>
    <cellStyle name="Normal 3 2 5 3 2" xfId="2697"/>
    <cellStyle name="Normal 3 2 5 3 2 2" xfId="24865"/>
    <cellStyle name="Normal 3 2 5 3 3" xfId="4196"/>
    <cellStyle name="Normal 3 2 5 3 3 2" xfId="26363"/>
    <cellStyle name="Normal 3 2 5 3 4" xfId="21869"/>
    <cellStyle name="Normal 3 2 5 3 4 2" xfId="38081"/>
    <cellStyle name="Normal 3 2 5 3 5" xfId="23367"/>
    <cellStyle name="Normal 3 2 5 3 6" xfId="38898"/>
    <cellStyle name="Normal 3 2 5 4" xfId="1549"/>
    <cellStyle name="Normal 3 2 5 4 2" xfId="3048"/>
    <cellStyle name="Normal 3 2 5 4 2 2" xfId="25216"/>
    <cellStyle name="Normal 3 2 5 4 3" xfId="4547"/>
    <cellStyle name="Normal 3 2 5 4 3 2" xfId="26714"/>
    <cellStyle name="Normal 3 2 5 4 4" xfId="22220"/>
    <cellStyle name="Normal 3 2 5 4 4 2" xfId="38432"/>
    <cellStyle name="Normal 3 2 5 4 5" xfId="23718"/>
    <cellStyle name="Normal 3 2 5 4 6" xfId="39489"/>
    <cellStyle name="Normal 3 2 5 5" xfId="1995"/>
    <cellStyle name="Normal 3 2 5 5 2" xfId="24163"/>
    <cellStyle name="Normal 3 2 5 6" xfId="3494"/>
    <cellStyle name="Normal 3 2 5 6 2" xfId="25661"/>
    <cellStyle name="Normal 3 2 5 7" xfId="21167"/>
    <cellStyle name="Normal 3 2 5 7 2" xfId="37379"/>
    <cellStyle name="Normal 3 2 5 8" xfId="22665"/>
    <cellStyle name="Normal 3 2 5 9" xfId="38737"/>
    <cellStyle name="Normal 3 2 6" xfId="612"/>
    <cellStyle name="Normal 3 2 6 2" xfId="964"/>
    <cellStyle name="Normal 3 2 6 2 2" xfId="2463"/>
    <cellStyle name="Normal 3 2 6 2 2 2" xfId="24631"/>
    <cellStyle name="Normal 3 2 6 2 3" xfId="3962"/>
    <cellStyle name="Normal 3 2 6 2 3 2" xfId="26129"/>
    <cellStyle name="Normal 3 2 6 2 4" xfId="21635"/>
    <cellStyle name="Normal 3 2 6 2 4 2" xfId="37847"/>
    <cellStyle name="Normal 3 2 6 2 5" xfId="23133"/>
    <cellStyle name="Normal 3 2 6 3" xfId="1315"/>
    <cellStyle name="Normal 3 2 6 3 2" xfId="2814"/>
    <cellStyle name="Normal 3 2 6 3 2 2" xfId="24982"/>
    <cellStyle name="Normal 3 2 6 3 3" xfId="4313"/>
    <cellStyle name="Normal 3 2 6 3 3 2" xfId="26480"/>
    <cellStyle name="Normal 3 2 6 3 4" xfId="21986"/>
    <cellStyle name="Normal 3 2 6 3 4 2" xfId="38198"/>
    <cellStyle name="Normal 3 2 6 3 5" xfId="23484"/>
    <cellStyle name="Normal 3 2 6 4" xfId="1666"/>
    <cellStyle name="Normal 3 2 6 4 2" xfId="3165"/>
    <cellStyle name="Normal 3 2 6 4 2 2" xfId="25333"/>
    <cellStyle name="Normal 3 2 6 4 3" xfId="4664"/>
    <cellStyle name="Normal 3 2 6 4 3 2" xfId="26831"/>
    <cellStyle name="Normal 3 2 6 4 4" xfId="22337"/>
    <cellStyle name="Normal 3 2 6 4 4 2" xfId="38549"/>
    <cellStyle name="Normal 3 2 6 4 5" xfId="23835"/>
    <cellStyle name="Normal 3 2 6 5" xfId="2112"/>
    <cellStyle name="Normal 3 2 6 5 2" xfId="24280"/>
    <cellStyle name="Normal 3 2 6 6" xfId="3611"/>
    <cellStyle name="Normal 3 2 6 6 2" xfId="25778"/>
    <cellStyle name="Normal 3 2 6 7" xfId="21284"/>
    <cellStyle name="Normal 3 2 6 7 2" xfId="37496"/>
    <cellStyle name="Normal 3 2 6 8" xfId="22782"/>
    <cellStyle name="Normal 3 2 6 9" xfId="38825"/>
    <cellStyle name="Normal 3 2 7" xfId="343"/>
    <cellStyle name="Normal 3 2 7 2" xfId="1878"/>
    <cellStyle name="Normal 3 2 7 2 2" xfId="24046"/>
    <cellStyle name="Normal 3 2 7 3" xfId="3377"/>
    <cellStyle name="Normal 3 2 7 3 2" xfId="25544"/>
    <cellStyle name="Normal 3 2 7 4" xfId="21050"/>
    <cellStyle name="Normal 3 2 7 4 2" xfId="37262"/>
    <cellStyle name="Normal 3 2 7 5" xfId="22548"/>
    <cellStyle name="Normal 3 2 7 6" xfId="38865"/>
    <cellStyle name="Normal 3 2 8" xfId="730"/>
    <cellStyle name="Normal 3 2 8 2" xfId="2229"/>
    <cellStyle name="Normal 3 2 8 2 2" xfId="24397"/>
    <cellStyle name="Normal 3 2 8 3" xfId="3728"/>
    <cellStyle name="Normal 3 2 8 3 2" xfId="25895"/>
    <cellStyle name="Normal 3 2 8 4" xfId="21401"/>
    <cellStyle name="Normal 3 2 8 4 2" xfId="37613"/>
    <cellStyle name="Normal 3 2 8 5" xfId="22899"/>
    <cellStyle name="Normal 3 2 8 6" xfId="38917"/>
    <cellStyle name="Normal 3 2 9" xfId="1081"/>
    <cellStyle name="Normal 3 2 9 2" xfId="2580"/>
    <cellStyle name="Normal 3 2 9 2 2" xfId="24748"/>
    <cellStyle name="Normal 3 2 9 3" xfId="4079"/>
    <cellStyle name="Normal 3 2 9 3 2" xfId="26246"/>
    <cellStyle name="Normal 3 2 9 4" xfId="21752"/>
    <cellStyle name="Normal 3 2 9 4 2" xfId="37964"/>
    <cellStyle name="Normal 3 2 9 5" xfId="23250"/>
    <cellStyle name="Normal 3 2 9 6" xfId="39043"/>
    <cellStyle name="Normal 3 20" xfId="22491"/>
    <cellStyle name="Normal 3 21" xfId="39548"/>
    <cellStyle name="Normal 3 22" xfId="282"/>
    <cellStyle name="Normal 3 3" xfId="196"/>
    <cellStyle name="Normal 3 3 10" xfId="39342"/>
    <cellStyle name="Normal 3 3 11" xfId="38715"/>
    <cellStyle name="Normal 3 3 12" xfId="285"/>
    <cellStyle name="Normal 3 3 2" xfId="38723"/>
    <cellStyle name="Normal 3 3 2 2" xfId="38759"/>
    <cellStyle name="Normal 3 3 2 2 2" xfId="38847"/>
    <cellStyle name="Normal 3 3 2 2 3" xfId="38887"/>
    <cellStyle name="Normal 3 3 2 2 4" xfId="38939"/>
    <cellStyle name="Normal 3 3 2 2 5" xfId="39065"/>
    <cellStyle name="Normal 3 3 2 2 6" xfId="39213"/>
    <cellStyle name="Normal 3 3 2 2 7" xfId="39362"/>
    <cellStyle name="Normal 3 3 2 3" xfId="38745"/>
    <cellStyle name="Normal 3 3 2 4" xfId="38833"/>
    <cellStyle name="Normal 3 3 2 5" xfId="38873"/>
    <cellStyle name="Normal 3 3 2 6" xfId="38925"/>
    <cellStyle name="Normal 3 3 2 7" xfId="39051"/>
    <cellStyle name="Normal 3 3 2 8" xfId="39199"/>
    <cellStyle name="Normal 3 3 2 9" xfId="39348"/>
    <cellStyle name="Normal 3 3 3" xfId="38732"/>
    <cellStyle name="Normal 3 3 3 2" xfId="38753"/>
    <cellStyle name="Normal 3 3 3 3" xfId="38841"/>
    <cellStyle name="Normal 3 3 3 4" xfId="38881"/>
    <cellStyle name="Normal 3 3 3 5" xfId="38933"/>
    <cellStyle name="Normal 3 3 3 6" xfId="39059"/>
    <cellStyle name="Normal 3 3 3 7" xfId="39207"/>
    <cellStyle name="Normal 3 3 3 8" xfId="39356"/>
    <cellStyle name="Normal 3 3 4" xfId="38739"/>
    <cellStyle name="Normal 3 3 4 2" xfId="38853"/>
    <cellStyle name="Normal 3 3 4 3" xfId="38893"/>
    <cellStyle name="Normal 3 3 4 4" xfId="38945"/>
    <cellStyle name="Normal 3 3 4 5" xfId="39071"/>
    <cellStyle name="Normal 3 3 4 6" xfId="39219"/>
    <cellStyle name="Normal 3 3 4 7" xfId="39368"/>
    <cellStyle name="Normal 3 3 5" xfId="38827"/>
    <cellStyle name="Normal 3 3 5 2" xfId="39493"/>
    <cellStyle name="Normal 3 3 6" xfId="38867"/>
    <cellStyle name="Normal 3 3 7" xfId="38919"/>
    <cellStyle name="Normal 3 3 8" xfId="39045"/>
    <cellStyle name="Normal 3 3 9" xfId="39193"/>
    <cellStyle name="Normal 3 4" xfId="197"/>
    <cellStyle name="Normal 3 4 10" xfId="3324"/>
    <cellStyle name="Normal 3 4 10 2" xfId="25491"/>
    <cellStyle name="Normal 3 4 11" xfId="20997"/>
    <cellStyle name="Normal 3 4 11 2" xfId="37209"/>
    <cellStyle name="Normal 3 4 12" xfId="22495"/>
    <cellStyle name="Normal 3 4 13" xfId="38719"/>
    <cellStyle name="Normal 3 4 14" xfId="288"/>
    <cellStyle name="Normal 3 4 2" xfId="497"/>
    <cellStyle name="Normal 3 4 2 2" xfId="850"/>
    <cellStyle name="Normal 3 4 2 2 2" xfId="2349"/>
    <cellStyle name="Normal 3 4 2 2 2 2" xfId="24517"/>
    <cellStyle name="Normal 3 4 2 2 3" xfId="3848"/>
    <cellStyle name="Normal 3 4 2 2 3 2" xfId="26015"/>
    <cellStyle name="Normal 3 4 2 2 4" xfId="21521"/>
    <cellStyle name="Normal 3 4 2 2 4 2" xfId="37733"/>
    <cellStyle name="Normal 3 4 2 2 5" xfId="23019"/>
    <cellStyle name="Normal 3 4 2 2 6" xfId="38843"/>
    <cellStyle name="Normal 3 4 2 3" xfId="1201"/>
    <cellStyle name="Normal 3 4 2 3 2" xfId="2700"/>
    <cellStyle name="Normal 3 4 2 3 2 2" xfId="24868"/>
    <cellStyle name="Normal 3 4 2 3 3" xfId="4199"/>
    <cellStyle name="Normal 3 4 2 3 3 2" xfId="26366"/>
    <cellStyle name="Normal 3 4 2 3 4" xfId="21872"/>
    <cellStyle name="Normal 3 4 2 3 4 2" xfId="38084"/>
    <cellStyle name="Normal 3 4 2 3 5" xfId="23370"/>
    <cellStyle name="Normal 3 4 2 3 6" xfId="38883"/>
    <cellStyle name="Normal 3 4 2 4" xfId="1552"/>
    <cellStyle name="Normal 3 4 2 4 2" xfId="3051"/>
    <cellStyle name="Normal 3 4 2 4 2 2" xfId="25219"/>
    <cellStyle name="Normal 3 4 2 4 3" xfId="4550"/>
    <cellStyle name="Normal 3 4 2 4 3 2" xfId="26717"/>
    <cellStyle name="Normal 3 4 2 4 4" xfId="22223"/>
    <cellStyle name="Normal 3 4 2 4 4 2" xfId="38435"/>
    <cellStyle name="Normal 3 4 2 4 5" xfId="23721"/>
    <cellStyle name="Normal 3 4 2 4 6" xfId="38935"/>
    <cellStyle name="Normal 3 4 2 5" xfId="1998"/>
    <cellStyle name="Normal 3 4 2 5 2" xfId="24166"/>
    <cellStyle name="Normal 3 4 2 5 3" xfId="39061"/>
    <cellStyle name="Normal 3 4 2 6" xfId="3497"/>
    <cellStyle name="Normal 3 4 2 6 2" xfId="25664"/>
    <cellStyle name="Normal 3 4 2 6 3" xfId="39209"/>
    <cellStyle name="Normal 3 4 2 7" xfId="21170"/>
    <cellStyle name="Normal 3 4 2 7 2" xfId="37382"/>
    <cellStyle name="Normal 3 4 2 7 3" xfId="39358"/>
    <cellStyle name="Normal 3 4 2 8" xfId="22668"/>
    <cellStyle name="Normal 3 4 2 9" xfId="38755"/>
    <cellStyle name="Normal 3 4 3" xfId="615"/>
    <cellStyle name="Normal 3 4 3 2" xfId="967"/>
    <cellStyle name="Normal 3 4 3 2 2" xfId="2466"/>
    <cellStyle name="Normal 3 4 3 2 2 2" xfId="24634"/>
    <cellStyle name="Normal 3 4 3 2 3" xfId="3965"/>
    <cellStyle name="Normal 3 4 3 2 3 2" xfId="26132"/>
    <cellStyle name="Normal 3 4 3 2 4" xfId="21638"/>
    <cellStyle name="Normal 3 4 3 2 4 2" xfId="37850"/>
    <cellStyle name="Normal 3 4 3 2 5" xfId="23136"/>
    <cellStyle name="Normal 3 4 3 3" xfId="1318"/>
    <cellStyle name="Normal 3 4 3 3 2" xfId="2817"/>
    <cellStyle name="Normal 3 4 3 3 2 2" xfId="24985"/>
    <cellStyle name="Normal 3 4 3 3 3" xfId="4316"/>
    <cellStyle name="Normal 3 4 3 3 3 2" xfId="26483"/>
    <cellStyle name="Normal 3 4 3 3 4" xfId="21989"/>
    <cellStyle name="Normal 3 4 3 3 4 2" xfId="38201"/>
    <cellStyle name="Normal 3 4 3 3 5" xfId="23487"/>
    <cellStyle name="Normal 3 4 3 4" xfId="1669"/>
    <cellStyle name="Normal 3 4 3 4 2" xfId="3168"/>
    <cellStyle name="Normal 3 4 3 4 2 2" xfId="25336"/>
    <cellStyle name="Normal 3 4 3 4 3" xfId="4667"/>
    <cellStyle name="Normal 3 4 3 4 3 2" xfId="26834"/>
    <cellStyle name="Normal 3 4 3 4 4" xfId="22340"/>
    <cellStyle name="Normal 3 4 3 4 4 2" xfId="38552"/>
    <cellStyle name="Normal 3 4 3 4 5" xfId="23838"/>
    <cellStyle name="Normal 3 4 3 5" xfId="2115"/>
    <cellStyle name="Normal 3 4 3 5 2" xfId="24283"/>
    <cellStyle name="Normal 3 4 3 6" xfId="3614"/>
    <cellStyle name="Normal 3 4 3 6 2" xfId="25781"/>
    <cellStyle name="Normal 3 4 3 7" xfId="21287"/>
    <cellStyle name="Normal 3 4 3 7 2" xfId="37499"/>
    <cellStyle name="Normal 3 4 3 8" xfId="22785"/>
    <cellStyle name="Normal 3 4 3 9" xfId="38741"/>
    <cellStyle name="Normal 3 4 4" xfId="346"/>
    <cellStyle name="Normal 3 4 4 2" xfId="1881"/>
    <cellStyle name="Normal 3 4 4 2 2" xfId="24049"/>
    <cellStyle name="Normal 3 4 4 3" xfId="3380"/>
    <cellStyle name="Normal 3 4 4 3 2" xfId="25547"/>
    <cellStyle name="Normal 3 4 4 4" xfId="21053"/>
    <cellStyle name="Normal 3 4 4 4 2" xfId="37265"/>
    <cellStyle name="Normal 3 4 4 5" xfId="22551"/>
    <cellStyle name="Normal 3 4 4 6" xfId="38829"/>
    <cellStyle name="Normal 3 4 5" xfId="733"/>
    <cellStyle name="Normal 3 4 5 2" xfId="2232"/>
    <cellStyle name="Normal 3 4 5 2 2" xfId="24400"/>
    <cellStyle name="Normal 3 4 5 3" xfId="3731"/>
    <cellStyle name="Normal 3 4 5 3 2" xfId="25898"/>
    <cellStyle name="Normal 3 4 5 4" xfId="21404"/>
    <cellStyle name="Normal 3 4 5 4 2" xfId="37616"/>
    <cellStyle name="Normal 3 4 5 5" xfId="22902"/>
    <cellStyle name="Normal 3 4 5 6" xfId="38869"/>
    <cellStyle name="Normal 3 4 6" xfId="1084"/>
    <cellStyle name="Normal 3 4 6 2" xfId="2583"/>
    <cellStyle name="Normal 3 4 6 2 2" xfId="24751"/>
    <cellStyle name="Normal 3 4 6 3" xfId="4082"/>
    <cellStyle name="Normal 3 4 6 3 2" xfId="26249"/>
    <cellStyle name="Normal 3 4 6 4" xfId="21755"/>
    <cellStyle name="Normal 3 4 6 4 2" xfId="37967"/>
    <cellStyle name="Normal 3 4 6 5" xfId="23253"/>
    <cellStyle name="Normal 3 4 6 6" xfId="38921"/>
    <cellStyle name="Normal 3 4 7" xfId="1435"/>
    <cellStyle name="Normal 3 4 7 2" xfId="2934"/>
    <cellStyle name="Normal 3 4 7 2 2" xfId="25102"/>
    <cellStyle name="Normal 3 4 7 3" xfId="4433"/>
    <cellStyle name="Normal 3 4 7 3 2" xfId="26600"/>
    <cellStyle name="Normal 3 4 7 4" xfId="22106"/>
    <cellStyle name="Normal 3 4 7 4 2" xfId="38318"/>
    <cellStyle name="Normal 3 4 7 5" xfId="23604"/>
    <cellStyle name="Normal 3 4 7 6" xfId="39047"/>
    <cellStyle name="Normal 3 4 8" xfId="317"/>
    <cellStyle name="Normal 3 4 8 2" xfId="1853"/>
    <cellStyle name="Normal 3 4 8 2 2" xfId="24021"/>
    <cellStyle name="Normal 3 4 8 3" xfId="3352"/>
    <cellStyle name="Normal 3 4 8 3 2" xfId="25519"/>
    <cellStyle name="Normal 3 4 8 4" xfId="21025"/>
    <cellStyle name="Normal 3 4 8 4 2" xfId="37237"/>
    <cellStyle name="Normal 3 4 8 5" xfId="22523"/>
    <cellStyle name="Normal 3 4 8 6" xfId="39195"/>
    <cellStyle name="Normal 3 4 9" xfId="1825"/>
    <cellStyle name="Normal 3 4 9 2" xfId="23993"/>
    <cellStyle name="Normal 3 4 9 3" xfId="39344"/>
    <cellStyle name="Normal 3 5" xfId="292"/>
    <cellStyle name="Normal 3 5 10" xfId="3327"/>
    <cellStyle name="Normal 3 5 10 2" xfId="25494"/>
    <cellStyle name="Normal 3 5 11" xfId="21000"/>
    <cellStyle name="Normal 3 5 11 2" xfId="37212"/>
    <cellStyle name="Normal 3 5 12" xfId="22498"/>
    <cellStyle name="Normal 3 5 13" xfId="38711"/>
    <cellStyle name="Normal 3 5 2" xfId="501"/>
    <cellStyle name="Normal 3 5 2 2" xfId="854"/>
    <cellStyle name="Normal 3 5 2 2 2" xfId="2353"/>
    <cellStyle name="Normal 3 5 2 2 2 2" xfId="24521"/>
    <cellStyle name="Normal 3 5 2 2 3" xfId="3852"/>
    <cellStyle name="Normal 3 5 2 2 3 2" xfId="26019"/>
    <cellStyle name="Normal 3 5 2 2 4" xfId="21525"/>
    <cellStyle name="Normal 3 5 2 2 4 2" xfId="37737"/>
    <cellStyle name="Normal 3 5 2 2 5" xfId="23023"/>
    <cellStyle name="Normal 3 5 2 3" xfId="1205"/>
    <cellStyle name="Normal 3 5 2 3 2" xfId="2704"/>
    <cellStyle name="Normal 3 5 2 3 2 2" xfId="24872"/>
    <cellStyle name="Normal 3 5 2 3 3" xfId="4203"/>
    <cellStyle name="Normal 3 5 2 3 3 2" xfId="26370"/>
    <cellStyle name="Normal 3 5 2 3 4" xfId="21876"/>
    <cellStyle name="Normal 3 5 2 3 4 2" xfId="38088"/>
    <cellStyle name="Normal 3 5 2 3 5" xfId="23374"/>
    <cellStyle name="Normal 3 5 2 4" xfId="1556"/>
    <cellStyle name="Normal 3 5 2 4 2" xfId="3055"/>
    <cellStyle name="Normal 3 5 2 4 2 2" xfId="25223"/>
    <cellStyle name="Normal 3 5 2 4 3" xfId="4554"/>
    <cellStyle name="Normal 3 5 2 4 3 2" xfId="26721"/>
    <cellStyle name="Normal 3 5 2 4 4" xfId="22227"/>
    <cellStyle name="Normal 3 5 2 4 4 2" xfId="38439"/>
    <cellStyle name="Normal 3 5 2 4 5" xfId="23725"/>
    <cellStyle name="Normal 3 5 2 5" xfId="2002"/>
    <cellStyle name="Normal 3 5 2 5 2" xfId="24170"/>
    <cellStyle name="Normal 3 5 2 6" xfId="3501"/>
    <cellStyle name="Normal 3 5 2 6 2" xfId="25668"/>
    <cellStyle name="Normal 3 5 2 7" xfId="21174"/>
    <cellStyle name="Normal 3 5 2 7 2" xfId="37386"/>
    <cellStyle name="Normal 3 5 2 8" xfId="22672"/>
    <cellStyle name="Normal 3 5 2 9" xfId="38747"/>
    <cellStyle name="Normal 3 5 3" xfId="619"/>
    <cellStyle name="Normal 3 5 3 2" xfId="971"/>
    <cellStyle name="Normal 3 5 3 2 2" xfId="2470"/>
    <cellStyle name="Normal 3 5 3 2 2 2" xfId="24638"/>
    <cellStyle name="Normal 3 5 3 2 3" xfId="3969"/>
    <cellStyle name="Normal 3 5 3 2 3 2" xfId="26136"/>
    <cellStyle name="Normal 3 5 3 2 4" xfId="21642"/>
    <cellStyle name="Normal 3 5 3 2 4 2" xfId="37854"/>
    <cellStyle name="Normal 3 5 3 2 5" xfId="23140"/>
    <cellStyle name="Normal 3 5 3 3" xfId="1322"/>
    <cellStyle name="Normal 3 5 3 3 2" xfId="2821"/>
    <cellStyle name="Normal 3 5 3 3 2 2" xfId="24989"/>
    <cellStyle name="Normal 3 5 3 3 3" xfId="4320"/>
    <cellStyle name="Normal 3 5 3 3 3 2" xfId="26487"/>
    <cellStyle name="Normal 3 5 3 3 4" xfId="21993"/>
    <cellStyle name="Normal 3 5 3 3 4 2" xfId="38205"/>
    <cellStyle name="Normal 3 5 3 3 5" xfId="23491"/>
    <cellStyle name="Normal 3 5 3 4" xfId="1673"/>
    <cellStyle name="Normal 3 5 3 4 2" xfId="3172"/>
    <cellStyle name="Normal 3 5 3 4 2 2" xfId="25340"/>
    <cellStyle name="Normal 3 5 3 4 3" xfId="4671"/>
    <cellStyle name="Normal 3 5 3 4 3 2" xfId="26838"/>
    <cellStyle name="Normal 3 5 3 4 4" xfId="22344"/>
    <cellStyle name="Normal 3 5 3 4 4 2" xfId="38556"/>
    <cellStyle name="Normal 3 5 3 4 5" xfId="23842"/>
    <cellStyle name="Normal 3 5 3 5" xfId="2119"/>
    <cellStyle name="Normal 3 5 3 5 2" xfId="24287"/>
    <cellStyle name="Normal 3 5 3 6" xfId="3618"/>
    <cellStyle name="Normal 3 5 3 6 2" xfId="25785"/>
    <cellStyle name="Normal 3 5 3 7" xfId="21291"/>
    <cellStyle name="Normal 3 5 3 7 2" xfId="37503"/>
    <cellStyle name="Normal 3 5 3 8" xfId="22789"/>
    <cellStyle name="Normal 3 5 3 9" xfId="38835"/>
    <cellStyle name="Normal 3 5 4" xfId="350"/>
    <cellStyle name="Normal 3 5 4 2" xfId="1885"/>
    <cellStyle name="Normal 3 5 4 2 2" xfId="24053"/>
    <cellStyle name="Normal 3 5 4 3" xfId="3384"/>
    <cellStyle name="Normal 3 5 4 3 2" xfId="25551"/>
    <cellStyle name="Normal 3 5 4 4" xfId="21057"/>
    <cellStyle name="Normal 3 5 4 4 2" xfId="37269"/>
    <cellStyle name="Normal 3 5 4 5" xfId="22555"/>
    <cellStyle name="Normal 3 5 4 6" xfId="38875"/>
    <cellStyle name="Normal 3 5 5" xfId="737"/>
    <cellStyle name="Normal 3 5 5 2" xfId="2236"/>
    <cellStyle name="Normal 3 5 5 2 2" xfId="24404"/>
    <cellStyle name="Normal 3 5 5 3" xfId="3735"/>
    <cellStyle name="Normal 3 5 5 3 2" xfId="25902"/>
    <cellStyle name="Normal 3 5 5 4" xfId="21408"/>
    <cellStyle name="Normal 3 5 5 4 2" xfId="37620"/>
    <cellStyle name="Normal 3 5 5 5" xfId="22906"/>
    <cellStyle name="Normal 3 5 5 6" xfId="38927"/>
    <cellStyle name="Normal 3 5 6" xfId="1088"/>
    <cellStyle name="Normal 3 5 6 2" xfId="2587"/>
    <cellStyle name="Normal 3 5 6 2 2" xfId="24755"/>
    <cellStyle name="Normal 3 5 6 3" xfId="4086"/>
    <cellStyle name="Normal 3 5 6 3 2" xfId="26253"/>
    <cellStyle name="Normal 3 5 6 4" xfId="21759"/>
    <cellStyle name="Normal 3 5 6 4 2" xfId="37971"/>
    <cellStyle name="Normal 3 5 6 5" xfId="23257"/>
    <cellStyle name="Normal 3 5 6 6" xfId="39053"/>
    <cellStyle name="Normal 3 5 7" xfId="1439"/>
    <cellStyle name="Normal 3 5 7 2" xfId="2938"/>
    <cellStyle name="Normal 3 5 7 2 2" xfId="25106"/>
    <cellStyle name="Normal 3 5 7 3" xfId="4437"/>
    <cellStyle name="Normal 3 5 7 3 2" xfId="26604"/>
    <cellStyle name="Normal 3 5 7 4" xfId="22110"/>
    <cellStyle name="Normal 3 5 7 4 2" xfId="38322"/>
    <cellStyle name="Normal 3 5 7 5" xfId="23608"/>
    <cellStyle name="Normal 3 5 7 6" xfId="39201"/>
    <cellStyle name="Normal 3 5 8" xfId="321"/>
    <cellStyle name="Normal 3 5 8 2" xfId="1856"/>
    <cellStyle name="Normal 3 5 8 2 2" xfId="24024"/>
    <cellStyle name="Normal 3 5 8 3" xfId="3355"/>
    <cellStyle name="Normal 3 5 8 3 2" xfId="25522"/>
    <cellStyle name="Normal 3 5 8 4" xfId="21028"/>
    <cellStyle name="Normal 3 5 8 4 2" xfId="37240"/>
    <cellStyle name="Normal 3 5 8 5" xfId="22526"/>
    <cellStyle name="Normal 3 5 8 6" xfId="39350"/>
    <cellStyle name="Normal 3 5 9" xfId="1828"/>
    <cellStyle name="Normal 3 5 9 2" xfId="23996"/>
    <cellStyle name="Normal 3 6" xfId="354"/>
    <cellStyle name="Normal 3 6 10" xfId="22559"/>
    <cellStyle name="Normal 3 6 11" xfId="38728"/>
    <cellStyle name="Normal 3 6 2" xfId="505"/>
    <cellStyle name="Normal 3 6 2 2" xfId="858"/>
    <cellStyle name="Normal 3 6 2 2 2" xfId="2357"/>
    <cellStyle name="Normal 3 6 2 2 2 2" xfId="24525"/>
    <cellStyle name="Normal 3 6 2 2 3" xfId="3856"/>
    <cellStyle name="Normal 3 6 2 2 3 2" xfId="26023"/>
    <cellStyle name="Normal 3 6 2 2 4" xfId="21529"/>
    <cellStyle name="Normal 3 6 2 2 4 2" xfId="37741"/>
    <cellStyle name="Normal 3 6 2 2 5" xfId="23027"/>
    <cellStyle name="Normal 3 6 2 3" xfId="1209"/>
    <cellStyle name="Normal 3 6 2 3 2" xfId="2708"/>
    <cellStyle name="Normal 3 6 2 3 2 2" xfId="24876"/>
    <cellStyle name="Normal 3 6 2 3 3" xfId="4207"/>
    <cellStyle name="Normal 3 6 2 3 3 2" xfId="26374"/>
    <cellStyle name="Normal 3 6 2 3 4" xfId="21880"/>
    <cellStyle name="Normal 3 6 2 3 4 2" xfId="38092"/>
    <cellStyle name="Normal 3 6 2 3 5" xfId="23378"/>
    <cellStyle name="Normal 3 6 2 4" xfId="1560"/>
    <cellStyle name="Normal 3 6 2 4 2" xfId="3059"/>
    <cellStyle name="Normal 3 6 2 4 2 2" xfId="25227"/>
    <cellStyle name="Normal 3 6 2 4 3" xfId="4558"/>
    <cellStyle name="Normal 3 6 2 4 3 2" xfId="26725"/>
    <cellStyle name="Normal 3 6 2 4 4" xfId="22231"/>
    <cellStyle name="Normal 3 6 2 4 4 2" xfId="38443"/>
    <cellStyle name="Normal 3 6 2 4 5" xfId="23729"/>
    <cellStyle name="Normal 3 6 2 5" xfId="2006"/>
    <cellStyle name="Normal 3 6 2 5 2" xfId="24174"/>
    <cellStyle name="Normal 3 6 2 6" xfId="3505"/>
    <cellStyle name="Normal 3 6 2 6 2" xfId="25672"/>
    <cellStyle name="Normal 3 6 2 7" xfId="21178"/>
    <cellStyle name="Normal 3 6 2 7 2" xfId="37390"/>
    <cellStyle name="Normal 3 6 2 8" xfId="22676"/>
    <cellStyle name="Normal 3 6 2 9" xfId="38749"/>
    <cellStyle name="Normal 3 6 3" xfId="623"/>
    <cellStyle name="Normal 3 6 3 2" xfId="975"/>
    <cellStyle name="Normal 3 6 3 2 2" xfId="2474"/>
    <cellStyle name="Normal 3 6 3 2 2 2" xfId="24642"/>
    <cellStyle name="Normal 3 6 3 2 3" xfId="3973"/>
    <cellStyle name="Normal 3 6 3 2 3 2" xfId="26140"/>
    <cellStyle name="Normal 3 6 3 2 4" xfId="21646"/>
    <cellStyle name="Normal 3 6 3 2 4 2" xfId="37858"/>
    <cellStyle name="Normal 3 6 3 2 5" xfId="23144"/>
    <cellStyle name="Normal 3 6 3 3" xfId="1326"/>
    <cellStyle name="Normal 3 6 3 3 2" xfId="2825"/>
    <cellStyle name="Normal 3 6 3 3 2 2" xfId="24993"/>
    <cellStyle name="Normal 3 6 3 3 3" xfId="4324"/>
    <cellStyle name="Normal 3 6 3 3 3 2" xfId="26491"/>
    <cellStyle name="Normal 3 6 3 3 4" xfId="21997"/>
    <cellStyle name="Normal 3 6 3 3 4 2" xfId="38209"/>
    <cellStyle name="Normal 3 6 3 3 5" xfId="23495"/>
    <cellStyle name="Normal 3 6 3 4" xfId="1677"/>
    <cellStyle name="Normal 3 6 3 4 2" xfId="3176"/>
    <cellStyle name="Normal 3 6 3 4 2 2" xfId="25344"/>
    <cellStyle name="Normal 3 6 3 4 3" xfId="4675"/>
    <cellStyle name="Normal 3 6 3 4 3 2" xfId="26842"/>
    <cellStyle name="Normal 3 6 3 4 4" xfId="22348"/>
    <cellStyle name="Normal 3 6 3 4 4 2" xfId="38560"/>
    <cellStyle name="Normal 3 6 3 4 5" xfId="23846"/>
    <cellStyle name="Normal 3 6 3 5" xfId="2123"/>
    <cellStyle name="Normal 3 6 3 5 2" xfId="24291"/>
    <cellStyle name="Normal 3 6 3 6" xfId="3622"/>
    <cellStyle name="Normal 3 6 3 6 2" xfId="25789"/>
    <cellStyle name="Normal 3 6 3 7" xfId="21295"/>
    <cellStyle name="Normal 3 6 3 7 2" xfId="37507"/>
    <cellStyle name="Normal 3 6 3 8" xfId="22793"/>
    <cellStyle name="Normal 3 6 3 9" xfId="38837"/>
    <cellStyle name="Normal 3 6 4" xfId="741"/>
    <cellStyle name="Normal 3 6 4 2" xfId="2240"/>
    <cellStyle name="Normal 3 6 4 2 2" xfId="24408"/>
    <cellStyle name="Normal 3 6 4 3" xfId="3739"/>
    <cellStyle name="Normal 3 6 4 3 2" xfId="25906"/>
    <cellStyle name="Normal 3 6 4 4" xfId="21412"/>
    <cellStyle name="Normal 3 6 4 4 2" xfId="37624"/>
    <cellStyle name="Normal 3 6 4 5" xfId="22910"/>
    <cellStyle name="Normal 3 6 4 6" xfId="38877"/>
    <cellStyle name="Normal 3 6 5" xfId="1092"/>
    <cellStyle name="Normal 3 6 5 2" xfId="2591"/>
    <cellStyle name="Normal 3 6 5 2 2" xfId="24759"/>
    <cellStyle name="Normal 3 6 5 3" xfId="4090"/>
    <cellStyle name="Normal 3 6 5 3 2" xfId="26257"/>
    <cellStyle name="Normal 3 6 5 4" xfId="21763"/>
    <cellStyle name="Normal 3 6 5 4 2" xfId="37975"/>
    <cellStyle name="Normal 3 6 5 5" xfId="23261"/>
    <cellStyle name="Normal 3 6 5 6" xfId="38929"/>
    <cellStyle name="Normal 3 6 6" xfId="1443"/>
    <cellStyle name="Normal 3 6 6 2" xfId="2942"/>
    <cellStyle name="Normal 3 6 6 2 2" xfId="25110"/>
    <cellStyle name="Normal 3 6 6 3" xfId="4441"/>
    <cellStyle name="Normal 3 6 6 3 2" xfId="26608"/>
    <cellStyle name="Normal 3 6 6 4" xfId="22114"/>
    <cellStyle name="Normal 3 6 6 4 2" xfId="38326"/>
    <cellStyle name="Normal 3 6 6 5" xfId="23612"/>
    <cellStyle name="Normal 3 6 6 6" xfId="39055"/>
    <cellStyle name="Normal 3 6 7" xfId="1889"/>
    <cellStyle name="Normal 3 6 7 2" xfId="24057"/>
    <cellStyle name="Normal 3 6 7 3" xfId="39203"/>
    <cellStyle name="Normal 3 6 8" xfId="3388"/>
    <cellStyle name="Normal 3 6 8 2" xfId="25555"/>
    <cellStyle name="Normal 3 6 8 3" xfId="39352"/>
    <cellStyle name="Normal 3 6 9" xfId="21061"/>
    <cellStyle name="Normal 3 6 9 2" xfId="37273"/>
    <cellStyle name="Normal 3 7" xfId="359"/>
    <cellStyle name="Normal 3 7 2" xfId="38849"/>
    <cellStyle name="Normal 3 7 3" xfId="38889"/>
    <cellStyle name="Normal 3 7 4" xfId="38941"/>
    <cellStyle name="Normal 3 7 5" xfId="39067"/>
    <cellStyle name="Normal 3 7 6" xfId="39215"/>
    <cellStyle name="Normal 3 7 7" xfId="39364"/>
    <cellStyle name="Normal 3 7 8" xfId="38735"/>
    <cellStyle name="Normal 3 8" xfId="493"/>
    <cellStyle name="Normal 3 8 2" xfId="846"/>
    <cellStyle name="Normal 3 8 2 2" xfId="2345"/>
    <cellStyle name="Normal 3 8 2 2 2" xfId="24513"/>
    <cellStyle name="Normal 3 8 2 3" xfId="3844"/>
    <cellStyle name="Normal 3 8 2 3 2" xfId="26011"/>
    <cellStyle name="Normal 3 8 2 4" xfId="21517"/>
    <cellStyle name="Normal 3 8 2 4 2" xfId="37729"/>
    <cellStyle name="Normal 3 8 2 5" xfId="23015"/>
    <cellStyle name="Normal 3 8 2 6" xfId="38854"/>
    <cellStyle name="Normal 3 8 3" xfId="1197"/>
    <cellStyle name="Normal 3 8 3 2" xfId="2696"/>
    <cellStyle name="Normal 3 8 3 2 2" xfId="24864"/>
    <cellStyle name="Normal 3 8 3 3" xfId="4195"/>
    <cellStyle name="Normal 3 8 3 3 2" xfId="26362"/>
    <cellStyle name="Normal 3 8 3 4" xfId="21868"/>
    <cellStyle name="Normal 3 8 3 4 2" xfId="38080"/>
    <cellStyle name="Normal 3 8 3 5" xfId="23366"/>
    <cellStyle name="Normal 3 8 3 6" xfId="38894"/>
    <cellStyle name="Normal 3 8 4" xfId="1548"/>
    <cellStyle name="Normal 3 8 4 2" xfId="3047"/>
    <cellStyle name="Normal 3 8 4 2 2" xfId="25215"/>
    <cellStyle name="Normal 3 8 4 3" xfId="4546"/>
    <cellStyle name="Normal 3 8 4 3 2" xfId="26713"/>
    <cellStyle name="Normal 3 8 4 4" xfId="22219"/>
    <cellStyle name="Normal 3 8 4 4 2" xfId="38431"/>
    <cellStyle name="Normal 3 8 4 5" xfId="23717"/>
    <cellStyle name="Normal 3 8 4 6" xfId="38946"/>
    <cellStyle name="Normal 3 8 5" xfId="1994"/>
    <cellStyle name="Normal 3 8 5 2" xfId="24162"/>
    <cellStyle name="Normal 3 8 5 3" xfId="39072"/>
    <cellStyle name="Normal 3 8 6" xfId="3493"/>
    <cellStyle name="Normal 3 8 6 2" xfId="25660"/>
    <cellStyle name="Normal 3 8 6 3" xfId="39220"/>
    <cellStyle name="Normal 3 8 7" xfId="21166"/>
    <cellStyle name="Normal 3 8 7 2" xfId="37378"/>
    <cellStyle name="Normal 3 8 7 3" xfId="39369"/>
    <cellStyle name="Normal 3 8 8" xfId="22664"/>
    <cellStyle name="Normal 3 8 9" xfId="38760"/>
    <cellStyle name="Normal 3 9" xfId="611"/>
    <cellStyle name="Normal 3 9 2" xfId="963"/>
    <cellStyle name="Normal 3 9 2 2" xfId="2462"/>
    <cellStyle name="Normal 3 9 2 2 2" xfId="24630"/>
    <cellStyle name="Normal 3 9 2 3" xfId="3961"/>
    <cellStyle name="Normal 3 9 2 3 2" xfId="26128"/>
    <cellStyle name="Normal 3 9 2 4" xfId="21634"/>
    <cellStyle name="Normal 3 9 2 4 2" xfId="37846"/>
    <cellStyle name="Normal 3 9 2 5" xfId="23132"/>
    <cellStyle name="Normal 3 9 2 6" xfId="38956"/>
    <cellStyle name="Normal 3 9 3" xfId="1314"/>
    <cellStyle name="Normal 3 9 3 2" xfId="2813"/>
    <cellStyle name="Normal 3 9 3 2 2" xfId="24981"/>
    <cellStyle name="Normal 3 9 3 3" xfId="4312"/>
    <cellStyle name="Normal 3 9 3 3 2" xfId="26479"/>
    <cellStyle name="Normal 3 9 3 4" xfId="21985"/>
    <cellStyle name="Normal 3 9 3 4 2" xfId="38197"/>
    <cellStyle name="Normal 3 9 3 5" xfId="23483"/>
    <cellStyle name="Normal 3 9 4" xfId="1665"/>
    <cellStyle name="Normal 3 9 4 2" xfId="3164"/>
    <cellStyle name="Normal 3 9 4 2 2" xfId="25332"/>
    <cellStyle name="Normal 3 9 4 3" xfId="4663"/>
    <cellStyle name="Normal 3 9 4 3 2" xfId="26830"/>
    <cellStyle name="Normal 3 9 4 4" xfId="22336"/>
    <cellStyle name="Normal 3 9 4 4 2" xfId="38548"/>
    <cellStyle name="Normal 3 9 4 5" xfId="23834"/>
    <cellStyle name="Normal 3 9 5" xfId="2111"/>
    <cellStyle name="Normal 3 9 5 2" xfId="24279"/>
    <cellStyle name="Normal 3 9 6" xfId="3610"/>
    <cellStyle name="Normal 3 9 6 2" xfId="25777"/>
    <cellStyle name="Normal 3 9 7" xfId="21283"/>
    <cellStyle name="Normal 3 9 7 2" xfId="37495"/>
    <cellStyle name="Normal 3 9 8" xfId="22781"/>
    <cellStyle name="Normal 3 9 9" xfId="38823"/>
    <cellStyle name="Normal 3_Cash Flows w.o FAS 95" xfId="198"/>
    <cellStyle name="Normal 30" xfId="1780"/>
    <cellStyle name="Normal 30 2" xfId="3279"/>
    <cellStyle name="Normal 30 3" xfId="39585"/>
    <cellStyle name="Normal 31" xfId="4853"/>
    <cellStyle name="Normal 31 2" xfId="39586"/>
    <cellStyle name="Normal 32" xfId="38704"/>
    <cellStyle name="Normal 32 2" xfId="39587"/>
    <cellStyle name="Normal 33" xfId="39500"/>
    <cellStyle name="Normal 33 2" xfId="39588"/>
    <cellStyle name="Normal 34" xfId="39589"/>
    <cellStyle name="Normal 35" xfId="39590"/>
    <cellStyle name="Normal 36" xfId="39591"/>
    <cellStyle name="Normal 37" xfId="39592"/>
    <cellStyle name="Normal 38" xfId="39593"/>
    <cellStyle name="Normal 39" xfId="39594"/>
    <cellStyle name="Normal 4" xfId="199"/>
    <cellStyle name="Normal 4 10" xfId="478"/>
    <cellStyle name="Normal 4 10 10" xfId="21151"/>
    <cellStyle name="Normal 4 10 10 2" xfId="37363"/>
    <cellStyle name="Normal 4 10 11" xfId="22649"/>
    <cellStyle name="Normal 4 10 2" xfId="596"/>
    <cellStyle name="Normal 4 10 2 2" xfId="948"/>
    <cellStyle name="Normal 4 10 2 2 2" xfId="2447"/>
    <cellStyle name="Normal 4 10 2 2 2 2" xfId="24615"/>
    <cellStyle name="Normal 4 10 2 2 3" xfId="3946"/>
    <cellStyle name="Normal 4 10 2 2 3 2" xfId="26113"/>
    <cellStyle name="Normal 4 10 2 2 4" xfId="21619"/>
    <cellStyle name="Normal 4 10 2 2 4 2" xfId="37831"/>
    <cellStyle name="Normal 4 10 2 2 5" xfId="23117"/>
    <cellStyle name="Normal 4 10 2 3" xfId="1299"/>
    <cellStyle name="Normal 4 10 2 3 2" xfId="2798"/>
    <cellStyle name="Normal 4 10 2 3 2 2" xfId="24966"/>
    <cellStyle name="Normal 4 10 2 3 3" xfId="4297"/>
    <cellStyle name="Normal 4 10 2 3 3 2" xfId="26464"/>
    <cellStyle name="Normal 4 10 2 3 4" xfId="21970"/>
    <cellStyle name="Normal 4 10 2 3 4 2" xfId="38182"/>
    <cellStyle name="Normal 4 10 2 3 5" xfId="23468"/>
    <cellStyle name="Normal 4 10 2 4" xfId="1650"/>
    <cellStyle name="Normal 4 10 2 4 2" xfId="3149"/>
    <cellStyle name="Normal 4 10 2 4 2 2" xfId="25317"/>
    <cellStyle name="Normal 4 10 2 4 3" xfId="4648"/>
    <cellStyle name="Normal 4 10 2 4 3 2" xfId="26815"/>
    <cellStyle name="Normal 4 10 2 4 4" xfId="22321"/>
    <cellStyle name="Normal 4 10 2 4 4 2" xfId="38533"/>
    <cellStyle name="Normal 4 10 2 4 5" xfId="23819"/>
    <cellStyle name="Normal 4 10 2 5" xfId="2096"/>
    <cellStyle name="Normal 4 10 2 5 2" xfId="24264"/>
    <cellStyle name="Normal 4 10 2 6" xfId="3595"/>
    <cellStyle name="Normal 4 10 2 6 2" xfId="25762"/>
    <cellStyle name="Normal 4 10 2 7" xfId="21268"/>
    <cellStyle name="Normal 4 10 2 7 2" xfId="37480"/>
    <cellStyle name="Normal 4 10 2 8" xfId="22766"/>
    <cellStyle name="Normal 4 10 3" xfId="714"/>
    <cellStyle name="Normal 4 10 3 2" xfId="1065"/>
    <cellStyle name="Normal 4 10 3 2 2" xfId="2564"/>
    <cellStyle name="Normal 4 10 3 2 2 2" xfId="24732"/>
    <cellStyle name="Normal 4 10 3 2 3" xfId="4063"/>
    <cellStyle name="Normal 4 10 3 2 3 2" xfId="26230"/>
    <cellStyle name="Normal 4 10 3 2 4" xfId="21736"/>
    <cellStyle name="Normal 4 10 3 2 4 2" xfId="37948"/>
    <cellStyle name="Normal 4 10 3 2 5" xfId="23234"/>
    <cellStyle name="Normal 4 10 3 3" xfId="1416"/>
    <cellStyle name="Normal 4 10 3 3 2" xfId="2915"/>
    <cellStyle name="Normal 4 10 3 3 2 2" xfId="25083"/>
    <cellStyle name="Normal 4 10 3 3 3" xfId="4414"/>
    <cellStyle name="Normal 4 10 3 3 3 2" xfId="26581"/>
    <cellStyle name="Normal 4 10 3 3 4" xfId="22087"/>
    <cellStyle name="Normal 4 10 3 3 4 2" xfId="38299"/>
    <cellStyle name="Normal 4 10 3 3 5" xfId="23585"/>
    <cellStyle name="Normal 4 10 3 4" xfId="1767"/>
    <cellStyle name="Normal 4 10 3 4 2" xfId="3266"/>
    <cellStyle name="Normal 4 10 3 4 2 2" xfId="25434"/>
    <cellStyle name="Normal 4 10 3 4 3" xfId="4765"/>
    <cellStyle name="Normal 4 10 3 4 3 2" xfId="26932"/>
    <cellStyle name="Normal 4 10 3 4 4" xfId="22438"/>
    <cellStyle name="Normal 4 10 3 4 4 2" xfId="38650"/>
    <cellStyle name="Normal 4 10 3 4 5" xfId="23936"/>
    <cellStyle name="Normal 4 10 3 5" xfId="2213"/>
    <cellStyle name="Normal 4 10 3 5 2" xfId="24381"/>
    <cellStyle name="Normal 4 10 3 6" xfId="3712"/>
    <cellStyle name="Normal 4 10 3 6 2" xfId="25879"/>
    <cellStyle name="Normal 4 10 3 7" xfId="21385"/>
    <cellStyle name="Normal 4 10 3 7 2" xfId="37597"/>
    <cellStyle name="Normal 4 10 3 8" xfId="22883"/>
    <cellStyle name="Normal 4 10 4" xfId="831"/>
    <cellStyle name="Normal 4 10 4 2" xfId="2330"/>
    <cellStyle name="Normal 4 10 4 2 2" xfId="24498"/>
    <cellStyle name="Normal 4 10 4 3" xfId="3829"/>
    <cellStyle name="Normal 4 10 4 3 2" xfId="25996"/>
    <cellStyle name="Normal 4 10 4 4" xfId="21502"/>
    <cellStyle name="Normal 4 10 4 4 2" xfId="37714"/>
    <cellStyle name="Normal 4 10 4 5" xfId="23000"/>
    <cellStyle name="Normal 4 10 5" xfId="1182"/>
    <cellStyle name="Normal 4 10 5 2" xfId="2681"/>
    <cellStyle name="Normal 4 10 5 2 2" xfId="24849"/>
    <cellStyle name="Normal 4 10 5 3" xfId="4180"/>
    <cellStyle name="Normal 4 10 5 3 2" xfId="26347"/>
    <cellStyle name="Normal 4 10 5 4" xfId="21853"/>
    <cellStyle name="Normal 4 10 5 4 2" xfId="38065"/>
    <cellStyle name="Normal 4 10 5 5" xfId="23351"/>
    <cellStyle name="Normal 4 10 6" xfId="1533"/>
    <cellStyle name="Normal 4 10 6 2" xfId="3032"/>
    <cellStyle name="Normal 4 10 6 2 2" xfId="25200"/>
    <cellStyle name="Normal 4 10 6 3" xfId="4531"/>
    <cellStyle name="Normal 4 10 6 3 2" xfId="26698"/>
    <cellStyle name="Normal 4 10 6 4" xfId="22204"/>
    <cellStyle name="Normal 4 10 6 4 2" xfId="38416"/>
    <cellStyle name="Normal 4 10 6 5" xfId="23702"/>
    <cellStyle name="Normal 4 10 7" xfId="1979"/>
    <cellStyle name="Normal 4 10 7 2" xfId="24147"/>
    <cellStyle name="Normal 4 10 8" xfId="3478"/>
    <cellStyle name="Normal 4 10 8 2" xfId="25645"/>
    <cellStyle name="Normal 4 10 9" xfId="14295"/>
    <cellStyle name="Normal 4 10 9 2" xfId="30531"/>
    <cellStyle name="Normal 4 11" xfId="378"/>
    <cellStyle name="Normal 4 11 10" xfId="22562"/>
    <cellStyle name="Normal 4 11 2" xfId="509"/>
    <cellStyle name="Normal 4 11 2 2" xfId="861"/>
    <cellStyle name="Normal 4 11 2 2 2" xfId="2360"/>
    <cellStyle name="Normal 4 11 2 2 2 2" xfId="24528"/>
    <cellStyle name="Normal 4 11 2 2 3" xfId="3859"/>
    <cellStyle name="Normal 4 11 2 2 3 2" xfId="26026"/>
    <cellStyle name="Normal 4 11 2 2 4" xfId="21532"/>
    <cellStyle name="Normal 4 11 2 2 4 2" xfId="37744"/>
    <cellStyle name="Normal 4 11 2 2 5" xfId="23030"/>
    <cellStyle name="Normal 4 11 2 3" xfId="1212"/>
    <cellStyle name="Normal 4 11 2 3 2" xfId="2711"/>
    <cellStyle name="Normal 4 11 2 3 2 2" xfId="24879"/>
    <cellStyle name="Normal 4 11 2 3 3" xfId="4210"/>
    <cellStyle name="Normal 4 11 2 3 3 2" xfId="26377"/>
    <cellStyle name="Normal 4 11 2 3 4" xfId="21883"/>
    <cellStyle name="Normal 4 11 2 3 4 2" xfId="38095"/>
    <cellStyle name="Normal 4 11 2 3 5" xfId="23381"/>
    <cellStyle name="Normal 4 11 2 4" xfId="1563"/>
    <cellStyle name="Normal 4 11 2 4 2" xfId="3062"/>
    <cellStyle name="Normal 4 11 2 4 2 2" xfId="25230"/>
    <cellStyle name="Normal 4 11 2 4 3" xfId="4561"/>
    <cellStyle name="Normal 4 11 2 4 3 2" xfId="26728"/>
    <cellStyle name="Normal 4 11 2 4 4" xfId="22234"/>
    <cellStyle name="Normal 4 11 2 4 4 2" xfId="38446"/>
    <cellStyle name="Normal 4 11 2 4 5" xfId="23732"/>
    <cellStyle name="Normal 4 11 2 5" xfId="2009"/>
    <cellStyle name="Normal 4 11 2 5 2" xfId="24177"/>
    <cellStyle name="Normal 4 11 2 6" xfId="3508"/>
    <cellStyle name="Normal 4 11 2 6 2" xfId="25675"/>
    <cellStyle name="Normal 4 11 2 7" xfId="21181"/>
    <cellStyle name="Normal 4 11 2 7 2" xfId="37393"/>
    <cellStyle name="Normal 4 11 2 8" xfId="22679"/>
    <cellStyle name="Normal 4 11 3" xfId="627"/>
    <cellStyle name="Normal 4 11 3 2" xfId="978"/>
    <cellStyle name="Normal 4 11 3 2 2" xfId="2477"/>
    <cellStyle name="Normal 4 11 3 2 2 2" xfId="24645"/>
    <cellStyle name="Normal 4 11 3 2 3" xfId="3976"/>
    <cellStyle name="Normal 4 11 3 2 3 2" xfId="26143"/>
    <cellStyle name="Normal 4 11 3 2 4" xfId="21649"/>
    <cellStyle name="Normal 4 11 3 2 4 2" xfId="37861"/>
    <cellStyle name="Normal 4 11 3 2 5" xfId="23147"/>
    <cellStyle name="Normal 4 11 3 3" xfId="1329"/>
    <cellStyle name="Normal 4 11 3 3 2" xfId="2828"/>
    <cellStyle name="Normal 4 11 3 3 2 2" xfId="24996"/>
    <cellStyle name="Normal 4 11 3 3 3" xfId="4327"/>
    <cellStyle name="Normal 4 11 3 3 3 2" xfId="26494"/>
    <cellStyle name="Normal 4 11 3 3 4" xfId="22000"/>
    <cellStyle name="Normal 4 11 3 3 4 2" xfId="38212"/>
    <cellStyle name="Normal 4 11 3 3 5" xfId="23498"/>
    <cellStyle name="Normal 4 11 3 4" xfId="1680"/>
    <cellStyle name="Normal 4 11 3 4 2" xfId="3179"/>
    <cellStyle name="Normal 4 11 3 4 2 2" xfId="25347"/>
    <cellStyle name="Normal 4 11 3 4 3" xfId="4678"/>
    <cellStyle name="Normal 4 11 3 4 3 2" xfId="26845"/>
    <cellStyle name="Normal 4 11 3 4 4" xfId="22351"/>
    <cellStyle name="Normal 4 11 3 4 4 2" xfId="38563"/>
    <cellStyle name="Normal 4 11 3 4 5" xfId="23849"/>
    <cellStyle name="Normal 4 11 3 5" xfId="2126"/>
    <cellStyle name="Normal 4 11 3 5 2" xfId="24294"/>
    <cellStyle name="Normal 4 11 3 6" xfId="3625"/>
    <cellStyle name="Normal 4 11 3 6 2" xfId="25792"/>
    <cellStyle name="Normal 4 11 3 7" xfId="21298"/>
    <cellStyle name="Normal 4 11 3 7 2" xfId="37510"/>
    <cellStyle name="Normal 4 11 3 8" xfId="22796"/>
    <cellStyle name="Normal 4 11 4" xfId="744"/>
    <cellStyle name="Normal 4 11 4 2" xfId="2243"/>
    <cellStyle name="Normal 4 11 4 2 2" xfId="24411"/>
    <cellStyle name="Normal 4 11 4 3" xfId="3742"/>
    <cellStyle name="Normal 4 11 4 3 2" xfId="25909"/>
    <cellStyle name="Normal 4 11 4 4" xfId="21415"/>
    <cellStyle name="Normal 4 11 4 4 2" xfId="37627"/>
    <cellStyle name="Normal 4 11 4 5" xfId="22913"/>
    <cellStyle name="Normal 4 11 5" xfId="1095"/>
    <cellStyle name="Normal 4 11 5 2" xfId="2594"/>
    <cellStyle name="Normal 4 11 5 2 2" xfId="24762"/>
    <cellStyle name="Normal 4 11 5 3" xfId="4093"/>
    <cellStyle name="Normal 4 11 5 3 2" xfId="26260"/>
    <cellStyle name="Normal 4 11 5 4" xfId="21766"/>
    <cellStyle name="Normal 4 11 5 4 2" xfId="37978"/>
    <cellStyle name="Normal 4 11 5 5" xfId="23264"/>
    <cellStyle name="Normal 4 11 6" xfId="1446"/>
    <cellStyle name="Normal 4 11 6 2" xfId="2945"/>
    <cellStyle name="Normal 4 11 6 2 2" xfId="25113"/>
    <cellStyle name="Normal 4 11 6 3" xfId="4444"/>
    <cellStyle name="Normal 4 11 6 3 2" xfId="26611"/>
    <cellStyle name="Normal 4 11 6 4" xfId="22117"/>
    <cellStyle name="Normal 4 11 6 4 2" xfId="38329"/>
    <cellStyle name="Normal 4 11 6 5" xfId="23615"/>
    <cellStyle name="Normal 4 11 7" xfId="1892"/>
    <cellStyle name="Normal 4 11 7 2" xfId="24060"/>
    <cellStyle name="Normal 4 11 8" xfId="3391"/>
    <cellStyle name="Normal 4 11 8 2" xfId="25558"/>
    <cellStyle name="Normal 4 11 9" xfId="21064"/>
    <cellStyle name="Normal 4 11 9 2" xfId="37276"/>
    <cellStyle name="Normal 4 12" xfId="1783"/>
    <cellStyle name="Normal 4 12 2" xfId="3282"/>
    <cellStyle name="Normal 4 12 2 2" xfId="25449"/>
    <cellStyle name="Normal 4 12 3" xfId="4780"/>
    <cellStyle name="Normal 4 12 3 2" xfId="26947"/>
    <cellStyle name="Normal 4 12 4" xfId="22453"/>
    <cellStyle name="Normal 4 12 4 2" xfId="38665"/>
    <cellStyle name="Normal 4 12 5" xfId="23951"/>
    <cellStyle name="Normal 4 13" xfId="4858"/>
    <cellStyle name="Normal 4 14" xfId="39549"/>
    <cellStyle name="Normal 4 15" xfId="284"/>
    <cellStyle name="Normal 4 2" xfId="200"/>
    <cellStyle name="Normal 4 2 10" xfId="510"/>
    <cellStyle name="Normal 4 2 10 2" xfId="862"/>
    <cellStyle name="Normal 4 2 10 2 2" xfId="2361"/>
    <cellStyle name="Normal 4 2 10 2 2 2" xfId="24529"/>
    <cellStyle name="Normal 4 2 10 2 3" xfId="3860"/>
    <cellStyle name="Normal 4 2 10 2 3 2" xfId="26027"/>
    <cellStyle name="Normal 4 2 10 2 4" xfId="21533"/>
    <cellStyle name="Normal 4 2 10 2 4 2" xfId="37745"/>
    <cellStyle name="Normal 4 2 10 2 5" xfId="23031"/>
    <cellStyle name="Normal 4 2 10 3" xfId="1213"/>
    <cellStyle name="Normal 4 2 10 3 2" xfId="2712"/>
    <cellStyle name="Normal 4 2 10 3 2 2" xfId="24880"/>
    <cellStyle name="Normal 4 2 10 3 3" xfId="4211"/>
    <cellStyle name="Normal 4 2 10 3 3 2" xfId="26378"/>
    <cellStyle name="Normal 4 2 10 3 4" xfId="21884"/>
    <cellStyle name="Normal 4 2 10 3 4 2" xfId="38096"/>
    <cellStyle name="Normal 4 2 10 3 5" xfId="23382"/>
    <cellStyle name="Normal 4 2 10 4" xfId="1564"/>
    <cellStyle name="Normal 4 2 10 4 2" xfId="3063"/>
    <cellStyle name="Normal 4 2 10 4 2 2" xfId="25231"/>
    <cellStyle name="Normal 4 2 10 4 3" xfId="4562"/>
    <cellStyle name="Normal 4 2 10 4 3 2" xfId="26729"/>
    <cellStyle name="Normal 4 2 10 4 4" xfId="22235"/>
    <cellStyle name="Normal 4 2 10 4 4 2" xfId="38447"/>
    <cellStyle name="Normal 4 2 10 4 5" xfId="23733"/>
    <cellStyle name="Normal 4 2 10 5" xfId="2010"/>
    <cellStyle name="Normal 4 2 10 5 2" xfId="24178"/>
    <cellStyle name="Normal 4 2 10 6" xfId="3509"/>
    <cellStyle name="Normal 4 2 10 6 2" xfId="25676"/>
    <cellStyle name="Normal 4 2 10 7" xfId="12812"/>
    <cellStyle name="Normal 4 2 10 8" xfId="21182"/>
    <cellStyle name="Normal 4 2 10 8 2" xfId="37394"/>
    <cellStyle name="Normal 4 2 10 9" xfId="22680"/>
    <cellStyle name="Normal 4 2 11" xfId="628"/>
    <cellStyle name="Normal 4 2 11 2" xfId="979"/>
    <cellStyle name="Normal 4 2 11 2 2" xfId="2478"/>
    <cellStyle name="Normal 4 2 11 2 2 2" xfId="24646"/>
    <cellStyle name="Normal 4 2 11 2 3" xfId="3977"/>
    <cellStyle name="Normal 4 2 11 2 3 2" xfId="26144"/>
    <cellStyle name="Normal 4 2 11 2 4" xfId="21650"/>
    <cellStyle name="Normal 4 2 11 2 4 2" xfId="37862"/>
    <cellStyle name="Normal 4 2 11 2 5" xfId="23148"/>
    <cellStyle name="Normal 4 2 11 3" xfId="1330"/>
    <cellStyle name="Normal 4 2 11 3 2" xfId="2829"/>
    <cellStyle name="Normal 4 2 11 3 2 2" xfId="24997"/>
    <cellStyle name="Normal 4 2 11 3 3" xfId="4328"/>
    <cellStyle name="Normal 4 2 11 3 3 2" xfId="26495"/>
    <cellStyle name="Normal 4 2 11 3 4" xfId="22001"/>
    <cellStyle name="Normal 4 2 11 3 4 2" xfId="38213"/>
    <cellStyle name="Normal 4 2 11 3 5" xfId="23499"/>
    <cellStyle name="Normal 4 2 11 4" xfId="1681"/>
    <cellStyle name="Normal 4 2 11 4 2" xfId="3180"/>
    <cellStyle name="Normal 4 2 11 4 2 2" xfId="25348"/>
    <cellStyle name="Normal 4 2 11 4 3" xfId="4679"/>
    <cellStyle name="Normal 4 2 11 4 3 2" xfId="26846"/>
    <cellStyle name="Normal 4 2 11 4 4" xfId="22352"/>
    <cellStyle name="Normal 4 2 11 4 4 2" xfId="38564"/>
    <cellStyle name="Normal 4 2 11 4 5" xfId="23850"/>
    <cellStyle name="Normal 4 2 11 5" xfId="2127"/>
    <cellStyle name="Normal 4 2 11 5 2" xfId="24295"/>
    <cellStyle name="Normal 4 2 11 6" xfId="3626"/>
    <cellStyle name="Normal 4 2 11 6 2" xfId="25793"/>
    <cellStyle name="Normal 4 2 11 7" xfId="14296"/>
    <cellStyle name="Normal 4 2 11 7 2" xfId="30532"/>
    <cellStyle name="Normal 4 2 11 8" xfId="21299"/>
    <cellStyle name="Normal 4 2 11 8 2" xfId="37511"/>
    <cellStyle name="Normal 4 2 11 9" xfId="22797"/>
    <cellStyle name="Normal 4 2 12" xfId="379"/>
    <cellStyle name="Normal 4 2 12 2" xfId="1893"/>
    <cellStyle name="Normal 4 2 12 2 2" xfId="24061"/>
    <cellStyle name="Normal 4 2 12 3" xfId="3392"/>
    <cellStyle name="Normal 4 2 12 3 2" xfId="25559"/>
    <cellStyle name="Normal 4 2 12 4" xfId="21065"/>
    <cellStyle name="Normal 4 2 12 4 2" xfId="37277"/>
    <cellStyle name="Normal 4 2 12 5" xfId="22563"/>
    <cellStyle name="Normal 4 2 13" xfId="745"/>
    <cellStyle name="Normal 4 2 13 2" xfId="2244"/>
    <cellStyle name="Normal 4 2 13 2 2" xfId="24412"/>
    <cellStyle name="Normal 4 2 13 3" xfId="3743"/>
    <cellStyle name="Normal 4 2 13 3 2" xfId="25910"/>
    <cellStyle name="Normal 4 2 13 4" xfId="21416"/>
    <cellStyle name="Normal 4 2 13 4 2" xfId="37628"/>
    <cellStyle name="Normal 4 2 13 5" xfId="22914"/>
    <cellStyle name="Normal 4 2 14" xfId="1096"/>
    <cellStyle name="Normal 4 2 14 2" xfId="2595"/>
    <cellStyle name="Normal 4 2 14 2 2" xfId="24763"/>
    <cellStyle name="Normal 4 2 14 3" xfId="4094"/>
    <cellStyle name="Normal 4 2 14 3 2" xfId="26261"/>
    <cellStyle name="Normal 4 2 14 4" xfId="21767"/>
    <cellStyle name="Normal 4 2 14 4 2" xfId="37979"/>
    <cellStyle name="Normal 4 2 14 5" xfId="23265"/>
    <cellStyle name="Normal 4 2 15" xfId="1447"/>
    <cellStyle name="Normal 4 2 15 2" xfId="2946"/>
    <cellStyle name="Normal 4 2 15 2 2" xfId="25114"/>
    <cellStyle name="Normal 4 2 15 3" xfId="4445"/>
    <cellStyle name="Normal 4 2 15 3 2" xfId="26612"/>
    <cellStyle name="Normal 4 2 15 4" xfId="22118"/>
    <cellStyle name="Normal 4 2 15 4 2" xfId="38330"/>
    <cellStyle name="Normal 4 2 15 5" xfId="23616"/>
    <cellStyle name="Normal 4 2 16" xfId="322"/>
    <cellStyle name="Normal 4 2 16 2" xfId="1857"/>
    <cellStyle name="Normal 4 2 16 2 2" xfId="24025"/>
    <cellStyle name="Normal 4 2 16 3" xfId="3356"/>
    <cellStyle name="Normal 4 2 16 3 2" xfId="25523"/>
    <cellStyle name="Normal 4 2 16 4" xfId="21029"/>
    <cellStyle name="Normal 4 2 16 4 2" xfId="37241"/>
    <cellStyle name="Normal 4 2 16 5" xfId="22527"/>
    <cellStyle name="Normal 4 2 17" xfId="1829"/>
    <cellStyle name="Normal 4 2 17 2" xfId="23997"/>
    <cellStyle name="Normal 4 2 18" xfId="3328"/>
    <cellStyle name="Normal 4 2 18 2" xfId="25495"/>
    <cellStyle name="Normal 4 2 19" xfId="4921"/>
    <cellStyle name="Normal 4 2 2" xfId="393"/>
    <cellStyle name="Normal 4 2 2 10" xfId="750"/>
    <cellStyle name="Normal 4 2 2 10 2" xfId="2249"/>
    <cellStyle name="Normal 4 2 2 10 2 2" xfId="24417"/>
    <cellStyle name="Normal 4 2 2 10 3" xfId="3748"/>
    <cellStyle name="Normal 4 2 2 10 3 2" xfId="25915"/>
    <cellStyle name="Normal 4 2 2 10 4" xfId="21421"/>
    <cellStyle name="Normal 4 2 2 10 4 2" xfId="37633"/>
    <cellStyle name="Normal 4 2 2 10 5" xfId="22919"/>
    <cellStyle name="Normal 4 2 2 11" xfId="1101"/>
    <cellStyle name="Normal 4 2 2 11 2" xfId="2600"/>
    <cellStyle name="Normal 4 2 2 11 2 2" xfId="24768"/>
    <cellStyle name="Normal 4 2 2 11 3" xfId="4099"/>
    <cellStyle name="Normal 4 2 2 11 3 2" xfId="26266"/>
    <cellStyle name="Normal 4 2 2 11 4" xfId="21772"/>
    <cellStyle name="Normal 4 2 2 11 4 2" xfId="37984"/>
    <cellStyle name="Normal 4 2 2 11 5" xfId="23270"/>
    <cellStyle name="Normal 4 2 2 12" xfId="1452"/>
    <cellStyle name="Normal 4 2 2 12 2" xfId="2951"/>
    <cellStyle name="Normal 4 2 2 12 2 2" xfId="25119"/>
    <cellStyle name="Normal 4 2 2 12 3" xfId="4450"/>
    <cellStyle name="Normal 4 2 2 12 3 2" xfId="26617"/>
    <cellStyle name="Normal 4 2 2 12 4" xfId="22123"/>
    <cellStyle name="Normal 4 2 2 12 4 2" xfId="38335"/>
    <cellStyle name="Normal 4 2 2 12 5" xfId="23621"/>
    <cellStyle name="Normal 4 2 2 13" xfId="1898"/>
    <cellStyle name="Normal 4 2 2 13 2" xfId="24066"/>
    <cellStyle name="Normal 4 2 2 14" xfId="3397"/>
    <cellStyle name="Normal 4 2 2 14 2" xfId="25564"/>
    <cellStyle name="Normal 4 2 2 15" xfId="5681"/>
    <cellStyle name="Normal 4 2 2 16" xfId="21070"/>
    <cellStyle name="Normal 4 2 2 16 2" xfId="37282"/>
    <cellStyle name="Normal 4 2 2 17" xfId="22568"/>
    <cellStyle name="Normal 4 2 2 18" xfId="38859"/>
    <cellStyle name="Normal 4 2 2 2" xfId="407"/>
    <cellStyle name="Normal 4 2 2 2 10" xfId="12813"/>
    <cellStyle name="Normal 4 2 2 2 11" xfId="21080"/>
    <cellStyle name="Normal 4 2 2 2 11 2" xfId="37292"/>
    <cellStyle name="Normal 4 2 2 2 12" xfId="22578"/>
    <cellStyle name="Normal 4 2 2 2 13" xfId="39490"/>
    <cellStyle name="Normal 4 2 2 2 2" xfId="459"/>
    <cellStyle name="Normal 4 2 2 2 2 10" xfId="22630"/>
    <cellStyle name="Normal 4 2 2 2 2 2" xfId="577"/>
    <cellStyle name="Normal 4 2 2 2 2 2 2" xfId="929"/>
    <cellStyle name="Normal 4 2 2 2 2 2 2 2" xfId="2428"/>
    <cellStyle name="Normal 4 2 2 2 2 2 2 2 2" xfId="24596"/>
    <cellStyle name="Normal 4 2 2 2 2 2 2 3" xfId="3927"/>
    <cellStyle name="Normal 4 2 2 2 2 2 2 3 2" xfId="26094"/>
    <cellStyle name="Normal 4 2 2 2 2 2 2 4" xfId="21600"/>
    <cellStyle name="Normal 4 2 2 2 2 2 2 4 2" xfId="37812"/>
    <cellStyle name="Normal 4 2 2 2 2 2 2 5" xfId="23098"/>
    <cellStyle name="Normal 4 2 2 2 2 2 3" xfId="1280"/>
    <cellStyle name="Normal 4 2 2 2 2 2 3 2" xfId="2779"/>
    <cellStyle name="Normal 4 2 2 2 2 2 3 2 2" xfId="24947"/>
    <cellStyle name="Normal 4 2 2 2 2 2 3 3" xfId="4278"/>
    <cellStyle name="Normal 4 2 2 2 2 2 3 3 2" xfId="26445"/>
    <cellStyle name="Normal 4 2 2 2 2 2 3 4" xfId="21951"/>
    <cellStyle name="Normal 4 2 2 2 2 2 3 4 2" xfId="38163"/>
    <cellStyle name="Normal 4 2 2 2 2 2 3 5" xfId="23449"/>
    <cellStyle name="Normal 4 2 2 2 2 2 4" xfId="1631"/>
    <cellStyle name="Normal 4 2 2 2 2 2 4 2" xfId="3130"/>
    <cellStyle name="Normal 4 2 2 2 2 2 4 2 2" xfId="25298"/>
    <cellStyle name="Normal 4 2 2 2 2 2 4 3" xfId="4629"/>
    <cellStyle name="Normal 4 2 2 2 2 2 4 3 2" xfId="26796"/>
    <cellStyle name="Normal 4 2 2 2 2 2 4 4" xfId="22302"/>
    <cellStyle name="Normal 4 2 2 2 2 2 4 4 2" xfId="38514"/>
    <cellStyle name="Normal 4 2 2 2 2 2 4 5" xfId="23800"/>
    <cellStyle name="Normal 4 2 2 2 2 2 5" xfId="2077"/>
    <cellStyle name="Normal 4 2 2 2 2 2 5 2" xfId="24245"/>
    <cellStyle name="Normal 4 2 2 2 2 2 6" xfId="3576"/>
    <cellStyle name="Normal 4 2 2 2 2 2 6 2" xfId="25743"/>
    <cellStyle name="Normal 4 2 2 2 2 2 7" xfId="21249"/>
    <cellStyle name="Normal 4 2 2 2 2 2 7 2" xfId="37461"/>
    <cellStyle name="Normal 4 2 2 2 2 2 8" xfId="22747"/>
    <cellStyle name="Normal 4 2 2 2 2 3" xfId="695"/>
    <cellStyle name="Normal 4 2 2 2 2 3 2" xfId="1046"/>
    <cellStyle name="Normal 4 2 2 2 2 3 2 2" xfId="2545"/>
    <cellStyle name="Normal 4 2 2 2 2 3 2 2 2" xfId="24713"/>
    <cellStyle name="Normal 4 2 2 2 2 3 2 3" xfId="4044"/>
    <cellStyle name="Normal 4 2 2 2 2 3 2 3 2" xfId="26211"/>
    <cellStyle name="Normal 4 2 2 2 2 3 2 4" xfId="21717"/>
    <cellStyle name="Normal 4 2 2 2 2 3 2 4 2" xfId="37929"/>
    <cellStyle name="Normal 4 2 2 2 2 3 2 5" xfId="23215"/>
    <cellStyle name="Normal 4 2 2 2 2 3 3" xfId="1397"/>
    <cellStyle name="Normal 4 2 2 2 2 3 3 2" xfId="2896"/>
    <cellStyle name="Normal 4 2 2 2 2 3 3 2 2" xfId="25064"/>
    <cellStyle name="Normal 4 2 2 2 2 3 3 3" xfId="4395"/>
    <cellStyle name="Normal 4 2 2 2 2 3 3 3 2" xfId="26562"/>
    <cellStyle name="Normal 4 2 2 2 2 3 3 4" xfId="22068"/>
    <cellStyle name="Normal 4 2 2 2 2 3 3 4 2" xfId="38280"/>
    <cellStyle name="Normal 4 2 2 2 2 3 3 5" xfId="23566"/>
    <cellStyle name="Normal 4 2 2 2 2 3 4" xfId="1748"/>
    <cellStyle name="Normal 4 2 2 2 2 3 4 2" xfId="3247"/>
    <cellStyle name="Normal 4 2 2 2 2 3 4 2 2" xfId="25415"/>
    <cellStyle name="Normal 4 2 2 2 2 3 4 3" xfId="4746"/>
    <cellStyle name="Normal 4 2 2 2 2 3 4 3 2" xfId="26913"/>
    <cellStyle name="Normal 4 2 2 2 2 3 4 4" xfId="22419"/>
    <cellStyle name="Normal 4 2 2 2 2 3 4 4 2" xfId="38631"/>
    <cellStyle name="Normal 4 2 2 2 2 3 4 5" xfId="23917"/>
    <cellStyle name="Normal 4 2 2 2 2 3 5" xfId="2194"/>
    <cellStyle name="Normal 4 2 2 2 2 3 5 2" xfId="24362"/>
    <cellStyle name="Normal 4 2 2 2 2 3 6" xfId="3693"/>
    <cellStyle name="Normal 4 2 2 2 2 3 6 2" xfId="25860"/>
    <cellStyle name="Normal 4 2 2 2 2 3 7" xfId="21366"/>
    <cellStyle name="Normal 4 2 2 2 2 3 7 2" xfId="37578"/>
    <cellStyle name="Normal 4 2 2 2 2 3 8" xfId="22864"/>
    <cellStyle name="Normal 4 2 2 2 2 4" xfId="812"/>
    <cellStyle name="Normal 4 2 2 2 2 4 2" xfId="2311"/>
    <cellStyle name="Normal 4 2 2 2 2 4 2 2" xfId="24479"/>
    <cellStyle name="Normal 4 2 2 2 2 4 3" xfId="3810"/>
    <cellStyle name="Normal 4 2 2 2 2 4 3 2" xfId="25977"/>
    <cellStyle name="Normal 4 2 2 2 2 4 4" xfId="21483"/>
    <cellStyle name="Normal 4 2 2 2 2 4 4 2" xfId="37695"/>
    <cellStyle name="Normal 4 2 2 2 2 4 5" xfId="22981"/>
    <cellStyle name="Normal 4 2 2 2 2 5" xfId="1163"/>
    <cellStyle name="Normal 4 2 2 2 2 5 2" xfId="2662"/>
    <cellStyle name="Normal 4 2 2 2 2 5 2 2" xfId="24830"/>
    <cellStyle name="Normal 4 2 2 2 2 5 3" xfId="4161"/>
    <cellStyle name="Normal 4 2 2 2 2 5 3 2" xfId="26328"/>
    <cellStyle name="Normal 4 2 2 2 2 5 4" xfId="21834"/>
    <cellStyle name="Normal 4 2 2 2 2 5 4 2" xfId="38046"/>
    <cellStyle name="Normal 4 2 2 2 2 5 5" xfId="23332"/>
    <cellStyle name="Normal 4 2 2 2 2 6" xfId="1514"/>
    <cellStyle name="Normal 4 2 2 2 2 6 2" xfId="3013"/>
    <cellStyle name="Normal 4 2 2 2 2 6 2 2" xfId="25181"/>
    <cellStyle name="Normal 4 2 2 2 2 6 3" xfId="4512"/>
    <cellStyle name="Normal 4 2 2 2 2 6 3 2" xfId="26679"/>
    <cellStyle name="Normal 4 2 2 2 2 6 4" xfId="22185"/>
    <cellStyle name="Normal 4 2 2 2 2 6 4 2" xfId="38397"/>
    <cellStyle name="Normal 4 2 2 2 2 6 5" xfId="23683"/>
    <cellStyle name="Normal 4 2 2 2 2 7" xfId="1960"/>
    <cellStyle name="Normal 4 2 2 2 2 7 2" xfId="24128"/>
    <cellStyle name="Normal 4 2 2 2 2 8" xfId="3459"/>
    <cellStyle name="Normal 4 2 2 2 2 8 2" xfId="25626"/>
    <cellStyle name="Normal 4 2 2 2 2 9" xfId="21132"/>
    <cellStyle name="Normal 4 2 2 2 2 9 2" xfId="37344"/>
    <cellStyle name="Normal 4 2 2 2 3" xfId="525"/>
    <cellStyle name="Normal 4 2 2 2 3 2" xfId="877"/>
    <cellStyle name="Normal 4 2 2 2 3 2 2" xfId="2376"/>
    <cellStyle name="Normal 4 2 2 2 3 2 2 2" xfId="24544"/>
    <cellStyle name="Normal 4 2 2 2 3 2 3" xfId="3875"/>
    <cellStyle name="Normal 4 2 2 2 3 2 3 2" xfId="26042"/>
    <cellStyle name="Normal 4 2 2 2 3 2 4" xfId="21548"/>
    <cellStyle name="Normal 4 2 2 2 3 2 4 2" xfId="37760"/>
    <cellStyle name="Normal 4 2 2 2 3 2 5" xfId="23046"/>
    <cellStyle name="Normal 4 2 2 2 3 3" xfId="1228"/>
    <cellStyle name="Normal 4 2 2 2 3 3 2" xfId="2727"/>
    <cellStyle name="Normal 4 2 2 2 3 3 2 2" xfId="24895"/>
    <cellStyle name="Normal 4 2 2 2 3 3 3" xfId="4226"/>
    <cellStyle name="Normal 4 2 2 2 3 3 3 2" xfId="26393"/>
    <cellStyle name="Normal 4 2 2 2 3 3 4" xfId="21899"/>
    <cellStyle name="Normal 4 2 2 2 3 3 4 2" xfId="38111"/>
    <cellStyle name="Normal 4 2 2 2 3 3 5" xfId="23397"/>
    <cellStyle name="Normal 4 2 2 2 3 4" xfId="1579"/>
    <cellStyle name="Normal 4 2 2 2 3 4 2" xfId="3078"/>
    <cellStyle name="Normal 4 2 2 2 3 4 2 2" xfId="25246"/>
    <cellStyle name="Normal 4 2 2 2 3 4 3" xfId="4577"/>
    <cellStyle name="Normal 4 2 2 2 3 4 3 2" xfId="26744"/>
    <cellStyle name="Normal 4 2 2 2 3 4 4" xfId="22250"/>
    <cellStyle name="Normal 4 2 2 2 3 4 4 2" xfId="38462"/>
    <cellStyle name="Normal 4 2 2 2 3 4 5" xfId="23748"/>
    <cellStyle name="Normal 4 2 2 2 3 5" xfId="2025"/>
    <cellStyle name="Normal 4 2 2 2 3 5 2" xfId="24193"/>
    <cellStyle name="Normal 4 2 2 2 3 6" xfId="3524"/>
    <cellStyle name="Normal 4 2 2 2 3 6 2" xfId="25691"/>
    <cellStyle name="Normal 4 2 2 2 3 7" xfId="21197"/>
    <cellStyle name="Normal 4 2 2 2 3 7 2" xfId="37409"/>
    <cellStyle name="Normal 4 2 2 2 3 8" xfId="22695"/>
    <cellStyle name="Normal 4 2 2 2 4" xfId="643"/>
    <cellStyle name="Normal 4 2 2 2 4 2" xfId="994"/>
    <cellStyle name="Normal 4 2 2 2 4 2 2" xfId="2493"/>
    <cellStyle name="Normal 4 2 2 2 4 2 2 2" xfId="24661"/>
    <cellStyle name="Normal 4 2 2 2 4 2 3" xfId="3992"/>
    <cellStyle name="Normal 4 2 2 2 4 2 3 2" xfId="26159"/>
    <cellStyle name="Normal 4 2 2 2 4 2 4" xfId="21665"/>
    <cellStyle name="Normal 4 2 2 2 4 2 4 2" xfId="37877"/>
    <cellStyle name="Normal 4 2 2 2 4 2 5" xfId="23163"/>
    <cellStyle name="Normal 4 2 2 2 4 3" xfId="1345"/>
    <cellStyle name="Normal 4 2 2 2 4 3 2" xfId="2844"/>
    <cellStyle name="Normal 4 2 2 2 4 3 2 2" xfId="25012"/>
    <cellStyle name="Normal 4 2 2 2 4 3 3" xfId="4343"/>
    <cellStyle name="Normal 4 2 2 2 4 3 3 2" xfId="26510"/>
    <cellStyle name="Normal 4 2 2 2 4 3 4" xfId="22016"/>
    <cellStyle name="Normal 4 2 2 2 4 3 4 2" xfId="38228"/>
    <cellStyle name="Normal 4 2 2 2 4 3 5" xfId="23514"/>
    <cellStyle name="Normal 4 2 2 2 4 4" xfId="1696"/>
    <cellStyle name="Normal 4 2 2 2 4 4 2" xfId="3195"/>
    <cellStyle name="Normal 4 2 2 2 4 4 2 2" xfId="25363"/>
    <cellStyle name="Normal 4 2 2 2 4 4 3" xfId="4694"/>
    <cellStyle name="Normal 4 2 2 2 4 4 3 2" xfId="26861"/>
    <cellStyle name="Normal 4 2 2 2 4 4 4" xfId="22367"/>
    <cellStyle name="Normal 4 2 2 2 4 4 4 2" xfId="38579"/>
    <cellStyle name="Normal 4 2 2 2 4 4 5" xfId="23865"/>
    <cellStyle name="Normal 4 2 2 2 4 5" xfId="2142"/>
    <cellStyle name="Normal 4 2 2 2 4 5 2" xfId="24310"/>
    <cellStyle name="Normal 4 2 2 2 4 6" xfId="3641"/>
    <cellStyle name="Normal 4 2 2 2 4 6 2" xfId="25808"/>
    <cellStyle name="Normal 4 2 2 2 4 7" xfId="21314"/>
    <cellStyle name="Normal 4 2 2 2 4 7 2" xfId="37526"/>
    <cellStyle name="Normal 4 2 2 2 4 8" xfId="22812"/>
    <cellStyle name="Normal 4 2 2 2 5" xfId="760"/>
    <cellStyle name="Normal 4 2 2 2 5 2" xfId="2259"/>
    <cellStyle name="Normal 4 2 2 2 5 2 2" xfId="24427"/>
    <cellStyle name="Normal 4 2 2 2 5 3" xfId="3758"/>
    <cellStyle name="Normal 4 2 2 2 5 3 2" xfId="25925"/>
    <cellStyle name="Normal 4 2 2 2 5 4" xfId="21431"/>
    <cellStyle name="Normal 4 2 2 2 5 4 2" xfId="37643"/>
    <cellStyle name="Normal 4 2 2 2 5 5" xfId="22929"/>
    <cellStyle name="Normal 4 2 2 2 6" xfId="1111"/>
    <cellStyle name="Normal 4 2 2 2 6 2" xfId="2610"/>
    <cellStyle name="Normal 4 2 2 2 6 2 2" xfId="24778"/>
    <cellStyle name="Normal 4 2 2 2 6 3" xfId="4109"/>
    <cellStyle name="Normal 4 2 2 2 6 3 2" xfId="26276"/>
    <cellStyle name="Normal 4 2 2 2 6 4" xfId="21782"/>
    <cellStyle name="Normal 4 2 2 2 6 4 2" xfId="37994"/>
    <cellStyle name="Normal 4 2 2 2 6 5" xfId="23280"/>
    <cellStyle name="Normal 4 2 2 2 7" xfId="1462"/>
    <cellStyle name="Normal 4 2 2 2 7 2" xfId="2961"/>
    <cellStyle name="Normal 4 2 2 2 7 2 2" xfId="25129"/>
    <cellStyle name="Normal 4 2 2 2 7 3" xfId="4460"/>
    <cellStyle name="Normal 4 2 2 2 7 3 2" xfId="26627"/>
    <cellStyle name="Normal 4 2 2 2 7 4" xfId="22133"/>
    <cellStyle name="Normal 4 2 2 2 7 4 2" xfId="38345"/>
    <cellStyle name="Normal 4 2 2 2 7 5" xfId="23631"/>
    <cellStyle name="Normal 4 2 2 2 8" xfId="1908"/>
    <cellStyle name="Normal 4 2 2 2 8 2" xfId="24076"/>
    <cellStyle name="Normal 4 2 2 2 9" xfId="3407"/>
    <cellStyle name="Normal 4 2 2 2 9 2" xfId="25574"/>
    <cellStyle name="Normal 4 2 2 3" xfId="419"/>
    <cellStyle name="Normal 4 2 2 3 10" xfId="22590"/>
    <cellStyle name="Normal 4 2 2 3 2" xfId="537"/>
    <cellStyle name="Normal 4 2 2 3 2 2" xfId="889"/>
    <cellStyle name="Normal 4 2 2 3 2 2 2" xfId="2388"/>
    <cellStyle name="Normal 4 2 2 3 2 2 2 2" xfId="24556"/>
    <cellStyle name="Normal 4 2 2 3 2 2 3" xfId="3887"/>
    <cellStyle name="Normal 4 2 2 3 2 2 3 2" xfId="26054"/>
    <cellStyle name="Normal 4 2 2 3 2 2 4" xfId="21560"/>
    <cellStyle name="Normal 4 2 2 3 2 2 4 2" xfId="37772"/>
    <cellStyle name="Normal 4 2 2 3 2 2 5" xfId="23058"/>
    <cellStyle name="Normal 4 2 2 3 2 3" xfId="1240"/>
    <cellStyle name="Normal 4 2 2 3 2 3 2" xfId="2739"/>
    <cellStyle name="Normal 4 2 2 3 2 3 2 2" xfId="24907"/>
    <cellStyle name="Normal 4 2 2 3 2 3 3" xfId="4238"/>
    <cellStyle name="Normal 4 2 2 3 2 3 3 2" xfId="26405"/>
    <cellStyle name="Normal 4 2 2 3 2 3 4" xfId="21911"/>
    <cellStyle name="Normal 4 2 2 3 2 3 4 2" xfId="38123"/>
    <cellStyle name="Normal 4 2 2 3 2 3 5" xfId="23409"/>
    <cellStyle name="Normal 4 2 2 3 2 4" xfId="1591"/>
    <cellStyle name="Normal 4 2 2 3 2 4 2" xfId="3090"/>
    <cellStyle name="Normal 4 2 2 3 2 4 2 2" xfId="25258"/>
    <cellStyle name="Normal 4 2 2 3 2 4 3" xfId="4589"/>
    <cellStyle name="Normal 4 2 2 3 2 4 3 2" xfId="26756"/>
    <cellStyle name="Normal 4 2 2 3 2 4 4" xfId="22262"/>
    <cellStyle name="Normal 4 2 2 3 2 4 4 2" xfId="38474"/>
    <cellStyle name="Normal 4 2 2 3 2 4 5" xfId="23760"/>
    <cellStyle name="Normal 4 2 2 3 2 5" xfId="2037"/>
    <cellStyle name="Normal 4 2 2 3 2 5 2" xfId="24205"/>
    <cellStyle name="Normal 4 2 2 3 2 6" xfId="3536"/>
    <cellStyle name="Normal 4 2 2 3 2 6 2" xfId="25703"/>
    <cellStyle name="Normal 4 2 2 3 2 7" xfId="21209"/>
    <cellStyle name="Normal 4 2 2 3 2 7 2" xfId="37421"/>
    <cellStyle name="Normal 4 2 2 3 2 8" xfId="22707"/>
    <cellStyle name="Normal 4 2 2 3 3" xfId="655"/>
    <cellStyle name="Normal 4 2 2 3 3 2" xfId="1006"/>
    <cellStyle name="Normal 4 2 2 3 3 2 2" xfId="2505"/>
    <cellStyle name="Normal 4 2 2 3 3 2 2 2" xfId="24673"/>
    <cellStyle name="Normal 4 2 2 3 3 2 3" xfId="4004"/>
    <cellStyle name="Normal 4 2 2 3 3 2 3 2" xfId="26171"/>
    <cellStyle name="Normal 4 2 2 3 3 2 4" xfId="21677"/>
    <cellStyle name="Normal 4 2 2 3 3 2 4 2" xfId="37889"/>
    <cellStyle name="Normal 4 2 2 3 3 2 5" xfId="23175"/>
    <cellStyle name="Normal 4 2 2 3 3 3" xfId="1357"/>
    <cellStyle name="Normal 4 2 2 3 3 3 2" xfId="2856"/>
    <cellStyle name="Normal 4 2 2 3 3 3 2 2" xfId="25024"/>
    <cellStyle name="Normal 4 2 2 3 3 3 3" xfId="4355"/>
    <cellStyle name="Normal 4 2 2 3 3 3 3 2" xfId="26522"/>
    <cellStyle name="Normal 4 2 2 3 3 3 4" xfId="22028"/>
    <cellStyle name="Normal 4 2 2 3 3 3 4 2" xfId="38240"/>
    <cellStyle name="Normal 4 2 2 3 3 3 5" xfId="23526"/>
    <cellStyle name="Normal 4 2 2 3 3 4" xfId="1708"/>
    <cellStyle name="Normal 4 2 2 3 3 4 2" xfId="3207"/>
    <cellStyle name="Normal 4 2 2 3 3 4 2 2" xfId="25375"/>
    <cellStyle name="Normal 4 2 2 3 3 4 3" xfId="4706"/>
    <cellStyle name="Normal 4 2 2 3 3 4 3 2" xfId="26873"/>
    <cellStyle name="Normal 4 2 2 3 3 4 4" xfId="22379"/>
    <cellStyle name="Normal 4 2 2 3 3 4 4 2" xfId="38591"/>
    <cellStyle name="Normal 4 2 2 3 3 4 5" xfId="23877"/>
    <cellStyle name="Normal 4 2 2 3 3 5" xfId="2154"/>
    <cellStyle name="Normal 4 2 2 3 3 5 2" xfId="24322"/>
    <cellStyle name="Normal 4 2 2 3 3 6" xfId="3653"/>
    <cellStyle name="Normal 4 2 2 3 3 6 2" xfId="25820"/>
    <cellStyle name="Normal 4 2 2 3 3 7" xfId="21326"/>
    <cellStyle name="Normal 4 2 2 3 3 7 2" xfId="37538"/>
    <cellStyle name="Normal 4 2 2 3 3 8" xfId="22824"/>
    <cellStyle name="Normal 4 2 2 3 4" xfId="772"/>
    <cellStyle name="Normal 4 2 2 3 4 2" xfId="2271"/>
    <cellStyle name="Normal 4 2 2 3 4 2 2" xfId="24439"/>
    <cellStyle name="Normal 4 2 2 3 4 3" xfId="3770"/>
    <cellStyle name="Normal 4 2 2 3 4 3 2" xfId="25937"/>
    <cellStyle name="Normal 4 2 2 3 4 4" xfId="21443"/>
    <cellStyle name="Normal 4 2 2 3 4 4 2" xfId="37655"/>
    <cellStyle name="Normal 4 2 2 3 4 5" xfId="22941"/>
    <cellStyle name="Normal 4 2 2 3 5" xfId="1123"/>
    <cellStyle name="Normal 4 2 2 3 5 2" xfId="2622"/>
    <cellStyle name="Normal 4 2 2 3 5 2 2" xfId="24790"/>
    <cellStyle name="Normal 4 2 2 3 5 3" xfId="4121"/>
    <cellStyle name="Normal 4 2 2 3 5 3 2" xfId="26288"/>
    <cellStyle name="Normal 4 2 2 3 5 4" xfId="21794"/>
    <cellStyle name="Normal 4 2 2 3 5 4 2" xfId="38006"/>
    <cellStyle name="Normal 4 2 2 3 5 5" xfId="23292"/>
    <cellStyle name="Normal 4 2 2 3 6" xfId="1474"/>
    <cellStyle name="Normal 4 2 2 3 6 2" xfId="2973"/>
    <cellStyle name="Normal 4 2 2 3 6 2 2" xfId="25141"/>
    <cellStyle name="Normal 4 2 2 3 6 3" xfId="4472"/>
    <cellStyle name="Normal 4 2 2 3 6 3 2" xfId="26639"/>
    <cellStyle name="Normal 4 2 2 3 6 4" xfId="22145"/>
    <cellStyle name="Normal 4 2 2 3 6 4 2" xfId="38357"/>
    <cellStyle name="Normal 4 2 2 3 6 5" xfId="23643"/>
    <cellStyle name="Normal 4 2 2 3 7" xfId="1920"/>
    <cellStyle name="Normal 4 2 2 3 7 2" xfId="24088"/>
    <cellStyle name="Normal 4 2 2 3 8" xfId="3419"/>
    <cellStyle name="Normal 4 2 2 3 8 2" xfId="25586"/>
    <cellStyle name="Normal 4 2 2 3 9" xfId="21092"/>
    <cellStyle name="Normal 4 2 2 3 9 2" xfId="37304"/>
    <cellStyle name="Normal 4 2 2 4" xfId="431"/>
    <cellStyle name="Normal 4 2 2 4 10" xfId="22602"/>
    <cellStyle name="Normal 4 2 2 4 2" xfId="549"/>
    <cellStyle name="Normal 4 2 2 4 2 2" xfId="901"/>
    <cellStyle name="Normal 4 2 2 4 2 2 2" xfId="2400"/>
    <cellStyle name="Normal 4 2 2 4 2 2 2 2" xfId="24568"/>
    <cellStyle name="Normal 4 2 2 4 2 2 3" xfId="3899"/>
    <cellStyle name="Normal 4 2 2 4 2 2 3 2" xfId="26066"/>
    <cellStyle name="Normal 4 2 2 4 2 2 4" xfId="21572"/>
    <cellStyle name="Normal 4 2 2 4 2 2 4 2" xfId="37784"/>
    <cellStyle name="Normal 4 2 2 4 2 2 5" xfId="23070"/>
    <cellStyle name="Normal 4 2 2 4 2 3" xfId="1252"/>
    <cellStyle name="Normal 4 2 2 4 2 3 2" xfId="2751"/>
    <cellStyle name="Normal 4 2 2 4 2 3 2 2" xfId="24919"/>
    <cellStyle name="Normal 4 2 2 4 2 3 3" xfId="4250"/>
    <cellStyle name="Normal 4 2 2 4 2 3 3 2" xfId="26417"/>
    <cellStyle name="Normal 4 2 2 4 2 3 4" xfId="21923"/>
    <cellStyle name="Normal 4 2 2 4 2 3 4 2" xfId="38135"/>
    <cellStyle name="Normal 4 2 2 4 2 3 5" xfId="23421"/>
    <cellStyle name="Normal 4 2 2 4 2 4" xfId="1603"/>
    <cellStyle name="Normal 4 2 2 4 2 4 2" xfId="3102"/>
    <cellStyle name="Normal 4 2 2 4 2 4 2 2" xfId="25270"/>
    <cellStyle name="Normal 4 2 2 4 2 4 3" xfId="4601"/>
    <cellStyle name="Normal 4 2 2 4 2 4 3 2" xfId="26768"/>
    <cellStyle name="Normal 4 2 2 4 2 4 4" xfId="22274"/>
    <cellStyle name="Normal 4 2 2 4 2 4 4 2" xfId="38486"/>
    <cellStyle name="Normal 4 2 2 4 2 4 5" xfId="23772"/>
    <cellStyle name="Normal 4 2 2 4 2 5" xfId="2049"/>
    <cellStyle name="Normal 4 2 2 4 2 5 2" xfId="24217"/>
    <cellStyle name="Normal 4 2 2 4 2 6" xfId="3548"/>
    <cellStyle name="Normal 4 2 2 4 2 6 2" xfId="25715"/>
    <cellStyle name="Normal 4 2 2 4 2 7" xfId="21221"/>
    <cellStyle name="Normal 4 2 2 4 2 7 2" xfId="37433"/>
    <cellStyle name="Normal 4 2 2 4 2 8" xfId="22719"/>
    <cellStyle name="Normal 4 2 2 4 3" xfId="667"/>
    <cellStyle name="Normal 4 2 2 4 3 2" xfId="1018"/>
    <cellStyle name="Normal 4 2 2 4 3 2 2" xfId="2517"/>
    <cellStyle name="Normal 4 2 2 4 3 2 2 2" xfId="24685"/>
    <cellStyle name="Normal 4 2 2 4 3 2 3" xfId="4016"/>
    <cellStyle name="Normal 4 2 2 4 3 2 3 2" xfId="26183"/>
    <cellStyle name="Normal 4 2 2 4 3 2 4" xfId="21689"/>
    <cellStyle name="Normal 4 2 2 4 3 2 4 2" xfId="37901"/>
    <cellStyle name="Normal 4 2 2 4 3 2 5" xfId="23187"/>
    <cellStyle name="Normal 4 2 2 4 3 3" xfId="1369"/>
    <cellStyle name="Normal 4 2 2 4 3 3 2" xfId="2868"/>
    <cellStyle name="Normal 4 2 2 4 3 3 2 2" xfId="25036"/>
    <cellStyle name="Normal 4 2 2 4 3 3 3" xfId="4367"/>
    <cellStyle name="Normal 4 2 2 4 3 3 3 2" xfId="26534"/>
    <cellStyle name="Normal 4 2 2 4 3 3 4" xfId="22040"/>
    <cellStyle name="Normal 4 2 2 4 3 3 4 2" xfId="38252"/>
    <cellStyle name="Normal 4 2 2 4 3 3 5" xfId="23538"/>
    <cellStyle name="Normal 4 2 2 4 3 4" xfId="1720"/>
    <cellStyle name="Normal 4 2 2 4 3 4 2" xfId="3219"/>
    <cellStyle name="Normal 4 2 2 4 3 4 2 2" xfId="25387"/>
    <cellStyle name="Normal 4 2 2 4 3 4 3" xfId="4718"/>
    <cellStyle name="Normal 4 2 2 4 3 4 3 2" xfId="26885"/>
    <cellStyle name="Normal 4 2 2 4 3 4 4" xfId="22391"/>
    <cellStyle name="Normal 4 2 2 4 3 4 4 2" xfId="38603"/>
    <cellStyle name="Normal 4 2 2 4 3 4 5" xfId="23889"/>
    <cellStyle name="Normal 4 2 2 4 3 5" xfId="2166"/>
    <cellStyle name="Normal 4 2 2 4 3 5 2" xfId="24334"/>
    <cellStyle name="Normal 4 2 2 4 3 6" xfId="3665"/>
    <cellStyle name="Normal 4 2 2 4 3 6 2" xfId="25832"/>
    <cellStyle name="Normal 4 2 2 4 3 7" xfId="21338"/>
    <cellStyle name="Normal 4 2 2 4 3 7 2" xfId="37550"/>
    <cellStyle name="Normal 4 2 2 4 3 8" xfId="22836"/>
    <cellStyle name="Normal 4 2 2 4 4" xfId="784"/>
    <cellStyle name="Normal 4 2 2 4 4 2" xfId="2283"/>
    <cellStyle name="Normal 4 2 2 4 4 2 2" xfId="24451"/>
    <cellStyle name="Normal 4 2 2 4 4 3" xfId="3782"/>
    <cellStyle name="Normal 4 2 2 4 4 3 2" xfId="25949"/>
    <cellStyle name="Normal 4 2 2 4 4 4" xfId="21455"/>
    <cellStyle name="Normal 4 2 2 4 4 4 2" xfId="37667"/>
    <cellStyle name="Normal 4 2 2 4 4 5" xfId="22953"/>
    <cellStyle name="Normal 4 2 2 4 5" xfId="1135"/>
    <cellStyle name="Normal 4 2 2 4 5 2" xfId="2634"/>
    <cellStyle name="Normal 4 2 2 4 5 2 2" xfId="24802"/>
    <cellStyle name="Normal 4 2 2 4 5 3" xfId="4133"/>
    <cellStyle name="Normal 4 2 2 4 5 3 2" xfId="26300"/>
    <cellStyle name="Normal 4 2 2 4 5 4" xfId="21806"/>
    <cellStyle name="Normal 4 2 2 4 5 4 2" xfId="38018"/>
    <cellStyle name="Normal 4 2 2 4 5 5" xfId="23304"/>
    <cellStyle name="Normal 4 2 2 4 6" xfId="1486"/>
    <cellStyle name="Normal 4 2 2 4 6 2" xfId="2985"/>
    <cellStyle name="Normal 4 2 2 4 6 2 2" xfId="25153"/>
    <cellStyle name="Normal 4 2 2 4 6 3" xfId="4484"/>
    <cellStyle name="Normal 4 2 2 4 6 3 2" xfId="26651"/>
    <cellStyle name="Normal 4 2 2 4 6 4" xfId="22157"/>
    <cellStyle name="Normal 4 2 2 4 6 4 2" xfId="38369"/>
    <cellStyle name="Normal 4 2 2 4 6 5" xfId="23655"/>
    <cellStyle name="Normal 4 2 2 4 7" xfId="1932"/>
    <cellStyle name="Normal 4 2 2 4 7 2" xfId="24100"/>
    <cellStyle name="Normal 4 2 2 4 8" xfId="3431"/>
    <cellStyle name="Normal 4 2 2 4 8 2" xfId="25598"/>
    <cellStyle name="Normal 4 2 2 4 9" xfId="21104"/>
    <cellStyle name="Normal 4 2 2 4 9 2" xfId="37316"/>
    <cellStyle name="Normal 4 2 2 5" xfId="449"/>
    <cellStyle name="Normal 4 2 2 5 10" xfId="22620"/>
    <cellStyle name="Normal 4 2 2 5 2" xfId="567"/>
    <cellStyle name="Normal 4 2 2 5 2 2" xfId="919"/>
    <cellStyle name="Normal 4 2 2 5 2 2 2" xfId="2418"/>
    <cellStyle name="Normal 4 2 2 5 2 2 2 2" xfId="24586"/>
    <cellStyle name="Normal 4 2 2 5 2 2 3" xfId="3917"/>
    <cellStyle name="Normal 4 2 2 5 2 2 3 2" xfId="26084"/>
    <cellStyle name="Normal 4 2 2 5 2 2 4" xfId="21590"/>
    <cellStyle name="Normal 4 2 2 5 2 2 4 2" xfId="37802"/>
    <cellStyle name="Normal 4 2 2 5 2 2 5" xfId="23088"/>
    <cellStyle name="Normal 4 2 2 5 2 3" xfId="1270"/>
    <cellStyle name="Normal 4 2 2 5 2 3 2" xfId="2769"/>
    <cellStyle name="Normal 4 2 2 5 2 3 2 2" xfId="24937"/>
    <cellStyle name="Normal 4 2 2 5 2 3 3" xfId="4268"/>
    <cellStyle name="Normal 4 2 2 5 2 3 3 2" xfId="26435"/>
    <cellStyle name="Normal 4 2 2 5 2 3 4" xfId="21941"/>
    <cellStyle name="Normal 4 2 2 5 2 3 4 2" xfId="38153"/>
    <cellStyle name="Normal 4 2 2 5 2 3 5" xfId="23439"/>
    <cellStyle name="Normal 4 2 2 5 2 4" xfId="1621"/>
    <cellStyle name="Normal 4 2 2 5 2 4 2" xfId="3120"/>
    <cellStyle name="Normal 4 2 2 5 2 4 2 2" xfId="25288"/>
    <cellStyle name="Normal 4 2 2 5 2 4 3" xfId="4619"/>
    <cellStyle name="Normal 4 2 2 5 2 4 3 2" xfId="26786"/>
    <cellStyle name="Normal 4 2 2 5 2 4 4" xfId="22292"/>
    <cellStyle name="Normal 4 2 2 5 2 4 4 2" xfId="38504"/>
    <cellStyle name="Normal 4 2 2 5 2 4 5" xfId="23790"/>
    <cellStyle name="Normal 4 2 2 5 2 5" xfId="2067"/>
    <cellStyle name="Normal 4 2 2 5 2 5 2" xfId="24235"/>
    <cellStyle name="Normal 4 2 2 5 2 6" xfId="3566"/>
    <cellStyle name="Normal 4 2 2 5 2 6 2" xfId="25733"/>
    <cellStyle name="Normal 4 2 2 5 2 7" xfId="21239"/>
    <cellStyle name="Normal 4 2 2 5 2 7 2" xfId="37451"/>
    <cellStyle name="Normal 4 2 2 5 2 8" xfId="22737"/>
    <cellStyle name="Normal 4 2 2 5 3" xfId="685"/>
    <cellStyle name="Normal 4 2 2 5 3 2" xfId="1036"/>
    <cellStyle name="Normal 4 2 2 5 3 2 2" xfId="2535"/>
    <cellStyle name="Normal 4 2 2 5 3 2 2 2" xfId="24703"/>
    <cellStyle name="Normal 4 2 2 5 3 2 3" xfId="4034"/>
    <cellStyle name="Normal 4 2 2 5 3 2 3 2" xfId="26201"/>
    <cellStyle name="Normal 4 2 2 5 3 2 4" xfId="21707"/>
    <cellStyle name="Normal 4 2 2 5 3 2 4 2" xfId="37919"/>
    <cellStyle name="Normal 4 2 2 5 3 2 5" xfId="23205"/>
    <cellStyle name="Normal 4 2 2 5 3 3" xfId="1387"/>
    <cellStyle name="Normal 4 2 2 5 3 3 2" xfId="2886"/>
    <cellStyle name="Normal 4 2 2 5 3 3 2 2" xfId="25054"/>
    <cellStyle name="Normal 4 2 2 5 3 3 3" xfId="4385"/>
    <cellStyle name="Normal 4 2 2 5 3 3 3 2" xfId="26552"/>
    <cellStyle name="Normal 4 2 2 5 3 3 4" xfId="22058"/>
    <cellStyle name="Normal 4 2 2 5 3 3 4 2" xfId="38270"/>
    <cellStyle name="Normal 4 2 2 5 3 3 5" xfId="23556"/>
    <cellStyle name="Normal 4 2 2 5 3 4" xfId="1738"/>
    <cellStyle name="Normal 4 2 2 5 3 4 2" xfId="3237"/>
    <cellStyle name="Normal 4 2 2 5 3 4 2 2" xfId="25405"/>
    <cellStyle name="Normal 4 2 2 5 3 4 3" xfId="4736"/>
    <cellStyle name="Normal 4 2 2 5 3 4 3 2" xfId="26903"/>
    <cellStyle name="Normal 4 2 2 5 3 4 4" xfId="22409"/>
    <cellStyle name="Normal 4 2 2 5 3 4 4 2" xfId="38621"/>
    <cellStyle name="Normal 4 2 2 5 3 4 5" xfId="23907"/>
    <cellStyle name="Normal 4 2 2 5 3 5" xfId="2184"/>
    <cellStyle name="Normal 4 2 2 5 3 5 2" xfId="24352"/>
    <cellStyle name="Normal 4 2 2 5 3 6" xfId="3683"/>
    <cellStyle name="Normal 4 2 2 5 3 6 2" xfId="25850"/>
    <cellStyle name="Normal 4 2 2 5 3 7" xfId="21356"/>
    <cellStyle name="Normal 4 2 2 5 3 7 2" xfId="37568"/>
    <cellStyle name="Normal 4 2 2 5 3 8" xfId="22854"/>
    <cellStyle name="Normal 4 2 2 5 4" xfId="802"/>
    <cellStyle name="Normal 4 2 2 5 4 2" xfId="2301"/>
    <cellStyle name="Normal 4 2 2 5 4 2 2" xfId="24469"/>
    <cellStyle name="Normal 4 2 2 5 4 3" xfId="3800"/>
    <cellStyle name="Normal 4 2 2 5 4 3 2" xfId="25967"/>
    <cellStyle name="Normal 4 2 2 5 4 4" xfId="21473"/>
    <cellStyle name="Normal 4 2 2 5 4 4 2" xfId="37685"/>
    <cellStyle name="Normal 4 2 2 5 4 5" xfId="22971"/>
    <cellStyle name="Normal 4 2 2 5 5" xfId="1153"/>
    <cellStyle name="Normal 4 2 2 5 5 2" xfId="2652"/>
    <cellStyle name="Normal 4 2 2 5 5 2 2" xfId="24820"/>
    <cellStyle name="Normal 4 2 2 5 5 3" xfId="4151"/>
    <cellStyle name="Normal 4 2 2 5 5 3 2" xfId="26318"/>
    <cellStyle name="Normal 4 2 2 5 5 4" xfId="21824"/>
    <cellStyle name="Normal 4 2 2 5 5 4 2" xfId="38036"/>
    <cellStyle name="Normal 4 2 2 5 5 5" xfId="23322"/>
    <cellStyle name="Normal 4 2 2 5 6" xfId="1504"/>
    <cellStyle name="Normal 4 2 2 5 6 2" xfId="3003"/>
    <cellStyle name="Normal 4 2 2 5 6 2 2" xfId="25171"/>
    <cellStyle name="Normal 4 2 2 5 6 3" xfId="4502"/>
    <cellStyle name="Normal 4 2 2 5 6 3 2" xfId="26669"/>
    <cellStyle name="Normal 4 2 2 5 6 4" xfId="22175"/>
    <cellStyle name="Normal 4 2 2 5 6 4 2" xfId="38387"/>
    <cellStyle name="Normal 4 2 2 5 6 5" xfId="23673"/>
    <cellStyle name="Normal 4 2 2 5 7" xfId="1950"/>
    <cellStyle name="Normal 4 2 2 5 7 2" xfId="24118"/>
    <cellStyle name="Normal 4 2 2 5 8" xfId="3449"/>
    <cellStyle name="Normal 4 2 2 5 8 2" xfId="25616"/>
    <cellStyle name="Normal 4 2 2 5 9" xfId="21122"/>
    <cellStyle name="Normal 4 2 2 5 9 2" xfId="37334"/>
    <cellStyle name="Normal 4 2 2 6" xfId="473"/>
    <cellStyle name="Normal 4 2 2 6 10" xfId="22644"/>
    <cellStyle name="Normal 4 2 2 6 2" xfId="591"/>
    <cellStyle name="Normal 4 2 2 6 2 2" xfId="943"/>
    <cellStyle name="Normal 4 2 2 6 2 2 2" xfId="2442"/>
    <cellStyle name="Normal 4 2 2 6 2 2 2 2" xfId="24610"/>
    <cellStyle name="Normal 4 2 2 6 2 2 3" xfId="3941"/>
    <cellStyle name="Normal 4 2 2 6 2 2 3 2" xfId="26108"/>
    <cellStyle name="Normal 4 2 2 6 2 2 4" xfId="21614"/>
    <cellStyle name="Normal 4 2 2 6 2 2 4 2" xfId="37826"/>
    <cellStyle name="Normal 4 2 2 6 2 2 5" xfId="23112"/>
    <cellStyle name="Normal 4 2 2 6 2 3" xfId="1294"/>
    <cellStyle name="Normal 4 2 2 6 2 3 2" xfId="2793"/>
    <cellStyle name="Normal 4 2 2 6 2 3 2 2" xfId="24961"/>
    <cellStyle name="Normal 4 2 2 6 2 3 3" xfId="4292"/>
    <cellStyle name="Normal 4 2 2 6 2 3 3 2" xfId="26459"/>
    <cellStyle name="Normal 4 2 2 6 2 3 4" xfId="21965"/>
    <cellStyle name="Normal 4 2 2 6 2 3 4 2" xfId="38177"/>
    <cellStyle name="Normal 4 2 2 6 2 3 5" xfId="23463"/>
    <cellStyle name="Normal 4 2 2 6 2 4" xfId="1645"/>
    <cellStyle name="Normal 4 2 2 6 2 4 2" xfId="3144"/>
    <cellStyle name="Normal 4 2 2 6 2 4 2 2" xfId="25312"/>
    <cellStyle name="Normal 4 2 2 6 2 4 3" xfId="4643"/>
    <cellStyle name="Normal 4 2 2 6 2 4 3 2" xfId="26810"/>
    <cellStyle name="Normal 4 2 2 6 2 4 4" xfId="22316"/>
    <cellStyle name="Normal 4 2 2 6 2 4 4 2" xfId="38528"/>
    <cellStyle name="Normal 4 2 2 6 2 4 5" xfId="23814"/>
    <cellStyle name="Normal 4 2 2 6 2 5" xfId="2091"/>
    <cellStyle name="Normal 4 2 2 6 2 5 2" xfId="24259"/>
    <cellStyle name="Normal 4 2 2 6 2 6" xfId="3590"/>
    <cellStyle name="Normal 4 2 2 6 2 6 2" xfId="25757"/>
    <cellStyle name="Normal 4 2 2 6 2 7" xfId="21263"/>
    <cellStyle name="Normal 4 2 2 6 2 7 2" xfId="37475"/>
    <cellStyle name="Normal 4 2 2 6 2 8" xfId="22761"/>
    <cellStyle name="Normal 4 2 2 6 3" xfId="709"/>
    <cellStyle name="Normal 4 2 2 6 3 2" xfId="1060"/>
    <cellStyle name="Normal 4 2 2 6 3 2 2" xfId="2559"/>
    <cellStyle name="Normal 4 2 2 6 3 2 2 2" xfId="24727"/>
    <cellStyle name="Normal 4 2 2 6 3 2 3" xfId="4058"/>
    <cellStyle name="Normal 4 2 2 6 3 2 3 2" xfId="26225"/>
    <cellStyle name="Normal 4 2 2 6 3 2 4" xfId="21731"/>
    <cellStyle name="Normal 4 2 2 6 3 2 4 2" xfId="37943"/>
    <cellStyle name="Normal 4 2 2 6 3 2 5" xfId="23229"/>
    <cellStyle name="Normal 4 2 2 6 3 3" xfId="1411"/>
    <cellStyle name="Normal 4 2 2 6 3 3 2" xfId="2910"/>
    <cellStyle name="Normal 4 2 2 6 3 3 2 2" xfId="25078"/>
    <cellStyle name="Normal 4 2 2 6 3 3 3" xfId="4409"/>
    <cellStyle name="Normal 4 2 2 6 3 3 3 2" xfId="26576"/>
    <cellStyle name="Normal 4 2 2 6 3 3 4" xfId="22082"/>
    <cellStyle name="Normal 4 2 2 6 3 3 4 2" xfId="38294"/>
    <cellStyle name="Normal 4 2 2 6 3 3 5" xfId="23580"/>
    <cellStyle name="Normal 4 2 2 6 3 4" xfId="1762"/>
    <cellStyle name="Normal 4 2 2 6 3 4 2" xfId="3261"/>
    <cellStyle name="Normal 4 2 2 6 3 4 2 2" xfId="25429"/>
    <cellStyle name="Normal 4 2 2 6 3 4 3" xfId="4760"/>
    <cellStyle name="Normal 4 2 2 6 3 4 3 2" xfId="26927"/>
    <cellStyle name="Normal 4 2 2 6 3 4 4" xfId="22433"/>
    <cellStyle name="Normal 4 2 2 6 3 4 4 2" xfId="38645"/>
    <cellStyle name="Normal 4 2 2 6 3 4 5" xfId="23931"/>
    <cellStyle name="Normal 4 2 2 6 3 5" xfId="2208"/>
    <cellStyle name="Normal 4 2 2 6 3 5 2" xfId="24376"/>
    <cellStyle name="Normal 4 2 2 6 3 6" xfId="3707"/>
    <cellStyle name="Normal 4 2 2 6 3 6 2" xfId="25874"/>
    <cellStyle name="Normal 4 2 2 6 3 7" xfId="21380"/>
    <cellStyle name="Normal 4 2 2 6 3 7 2" xfId="37592"/>
    <cellStyle name="Normal 4 2 2 6 3 8" xfId="22878"/>
    <cellStyle name="Normal 4 2 2 6 4" xfId="826"/>
    <cellStyle name="Normal 4 2 2 6 4 2" xfId="2325"/>
    <cellStyle name="Normal 4 2 2 6 4 2 2" xfId="24493"/>
    <cellStyle name="Normal 4 2 2 6 4 3" xfId="3824"/>
    <cellStyle name="Normal 4 2 2 6 4 3 2" xfId="25991"/>
    <cellStyle name="Normal 4 2 2 6 4 4" xfId="21497"/>
    <cellStyle name="Normal 4 2 2 6 4 4 2" xfId="37709"/>
    <cellStyle name="Normal 4 2 2 6 4 5" xfId="22995"/>
    <cellStyle name="Normal 4 2 2 6 5" xfId="1177"/>
    <cellStyle name="Normal 4 2 2 6 5 2" xfId="2676"/>
    <cellStyle name="Normal 4 2 2 6 5 2 2" xfId="24844"/>
    <cellStyle name="Normal 4 2 2 6 5 3" xfId="4175"/>
    <cellStyle name="Normal 4 2 2 6 5 3 2" xfId="26342"/>
    <cellStyle name="Normal 4 2 2 6 5 4" xfId="21848"/>
    <cellStyle name="Normal 4 2 2 6 5 4 2" xfId="38060"/>
    <cellStyle name="Normal 4 2 2 6 5 5" xfId="23346"/>
    <cellStyle name="Normal 4 2 2 6 6" xfId="1528"/>
    <cellStyle name="Normal 4 2 2 6 6 2" xfId="3027"/>
    <cellStyle name="Normal 4 2 2 6 6 2 2" xfId="25195"/>
    <cellStyle name="Normal 4 2 2 6 6 3" xfId="4526"/>
    <cellStyle name="Normal 4 2 2 6 6 3 2" xfId="26693"/>
    <cellStyle name="Normal 4 2 2 6 6 4" xfId="22199"/>
    <cellStyle name="Normal 4 2 2 6 6 4 2" xfId="38411"/>
    <cellStyle name="Normal 4 2 2 6 6 5" xfId="23697"/>
    <cellStyle name="Normal 4 2 2 6 7" xfId="1974"/>
    <cellStyle name="Normal 4 2 2 6 7 2" xfId="24142"/>
    <cellStyle name="Normal 4 2 2 6 8" xfId="3473"/>
    <cellStyle name="Normal 4 2 2 6 8 2" xfId="25640"/>
    <cellStyle name="Normal 4 2 2 6 9" xfId="21146"/>
    <cellStyle name="Normal 4 2 2 6 9 2" xfId="37358"/>
    <cellStyle name="Normal 4 2 2 7" xfId="486"/>
    <cellStyle name="Normal 4 2 2 7 10" xfId="22657"/>
    <cellStyle name="Normal 4 2 2 7 2" xfId="604"/>
    <cellStyle name="Normal 4 2 2 7 2 2" xfId="956"/>
    <cellStyle name="Normal 4 2 2 7 2 2 2" xfId="2455"/>
    <cellStyle name="Normal 4 2 2 7 2 2 2 2" xfId="24623"/>
    <cellStyle name="Normal 4 2 2 7 2 2 3" xfId="3954"/>
    <cellStyle name="Normal 4 2 2 7 2 2 3 2" xfId="26121"/>
    <cellStyle name="Normal 4 2 2 7 2 2 4" xfId="21627"/>
    <cellStyle name="Normal 4 2 2 7 2 2 4 2" xfId="37839"/>
    <cellStyle name="Normal 4 2 2 7 2 2 5" xfId="23125"/>
    <cellStyle name="Normal 4 2 2 7 2 3" xfId="1307"/>
    <cellStyle name="Normal 4 2 2 7 2 3 2" xfId="2806"/>
    <cellStyle name="Normal 4 2 2 7 2 3 2 2" xfId="24974"/>
    <cellStyle name="Normal 4 2 2 7 2 3 3" xfId="4305"/>
    <cellStyle name="Normal 4 2 2 7 2 3 3 2" xfId="26472"/>
    <cellStyle name="Normal 4 2 2 7 2 3 4" xfId="21978"/>
    <cellStyle name="Normal 4 2 2 7 2 3 4 2" xfId="38190"/>
    <cellStyle name="Normal 4 2 2 7 2 3 5" xfId="23476"/>
    <cellStyle name="Normal 4 2 2 7 2 4" xfId="1658"/>
    <cellStyle name="Normal 4 2 2 7 2 4 2" xfId="3157"/>
    <cellStyle name="Normal 4 2 2 7 2 4 2 2" xfId="25325"/>
    <cellStyle name="Normal 4 2 2 7 2 4 3" xfId="4656"/>
    <cellStyle name="Normal 4 2 2 7 2 4 3 2" xfId="26823"/>
    <cellStyle name="Normal 4 2 2 7 2 4 4" xfId="22329"/>
    <cellStyle name="Normal 4 2 2 7 2 4 4 2" xfId="38541"/>
    <cellStyle name="Normal 4 2 2 7 2 4 5" xfId="23827"/>
    <cellStyle name="Normal 4 2 2 7 2 5" xfId="2104"/>
    <cellStyle name="Normal 4 2 2 7 2 5 2" xfId="24272"/>
    <cellStyle name="Normal 4 2 2 7 2 6" xfId="3603"/>
    <cellStyle name="Normal 4 2 2 7 2 6 2" xfId="25770"/>
    <cellStyle name="Normal 4 2 2 7 2 7" xfId="21276"/>
    <cellStyle name="Normal 4 2 2 7 2 7 2" xfId="37488"/>
    <cellStyle name="Normal 4 2 2 7 2 8" xfId="22774"/>
    <cellStyle name="Normal 4 2 2 7 3" xfId="722"/>
    <cellStyle name="Normal 4 2 2 7 3 2" xfId="1073"/>
    <cellStyle name="Normal 4 2 2 7 3 2 2" xfId="2572"/>
    <cellStyle name="Normal 4 2 2 7 3 2 2 2" xfId="24740"/>
    <cellStyle name="Normal 4 2 2 7 3 2 3" xfId="4071"/>
    <cellStyle name="Normal 4 2 2 7 3 2 3 2" xfId="26238"/>
    <cellStyle name="Normal 4 2 2 7 3 2 4" xfId="21744"/>
    <cellStyle name="Normal 4 2 2 7 3 2 4 2" xfId="37956"/>
    <cellStyle name="Normal 4 2 2 7 3 2 5" xfId="23242"/>
    <cellStyle name="Normal 4 2 2 7 3 3" xfId="1424"/>
    <cellStyle name="Normal 4 2 2 7 3 3 2" xfId="2923"/>
    <cellStyle name="Normal 4 2 2 7 3 3 2 2" xfId="25091"/>
    <cellStyle name="Normal 4 2 2 7 3 3 3" xfId="4422"/>
    <cellStyle name="Normal 4 2 2 7 3 3 3 2" xfId="26589"/>
    <cellStyle name="Normal 4 2 2 7 3 3 4" xfId="22095"/>
    <cellStyle name="Normal 4 2 2 7 3 3 4 2" xfId="38307"/>
    <cellStyle name="Normal 4 2 2 7 3 3 5" xfId="23593"/>
    <cellStyle name="Normal 4 2 2 7 3 4" xfId="1775"/>
    <cellStyle name="Normal 4 2 2 7 3 4 2" xfId="3274"/>
    <cellStyle name="Normal 4 2 2 7 3 4 2 2" xfId="25442"/>
    <cellStyle name="Normal 4 2 2 7 3 4 3" xfId="4773"/>
    <cellStyle name="Normal 4 2 2 7 3 4 3 2" xfId="26940"/>
    <cellStyle name="Normal 4 2 2 7 3 4 4" xfId="22446"/>
    <cellStyle name="Normal 4 2 2 7 3 4 4 2" xfId="38658"/>
    <cellStyle name="Normal 4 2 2 7 3 4 5" xfId="23944"/>
    <cellStyle name="Normal 4 2 2 7 3 5" xfId="2221"/>
    <cellStyle name="Normal 4 2 2 7 3 5 2" xfId="24389"/>
    <cellStyle name="Normal 4 2 2 7 3 6" xfId="3720"/>
    <cellStyle name="Normal 4 2 2 7 3 6 2" xfId="25887"/>
    <cellStyle name="Normal 4 2 2 7 3 7" xfId="21393"/>
    <cellStyle name="Normal 4 2 2 7 3 7 2" xfId="37605"/>
    <cellStyle name="Normal 4 2 2 7 3 8" xfId="22891"/>
    <cellStyle name="Normal 4 2 2 7 4" xfId="839"/>
    <cellStyle name="Normal 4 2 2 7 4 2" xfId="2338"/>
    <cellStyle name="Normal 4 2 2 7 4 2 2" xfId="24506"/>
    <cellStyle name="Normal 4 2 2 7 4 3" xfId="3837"/>
    <cellStyle name="Normal 4 2 2 7 4 3 2" xfId="26004"/>
    <cellStyle name="Normal 4 2 2 7 4 4" xfId="21510"/>
    <cellStyle name="Normal 4 2 2 7 4 4 2" xfId="37722"/>
    <cellStyle name="Normal 4 2 2 7 4 5" xfId="23008"/>
    <cellStyle name="Normal 4 2 2 7 5" xfId="1190"/>
    <cellStyle name="Normal 4 2 2 7 5 2" xfId="2689"/>
    <cellStyle name="Normal 4 2 2 7 5 2 2" xfId="24857"/>
    <cellStyle name="Normal 4 2 2 7 5 3" xfId="4188"/>
    <cellStyle name="Normal 4 2 2 7 5 3 2" xfId="26355"/>
    <cellStyle name="Normal 4 2 2 7 5 4" xfId="21861"/>
    <cellStyle name="Normal 4 2 2 7 5 4 2" xfId="38073"/>
    <cellStyle name="Normal 4 2 2 7 5 5" xfId="23359"/>
    <cellStyle name="Normal 4 2 2 7 6" xfId="1541"/>
    <cellStyle name="Normal 4 2 2 7 6 2" xfId="3040"/>
    <cellStyle name="Normal 4 2 2 7 6 2 2" xfId="25208"/>
    <cellStyle name="Normal 4 2 2 7 6 3" xfId="4539"/>
    <cellStyle name="Normal 4 2 2 7 6 3 2" xfId="26706"/>
    <cellStyle name="Normal 4 2 2 7 6 4" xfId="22212"/>
    <cellStyle name="Normal 4 2 2 7 6 4 2" xfId="38424"/>
    <cellStyle name="Normal 4 2 2 7 6 5" xfId="23710"/>
    <cellStyle name="Normal 4 2 2 7 7" xfId="1987"/>
    <cellStyle name="Normal 4 2 2 7 7 2" xfId="24155"/>
    <cellStyle name="Normal 4 2 2 7 8" xfId="3486"/>
    <cellStyle name="Normal 4 2 2 7 8 2" xfId="25653"/>
    <cellStyle name="Normal 4 2 2 7 9" xfId="21159"/>
    <cellStyle name="Normal 4 2 2 7 9 2" xfId="37371"/>
    <cellStyle name="Normal 4 2 2 8" xfId="515"/>
    <cellStyle name="Normal 4 2 2 8 2" xfId="867"/>
    <cellStyle name="Normal 4 2 2 8 2 2" xfId="2366"/>
    <cellStyle name="Normal 4 2 2 8 2 2 2" xfId="24534"/>
    <cellStyle name="Normal 4 2 2 8 2 3" xfId="3865"/>
    <cellStyle name="Normal 4 2 2 8 2 3 2" xfId="26032"/>
    <cellStyle name="Normal 4 2 2 8 2 4" xfId="21538"/>
    <cellStyle name="Normal 4 2 2 8 2 4 2" xfId="37750"/>
    <cellStyle name="Normal 4 2 2 8 2 5" xfId="23036"/>
    <cellStyle name="Normal 4 2 2 8 3" xfId="1218"/>
    <cellStyle name="Normal 4 2 2 8 3 2" xfId="2717"/>
    <cellStyle name="Normal 4 2 2 8 3 2 2" xfId="24885"/>
    <cellStyle name="Normal 4 2 2 8 3 3" xfId="4216"/>
    <cellStyle name="Normal 4 2 2 8 3 3 2" xfId="26383"/>
    <cellStyle name="Normal 4 2 2 8 3 4" xfId="21889"/>
    <cellStyle name="Normal 4 2 2 8 3 4 2" xfId="38101"/>
    <cellStyle name="Normal 4 2 2 8 3 5" xfId="23387"/>
    <cellStyle name="Normal 4 2 2 8 4" xfId="1569"/>
    <cellStyle name="Normal 4 2 2 8 4 2" xfId="3068"/>
    <cellStyle name="Normal 4 2 2 8 4 2 2" xfId="25236"/>
    <cellStyle name="Normal 4 2 2 8 4 3" xfId="4567"/>
    <cellStyle name="Normal 4 2 2 8 4 3 2" xfId="26734"/>
    <cellStyle name="Normal 4 2 2 8 4 4" xfId="22240"/>
    <cellStyle name="Normal 4 2 2 8 4 4 2" xfId="38452"/>
    <cellStyle name="Normal 4 2 2 8 4 5" xfId="23738"/>
    <cellStyle name="Normal 4 2 2 8 5" xfId="2015"/>
    <cellStyle name="Normal 4 2 2 8 5 2" xfId="24183"/>
    <cellStyle name="Normal 4 2 2 8 6" xfId="3514"/>
    <cellStyle name="Normal 4 2 2 8 6 2" xfId="25681"/>
    <cellStyle name="Normal 4 2 2 8 7" xfId="21187"/>
    <cellStyle name="Normal 4 2 2 8 7 2" xfId="37399"/>
    <cellStyle name="Normal 4 2 2 8 8" xfId="22685"/>
    <cellStyle name="Normal 4 2 2 9" xfId="633"/>
    <cellStyle name="Normal 4 2 2 9 2" xfId="984"/>
    <cellStyle name="Normal 4 2 2 9 2 2" xfId="2483"/>
    <cellStyle name="Normal 4 2 2 9 2 2 2" xfId="24651"/>
    <cellStyle name="Normal 4 2 2 9 2 3" xfId="3982"/>
    <cellStyle name="Normal 4 2 2 9 2 3 2" xfId="26149"/>
    <cellStyle name="Normal 4 2 2 9 2 4" xfId="21655"/>
    <cellStyle name="Normal 4 2 2 9 2 4 2" xfId="37867"/>
    <cellStyle name="Normal 4 2 2 9 2 5" xfId="23153"/>
    <cellStyle name="Normal 4 2 2 9 3" xfId="1335"/>
    <cellStyle name="Normal 4 2 2 9 3 2" xfId="2834"/>
    <cellStyle name="Normal 4 2 2 9 3 2 2" xfId="25002"/>
    <cellStyle name="Normal 4 2 2 9 3 3" xfId="4333"/>
    <cellStyle name="Normal 4 2 2 9 3 3 2" xfId="26500"/>
    <cellStyle name="Normal 4 2 2 9 3 4" xfId="22006"/>
    <cellStyle name="Normal 4 2 2 9 3 4 2" xfId="38218"/>
    <cellStyle name="Normal 4 2 2 9 3 5" xfId="23504"/>
    <cellStyle name="Normal 4 2 2 9 4" xfId="1686"/>
    <cellStyle name="Normal 4 2 2 9 4 2" xfId="3185"/>
    <cellStyle name="Normal 4 2 2 9 4 2 2" xfId="25353"/>
    <cellStyle name="Normal 4 2 2 9 4 3" xfId="4684"/>
    <cellStyle name="Normal 4 2 2 9 4 3 2" xfId="26851"/>
    <cellStyle name="Normal 4 2 2 9 4 4" xfId="22357"/>
    <cellStyle name="Normal 4 2 2 9 4 4 2" xfId="38569"/>
    <cellStyle name="Normal 4 2 2 9 4 5" xfId="23855"/>
    <cellStyle name="Normal 4 2 2 9 5" xfId="2132"/>
    <cellStyle name="Normal 4 2 2 9 5 2" xfId="24300"/>
    <cellStyle name="Normal 4 2 2 9 6" xfId="3631"/>
    <cellStyle name="Normal 4 2 2 9 6 2" xfId="25798"/>
    <cellStyle name="Normal 4 2 2 9 7" xfId="21304"/>
    <cellStyle name="Normal 4 2 2 9 7 2" xfId="37516"/>
    <cellStyle name="Normal 4 2 2 9 8" xfId="22802"/>
    <cellStyle name="Normal 4 2 20" xfId="21001"/>
    <cellStyle name="Normal 4 2 20 2" xfId="37213"/>
    <cellStyle name="Normal 4 2 21" xfId="22499"/>
    <cellStyle name="Normal 4 2 22" xfId="293"/>
    <cellStyle name="Normal 4 2 3" xfId="406"/>
    <cellStyle name="Normal 4 2 3 10" xfId="18615"/>
    <cellStyle name="Normal 4 2 3 10 2" xfId="34836"/>
    <cellStyle name="Normal 4 2 3 11" xfId="8221"/>
    <cellStyle name="Normal 4 2 3 11 2" xfId="28152"/>
    <cellStyle name="Normal 4 2 3 12" xfId="21079"/>
    <cellStyle name="Normal 4 2 3 12 2" xfId="37291"/>
    <cellStyle name="Normal 4 2 3 13" xfId="22577"/>
    <cellStyle name="Normal 4 2 3 14" xfId="38899"/>
    <cellStyle name="Normal 4 2 3 2" xfId="458"/>
    <cellStyle name="Normal 4 2 3 2 10" xfId="8222"/>
    <cellStyle name="Normal 4 2 3 2 10 2" xfId="28153"/>
    <cellStyle name="Normal 4 2 3 2 11" xfId="21131"/>
    <cellStyle name="Normal 4 2 3 2 11 2" xfId="37343"/>
    <cellStyle name="Normal 4 2 3 2 12" xfId="22629"/>
    <cellStyle name="Normal 4 2 3 2 2" xfId="576"/>
    <cellStyle name="Normal 4 2 3 2 2 10" xfId="21248"/>
    <cellStyle name="Normal 4 2 3 2 2 10 2" xfId="37460"/>
    <cellStyle name="Normal 4 2 3 2 2 11" xfId="22746"/>
    <cellStyle name="Normal 4 2 3 2 2 2" xfId="928"/>
    <cellStyle name="Normal 4 2 3 2 2 2 2" xfId="2427"/>
    <cellStyle name="Normal 4 2 3 2 2 2 2 2" xfId="8226"/>
    <cellStyle name="Normal 4 2 3 2 2 2 2 2 2" xfId="12819"/>
    <cellStyle name="Normal 4 2 3 2 2 2 2 2 2 2" xfId="20377"/>
    <cellStyle name="Normal 4 2 3 2 2 2 2 2 2 2 2" xfId="36598"/>
    <cellStyle name="Normal 4 2 3 2 2 2 2 2 2 3" xfId="29910"/>
    <cellStyle name="Normal 4 2 3 2 2 2 2 2 3" xfId="17182"/>
    <cellStyle name="Normal 4 2 3 2 2 2 2 2 3 2" xfId="33403"/>
    <cellStyle name="Normal 4 2 3 2 2 2 2 2 4" xfId="18620"/>
    <cellStyle name="Normal 4 2 3 2 2 2 2 2 4 2" xfId="34841"/>
    <cellStyle name="Normal 4 2 3 2 2 2 2 2 5" xfId="28157"/>
    <cellStyle name="Normal 4 2 3 2 2 2 2 3" xfId="12818"/>
    <cellStyle name="Normal 4 2 3 2 2 2 2 3 2" xfId="20376"/>
    <cellStyle name="Normal 4 2 3 2 2 2 2 3 2 2" xfId="36597"/>
    <cellStyle name="Normal 4 2 3 2 2 2 2 3 3" xfId="29909"/>
    <cellStyle name="Normal 4 2 3 2 2 2 2 4" xfId="15597"/>
    <cellStyle name="Normal 4 2 3 2 2 2 2 4 2" xfId="31819"/>
    <cellStyle name="Normal 4 2 3 2 2 2 2 5" xfId="18619"/>
    <cellStyle name="Normal 4 2 3 2 2 2 2 5 2" xfId="34840"/>
    <cellStyle name="Normal 4 2 3 2 2 2 2 6" xfId="8225"/>
    <cellStyle name="Normal 4 2 3 2 2 2 2 6 2" xfId="28156"/>
    <cellStyle name="Normal 4 2 3 2 2 2 2 7" xfId="24595"/>
    <cellStyle name="Normal 4 2 3 2 2 2 3" xfId="3926"/>
    <cellStyle name="Normal 4 2 3 2 2 2 3 2" xfId="12820"/>
    <cellStyle name="Normal 4 2 3 2 2 2 3 2 2" xfId="20378"/>
    <cellStyle name="Normal 4 2 3 2 2 2 3 2 2 2" xfId="36599"/>
    <cellStyle name="Normal 4 2 3 2 2 2 3 2 3" xfId="29911"/>
    <cellStyle name="Normal 4 2 3 2 2 2 3 3" xfId="16390"/>
    <cellStyle name="Normal 4 2 3 2 2 2 3 3 2" xfId="32611"/>
    <cellStyle name="Normal 4 2 3 2 2 2 3 4" xfId="18621"/>
    <cellStyle name="Normal 4 2 3 2 2 2 3 4 2" xfId="34842"/>
    <cellStyle name="Normal 4 2 3 2 2 2 3 5" xfId="8227"/>
    <cellStyle name="Normal 4 2 3 2 2 2 3 5 2" xfId="28158"/>
    <cellStyle name="Normal 4 2 3 2 2 2 3 6" xfId="26093"/>
    <cellStyle name="Normal 4 2 3 2 2 2 4" xfId="12817"/>
    <cellStyle name="Normal 4 2 3 2 2 2 4 2" xfId="20375"/>
    <cellStyle name="Normal 4 2 3 2 2 2 4 2 2" xfId="36596"/>
    <cellStyle name="Normal 4 2 3 2 2 2 4 3" xfId="29908"/>
    <cellStyle name="Normal 4 2 3 2 2 2 5" xfId="14805"/>
    <cellStyle name="Normal 4 2 3 2 2 2 5 2" xfId="31027"/>
    <cellStyle name="Normal 4 2 3 2 2 2 6" xfId="18618"/>
    <cellStyle name="Normal 4 2 3 2 2 2 6 2" xfId="34839"/>
    <cellStyle name="Normal 4 2 3 2 2 2 7" xfId="8224"/>
    <cellStyle name="Normal 4 2 3 2 2 2 7 2" xfId="28155"/>
    <cellStyle name="Normal 4 2 3 2 2 2 8" xfId="21599"/>
    <cellStyle name="Normal 4 2 3 2 2 2 8 2" xfId="37811"/>
    <cellStyle name="Normal 4 2 3 2 2 2 9" xfId="23097"/>
    <cellStyle name="Normal 4 2 3 2 2 3" xfId="1279"/>
    <cellStyle name="Normal 4 2 3 2 2 3 2" xfId="2778"/>
    <cellStyle name="Normal 4 2 3 2 2 3 2 2" xfId="8230"/>
    <cellStyle name="Normal 4 2 3 2 2 3 2 2 2" xfId="12823"/>
    <cellStyle name="Normal 4 2 3 2 2 3 2 2 2 2" xfId="20381"/>
    <cellStyle name="Normal 4 2 3 2 2 3 2 2 2 2 2" xfId="36602"/>
    <cellStyle name="Normal 4 2 3 2 2 3 2 2 2 3" xfId="29914"/>
    <cellStyle name="Normal 4 2 3 2 2 3 2 2 3" xfId="17446"/>
    <cellStyle name="Normal 4 2 3 2 2 3 2 2 3 2" xfId="33667"/>
    <cellStyle name="Normal 4 2 3 2 2 3 2 2 4" xfId="18624"/>
    <cellStyle name="Normal 4 2 3 2 2 3 2 2 4 2" xfId="34845"/>
    <cellStyle name="Normal 4 2 3 2 2 3 2 2 5" xfId="28161"/>
    <cellStyle name="Normal 4 2 3 2 2 3 2 3" xfId="12822"/>
    <cellStyle name="Normal 4 2 3 2 2 3 2 3 2" xfId="20380"/>
    <cellStyle name="Normal 4 2 3 2 2 3 2 3 2 2" xfId="36601"/>
    <cellStyle name="Normal 4 2 3 2 2 3 2 3 3" xfId="29913"/>
    <cellStyle name="Normal 4 2 3 2 2 3 2 4" xfId="15861"/>
    <cellStyle name="Normal 4 2 3 2 2 3 2 4 2" xfId="32083"/>
    <cellStyle name="Normal 4 2 3 2 2 3 2 5" xfId="18623"/>
    <cellStyle name="Normal 4 2 3 2 2 3 2 5 2" xfId="34844"/>
    <cellStyle name="Normal 4 2 3 2 2 3 2 6" xfId="8229"/>
    <cellStyle name="Normal 4 2 3 2 2 3 2 6 2" xfId="28160"/>
    <cellStyle name="Normal 4 2 3 2 2 3 2 7" xfId="24946"/>
    <cellStyle name="Normal 4 2 3 2 2 3 3" xfId="4277"/>
    <cellStyle name="Normal 4 2 3 2 2 3 3 2" xfId="12824"/>
    <cellStyle name="Normal 4 2 3 2 2 3 3 2 2" xfId="20382"/>
    <cellStyle name="Normal 4 2 3 2 2 3 3 2 2 2" xfId="36603"/>
    <cellStyle name="Normal 4 2 3 2 2 3 3 2 3" xfId="29915"/>
    <cellStyle name="Normal 4 2 3 2 2 3 3 3" xfId="16654"/>
    <cellStyle name="Normal 4 2 3 2 2 3 3 3 2" xfId="32875"/>
    <cellStyle name="Normal 4 2 3 2 2 3 3 4" xfId="18625"/>
    <cellStyle name="Normal 4 2 3 2 2 3 3 4 2" xfId="34846"/>
    <cellStyle name="Normal 4 2 3 2 2 3 3 5" xfId="8231"/>
    <cellStyle name="Normal 4 2 3 2 2 3 3 5 2" xfId="28162"/>
    <cellStyle name="Normal 4 2 3 2 2 3 3 6" xfId="26444"/>
    <cellStyle name="Normal 4 2 3 2 2 3 4" xfId="12821"/>
    <cellStyle name="Normal 4 2 3 2 2 3 4 2" xfId="20379"/>
    <cellStyle name="Normal 4 2 3 2 2 3 4 2 2" xfId="36600"/>
    <cellStyle name="Normal 4 2 3 2 2 3 4 3" xfId="29912"/>
    <cellStyle name="Normal 4 2 3 2 2 3 5" xfId="15069"/>
    <cellStyle name="Normal 4 2 3 2 2 3 5 2" xfId="31291"/>
    <cellStyle name="Normal 4 2 3 2 2 3 6" xfId="18622"/>
    <cellStyle name="Normal 4 2 3 2 2 3 6 2" xfId="34843"/>
    <cellStyle name="Normal 4 2 3 2 2 3 7" xfId="8228"/>
    <cellStyle name="Normal 4 2 3 2 2 3 7 2" xfId="28159"/>
    <cellStyle name="Normal 4 2 3 2 2 3 8" xfId="21950"/>
    <cellStyle name="Normal 4 2 3 2 2 3 8 2" xfId="38162"/>
    <cellStyle name="Normal 4 2 3 2 2 3 9" xfId="23448"/>
    <cellStyle name="Normal 4 2 3 2 2 4" xfId="1630"/>
    <cellStyle name="Normal 4 2 3 2 2 4 2" xfId="3129"/>
    <cellStyle name="Normal 4 2 3 2 2 4 2 2" xfId="12826"/>
    <cellStyle name="Normal 4 2 3 2 2 4 2 2 2" xfId="20384"/>
    <cellStyle name="Normal 4 2 3 2 2 4 2 2 2 2" xfId="36605"/>
    <cellStyle name="Normal 4 2 3 2 2 4 2 2 3" xfId="29917"/>
    <cellStyle name="Normal 4 2 3 2 2 4 2 3" xfId="16918"/>
    <cellStyle name="Normal 4 2 3 2 2 4 2 3 2" xfId="33139"/>
    <cellStyle name="Normal 4 2 3 2 2 4 2 4" xfId="18627"/>
    <cellStyle name="Normal 4 2 3 2 2 4 2 4 2" xfId="34848"/>
    <cellStyle name="Normal 4 2 3 2 2 4 2 5" xfId="8233"/>
    <cellStyle name="Normal 4 2 3 2 2 4 2 5 2" xfId="28164"/>
    <cellStyle name="Normal 4 2 3 2 2 4 2 6" xfId="25297"/>
    <cellStyle name="Normal 4 2 3 2 2 4 3" xfId="4628"/>
    <cellStyle name="Normal 4 2 3 2 2 4 3 2" xfId="20383"/>
    <cellStyle name="Normal 4 2 3 2 2 4 3 2 2" xfId="36604"/>
    <cellStyle name="Normal 4 2 3 2 2 4 3 3" xfId="12825"/>
    <cellStyle name="Normal 4 2 3 2 2 4 3 3 2" xfId="29916"/>
    <cellStyle name="Normal 4 2 3 2 2 4 3 4" xfId="26795"/>
    <cellStyle name="Normal 4 2 3 2 2 4 4" xfId="15333"/>
    <cellStyle name="Normal 4 2 3 2 2 4 4 2" xfId="31555"/>
    <cellStyle name="Normal 4 2 3 2 2 4 5" xfId="18626"/>
    <cellStyle name="Normal 4 2 3 2 2 4 5 2" xfId="34847"/>
    <cellStyle name="Normal 4 2 3 2 2 4 6" xfId="8232"/>
    <cellStyle name="Normal 4 2 3 2 2 4 6 2" xfId="28163"/>
    <cellStyle name="Normal 4 2 3 2 2 4 7" xfId="22301"/>
    <cellStyle name="Normal 4 2 3 2 2 4 7 2" xfId="38513"/>
    <cellStyle name="Normal 4 2 3 2 2 4 8" xfId="23799"/>
    <cellStyle name="Normal 4 2 3 2 2 5" xfId="2076"/>
    <cellStyle name="Normal 4 2 3 2 2 5 2" xfId="12827"/>
    <cellStyle name="Normal 4 2 3 2 2 5 2 2" xfId="20385"/>
    <cellStyle name="Normal 4 2 3 2 2 5 2 2 2" xfId="36606"/>
    <cellStyle name="Normal 4 2 3 2 2 5 2 3" xfId="29918"/>
    <cellStyle name="Normal 4 2 3 2 2 5 3" xfId="16126"/>
    <cellStyle name="Normal 4 2 3 2 2 5 3 2" xfId="32347"/>
    <cellStyle name="Normal 4 2 3 2 2 5 4" xfId="18628"/>
    <cellStyle name="Normal 4 2 3 2 2 5 4 2" xfId="34849"/>
    <cellStyle name="Normal 4 2 3 2 2 5 5" xfId="8234"/>
    <cellStyle name="Normal 4 2 3 2 2 5 5 2" xfId="28165"/>
    <cellStyle name="Normal 4 2 3 2 2 5 6" xfId="24244"/>
    <cellStyle name="Normal 4 2 3 2 2 6" xfId="3575"/>
    <cellStyle name="Normal 4 2 3 2 2 6 2" xfId="20374"/>
    <cellStyle name="Normal 4 2 3 2 2 6 2 2" xfId="36595"/>
    <cellStyle name="Normal 4 2 3 2 2 6 3" xfId="12816"/>
    <cellStyle name="Normal 4 2 3 2 2 6 3 2" xfId="29907"/>
    <cellStyle name="Normal 4 2 3 2 2 6 4" xfId="25742"/>
    <cellStyle name="Normal 4 2 3 2 2 7" xfId="14541"/>
    <cellStyle name="Normal 4 2 3 2 2 7 2" xfId="30763"/>
    <cellStyle name="Normal 4 2 3 2 2 8" xfId="18617"/>
    <cellStyle name="Normal 4 2 3 2 2 8 2" xfId="34838"/>
    <cellStyle name="Normal 4 2 3 2 2 9" xfId="8223"/>
    <cellStyle name="Normal 4 2 3 2 2 9 2" xfId="28154"/>
    <cellStyle name="Normal 4 2 3 2 3" xfId="694"/>
    <cellStyle name="Normal 4 2 3 2 3 2" xfId="1045"/>
    <cellStyle name="Normal 4 2 3 2 3 2 2" xfId="2544"/>
    <cellStyle name="Normal 4 2 3 2 3 2 2 2" xfId="12830"/>
    <cellStyle name="Normal 4 2 3 2 3 2 2 2 2" xfId="20388"/>
    <cellStyle name="Normal 4 2 3 2 3 2 2 2 2 2" xfId="36609"/>
    <cellStyle name="Normal 4 2 3 2 3 2 2 2 3" xfId="29921"/>
    <cellStyle name="Normal 4 2 3 2 3 2 2 3" xfId="17050"/>
    <cellStyle name="Normal 4 2 3 2 3 2 2 3 2" xfId="33271"/>
    <cellStyle name="Normal 4 2 3 2 3 2 2 4" xfId="18631"/>
    <cellStyle name="Normal 4 2 3 2 3 2 2 4 2" xfId="34852"/>
    <cellStyle name="Normal 4 2 3 2 3 2 2 5" xfId="8237"/>
    <cellStyle name="Normal 4 2 3 2 3 2 2 5 2" xfId="28168"/>
    <cellStyle name="Normal 4 2 3 2 3 2 2 6" xfId="24712"/>
    <cellStyle name="Normal 4 2 3 2 3 2 3" xfId="4043"/>
    <cellStyle name="Normal 4 2 3 2 3 2 3 2" xfId="20387"/>
    <cellStyle name="Normal 4 2 3 2 3 2 3 2 2" xfId="36608"/>
    <cellStyle name="Normal 4 2 3 2 3 2 3 3" xfId="12829"/>
    <cellStyle name="Normal 4 2 3 2 3 2 3 3 2" xfId="29920"/>
    <cellStyle name="Normal 4 2 3 2 3 2 3 4" xfId="26210"/>
    <cellStyle name="Normal 4 2 3 2 3 2 4" xfId="15465"/>
    <cellStyle name="Normal 4 2 3 2 3 2 4 2" xfId="31687"/>
    <cellStyle name="Normal 4 2 3 2 3 2 5" xfId="18630"/>
    <cellStyle name="Normal 4 2 3 2 3 2 5 2" xfId="34851"/>
    <cellStyle name="Normal 4 2 3 2 3 2 6" xfId="8236"/>
    <cellStyle name="Normal 4 2 3 2 3 2 6 2" xfId="28167"/>
    <cellStyle name="Normal 4 2 3 2 3 2 7" xfId="21716"/>
    <cellStyle name="Normal 4 2 3 2 3 2 7 2" xfId="37928"/>
    <cellStyle name="Normal 4 2 3 2 3 2 8" xfId="23214"/>
    <cellStyle name="Normal 4 2 3 2 3 3" xfId="1396"/>
    <cellStyle name="Normal 4 2 3 2 3 3 2" xfId="2895"/>
    <cellStyle name="Normal 4 2 3 2 3 3 2 2" xfId="20389"/>
    <cellStyle name="Normal 4 2 3 2 3 3 2 2 2" xfId="36610"/>
    <cellStyle name="Normal 4 2 3 2 3 3 2 3" xfId="12831"/>
    <cellStyle name="Normal 4 2 3 2 3 3 2 3 2" xfId="29922"/>
    <cellStyle name="Normal 4 2 3 2 3 3 2 4" xfId="25063"/>
    <cellStyle name="Normal 4 2 3 2 3 3 3" xfId="4394"/>
    <cellStyle name="Normal 4 2 3 2 3 3 3 2" xfId="16258"/>
    <cellStyle name="Normal 4 2 3 2 3 3 3 2 2" xfId="32479"/>
    <cellStyle name="Normal 4 2 3 2 3 3 3 3" xfId="26561"/>
    <cellStyle name="Normal 4 2 3 2 3 3 4" xfId="18632"/>
    <cellStyle name="Normal 4 2 3 2 3 3 4 2" xfId="34853"/>
    <cellStyle name="Normal 4 2 3 2 3 3 5" xfId="8238"/>
    <cellStyle name="Normal 4 2 3 2 3 3 5 2" xfId="28169"/>
    <cellStyle name="Normal 4 2 3 2 3 3 6" xfId="22067"/>
    <cellStyle name="Normal 4 2 3 2 3 3 6 2" xfId="38279"/>
    <cellStyle name="Normal 4 2 3 2 3 3 7" xfId="23565"/>
    <cellStyle name="Normal 4 2 3 2 3 4" xfId="1747"/>
    <cellStyle name="Normal 4 2 3 2 3 4 2" xfId="3246"/>
    <cellStyle name="Normal 4 2 3 2 3 4 2 2" xfId="20386"/>
    <cellStyle name="Normal 4 2 3 2 3 4 2 2 2" xfId="36607"/>
    <cellStyle name="Normal 4 2 3 2 3 4 2 3" xfId="25414"/>
    <cellStyle name="Normal 4 2 3 2 3 4 3" xfId="4745"/>
    <cellStyle name="Normal 4 2 3 2 3 4 3 2" xfId="26912"/>
    <cellStyle name="Normal 4 2 3 2 3 4 4" xfId="12828"/>
    <cellStyle name="Normal 4 2 3 2 3 4 4 2" xfId="29919"/>
    <cellStyle name="Normal 4 2 3 2 3 4 5" xfId="22418"/>
    <cellStyle name="Normal 4 2 3 2 3 4 5 2" xfId="38630"/>
    <cellStyle name="Normal 4 2 3 2 3 4 6" xfId="23916"/>
    <cellStyle name="Normal 4 2 3 2 3 5" xfId="2193"/>
    <cellStyle name="Normal 4 2 3 2 3 5 2" xfId="14673"/>
    <cellStyle name="Normal 4 2 3 2 3 5 2 2" xfId="30895"/>
    <cellStyle name="Normal 4 2 3 2 3 5 3" xfId="24361"/>
    <cellStyle name="Normal 4 2 3 2 3 6" xfId="3692"/>
    <cellStyle name="Normal 4 2 3 2 3 6 2" xfId="18629"/>
    <cellStyle name="Normal 4 2 3 2 3 6 2 2" xfId="34850"/>
    <cellStyle name="Normal 4 2 3 2 3 6 3" xfId="25859"/>
    <cellStyle name="Normal 4 2 3 2 3 7" xfId="8235"/>
    <cellStyle name="Normal 4 2 3 2 3 7 2" xfId="28166"/>
    <cellStyle name="Normal 4 2 3 2 3 8" xfId="21365"/>
    <cellStyle name="Normal 4 2 3 2 3 8 2" xfId="37577"/>
    <cellStyle name="Normal 4 2 3 2 3 9" xfId="22863"/>
    <cellStyle name="Normal 4 2 3 2 4" xfId="811"/>
    <cellStyle name="Normal 4 2 3 2 4 2" xfId="2310"/>
    <cellStyle name="Normal 4 2 3 2 4 2 2" xfId="8241"/>
    <cellStyle name="Normal 4 2 3 2 4 2 2 2" xfId="12834"/>
    <cellStyle name="Normal 4 2 3 2 4 2 2 2 2" xfId="20392"/>
    <cellStyle name="Normal 4 2 3 2 4 2 2 2 2 2" xfId="36613"/>
    <cellStyle name="Normal 4 2 3 2 4 2 2 2 3" xfId="29925"/>
    <cellStyle name="Normal 4 2 3 2 4 2 2 3" xfId="17314"/>
    <cellStyle name="Normal 4 2 3 2 4 2 2 3 2" xfId="33535"/>
    <cellStyle name="Normal 4 2 3 2 4 2 2 4" xfId="18635"/>
    <cellStyle name="Normal 4 2 3 2 4 2 2 4 2" xfId="34856"/>
    <cellStyle name="Normal 4 2 3 2 4 2 2 5" xfId="28172"/>
    <cellStyle name="Normal 4 2 3 2 4 2 3" xfId="12833"/>
    <cellStyle name="Normal 4 2 3 2 4 2 3 2" xfId="20391"/>
    <cellStyle name="Normal 4 2 3 2 4 2 3 2 2" xfId="36612"/>
    <cellStyle name="Normal 4 2 3 2 4 2 3 3" xfId="29924"/>
    <cellStyle name="Normal 4 2 3 2 4 2 4" xfId="15729"/>
    <cellStyle name="Normal 4 2 3 2 4 2 4 2" xfId="31951"/>
    <cellStyle name="Normal 4 2 3 2 4 2 5" xfId="18634"/>
    <cellStyle name="Normal 4 2 3 2 4 2 5 2" xfId="34855"/>
    <cellStyle name="Normal 4 2 3 2 4 2 6" xfId="8240"/>
    <cellStyle name="Normal 4 2 3 2 4 2 6 2" xfId="28171"/>
    <cellStyle name="Normal 4 2 3 2 4 2 7" xfId="24478"/>
    <cellStyle name="Normal 4 2 3 2 4 3" xfId="3809"/>
    <cellStyle name="Normal 4 2 3 2 4 3 2" xfId="12835"/>
    <cellStyle name="Normal 4 2 3 2 4 3 2 2" xfId="20393"/>
    <cellStyle name="Normal 4 2 3 2 4 3 2 2 2" xfId="36614"/>
    <cellStyle name="Normal 4 2 3 2 4 3 2 3" xfId="29926"/>
    <cellStyle name="Normal 4 2 3 2 4 3 3" xfId="16522"/>
    <cellStyle name="Normal 4 2 3 2 4 3 3 2" xfId="32743"/>
    <cellStyle name="Normal 4 2 3 2 4 3 4" xfId="18636"/>
    <cellStyle name="Normal 4 2 3 2 4 3 4 2" xfId="34857"/>
    <cellStyle name="Normal 4 2 3 2 4 3 5" xfId="8242"/>
    <cellStyle name="Normal 4 2 3 2 4 3 5 2" xfId="28173"/>
    <cellStyle name="Normal 4 2 3 2 4 3 6" xfId="25976"/>
    <cellStyle name="Normal 4 2 3 2 4 4" xfId="12832"/>
    <cellStyle name="Normal 4 2 3 2 4 4 2" xfId="20390"/>
    <cellStyle name="Normal 4 2 3 2 4 4 2 2" xfId="36611"/>
    <cellStyle name="Normal 4 2 3 2 4 4 3" xfId="29923"/>
    <cellStyle name="Normal 4 2 3 2 4 5" xfId="14937"/>
    <cellStyle name="Normal 4 2 3 2 4 5 2" xfId="31159"/>
    <cellStyle name="Normal 4 2 3 2 4 6" xfId="18633"/>
    <cellStyle name="Normal 4 2 3 2 4 6 2" xfId="34854"/>
    <cellStyle name="Normal 4 2 3 2 4 7" xfId="8239"/>
    <cellStyle name="Normal 4 2 3 2 4 7 2" xfId="28170"/>
    <cellStyle name="Normal 4 2 3 2 4 8" xfId="21482"/>
    <cellStyle name="Normal 4 2 3 2 4 8 2" xfId="37694"/>
    <cellStyle name="Normal 4 2 3 2 4 9" xfId="22980"/>
    <cellStyle name="Normal 4 2 3 2 5" xfId="1162"/>
    <cellStyle name="Normal 4 2 3 2 5 2" xfId="2661"/>
    <cellStyle name="Normal 4 2 3 2 5 2 2" xfId="12837"/>
    <cellStyle name="Normal 4 2 3 2 5 2 2 2" xfId="20395"/>
    <cellStyle name="Normal 4 2 3 2 5 2 2 2 2" xfId="36616"/>
    <cellStyle name="Normal 4 2 3 2 5 2 2 3" xfId="29928"/>
    <cellStyle name="Normal 4 2 3 2 5 2 3" xfId="16786"/>
    <cellStyle name="Normal 4 2 3 2 5 2 3 2" xfId="33007"/>
    <cellStyle name="Normal 4 2 3 2 5 2 4" xfId="18638"/>
    <cellStyle name="Normal 4 2 3 2 5 2 4 2" xfId="34859"/>
    <cellStyle name="Normal 4 2 3 2 5 2 5" xfId="8244"/>
    <cellStyle name="Normal 4 2 3 2 5 2 5 2" xfId="28175"/>
    <cellStyle name="Normal 4 2 3 2 5 2 6" xfId="24829"/>
    <cellStyle name="Normal 4 2 3 2 5 3" xfId="4160"/>
    <cellStyle name="Normal 4 2 3 2 5 3 2" xfId="20394"/>
    <cellStyle name="Normal 4 2 3 2 5 3 2 2" xfId="36615"/>
    <cellStyle name="Normal 4 2 3 2 5 3 3" xfId="12836"/>
    <cellStyle name="Normal 4 2 3 2 5 3 3 2" xfId="29927"/>
    <cellStyle name="Normal 4 2 3 2 5 3 4" xfId="26327"/>
    <cellStyle name="Normal 4 2 3 2 5 4" xfId="15201"/>
    <cellStyle name="Normal 4 2 3 2 5 4 2" xfId="31423"/>
    <cellStyle name="Normal 4 2 3 2 5 5" xfId="18637"/>
    <cellStyle name="Normal 4 2 3 2 5 5 2" xfId="34858"/>
    <cellStyle name="Normal 4 2 3 2 5 6" xfId="8243"/>
    <cellStyle name="Normal 4 2 3 2 5 6 2" xfId="28174"/>
    <cellStyle name="Normal 4 2 3 2 5 7" xfId="21833"/>
    <cellStyle name="Normal 4 2 3 2 5 7 2" xfId="38045"/>
    <cellStyle name="Normal 4 2 3 2 5 8" xfId="23331"/>
    <cellStyle name="Normal 4 2 3 2 6" xfId="1513"/>
    <cellStyle name="Normal 4 2 3 2 6 2" xfId="3012"/>
    <cellStyle name="Normal 4 2 3 2 6 2 2" xfId="20396"/>
    <cellStyle name="Normal 4 2 3 2 6 2 2 2" xfId="36617"/>
    <cellStyle name="Normal 4 2 3 2 6 2 3" xfId="12838"/>
    <cellStyle name="Normal 4 2 3 2 6 2 3 2" xfId="29929"/>
    <cellStyle name="Normal 4 2 3 2 6 2 4" xfId="25180"/>
    <cellStyle name="Normal 4 2 3 2 6 3" xfId="4511"/>
    <cellStyle name="Normal 4 2 3 2 6 3 2" xfId="15994"/>
    <cellStyle name="Normal 4 2 3 2 6 3 2 2" xfId="32215"/>
    <cellStyle name="Normal 4 2 3 2 6 3 3" xfId="26678"/>
    <cellStyle name="Normal 4 2 3 2 6 4" xfId="18639"/>
    <cellStyle name="Normal 4 2 3 2 6 4 2" xfId="34860"/>
    <cellStyle name="Normal 4 2 3 2 6 5" xfId="8245"/>
    <cellStyle name="Normal 4 2 3 2 6 5 2" xfId="28176"/>
    <cellStyle name="Normal 4 2 3 2 6 6" xfId="22184"/>
    <cellStyle name="Normal 4 2 3 2 6 6 2" xfId="38396"/>
    <cellStyle name="Normal 4 2 3 2 6 7" xfId="23682"/>
    <cellStyle name="Normal 4 2 3 2 7" xfId="1959"/>
    <cellStyle name="Normal 4 2 3 2 7 2" xfId="20373"/>
    <cellStyle name="Normal 4 2 3 2 7 2 2" xfId="36594"/>
    <cellStyle name="Normal 4 2 3 2 7 3" xfId="12815"/>
    <cellStyle name="Normal 4 2 3 2 7 3 2" xfId="29906"/>
    <cellStyle name="Normal 4 2 3 2 7 4" xfId="24127"/>
    <cellStyle name="Normal 4 2 3 2 8" xfId="3458"/>
    <cellStyle name="Normal 4 2 3 2 8 2" xfId="14409"/>
    <cellStyle name="Normal 4 2 3 2 8 2 2" xfId="30631"/>
    <cellStyle name="Normal 4 2 3 2 8 3" xfId="25625"/>
    <cellStyle name="Normal 4 2 3 2 9" xfId="18616"/>
    <cellStyle name="Normal 4 2 3 2 9 2" xfId="34837"/>
    <cellStyle name="Normal 4 2 3 3" xfId="524"/>
    <cellStyle name="Normal 4 2 3 3 10" xfId="21196"/>
    <cellStyle name="Normal 4 2 3 3 10 2" xfId="37408"/>
    <cellStyle name="Normal 4 2 3 3 11" xfId="22694"/>
    <cellStyle name="Normal 4 2 3 3 2" xfId="876"/>
    <cellStyle name="Normal 4 2 3 3 2 2" xfId="2375"/>
    <cellStyle name="Normal 4 2 3 3 2 2 2" xfId="8249"/>
    <cellStyle name="Normal 4 2 3 3 2 2 2 2" xfId="12842"/>
    <cellStyle name="Normal 4 2 3 3 2 2 2 2 2" xfId="20400"/>
    <cellStyle name="Normal 4 2 3 3 2 2 2 2 2 2" xfId="36621"/>
    <cellStyle name="Normal 4 2 3 3 2 2 2 2 3" xfId="29933"/>
    <cellStyle name="Normal 4 2 3 3 2 2 2 3" xfId="17116"/>
    <cellStyle name="Normal 4 2 3 3 2 2 2 3 2" xfId="33337"/>
    <cellStyle name="Normal 4 2 3 3 2 2 2 4" xfId="18643"/>
    <cellStyle name="Normal 4 2 3 3 2 2 2 4 2" xfId="34864"/>
    <cellStyle name="Normal 4 2 3 3 2 2 2 5" xfId="28180"/>
    <cellStyle name="Normal 4 2 3 3 2 2 3" xfId="12841"/>
    <cellStyle name="Normal 4 2 3 3 2 2 3 2" xfId="20399"/>
    <cellStyle name="Normal 4 2 3 3 2 2 3 2 2" xfId="36620"/>
    <cellStyle name="Normal 4 2 3 3 2 2 3 3" xfId="29932"/>
    <cellStyle name="Normal 4 2 3 3 2 2 4" xfId="15531"/>
    <cellStyle name="Normal 4 2 3 3 2 2 4 2" xfId="31753"/>
    <cellStyle name="Normal 4 2 3 3 2 2 5" xfId="18642"/>
    <cellStyle name="Normal 4 2 3 3 2 2 5 2" xfId="34863"/>
    <cellStyle name="Normal 4 2 3 3 2 2 6" xfId="8248"/>
    <cellStyle name="Normal 4 2 3 3 2 2 6 2" xfId="28179"/>
    <cellStyle name="Normal 4 2 3 3 2 2 7" xfId="24543"/>
    <cellStyle name="Normal 4 2 3 3 2 3" xfId="3874"/>
    <cellStyle name="Normal 4 2 3 3 2 3 2" xfId="12843"/>
    <cellStyle name="Normal 4 2 3 3 2 3 2 2" xfId="20401"/>
    <cellStyle name="Normal 4 2 3 3 2 3 2 2 2" xfId="36622"/>
    <cellStyle name="Normal 4 2 3 3 2 3 2 3" xfId="29934"/>
    <cellStyle name="Normal 4 2 3 3 2 3 3" xfId="16324"/>
    <cellStyle name="Normal 4 2 3 3 2 3 3 2" xfId="32545"/>
    <cellStyle name="Normal 4 2 3 3 2 3 4" xfId="18644"/>
    <cellStyle name="Normal 4 2 3 3 2 3 4 2" xfId="34865"/>
    <cellStyle name="Normal 4 2 3 3 2 3 5" xfId="8250"/>
    <cellStyle name="Normal 4 2 3 3 2 3 5 2" xfId="28181"/>
    <cellStyle name="Normal 4 2 3 3 2 3 6" xfId="26041"/>
    <cellStyle name="Normal 4 2 3 3 2 4" xfId="12840"/>
    <cellStyle name="Normal 4 2 3 3 2 4 2" xfId="20398"/>
    <cellStyle name="Normal 4 2 3 3 2 4 2 2" xfId="36619"/>
    <cellStyle name="Normal 4 2 3 3 2 4 3" xfId="29931"/>
    <cellStyle name="Normal 4 2 3 3 2 5" xfId="14739"/>
    <cellStyle name="Normal 4 2 3 3 2 5 2" xfId="30961"/>
    <cellStyle name="Normal 4 2 3 3 2 6" xfId="18641"/>
    <cellStyle name="Normal 4 2 3 3 2 6 2" xfId="34862"/>
    <cellStyle name="Normal 4 2 3 3 2 7" xfId="8247"/>
    <cellStyle name="Normal 4 2 3 3 2 7 2" xfId="28178"/>
    <cellStyle name="Normal 4 2 3 3 2 8" xfId="21547"/>
    <cellStyle name="Normal 4 2 3 3 2 8 2" xfId="37759"/>
    <cellStyle name="Normal 4 2 3 3 2 9" xfId="23045"/>
    <cellStyle name="Normal 4 2 3 3 3" xfId="1227"/>
    <cellStyle name="Normal 4 2 3 3 3 2" xfId="2726"/>
    <cellStyle name="Normal 4 2 3 3 3 2 2" xfId="8253"/>
    <cellStyle name="Normal 4 2 3 3 3 2 2 2" xfId="12846"/>
    <cellStyle name="Normal 4 2 3 3 3 2 2 2 2" xfId="20404"/>
    <cellStyle name="Normal 4 2 3 3 3 2 2 2 2 2" xfId="36625"/>
    <cellStyle name="Normal 4 2 3 3 3 2 2 2 3" xfId="29937"/>
    <cellStyle name="Normal 4 2 3 3 3 2 2 3" xfId="17380"/>
    <cellStyle name="Normal 4 2 3 3 3 2 2 3 2" xfId="33601"/>
    <cellStyle name="Normal 4 2 3 3 3 2 2 4" xfId="18647"/>
    <cellStyle name="Normal 4 2 3 3 3 2 2 4 2" xfId="34868"/>
    <cellStyle name="Normal 4 2 3 3 3 2 2 5" xfId="28184"/>
    <cellStyle name="Normal 4 2 3 3 3 2 3" xfId="12845"/>
    <cellStyle name="Normal 4 2 3 3 3 2 3 2" xfId="20403"/>
    <cellStyle name="Normal 4 2 3 3 3 2 3 2 2" xfId="36624"/>
    <cellStyle name="Normal 4 2 3 3 3 2 3 3" xfId="29936"/>
    <cellStyle name="Normal 4 2 3 3 3 2 4" xfId="15795"/>
    <cellStyle name="Normal 4 2 3 3 3 2 4 2" xfId="32017"/>
    <cellStyle name="Normal 4 2 3 3 3 2 5" xfId="18646"/>
    <cellStyle name="Normal 4 2 3 3 3 2 5 2" xfId="34867"/>
    <cellStyle name="Normal 4 2 3 3 3 2 6" xfId="8252"/>
    <cellStyle name="Normal 4 2 3 3 3 2 6 2" xfId="28183"/>
    <cellStyle name="Normal 4 2 3 3 3 2 7" xfId="24894"/>
    <cellStyle name="Normal 4 2 3 3 3 3" xfId="4225"/>
    <cellStyle name="Normal 4 2 3 3 3 3 2" xfId="12847"/>
    <cellStyle name="Normal 4 2 3 3 3 3 2 2" xfId="20405"/>
    <cellStyle name="Normal 4 2 3 3 3 3 2 2 2" xfId="36626"/>
    <cellStyle name="Normal 4 2 3 3 3 3 2 3" xfId="29938"/>
    <cellStyle name="Normal 4 2 3 3 3 3 3" xfId="16588"/>
    <cellStyle name="Normal 4 2 3 3 3 3 3 2" xfId="32809"/>
    <cellStyle name="Normal 4 2 3 3 3 3 4" xfId="18648"/>
    <cellStyle name="Normal 4 2 3 3 3 3 4 2" xfId="34869"/>
    <cellStyle name="Normal 4 2 3 3 3 3 5" xfId="8254"/>
    <cellStyle name="Normal 4 2 3 3 3 3 5 2" xfId="28185"/>
    <cellStyle name="Normal 4 2 3 3 3 3 6" xfId="26392"/>
    <cellStyle name="Normal 4 2 3 3 3 4" xfId="12844"/>
    <cellStyle name="Normal 4 2 3 3 3 4 2" xfId="20402"/>
    <cellStyle name="Normal 4 2 3 3 3 4 2 2" xfId="36623"/>
    <cellStyle name="Normal 4 2 3 3 3 4 3" xfId="29935"/>
    <cellStyle name="Normal 4 2 3 3 3 5" xfId="15003"/>
    <cellStyle name="Normal 4 2 3 3 3 5 2" xfId="31225"/>
    <cellStyle name="Normal 4 2 3 3 3 6" xfId="18645"/>
    <cellStyle name="Normal 4 2 3 3 3 6 2" xfId="34866"/>
    <cellStyle name="Normal 4 2 3 3 3 7" xfId="8251"/>
    <cellStyle name="Normal 4 2 3 3 3 7 2" xfId="28182"/>
    <cellStyle name="Normal 4 2 3 3 3 8" xfId="21898"/>
    <cellStyle name="Normal 4 2 3 3 3 8 2" xfId="38110"/>
    <cellStyle name="Normal 4 2 3 3 3 9" xfId="23396"/>
    <cellStyle name="Normal 4 2 3 3 4" xfId="1578"/>
    <cellStyle name="Normal 4 2 3 3 4 2" xfId="3077"/>
    <cellStyle name="Normal 4 2 3 3 4 2 2" xfId="12849"/>
    <cellStyle name="Normal 4 2 3 3 4 2 2 2" xfId="20407"/>
    <cellStyle name="Normal 4 2 3 3 4 2 2 2 2" xfId="36628"/>
    <cellStyle name="Normal 4 2 3 3 4 2 2 3" xfId="29940"/>
    <cellStyle name="Normal 4 2 3 3 4 2 3" xfId="16852"/>
    <cellStyle name="Normal 4 2 3 3 4 2 3 2" xfId="33073"/>
    <cellStyle name="Normal 4 2 3 3 4 2 4" xfId="18650"/>
    <cellStyle name="Normal 4 2 3 3 4 2 4 2" xfId="34871"/>
    <cellStyle name="Normal 4 2 3 3 4 2 5" xfId="8256"/>
    <cellStyle name="Normal 4 2 3 3 4 2 5 2" xfId="28187"/>
    <cellStyle name="Normal 4 2 3 3 4 2 6" xfId="25245"/>
    <cellStyle name="Normal 4 2 3 3 4 3" xfId="4576"/>
    <cellStyle name="Normal 4 2 3 3 4 3 2" xfId="20406"/>
    <cellStyle name="Normal 4 2 3 3 4 3 2 2" xfId="36627"/>
    <cellStyle name="Normal 4 2 3 3 4 3 3" xfId="12848"/>
    <cellStyle name="Normal 4 2 3 3 4 3 3 2" xfId="29939"/>
    <cellStyle name="Normal 4 2 3 3 4 3 4" xfId="26743"/>
    <cellStyle name="Normal 4 2 3 3 4 4" xfId="15267"/>
    <cellStyle name="Normal 4 2 3 3 4 4 2" xfId="31489"/>
    <cellStyle name="Normal 4 2 3 3 4 5" xfId="18649"/>
    <cellStyle name="Normal 4 2 3 3 4 5 2" xfId="34870"/>
    <cellStyle name="Normal 4 2 3 3 4 6" xfId="8255"/>
    <cellStyle name="Normal 4 2 3 3 4 6 2" xfId="28186"/>
    <cellStyle name="Normal 4 2 3 3 4 7" xfId="22249"/>
    <cellStyle name="Normal 4 2 3 3 4 7 2" xfId="38461"/>
    <cellStyle name="Normal 4 2 3 3 4 8" xfId="23747"/>
    <cellStyle name="Normal 4 2 3 3 5" xfId="2024"/>
    <cellStyle name="Normal 4 2 3 3 5 2" xfId="12850"/>
    <cellStyle name="Normal 4 2 3 3 5 2 2" xfId="20408"/>
    <cellStyle name="Normal 4 2 3 3 5 2 2 2" xfId="36629"/>
    <cellStyle name="Normal 4 2 3 3 5 2 3" xfId="29941"/>
    <cellStyle name="Normal 4 2 3 3 5 3" xfId="16060"/>
    <cellStyle name="Normal 4 2 3 3 5 3 2" xfId="32281"/>
    <cellStyle name="Normal 4 2 3 3 5 4" xfId="18651"/>
    <cellStyle name="Normal 4 2 3 3 5 4 2" xfId="34872"/>
    <cellStyle name="Normal 4 2 3 3 5 5" xfId="8257"/>
    <cellStyle name="Normal 4 2 3 3 5 5 2" xfId="28188"/>
    <cellStyle name="Normal 4 2 3 3 5 6" xfId="24192"/>
    <cellStyle name="Normal 4 2 3 3 6" xfId="3523"/>
    <cellStyle name="Normal 4 2 3 3 6 2" xfId="20397"/>
    <cellStyle name="Normal 4 2 3 3 6 2 2" xfId="36618"/>
    <cellStyle name="Normal 4 2 3 3 6 3" xfId="12839"/>
    <cellStyle name="Normal 4 2 3 3 6 3 2" xfId="29930"/>
    <cellStyle name="Normal 4 2 3 3 6 4" xfId="25690"/>
    <cellStyle name="Normal 4 2 3 3 7" xfId="14475"/>
    <cellStyle name="Normal 4 2 3 3 7 2" xfId="30697"/>
    <cellStyle name="Normal 4 2 3 3 8" xfId="18640"/>
    <cellStyle name="Normal 4 2 3 3 8 2" xfId="34861"/>
    <cellStyle name="Normal 4 2 3 3 9" xfId="8246"/>
    <cellStyle name="Normal 4 2 3 3 9 2" xfId="28177"/>
    <cellStyle name="Normal 4 2 3 4" xfId="642"/>
    <cellStyle name="Normal 4 2 3 4 2" xfId="993"/>
    <cellStyle name="Normal 4 2 3 4 2 2" xfId="2492"/>
    <cellStyle name="Normal 4 2 3 4 2 2 2" xfId="12853"/>
    <cellStyle name="Normal 4 2 3 4 2 2 2 2" xfId="20411"/>
    <cellStyle name="Normal 4 2 3 4 2 2 2 2 2" xfId="36632"/>
    <cellStyle name="Normal 4 2 3 4 2 2 2 3" xfId="29944"/>
    <cellStyle name="Normal 4 2 3 4 2 2 3" xfId="16984"/>
    <cellStyle name="Normal 4 2 3 4 2 2 3 2" xfId="33205"/>
    <cellStyle name="Normal 4 2 3 4 2 2 4" xfId="18654"/>
    <cellStyle name="Normal 4 2 3 4 2 2 4 2" xfId="34875"/>
    <cellStyle name="Normal 4 2 3 4 2 2 5" xfId="8260"/>
    <cellStyle name="Normal 4 2 3 4 2 2 5 2" xfId="28191"/>
    <cellStyle name="Normal 4 2 3 4 2 2 6" xfId="24660"/>
    <cellStyle name="Normal 4 2 3 4 2 3" xfId="3991"/>
    <cellStyle name="Normal 4 2 3 4 2 3 2" xfId="20410"/>
    <cellStyle name="Normal 4 2 3 4 2 3 2 2" xfId="36631"/>
    <cellStyle name="Normal 4 2 3 4 2 3 3" xfId="12852"/>
    <cellStyle name="Normal 4 2 3 4 2 3 3 2" xfId="29943"/>
    <cellStyle name="Normal 4 2 3 4 2 3 4" xfId="26158"/>
    <cellStyle name="Normal 4 2 3 4 2 4" xfId="15399"/>
    <cellStyle name="Normal 4 2 3 4 2 4 2" xfId="31621"/>
    <cellStyle name="Normal 4 2 3 4 2 5" xfId="18653"/>
    <cellStyle name="Normal 4 2 3 4 2 5 2" xfId="34874"/>
    <cellStyle name="Normal 4 2 3 4 2 6" xfId="8259"/>
    <cellStyle name="Normal 4 2 3 4 2 6 2" xfId="28190"/>
    <cellStyle name="Normal 4 2 3 4 2 7" xfId="21664"/>
    <cellStyle name="Normal 4 2 3 4 2 7 2" xfId="37876"/>
    <cellStyle name="Normal 4 2 3 4 2 8" xfId="23162"/>
    <cellStyle name="Normal 4 2 3 4 3" xfId="1344"/>
    <cellStyle name="Normal 4 2 3 4 3 2" xfId="2843"/>
    <cellStyle name="Normal 4 2 3 4 3 2 2" xfId="20412"/>
    <cellStyle name="Normal 4 2 3 4 3 2 2 2" xfId="36633"/>
    <cellStyle name="Normal 4 2 3 4 3 2 3" xfId="12854"/>
    <cellStyle name="Normal 4 2 3 4 3 2 3 2" xfId="29945"/>
    <cellStyle name="Normal 4 2 3 4 3 2 4" xfId="25011"/>
    <cellStyle name="Normal 4 2 3 4 3 3" xfId="4342"/>
    <cellStyle name="Normal 4 2 3 4 3 3 2" xfId="16192"/>
    <cellStyle name="Normal 4 2 3 4 3 3 2 2" xfId="32413"/>
    <cellStyle name="Normal 4 2 3 4 3 3 3" xfId="26509"/>
    <cellStyle name="Normal 4 2 3 4 3 4" xfId="18655"/>
    <cellStyle name="Normal 4 2 3 4 3 4 2" xfId="34876"/>
    <cellStyle name="Normal 4 2 3 4 3 5" xfId="8261"/>
    <cellStyle name="Normal 4 2 3 4 3 5 2" xfId="28192"/>
    <cellStyle name="Normal 4 2 3 4 3 6" xfId="22015"/>
    <cellStyle name="Normal 4 2 3 4 3 6 2" xfId="38227"/>
    <cellStyle name="Normal 4 2 3 4 3 7" xfId="23513"/>
    <cellStyle name="Normal 4 2 3 4 4" xfId="1695"/>
    <cellStyle name="Normal 4 2 3 4 4 2" xfId="3194"/>
    <cellStyle name="Normal 4 2 3 4 4 2 2" xfId="20409"/>
    <cellStyle name="Normal 4 2 3 4 4 2 2 2" xfId="36630"/>
    <cellStyle name="Normal 4 2 3 4 4 2 3" xfId="25362"/>
    <cellStyle name="Normal 4 2 3 4 4 3" xfId="4693"/>
    <cellStyle name="Normal 4 2 3 4 4 3 2" xfId="26860"/>
    <cellStyle name="Normal 4 2 3 4 4 4" xfId="12851"/>
    <cellStyle name="Normal 4 2 3 4 4 4 2" xfId="29942"/>
    <cellStyle name="Normal 4 2 3 4 4 5" xfId="22366"/>
    <cellStyle name="Normal 4 2 3 4 4 5 2" xfId="38578"/>
    <cellStyle name="Normal 4 2 3 4 4 6" xfId="23864"/>
    <cellStyle name="Normal 4 2 3 4 5" xfId="2141"/>
    <cellStyle name="Normal 4 2 3 4 5 2" xfId="14607"/>
    <cellStyle name="Normal 4 2 3 4 5 2 2" xfId="30829"/>
    <cellStyle name="Normal 4 2 3 4 5 3" xfId="24309"/>
    <cellStyle name="Normal 4 2 3 4 6" xfId="3640"/>
    <cellStyle name="Normal 4 2 3 4 6 2" xfId="18652"/>
    <cellStyle name="Normal 4 2 3 4 6 2 2" xfId="34873"/>
    <cellStyle name="Normal 4 2 3 4 6 3" xfId="25807"/>
    <cellStyle name="Normal 4 2 3 4 7" xfId="8258"/>
    <cellStyle name="Normal 4 2 3 4 7 2" xfId="28189"/>
    <cellStyle name="Normal 4 2 3 4 8" xfId="21313"/>
    <cellStyle name="Normal 4 2 3 4 8 2" xfId="37525"/>
    <cellStyle name="Normal 4 2 3 4 9" xfId="22811"/>
    <cellStyle name="Normal 4 2 3 5" xfId="759"/>
    <cellStyle name="Normal 4 2 3 5 2" xfId="2258"/>
    <cellStyle name="Normal 4 2 3 5 2 2" xfId="8264"/>
    <cellStyle name="Normal 4 2 3 5 2 2 2" xfId="12857"/>
    <cellStyle name="Normal 4 2 3 5 2 2 2 2" xfId="20415"/>
    <cellStyle name="Normal 4 2 3 5 2 2 2 2 2" xfId="36636"/>
    <cellStyle name="Normal 4 2 3 5 2 2 2 3" xfId="29948"/>
    <cellStyle name="Normal 4 2 3 5 2 2 3" xfId="17248"/>
    <cellStyle name="Normal 4 2 3 5 2 2 3 2" xfId="33469"/>
    <cellStyle name="Normal 4 2 3 5 2 2 4" xfId="18658"/>
    <cellStyle name="Normal 4 2 3 5 2 2 4 2" xfId="34879"/>
    <cellStyle name="Normal 4 2 3 5 2 2 5" xfId="28195"/>
    <cellStyle name="Normal 4 2 3 5 2 3" xfId="12856"/>
    <cellStyle name="Normal 4 2 3 5 2 3 2" xfId="20414"/>
    <cellStyle name="Normal 4 2 3 5 2 3 2 2" xfId="36635"/>
    <cellStyle name="Normal 4 2 3 5 2 3 3" xfId="29947"/>
    <cellStyle name="Normal 4 2 3 5 2 4" xfId="15663"/>
    <cellStyle name="Normal 4 2 3 5 2 4 2" xfId="31885"/>
    <cellStyle name="Normal 4 2 3 5 2 5" xfId="18657"/>
    <cellStyle name="Normal 4 2 3 5 2 5 2" xfId="34878"/>
    <cellStyle name="Normal 4 2 3 5 2 6" xfId="8263"/>
    <cellStyle name="Normal 4 2 3 5 2 6 2" xfId="28194"/>
    <cellStyle name="Normal 4 2 3 5 2 7" xfId="24426"/>
    <cellStyle name="Normal 4 2 3 5 3" xfId="3757"/>
    <cellStyle name="Normal 4 2 3 5 3 2" xfId="12858"/>
    <cellStyle name="Normal 4 2 3 5 3 2 2" xfId="20416"/>
    <cellStyle name="Normal 4 2 3 5 3 2 2 2" xfId="36637"/>
    <cellStyle name="Normal 4 2 3 5 3 2 3" xfId="29949"/>
    <cellStyle name="Normal 4 2 3 5 3 3" xfId="16456"/>
    <cellStyle name="Normal 4 2 3 5 3 3 2" xfId="32677"/>
    <cellStyle name="Normal 4 2 3 5 3 4" xfId="18659"/>
    <cellStyle name="Normal 4 2 3 5 3 4 2" xfId="34880"/>
    <cellStyle name="Normal 4 2 3 5 3 5" xfId="8265"/>
    <cellStyle name="Normal 4 2 3 5 3 5 2" xfId="28196"/>
    <cellStyle name="Normal 4 2 3 5 3 6" xfId="25924"/>
    <cellStyle name="Normal 4 2 3 5 4" xfId="12855"/>
    <cellStyle name="Normal 4 2 3 5 4 2" xfId="20413"/>
    <cellStyle name="Normal 4 2 3 5 4 2 2" xfId="36634"/>
    <cellStyle name="Normal 4 2 3 5 4 3" xfId="29946"/>
    <cellStyle name="Normal 4 2 3 5 5" xfId="14871"/>
    <cellStyle name="Normal 4 2 3 5 5 2" xfId="31093"/>
    <cellStyle name="Normal 4 2 3 5 6" xfId="18656"/>
    <cellStyle name="Normal 4 2 3 5 6 2" xfId="34877"/>
    <cellStyle name="Normal 4 2 3 5 7" xfId="8262"/>
    <cellStyle name="Normal 4 2 3 5 7 2" xfId="28193"/>
    <cellStyle name="Normal 4 2 3 5 8" xfId="21430"/>
    <cellStyle name="Normal 4 2 3 5 8 2" xfId="37642"/>
    <cellStyle name="Normal 4 2 3 5 9" xfId="22928"/>
    <cellStyle name="Normal 4 2 3 6" xfId="1110"/>
    <cellStyle name="Normal 4 2 3 6 2" xfId="2609"/>
    <cellStyle name="Normal 4 2 3 6 2 2" xfId="12860"/>
    <cellStyle name="Normal 4 2 3 6 2 2 2" xfId="20418"/>
    <cellStyle name="Normal 4 2 3 6 2 2 2 2" xfId="36639"/>
    <cellStyle name="Normal 4 2 3 6 2 2 3" xfId="29951"/>
    <cellStyle name="Normal 4 2 3 6 2 3" xfId="16720"/>
    <cellStyle name="Normal 4 2 3 6 2 3 2" xfId="32941"/>
    <cellStyle name="Normal 4 2 3 6 2 4" xfId="18661"/>
    <cellStyle name="Normal 4 2 3 6 2 4 2" xfId="34882"/>
    <cellStyle name="Normal 4 2 3 6 2 5" xfId="8267"/>
    <cellStyle name="Normal 4 2 3 6 2 5 2" xfId="28198"/>
    <cellStyle name="Normal 4 2 3 6 2 6" xfId="24777"/>
    <cellStyle name="Normal 4 2 3 6 3" xfId="4108"/>
    <cellStyle name="Normal 4 2 3 6 3 2" xfId="20417"/>
    <cellStyle name="Normal 4 2 3 6 3 2 2" xfId="36638"/>
    <cellStyle name="Normal 4 2 3 6 3 3" xfId="12859"/>
    <cellStyle name="Normal 4 2 3 6 3 3 2" xfId="29950"/>
    <cellStyle name="Normal 4 2 3 6 3 4" xfId="26275"/>
    <cellStyle name="Normal 4 2 3 6 4" xfId="15135"/>
    <cellStyle name="Normal 4 2 3 6 4 2" xfId="31357"/>
    <cellStyle name="Normal 4 2 3 6 5" xfId="18660"/>
    <cellStyle name="Normal 4 2 3 6 5 2" xfId="34881"/>
    <cellStyle name="Normal 4 2 3 6 6" xfId="8266"/>
    <cellStyle name="Normal 4 2 3 6 6 2" xfId="28197"/>
    <cellStyle name="Normal 4 2 3 6 7" xfId="21781"/>
    <cellStyle name="Normal 4 2 3 6 7 2" xfId="37993"/>
    <cellStyle name="Normal 4 2 3 6 8" xfId="23279"/>
    <cellStyle name="Normal 4 2 3 7" xfId="1461"/>
    <cellStyle name="Normal 4 2 3 7 2" xfId="2960"/>
    <cellStyle name="Normal 4 2 3 7 2 2" xfId="20419"/>
    <cellStyle name="Normal 4 2 3 7 2 2 2" xfId="36640"/>
    <cellStyle name="Normal 4 2 3 7 2 3" xfId="12861"/>
    <cellStyle name="Normal 4 2 3 7 2 3 2" xfId="29952"/>
    <cellStyle name="Normal 4 2 3 7 2 4" xfId="25128"/>
    <cellStyle name="Normal 4 2 3 7 3" xfId="4459"/>
    <cellStyle name="Normal 4 2 3 7 3 2" xfId="15928"/>
    <cellStyle name="Normal 4 2 3 7 3 2 2" xfId="32149"/>
    <cellStyle name="Normal 4 2 3 7 3 3" xfId="26626"/>
    <cellStyle name="Normal 4 2 3 7 4" xfId="18662"/>
    <cellStyle name="Normal 4 2 3 7 4 2" xfId="34883"/>
    <cellStyle name="Normal 4 2 3 7 5" xfId="8268"/>
    <cellStyle name="Normal 4 2 3 7 5 2" xfId="28199"/>
    <cellStyle name="Normal 4 2 3 7 6" xfId="22132"/>
    <cellStyle name="Normal 4 2 3 7 6 2" xfId="38344"/>
    <cellStyle name="Normal 4 2 3 7 7" xfId="23630"/>
    <cellStyle name="Normal 4 2 3 8" xfId="1907"/>
    <cellStyle name="Normal 4 2 3 8 2" xfId="20372"/>
    <cellStyle name="Normal 4 2 3 8 2 2" xfId="36593"/>
    <cellStyle name="Normal 4 2 3 8 3" xfId="12814"/>
    <cellStyle name="Normal 4 2 3 8 3 2" xfId="29905"/>
    <cellStyle name="Normal 4 2 3 8 4" xfId="24075"/>
    <cellStyle name="Normal 4 2 3 9" xfId="3406"/>
    <cellStyle name="Normal 4 2 3 9 2" xfId="14343"/>
    <cellStyle name="Normal 4 2 3 9 2 2" xfId="30565"/>
    <cellStyle name="Normal 4 2 3 9 3" xfId="25573"/>
    <cellStyle name="Normal 4 2 4" xfId="418"/>
    <cellStyle name="Normal 4 2 4 10" xfId="8269"/>
    <cellStyle name="Normal 4 2 4 10 2" xfId="28200"/>
    <cellStyle name="Normal 4 2 4 11" xfId="21091"/>
    <cellStyle name="Normal 4 2 4 11 2" xfId="37303"/>
    <cellStyle name="Normal 4 2 4 12" xfId="22589"/>
    <cellStyle name="Normal 4 2 4 13" xfId="38947"/>
    <cellStyle name="Normal 4 2 4 2" xfId="536"/>
    <cellStyle name="Normal 4 2 4 2 10" xfId="21208"/>
    <cellStyle name="Normal 4 2 4 2 10 2" xfId="37420"/>
    <cellStyle name="Normal 4 2 4 2 11" xfId="22706"/>
    <cellStyle name="Normal 4 2 4 2 2" xfId="888"/>
    <cellStyle name="Normal 4 2 4 2 2 2" xfId="2387"/>
    <cellStyle name="Normal 4 2 4 2 2 2 2" xfId="8273"/>
    <cellStyle name="Normal 4 2 4 2 2 2 2 2" xfId="12866"/>
    <cellStyle name="Normal 4 2 4 2 2 2 2 2 2" xfId="20424"/>
    <cellStyle name="Normal 4 2 4 2 2 2 2 2 2 2" xfId="36645"/>
    <cellStyle name="Normal 4 2 4 2 2 2 2 2 3" xfId="29957"/>
    <cellStyle name="Normal 4 2 4 2 2 2 2 3" xfId="17149"/>
    <cellStyle name="Normal 4 2 4 2 2 2 2 3 2" xfId="33370"/>
    <cellStyle name="Normal 4 2 4 2 2 2 2 4" xfId="18667"/>
    <cellStyle name="Normal 4 2 4 2 2 2 2 4 2" xfId="34888"/>
    <cellStyle name="Normal 4 2 4 2 2 2 2 5" xfId="28204"/>
    <cellStyle name="Normal 4 2 4 2 2 2 3" xfId="12865"/>
    <cellStyle name="Normal 4 2 4 2 2 2 3 2" xfId="20423"/>
    <cellStyle name="Normal 4 2 4 2 2 2 3 2 2" xfId="36644"/>
    <cellStyle name="Normal 4 2 4 2 2 2 3 3" xfId="29956"/>
    <cellStyle name="Normal 4 2 4 2 2 2 4" xfId="15564"/>
    <cellStyle name="Normal 4 2 4 2 2 2 4 2" xfId="31786"/>
    <cellStyle name="Normal 4 2 4 2 2 2 5" xfId="18666"/>
    <cellStyle name="Normal 4 2 4 2 2 2 5 2" xfId="34887"/>
    <cellStyle name="Normal 4 2 4 2 2 2 6" xfId="8272"/>
    <cellStyle name="Normal 4 2 4 2 2 2 6 2" xfId="28203"/>
    <cellStyle name="Normal 4 2 4 2 2 2 7" xfId="24555"/>
    <cellStyle name="Normal 4 2 4 2 2 3" xfId="3886"/>
    <cellStyle name="Normal 4 2 4 2 2 3 2" xfId="12867"/>
    <cellStyle name="Normal 4 2 4 2 2 3 2 2" xfId="20425"/>
    <cellStyle name="Normal 4 2 4 2 2 3 2 2 2" xfId="36646"/>
    <cellStyle name="Normal 4 2 4 2 2 3 2 3" xfId="29958"/>
    <cellStyle name="Normal 4 2 4 2 2 3 3" xfId="16357"/>
    <cellStyle name="Normal 4 2 4 2 2 3 3 2" xfId="32578"/>
    <cellStyle name="Normal 4 2 4 2 2 3 4" xfId="18668"/>
    <cellStyle name="Normal 4 2 4 2 2 3 4 2" xfId="34889"/>
    <cellStyle name="Normal 4 2 4 2 2 3 5" xfId="8274"/>
    <cellStyle name="Normal 4 2 4 2 2 3 5 2" xfId="28205"/>
    <cellStyle name="Normal 4 2 4 2 2 3 6" xfId="26053"/>
    <cellStyle name="Normal 4 2 4 2 2 4" xfId="12864"/>
    <cellStyle name="Normal 4 2 4 2 2 4 2" xfId="20422"/>
    <cellStyle name="Normal 4 2 4 2 2 4 2 2" xfId="36643"/>
    <cellStyle name="Normal 4 2 4 2 2 4 3" xfId="29955"/>
    <cellStyle name="Normal 4 2 4 2 2 5" xfId="14772"/>
    <cellStyle name="Normal 4 2 4 2 2 5 2" xfId="30994"/>
    <cellStyle name="Normal 4 2 4 2 2 6" xfId="18665"/>
    <cellStyle name="Normal 4 2 4 2 2 6 2" xfId="34886"/>
    <cellStyle name="Normal 4 2 4 2 2 7" xfId="8271"/>
    <cellStyle name="Normal 4 2 4 2 2 7 2" xfId="28202"/>
    <cellStyle name="Normal 4 2 4 2 2 8" xfId="21559"/>
    <cellStyle name="Normal 4 2 4 2 2 8 2" xfId="37771"/>
    <cellStyle name="Normal 4 2 4 2 2 9" xfId="23057"/>
    <cellStyle name="Normal 4 2 4 2 3" xfId="1239"/>
    <cellStyle name="Normal 4 2 4 2 3 2" xfId="2738"/>
    <cellStyle name="Normal 4 2 4 2 3 2 2" xfId="8277"/>
    <cellStyle name="Normal 4 2 4 2 3 2 2 2" xfId="12870"/>
    <cellStyle name="Normal 4 2 4 2 3 2 2 2 2" xfId="20428"/>
    <cellStyle name="Normal 4 2 4 2 3 2 2 2 2 2" xfId="36649"/>
    <cellStyle name="Normal 4 2 4 2 3 2 2 2 3" xfId="29961"/>
    <cellStyle name="Normal 4 2 4 2 3 2 2 3" xfId="17413"/>
    <cellStyle name="Normal 4 2 4 2 3 2 2 3 2" xfId="33634"/>
    <cellStyle name="Normal 4 2 4 2 3 2 2 4" xfId="18671"/>
    <cellStyle name="Normal 4 2 4 2 3 2 2 4 2" xfId="34892"/>
    <cellStyle name="Normal 4 2 4 2 3 2 2 5" xfId="28208"/>
    <cellStyle name="Normal 4 2 4 2 3 2 3" xfId="12869"/>
    <cellStyle name="Normal 4 2 4 2 3 2 3 2" xfId="20427"/>
    <cellStyle name="Normal 4 2 4 2 3 2 3 2 2" xfId="36648"/>
    <cellStyle name="Normal 4 2 4 2 3 2 3 3" xfId="29960"/>
    <cellStyle name="Normal 4 2 4 2 3 2 4" xfId="15828"/>
    <cellStyle name="Normal 4 2 4 2 3 2 4 2" xfId="32050"/>
    <cellStyle name="Normal 4 2 4 2 3 2 5" xfId="18670"/>
    <cellStyle name="Normal 4 2 4 2 3 2 5 2" xfId="34891"/>
    <cellStyle name="Normal 4 2 4 2 3 2 6" xfId="8276"/>
    <cellStyle name="Normal 4 2 4 2 3 2 6 2" xfId="28207"/>
    <cellStyle name="Normal 4 2 4 2 3 2 7" xfId="24906"/>
    <cellStyle name="Normal 4 2 4 2 3 3" xfId="4237"/>
    <cellStyle name="Normal 4 2 4 2 3 3 2" xfId="12871"/>
    <cellStyle name="Normal 4 2 4 2 3 3 2 2" xfId="20429"/>
    <cellStyle name="Normal 4 2 4 2 3 3 2 2 2" xfId="36650"/>
    <cellStyle name="Normal 4 2 4 2 3 3 2 3" xfId="29962"/>
    <cellStyle name="Normal 4 2 4 2 3 3 3" xfId="16621"/>
    <cellStyle name="Normal 4 2 4 2 3 3 3 2" xfId="32842"/>
    <cellStyle name="Normal 4 2 4 2 3 3 4" xfId="18672"/>
    <cellStyle name="Normal 4 2 4 2 3 3 4 2" xfId="34893"/>
    <cellStyle name="Normal 4 2 4 2 3 3 5" xfId="8278"/>
    <cellStyle name="Normal 4 2 4 2 3 3 5 2" xfId="28209"/>
    <cellStyle name="Normal 4 2 4 2 3 3 6" xfId="26404"/>
    <cellStyle name="Normal 4 2 4 2 3 4" xfId="12868"/>
    <cellStyle name="Normal 4 2 4 2 3 4 2" xfId="20426"/>
    <cellStyle name="Normal 4 2 4 2 3 4 2 2" xfId="36647"/>
    <cellStyle name="Normal 4 2 4 2 3 4 3" xfId="29959"/>
    <cellStyle name="Normal 4 2 4 2 3 5" xfId="15036"/>
    <cellStyle name="Normal 4 2 4 2 3 5 2" xfId="31258"/>
    <cellStyle name="Normal 4 2 4 2 3 6" xfId="18669"/>
    <cellStyle name="Normal 4 2 4 2 3 6 2" xfId="34890"/>
    <cellStyle name="Normal 4 2 4 2 3 7" xfId="8275"/>
    <cellStyle name="Normal 4 2 4 2 3 7 2" xfId="28206"/>
    <cellStyle name="Normal 4 2 4 2 3 8" xfId="21910"/>
    <cellStyle name="Normal 4 2 4 2 3 8 2" xfId="38122"/>
    <cellStyle name="Normal 4 2 4 2 3 9" xfId="23408"/>
    <cellStyle name="Normal 4 2 4 2 4" xfId="1590"/>
    <cellStyle name="Normal 4 2 4 2 4 2" xfId="3089"/>
    <cellStyle name="Normal 4 2 4 2 4 2 2" xfId="12873"/>
    <cellStyle name="Normal 4 2 4 2 4 2 2 2" xfId="20431"/>
    <cellStyle name="Normal 4 2 4 2 4 2 2 2 2" xfId="36652"/>
    <cellStyle name="Normal 4 2 4 2 4 2 2 3" xfId="29964"/>
    <cellStyle name="Normal 4 2 4 2 4 2 3" xfId="16885"/>
    <cellStyle name="Normal 4 2 4 2 4 2 3 2" xfId="33106"/>
    <cellStyle name="Normal 4 2 4 2 4 2 4" xfId="18674"/>
    <cellStyle name="Normal 4 2 4 2 4 2 4 2" xfId="34895"/>
    <cellStyle name="Normal 4 2 4 2 4 2 5" xfId="8280"/>
    <cellStyle name="Normal 4 2 4 2 4 2 5 2" xfId="28211"/>
    <cellStyle name="Normal 4 2 4 2 4 2 6" xfId="25257"/>
    <cellStyle name="Normal 4 2 4 2 4 3" xfId="4588"/>
    <cellStyle name="Normal 4 2 4 2 4 3 2" xfId="20430"/>
    <cellStyle name="Normal 4 2 4 2 4 3 2 2" xfId="36651"/>
    <cellStyle name="Normal 4 2 4 2 4 3 3" xfId="12872"/>
    <cellStyle name="Normal 4 2 4 2 4 3 3 2" xfId="29963"/>
    <cellStyle name="Normal 4 2 4 2 4 3 4" xfId="26755"/>
    <cellStyle name="Normal 4 2 4 2 4 4" xfId="15300"/>
    <cellStyle name="Normal 4 2 4 2 4 4 2" xfId="31522"/>
    <cellStyle name="Normal 4 2 4 2 4 5" xfId="18673"/>
    <cellStyle name="Normal 4 2 4 2 4 5 2" xfId="34894"/>
    <cellStyle name="Normal 4 2 4 2 4 6" xfId="8279"/>
    <cellStyle name="Normal 4 2 4 2 4 6 2" xfId="28210"/>
    <cellStyle name="Normal 4 2 4 2 4 7" xfId="22261"/>
    <cellStyle name="Normal 4 2 4 2 4 7 2" xfId="38473"/>
    <cellStyle name="Normal 4 2 4 2 4 8" xfId="23759"/>
    <cellStyle name="Normal 4 2 4 2 5" xfId="2036"/>
    <cellStyle name="Normal 4 2 4 2 5 2" xfId="12874"/>
    <cellStyle name="Normal 4 2 4 2 5 2 2" xfId="20432"/>
    <cellStyle name="Normal 4 2 4 2 5 2 2 2" xfId="36653"/>
    <cellStyle name="Normal 4 2 4 2 5 2 3" xfId="29965"/>
    <cellStyle name="Normal 4 2 4 2 5 3" xfId="16093"/>
    <cellStyle name="Normal 4 2 4 2 5 3 2" xfId="32314"/>
    <cellStyle name="Normal 4 2 4 2 5 4" xfId="18675"/>
    <cellStyle name="Normal 4 2 4 2 5 4 2" xfId="34896"/>
    <cellStyle name="Normal 4 2 4 2 5 5" xfId="8281"/>
    <cellStyle name="Normal 4 2 4 2 5 5 2" xfId="28212"/>
    <cellStyle name="Normal 4 2 4 2 5 6" xfId="24204"/>
    <cellStyle name="Normal 4 2 4 2 6" xfId="3535"/>
    <cellStyle name="Normal 4 2 4 2 6 2" xfId="20421"/>
    <cellStyle name="Normal 4 2 4 2 6 2 2" xfId="36642"/>
    <cellStyle name="Normal 4 2 4 2 6 3" xfId="12863"/>
    <cellStyle name="Normal 4 2 4 2 6 3 2" xfId="29954"/>
    <cellStyle name="Normal 4 2 4 2 6 4" xfId="25702"/>
    <cellStyle name="Normal 4 2 4 2 7" xfId="14508"/>
    <cellStyle name="Normal 4 2 4 2 7 2" xfId="30730"/>
    <cellStyle name="Normal 4 2 4 2 8" xfId="18664"/>
    <cellStyle name="Normal 4 2 4 2 8 2" xfId="34885"/>
    <cellStyle name="Normal 4 2 4 2 9" xfId="8270"/>
    <cellStyle name="Normal 4 2 4 2 9 2" xfId="28201"/>
    <cellStyle name="Normal 4 2 4 3" xfId="654"/>
    <cellStyle name="Normal 4 2 4 3 2" xfId="1005"/>
    <cellStyle name="Normal 4 2 4 3 2 2" xfId="2504"/>
    <cellStyle name="Normal 4 2 4 3 2 2 2" xfId="12877"/>
    <cellStyle name="Normal 4 2 4 3 2 2 2 2" xfId="20435"/>
    <cellStyle name="Normal 4 2 4 3 2 2 2 2 2" xfId="36656"/>
    <cellStyle name="Normal 4 2 4 3 2 2 2 3" xfId="29968"/>
    <cellStyle name="Normal 4 2 4 3 2 2 3" xfId="17017"/>
    <cellStyle name="Normal 4 2 4 3 2 2 3 2" xfId="33238"/>
    <cellStyle name="Normal 4 2 4 3 2 2 4" xfId="18678"/>
    <cellStyle name="Normal 4 2 4 3 2 2 4 2" xfId="34899"/>
    <cellStyle name="Normal 4 2 4 3 2 2 5" xfId="8284"/>
    <cellStyle name="Normal 4 2 4 3 2 2 5 2" xfId="28215"/>
    <cellStyle name="Normal 4 2 4 3 2 2 6" xfId="24672"/>
    <cellStyle name="Normal 4 2 4 3 2 3" xfId="4003"/>
    <cellStyle name="Normal 4 2 4 3 2 3 2" xfId="20434"/>
    <cellStyle name="Normal 4 2 4 3 2 3 2 2" xfId="36655"/>
    <cellStyle name="Normal 4 2 4 3 2 3 3" xfId="12876"/>
    <cellStyle name="Normal 4 2 4 3 2 3 3 2" xfId="29967"/>
    <cellStyle name="Normal 4 2 4 3 2 3 4" xfId="26170"/>
    <cellStyle name="Normal 4 2 4 3 2 4" xfId="15432"/>
    <cellStyle name="Normal 4 2 4 3 2 4 2" xfId="31654"/>
    <cellStyle name="Normal 4 2 4 3 2 5" xfId="18677"/>
    <cellStyle name="Normal 4 2 4 3 2 5 2" xfId="34898"/>
    <cellStyle name="Normal 4 2 4 3 2 6" xfId="8283"/>
    <cellStyle name="Normal 4 2 4 3 2 6 2" xfId="28214"/>
    <cellStyle name="Normal 4 2 4 3 2 7" xfId="21676"/>
    <cellStyle name="Normal 4 2 4 3 2 7 2" xfId="37888"/>
    <cellStyle name="Normal 4 2 4 3 2 8" xfId="23174"/>
    <cellStyle name="Normal 4 2 4 3 3" xfId="1356"/>
    <cellStyle name="Normal 4 2 4 3 3 2" xfId="2855"/>
    <cellStyle name="Normal 4 2 4 3 3 2 2" xfId="20436"/>
    <cellStyle name="Normal 4 2 4 3 3 2 2 2" xfId="36657"/>
    <cellStyle name="Normal 4 2 4 3 3 2 3" xfId="12878"/>
    <cellStyle name="Normal 4 2 4 3 3 2 3 2" xfId="29969"/>
    <cellStyle name="Normal 4 2 4 3 3 2 4" xfId="25023"/>
    <cellStyle name="Normal 4 2 4 3 3 3" xfId="4354"/>
    <cellStyle name="Normal 4 2 4 3 3 3 2" xfId="16225"/>
    <cellStyle name="Normal 4 2 4 3 3 3 2 2" xfId="32446"/>
    <cellStyle name="Normal 4 2 4 3 3 3 3" xfId="26521"/>
    <cellStyle name="Normal 4 2 4 3 3 4" xfId="18679"/>
    <cellStyle name="Normal 4 2 4 3 3 4 2" xfId="34900"/>
    <cellStyle name="Normal 4 2 4 3 3 5" xfId="8285"/>
    <cellStyle name="Normal 4 2 4 3 3 5 2" xfId="28216"/>
    <cellStyle name="Normal 4 2 4 3 3 6" xfId="22027"/>
    <cellStyle name="Normal 4 2 4 3 3 6 2" xfId="38239"/>
    <cellStyle name="Normal 4 2 4 3 3 7" xfId="23525"/>
    <cellStyle name="Normal 4 2 4 3 4" xfId="1707"/>
    <cellStyle name="Normal 4 2 4 3 4 2" xfId="3206"/>
    <cellStyle name="Normal 4 2 4 3 4 2 2" xfId="20433"/>
    <cellStyle name="Normal 4 2 4 3 4 2 2 2" xfId="36654"/>
    <cellStyle name="Normal 4 2 4 3 4 2 3" xfId="25374"/>
    <cellStyle name="Normal 4 2 4 3 4 3" xfId="4705"/>
    <cellStyle name="Normal 4 2 4 3 4 3 2" xfId="26872"/>
    <cellStyle name="Normal 4 2 4 3 4 4" xfId="12875"/>
    <cellStyle name="Normal 4 2 4 3 4 4 2" xfId="29966"/>
    <cellStyle name="Normal 4 2 4 3 4 5" xfId="22378"/>
    <cellStyle name="Normal 4 2 4 3 4 5 2" xfId="38590"/>
    <cellStyle name="Normal 4 2 4 3 4 6" xfId="23876"/>
    <cellStyle name="Normal 4 2 4 3 5" xfId="2153"/>
    <cellStyle name="Normal 4 2 4 3 5 2" xfId="14640"/>
    <cellStyle name="Normal 4 2 4 3 5 2 2" xfId="30862"/>
    <cellStyle name="Normal 4 2 4 3 5 3" xfId="24321"/>
    <cellStyle name="Normal 4 2 4 3 6" xfId="3652"/>
    <cellStyle name="Normal 4 2 4 3 6 2" xfId="18676"/>
    <cellStyle name="Normal 4 2 4 3 6 2 2" xfId="34897"/>
    <cellStyle name="Normal 4 2 4 3 6 3" xfId="25819"/>
    <cellStyle name="Normal 4 2 4 3 7" xfId="8282"/>
    <cellStyle name="Normal 4 2 4 3 7 2" xfId="28213"/>
    <cellStyle name="Normal 4 2 4 3 8" xfId="21325"/>
    <cellStyle name="Normal 4 2 4 3 8 2" xfId="37537"/>
    <cellStyle name="Normal 4 2 4 3 9" xfId="22823"/>
    <cellStyle name="Normal 4 2 4 4" xfId="771"/>
    <cellStyle name="Normal 4 2 4 4 2" xfId="2270"/>
    <cellStyle name="Normal 4 2 4 4 2 2" xfId="8288"/>
    <cellStyle name="Normal 4 2 4 4 2 2 2" xfId="12881"/>
    <cellStyle name="Normal 4 2 4 4 2 2 2 2" xfId="20439"/>
    <cellStyle name="Normal 4 2 4 4 2 2 2 2 2" xfId="36660"/>
    <cellStyle name="Normal 4 2 4 4 2 2 2 3" xfId="29972"/>
    <cellStyle name="Normal 4 2 4 4 2 2 3" xfId="17281"/>
    <cellStyle name="Normal 4 2 4 4 2 2 3 2" xfId="33502"/>
    <cellStyle name="Normal 4 2 4 4 2 2 4" xfId="18682"/>
    <cellStyle name="Normal 4 2 4 4 2 2 4 2" xfId="34903"/>
    <cellStyle name="Normal 4 2 4 4 2 2 5" xfId="28219"/>
    <cellStyle name="Normal 4 2 4 4 2 3" xfId="12880"/>
    <cellStyle name="Normal 4 2 4 4 2 3 2" xfId="20438"/>
    <cellStyle name="Normal 4 2 4 4 2 3 2 2" xfId="36659"/>
    <cellStyle name="Normal 4 2 4 4 2 3 3" xfId="29971"/>
    <cellStyle name="Normal 4 2 4 4 2 4" xfId="15696"/>
    <cellStyle name="Normal 4 2 4 4 2 4 2" xfId="31918"/>
    <cellStyle name="Normal 4 2 4 4 2 5" xfId="18681"/>
    <cellStyle name="Normal 4 2 4 4 2 5 2" xfId="34902"/>
    <cellStyle name="Normal 4 2 4 4 2 6" xfId="8287"/>
    <cellStyle name="Normal 4 2 4 4 2 6 2" xfId="28218"/>
    <cellStyle name="Normal 4 2 4 4 2 7" xfId="24438"/>
    <cellStyle name="Normal 4 2 4 4 3" xfId="3769"/>
    <cellStyle name="Normal 4 2 4 4 3 2" xfId="12882"/>
    <cellStyle name="Normal 4 2 4 4 3 2 2" xfId="20440"/>
    <cellStyle name="Normal 4 2 4 4 3 2 2 2" xfId="36661"/>
    <cellStyle name="Normal 4 2 4 4 3 2 3" xfId="29973"/>
    <cellStyle name="Normal 4 2 4 4 3 3" xfId="16489"/>
    <cellStyle name="Normal 4 2 4 4 3 3 2" xfId="32710"/>
    <cellStyle name="Normal 4 2 4 4 3 4" xfId="18683"/>
    <cellStyle name="Normal 4 2 4 4 3 4 2" xfId="34904"/>
    <cellStyle name="Normal 4 2 4 4 3 5" xfId="8289"/>
    <cellStyle name="Normal 4 2 4 4 3 5 2" xfId="28220"/>
    <cellStyle name="Normal 4 2 4 4 3 6" xfId="25936"/>
    <cellStyle name="Normal 4 2 4 4 4" xfId="12879"/>
    <cellStyle name="Normal 4 2 4 4 4 2" xfId="20437"/>
    <cellStyle name="Normal 4 2 4 4 4 2 2" xfId="36658"/>
    <cellStyle name="Normal 4 2 4 4 4 3" xfId="29970"/>
    <cellStyle name="Normal 4 2 4 4 5" xfId="14904"/>
    <cellStyle name="Normal 4 2 4 4 5 2" xfId="31126"/>
    <cellStyle name="Normal 4 2 4 4 6" xfId="18680"/>
    <cellStyle name="Normal 4 2 4 4 6 2" xfId="34901"/>
    <cellStyle name="Normal 4 2 4 4 7" xfId="8286"/>
    <cellStyle name="Normal 4 2 4 4 7 2" xfId="28217"/>
    <cellStyle name="Normal 4 2 4 4 8" xfId="21442"/>
    <cellStyle name="Normal 4 2 4 4 8 2" xfId="37654"/>
    <cellStyle name="Normal 4 2 4 4 9" xfId="22940"/>
    <cellStyle name="Normal 4 2 4 5" xfId="1122"/>
    <cellStyle name="Normal 4 2 4 5 2" xfId="2621"/>
    <cellStyle name="Normal 4 2 4 5 2 2" xfId="12884"/>
    <cellStyle name="Normal 4 2 4 5 2 2 2" xfId="20442"/>
    <cellStyle name="Normal 4 2 4 5 2 2 2 2" xfId="36663"/>
    <cellStyle name="Normal 4 2 4 5 2 2 3" xfId="29975"/>
    <cellStyle name="Normal 4 2 4 5 2 3" xfId="16753"/>
    <cellStyle name="Normal 4 2 4 5 2 3 2" xfId="32974"/>
    <cellStyle name="Normal 4 2 4 5 2 4" xfId="18685"/>
    <cellStyle name="Normal 4 2 4 5 2 4 2" xfId="34906"/>
    <cellStyle name="Normal 4 2 4 5 2 5" xfId="8291"/>
    <cellStyle name="Normal 4 2 4 5 2 5 2" xfId="28222"/>
    <cellStyle name="Normal 4 2 4 5 2 6" xfId="24789"/>
    <cellStyle name="Normal 4 2 4 5 3" xfId="4120"/>
    <cellStyle name="Normal 4 2 4 5 3 2" xfId="20441"/>
    <cellStyle name="Normal 4 2 4 5 3 2 2" xfId="36662"/>
    <cellStyle name="Normal 4 2 4 5 3 3" xfId="12883"/>
    <cellStyle name="Normal 4 2 4 5 3 3 2" xfId="29974"/>
    <cellStyle name="Normal 4 2 4 5 3 4" xfId="26287"/>
    <cellStyle name="Normal 4 2 4 5 4" xfId="15168"/>
    <cellStyle name="Normal 4 2 4 5 4 2" xfId="31390"/>
    <cellStyle name="Normal 4 2 4 5 5" xfId="18684"/>
    <cellStyle name="Normal 4 2 4 5 5 2" xfId="34905"/>
    <cellStyle name="Normal 4 2 4 5 6" xfId="8290"/>
    <cellStyle name="Normal 4 2 4 5 6 2" xfId="28221"/>
    <cellStyle name="Normal 4 2 4 5 7" xfId="21793"/>
    <cellStyle name="Normal 4 2 4 5 7 2" xfId="38005"/>
    <cellStyle name="Normal 4 2 4 5 8" xfId="23291"/>
    <cellStyle name="Normal 4 2 4 6" xfId="1473"/>
    <cellStyle name="Normal 4 2 4 6 2" xfId="2972"/>
    <cellStyle name="Normal 4 2 4 6 2 2" xfId="20443"/>
    <cellStyle name="Normal 4 2 4 6 2 2 2" xfId="36664"/>
    <cellStyle name="Normal 4 2 4 6 2 3" xfId="12885"/>
    <cellStyle name="Normal 4 2 4 6 2 3 2" xfId="29976"/>
    <cellStyle name="Normal 4 2 4 6 2 4" xfId="25140"/>
    <cellStyle name="Normal 4 2 4 6 3" xfId="4471"/>
    <cellStyle name="Normal 4 2 4 6 3 2" xfId="15961"/>
    <cellStyle name="Normal 4 2 4 6 3 2 2" xfId="32182"/>
    <cellStyle name="Normal 4 2 4 6 3 3" xfId="26638"/>
    <cellStyle name="Normal 4 2 4 6 4" xfId="18686"/>
    <cellStyle name="Normal 4 2 4 6 4 2" xfId="34907"/>
    <cellStyle name="Normal 4 2 4 6 5" xfId="8292"/>
    <cellStyle name="Normal 4 2 4 6 5 2" xfId="28223"/>
    <cellStyle name="Normal 4 2 4 6 6" xfId="22144"/>
    <cellStyle name="Normal 4 2 4 6 6 2" xfId="38356"/>
    <cellStyle name="Normal 4 2 4 6 7" xfId="23642"/>
    <cellStyle name="Normal 4 2 4 7" xfId="1919"/>
    <cellStyle name="Normal 4 2 4 7 2" xfId="20420"/>
    <cellStyle name="Normal 4 2 4 7 2 2" xfId="36641"/>
    <cellStyle name="Normal 4 2 4 7 3" xfId="12862"/>
    <cellStyle name="Normal 4 2 4 7 3 2" xfId="29953"/>
    <cellStyle name="Normal 4 2 4 7 4" xfId="24087"/>
    <cellStyle name="Normal 4 2 4 8" xfId="3418"/>
    <cellStyle name="Normal 4 2 4 8 2" xfId="14376"/>
    <cellStyle name="Normal 4 2 4 8 2 2" xfId="30598"/>
    <cellStyle name="Normal 4 2 4 8 3" xfId="25585"/>
    <cellStyle name="Normal 4 2 4 9" xfId="18663"/>
    <cellStyle name="Normal 4 2 4 9 2" xfId="34884"/>
    <cellStyle name="Normal 4 2 5" xfId="430"/>
    <cellStyle name="Normal 4 2 5 10" xfId="21103"/>
    <cellStyle name="Normal 4 2 5 10 2" xfId="37315"/>
    <cellStyle name="Normal 4 2 5 11" xfId="22601"/>
    <cellStyle name="Normal 4 2 5 12" xfId="39073"/>
    <cellStyle name="Normal 4 2 5 2" xfId="548"/>
    <cellStyle name="Normal 4 2 5 2 2" xfId="900"/>
    <cellStyle name="Normal 4 2 5 2 2 2" xfId="2399"/>
    <cellStyle name="Normal 4 2 5 2 2 2 2" xfId="12889"/>
    <cellStyle name="Normal 4 2 5 2 2 2 2 2" xfId="20447"/>
    <cellStyle name="Normal 4 2 5 2 2 2 2 2 2" xfId="36668"/>
    <cellStyle name="Normal 4 2 5 2 2 2 2 3" xfId="29980"/>
    <cellStyle name="Normal 4 2 5 2 2 2 3" xfId="17083"/>
    <cellStyle name="Normal 4 2 5 2 2 2 3 2" xfId="33304"/>
    <cellStyle name="Normal 4 2 5 2 2 2 4" xfId="18690"/>
    <cellStyle name="Normal 4 2 5 2 2 2 4 2" xfId="34911"/>
    <cellStyle name="Normal 4 2 5 2 2 2 5" xfId="8296"/>
    <cellStyle name="Normal 4 2 5 2 2 2 5 2" xfId="28227"/>
    <cellStyle name="Normal 4 2 5 2 2 2 6" xfId="24567"/>
    <cellStyle name="Normal 4 2 5 2 2 3" xfId="3898"/>
    <cellStyle name="Normal 4 2 5 2 2 3 2" xfId="20446"/>
    <cellStyle name="Normal 4 2 5 2 2 3 2 2" xfId="36667"/>
    <cellStyle name="Normal 4 2 5 2 2 3 3" xfId="12888"/>
    <cellStyle name="Normal 4 2 5 2 2 3 3 2" xfId="29979"/>
    <cellStyle name="Normal 4 2 5 2 2 3 4" xfId="26065"/>
    <cellStyle name="Normal 4 2 5 2 2 4" xfId="15498"/>
    <cellStyle name="Normal 4 2 5 2 2 4 2" xfId="31720"/>
    <cellStyle name="Normal 4 2 5 2 2 5" xfId="18689"/>
    <cellStyle name="Normal 4 2 5 2 2 5 2" xfId="34910"/>
    <cellStyle name="Normal 4 2 5 2 2 6" xfId="8295"/>
    <cellStyle name="Normal 4 2 5 2 2 6 2" xfId="28226"/>
    <cellStyle name="Normal 4 2 5 2 2 7" xfId="21571"/>
    <cellStyle name="Normal 4 2 5 2 2 7 2" xfId="37783"/>
    <cellStyle name="Normal 4 2 5 2 2 8" xfId="23069"/>
    <cellStyle name="Normal 4 2 5 2 3" xfId="1251"/>
    <cellStyle name="Normal 4 2 5 2 3 2" xfId="2750"/>
    <cellStyle name="Normal 4 2 5 2 3 2 2" xfId="20448"/>
    <cellStyle name="Normal 4 2 5 2 3 2 2 2" xfId="36669"/>
    <cellStyle name="Normal 4 2 5 2 3 2 3" xfId="12890"/>
    <cellStyle name="Normal 4 2 5 2 3 2 3 2" xfId="29981"/>
    <cellStyle name="Normal 4 2 5 2 3 2 4" xfId="24918"/>
    <cellStyle name="Normal 4 2 5 2 3 3" xfId="4249"/>
    <cellStyle name="Normal 4 2 5 2 3 3 2" xfId="16291"/>
    <cellStyle name="Normal 4 2 5 2 3 3 2 2" xfId="32512"/>
    <cellStyle name="Normal 4 2 5 2 3 3 3" xfId="26416"/>
    <cellStyle name="Normal 4 2 5 2 3 4" xfId="18691"/>
    <cellStyle name="Normal 4 2 5 2 3 4 2" xfId="34912"/>
    <cellStyle name="Normal 4 2 5 2 3 5" xfId="8297"/>
    <cellStyle name="Normal 4 2 5 2 3 5 2" xfId="28228"/>
    <cellStyle name="Normal 4 2 5 2 3 6" xfId="21922"/>
    <cellStyle name="Normal 4 2 5 2 3 6 2" xfId="38134"/>
    <cellStyle name="Normal 4 2 5 2 3 7" xfId="23420"/>
    <cellStyle name="Normal 4 2 5 2 4" xfId="1602"/>
    <cellStyle name="Normal 4 2 5 2 4 2" xfId="3101"/>
    <cellStyle name="Normal 4 2 5 2 4 2 2" xfId="20445"/>
    <cellStyle name="Normal 4 2 5 2 4 2 2 2" xfId="36666"/>
    <cellStyle name="Normal 4 2 5 2 4 2 3" xfId="25269"/>
    <cellStyle name="Normal 4 2 5 2 4 3" xfId="4600"/>
    <cellStyle name="Normal 4 2 5 2 4 3 2" xfId="26767"/>
    <cellStyle name="Normal 4 2 5 2 4 4" xfId="12887"/>
    <cellStyle name="Normal 4 2 5 2 4 4 2" xfId="29978"/>
    <cellStyle name="Normal 4 2 5 2 4 5" xfId="22273"/>
    <cellStyle name="Normal 4 2 5 2 4 5 2" xfId="38485"/>
    <cellStyle name="Normal 4 2 5 2 4 6" xfId="23771"/>
    <cellStyle name="Normal 4 2 5 2 5" xfId="2048"/>
    <cellStyle name="Normal 4 2 5 2 5 2" xfId="14706"/>
    <cellStyle name="Normal 4 2 5 2 5 2 2" xfId="30928"/>
    <cellStyle name="Normal 4 2 5 2 5 3" xfId="24216"/>
    <cellStyle name="Normal 4 2 5 2 6" xfId="3547"/>
    <cellStyle name="Normal 4 2 5 2 6 2" xfId="18688"/>
    <cellStyle name="Normal 4 2 5 2 6 2 2" xfId="34909"/>
    <cellStyle name="Normal 4 2 5 2 6 3" xfId="25714"/>
    <cellStyle name="Normal 4 2 5 2 7" xfId="8294"/>
    <cellStyle name="Normal 4 2 5 2 7 2" xfId="28225"/>
    <cellStyle name="Normal 4 2 5 2 8" xfId="21220"/>
    <cellStyle name="Normal 4 2 5 2 8 2" xfId="37432"/>
    <cellStyle name="Normal 4 2 5 2 9" xfId="22718"/>
    <cellStyle name="Normal 4 2 5 3" xfId="666"/>
    <cellStyle name="Normal 4 2 5 3 2" xfId="1017"/>
    <cellStyle name="Normal 4 2 5 3 2 2" xfId="2516"/>
    <cellStyle name="Normal 4 2 5 3 2 2 2" xfId="12893"/>
    <cellStyle name="Normal 4 2 5 3 2 2 2 2" xfId="20451"/>
    <cellStyle name="Normal 4 2 5 3 2 2 2 2 2" xfId="36672"/>
    <cellStyle name="Normal 4 2 5 3 2 2 2 3" xfId="29984"/>
    <cellStyle name="Normal 4 2 5 3 2 2 3" xfId="17347"/>
    <cellStyle name="Normal 4 2 5 3 2 2 3 2" xfId="33568"/>
    <cellStyle name="Normal 4 2 5 3 2 2 4" xfId="18694"/>
    <cellStyle name="Normal 4 2 5 3 2 2 4 2" xfId="34915"/>
    <cellStyle name="Normal 4 2 5 3 2 2 5" xfId="8300"/>
    <cellStyle name="Normal 4 2 5 3 2 2 5 2" xfId="28231"/>
    <cellStyle name="Normal 4 2 5 3 2 2 6" xfId="24684"/>
    <cellStyle name="Normal 4 2 5 3 2 3" xfId="4015"/>
    <cellStyle name="Normal 4 2 5 3 2 3 2" xfId="20450"/>
    <cellStyle name="Normal 4 2 5 3 2 3 2 2" xfId="36671"/>
    <cellStyle name="Normal 4 2 5 3 2 3 3" xfId="12892"/>
    <cellStyle name="Normal 4 2 5 3 2 3 3 2" xfId="29983"/>
    <cellStyle name="Normal 4 2 5 3 2 3 4" xfId="26182"/>
    <cellStyle name="Normal 4 2 5 3 2 4" xfId="15762"/>
    <cellStyle name="Normal 4 2 5 3 2 4 2" xfId="31984"/>
    <cellStyle name="Normal 4 2 5 3 2 5" xfId="18693"/>
    <cellStyle name="Normal 4 2 5 3 2 5 2" xfId="34914"/>
    <cellStyle name="Normal 4 2 5 3 2 6" xfId="8299"/>
    <cellStyle name="Normal 4 2 5 3 2 6 2" xfId="28230"/>
    <cellStyle name="Normal 4 2 5 3 2 7" xfId="21688"/>
    <cellStyle name="Normal 4 2 5 3 2 7 2" xfId="37900"/>
    <cellStyle name="Normal 4 2 5 3 2 8" xfId="23186"/>
    <cellStyle name="Normal 4 2 5 3 3" xfId="1368"/>
    <cellStyle name="Normal 4 2 5 3 3 2" xfId="2867"/>
    <cellStyle name="Normal 4 2 5 3 3 2 2" xfId="20452"/>
    <cellStyle name="Normal 4 2 5 3 3 2 2 2" xfId="36673"/>
    <cellStyle name="Normal 4 2 5 3 3 2 3" xfId="12894"/>
    <cellStyle name="Normal 4 2 5 3 3 2 3 2" xfId="29985"/>
    <cellStyle name="Normal 4 2 5 3 3 2 4" xfId="25035"/>
    <cellStyle name="Normal 4 2 5 3 3 3" xfId="4366"/>
    <cellStyle name="Normal 4 2 5 3 3 3 2" xfId="16555"/>
    <cellStyle name="Normal 4 2 5 3 3 3 2 2" xfId="32776"/>
    <cellStyle name="Normal 4 2 5 3 3 3 3" xfId="26533"/>
    <cellStyle name="Normal 4 2 5 3 3 4" xfId="18695"/>
    <cellStyle name="Normal 4 2 5 3 3 4 2" xfId="34916"/>
    <cellStyle name="Normal 4 2 5 3 3 5" xfId="8301"/>
    <cellStyle name="Normal 4 2 5 3 3 5 2" xfId="28232"/>
    <cellStyle name="Normal 4 2 5 3 3 6" xfId="22039"/>
    <cellStyle name="Normal 4 2 5 3 3 6 2" xfId="38251"/>
    <cellStyle name="Normal 4 2 5 3 3 7" xfId="23537"/>
    <cellStyle name="Normal 4 2 5 3 4" xfId="1719"/>
    <cellStyle name="Normal 4 2 5 3 4 2" xfId="3218"/>
    <cellStyle name="Normal 4 2 5 3 4 2 2" xfId="20449"/>
    <cellStyle name="Normal 4 2 5 3 4 2 2 2" xfId="36670"/>
    <cellStyle name="Normal 4 2 5 3 4 2 3" xfId="25386"/>
    <cellStyle name="Normal 4 2 5 3 4 3" xfId="4717"/>
    <cellStyle name="Normal 4 2 5 3 4 3 2" xfId="26884"/>
    <cellStyle name="Normal 4 2 5 3 4 4" xfId="12891"/>
    <cellStyle name="Normal 4 2 5 3 4 4 2" xfId="29982"/>
    <cellStyle name="Normal 4 2 5 3 4 5" xfId="22390"/>
    <cellStyle name="Normal 4 2 5 3 4 5 2" xfId="38602"/>
    <cellStyle name="Normal 4 2 5 3 4 6" xfId="23888"/>
    <cellStyle name="Normal 4 2 5 3 5" xfId="2165"/>
    <cellStyle name="Normal 4 2 5 3 5 2" xfId="14970"/>
    <cellStyle name="Normal 4 2 5 3 5 2 2" xfId="31192"/>
    <cellStyle name="Normal 4 2 5 3 5 3" xfId="24333"/>
    <cellStyle name="Normal 4 2 5 3 6" xfId="3664"/>
    <cellStyle name="Normal 4 2 5 3 6 2" xfId="18692"/>
    <cellStyle name="Normal 4 2 5 3 6 2 2" xfId="34913"/>
    <cellStyle name="Normal 4 2 5 3 6 3" xfId="25831"/>
    <cellStyle name="Normal 4 2 5 3 7" xfId="8298"/>
    <cellStyle name="Normal 4 2 5 3 7 2" xfId="28229"/>
    <cellStyle name="Normal 4 2 5 3 8" xfId="21337"/>
    <cellStyle name="Normal 4 2 5 3 8 2" xfId="37549"/>
    <cellStyle name="Normal 4 2 5 3 9" xfId="22835"/>
    <cellStyle name="Normal 4 2 5 4" xfId="783"/>
    <cellStyle name="Normal 4 2 5 4 2" xfId="2282"/>
    <cellStyle name="Normal 4 2 5 4 2 2" xfId="12896"/>
    <cellStyle name="Normal 4 2 5 4 2 2 2" xfId="20454"/>
    <cellStyle name="Normal 4 2 5 4 2 2 2 2" xfId="36675"/>
    <cellStyle name="Normal 4 2 5 4 2 2 3" xfId="29987"/>
    <cellStyle name="Normal 4 2 5 4 2 3" xfId="16819"/>
    <cellStyle name="Normal 4 2 5 4 2 3 2" xfId="33040"/>
    <cellStyle name="Normal 4 2 5 4 2 4" xfId="18697"/>
    <cellStyle name="Normal 4 2 5 4 2 4 2" xfId="34918"/>
    <cellStyle name="Normal 4 2 5 4 2 5" xfId="8303"/>
    <cellStyle name="Normal 4 2 5 4 2 5 2" xfId="28234"/>
    <cellStyle name="Normal 4 2 5 4 2 6" xfId="24450"/>
    <cellStyle name="Normal 4 2 5 4 3" xfId="3781"/>
    <cellStyle name="Normal 4 2 5 4 3 2" xfId="20453"/>
    <cellStyle name="Normal 4 2 5 4 3 2 2" xfId="36674"/>
    <cellStyle name="Normal 4 2 5 4 3 3" xfId="12895"/>
    <cellStyle name="Normal 4 2 5 4 3 3 2" xfId="29986"/>
    <cellStyle name="Normal 4 2 5 4 3 4" xfId="25948"/>
    <cellStyle name="Normal 4 2 5 4 4" xfId="15234"/>
    <cellStyle name="Normal 4 2 5 4 4 2" xfId="31456"/>
    <cellStyle name="Normal 4 2 5 4 5" xfId="18696"/>
    <cellStyle name="Normal 4 2 5 4 5 2" xfId="34917"/>
    <cellStyle name="Normal 4 2 5 4 6" xfId="8302"/>
    <cellStyle name="Normal 4 2 5 4 6 2" xfId="28233"/>
    <cellStyle name="Normal 4 2 5 4 7" xfId="21454"/>
    <cellStyle name="Normal 4 2 5 4 7 2" xfId="37666"/>
    <cellStyle name="Normal 4 2 5 4 8" xfId="22952"/>
    <cellStyle name="Normal 4 2 5 5" xfId="1134"/>
    <cellStyle name="Normal 4 2 5 5 2" xfId="2633"/>
    <cellStyle name="Normal 4 2 5 5 2 2" xfId="20455"/>
    <cellStyle name="Normal 4 2 5 5 2 2 2" xfId="36676"/>
    <cellStyle name="Normal 4 2 5 5 2 3" xfId="12897"/>
    <cellStyle name="Normal 4 2 5 5 2 3 2" xfId="29988"/>
    <cellStyle name="Normal 4 2 5 5 2 4" xfId="24801"/>
    <cellStyle name="Normal 4 2 5 5 3" xfId="4132"/>
    <cellStyle name="Normal 4 2 5 5 3 2" xfId="16027"/>
    <cellStyle name="Normal 4 2 5 5 3 2 2" xfId="32248"/>
    <cellStyle name="Normal 4 2 5 5 3 3" xfId="26299"/>
    <cellStyle name="Normal 4 2 5 5 4" xfId="18698"/>
    <cellStyle name="Normal 4 2 5 5 4 2" xfId="34919"/>
    <cellStyle name="Normal 4 2 5 5 5" xfId="8304"/>
    <cellStyle name="Normal 4 2 5 5 5 2" xfId="28235"/>
    <cellStyle name="Normal 4 2 5 5 6" xfId="21805"/>
    <cellStyle name="Normal 4 2 5 5 6 2" xfId="38017"/>
    <cellStyle name="Normal 4 2 5 5 7" xfId="23303"/>
    <cellStyle name="Normal 4 2 5 6" xfId="1485"/>
    <cellStyle name="Normal 4 2 5 6 2" xfId="2984"/>
    <cellStyle name="Normal 4 2 5 6 2 2" xfId="20444"/>
    <cellStyle name="Normal 4 2 5 6 2 2 2" xfId="36665"/>
    <cellStyle name="Normal 4 2 5 6 2 3" xfId="25152"/>
    <cellStyle name="Normal 4 2 5 6 3" xfId="4483"/>
    <cellStyle name="Normal 4 2 5 6 3 2" xfId="26650"/>
    <cellStyle name="Normal 4 2 5 6 4" xfId="12886"/>
    <cellStyle name="Normal 4 2 5 6 4 2" xfId="29977"/>
    <cellStyle name="Normal 4 2 5 6 5" xfId="22156"/>
    <cellStyle name="Normal 4 2 5 6 5 2" xfId="38368"/>
    <cellStyle name="Normal 4 2 5 6 6" xfId="23654"/>
    <cellStyle name="Normal 4 2 5 7" xfId="1931"/>
    <cellStyle name="Normal 4 2 5 7 2" xfId="14442"/>
    <cellStyle name="Normal 4 2 5 7 2 2" xfId="30664"/>
    <cellStyle name="Normal 4 2 5 7 3" xfId="24099"/>
    <cellStyle name="Normal 4 2 5 8" xfId="3430"/>
    <cellStyle name="Normal 4 2 5 8 2" xfId="18687"/>
    <cellStyle name="Normal 4 2 5 8 2 2" xfId="34908"/>
    <cellStyle name="Normal 4 2 5 8 3" xfId="25597"/>
    <cellStyle name="Normal 4 2 5 9" xfId="8293"/>
    <cellStyle name="Normal 4 2 5 9 2" xfId="28224"/>
    <cellStyle name="Normal 4 2 6" xfId="439"/>
    <cellStyle name="Normal 4 2 6 10" xfId="21112"/>
    <cellStyle name="Normal 4 2 6 10 2" xfId="37324"/>
    <cellStyle name="Normal 4 2 6 11" xfId="22610"/>
    <cellStyle name="Normal 4 2 6 12" xfId="39221"/>
    <cellStyle name="Normal 4 2 6 2" xfId="557"/>
    <cellStyle name="Normal 4 2 6 2 2" xfId="909"/>
    <cellStyle name="Normal 4 2 6 2 2 2" xfId="2408"/>
    <cellStyle name="Normal 4 2 6 2 2 2 2" xfId="20458"/>
    <cellStyle name="Normal 4 2 6 2 2 2 2 2" xfId="36679"/>
    <cellStyle name="Normal 4 2 6 2 2 2 3" xfId="12900"/>
    <cellStyle name="Normal 4 2 6 2 2 2 3 2" xfId="29991"/>
    <cellStyle name="Normal 4 2 6 2 2 2 4" xfId="24576"/>
    <cellStyle name="Normal 4 2 6 2 2 3" xfId="3907"/>
    <cellStyle name="Normal 4 2 6 2 2 3 2" xfId="16951"/>
    <cellStyle name="Normal 4 2 6 2 2 3 2 2" xfId="33172"/>
    <cellStyle name="Normal 4 2 6 2 2 3 3" xfId="26074"/>
    <cellStyle name="Normal 4 2 6 2 2 4" xfId="18701"/>
    <cellStyle name="Normal 4 2 6 2 2 4 2" xfId="34922"/>
    <cellStyle name="Normal 4 2 6 2 2 5" xfId="8307"/>
    <cellStyle name="Normal 4 2 6 2 2 5 2" xfId="28238"/>
    <cellStyle name="Normal 4 2 6 2 2 6" xfId="21580"/>
    <cellStyle name="Normal 4 2 6 2 2 6 2" xfId="37792"/>
    <cellStyle name="Normal 4 2 6 2 2 7" xfId="23078"/>
    <cellStyle name="Normal 4 2 6 2 3" xfId="1260"/>
    <cellStyle name="Normal 4 2 6 2 3 2" xfId="2759"/>
    <cellStyle name="Normal 4 2 6 2 3 2 2" xfId="20457"/>
    <cellStyle name="Normal 4 2 6 2 3 2 2 2" xfId="36678"/>
    <cellStyle name="Normal 4 2 6 2 3 2 3" xfId="24927"/>
    <cellStyle name="Normal 4 2 6 2 3 3" xfId="4258"/>
    <cellStyle name="Normal 4 2 6 2 3 3 2" xfId="26425"/>
    <cellStyle name="Normal 4 2 6 2 3 4" xfId="12899"/>
    <cellStyle name="Normal 4 2 6 2 3 4 2" xfId="29990"/>
    <cellStyle name="Normal 4 2 6 2 3 5" xfId="21931"/>
    <cellStyle name="Normal 4 2 6 2 3 5 2" xfId="38143"/>
    <cellStyle name="Normal 4 2 6 2 3 6" xfId="23429"/>
    <cellStyle name="Normal 4 2 6 2 4" xfId="1611"/>
    <cellStyle name="Normal 4 2 6 2 4 2" xfId="3110"/>
    <cellStyle name="Normal 4 2 6 2 4 2 2" xfId="25278"/>
    <cellStyle name="Normal 4 2 6 2 4 3" xfId="4609"/>
    <cellStyle name="Normal 4 2 6 2 4 3 2" xfId="26776"/>
    <cellStyle name="Normal 4 2 6 2 4 4" xfId="15366"/>
    <cellStyle name="Normal 4 2 6 2 4 4 2" xfId="31588"/>
    <cellStyle name="Normal 4 2 6 2 4 5" xfId="22282"/>
    <cellStyle name="Normal 4 2 6 2 4 5 2" xfId="38494"/>
    <cellStyle name="Normal 4 2 6 2 4 6" xfId="23780"/>
    <cellStyle name="Normal 4 2 6 2 5" xfId="2057"/>
    <cellStyle name="Normal 4 2 6 2 5 2" xfId="18700"/>
    <cellStyle name="Normal 4 2 6 2 5 2 2" xfId="34921"/>
    <cellStyle name="Normal 4 2 6 2 5 3" xfId="24225"/>
    <cellStyle name="Normal 4 2 6 2 6" xfId="3556"/>
    <cellStyle name="Normal 4 2 6 2 6 2" xfId="25723"/>
    <cellStyle name="Normal 4 2 6 2 7" xfId="8306"/>
    <cellStyle name="Normal 4 2 6 2 7 2" xfId="28237"/>
    <cellStyle name="Normal 4 2 6 2 8" xfId="21229"/>
    <cellStyle name="Normal 4 2 6 2 8 2" xfId="37441"/>
    <cellStyle name="Normal 4 2 6 2 9" xfId="22727"/>
    <cellStyle name="Normal 4 2 6 3" xfId="675"/>
    <cellStyle name="Normal 4 2 6 3 2" xfId="1026"/>
    <cellStyle name="Normal 4 2 6 3 2 2" xfId="2525"/>
    <cellStyle name="Normal 4 2 6 3 2 2 2" xfId="20459"/>
    <cellStyle name="Normal 4 2 6 3 2 2 2 2" xfId="36680"/>
    <cellStyle name="Normal 4 2 6 3 2 2 3" xfId="24693"/>
    <cellStyle name="Normal 4 2 6 3 2 3" xfId="4024"/>
    <cellStyle name="Normal 4 2 6 3 2 3 2" xfId="26191"/>
    <cellStyle name="Normal 4 2 6 3 2 4" xfId="12901"/>
    <cellStyle name="Normal 4 2 6 3 2 4 2" xfId="29992"/>
    <cellStyle name="Normal 4 2 6 3 2 5" xfId="21697"/>
    <cellStyle name="Normal 4 2 6 3 2 5 2" xfId="37909"/>
    <cellStyle name="Normal 4 2 6 3 2 6" xfId="23195"/>
    <cellStyle name="Normal 4 2 6 3 3" xfId="1377"/>
    <cellStyle name="Normal 4 2 6 3 3 2" xfId="2876"/>
    <cellStyle name="Normal 4 2 6 3 3 2 2" xfId="25044"/>
    <cellStyle name="Normal 4 2 6 3 3 3" xfId="4375"/>
    <cellStyle name="Normal 4 2 6 3 3 3 2" xfId="26542"/>
    <cellStyle name="Normal 4 2 6 3 3 4" xfId="16159"/>
    <cellStyle name="Normal 4 2 6 3 3 4 2" xfId="32380"/>
    <cellStyle name="Normal 4 2 6 3 3 5" xfId="22048"/>
    <cellStyle name="Normal 4 2 6 3 3 5 2" xfId="38260"/>
    <cellStyle name="Normal 4 2 6 3 3 6" xfId="23546"/>
    <cellStyle name="Normal 4 2 6 3 4" xfId="1728"/>
    <cellStyle name="Normal 4 2 6 3 4 2" xfId="3227"/>
    <cellStyle name="Normal 4 2 6 3 4 2 2" xfId="25395"/>
    <cellStyle name="Normal 4 2 6 3 4 3" xfId="4726"/>
    <cellStyle name="Normal 4 2 6 3 4 3 2" xfId="26893"/>
    <cellStyle name="Normal 4 2 6 3 4 4" xfId="18702"/>
    <cellStyle name="Normal 4 2 6 3 4 4 2" xfId="34923"/>
    <cellStyle name="Normal 4 2 6 3 4 5" xfId="22399"/>
    <cellStyle name="Normal 4 2 6 3 4 5 2" xfId="38611"/>
    <cellStyle name="Normal 4 2 6 3 4 6" xfId="23897"/>
    <cellStyle name="Normal 4 2 6 3 5" xfId="2174"/>
    <cellStyle name="Normal 4 2 6 3 5 2" xfId="24342"/>
    <cellStyle name="Normal 4 2 6 3 6" xfId="3673"/>
    <cellStyle name="Normal 4 2 6 3 6 2" xfId="25840"/>
    <cellStyle name="Normal 4 2 6 3 7" xfId="8308"/>
    <cellStyle name="Normal 4 2 6 3 7 2" xfId="28239"/>
    <cellStyle name="Normal 4 2 6 3 8" xfId="21346"/>
    <cellStyle name="Normal 4 2 6 3 8 2" xfId="37558"/>
    <cellStyle name="Normal 4 2 6 3 9" xfId="22844"/>
    <cellStyle name="Normal 4 2 6 4" xfId="792"/>
    <cellStyle name="Normal 4 2 6 4 2" xfId="2291"/>
    <cellStyle name="Normal 4 2 6 4 2 2" xfId="20456"/>
    <cellStyle name="Normal 4 2 6 4 2 2 2" xfId="36677"/>
    <cellStyle name="Normal 4 2 6 4 2 3" xfId="24459"/>
    <cellStyle name="Normal 4 2 6 4 3" xfId="3790"/>
    <cellStyle name="Normal 4 2 6 4 3 2" xfId="25957"/>
    <cellStyle name="Normal 4 2 6 4 4" xfId="12898"/>
    <cellStyle name="Normal 4 2 6 4 4 2" xfId="29989"/>
    <cellStyle name="Normal 4 2 6 4 5" xfId="21463"/>
    <cellStyle name="Normal 4 2 6 4 5 2" xfId="37675"/>
    <cellStyle name="Normal 4 2 6 4 6" xfId="22961"/>
    <cellStyle name="Normal 4 2 6 5" xfId="1143"/>
    <cellStyle name="Normal 4 2 6 5 2" xfId="2642"/>
    <cellStyle name="Normal 4 2 6 5 2 2" xfId="24810"/>
    <cellStyle name="Normal 4 2 6 5 3" xfId="4141"/>
    <cellStyle name="Normal 4 2 6 5 3 2" xfId="26308"/>
    <cellStyle name="Normal 4 2 6 5 4" xfId="14574"/>
    <cellStyle name="Normal 4 2 6 5 4 2" xfId="30796"/>
    <cellStyle name="Normal 4 2 6 5 5" xfId="21814"/>
    <cellStyle name="Normal 4 2 6 5 5 2" xfId="38026"/>
    <cellStyle name="Normal 4 2 6 5 6" xfId="23312"/>
    <cellStyle name="Normal 4 2 6 6" xfId="1494"/>
    <cellStyle name="Normal 4 2 6 6 2" xfId="2993"/>
    <cellStyle name="Normal 4 2 6 6 2 2" xfId="25161"/>
    <cellStyle name="Normal 4 2 6 6 3" xfId="4492"/>
    <cellStyle name="Normal 4 2 6 6 3 2" xfId="26659"/>
    <cellStyle name="Normal 4 2 6 6 4" xfId="18699"/>
    <cellStyle name="Normal 4 2 6 6 4 2" xfId="34920"/>
    <cellStyle name="Normal 4 2 6 6 5" xfId="22165"/>
    <cellStyle name="Normal 4 2 6 6 5 2" xfId="38377"/>
    <cellStyle name="Normal 4 2 6 6 6" xfId="23663"/>
    <cellStyle name="Normal 4 2 6 7" xfId="1940"/>
    <cellStyle name="Normal 4 2 6 7 2" xfId="24108"/>
    <cellStyle name="Normal 4 2 6 8" xfId="3439"/>
    <cellStyle name="Normal 4 2 6 8 2" xfId="25606"/>
    <cellStyle name="Normal 4 2 6 9" xfId="8305"/>
    <cellStyle name="Normal 4 2 6 9 2" xfId="28236"/>
    <cellStyle name="Normal 4 2 7" xfId="444"/>
    <cellStyle name="Normal 4 2 7 10" xfId="21117"/>
    <cellStyle name="Normal 4 2 7 10 2" xfId="37329"/>
    <cellStyle name="Normal 4 2 7 11" xfId="22615"/>
    <cellStyle name="Normal 4 2 7 12" xfId="39370"/>
    <cellStyle name="Normal 4 2 7 2" xfId="562"/>
    <cellStyle name="Normal 4 2 7 2 2" xfId="914"/>
    <cellStyle name="Normal 4 2 7 2 2 2" xfId="2413"/>
    <cellStyle name="Normal 4 2 7 2 2 2 2" xfId="20462"/>
    <cellStyle name="Normal 4 2 7 2 2 2 2 2" xfId="36683"/>
    <cellStyle name="Normal 4 2 7 2 2 2 3" xfId="12904"/>
    <cellStyle name="Normal 4 2 7 2 2 2 3 2" xfId="29995"/>
    <cellStyle name="Normal 4 2 7 2 2 2 4" xfId="24581"/>
    <cellStyle name="Normal 4 2 7 2 2 3" xfId="3912"/>
    <cellStyle name="Normal 4 2 7 2 2 3 2" xfId="17215"/>
    <cellStyle name="Normal 4 2 7 2 2 3 2 2" xfId="33436"/>
    <cellStyle name="Normal 4 2 7 2 2 3 3" xfId="26079"/>
    <cellStyle name="Normal 4 2 7 2 2 4" xfId="18705"/>
    <cellStyle name="Normal 4 2 7 2 2 4 2" xfId="34926"/>
    <cellStyle name="Normal 4 2 7 2 2 5" xfId="8311"/>
    <cellStyle name="Normal 4 2 7 2 2 5 2" xfId="28242"/>
    <cellStyle name="Normal 4 2 7 2 2 6" xfId="21585"/>
    <cellStyle name="Normal 4 2 7 2 2 6 2" xfId="37797"/>
    <cellStyle name="Normal 4 2 7 2 2 7" xfId="23083"/>
    <cellStyle name="Normal 4 2 7 2 3" xfId="1265"/>
    <cellStyle name="Normal 4 2 7 2 3 2" xfId="2764"/>
    <cellStyle name="Normal 4 2 7 2 3 2 2" xfId="20461"/>
    <cellStyle name="Normal 4 2 7 2 3 2 2 2" xfId="36682"/>
    <cellStyle name="Normal 4 2 7 2 3 2 3" xfId="24932"/>
    <cellStyle name="Normal 4 2 7 2 3 3" xfId="4263"/>
    <cellStyle name="Normal 4 2 7 2 3 3 2" xfId="26430"/>
    <cellStyle name="Normal 4 2 7 2 3 4" xfId="12903"/>
    <cellStyle name="Normal 4 2 7 2 3 4 2" xfId="29994"/>
    <cellStyle name="Normal 4 2 7 2 3 5" xfId="21936"/>
    <cellStyle name="Normal 4 2 7 2 3 5 2" xfId="38148"/>
    <cellStyle name="Normal 4 2 7 2 3 6" xfId="23434"/>
    <cellStyle name="Normal 4 2 7 2 4" xfId="1616"/>
    <cellStyle name="Normal 4 2 7 2 4 2" xfId="3115"/>
    <cellStyle name="Normal 4 2 7 2 4 2 2" xfId="25283"/>
    <cellStyle name="Normal 4 2 7 2 4 3" xfId="4614"/>
    <cellStyle name="Normal 4 2 7 2 4 3 2" xfId="26781"/>
    <cellStyle name="Normal 4 2 7 2 4 4" xfId="15630"/>
    <cellStyle name="Normal 4 2 7 2 4 4 2" xfId="31852"/>
    <cellStyle name="Normal 4 2 7 2 4 5" xfId="22287"/>
    <cellStyle name="Normal 4 2 7 2 4 5 2" xfId="38499"/>
    <cellStyle name="Normal 4 2 7 2 4 6" xfId="23785"/>
    <cellStyle name="Normal 4 2 7 2 5" xfId="2062"/>
    <cellStyle name="Normal 4 2 7 2 5 2" xfId="18704"/>
    <cellStyle name="Normal 4 2 7 2 5 2 2" xfId="34925"/>
    <cellStyle name="Normal 4 2 7 2 5 3" xfId="24230"/>
    <cellStyle name="Normal 4 2 7 2 6" xfId="3561"/>
    <cellStyle name="Normal 4 2 7 2 6 2" xfId="25728"/>
    <cellStyle name="Normal 4 2 7 2 7" xfId="8310"/>
    <cellStyle name="Normal 4 2 7 2 7 2" xfId="28241"/>
    <cellStyle name="Normal 4 2 7 2 8" xfId="21234"/>
    <cellStyle name="Normal 4 2 7 2 8 2" xfId="37446"/>
    <cellStyle name="Normal 4 2 7 2 9" xfId="22732"/>
    <cellStyle name="Normal 4 2 7 3" xfId="680"/>
    <cellStyle name="Normal 4 2 7 3 2" xfId="1031"/>
    <cellStyle name="Normal 4 2 7 3 2 2" xfId="2530"/>
    <cellStyle name="Normal 4 2 7 3 2 2 2" xfId="20463"/>
    <cellStyle name="Normal 4 2 7 3 2 2 2 2" xfId="36684"/>
    <cellStyle name="Normal 4 2 7 3 2 2 3" xfId="24698"/>
    <cellStyle name="Normal 4 2 7 3 2 3" xfId="4029"/>
    <cellStyle name="Normal 4 2 7 3 2 3 2" xfId="26196"/>
    <cellStyle name="Normal 4 2 7 3 2 4" xfId="12905"/>
    <cellStyle name="Normal 4 2 7 3 2 4 2" xfId="29996"/>
    <cellStyle name="Normal 4 2 7 3 2 5" xfId="21702"/>
    <cellStyle name="Normal 4 2 7 3 2 5 2" xfId="37914"/>
    <cellStyle name="Normal 4 2 7 3 2 6" xfId="23200"/>
    <cellStyle name="Normal 4 2 7 3 3" xfId="1382"/>
    <cellStyle name="Normal 4 2 7 3 3 2" xfId="2881"/>
    <cellStyle name="Normal 4 2 7 3 3 2 2" xfId="25049"/>
    <cellStyle name="Normal 4 2 7 3 3 3" xfId="4380"/>
    <cellStyle name="Normal 4 2 7 3 3 3 2" xfId="26547"/>
    <cellStyle name="Normal 4 2 7 3 3 4" xfId="16423"/>
    <cellStyle name="Normal 4 2 7 3 3 4 2" xfId="32644"/>
    <cellStyle name="Normal 4 2 7 3 3 5" xfId="22053"/>
    <cellStyle name="Normal 4 2 7 3 3 5 2" xfId="38265"/>
    <cellStyle name="Normal 4 2 7 3 3 6" xfId="23551"/>
    <cellStyle name="Normal 4 2 7 3 4" xfId="1733"/>
    <cellStyle name="Normal 4 2 7 3 4 2" xfId="3232"/>
    <cellStyle name="Normal 4 2 7 3 4 2 2" xfId="25400"/>
    <cellStyle name="Normal 4 2 7 3 4 3" xfId="4731"/>
    <cellStyle name="Normal 4 2 7 3 4 3 2" xfId="26898"/>
    <cellStyle name="Normal 4 2 7 3 4 4" xfId="18706"/>
    <cellStyle name="Normal 4 2 7 3 4 4 2" xfId="34927"/>
    <cellStyle name="Normal 4 2 7 3 4 5" xfId="22404"/>
    <cellStyle name="Normal 4 2 7 3 4 5 2" xfId="38616"/>
    <cellStyle name="Normal 4 2 7 3 4 6" xfId="23902"/>
    <cellStyle name="Normal 4 2 7 3 5" xfId="2179"/>
    <cellStyle name="Normal 4 2 7 3 5 2" xfId="24347"/>
    <cellStyle name="Normal 4 2 7 3 6" xfId="3678"/>
    <cellStyle name="Normal 4 2 7 3 6 2" xfId="25845"/>
    <cellStyle name="Normal 4 2 7 3 7" xfId="8312"/>
    <cellStyle name="Normal 4 2 7 3 7 2" xfId="28243"/>
    <cellStyle name="Normal 4 2 7 3 8" xfId="21351"/>
    <cellStyle name="Normal 4 2 7 3 8 2" xfId="37563"/>
    <cellStyle name="Normal 4 2 7 3 9" xfId="22849"/>
    <cellStyle name="Normal 4 2 7 4" xfId="797"/>
    <cellStyle name="Normal 4 2 7 4 2" xfId="2296"/>
    <cellStyle name="Normal 4 2 7 4 2 2" xfId="20460"/>
    <cellStyle name="Normal 4 2 7 4 2 2 2" xfId="36681"/>
    <cellStyle name="Normal 4 2 7 4 2 3" xfId="24464"/>
    <cellStyle name="Normal 4 2 7 4 3" xfId="3795"/>
    <cellStyle name="Normal 4 2 7 4 3 2" xfId="25962"/>
    <cellStyle name="Normal 4 2 7 4 4" xfId="12902"/>
    <cellStyle name="Normal 4 2 7 4 4 2" xfId="29993"/>
    <cellStyle name="Normal 4 2 7 4 5" xfId="21468"/>
    <cellStyle name="Normal 4 2 7 4 5 2" xfId="37680"/>
    <cellStyle name="Normal 4 2 7 4 6" xfId="22966"/>
    <cellStyle name="Normal 4 2 7 5" xfId="1148"/>
    <cellStyle name="Normal 4 2 7 5 2" xfId="2647"/>
    <cellStyle name="Normal 4 2 7 5 2 2" xfId="24815"/>
    <cellStyle name="Normal 4 2 7 5 3" xfId="4146"/>
    <cellStyle name="Normal 4 2 7 5 3 2" xfId="26313"/>
    <cellStyle name="Normal 4 2 7 5 4" xfId="14838"/>
    <cellStyle name="Normal 4 2 7 5 4 2" xfId="31060"/>
    <cellStyle name="Normal 4 2 7 5 5" xfId="21819"/>
    <cellStyle name="Normal 4 2 7 5 5 2" xfId="38031"/>
    <cellStyle name="Normal 4 2 7 5 6" xfId="23317"/>
    <cellStyle name="Normal 4 2 7 6" xfId="1499"/>
    <cellStyle name="Normal 4 2 7 6 2" xfId="2998"/>
    <cellStyle name="Normal 4 2 7 6 2 2" xfId="25166"/>
    <cellStyle name="Normal 4 2 7 6 3" xfId="4497"/>
    <cellStyle name="Normal 4 2 7 6 3 2" xfId="26664"/>
    <cellStyle name="Normal 4 2 7 6 4" xfId="18703"/>
    <cellStyle name="Normal 4 2 7 6 4 2" xfId="34924"/>
    <cellStyle name="Normal 4 2 7 6 5" xfId="22170"/>
    <cellStyle name="Normal 4 2 7 6 5 2" xfId="38382"/>
    <cellStyle name="Normal 4 2 7 6 6" xfId="23668"/>
    <cellStyle name="Normal 4 2 7 7" xfId="1945"/>
    <cellStyle name="Normal 4 2 7 7 2" xfId="24113"/>
    <cellStyle name="Normal 4 2 7 8" xfId="3444"/>
    <cellStyle name="Normal 4 2 7 8 2" xfId="25611"/>
    <cellStyle name="Normal 4 2 7 9" xfId="8309"/>
    <cellStyle name="Normal 4 2 7 9 2" xfId="28240"/>
    <cellStyle name="Normal 4 2 8" xfId="468"/>
    <cellStyle name="Normal 4 2 8 10" xfId="21141"/>
    <cellStyle name="Normal 4 2 8 10 2" xfId="37353"/>
    <cellStyle name="Normal 4 2 8 11" xfId="22639"/>
    <cellStyle name="Normal 4 2 8 2" xfId="586"/>
    <cellStyle name="Normal 4 2 8 2 2" xfId="938"/>
    <cellStyle name="Normal 4 2 8 2 2 2" xfId="2437"/>
    <cellStyle name="Normal 4 2 8 2 2 2 2" xfId="20465"/>
    <cellStyle name="Normal 4 2 8 2 2 2 2 2" xfId="36686"/>
    <cellStyle name="Normal 4 2 8 2 2 2 3" xfId="24605"/>
    <cellStyle name="Normal 4 2 8 2 2 3" xfId="3936"/>
    <cellStyle name="Normal 4 2 8 2 2 3 2" xfId="26103"/>
    <cellStyle name="Normal 4 2 8 2 2 4" xfId="12907"/>
    <cellStyle name="Normal 4 2 8 2 2 4 2" xfId="29998"/>
    <cellStyle name="Normal 4 2 8 2 2 5" xfId="21609"/>
    <cellStyle name="Normal 4 2 8 2 2 5 2" xfId="37821"/>
    <cellStyle name="Normal 4 2 8 2 2 6" xfId="23107"/>
    <cellStyle name="Normal 4 2 8 2 3" xfId="1289"/>
    <cellStyle name="Normal 4 2 8 2 3 2" xfId="2788"/>
    <cellStyle name="Normal 4 2 8 2 3 2 2" xfId="24956"/>
    <cellStyle name="Normal 4 2 8 2 3 3" xfId="4287"/>
    <cellStyle name="Normal 4 2 8 2 3 3 2" xfId="26454"/>
    <cellStyle name="Normal 4 2 8 2 3 4" xfId="16687"/>
    <cellStyle name="Normal 4 2 8 2 3 4 2" xfId="32908"/>
    <cellStyle name="Normal 4 2 8 2 3 5" xfId="21960"/>
    <cellStyle name="Normal 4 2 8 2 3 5 2" xfId="38172"/>
    <cellStyle name="Normal 4 2 8 2 3 6" xfId="23458"/>
    <cellStyle name="Normal 4 2 8 2 4" xfId="1640"/>
    <cellStyle name="Normal 4 2 8 2 4 2" xfId="3139"/>
    <cellStyle name="Normal 4 2 8 2 4 2 2" xfId="25307"/>
    <cellStyle name="Normal 4 2 8 2 4 3" xfId="4638"/>
    <cellStyle name="Normal 4 2 8 2 4 3 2" xfId="26805"/>
    <cellStyle name="Normal 4 2 8 2 4 4" xfId="18708"/>
    <cellStyle name="Normal 4 2 8 2 4 4 2" xfId="34929"/>
    <cellStyle name="Normal 4 2 8 2 4 5" xfId="22311"/>
    <cellStyle name="Normal 4 2 8 2 4 5 2" xfId="38523"/>
    <cellStyle name="Normal 4 2 8 2 4 6" xfId="23809"/>
    <cellStyle name="Normal 4 2 8 2 5" xfId="2086"/>
    <cellStyle name="Normal 4 2 8 2 5 2" xfId="24254"/>
    <cellStyle name="Normal 4 2 8 2 6" xfId="3585"/>
    <cellStyle name="Normal 4 2 8 2 6 2" xfId="25752"/>
    <cellStyle name="Normal 4 2 8 2 7" xfId="8314"/>
    <cellStyle name="Normal 4 2 8 2 7 2" xfId="28245"/>
    <cellStyle name="Normal 4 2 8 2 8" xfId="21258"/>
    <cellStyle name="Normal 4 2 8 2 8 2" xfId="37470"/>
    <cellStyle name="Normal 4 2 8 2 9" xfId="22756"/>
    <cellStyle name="Normal 4 2 8 3" xfId="704"/>
    <cellStyle name="Normal 4 2 8 3 2" xfId="1055"/>
    <cellStyle name="Normal 4 2 8 3 2 2" xfId="2554"/>
    <cellStyle name="Normal 4 2 8 3 2 2 2" xfId="24722"/>
    <cellStyle name="Normal 4 2 8 3 2 3" xfId="4053"/>
    <cellStyle name="Normal 4 2 8 3 2 3 2" xfId="26220"/>
    <cellStyle name="Normal 4 2 8 3 2 4" xfId="20464"/>
    <cellStyle name="Normal 4 2 8 3 2 4 2" xfId="36685"/>
    <cellStyle name="Normal 4 2 8 3 2 5" xfId="21726"/>
    <cellStyle name="Normal 4 2 8 3 2 5 2" xfId="37938"/>
    <cellStyle name="Normal 4 2 8 3 2 6" xfId="23224"/>
    <cellStyle name="Normal 4 2 8 3 3" xfId="1406"/>
    <cellStyle name="Normal 4 2 8 3 3 2" xfId="2905"/>
    <cellStyle name="Normal 4 2 8 3 3 2 2" xfId="25073"/>
    <cellStyle name="Normal 4 2 8 3 3 3" xfId="4404"/>
    <cellStyle name="Normal 4 2 8 3 3 3 2" xfId="26571"/>
    <cellStyle name="Normal 4 2 8 3 3 4" xfId="22077"/>
    <cellStyle name="Normal 4 2 8 3 3 4 2" xfId="38289"/>
    <cellStyle name="Normal 4 2 8 3 3 5" xfId="23575"/>
    <cellStyle name="Normal 4 2 8 3 4" xfId="1757"/>
    <cellStyle name="Normal 4 2 8 3 4 2" xfId="3256"/>
    <cellStyle name="Normal 4 2 8 3 4 2 2" xfId="25424"/>
    <cellStyle name="Normal 4 2 8 3 4 3" xfId="4755"/>
    <cellStyle name="Normal 4 2 8 3 4 3 2" xfId="26922"/>
    <cellStyle name="Normal 4 2 8 3 4 4" xfId="22428"/>
    <cellStyle name="Normal 4 2 8 3 4 4 2" xfId="38640"/>
    <cellStyle name="Normal 4 2 8 3 4 5" xfId="23926"/>
    <cellStyle name="Normal 4 2 8 3 5" xfId="2203"/>
    <cellStyle name="Normal 4 2 8 3 5 2" xfId="24371"/>
    <cellStyle name="Normal 4 2 8 3 6" xfId="3702"/>
    <cellStyle name="Normal 4 2 8 3 6 2" xfId="25869"/>
    <cellStyle name="Normal 4 2 8 3 7" xfId="12906"/>
    <cellStyle name="Normal 4 2 8 3 7 2" xfId="29997"/>
    <cellStyle name="Normal 4 2 8 3 8" xfId="21375"/>
    <cellStyle name="Normal 4 2 8 3 8 2" xfId="37587"/>
    <cellStyle name="Normal 4 2 8 3 9" xfId="22873"/>
    <cellStyle name="Normal 4 2 8 4" xfId="821"/>
    <cellStyle name="Normal 4 2 8 4 2" xfId="2320"/>
    <cellStyle name="Normal 4 2 8 4 2 2" xfId="24488"/>
    <cellStyle name="Normal 4 2 8 4 3" xfId="3819"/>
    <cellStyle name="Normal 4 2 8 4 3 2" xfId="25986"/>
    <cellStyle name="Normal 4 2 8 4 4" xfId="15102"/>
    <cellStyle name="Normal 4 2 8 4 4 2" xfId="31324"/>
    <cellStyle name="Normal 4 2 8 4 5" xfId="21492"/>
    <cellStyle name="Normal 4 2 8 4 5 2" xfId="37704"/>
    <cellStyle name="Normal 4 2 8 4 6" xfId="22990"/>
    <cellStyle name="Normal 4 2 8 5" xfId="1172"/>
    <cellStyle name="Normal 4 2 8 5 2" xfId="2671"/>
    <cellStyle name="Normal 4 2 8 5 2 2" xfId="24839"/>
    <cellStyle name="Normal 4 2 8 5 3" xfId="4170"/>
    <cellStyle name="Normal 4 2 8 5 3 2" xfId="26337"/>
    <cellStyle name="Normal 4 2 8 5 4" xfId="18707"/>
    <cellStyle name="Normal 4 2 8 5 4 2" xfId="34928"/>
    <cellStyle name="Normal 4 2 8 5 5" xfId="21843"/>
    <cellStyle name="Normal 4 2 8 5 5 2" xfId="38055"/>
    <cellStyle name="Normal 4 2 8 5 6" xfId="23341"/>
    <cellStyle name="Normal 4 2 8 6" xfId="1523"/>
    <cellStyle name="Normal 4 2 8 6 2" xfId="3022"/>
    <cellStyle name="Normal 4 2 8 6 2 2" xfId="25190"/>
    <cellStyle name="Normal 4 2 8 6 3" xfId="4521"/>
    <cellStyle name="Normal 4 2 8 6 3 2" xfId="26688"/>
    <cellStyle name="Normal 4 2 8 6 4" xfId="22194"/>
    <cellStyle name="Normal 4 2 8 6 4 2" xfId="38406"/>
    <cellStyle name="Normal 4 2 8 6 5" xfId="23692"/>
    <cellStyle name="Normal 4 2 8 7" xfId="1969"/>
    <cellStyle name="Normal 4 2 8 7 2" xfId="24137"/>
    <cellStyle name="Normal 4 2 8 8" xfId="3468"/>
    <cellStyle name="Normal 4 2 8 8 2" xfId="25635"/>
    <cellStyle name="Normal 4 2 8 9" xfId="8313"/>
    <cellStyle name="Normal 4 2 8 9 2" xfId="28244"/>
    <cellStyle name="Normal 4 2 9" xfId="481"/>
    <cellStyle name="Normal 4 2 9 10" xfId="21154"/>
    <cellStyle name="Normal 4 2 9 10 2" xfId="37366"/>
    <cellStyle name="Normal 4 2 9 11" xfId="22652"/>
    <cellStyle name="Normal 4 2 9 2" xfId="599"/>
    <cellStyle name="Normal 4 2 9 2 2" xfId="951"/>
    <cellStyle name="Normal 4 2 9 2 2 2" xfId="2450"/>
    <cellStyle name="Normal 4 2 9 2 2 2 2" xfId="24618"/>
    <cellStyle name="Normal 4 2 9 2 2 3" xfId="3949"/>
    <cellStyle name="Normal 4 2 9 2 2 3 2" xfId="26116"/>
    <cellStyle name="Normal 4 2 9 2 2 4" xfId="20466"/>
    <cellStyle name="Normal 4 2 9 2 2 4 2" xfId="36687"/>
    <cellStyle name="Normal 4 2 9 2 2 5" xfId="21622"/>
    <cellStyle name="Normal 4 2 9 2 2 5 2" xfId="37834"/>
    <cellStyle name="Normal 4 2 9 2 2 6" xfId="23120"/>
    <cellStyle name="Normal 4 2 9 2 3" xfId="1302"/>
    <cellStyle name="Normal 4 2 9 2 3 2" xfId="2801"/>
    <cellStyle name="Normal 4 2 9 2 3 2 2" xfId="24969"/>
    <cellStyle name="Normal 4 2 9 2 3 3" xfId="4300"/>
    <cellStyle name="Normal 4 2 9 2 3 3 2" xfId="26467"/>
    <cellStyle name="Normal 4 2 9 2 3 4" xfId="21973"/>
    <cellStyle name="Normal 4 2 9 2 3 4 2" xfId="38185"/>
    <cellStyle name="Normal 4 2 9 2 3 5" xfId="23471"/>
    <cellStyle name="Normal 4 2 9 2 4" xfId="1653"/>
    <cellStyle name="Normal 4 2 9 2 4 2" xfId="3152"/>
    <cellStyle name="Normal 4 2 9 2 4 2 2" xfId="25320"/>
    <cellStyle name="Normal 4 2 9 2 4 3" xfId="4651"/>
    <cellStyle name="Normal 4 2 9 2 4 3 2" xfId="26818"/>
    <cellStyle name="Normal 4 2 9 2 4 4" xfId="22324"/>
    <cellStyle name="Normal 4 2 9 2 4 4 2" xfId="38536"/>
    <cellStyle name="Normal 4 2 9 2 4 5" xfId="23822"/>
    <cellStyle name="Normal 4 2 9 2 5" xfId="2099"/>
    <cellStyle name="Normal 4 2 9 2 5 2" xfId="24267"/>
    <cellStyle name="Normal 4 2 9 2 6" xfId="3598"/>
    <cellStyle name="Normal 4 2 9 2 6 2" xfId="25765"/>
    <cellStyle name="Normal 4 2 9 2 7" xfId="12908"/>
    <cellStyle name="Normal 4 2 9 2 7 2" xfId="29999"/>
    <cellStyle name="Normal 4 2 9 2 8" xfId="21271"/>
    <cellStyle name="Normal 4 2 9 2 8 2" xfId="37483"/>
    <cellStyle name="Normal 4 2 9 2 9" xfId="22769"/>
    <cellStyle name="Normal 4 2 9 3" xfId="717"/>
    <cellStyle name="Normal 4 2 9 3 2" xfId="1068"/>
    <cellStyle name="Normal 4 2 9 3 2 2" xfId="2567"/>
    <cellStyle name="Normal 4 2 9 3 2 2 2" xfId="24735"/>
    <cellStyle name="Normal 4 2 9 3 2 3" xfId="4066"/>
    <cellStyle name="Normal 4 2 9 3 2 3 2" xfId="26233"/>
    <cellStyle name="Normal 4 2 9 3 2 4" xfId="21739"/>
    <cellStyle name="Normal 4 2 9 3 2 4 2" xfId="37951"/>
    <cellStyle name="Normal 4 2 9 3 2 5" xfId="23237"/>
    <cellStyle name="Normal 4 2 9 3 3" xfId="1419"/>
    <cellStyle name="Normal 4 2 9 3 3 2" xfId="2918"/>
    <cellStyle name="Normal 4 2 9 3 3 2 2" xfId="25086"/>
    <cellStyle name="Normal 4 2 9 3 3 3" xfId="4417"/>
    <cellStyle name="Normal 4 2 9 3 3 3 2" xfId="26584"/>
    <cellStyle name="Normal 4 2 9 3 3 4" xfId="22090"/>
    <cellStyle name="Normal 4 2 9 3 3 4 2" xfId="38302"/>
    <cellStyle name="Normal 4 2 9 3 3 5" xfId="23588"/>
    <cellStyle name="Normal 4 2 9 3 4" xfId="1770"/>
    <cellStyle name="Normal 4 2 9 3 4 2" xfId="3269"/>
    <cellStyle name="Normal 4 2 9 3 4 2 2" xfId="25437"/>
    <cellStyle name="Normal 4 2 9 3 4 3" xfId="4768"/>
    <cellStyle name="Normal 4 2 9 3 4 3 2" xfId="26935"/>
    <cellStyle name="Normal 4 2 9 3 4 4" xfId="22441"/>
    <cellStyle name="Normal 4 2 9 3 4 4 2" xfId="38653"/>
    <cellStyle name="Normal 4 2 9 3 4 5" xfId="23939"/>
    <cellStyle name="Normal 4 2 9 3 5" xfId="2216"/>
    <cellStyle name="Normal 4 2 9 3 5 2" xfId="24384"/>
    <cellStyle name="Normal 4 2 9 3 6" xfId="3715"/>
    <cellStyle name="Normal 4 2 9 3 6 2" xfId="25882"/>
    <cellStyle name="Normal 4 2 9 3 7" xfId="15895"/>
    <cellStyle name="Normal 4 2 9 3 7 2" xfId="32116"/>
    <cellStyle name="Normal 4 2 9 3 8" xfId="21388"/>
    <cellStyle name="Normal 4 2 9 3 8 2" xfId="37600"/>
    <cellStyle name="Normal 4 2 9 3 9" xfId="22886"/>
    <cellStyle name="Normal 4 2 9 4" xfId="834"/>
    <cellStyle name="Normal 4 2 9 4 2" xfId="2333"/>
    <cellStyle name="Normal 4 2 9 4 2 2" xfId="24501"/>
    <cellStyle name="Normal 4 2 9 4 3" xfId="3832"/>
    <cellStyle name="Normal 4 2 9 4 3 2" xfId="25999"/>
    <cellStyle name="Normal 4 2 9 4 4" xfId="18709"/>
    <cellStyle name="Normal 4 2 9 4 4 2" xfId="34930"/>
    <cellStyle name="Normal 4 2 9 4 5" xfId="21505"/>
    <cellStyle name="Normal 4 2 9 4 5 2" xfId="37717"/>
    <cellStyle name="Normal 4 2 9 4 6" xfId="23003"/>
    <cellStyle name="Normal 4 2 9 5" xfId="1185"/>
    <cellStyle name="Normal 4 2 9 5 2" xfId="2684"/>
    <cellStyle name="Normal 4 2 9 5 2 2" xfId="24852"/>
    <cellStyle name="Normal 4 2 9 5 3" xfId="4183"/>
    <cellStyle name="Normal 4 2 9 5 3 2" xfId="26350"/>
    <cellStyle name="Normal 4 2 9 5 4" xfId="21856"/>
    <cellStyle name="Normal 4 2 9 5 4 2" xfId="38068"/>
    <cellStyle name="Normal 4 2 9 5 5" xfId="23354"/>
    <cellStyle name="Normal 4 2 9 6" xfId="1536"/>
    <cellStyle name="Normal 4 2 9 6 2" xfId="3035"/>
    <cellStyle name="Normal 4 2 9 6 2 2" xfId="25203"/>
    <cellStyle name="Normal 4 2 9 6 3" xfId="4534"/>
    <cellStyle name="Normal 4 2 9 6 3 2" xfId="26701"/>
    <cellStyle name="Normal 4 2 9 6 4" xfId="22207"/>
    <cellStyle name="Normal 4 2 9 6 4 2" xfId="38419"/>
    <cellStyle name="Normal 4 2 9 6 5" xfId="23705"/>
    <cellStyle name="Normal 4 2 9 7" xfId="1982"/>
    <cellStyle name="Normal 4 2 9 7 2" xfId="24150"/>
    <cellStyle name="Normal 4 2 9 8" xfId="3481"/>
    <cellStyle name="Normal 4 2 9 8 2" xfId="25648"/>
    <cellStyle name="Normal 4 2 9 9" xfId="8315"/>
    <cellStyle name="Normal 4 2 9 9 2" xfId="28246"/>
    <cellStyle name="Normal 4 3" xfId="201"/>
    <cellStyle name="Normal 4 3 10" xfId="749"/>
    <cellStyle name="Normal 4 3 10 2" xfId="2248"/>
    <cellStyle name="Normal 4 3 10 2 2" xfId="24416"/>
    <cellStyle name="Normal 4 3 10 3" xfId="3747"/>
    <cellStyle name="Normal 4 3 10 3 2" xfId="25914"/>
    <cellStyle name="Normal 4 3 10 4" xfId="18710"/>
    <cellStyle name="Normal 4 3 10 4 2" xfId="34931"/>
    <cellStyle name="Normal 4 3 10 5" xfId="21420"/>
    <cellStyle name="Normal 4 3 10 5 2" xfId="37632"/>
    <cellStyle name="Normal 4 3 10 6" xfId="22918"/>
    <cellStyle name="Normal 4 3 11" xfId="1100"/>
    <cellStyle name="Normal 4 3 11 2" xfId="2599"/>
    <cellStyle name="Normal 4 3 11 2 2" xfId="24767"/>
    <cellStyle name="Normal 4 3 11 3" xfId="4098"/>
    <cellStyle name="Normal 4 3 11 3 2" xfId="26265"/>
    <cellStyle name="Normal 4 3 11 4" xfId="8316"/>
    <cellStyle name="Normal 4 3 11 4 2" xfId="28247"/>
    <cellStyle name="Normal 4 3 11 5" xfId="21771"/>
    <cellStyle name="Normal 4 3 11 5 2" xfId="37983"/>
    <cellStyle name="Normal 4 3 11 6" xfId="23269"/>
    <cellStyle name="Normal 4 3 12" xfId="1451"/>
    <cellStyle name="Normal 4 3 12 2" xfId="2950"/>
    <cellStyle name="Normal 4 3 12 2 2" xfId="25118"/>
    <cellStyle name="Normal 4 3 12 3" xfId="4449"/>
    <cellStyle name="Normal 4 3 12 3 2" xfId="26616"/>
    <cellStyle name="Normal 4 3 12 4" xfId="22122"/>
    <cellStyle name="Normal 4 3 12 4 2" xfId="38334"/>
    <cellStyle name="Normal 4 3 12 5" xfId="23620"/>
    <cellStyle name="Normal 4 3 13" xfId="1897"/>
    <cellStyle name="Normal 4 3 13 2" xfId="24065"/>
    <cellStyle name="Normal 4 3 14" xfId="3396"/>
    <cellStyle name="Normal 4 3 14 2" xfId="25563"/>
    <cellStyle name="Normal 4 3 15" xfId="4911"/>
    <cellStyle name="Normal 4 3 16" xfId="21069"/>
    <cellStyle name="Normal 4 3 16 2" xfId="37281"/>
    <cellStyle name="Normal 4 3 17" xfId="22567"/>
    <cellStyle name="Normal 4 3 18" xfId="38855"/>
    <cellStyle name="Normal 4 3 19" xfId="392"/>
    <cellStyle name="Normal 4 3 2" xfId="408"/>
    <cellStyle name="Normal 4 3 2 10" xfId="8317"/>
    <cellStyle name="Normal 4 3 2 10 2" xfId="28248"/>
    <cellStyle name="Normal 4 3 2 11" xfId="21081"/>
    <cellStyle name="Normal 4 3 2 11 2" xfId="37293"/>
    <cellStyle name="Normal 4 3 2 12" xfId="22579"/>
    <cellStyle name="Normal 4 3 2 13" xfId="38895"/>
    <cellStyle name="Normal 4 3 2 2" xfId="460"/>
    <cellStyle name="Normal 4 3 2 2 10" xfId="21133"/>
    <cellStyle name="Normal 4 3 2 2 10 2" xfId="37345"/>
    <cellStyle name="Normal 4 3 2 2 11" xfId="22631"/>
    <cellStyle name="Normal 4 3 2 2 2" xfId="578"/>
    <cellStyle name="Normal 4 3 2 2 2 2" xfId="930"/>
    <cellStyle name="Normal 4 3 2 2 2 2 2" xfId="2429"/>
    <cellStyle name="Normal 4 3 2 2 2 2 2 2" xfId="12914"/>
    <cellStyle name="Normal 4 3 2 2 2 2 2 2 2" xfId="20472"/>
    <cellStyle name="Normal 4 3 2 2 2 2 2 2 2 2" xfId="36693"/>
    <cellStyle name="Normal 4 3 2 2 2 2 2 2 3" xfId="30005"/>
    <cellStyle name="Normal 4 3 2 2 2 2 2 3" xfId="17181"/>
    <cellStyle name="Normal 4 3 2 2 2 2 2 3 2" xfId="33402"/>
    <cellStyle name="Normal 4 3 2 2 2 2 2 4" xfId="18715"/>
    <cellStyle name="Normal 4 3 2 2 2 2 2 4 2" xfId="34936"/>
    <cellStyle name="Normal 4 3 2 2 2 2 2 5" xfId="8321"/>
    <cellStyle name="Normal 4 3 2 2 2 2 2 5 2" xfId="28252"/>
    <cellStyle name="Normal 4 3 2 2 2 2 2 6" xfId="24597"/>
    <cellStyle name="Normal 4 3 2 2 2 2 3" xfId="3928"/>
    <cellStyle name="Normal 4 3 2 2 2 2 3 2" xfId="20471"/>
    <cellStyle name="Normal 4 3 2 2 2 2 3 2 2" xfId="36692"/>
    <cellStyle name="Normal 4 3 2 2 2 2 3 3" xfId="12913"/>
    <cellStyle name="Normal 4 3 2 2 2 2 3 3 2" xfId="30004"/>
    <cellStyle name="Normal 4 3 2 2 2 2 3 4" xfId="26095"/>
    <cellStyle name="Normal 4 3 2 2 2 2 4" xfId="15596"/>
    <cellStyle name="Normal 4 3 2 2 2 2 4 2" xfId="31818"/>
    <cellStyle name="Normal 4 3 2 2 2 2 5" xfId="18714"/>
    <cellStyle name="Normal 4 3 2 2 2 2 5 2" xfId="34935"/>
    <cellStyle name="Normal 4 3 2 2 2 2 6" xfId="8320"/>
    <cellStyle name="Normal 4 3 2 2 2 2 6 2" xfId="28251"/>
    <cellStyle name="Normal 4 3 2 2 2 2 7" xfId="21601"/>
    <cellStyle name="Normal 4 3 2 2 2 2 7 2" xfId="37813"/>
    <cellStyle name="Normal 4 3 2 2 2 2 8" xfId="23099"/>
    <cellStyle name="Normal 4 3 2 2 2 3" xfId="1281"/>
    <cellStyle name="Normal 4 3 2 2 2 3 2" xfId="2780"/>
    <cellStyle name="Normal 4 3 2 2 2 3 2 2" xfId="20473"/>
    <cellStyle name="Normal 4 3 2 2 2 3 2 2 2" xfId="36694"/>
    <cellStyle name="Normal 4 3 2 2 2 3 2 3" xfId="12915"/>
    <cellStyle name="Normal 4 3 2 2 2 3 2 3 2" xfId="30006"/>
    <cellStyle name="Normal 4 3 2 2 2 3 2 4" xfId="24948"/>
    <cellStyle name="Normal 4 3 2 2 2 3 3" xfId="4279"/>
    <cellStyle name="Normal 4 3 2 2 2 3 3 2" xfId="16389"/>
    <cellStyle name="Normal 4 3 2 2 2 3 3 2 2" xfId="32610"/>
    <cellStyle name="Normal 4 3 2 2 2 3 3 3" xfId="26446"/>
    <cellStyle name="Normal 4 3 2 2 2 3 4" xfId="18716"/>
    <cellStyle name="Normal 4 3 2 2 2 3 4 2" xfId="34937"/>
    <cellStyle name="Normal 4 3 2 2 2 3 5" xfId="8322"/>
    <cellStyle name="Normal 4 3 2 2 2 3 5 2" xfId="28253"/>
    <cellStyle name="Normal 4 3 2 2 2 3 6" xfId="21952"/>
    <cellStyle name="Normal 4 3 2 2 2 3 6 2" xfId="38164"/>
    <cellStyle name="Normal 4 3 2 2 2 3 7" xfId="23450"/>
    <cellStyle name="Normal 4 3 2 2 2 4" xfId="1632"/>
    <cellStyle name="Normal 4 3 2 2 2 4 2" xfId="3131"/>
    <cellStyle name="Normal 4 3 2 2 2 4 2 2" xfId="20470"/>
    <cellStyle name="Normal 4 3 2 2 2 4 2 2 2" xfId="36691"/>
    <cellStyle name="Normal 4 3 2 2 2 4 2 3" xfId="25299"/>
    <cellStyle name="Normal 4 3 2 2 2 4 3" xfId="4630"/>
    <cellStyle name="Normal 4 3 2 2 2 4 3 2" xfId="26797"/>
    <cellStyle name="Normal 4 3 2 2 2 4 4" xfId="12912"/>
    <cellStyle name="Normal 4 3 2 2 2 4 4 2" xfId="30003"/>
    <cellStyle name="Normal 4 3 2 2 2 4 5" xfId="22303"/>
    <cellStyle name="Normal 4 3 2 2 2 4 5 2" xfId="38515"/>
    <cellStyle name="Normal 4 3 2 2 2 4 6" xfId="23801"/>
    <cellStyle name="Normal 4 3 2 2 2 5" xfId="2078"/>
    <cellStyle name="Normal 4 3 2 2 2 5 2" xfId="14804"/>
    <cellStyle name="Normal 4 3 2 2 2 5 2 2" xfId="31026"/>
    <cellStyle name="Normal 4 3 2 2 2 5 3" xfId="24246"/>
    <cellStyle name="Normal 4 3 2 2 2 6" xfId="3577"/>
    <cellStyle name="Normal 4 3 2 2 2 6 2" xfId="18713"/>
    <cellStyle name="Normal 4 3 2 2 2 6 2 2" xfId="34934"/>
    <cellStyle name="Normal 4 3 2 2 2 6 3" xfId="25744"/>
    <cellStyle name="Normal 4 3 2 2 2 7" xfId="8319"/>
    <cellStyle name="Normal 4 3 2 2 2 7 2" xfId="28250"/>
    <cellStyle name="Normal 4 3 2 2 2 8" xfId="21250"/>
    <cellStyle name="Normal 4 3 2 2 2 8 2" xfId="37462"/>
    <cellStyle name="Normal 4 3 2 2 2 9" xfId="22748"/>
    <cellStyle name="Normal 4 3 2 2 3" xfId="696"/>
    <cellStyle name="Normal 4 3 2 2 3 2" xfId="1047"/>
    <cellStyle name="Normal 4 3 2 2 3 2 2" xfId="2546"/>
    <cellStyle name="Normal 4 3 2 2 3 2 2 2" xfId="12918"/>
    <cellStyle name="Normal 4 3 2 2 3 2 2 2 2" xfId="20476"/>
    <cellStyle name="Normal 4 3 2 2 3 2 2 2 2 2" xfId="36697"/>
    <cellStyle name="Normal 4 3 2 2 3 2 2 2 3" xfId="30009"/>
    <cellStyle name="Normal 4 3 2 2 3 2 2 3" xfId="17445"/>
    <cellStyle name="Normal 4 3 2 2 3 2 2 3 2" xfId="33666"/>
    <cellStyle name="Normal 4 3 2 2 3 2 2 4" xfId="18719"/>
    <cellStyle name="Normal 4 3 2 2 3 2 2 4 2" xfId="34940"/>
    <cellStyle name="Normal 4 3 2 2 3 2 2 5" xfId="8325"/>
    <cellStyle name="Normal 4 3 2 2 3 2 2 5 2" xfId="28256"/>
    <cellStyle name="Normal 4 3 2 2 3 2 2 6" xfId="24714"/>
    <cellStyle name="Normal 4 3 2 2 3 2 3" xfId="4045"/>
    <cellStyle name="Normal 4 3 2 2 3 2 3 2" xfId="20475"/>
    <cellStyle name="Normal 4 3 2 2 3 2 3 2 2" xfId="36696"/>
    <cellStyle name="Normal 4 3 2 2 3 2 3 3" xfId="12917"/>
    <cellStyle name="Normal 4 3 2 2 3 2 3 3 2" xfId="30008"/>
    <cellStyle name="Normal 4 3 2 2 3 2 3 4" xfId="26212"/>
    <cellStyle name="Normal 4 3 2 2 3 2 4" xfId="15860"/>
    <cellStyle name="Normal 4 3 2 2 3 2 4 2" xfId="32082"/>
    <cellStyle name="Normal 4 3 2 2 3 2 5" xfId="18718"/>
    <cellStyle name="Normal 4 3 2 2 3 2 5 2" xfId="34939"/>
    <cellStyle name="Normal 4 3 2 2 3 2 6" xfId="8324"/>
    <cellStyle name="Normal 4 3 2 2 3 2 6 2" xfId="28255"/>
    <cellStyle name="Normal 4 3 2 2 3 2 7" xfId="21718"/>
    <cellStyle name="Normal 4 3 2 2 3 2 7 2" xfId="37930"/>
    <cellStyle name="Normal 4 3 2 2 3 2 8" xfId="23216"/>
    <cellStyle name="Normal 4 3 2 2 3 3" xfId="1398"/>
    <cellStyle name="Normal 4 3 2 2 3 3 2" xfId="2897"/>
    <cellStyle name="Normal 4 3 2 2 3 3 2 2" xfId="20477"/>
    <cellStyle name="Normal 4 3 2 2 3 3 2 2 2" xfId="36698"/>
    <cellStyle name="Normal 4 3 2 2 3 3 2 3" xfId="12919"/>
    <cellStyle name="Normal 4 3 2 2 3 3 2 3 2" xfId="30010"/>
    <cellStyle name="Normal 4 3 2 2 3 3 2 4" xfId="25065"/>
    <cellStyle name="Normal 4 3 2 2 3 3 3" xfId="4396"/>
    <cellStyle name="Normal 4 3 2 2 3 3 3 2" xfId="16653"/>
    <cellStyle name="Normal 4 3 2 2 3 3 3 2 2" xfId="32874"/>
    <cellStyle name="Normal 4 3 2 2 3 3 3 3" xfId="26563"/>
    <cellStyle name="Normal 4 3 2 2 3 3 4" xfId="18720"/>
    <cellStyle name="Normal 4 3 2 2 3 3 4 2" xfId="34941"/>
    <cellStyle name="Normal 4 3 2 2 3 3 5" xfId="8326"/>
    <cellStyle name="Normal 4 3 2 2 3 3 5 2" xfId="28257"/>
    <cellStyle name="Normal 4 3 2 2 3 3 6" xfId="22069"/>
    <cellStyle name="Normal 4 3 2 2 3 3 6 2" xfId="38281"/>
    <cellStyle name="Normal 4 3 2 2 3 3 7" xfId="23567"/>
    <cellStyle name="Normal 4 3 2 2 3 4" xfId="1749"/>
    <cellStyle name="Normal 4 3 2 2 3 4 2" xfId="3248"/>
    <cellStyle name="Normal 4 3 2 2 3 4 2 2" xfId="20474"/>
    <cellStyle name="Normal 4 3 2 2 3 4 2 2 2" xfId="36695"/>
    <cellStyle name="Normal 4 3 2 2 3 4 2 3" xfId="25416"/>
    <cellStyle name="Normal 4 3 2 2 3 4 3" xfId="4747"/>
    <cellStyle name="Normal 4 3 2 2 3 4 3 2" xfId="26914"/>
    <cellStyle name="Normal 4 3 2 2 3 4 4" xfId="12916"/>
    <cellStyle name="Normal 4 3 2 2 3 4 4 2" xfId="30007"/>
    <cellStyle name="Normal 4 3 2 2 3 4 5" xfId="22420"/>
    <cellStyle name="Normal 4 3 2 2 3 4 5 2" xfId="38632"/>
    <cellStyle name="Normal 4 3 2 2 3 4 6" xfId="23918"/>
    <cellStyle name="Normal 4 3 2 2 3 5" xfId="2195"/>
    <cellStyle name="Normal 4 3 2 2 3 5 2" xfId="15068"/>
    <cellStyle name="Normal 4 3 2 2 3 5 2 2" xfId="31290"/>
    <cellStyle name="Normal 4 3 2 2 3 5 3" xfId="24363"/>
    <cellStyle name="Normal 4 3 2 2 3 6" xfId="3694"/>
    <cellStyle name="Normal 4 3 2 2 3 6 2" xfId="18717"/>
    <cellStyle name="Normal 4 3 2 2 3 6 2 2" xfId="34938"/>
    <cellStyle name="Normal 4 3 2 2 3 6 3" xfId="25861"/>
    <cellStyle name="Normal 4 3 2 2 3 7" xfId="8323"/>
    <cellStyle name="Normal 4 3 2 2 3 7 2" xfId="28254"/>
    <cellStyle name="Normal 4 3 2 2 3 8" xfId="21367"/>
    <cellStyle name="Normal 4 3 2 2 3 8 2" xfId="37579"/>
    <cellStyle name="Normal 4 3 2 2 3 9" xfId="22865"/>
    <cellStyle name="Normal 4 3 2 2 4" xfId="813"/>
    <cellStyle name="Normal 4 3 2 2 4 2" xfId="2312"/>
    <cellStyle name="Normal 4 3 2 2 4 2 2" xfId="12921"/>
    <cellStyle name="Normal 4 3 2 2 4 2 2 2" xfId="20479"/>
    <cellStyle name="Normal 4 3 2 2 4 2 2 2 2" xfId="36700"/>
    <cellStyle name="Normal 4 3 2 2 4 2 2 3" xfId="30012"/>
    <cellStyle name="Normal 4 3 2 2 4 2 3" xfId="16917"/>
    <cellStyle name="Normal 4 3 2 2 4 2 3 2" xfId="33138"/>
    <cellStyle name="Normal 4 3 2 2 4 2 4" xfId="18722"/>
    <cellStyle name="Normal 4 3 2 2 4 2 4 2" xfId="34943"/>
    <cellStyle name="Normal 4 3 2 2 4 2 5" xfId="8328"/>
    <cellStyle name="Normal 4 3 2 2 4 2 5 2" xfId="28259"/>
    <cellStyle name="Normal 4 3 2 2 4 2 6" xfId="24480"/>
    <cellStyle name="Normal 4 3 2 2 4 3" xfId="3811"/>
    <cellStyle name="Normal 4 3 2 2 4 3 2" xfId="20478"/>
    <cellStyle name="Normal 4 3 2 2 4 3 2 2" xfId="36699"/>
    <cellStyle name="Normal 4 3 2 2 4 3 3" xfId="12920"/>
    <cellStyle name="Normal 4 3 2 2 4 3 3 2" xfId="30011"/>
    <cellStyle name="Normal 4 3 2 2 4 3 4" xfId="25978"/>
    <cellStyle name="Normal 4 3 2 2 4 4" xfId="15332"/>
    <cellStyle name="Normal 4 3 2 2 4 4 2" xfId="31554"/>
    <cellStyle name="Normal 4 3 2 2 4 5" xfId="18721"/>
    <cellStyle name="Normal 4 3 2 2 4 5 2" xfId="34942"/>
    <cellStyle name="Normal 4 3 2 2 4 6" xfId="8327"/>
    <cellStyle name="Normal 4 3 2 2 4 6 2" xfId="28258"/>
    <cellStyle name="Normal 4 3 2 2 4 7" xfId="21484"/>
    <cellStyle name="Normal 4 3 2 2 4 7 2" xfId="37696"/>
    <cellStyle name="Normal 4 3 2 2 4 8" xfId="22982"/>
    <cellStyle name="Normal 4 3 2 2 5" xfId="1164"/>
    <cellStyle name="Normal 4 3 2 2 5 2" xfId="2663"/>
    <cellStyle name="Normal 4 3 2 2 5 2 2" xfId="20480"/>
    <cellStyle name="Normal 4 3 2 2 5 2 2 2" xfId="36701"/>
    <cellStyle name="Normal 4 3 2 2 5 2 3" xfId="12922"/>
    <cellStyle name="Normal 4 3 2 2 5 2 3 2" xfId="30013"/>
    <cellStyle name="Normal 4 3 2 2 5 2 4" xfId="24831"/>
    <cellStyle name="Normal 4 3 2 2 5 3" xfId="4162"/>
    <cellStyle name="Normal 4 3 2 2 5 3 2" xfId="16125"/>
    <cellStyle name="Normal 4 3 2 2 5 3 2 2" xfId="32346"/>
    <cellStyle name="Normal 4 3 2 2 5 3 3" xfId="26329"/>
    <cellStyle name="Normal 4 3 2 2 5 4" xfId="18723"/>
    <cellStyle name="Normal 4 3 2 2 5 4 2" xfId="34944"/>
    <cellStyle name="Normal 4 3 2 2 5 5" xfId="8329"/>
    <cellStyle name="Normal 4 3 2 2 5 5 2" xfId="28260"/>
    <cellStyle name="Normal 4 3 2 2 5 6" xfId="21835"/>
    <cellStyle name="Normal 4 3 2 2 5 6 2" xfId="38047"/>
    <cellStyle name="Normal 4 3 2 2 5 7" xfId="23333"/>
    <cellStyle name="Normal 4 3 2 2 6" xfId="1515"/>
    <cellStyle name="Normal 4 3 2 2 6 2" xfId="3014"/>
    <cellStyle name="Normal 4 3 2 2 6 2 2" xfId="20469"/>
    <cellStyle name="Normal 4 3 2 2 6 2 2 2" xfId="36690"/>
    <cellStyle name="Normal 4 3 2 2 6 2 3" xfId="25182"/>
    <cellStyle name="Normal 4 3 2 2 6 3" xfId="4513"/>
    <cellStyle name="Normal 4 3 2 2 6 3 2" xfId="26680"/>
    <cellStyle name="Normal 4 3 2 2 6 4" xfId="12911"/>
    <cellStyle name="Normal 4 3 2 2 6 4 2" xfId="30002"/>
    <cellStyle name="Normal 4 3 2 2 6 5" xfId="22186"/>
    <cellStyle name="Normal 4 3 2 2 6 5 2" xfId="38398"/>
    <cellStyle name="Normal 4 3 2 2 6 6" xfId="23684"/>
    <cellStyle name="Normal 4 3 2 2 7" xfId="1961"/>
    <cellStyle name="Normal 4 3 2 2 7 2" xfId="14540"/>
    <cellStyle name="Normal 4 3 2 2 7 2 2" xfId="30762"/>
    <cellStyle name="Normal 4 3 2 2 7 3" xfId="24129"/>
    <cellStyle name="Normal 4 3 2 2 8" xfId="3460"/>
    <cellStyle name="Normal 4 3 2 2 8 2" xfId="18712"/>
    <cellStyle name="Normal 4 3 2 2 8 2 2" xfId="34933"/>
    <cellStyle name="Normal 4 3 2 2 8 3" xfId="25627"/>
    <cellStyle name="Normal 4 3 2 2 9" xfId="8318"/>
    <cellStyle name="Normal 4 3 2 2 9 2" xfId="28249"/>
    <cellStyle name="Normal 4 3 2 3" xfId="526"/>
    <cellStyle name="Normal 4 3 2 3 2" xfId="878"/>
    <cellStyle name="Normal 4 3 2 3 2 2" xfId="2377"/>
    <cellStyle name="Normal 4 3 2 3 2 2 2" xfId="12925"/>
    <cellStyle name="Normal 4 3 2 3 2 2 2 2" xfId="20483"/>
    <cellStyle name="Normal 4 3 2 3 2 2 2 2 2" xfId="36704"/>
    <cellStyle name="Normal 4 3 2 3 2 2 2 3" xfId="30016"/>
    <cellStyle name="Normal 4 3 2 3 2 2 3" xfId="17049"/>
    <cellStyle name="Normal 4 3 2 3 2 2 3 2" xfId="33270"/>
    <cellStyle name="Normal 4 3 2 3 2 2 4" xfId="18726"/>
    <cellStyle name="Normal 4 3 2 3 2 2 4 2" xfId="34947"/>
    <cellStyle name="Normal 4 3 2 3 2 2 5" xfId="8332"/>
    <cellStyle name="Normal 4 3 2 3 2 2 5 2" xfId="28263"/>
    <cellStyle name="Normal 4 3 2 3 2 2 6" xfId="24545"/>
    <cellStyle name="Normal 4 3 2 3 2 3" xfId="3876"/>
    <cellStyle name="Normal 4 3 2 3 2 3 2" xfId="20482"/>
    <cellStyle name="Normal 4 3 2 3 2 3 2 2" xfId="36703"/>
    <cellStyle name="Normal 4 3 2 3 2 3 3" xfId="12924"/>
    <cellStyle name="Normal 4 3 2 3 2 3 3 2" xfId="30015"/>
    <cellStyle name="Normal 4 3 2 3 2 3 4" xfId="26043"/>
    <cellStyle name="Normal 4 3 2 3 2 4" xfId="15464"/>
    <cellStyle name="Normal 4 3 2 3 2 4 2" xfId="31686"/>
    <cellStyle name="Normal 4 3 2 3 2 5" xfId="18725"/>
    <cellStyle name="Normal 4 3 2 3 2 5 2" xfId="34946"/>
    <cellStyle name="Normal 4 3 2 3 2 6" xfId="8331"/>
    <cellStyle name="Normal 4 3 2 3 2 6 2" xfId="28262"/>
    <cellStyle name="Normal 4 3 2 3 2 7" xfId="21549"/>
    <cellStyle name="Normal 4 3 2 3 2 7 2" xfId="37761"/>
    <cellStyle name="Normal 4 3 2 3 2 8" xfId="23047"/>
    <cellStyle name="Normal 4 3 2 3 3" xfId="1229"/>
    <cellStyle name="Normal 4 3 2 3 3 2" xfId="2728"/>
    <cellStyle name="Normal 4 3 2 3 3 2 2" xfId="20484"/>
    <cellStyle name="Normal 4 3 2 3 3 2 2 2" xfId="36705"/>
    <cellStyle name="Normal 4 3 2 3 3 2 3" xfId="12926"/>
    <cellStyle name="Normal 4 3 2 3 3 2 3 2" xfId="30017"/>
    <cellStyle name="Normal 4 3 2 3 3 2 4" xfId="24896"/>
    <cellStyle name="Normal 4 3 2 3 3 3" xfId="4227"/>
    <cellStyle name="Normal 4 3 2 3 3 3 2" xfId="16257"/>
    <cellStyle name="Normal 4 3 2 3 3 3 2 2" xfId="32478"/>
    <cellStyle name="Normal 4 3 2 3 3 3 3" xfId="26394"/>
    <cellStyle name="Normal 4 3 2 3 3 4" xfId="18727"/>
    <cellStyle name="Normal 4 3 2 3 3 4 2" xfId="34948"/>
    <cellStyle name="Normal 4 3 2 3 3 5" xfId="8333"/>
    <cellStyle name="Normal 4 3 2 3 3 5 2" xfId="28264"/>
    <cellStyle name="Normal 4 3 2 3 3 6" xfId="21900"/>
    <cellStyle name="Normal 4 3 2 3 3 6 2" xfId="38112"/>
    <cellStyle name="Normal 4 3 2 3 3 7" xfId="23398"/>
    <cellStyle name="Normal 4 3 2 3 4" xfId="1580"/>
    <cellStyle name="Normal 4 3 2 3 4 2" xfId="3079"/>
    <cellStyle name="Normal 4 3 2 3 4 2 2" xfId="20481"/>
    <cellStyle name="Normal 4 3 2 3 4 2 2 2" xfId="36702"/>
    <cellStyle name="Normal 4 3 2 3 4 2 3" xfId="25247"/>
    <cellStyle name="Normal 4 3 2 3 4 3" xfId="4578"/>
    <cellStyle name="Normal 4 3 2 3 4 3 2" xfId="26745"/>
    <cellStyle name="Normal 4 3 2 3 4 4" xfId="12923"/>
    <cellStyle name="Normal 4 3 2 3 4 4 2" xfId="30014"/>
    <cellStyle name="Normal 4 3 2 3 4 5" xfId="22251"/>
    <cellStyle name="Normal 4 3 2 3 4 5 2" xfId="38463"/>
    <cellStyle name="Normal 4 3 2 3 4 6" xfId="23749"/>
    <cellStyle name="Normal 4 3 2 3 5" xfId="2026"/>
    <cellStyle name="Normal 4 3 2 3 5 2" xfId="14672"/>
    <cellStyle name="Normal 4 3 2 3 5 2 2" xfId="30894"/>
    <cellStyle name="Normal 4 3 2 3 5 3" xfId="24194"/>
    <cellStyle name="Normal 4 3 2 3 6" xfId="3525"/>
    <cellStyle name="Normal 4 3 2 3 6 2" xfId="18724"/>
    <cellStyle name="Normal 4 3 2 3 6 2 2" xfId="34945"/>
    <cellStyle name="Normal 4 3 2 3 6 3" xfId="25692"/>
    <cellStyle name="Normal 4 3 2 3 7" xfId="8330"/>
    <cellStyle name="Normal 4 3 2 3 7 2" xfId="28261"/>
    <cellStyle name="Normal 4 3 2 3 8" xfId="21198"/>
    <cellStyle name="Normal 4 3 2 3 8 2" xfId="37410"/>
    <cellStyle name="Normal 4 3 2 3 9" xfId="22696"/>
    <cellStyle name="Normal 4 3 2 4" xfId="644"/>
    <cellStyle name="Normal 4 3 2 4 2" xfId="995"/>
    <cellStyle name="Normal 4 3 2 4 2 2" xfId="2494"/>
    <cellStyle name="Normal 4 3 2 4 2 2 2" xfId="12929"/>
    <cellStyle name="Normal 4 3 2 4 2 2 2 2" xfId="20487"/>
    <cellStyle name="Normal 4 3 2 4 2 2 2 2 2" xfId="36708"/>
    <cellStyle name="Normal 4 3 2 4 2 2 2 3" xfId="30020"/>
    <cellStyle name="Normal 4 3 2 4 2 2 3" xfId="17313"/>
    <cellStyle name="Normal 4 3 2 4 2 2 3 2" xfId="33534"/>
    <cellStyle name="Normal 4 3 2 4 2 2 4" xfId="18730"/>
    <cellStyle name="Normal 4 3 2 4 2 2 4 2" xfId="34951"/>
    <cellStyle name="Normal 4 3 2 4 2 2 5" xfId="8336"/>
    <cellStyle name="Normal 4 3 2 4 2 2 5 2" xfId="28267"/>
    <cellStyle name="Normal 4 3 2 4 2 2 6" xfId="24662"/>
    <cellStyle name="Normal 4 3 2 4 2 3" xfId="3993"/>
    <cellStyle name="Normal 4 3 2 4 2 3 2" xfId="20486"/>
    <cellStyle name="Normal 4 3 2 4 2 3 2 2" xfId="36707"/>
    <cellStyle name="Normal 4 3 2 4 2 3 3" xfId="12928"/>
    <cellStyle name="Normal 4 3 2 4 2 3 3 2" xfId="30019"/>
    <cellStyle name="Normal 4 3 2 4 2 3 4" xfId="26160"/>
    <cellStyle name="Normal 4 3 2 4 2 4" xfId="15728"/>
    <cellStyle name="Normal 4 3 2 4 2 4 2" xfId="31950"/>
    <cellStyle name="Normal 4 3 2 4 2 5" xfId="18729"/>
    <cellStyle name="Normal 4 3 2 4 2 5 2" xfId="34950"/>
    <cellStyle name="Normal 4 3 2 4 2 6" xfId="8335"/>
    <cellStyle name="Normal 4 3 2 4 2 6 2" xfId="28266"/>
    <cellStyle name="Normal 4 3 2 4 2 7" xfId="21666"/>
    <cellStyle name="Normal 4 3 2 4 2 7 2" xfId="37878"/>
    <cellStyle name="Normal 4 3 2 4 2 8" xfId="23164"/>
    <cellStyle name="Normal 4 3 2 4 3" xfId="1346"/>
    <cellStyle name="Normal 4 3 2 4 3 2" xfId="2845"/>
    <cellStyle name="Normal 4 3 2 4 3 2 2" xfId="20488"/>
    <cellStyle name="Normal 4 3 2 4 3 2 2 2" xfId="36709"/>
    <cellStyle name="Normal 4 3 2 4 3 2 3" xfId="12930"/>
    <cellStyle name="Normal 4 3 2 4 3 2 3 2" xfId="30021"/>
    <cellStyle name="Normal 4 3 2 4 3 2 4" xfId="25013"/>
    <cellStyle name="Normal 4 3 2 4 3 3" xfId="4344"/>
    <cellStyle name="Normal 4 3 2 4 3 3 2" xfId="16521"/>
    <cellStyle name="Normal 4 3 2 4 3 3 2 2" xfId="32742"/>
    <cellStyle name="Normal 4 3 2 4 3 3 3" xfId="26511"/>
    <cellStyle name="Normal 4 3 2 4 3 4" xfId="18731"/>
    <cellStyle name="Normal 4 3 2 4 3 4 2" xfId="34952"/>
    <cellStyle name="Normal 4 3 2 4 3 5" xfId="8337"/>
    <cellStyle name="Normal 4 3 2 4 3 5 2" xfId="28268"/>
    <cellStyle name="Normal 4 3 2 4 3 6" xfId="22017"/>
    <cellStyle name="Normal 4 3 2 4 3 6 2" xfId="38229"/>
    <cellStyle name="Normal 4 3 2 4 3 7" xfId="23515"/>
    <cellStyle name="Normal 4 3 2 4 4" xfId="1697"/>
    <cellStyle name="Normal 4 3 2 4 4 2" xfId="3196"/>
    <cellStyle name="Normal 4 3 2 4 4 2 2" xfId="20485"/>
    <cellStyle name="Normal 4 3 2 4 4 2 2 2" xfId="36706"/>
    <cellStyle name="Normal 4 3 2 4 4 2 3" xfId="25364"/>
    <cellStyle name="Normal 4 3 2 4 4 3" xfId="4695"/>
    <cellStyle name="Normal 4 3 2 4 4 3 2" xfId="26862"/>
    <cellStyle name="Normal 4 3 2 4 4 4" xfId="12927"/>
    <cellStyle name="Normal 4 3 2 4 4 4 2" xfId="30018"/>
    <cellStyle name="Normal 4 3 2 4 4 5" xfId="22368"/>
    <cellStyle name="Normal 4 3 2 4 4 5 2" xfId="38580"/>
    <cellStyle name="Normal 4 3 2 4 4 6" xfId="23866"/>
    <cellStyle name="Normal 4 3 2 4 5" xfId="2143"/>
    <cellStyle name="Normal 4 3 2 4 5 2" xfId="14936"/>
    <cellStyle name="Normal 4 3 2 4 5 2 2" xfId="31158"/>
    <cellStyle name="Normal 4 3 2 4 5 3" xfId="24311"/>
    <cellStyle name="Normal 4 3 2 4 6" xfId="3642"/>
    <cellStyle name="Normal 4 3 2 4 6 2" xfId="18728"/>
    <cellStyle name="Normal 4 3 2 4 6 2 2" xfId="34949"/>
    <cellStyle name="Normal 4 3 2 4 6 3" xfId="25809"/>
    <cellStyle name="Normal 4 3 2 4 7" xfId="8334"/>
    <cellStyle name="Normal 4 3 2 4 7 2" xfId="28265"/>
    <cellStyle name="Normal 4 3 2 4 8" xfId="21315"/>
    <cellStyle name="Normal 4 3 2 4 8 2" xfId="37527"/>
    <cellStyle name="Normal 4 3 2 4 9" xfId="22813"/>
    <cellStyle name="Normal 4 3 2 5" xfId="761"/>
    <cellStyle name="Normal 4 3 2 5 2" xfId="2260"/>
    <cellStyle name="Normal 4 3 2 5 2 2" xfId="12932"/>
    <cellStyle name="Normal 4 3 2 5 2 2 2" xfId="20490"/>
    <cellStyle name="Normal 4 3 2 5 2 2 2 2" xfId="36711"/>
    <cellStyle name="Normal 4 3 2 5 2 2 3" xfId="30023"/>
    <cellStyle name="Normal 4 3 2 5 2 3" xfId="16785"/>
    <cellStyle name="Normal 4 3 2 5 2 3 2" xfId="33006"/>
    <cellStyle name="Normal 4 3 2 5 2 4" xfId="18733"/>
    <cellStyle name="Normal 4 3 2 5 2 4 2" xfId="34954"/>
    <cellStyle name="Normal 4 3 2 5 2 5" xfId="8339"/>
    <cellStyle name="Normal 4 3 2 5 2 5 2" xfId="28270"/>
    <cellStyle name="Normal 4 3 2 5 2 6" xfId="24428"/>
    <cellStyle name="Normal 4 3 2 5 3" xfId="3759"/>
    <cellStyle name="Normal 4 3 2 5 3 2" xfId="20489"/>
    <cellStyle name="Normal 4 3 2 5 3 2 2" xfId="36710"/>
    <cellStyle name="Normal 4 3 2 5 3 3" xfId="12931"/>
    <cellStyle name="Normal 4 3 2 5 3 3 2" xfId="30022"/>
    <cellStyle name="Normal 4 3 2 5 3 4" xfId="25926"/>
    <cellStyle name="Normal 4 3 2 5 4" xfId="15200"/>
    <cellStyle name="Normal 4 3 2 5 4 2" xfId="31422"/>
    <cellStyle name="Normal 4 3 2 5 5" xfId="18732"/>
    <cellStyle name="Normal 4 3 2 5 5 2" xfId="34953"/>
    <cellStyle name="Normal 4 3 2 5 6" xfId="8338"/>
    <cellStyle name="Normal 4 3 2 5 6 2" xfId="28269"/>
    <cellStyle name="Normal 4 3 2 5 7" xfId="21432"/>
    <cellStyle name="Normal 4 3 2 5 7 2" xfId="37644"/>
    <cellStyle name="Normal 4 3 2 5 8" xfId="22930"/>
    <cellStyle name="Normal 4 3 2 6" xfId="1112"/>
    <cellStyle name="Normal 4 3 2 6 2" xfId="2611"/>
    <cellStyle name="Normal 4 3 2 6 2 2" xfId="20491"/>
    <cellStyle name="Normal 4 3 2 6 2 2 2" xfId="36712"/>
    <cellStyle name="Normal 4 3 2 6 2 3" xfId="12933"/>
    <cellStyle name="Normal 4 3 2 6 2 3 2" xfId="30024"/>
    <cellStyle name="Normal 4 3 2 6 2 4" xfId="24779"/>
    <cellStyle name="Normal 4 3 2 6 3" xfId="4110"/>
    <cellStyle name="Normal 4 3 2 6 3 2" xfId="15993"/>
    <cellStyle name="Normal 4 3 2 6 3 2 2" xfId="32214"/>
    <cellStyle name="Normal 4 3 2 6 3 3" xfId="26277"/>
    <cellStyle name="Normal 4 3 2 6 4" xfId="18734"/>
    <cellStyle name="Normal 4 3 2 6 4 2" xfId="34955"/>
    <cellStyle name="Normal 4 3 2 6 5" xfId="8340"/>
    <cellStyle name="Normal 4 3 2 6 5 2" xfId="28271"/>
    <cellStyle name="Normal 4 3 2 6 6" xfId="21783"/>
    <cellStyle name="Normal 4 3 2 6 6 2" xfId="37995"/>
    <cellStyle name="Normal 4 3 2 6 7" xfId="23281"/>
    <cellStyle name="Normal 4 3 2 7" xfId="1463"/>
    <cellStyle name="Normal 4 3 2 7 2" xfId="2962"/>
    <cellStyle name="Normal 4 3 2 7 2 2" xfId="20468"/>
    <cellStyle name="Normal 4 3 2 7 2 2 2" xfId="36689"/>
    <cellStyle name="Normal 4 3 2 7 2 3" xfId="25130"/>
    <cellStyle name="Normal 4 3 2 7 3" xfId="4461"/>
    <cellStyle name="Normal 4 3 2 7 3 2" xfId="26628"/>
    <cellStyle name="Normal 4 3 2 7 4" xfId="12910"/>
    <cellStyle name="Normal 4 3 2 7 4 2" xfId="30001"/>
    <cellStyle name="Normal 4 3 2 7 5" xfId="22134"/>
    <cellStyle name="Normal 4 3 2 7 5 2" xfId="38346"/>
    <cellStyle name="Normal 4 3 2 7 6" xfId="23632"/>
    <cellStyle name="Normal 4 3 2 8" xfId="1909"/>
    <cellStyle name="Normal 4 3 2 8 2" xfId="14408"/>
    <cellStyle name="Normal 4 3 2 8 2 2" xfId="30630"/>
    <cellStyle name="Normal 4 3 2 8 3" xfId="24077"/>
    <cellStyle name="Normal 4 3 2 9" xfId="3408"/>
    <cellStyle name="Normal 4 3 2 9 2" xfId="18711"/>
    <cellStyle name="Normal 4 3 2 9 2 2" xfId="34932"/>
    <cellStyle name="Normal 4 3 2 9 3" xfId="25575"/>
    <cellStyle name="Normal 4 3 3" xfId="420"/>
    <cellStyle name="Normal 4 3 3 10" xfId="21093"/>
    <cellStyle name="Normal 4 3 3 10 2" xfId="37305"/>
    <cellStyle name="Normal 4 3 3 11" xfId="22591"/>
    <cellStyle name="Normal 4 3 3 12" xfId="39486"/>
    <cellStyle name="Normal 4 3 3 2" xfId="538"/>
    <cellStyle name="Normal 4 3 3 2 2" xfId="890"/>
    <cellStyle name="Normal 4 3 3 2 2 2" xfId="2389"/>
    <cellStyle name="Normal 4 3 3 2 2 2 2" xfId="12937"/>
    <cellStyle name="Normal 4 3 3 2 2 2 2 2" xfId="20495"/>
    <cellStyle name="Normal 4 3 3 2 2 2 2 2 2" xfId="36716"/>
    <cellStyle name="Normal 4 3 3 2 2 2 2 3" xfId="30028"/>
    <cellStyle name="Normal 4 3 3 2 2 2 3" xfId="17115"/>
    <cellStyle name="Normal 4 3 3 2 2 2 3 2" xfId="33336"/>
    <cellStyle name="Normal 4 3 3 2 2 2 4" xfId="18738"/>
    <cellStyle name="Normal 4 3 3 2 2 2 4 2" xfId="34959"/>
    <cellStyle name="Normal 4 3 3 2 2 2 5" xfId="8344"/>
    <cellStyle name="Normal 4 3 3 2 2 2 5 2" xfId="28275"/>
    <cellStyle name="Normal 4 3 3 2 2 2 6" xfId="24557"/>
    <cellStyle name="Normal 4 3 3 2 2 3" xfId="3888"/>
    <cellStyle name="Normal 4 3 3 2 2 3 2" xfId="20494"/>
    <cellStyle name="Normal 4 3 3 2 2 3 2 2" xfId="36715"/>
    <cellStyle name="Normal 4 3 3 2 2 3 3" xfId="12936"/>
    <cellStyle name="Normal 4 3 3 2 2 3 3 2" xfId="30027"/>
    <cellStyle name="Normal 4 3 3 2 2 3 4" xfId="26055"/>
    <cellStyle name="Normal 4 3 3 2 2 4" xfId="15530"/>
    <cellStyle name="Normal 4 3 3 2 2 4 2" xfId="31752"/>
    <cellStyle name="Normal 4 3 3 2 2 5" xfId="18737"/>
    <cellStyle name="Normal 4 3 3 2 2 5 2" xfId="34958"/>
    <cellStyle name="Normal 4 3 3 2 2 6" xfId="8343"/>
    <cellStyle name="Normal 4 3 3 2 2 6 2" xfId="28274"/>
    <cellStyle name="Normal 4 3 3 2 2 7" xfId="21561"/>
    <cellStyle name="Normal 4 3 3 2 2 7 2" xfId="37773"/>
    <cellStyle name="Normal 4 3 3 2 2 8" xfId="23059"/>
    <cellStyle name="Normal 4 3 3 2 3" xfId="1241"/>
    <cellStyle name="Normal 4 3 3 2 3 2" xfId="2740"/>
    <cellStyle name="Normal 4 3 3 2 3 2 2" xfId="20496"/>
    <cellStyle name="Normal 4 3 3 2 3 2 2 2" xfId="36717"/>
    <cellStyle name="Normal 4 3 3 2 3 2 3" xfId="12938"/>
    <cellStyle name="Normal 4 3 3 2 3 2 3 2" xfId="30029"/>
    <cellStyle name="Normal 4 3 3 2 3 2 4" xfId="24908"/>
    <cellStyle name="Normal 4 3 3 2 3 3" xfId="4239"/>
    <cellStyle name="Normal 4 3 3 2 3 3 2" xfId="16323"/>
    <cellStyle name="Normal 4 3 3 2 3 3 2 2" xfId="32544"/>
    <cellStyle name="Normal 4 3 3 2 3 3 3" xfId="26406"/>
    <cellStyle name="Normal 4 3 3 2 3 4" xfId="18739"/>
    <cellStyle name="Normal 4 3 3 2 3 4 2" xfId="34960"/>
    <cellStyle name="Normal 4 3 3 2 3 5" xfId="8345"/>
    <cellStyle name="Normal 4 3 3 2 3 5 2" xfId="28276"/>
    <cellStyle name="Normal 4 3 3 2 3 6" xfId="21912"/>
    <cellStyle name="Normal 4 3 3 2 3 6 2" xfId="38124"/>
    <cellStyle name="Normal 4 3 3 2 3 7" xfId="23410"/>
    <cellStyle name="Normal 4 3 3 2 4" xfId="1592"/>
    <cellStyle name="Normal 4 3 3 2 4 2" xfId="3091"/>
    <cellStyle name="Normal 4 3 3 2 4 2 2" xfId="20493"/>
    <cellStyle name="Normal 4 3 3 2 4 2 2 2" xfId="36714"/>
    <cellStyle name="Normal 4 3 3 2 4 2 3" xfId="25259"/>
    <cellStyle name="Normal 4 3 3 2 4 3" xfId="4590"/>
    <cellStyle name="Normal 4 3 3 2 4 3 2" xfId="26757"/>
    <cellStyle name="Normal 4 3 3 2 4 4" xfId="12935"/>
    <cellStyle name="Normal 4 3 3 2 4 4 2" xfId="30026"/>
    <cellStyle name="Normal 4 3 3 2 4 5" xfId="22263"/>
    <cellStyle name="Normal 4 3 3 2 4 5 2" xfId="38475"/>
    <cellStyle name="Normal 4 3 3 2 4 6" xfId="23761"/>
    <cellStyle name="Normal 4 3 3 2 5" xfId="2038"/>
    <cellStyle name="Normal 4 3 3 2 5 2" xfId="14738"/>
    <cellStyle name="Normal 4 3 3 2 5 2 2" xfId="30960"/>
    <cellStyle name="Normal 4 3 3 2 5 3" xfId="24206"/>
    <cellStyle name="Normal 4 3 3 2 6" xfId="3537"/>
    <cellStyle name="Normal 4 3 3 2 6 2" xfId="18736"/>
    <cellStyle name="Normal 4 3 3 2 6 2 2" xfId="34957"/>
    <cellStyle name="Normal 4 3 3 2 6 3" xfId="25704"/>
    <cellStyle name="Normal 4 3 3 2 7" xfId="8342"/>
    <cellStyle name="Normal 4 3 3 2 7 2" xfId="28273"/>
    <cellStyle name="Normal 4 3 3 2 8" xfId="21210"/>
    <cellStyle name="Normal 4 3 3 2 8 2" xfId="37422"/>
    <cellStyle name="Normal 4 3 3 2 9" xfId="22708"/>
    <cellStyle name="Normal 4 3 3 3" xfId="656"/>
    <cellStyle name="Normal 4 3 3 3 2" xfId="1007"/>
    <cellStyle name="Normal 4 3 3 3 2 2" xfId="2506"/>
    <cellStyle name="Normal 4 3 3 3 2 2 2" xfId="12941"/>
    <cellStyle name="Normal 4 3 3 3 2 2 2 2" xfId="20499"/>
    <cellStyle name="Normal 4 3 3 3 2 2 2 2 2" xfId="36720"/>
    <cellStyle name="Normal 4 3 3 3 2 2 2 3" xfId="30032"/>
    <cellStyle name="Normal 4 3 3 3 2 2 3" xfId="17379"/>
    <cellStyle name="Normal 4 3 3 3 2 2 3 2" xfId="33600"/>
    <cellStyle name="Normal 4 3 3 3 2 2 4" xfId="18742"/>
    <cellStyle name="Normal 4 3 3 3 2 2 4 2" xfId="34963"/>
    <cellStyle name="Normal 4 3 3 3 2 2 5" xfId="8348"/>
    <cellStyle name="Normal 4 3 3 3 2 2 5 2" xfId="28279"/>
    <cellStyle name="Normal 4 3 3 3 2 2 6" xfId="24674"/>
    <cellStyle name="Normal 4 3 3 3 2 3" xfId="4005"/>
    <cellStyle name="Normal 4 3 3 3 2 3 2" xfId="20498"/>
    <cellStyle name="Normal 4 3 3 3 2 3 2 2" xfId="36719"/>
    <cellStyle name="Normal 4 3 3 3 2 3 3" xfId="12940"/>
    <cellStyle name="Normal 4 3 3 3 2 3 3 2" xfId="30031"/>
    <cellStyle name="Normal 4 3 3 3 2 3 4" xfId="26172"/>
    <cellStyle name="Normal 4 3 3 3 2 4" xfId="15794"/>
    <cellStyle name="Normal 4 3 3 3 2 4 2" xfId="32016"/>
    <cellStyle name="Normal 4 3 3 3 2 5" xfId="18741"/>
    <cellStyle name="Normal 4 3 3 3 2 5 2" xfId="34962"/>
    <cellStyle name="Normal 4 3 3 3 2 6" xfId="8347"/>
    <cellStyle name="Normal 4 3 3 3 2 6 2" xfId="28278"/>
    <cellStyle name="Normal 4 3 3 3 2 7" xfId="21678"/>
    <cellStyle name="Normal 4 3 3 3 2 7 2" xfId="37890"/>
    <cellStyle name="Normal 4 3 3 3 2 8" xfId="23176"/>
    <cellStyle name="Normal 4 3 3 3 3" xfId="1358"/>
    <cellStyle name="Normal 4 3 3 3 3 2" xfId="2857"/>
    <cellStyle name="Normal 4 3 3 3 3 2 2" xfId="20500"/>
    <cellStyle name="Normal 4 3 3 3 3 2 2 2" xfId="36721"/>
    <cellStyle name="Normal 4 3 3 3 3 2 3" xfId="12942"/>
    <cellStyle name="Normal 4 3 3 3 3 2 3 2" xfId="30033"/>
    <cellStyle name="Normal 4 3 3 3 3 2 4" xfId="25025"/>
    <cellStyle name="Normal 4 3 3 3 3 3" xfId="4356"/>
    <cellStyle name="Normal 4 3 3 3 3 3 2" xfId="16587"/>
    <cellStyle name="Normal 4 3 3 3 3 3 2 2" xfId="32808"/>
    <cellStyle name="Normal 4 3 3 3 3 3 3" xfId="26523"/>
    <cellStyle name="Normal 4 3 3 3 3 4" xfId="18743"/>
    <cellStyle name="Normal 4 3 3 3 3 4 2" xfId="34964"/>
    <cellStyle name="Normal 4 3 3 3 3 5" xfId="8349"/>
    <cellStyle name="Normal 4 3 3 3 3 5 2" xfId="28280"/>
    <cellStyle name="Normal 4 3 3 3 3 6" xfId="22029"/>
    <cellStyle name="Normal 4 3 3 3 3 6 2" xfId="38241"/>
    <cellStyle name="Normal 4 3 3 3 3 7" xfId="23527"/>
    <cellStyle name="Normal 4 3 3 3 4" xfId="1709"/>
    <cellStyle name="Normal 4 3 3 3 4 2" xfId="3208"/>
    <cellStyle name="Normal 4 3 3 3 4 2 2" xfId="20497"/>
    <cellStyle name="Normal 4 3 3 3 4 2 2 2" xfId="36718"/>
    <cellStyle name="Normal 4 3 3 3 4 2 3" xfId="25376"/>
    <cellStyle name="Normal 4 3 3 3 4 3" xfId="4707"/>
    <cellStyle name="Normal 4 3 3 3 4 3 2" xfId="26874"/>
    <cellStyle name="Normal 4 3 3 3 4 4" xfId="12939"/>
    <cellStyle name="Normal 4 3 3 3 4 4 2" xfId="30030"/>
    <cellStyle name="Normal 4 3 3 3 4 5" xfId="22380"/>
    <cellStyle name="Normal 4 3 3 3 4 5 2" xfId="38592"/>
    <cellStyle name="Normal 4 3 3 3 4 6" xfId="23878"/>
    <cellStyle name="Normal 4 3 3 3 5" xfId="2155"/>
    <cellStyle name="Normal 4 3 3 3 5 2" xfId="15002"/>
    <cellStyle name="Normal 4 3 3 3 5 2 2" xfId="31224"/>
    <cellStyle name="Normal 4 3 3 3 5 3" xfId="24323"/>
    <cellStyle name="Normal 4 3 3 3 6" xfId="3654"/>
    <cellStyle name="Normal 4 3 3 3 6 2" xfId="18740"/>
    <cellStyle name="Normal 4 3 3 3 6 2 2" xfId="34961"/>
    <cellStyle name="Normal 4 3 3 3 6 3" xfId="25821"/>
    <cellStyle name="Normal 4 3 3 3 7" xfId="8346"/>
    <cellStyle name="Normal 4 3 3 3 7 2" xfId="28277"/>
    <cellStyle name="Normal 4 3 3 3 8" xfId="21327"/>
    <cellStyle name="Normal 4 3 3 3 8 2" xfId="37539"/>
    <cellStyle name="Normal 4 3 3 3 9" xfId="22825"/>
    <cellStyle name="Normal 4 3 3 4" xfId="773"/>
    <cellStyle name="Normal 4 3 3 4 2" xfId="2272"/>
    <cellStyle name="Normal 4 3 3 4 2 2" xfId="12944"/>
    <cellStyle name="Normal 4 3 3 4 2 2 2" xfId="20502"/>
    <cellStyle name="Normal 4 3 3 4 2 2 2 2" xfId="36723"/>
    <cellStyle name="Normal 4 3 3 4 2 2 3" xfId="30035"/>
    <cellStyle name="Normal 4 3 3 4 2 3" xfId="16851"/>
    <cellStyle name="Normal 4 3 3 4 2 3 2" xfId="33072"/>
    <cellStyle name="Normal 4 3 3 4 2 4" xfId="18745"/>
    <cellStyle name="Normal 4 3 3 4 2 4 2" xfId="34966"/>
    <cellStyle name="Normal 4 3 3 4 2 5" xfId="8351"/>
    <cellStyle name="Normal 4 3 3 4 2 5 2" xfId="28282"/>
    <cellStyle name="Normal 4 3 3 4 2 6" xfId="24440"/>
    <cellStyle name="Normal 4 3 3 4 3" xfId="3771"/>
    <cellStyle name="Normal 4 3 3 4 3 2" xfId="20501"/>
    <cellStyle name="Normal 4 3 3 4 3 2 2" xfId="36722"/>
    <cellStyle name="Normal 4 3 3 4 3 3" xfId="12943"/>
    <cellStyle name="Normal 4 3 3 4 3 3 2" xfId="30034"/>
    <cellStyle name="Normal 4 3 3 4 3 4" xfId="25938"/>
    <cellStyle name="Normal 4 3 3 4 4" xfId="15266"/>
    <cellStyle name="Normal 4 3 3 4 4 2" xfId="31488"/>
    <cellStyle name="Normal 4 3 3 4 5" xfId="18744"/>
    <cellStyle name="Normal 4 3 3 4 5 2" xfId="34965"/>
    <cellStyle name="Normal 4 3 3 4 6" xfId="8350"/>
    <cellStyle name="Normal 4 3 3 4 6 2" xfId="28281"/>
    <cellStyle name="Normal 4 3 3 4 7" xfId="21444"/>
    <cellStyle name="Normal 4 3 3 4 7 2" xfId="37656"/>
    <cellStyle name="Normal 4 3 3 4 8" xfId="22942"/>
    <cellStyle name="Normal 4 3 3 5" xfId="1124"/>
    <cellStyle name="Normal 4 3 3 5 2" xfId="2623"/>
    <cellStyle name="Normal 4 3 3 5 2 2" xfId="20503"/>
    <cellStyle name="Normal 4 3 3 5 2 2 2" xfId="36724"/>
    <cellStyle name="Normal 4 3 3 5 2 3" xfId="12945"/>
    <cellStyle name="Normal 4 3 3 5 2 3 2" xfId="30036"/>
    <cellStyle name="Normal 4 3 3 5 2 4" xfId="24791"/>
    <cellStyle name="Normal 4 3 3 5 3" xfId="4122"/>
    <cellStyle name="Normal 4 3 3 5 3 2" xfId="16059"/>
    <cellStyle name="Normal 4 3 3 5 3 2 2" xfId="32280"/>
    <cellStyle name="Normal 4 3 3 5 3 3" xfId="26289"/>
    <cellStyle name="Normal 4 3 3 5 4" xfId="18746"/>
    <cellStyle name="Normal 4 3 3 5 4 2" xfId="34967"/>
    <cellStyle name="Normal 4 3 3 5 5" xfId="8352"/>
    <cellStyle name="Normal 4 3 3 5 5 2" xfId="28283"/>
    <cellStyle name="Normal 4 3 3 5 6" xfId="21795"/>
    <cellStyle name="Normal 4 3 3 5 6 2" xfId="38007"/>
    <cellStyle name="Normal 4 3 3 5 7" xfId="23293"/>
    <cellStyle name="Normal 4 3 3 6" xfId="1475"/>
    <cellStyle name="Normal 4 3 3 6 2" xfId="2974"/>
    <cellStyle name="Normal 4 3 3 6 2 2" xfId="20492"/>
    <cellStyle name="Normal 4 3 3 6 2 2 2" xfId="36713"/>
    <cellStyle name="Normal 4 3 3 6 2 3" xfId="25142"/>
    <cellStyle name="Normal 4 3 3 6 3" xfId="4473"/>
    <cellStyle name="Normal 4 3 3 6 3 2" xfId="26640"/>
    <cellStyle name="Normal 4 3 3 6 4" xfId="12934"/>
    <cellStyle name="Normal 4 3 3 6 4 2" xfId="30025"/>
    <cellStyle name="Normal 4 3 3 6 5" xfId="22146"/>
    <cellStyle name="Normal 4 3 3 6 5 2" xfId="38358"/>
    <cellStyle name="Normal 4 3 3 6 6" xfId="23644"/>
    <cellStyle name="Normal 4 3 3 7" xfId="1921"/>
    <cellStyle name="Normal 4 3 3 7 2" xfId="14474"/>
    <cellStyle name="Normal 4 3 3 7 2 2" xfId="30696"/>
    <cellStyle name="Normal 4 3 3 7 3" xfId="24089"/>
    <cellStyle name="Normal 4 3 3 8" xfId="3420"/>
    <cellStyle name="Normal 4 3 3 8 2" xfId="18735"/>
    <cellStyle name="Normal 4 3 3 8 2 2" xfId="34956"/>
    <cellStyle name="Normal 4 3 3 8 3" xfId="25587"/>
    <cellStyle name="Normal 4 3 3 9" xfId="8341"/>
    <cellStyle name="Normal 4 3 3 9 2" xfId="28272"/>
    <cellStyle name="Normal 4 3 4" xfId="432"/>
    <cellStyle name="Normal 4 3 4 10" xfId="21105"/>
    <cellStyle name="Normal 4 3 4 10 2" xfId="37317"/>
    <cellStyle name="Normal 4 3 4 11" xfId="22603"/>
    <cellStyle name="Normal 4 3 4 2" xfId="550"/>
    <cellStyle name="Normal 4 3 4 2 2" xfId="902"/>
    <cellStyle name="Normal 4 3 4 2 2 2" xfId="2401"/>
    <cellStyle name="Normal 4 3 4 2 2 2 2" xfId="20506"/>
    <cellStyle name="Normal 4 3 4 2 2 2 2 2" xfId="36727"/>
    <cellStyle name="Normal 4 3 4 2 2 2 3" xfId="12948"/>
    <cellStyle name="Normal 4 3 4 2 2 2 3 2" xfId="30039"/>
    <cellStyle name="Normal 4 3 4 2 2 2 4" xfId="24569"/>
    <cellStyle name="Normal 4 3 4 2 2 3" xfId="3900"/>
    <cellStyle name="Normal 4 3 4 2 2 3 2" xfId="16983"/>
    <cellStyle name="Normal 4 3 4 2 2 3 2 2" xfId="33204"/>
    <cellStyle name="Normal 4 3 4 2 2 3 3" xfId="26067"/>
    <cellStyle name="Normal 4 3 4 2 2 4" xfId="18749"/>
    <cellStyle name="Normal 4 3 4 2 2 4 2" xfId="34970"/>
    <cellStyle name="Normal 4 3 4 2 2 5" xfId="8355"/>
    <cellStyle name="Normal 4 3 4 2 2 5 2" xfId="28286"/>
    <cellStyle name="Normal 4 3 4 2 2 6" xfId="21573"/>
    <cellStyle name="Normal 4 3 4 2 2 6 2" xfId="37785"/>
    <cellStyle name="Normal 4 3 4 2 2 7" xfId="23071"/>
    <cellStyle name="Normal 4 3 4 2 3" xfId="1253"/>
    <cellStyle name="Normal 4 3 4 2 3 2" xfId="2752"/>
    <cellStyle name="Normal 4 3 4 2 3 2 2" xfId="20505"/>
    <cellStyle name="Normal 4 3 4 2 3 2 2 2" xfId="36726"/>
    <cellStyle name="Normal 4 3 4 2 3 2 3" xfId="24920"/>
    <cellStyle name="Normal 4 3 4 2 3 3" xfId="4251"/>
    <cellStyle name="Normal 4 3 4 2 3 3 2" xfId="26418"/>
    <cellStyle name="Normal 4 3 4 2 3 4" xfId="12947"/>
    <cellStyle name="Normal 4 3 4 2 3 4 2" xfId="30038"/>
    <cellStyle name="Normal 4 3 4 2 3 5" xfId="21924"/>
    <cellStyle name="Normal 4 3 4 2 3 5 2" xfId="38136"/>
    <cellStyle name="Normal 4 3 4 2 3 6" xfId="23422"/>
    <cellStyle name="Normal 4 3 4 2 4" xfId="1604"/>
    <cellStyle name="Normal 4 3 4 2 4 2" xfId="3103"/>
    <cellStyle name="Normal 4 3 4 2 4 2 2" xfId="25271"/>
    <cellStyle name="Normal 4 3 4 2 4 3" xfId="4602"/>
    <cellStyle name="Normal 4 3 4 2 4 3 2" xfId="26769"/>
    <cellStyle name="Normal 4 3 4 2 4 4" xfId="15398"/>
    <cellStyle name="Normal 4 3 4 2 4 4 2" xfId="31620"/>
    <cellStyle name="Normal 4 3 4 2 4 5" xfId="22275"/>
    <cellStyle name="Normal 4 3 4 2 4 5 2" xfId="38487"/>
    <cellStyle name="Normal 4 3 4 2 4 6" xfId="23773"/>
    <cellStyle name="Normal 4 3 4 2 5" xfId="2050"/>
    <cellStyle name="Normal 4 3 4 2 5 2" xfId="18748"/>
    <cellStyle name="Normal 4 3 4 2 5 2 2" xfId="34969"/>
    <cellStyle name="Normal 4 3 4 2 5 3" xfId="24218"/>
    <cellStyle name="Normal 4 3 4 2 6" xfId="3549"/>
    <cellStyle name="Normal 4 3 4 2 6 2" xfId="25716"/>
    <cellStyle name="Normal 4 3 4 2 7" xfId="8354"/>
    <cellStyle name="Normal 4 3 4 2 7 2" xfId="28285"/>
    <cellStyle name="Normal 4 3 4 2 8" xfId="21222"/>
    <cellStyle name="Normal 4 3 4 2 8 2" xfId="37434"/>
    <cellStyle name="Normal 4 3 4 2 9" xfId="22720"/>
    <cellStyle name="Normal 4 3 4 3" xfId="668"/>
    <cellStyle name="Normal 4 3 4 3 2" xfId="1019"/>
    <cellStyle name="Normal 4 3 4 3 2 2" xfId="2518"/>
    <cellStyle name="Normal 4 3 4 3 2 2 2" xfId="20507"/>
    <cellStyle name="Normal 4 3 4 3 2 2 2 2" xfId="36728"/>
    <cellStyle name="Normal 4 3 4 3 2 2 3" xfId="24686"/>
    <cellStyle name="Normal 4 3 4 3 2 3" xfId="4017"/>
    <cellStyle name="Normal 4 3 4 3 2 3 2" xfId="26184"/>
    <cellStyle name="Normal 4 3 4 3 2 4" xfId="12949"/>
    <cellStyle name="Normal 4 3 4 3 2 4 2" xfId="30040"/>
    <cellStyle name="Normal 4 3 4 3 2 5" xfId="21690"/>
    <cellStyle name="Normal 4 3 4 3 2 5 2" xfId="37902"/>
    <cellStyle name="Normal 4 3 4 3 2 6" xfId="23188"/>
    <cellStyle name="Normal 4 3 4 3 3" xfId="1370"/>
    <cellStyle name="Normal 4 3 4 3 3 2" xfId="2869"/>
    <cellStyle name="Normal 4 3 4 3 3 2 2" xfId="25037"/>
    <cellStyle name="Normal 4 3 4 3 3 3" xfId="4368"/>
    <cellStyle name="Normal 4 3 4 3 3 3 2" xfId="26535"/>
    <cellStyle name="Normal 4 3 4 3 3 4" xfId="16191"/>
    <cellStyle name="Normal 4 3 4 3 3 4 2" xfId="32412"/>
    <cellStyle name="Normal 4 3 4 3 3 5" xfId="22041"/>
    <cellStyle name="Normal 4 3 4 3 3 5 2" xfId="38253"/>
    <cellStyle name="Normal 4 3 4 3 3 6" xfId="23539"/>
    <cellStyle name="Normal 4 3 4 3 4" xfId="1721"/>
    <cellStyle name="Normal 4 3 4 3 4 2" xfId="3220"/>
    <cellStyle name="Normal 4 3 4 3 4 2 2" xfId="25388"/>
    <cellStyle name="Normal 4 3 4 3 4 3" xfId="4719"/>
    <cellStyle name="Normal 4 3 4 3 4 3 2" xfId="26886"/>
    <cellStyle name="Normal 4 3 4 3 4 4" xfId="18750"/>
    <cellStyle name="Normal 4 3 4 3 4 4 2" xfId="34971"/>
    <cellStyle name="Normal 4 3 4 3 4 5" xfId="22392"/>
    <cellStyle name="Normal 4 3 4 3 4 5 2" xfId="38604"/>
    <cellStyle name="Normal 4 3 4 3 4 6" xfId="23890"/>
    <cellStyle name="Normal 4 3 4 3 5" xfId="2167"/>
    <cellStyle name="Normal 4 3 4 3 5 2" xfId="24335"/>
    <cellStyle name="Normal 4 3 4 3 6" xfId="3666"/>
    <cellStyle name="Normal 4 3 4 3 6 2" xfId="25833"/>
    <cellStyle name="Normal 4 3 4 3 7" xfId="8356"/>
    <cellStyle name="Normal 4 3 4 3 7 2" xfId="28287"/>
    <cellStyle name="Normal 4 3 4 3 8" xfId="21339"/>
    <cellStyle name="Normal 4 3 4 3 8 2" xfId="37551"/>
    <cellStyle name="Normal 4 3 4 3 9" xfId="22837"/>
    <cellStyle name="Normal 4 3 4 4" xfId="785"/>
    <cellStyle name="Normal 4 3 4 4 2" xfId="2284"/>
    <cellStyle name="Normal 4 3 4 4 2 2" xfId="20504"/>
    <cellStyle name="Normal 4 3 4 4 2 2 2" xfId="36725"/>
    <cellStyle name="Normal 4 3 4 4 2 3" xfId="24452"/>
    <cellStyle name="Normal 4 3 4 4 3" xfId="3783"/>
    <cellStyle name="Normal 4 3 4 4 3 2" xfId="25950"/>
    <cellStyle name="Normal 4 3 4 4 4" xfId="12946"/>
    <cellStyle name="Normal 4 3 4 4 4 2" xfId="30037"/>
    <cellStyle name="Normal 4 3 4 4 5" xfId="21456"/>
    <cellStyle name="Normal 4 3 4 4 5 2" xfId="37668"/>
    <cellStyle name="Normal 4 3 4 4 6" xfId="22954"/>
    <cellStyle name="Normal 4 3 4 5" xfId="1136"/>
    <cellStyle name="Normal 4 3 4 5 2" xfId="2635"/>
    <cellStyle name="Normal 4 3 4 5 2 2" xfId="24803"/>
    <cellStyle name="Normal 4 3 4 5 3" xfId="4134"/>
    <cellStyle name="Normal 4 3 4 5 3 2" xfId="26301"/>
    <cellStyle name="Normal 4 3 4 5 4" xfId="14606"/>
    <cellStyle name="Normal 4 3 4 5 4 2" xfId="30828"/>
    <cellStyle name="Normal 4 3 4 5 5" xfId="21807"/>
    <cellStyle name="Normal 4 3 4 5 5 2" xfId="38019"/>
    <cellStyle name="Normal 4 3 4 5 6" xfId="23305"/>
    <cellStyle name="Normal 4 3 4 6" xfId="1487"/>
    <cellStyle name="Normal 4 3 4 6 2" xfId="2986"/>
    <cellStyle name="Normal 4 3 4 6 2 2" xfId="25154"/>
    <cellStyle name="Normal 4 3 4 6 3" xfId="4485"/>
    <cellStyle name="Normal 4 3 4 6 3 2" xfId="26652"/>
    <cellStyle name="Normal 4 3 4 6 4" xfId="18747"/>
    <cellStyle name="Normal 4 3 4 6 4 2" xfId="34968"/>
    <cellStyle name="Normal 4 3 4 6 5" xfId="22158"/>
    <cellStyle name="Normal 4 3 4 6 5 2" xfId="38370"/>
    <cellStyle name="Normal 4 3 4 6 6" xfId="23656"/>
    <cellStyle name="Normal 4 3 4 7" xfId="1933"/>
    <cellStyle name="Normal 4 3 4 7 2" xfId="24101"/>
    <cellStyle name="Normal 4 3 4 8" xfId="3432"/>
    <cellStyle name="Normal 4 3 4 8 2" xfId="25599"/>
    <cellStyle name="Normal 4 3 4 9" xfId="8353"/>
    <cellStyle name="Normal 4 3 4 9 2" xfId="28284"/>
    <cellStyle name="Normal 4 3 5" xfId="448"/>
    <cellStyle name="Normal 4 3 5 10" xfId="21121"/>
    <cellStyle name="Normal 4 3 5 10 2" xfId="37333"/>
    <cellStyle name="Normal 4 3 5 11" xfId="22619"/>
    <cellStyle name="Normal 4 3 5 2" xfId="566"/>
    <cellStyle name="Normal 4 3 5 2 2" xfId="918"/>
    <cellStyle name="Normal 4 3 5 2 2 2" xfId="2417"/>
    <cellStyle name="Normal 4 3 5 2 2 2 2" xfId="20510"/>
    <cellStyle name="Normal 4 3 5 2 2 2 2 2" xfId="36731"/>
    <cellStyle name="Normal 4 3 5 2 2 2 3" xfId="12952"/>
    <cellStyle name="Normal 4 3 5 2 2 2 3 2" xfId="30043"/>
    <cellStyle name="Normal 4 3 5 2 2 2 4" xfId="24585"/>
    <cellStyle name="Normal 4 3 5 2 2 3" xfId="3916"/>
    <cellStyle name="Normal 4 3 5 2 2 3 2" xfId="17247"/>
    <cellStyle name="Normal 4 3 5 2 2 3 2 2" xfId="33468"/>
    <cellStyle name="Normal 4 3 5 2 2 3 3" xfId="26083"/>
    <cellStyle name="Normal 4 3 5 2 2 4" xfId="18753"/>
    <cellStyle name="Normal 4 3 5 2 2 4 2" xfId="34974"/>
    <cellStyle name="Normal 4 3 5 2 2 5" xfId="8359"/>
    <cellStyle name="Normal 4 3 5 2 2 5 2" xfId="28290"/>
    <cellStyle name="Normal 4 3 5 2 2 6" xfId="21589"/>
    <cellStyle name="Normal 4 3 5 2 2 6 2" xfId="37801"/>
    <cellStyle name="Normal 4 3 5 2 2 7" xfId="23087"/>
    <cellStyle name="Normal 4 3 5 2 3" xfId="1269"/>
    <cellStyle name="Normal 4 3 5 2 3 2" xfId="2768"/>
    <cellStyle name="Normal 4 3 5 2 3 2 2" xfId="20509"/>
    <cellStyle name="Normal 4 3 5 2 3 2 2 2" xfId="36730"/>
    <cellStyle name="Normal 4 3 5 2 3 2 3" xfId="24936"/>
    <cellStyle name="Normal 4 3 5 2 3 3" xfId="4267"/>
    <cellStyle name="Normal 4 3 5 2 3 3 2" xfId="26434"/>
    <cellStyle name="Normal 4 3 5 2 3 4" xfId="12951"/>
    <cellStyle name="Normal 4 3 5 2 3 4 2" xfId="30042"/>
    <cellStyle name="Normal 4 3 5 2 3 5" xfId="21940"/>
    <cellStyle name="Normal 4 3 5 2 3 5 2" xfId="38152"/>
    <cellStyle name="Normal 4 3 5 2 3 6" xfId="23438"/>
    <cellStyle name="Normal 4 3 5 2 4" xfId="1620"/>
    <cellStyle name="Normal 4 3 5 2 4 2" xfId="3119"/>
    <cellStyle name="Normal 4 3 5 2 4 2 2" xfId="25287"/>
    <cellStyle name="Normal 4 3 5 2 4 3" xfId="4618"/>
    <cellStyle name="Normal 4 3 5 2 4 3 2" xfId="26785"/>
    <cellStyle name="Normal 4 3 5 2 4 4" xfId="15662"/>
    <cellStyle name="Normal 4 3 5 2 4 4 2" xfId="31884"/>
    <cellStyle name="Normal 4 3 5 2 4 5" xfId="22291"/>
    <cellStyle name="Normal 4 3 5 2 4 5 2" xfId="38503"/>
    <cellStyle name="Normal 4 3 5 2 4 6" xfId="23789"/>
    <cellStyle name="Normal 4 3 5 2 5" xfId="2066"/>
    <cellStyle name="Normal 4 3 5 2 5 2" xfId="18752"/>
    <cellStyle name="Normal 4 3 5 2 5 2 2" xfId="34973"/>
    <cellStyle name="Normal 4 3 5 2 5 3" xfId="24234"/>
    <cellStyle name="Normal 4 3 5 2 6" xfId="3565"/>
    <cellStyle name="Normal 4 3 5 2 6 2" xfId="25732"/>
    <cellStyle name="Normal 4 3 5 2 7" xfId="8358"/>
    <cellStyle name="Normal 4 3 5 2 7 2" xfId="28289"/>
    <cellStyle name="Normal 4 3 5 2 8" xfId="21238"/>
    <cellStyle name="Normal 4 3 5 2 8 2" xfId="37450"/>
    <cellStyle name="Normal 4 3 5 2 9" xfId="22736"/>
    <cellStyle name="Normal 4 3 5 3" xfId="684"/>
    <cellStyle name="Normal 4 3 5 3 2" xfId="1035"/>
    <cellStyle name="Normal 4 3 5 3 2 2" xfId="2534"/>
    <cellStyle name="Normal 4 3 5 3 2 2 2" xfId="20511"/>
    <cellStyle name="Normal 4 3 5 3 2 2 2 2" xfId="36732"/>
    <cellStyle name="Normal 4 3 5 3 2 2 3" xfId="24702"/>
    <cellStyle name="Normal 4 3 5 3 2 3" xfId="4033"/>
    <cellStyle name="Normal 4 3 5 3 2 3 2" xfId="26200"/>
    <cellStyle name="Normal 4 3 5 3 2 4" xfId="12953"/>
    <cellStyle name="Normal 4 3 5 3 2 4 2" xfId="30044"/>
    <cellStyle name="Normal 4 3 5 3 2 5" xfId="21706"/>
    <cellStyle name="Normal 4 3 5 3 2 5 2" xfId="37918"/>
    <cellStyle name="Normal 4 3 5 3 2 6" xfId="23204"/>
    <cellStyle name="Normal 4 3 5 3 3" xfId="1386"/>
    <cellStyle name="Normal 4 3 5 3 3 2" xfId="2885"/>
    <cellStyle name="Normal 4 3 5 3 3 2 2" xfId="25053"/>
    <cellStyle name="Normal 4 3 5 3 3 3" xfId="4384"/>
    <cellStyle name="Normal 4 3 5 3 3 3 2" xfId="26551"/>
    <cellStyle name="Normal 4 3 5 3 3 4" xfId="16455"/>
    <cellStyle name="Normal 4 3 5 3 3 4 2" xfId="32676"/>
    <cellStyle name="Normal 4 3 5 3 3 5" xfId="22057"/>
    <cellStyle name="Normal 4 3 5 3 3 5 2" xfId="38269"/>
    <cellStyle name="Normal 4 3 5 3 3 6" xfId="23555"/>
    <cellStyle name="Normal 4 3 5 3 4" xfId="1737"/>
    <cellStyle name="Normal 4 3 5 3 4 2" xfId="3236"/>
    <cellStyle name="Normal 4 3 5 3 4 2 2" xfId="25404"/>
    <cellStyle name="Normal 4 3 5 3 4 3" xfId="4735"/>
    <cellStyle name="Normal 4 3 5 3 4 3 2" xfId="26902"/>
    <cellStyle name="Normal 4 3 5 3 4 4" xfId="18754"/>
    <cellStyle name="Normal 4 3 5 3 4 4 2" xfId="34975"/>
    <cellStyle name="Normal 4 3 5 3 4 5" xfId="22408"/>
    <cellStyle name="Normal 4 3 5 3 4 5 2" xfId="38620"/>
    <cellStyle name="Normal 4 3 5 3 4 6" xfId="23906"/>
    <cellStyle name="Normal 4 3 5 3 5" xfId="2183"/>
    <cellStyle name="Normal 4 3 5 3 5 2" xfId="24351"/>
    <cellStyle name="Normal 4 3 5 3 6" xfId="3682"/>
    <cellStyle name="Normal 4 3 5 3 6 2" xfId="25849"/>
    <cellStyle name="Normal 4 3 5 3 7" xfId="8360"/>
    <cellStyle name="Normal 4 3 5 3 7 2" xfId="28291"/>
    <cellStyle name="Normal 4 3 5 3 8" xfId="21355"/>
    <cellStyle name="Normal 4 3 5 3 8 2" xfId="37567"/>
    <cellStyle name="Normal 4 3 5 3 9" xfId="22853"/>
    <cellStyle name="Normal 4 3 5 4" xfId="801"/>
    <cellStyle name="Normal 4 3 5 4 2" xfId="2300"/>
    <cellStyle name="Normal 4 3 5 4 2 2" xfId="20508"/>
    <cellStyle name="Normal 4 3 5 4 2 2 2" xfId="36729"/>
    <cellStyle name="Normal 4 3 5 4 2 3" xfId="24468"/>
    <cellStyle name="Normal 4 3 5 4 3" xfId="3799"/>
    <cellStyle name="Normal 4 3 5 4 3 2" xfId="25966"/>
    <cellStyle name="Normal 4 3 5 4 4" xfId="12950"/>
    <cellStyle name="Normal 4 3 5 4 4 2" xfId="30041"/>
    <cellStyle name="Normal 4 3 5 4 5" xfId="21472"/>
    <cellStyle name="Normal 4 3 5 4 5 2" xfId="37684"/>
    <cellStyle name="Normal 4 3 5 4 6" xfId="22970"/>
    <cellStyle name="Normal 4 3 5 5" xfId="1152"/>
    <cellStyle name="Normal 4 3 5 5 2" xfId="2651"/>
    <cellStyle name="Normal 4 3 5 5 2 2" xfId="24819"/>
    <cellStyle name="Normal 4 3 5 5 3" xfId="4150"/>
    <cellStyle name="Normal 4 3 5 5 3 2" xfId="26317"/>
    <cellStyle name="Normal 4 3 5 5 4" xfId="14870"/>
    <cellStyle name="Normal 4 3 5 5 4 2" xfId="31092"/>
    <cellStyle name="Normal 4 3 5 5 5" xfId="21823"/>
    <cellStyle name="Normal 4 3 5 5 5 2" xfId="38035"/>
    <cellStyle name="Normal 4 3 5 5 6" xfId="23321"/>
    <cellStyle name="Normal 4 3 5 6" xfId="1503"/>
    <cellStyle name="Normal 4 3 5 6 2" xfId="3002"/>
    <cellStyle name="Normal 4 3 5 6 2 2" xfId="25170"/>
    <cellStyle name="Normal 4 3 5 6 3" xfId="4501"/>
    <cellStyle name="Normal 4 3 5 6 3 2" xfId="26668"/>
    <cellStyle name="Normal 4 3 5 6 4" xfId="18751"/>
    <cellStyle name="Normal 4 3 5 6 4 2" xfId="34972"/>
    <cellStyle name="Normal 4 3 5 6 5" xfId="22174"/>
    <cellStyle name="Normal 4 3 5 6 5 2" xfId="38386"/>
    <cellStyle name="Normal 4 3 5 6 6" xfId="23672"/>
    <cellStyle name="Normal 4 3 5 7" xfId="1949"/>
    <cellStyle name="Normal 4 3 5 7 2" xfId="24117"/>
    <cellStyle name="Normal 4 3 5 8" xfId="3448"/>
    <cellStyle name="Normal 4 3 5 8 2" xfId="25615"/>
    <cellStyle name="Normal 4 3 5 9" xfId="8357"/>
    <cellStyle name="Normal 4 3 5 9 2" xfId="28288"/>
    <cellStyle name="Normal 4 3 6" xfId="474"/>
    <cellStyle name="Normal 4 3 6 10" xfId="21147"/>
    <cellStyle name="Normal 4 3 6 10 2" xfId="37359"/>
    <cellStyle name="Normal 4 3 6 11" xfId="22645"/>
    <cellStyle name="Normal 4 3 6 2" xfId="592"/>
    <cellStyle name="Normal 4 3 6 2 2" xfId="944"/>
    <cellStyle name="Normal 4 3 6 2 2 2" xfId="2443"/>
    <cellStyle name="Normal 4 3 6 2 2 2 2" xfId="20513"/>
    <cellStyle name="Normal 4 3 6 2 2 2 2 2" xfId="36734"/>
    <cellStyle name="Normal 4 3 6 2 2 2 3" xfId="24611"/>
    <cellStyle name="Normal 4 3 6 2 2 3" xfId="3942"/>
    <cellStyle name="Normal 4 3 6 2 2 3 2" xfId="26109"/>
    <cellStyle name="Normal 4 3 6 2 2 4" xfId="12955"/>
    <cellStyle name="Normal 4 3 6 2 2 4 2" xfId="30046"/>
    <cellStyle name="Normal 4 3 6 2 2 5" xfId="21615"/>
    <cellStyle name="Normal 4 3 6 2 2 5 2" xfId="37827"/>
    <cellStyle name="Normal 4 3 6 2 2 6" xfId="23113"/>
    <cellStyle name="Normal 4 3 6 2 3" xfId="1295"/>
    <cellStyle name="Normal 4 3 6 2 3 2" xfId="2794"/>
    <cellStyle name="Normal 4 3 6 2 3 2 2" xfId="24962"/>
    <cellStyle name="Normal 4 3 6 2 3 3" xfId="4293"/>
    <cellStyle name="Normal 4 3 6 2 3 3 2" xfId="26460"/>
    <cellStyle name="Normal 4 3 6 2 3 4" xfId="16719"/>
    <cellStyle name="Normal 4 3 6 2 3 4 2" xfId="32940"/>
    <cellStyle name="Normal 4 3 6 2 3 5" xfId="21966"/>
    <cellStyle name="Normal 4 3 6 2 3 5 2" xfId="38178"/>
    <cellStyle name="Normal 4 3 6 2 3 6" xfId="23464"/>
    <cellStyle name="Normal 4 3 6 2 4" xfId="1646"/>
    <cellStyle name="Normal 4 3 6 2 4 2" xfId="3145"/>
    <cellStyle name="Normal 4 3 6 2 4 2 2" xfId="25313"/>
    <cellStyle name="Normal 4 3 6 2 4 3" xfId="4644"/>
    <cellStyle name="Normal 4 3 6 2 4 3 2" xfId="26811"/>
    <cellStyle name="Normal 4 3 6 2 4 4" xfId="18756"/>
    <cellStyle name="Normal 4 3 6 2 4 4 2" xfId="34977"/>
    <cellStyle name="Normal 4 3 6 2 4 5" xfId="22317"/>
    <cellStyle name="Normal 4 3 6 2 4 5 2" xfId="38529"/>
    <cellStyle name="Normal 4 3 6 2 4 6" xfId="23815"/>
    <cellStyle name="Normal 4 3 6 2 5" xfId="2092"/>
    <cellStyle name="Normal 4 3 6 2 5 2" xfId="24260"/>
    <cellStyle name="Normal 4 3 6 2 6" xfId="3591"/>
    <cellStyle name="Normal 4 3 6 2 6 2" xfId="25758"/>
    <cellStyle name="Normal 4 3 6 2 7" xfId="8362"/>
    <cellStyle name="Normal 4 3 6 2 7 2" xfId="28293"/>
    <cellStyle name="Normal 4 3 6 2 8" xfId="21264"/>
    <cellStyle name="Normal 4 3 6 2 8 2" xfId="37476"/>
    <cellStyle name="Normal 4 3 6 2 9" xfId="22762"/>
    <cellStyle name="Normal 4 3 6 3" xfId="710"/>
    <cellStyle name="Normal 4 3 6 3 2" xfId="1061"/>
    <cellStyle name="Normal 4 3 6 3 2 2" xfId="2560"/>
    <cellStyle name="Normal 4 3 6 3 2 2 2" xfId="24728"/>
    <cellStyle name="Normal 4 3 6 3 2 3" xfId="4059"/>
    <cellStyle name="Normal 4 3 6 3 2 3 2" xfId="26226"/>
    <cellStyle name="Normal 4 3 6 3 2 4" xfId="20512"/>
    <cellStyle name="Normal 4 3 6 3 2 4 2" xfId="36733"/>
    <cellStyle name="Normal 4 3 6 3 2 5" xfId="21732"/>
    <cellStyle name="Normal 4 3 6 3 2 5 2" xfId="37944"/>
    <cellStyle name="Normal 4 3 6 3 2 6" xfId="23230"/>
    <cellStyle name="Normal 4 3 6 3 3" xfId="1412"/>
    <cellStyle name="Normal 4 3 6 3 3 2" xfId="2911"/>
    <cellStyle name="Normal 4 3 6 3 3 2 2" xfId="25079"/>
    <cellStyle name="Normal 4 3 6 3 3 3" xfId="4410"/>
    <cellStyle name="Normal 4 3 6 3 3 3 2" xfId="26577"/>
    <cellStyle name="Normal 4 3 6 3 3 4" xfId="22083"/>
    <cellStyle name="Normal 4 3 6 3 3 4 2" xfId="38295"/>
    <cellStyle name="Normal 4 3 6 3 3 5" xfId="23581"/>
    <cellStyle name="Normal 4 3 6 3 4" xfId="1763"/>
    <cellStyle name="Normal 4 3 6 3 4 2" xfId="3262"/>
    <cellStyle name="Normal 4 3 6 3 4 2 2" xfId="25430"/>
    <cellStyle name="Normal 4 3 6 3 4 3" xfId="4761"/>
    <cellStyle name="Normal 4 3 6 3 4 3 2" xfId="26928"/>
    <cellStyle name="Normal 4 3 6 3 4 4" xfId="22434"/>
    <cellStyle name="Normal 4 3 6 3 4 4 2" xfId="38646"/>
    <cellStyle name="Normal 4 3 6 3 4 5" xfId="23932"/>
    <cellStyle name="Normal 4 3 6 3 5" xfId="2209"/>
    <cellStyle name="Normal 4 3 6 3 5 2" xfId="24377"/>
    <cellStyle name="Normal 4 3 6 3 6" xfId="3708"/>
    <cellStyle name="Normal 4 3 6 3 6 2" xfId="25875"/>
    <cellStyle name="Normal 4 3 6 3 7" xfId="12954"/>
    <cellStyle name="Normal 4 3 6 3 7 2" xfId="30045"/>
    <cellStyle name="Normal 4 3 6 3 8" xfId="21381"/>
    <cellStyle name="Normal 4 3 6 3 8 2" xfId="37593"/>
    <cellStyle name="Normal 4 3 6 3 9" xfId="22879"/>
    <cellStyle name="Normal 4 3 6 4" xfId="827"/>
    <cellStyle name="Normal 4 3 6 4 2" xfId="2326"/>
    <cellStyle name="Normal 4 3 6 4 2 2" xfId="24494"/>
    <cellStyle name="Normal 4 3 6 4 3" xfId="3825"/>
    <cellStyle name="Normal 4 3 6 4 3 2" xfId="25992"/>
    <cellStyle name="Normal 4 3 6 4 4" xfId="15134"/>
    <cellStyle name="Normal 4 3 6 4 4 2" xfId="31356"/>
    <cellStyle name="Normal 4 3 6 4 5" xfId="21498"/>
    <cellStyle name="Normal 4 3 6 4 5 2" xfId="37710"/>
    <cellStyle name="Normal 4 3 6 4 6" xfId="22996"/>
    <cellStyle name="Normal 4 3 6 5" xfId="1178"/>
    <cellStyle name="Normal 4 3 6 5 2" xfId="2677"/>
    <cellStyle name="Normal 4 3 6 5 2 2" xfId="24845"/>
    <cellStyle name="Normal 4 3 6 5 3" xfId="4176"/>
    <cellStyle name="Normal 4 3 6 5 3 2" xfId="26343"/>
    <cellStyle name="Normal 4 3 6 5 4" xfId="18755"/>
    <cellStyle name="Normal 4 3 6 5 4 2" xfId="34976"/>
    <cellStyle name="Normal 4 3 6 5 5" xfId="21849"/>
    <cellStyle name="Normal 4 3 6 5 5 2" xfId="38061"/>
    <cellStyle name="Normal 4 3 6 5 6" xfId="23347"/>
    <cellStyle name="Normal 4 3 6 6" xfId="1529"/>
    <cellStyle name="Normal 4 3 6 6 2" xfId="3028"/>
    <cellStyle name="Normal 4 3 6 6 2 2" xfId="25196"/>
    <cellStyle name="Normal 4 3 6 6 3" xfId="4527"/>
    <cellStyle name="Normal 4 3 6 6 3 2" xfId="26694"/>
    <cellStyle name="Normal 4 3 6 6 4" xfId="22200"/>
    <cellStyle name="Normal 4 3 6 6 4 2" xfId="38412"/>
    <cellStyle name="Normal 4 3 6 6 5" xfId="23698"/>
    <cellStyle name="Normal 4 3 6 7" xfId="1975"/>
    <cellStyle name="Normal 4 3 6 7 2" xfId="24143"/>
    <cellStyle name="Normal 4 3 6 8" xfId="3474"/>
    <cellStyle name="Normal 4 3 6 8 2" xfId="25641"/>
    <cellStyle name="Normal 4 3 6 9" xfId="8361"/>
    <cellStyle name="Normal 4 3 6 9 2" xfId="28292"/>
    <cellStyle name="Normal 4 3 7" xfId="487"/>
    <cellStyle name="Normal 4 3 7 10" xfId="21160"/>
    <cellStyle name="Normal 4 3 7 10 2" xfId="37372"/>
    <cellStyle name="Normal 4 3 7 11" xfId="22658"/>
    <cellStyle name="Normal 4 3 7 2" xfId="605"/>
    <cellStyle name="Normal 4 3 7 2 2" xfId="957"/>
    <cellStyle name="Normal 4 3 7 2 2 2" xfId="2456"/>
    <cellStyle name="Normal 4 3 7 2 2 2 2" xfId="24624"/>
    <cellStyle name="Normal 4 3 7 2 2 3" xfId="3955"/>
    <cellStyle name="Normal 4 3 7 2 2 3 2" xfId="26122"/>
    <cellStyle name="Normal 4 3 7 2 2 4" xfId="20514"/>
    <cellStyle name="Normal 4 3 7 2 2 4 2" xfId="36735"/>
    <cellStyle name="Normal 4 3 7 2 2 5" xfId="21628"/>
    <cellStyle name="Normal 4 3 7 2 2 5 2" xfId="37840"/>
    <cellStyle name="Normal 4 3 7 2 2 6" xfId="23126"/>
    <cellStyle name="Normal 4 3 7 2 3" xfId="1308"/>
    <cellStyle name="Normal 4 3 7 2 3 2" xfId="2807"/>
    <cellStyle name="Normal 4 3 7 2 3 2 2" xfId="24975"/>
    <cellStyle name="Normal 4 3 7 2 3 3" xfId="4306"/>
    <cellStyle name="Normal 4 3 7 2 3 3 2" xfId="26473"/>
    <cellStyle name="Normal 4 3 7 2 3 4" xfId="21979"/>
    <cellStyle name="Normal 4 3 7 2 3 4 2" xfId="38191"/>
    <cellStyle name="Normal 4 3 7 2 3 5" xfId="23477"/>
    <cellStyle name="Normal 4 3 7 2 4" xfId="1659"/>
    <cellStyle name="Normal 4 3 7 2 4 2" xfId="3158"/>
    <cellStyle name="Normal 4 3 7 2 4 2 2" xfId="25326"/>
    <cellStyle name="Normal 4 3 7 2 4 3" xfId="4657"/>
    <cellStyle name="Normal 4 3 7 2 4 3 2" xfId="26824"/>
    <cellStyle name="Normal 4 3 7 2 4 4" xfId="22330"/>
    <cellStyle name="Normal 4 3 7 2 4 4 2" xfId="38542"/>
    <cellStyle name="Normal 4 3 7 2 4 5" xfId="23828"/>
    <cellStyle name="Normal 4 3 7 2 5" xfId="2105"/>
    <cellStyle name="Normal 4 3 7 2 5 2" xfId="24273"/>
    <cellStyle name="Normal 4 3 7 2 6" xfId="3604"/>
    <cellStyle name="Normal 4 3 7 2 6 2" xfId="25771"/>
    <cellStyle name="Normal 4 3 7 2 7" xfId="12956"/>
    <cellStyle name="Normal 4 3 7 2 7 2" xfId="30047"/>
    <cellStyle name="Normal 4 3 7 2 8" xfId="21277"/>
    <cellStyle name="Normal 4 3 7 2 8 2" xfId="37489"/>
    <cellStyle name="Normal 4 3 7 2 9" xfId="22775"/>
    <cellStyle name="Normal 4 3 7 3" xfId="723"/>
    <cellStyle name="Normal 4 3 7 3 2" xfId="1074"/>
    <cellStyle name="Normal 4 3 7 3 2 2" xfId="2573"/>
    <cellStyle name="Normal 4 3 7 3 2 2 2" xfId="24741"/>
    <cellStyle name="Normal 4 3 7 3 2 3" xfId="4072"/>
    <cellStyle name="Normal 4 3 7 3 2 3 2" xfId="26239"/>
    <cellStyle name="Normal 4 3 7 3 2 4" xfId="21745"/>
    <cellStyle name="Normal 4 3 7 3 2 4 2" xfId="37957"/>
    <cellStyle name="Normal 4 3 7 3 2 5" xfId="23243"/>
    <cellStyle name="Normal 4 3 7 3 3" xfId="1425"/>
    <cellStyle name="Normal 4 3 7 3 3 2" xfId="2924"/>
    <cellStyle name="Normal 4 3 7 3 3 2 2" xfId="25092"/>
    <cellStyle name="Normal 4 3 7 3 3 3" xfId="4423"/>
    <cellStyle name="Normal 4 3 7 3 3 3 2" xfId="26590"/>
    <cellStyle name="Normal 4 3 7 3 3 4" xfId="22096"/>
    <cellStyle name="Normal 4 3 7 3 3 4 2" xfId="38308"/>
    <cellStyle name="Normal 4 3 7 3 3 5" xfId="23594"/>
    <cellStyle name="Normal 4 3 7 3 4" xfId="1776"/>
    <cellStyle name="Normal 4 3 7 3 4 2" xfId="3275"/>
    <cellStyle name="Normal 4 3 7 3 4 2 2" xfId="25443"/>
    <cellStyle name="Normal 4 3 7 3 4 3" xfId="4774"/>
    <cellStyle name="Normal 4 3 7 3 4 3 2" xfId="26941"/>
    <cellStyle name="Normal 4 3 7 3 4 4" xfId="22447"/>
    <cellStyle name="Normal 4 3 7 3 4 4 2" xfId="38659"/>
    <cellStyle name="Normal 4 3 7 3 4 5" xfId="23945"/>
    <cellStyle name="Normal 4 3 7 3 5" xfId="2222"/>
    <cellStyle name="Normal 4 3 7 3 5 2" xfId="24390"/>
    <cellStyle name="Normal 4 3 7 3 6" xfId="3721"/>
    <cellStyle name="Normal 4 3 7 3 6 2" xfId="25888"/>
    <cellStyle name="Normal 4 3 7 3 7" xfId="15927"/>
    <cellStyle name="Normal 4 3 7 3 7 2" xfId="32148"/>
    <cellStyle name="Normal 4 3 7 3 8" xfId="21394"/>
    <cellStyle name="Normal 4 3 7 3 8 2" xfId="37606"/>
    <cellStyle name="Normal 4 3 7 3 9" xfId="22892"/>
    <cellStyle name="Normal 4 3 7 4" xfId="840"/>
    <cellStyle name="Normal 4 3 7 4 2" xfId="2339"/>
    <cellStyle name="Normal 4 3 7 4 2 2" xfId="24507"/>
    <cellStyle name="Normal 4 3 7 4 3" xfId="3838"/>
    <cellStyle name="Normal 4 3 7 4 3 2" xfId="26005"/>
    <cellStyle name="Normal 4 3 7 4 4" xfId="18757"/>
    <cellStyle name="Normal 4 3 7 4 4 2" xfId="34978"/>
    <cellStyle name="Normal 4 3 7 4 5" xfId="21511"/>
    <cellStyle name="Normal 4 3 7 4 5 2" xfId="37723"/>
    <cellStyle name="Normal 4 3 7 4 6" xfId="23009"/>
    <cellStyle name="Normal 4 3 7 5" xfId="1191"/>
    <cellStyle name="Normal 4 3 7 5 2" xfId="2690"/>
    <cellStyle name="Normal 4 3 7 5 2 2" xfId="24858"/>
    <cellStyle name="Normal 4 3 7 5 3" xfId="4189"/>
    <cellStyle name="Normal 4 3 7 5 3 2" xfId="26356"/>
    <cellStyle name="Normal 4 3 7 5 4" xfId="21862"/>
    <cellStyle name="Normal 4 3 7 5 4 2" xfId="38074"/>
    <cellStyle name="Normal 4 3 7 5 5" xfId="23360"/>
    <cellStyle name="Normal 4 3 7 6" xfId="1542"/>
    <cellStyle name="Normal 4 3 7 6 2" xfId="3041"/>
    <cellStyle name="Normal 4 3 7 6 2 2" xfId="25209"/>
    <cellStyle name="Normal 4 3 7 6 3" xfId="4540"/>
    <cellStyle name="Normal 4 3 7 6 3 2" xfId="26707"/>
    <cellStyle name="Normal 4 3 7 6 4" xfId="22213"/>
    <cellStyle name="Normal 4 3 7 6 4 2" xfId="38425"/>
    <cellStyle name="Normal 4 3 7 6 5" xfId="23711"/>
    <cellStyle name="Normal 4 3 7 7" xfId="1988"/>
    <cellStyle name="Normal 4 3 7 7 2" xfId="24156"/>
    <cellStyle name="Normal 4 3 7 8" xfId="3487"/>
    <cellStyle name="Normal 4 3 7 8 2" xfId="25654"/>
    <cellStyle name="Normal 4 3 7 9" xfId="8363"/>
    <cellStyle name="Normal 4 3 7 9 2" xfId="28294"/>
    <cellStyle name="Normal 4 3 8" xfId="514"/>
    <cellStyle name="Normal 4 3 8 2" xfId="866"/>
    <cellStyle name="Normal 4 3 8 2 2" xfId="2365"/>
    <cellStyle name="Normal 4 3 8 2 2 2" xfId="24533"/>
    <cellStyle name="Normal 4 3 8 2 3" xfId="3864"/>
    <cellStyle name="Normal 4 3 8 2 3 2" xfId="26031"/>
    <cellStyle name="Normal 4 3 8 2 4" xfId="20467"/>
    <cellStyle name="Normal 4 3 8 2 4 2" xfId="36688"/>
    <cellStyle name="Normal 4 3 8 2 5" xfId="21537"/>
    <cellStyle name="Normal 4 3 8 2 5 2" xfId="37749"/>
    <cellStyle name="Normal 4 3 8 2 6" xfId="23035"/>
    <cellStyle name="Normal 4 3 8 3" xfId="1217"/>
    <cellStyle name="Normal 4 3 8 3 2" xfId="2716"/>
    <cellStyle name="Normal 4 3 8 3 2 2" xfId="24884"/>
    <cellStyle name="Normal 4 3 8 3 3" xfId="4215"/>
    <cellStyle name="Normal 4 3 8 3 3 2" xfId="26382"/>
    <cellStyle name="Normal 4 3 8 3 4" xfId="21888"/>
    <cellStyle name="Normal 4 3 8 3 4 2" xfId="38100"/>
    <cellStyle name="Normal 4 3 8 3 5" xfId="23386"/>
    <cellStyle name="Normal 4 3 8 4" xfId="1568"/>
    <cellStyle name="Normal 4 3 8 4 2" xfId="3067"/>
    <cellStyle name="Normal 4 3 8 4 2 2" xfId="25235"/>
    <cellStyle name="Normal 4 3 8 4 3" xfId="4566"/>
    <cellStyle name="Normal 4 3 8 4 3 2" xfId="26733"/>
    <cellStyle name="Normal 4 3 8 4 4" xfId="22239"/>
    <cellStyle name="Normal 4 3 8 4 4 2" xfId="38451"/>
    <cellStyle name="Normal 4 3 8 4 5" xfId="23737"/>
    <cellStyle name="Normal 4 3 8 5" xfId="2014"/>
    <cellStyle name="Normal 4 3 8 5 2" xfId="24182"/>
    <cellStyle name="Normal 4 3 8 6" xfId="3513"/>
    <cellStyle name="Normal 4 3 8 6 2" xfId="25680"/>
    <cellStyle name="Normal 4 3 8 7" xfId="12909"/>
    <cellStyle name="Normal 4 3 8 7 2" xfId="30000"/>
    <cellStyle name="Normal 4 3 8 8" xfId="21186"/>
    <cellStyle name="Normal 4 3 8 8 2" xfId="37398"/>
    <cellStyle name="Normal 4 3 8 9" xfId="22684"/>
    <cellStyle name="Normal 4 3 9" xfId="632"/>
    <cellStyle name="Normal 4 3 9 2" xfId="983"/>
    <cellStyle name="Normal 4 3 9 2 2" xfId="2482"/>
    <cellStyle name="Normal 4 3 9 2 2 2" xfId="24650"/>
    <cellStyle name="Normal 4 3 9 2 3" xfId="3981"/>
    <cellStyle name="Normal 4 3 9 2 3 2" xfId="26148"/>
    <cellStyle name="Normal 4 3 9 2 4" xfId="21654"/>
    <cellStyle name="Normal 4 3 9 2 4 2" xfId="37866"/>
    <cellStyle name="Normal 4 3 9 2 5" xfId="23152"/>
    <cellStyle name="Normal 4 3 9 3" xfId="1334"/>
    <cellStyle name="Normal 4 3 9 3 2" xfId="2833"/>
    <cellStyle name="Normal 4 3 9 3 2 2" xfId="25001"/>
    <cellStyle name="Normal 4 3 9 3 3" xfId="4332"/>
    <cellStyle name="Normal 4 3 9 3 3 2" xfId="26499"/>
    <cellStyle name="Normal 4 3 9 3 4" xfId="22005"/>
    <cellStyle name="Normal 4 3 9 3 4 2" xfId="38217"/>
    <cellStyle name="Normal 4 3 9 3 5" xfId="23503"/>
    <cellStyle name="Normal 4 3 9 4" xfId="1685"/>
    <cellStyle name="Normal 4 3 9 4 2" xfId="3184"/>
    <cellStyle name="Normal 4 3 9 4 2 2" xfId="25352"/>
    <cellStyle name="Normal 4 3 9 4 3" xfId="4683"/>
    <cellStyle name="Normal 4 3 9 4 3 2" xfId="26850"/>
    <cellStyle name="Normal 4 3 9 4 4" xfId="22356"/>
    <cellStyle name="Normal 4 3 9 4 4 2" xfId="38568"/>
    <cellStyle name="Normal 4 3 9 4 5" xfId="23854"/>
    <cellStyle name="Normal 4 3 9 5" xfId="2131"/>
    <cellStyle name="Normal 4 3 9 5 2" xfId="24299"/>
    <cellStyle name="Normal 4 3 9 6" xfId="3630"/>
    <cellStyle name="Normal 4 3 9 6 2" xfId="25797"/>
    <cellStyle name="Normal 4 3 9 7" xfId="14342"/>
    <cellStyle name="Normal 4 3 9 7 2" xfId="30564"/>
    <cellStyle name="Normal 4 3 9 8" xfId="21303"/>
    <cellStyle name="Normal 4 3 9 8 2" xfId="37515"/>
    <cellStyle name="Normal 4 3 9 9" xfId="22801"/>
    <cellStyle name="Normal 4 4" xfId="405"/>
    <cellStyle name="Normal 4 4 10" xfId="8364"/>
    <cellStyle name="Normal 4 4 10 2" xfId="28295"/>
    <cellStyle name="Normal 4 4 11" xfId="21078"/>
    <cellStyle name="Normal 4 4 11 2" xfId="37290"/>
    <cellStyle name="Normal 4 4 12" xfId="22576"/>
    <cellStyle name="Normal 4 4 2" xfId="457"/>
    <cellStyle name="Normal 4 4 2 10" xfId="21130"/>
    <cellStyle name="Normal 4 4 2 10 2" xfId="37342"/>
    <cellStyle name="Normal 4 4 2 11" xfId="22628"/>
    <cellStyle name="Normal 4 4 2 2" xfId="575"/>
    <cellStyle name="Normal 4 4 2 2 2" xfId="927"/>
    <cellStyle name="Normal 4 4 2 2 2 2" xfId="2426"/>
    <cellStyle name="Normal 4 4 2 2 2 2 2" xfId="12961"/>
    <cellStyle name="Normal 4 4 2 2 2 2 2 2" xfId="20519"/>
    <cellStyle name="Normal 4 4 2 2 2 2 2 2 2" xfId="36740"/>
    <cellStyle name="Normal 4 4 2 2 2 2 2 3" xfId="30052"/>
    <cellStyle name="Normal 4 4 2 2 2 2 3" xfId="17148"/>
    <cellStyle name="Normal 4 4 2 2 2 2 3 2" xfId="33369"/>
    <cellStyle name="Normal 4 4 2 2 2 2 4" xfId="18762"/>
    <cellStyle name="Normal 4 4 2 2 2 2 4 2" xfId="34983"/>
    <cellStyle name="Normal 4 4 2 2 2 2 5" xfId="8368"/>
    <cellStyle name="Normal 4 4 2 2 2 2 5 2" xfId="28299"/>
    <cellStyle name="Normal 4 4 2 2 2 2 6" xfId="24594"/>
    <cellStyle name="Normal 4 4 2 2 2 3" xfId="3925"/>
    <cellStyle name="Normal 4 4 2 2 2 3 2" xfId="20518"/>
    <cellStyle name="Normal 4 4 2 2 2 3 2 2" xfId="36739"/>
    <cellStyle name="Normal 4 4 2 2 2 3 3" xfId="12960"/>
    <cellStyle name="Normal 4 4 2 2 2 3 3 2" xfId="30051"/>
    <cellStyle name="Normal 4 4 2 2 2 3 4" xfId="26092"/>
    <cellStyle name="Normal 4 4 2 2 2 4" xfId="15563"/>
    <cellStyle name="Normal 4 4 2 2 2 4 2" xfId="31785"/>
    <cellStyle name="Normal 4 4 2 2 2 5" xfId="18761"/>
    <cellStyle name="Normal 4 4 2 2 2 5 2" xfId="34982"/>
    <cellStyle name="Normal 4 4 2 2 2 6" xfId="8367"/>
    <cellStyle name="Normal 4 4 2 2 2 6 2" xfId="28298"/>
    <cellStyle name="Normal 4 4 2 2 2 7" xfId="21598"/>
    <cellStyle name="Normal 4 4 2 2 2 7 2" xfId="37810"/>
    <cellStyle name="Normal 4 4 2 2 2 8" xfId="23096"/>
    <cellStyle name="Normal 4 4 2 2 3" xfId="1278"/>
    <cellStyle name="Normal 4 4 2 2 3 2" xfId="2777"/>
    <cellStyle name="Normal 4 4 2 2 3 2 2" xfId="20520"/>
    <cellStyle name="Normal 4 4 2 2 3 2 2 2" xfId="36741"/>
    <cellStyle name="Normal 4 4 2 2 3 2 3" xfId="12962"/>
    <cellStyle name="Normal 4 4 2 2 3 2 3 2" xfId="30053"/>
    <cellStyle name="Normal 4 4 2 2 3 2 4" xfId="24945"/>
    <cellStyle name="Normal 4 4 2 2 3 3" xfId="4276"/>
    <cellStyle name="Normal 4 4 2 2 3 3 2" xfId="16356"/>
    <cellStyle name="Normal 4 4 2 2 3 3 2 2" xfId="32577"/>
    <cellStyle name="Normal 4 4 2 2 3 3 3" xfId="26443"/>
    <cellStyle name="Normal 4 4 2 2 3 4" xfId="18763"/>
    <cellStyle name="Normal 4 4 2 2 3 4 2" xfId="34984"/>
    <cellStyle name="Normal 4 4 2 2 3 5" xfId="8369"/>
    <cellStyle name="Normal 4 4 2 2 3 5 2" xfId="28300"/>
    <cellStyle name="Normal 4 4 2 2 3 6" xfId="21949"/>
    <cellStyle name="Normal 4 4 2 2 3 6 2" xfId="38161"/>
    <cellStyle name="Normal 4 4 2 2 3 7" xfId="23447"/>
    <cellStyle name="Normal 4 4 2 2 4" xfId="1629"/>
    <cellStyle name="Normal 4 4 2 2 4 2" xfId="3128"/>
    <cellStyle name="Normal 4 4 2 2 4 2 2" xfId="20517"/>
    <cellStyle name="Normal 4 4 2 2 4 2 2 2" xfId="36738"/>
    <cellStyle name="Normal 4 4 2 2 4 2 3" xfId="25296"/>
    <cellStyle name="Normal 4 4 2 2 4 3" xfId="4627"/>
    <cellStyle name="Normal 4 4 2 2 4 3 2" xfId="26794"/>
    <cellStyle name="Normal 4 4 2 2 4 4" xfId="12959"/>
    <cellStyle name="Normal 4 4 2 2 4 4 2" xfId="30050"/>
    <cellStyle name="Normal 4 4 2 2 4 5" xfId="22300"/>
    <cellStyle name="Normal 4 4 2 2 4 5 2" xfId="38512"/>
    <cellStyle name="Normal 4 4 2 2 4 6" xfId="23798"/>
    <cellStyle name="Normal 4 4 2 2 5" xfId="2075"/>
    <cellStyle name="Normal 4 4 2 2 5 2" xfId="14771"/>
    <cellStyle name="Normal 4 4 2 2 5 2 2" xfId="30993"/>
    <cellStyle name="Normal 4 4 2 2 5 3" xfId="24243"/>
    <cellStyle name="Normal 4 4 2 2 6" xfId="3574"/>
    <cellStyle name="Normal 4 4 2 2 6 2" xfId="18760"/>
    <cellStyle name="Normal 4 4 2 2 6 2 2" xfId="34981"/>
    <cellStyle name="Normal 4 4 2 2 6 3" xfId="25741"/>
    <cellStyle name="Normal 4 4 2 2 7" xfId="8366"/>
    <cellStyle name="Normal 4 4 2 2 7 2" xfId="28297"/>
    <cellStyle name="Normal 4 4 2 2 8" xfId="21247"/>
    <cellStyle name="Normal 4 4 2 2 8 2" xfId="37459"/>
    <cellStyle name="Normal 4 4 2 2 9" xfId="22745"/>
    <cellStyle name="Normal 4 4 2 3" xfId="693"/>
    <cellStyle name="Normal 4 4 2 3 2" xfId="1044"/>
    <cellStyle name="Normal 4 4 2 3 2 2" xfId="2543"/>
    <cellStyle name="Normal 4 4 2 3 2 2 2" xfId="12965"/>
    <cellStyle name="Normal 4 4 2 3 2 2 2 2" xfId="20523"/>
    <cellStyle name="Normal 4 4 2 3 2 2 2 2 2" xfId="36744"/>
    <cellStyle name="Normal 4 4 2 3 2 2 2 3" xfId="30056"/>
    <cellStyle name="Normal 4 4 2 3 2 2 3" xfId="17412"/>
    <cellStyle name="Normal 4 4 2 3 2 2 3 2" xfId="33633"/>
    <cellStyle name="Normal 4 4 2 3 2 2 4" xfId="18766"/>
    <cellStyle name="Normal 4 4 2 3 2 2 4 2" xfId="34987"/>
    <cellStyle name="Normal 4 4 2 3 2 2 5" xfId="8372"/>
    <cellStyle name="Normal 4 4 2 3 2 2 5 2" xfId="28303"/>
    <cellStyle name="Normal 4 4 2 3 2 2 6" xfId="24711"/>
    <cellStyle name="Normal 4 4 2 3 2 3" xfId="4042"/>
    <cellStyle name="Normal 4 4 2 3 2 3 2" xfId="20522"/>
    <cellStyle name="Normal 4 4 2 3 2 3 2 2" xfId="36743"/>
    <cellStyle name="Normal 4 4 2 3 2 3 3" xfId="12964"/>
    <cellStyle name="Normal 4 4 2 3 2 3 3 2" xfId="30055"/>
    <cellStyle name="Normal 4 4 2 3 2 3 4" xfId="26209"/>
    <cellStyle name="Normal 4 4 2 3 2 4" xfId="15827"/>
    <cellStyle name="Normal 4 4 2 3 2 4 2" xfId="32049"/>
    <cellStyle name="Normal 4 4 2 3 2 5" xfId="18765"/>
    <cellStyle name="Normal 4 4 2 3 2 5 2" xfId="34986"/>
    <cellStyle name="Normal 4 4 2 3 2 6" xfId="8371"/>
    <cellStyle name="Normal 4 4 2 3 2 6 2" xfId="28302"/>
    <cellStyle name="Normal 4 4 2 3 2 7" xfId="21715"/>
    <cellStyle name="Normal 4 4 2 3 2 7 2" xfId="37927"/>
    <cellStyle name="Normal 4 4 2 3 2 8" xfId="23213"/>
    <cellStyle name="Normal 4 4 2 3 3" xfId="1395"/>
    <cellStyle name="Normal 4 4 2 3 3 2" xfId="2894"/>
    <cellStyle name="Normal 4 4 2 3 3 2 2" xfId="20524"/>
    <cellStyle name="Normal 4 4 2 3 3 2 2 2" xfId="36745"/>
    <cellStyle name="Normal 4 4 2 3 3 2 3" xfId="12966"/>
    <cellStyle name="Normal 4 4 2 3 3 2 3 2" xfId="30057"/>
    <cellStyle name="Normal 4 4 2 3 3 2 4" xfId="25062"/>
    <cellStyle name="Normal 4 4 2 3 3 3" xfId="4393"/>
    <cellStyle name="Normal 4 4 2 3 3 3 2" xfId="16620"/>
    <cellStyle name="Normal 4 4 2 3 3 3 2 2" xfId="32841"/>
    <cellStyle name="Normal 4 4 2 3 3 3 3" xfId="26560"/>
    <cellStyle name="Normal 4 4 2 3 3 4" xfId="18767"/>
    <cellStyle name="Normal 4 4 2 3 3 4 2" xfId="34988"/>
    <cellStyle name="Normal 4 4 2 3 3 5" xfId="8373"/>
    <cellStyle name="Normal 4 4 2 3 3 5 2" xfId="28304"/>
    <cellStyle name="Normal 4 4 2 3 3 6" xfId="22066"/>
    <cellStyle name="Normal 4 4 2 3 3 6 2" xfId="38278"/>
    <cellStyle name="Normal 4 4 2 3 3 7" xfId="23564"/>
    <cellStyle name="Normal 4 4 2 3 4" xfId="1746"/>
    <cellStyle name="Normal 4 4 2 3 4 2" xfId="3245"/>
    <cellStyle name="Normal 4 4 2 3 4 2 2" xfId="20521"/>
    <cellStyle name="Normal 4 4 2 3 4 2 2 2" xfId="36742"/>
    <cellStyle name="Normal 4 4 2 3 4 2 3" xfId="25413"/>
    <cellStyle name="Normal 4 4 2 3 4 3" xfId="4744"/>
    <cellStyle name="Normal 4 4 2 3 4 3 2" xfId="26911"/>
    <cellStyle name="Normal 4 4 2 3 4 4" xfId="12963"/>
    <cellStyle name="Normal 4 4 2 3 4 4 2" xfId="30054"/>
    <cellStyle name="Normal 4 4 2 3 4 5" xfId="22417"/>
    <cellStyle name="Normal 4 4 2 3 4 5 2" xfId="38629"/>
    <cellStyle name="Normal 4 4 2 3 4 6" xfId="23915"/>
    <cellStyle name="Normal 4 4 2 3 5" xfId="2192"/>
    <cellStyle name="Normal 4 4 2 3 5 2" xfId="15035"/>
    <cellStyle name="Normal 4 4 2 3 5 2 2" xfId="31257"/>
    <cellStyle name="Normal 4 4 2 3 5 3" xfId="24360"/>
    <cellStyle name="Normal 4 4 2 3 6" xfId="3691"/>
    <cellStyle name="Normal 4 4 2 3 6 2" xfId="18764"/>
    <cellStyle name="Normal 4 4 2 3 6 2 2" xfId="34985"/>
    <cellStyle name="Normal 4 4 2 3 6 3" xfId="25858"/>
    <cellStyle name="Normal 4 4 2 3 7" xfId="8370"/>
    <cellStyle name="Normal 4 4 2 3 7 2" xfId="28301"/>
    <cellStyle name="Normal 4 4 2 3 8" xfId="21364"/>
    <cellStyle name="Normal 4 4 2 3 8 2" xfId="37576"/>
    <cellStyle name="Normal 4 4 2 3 9" xfId="22862"/>
    <cellStyle name="Normal 4 4 2 4" xfId="810"/>
    <cellStyle name="Normal 4 4 2 4 2" xfId="2309"/>
    <cellStyle name="Normal 4 4 2 4 2 2" xfId="12968"/>
    <cellStyle name="Normal 4 4 2 4 2 2 2" xfId="20526"/>
    <cellStyle name="Normal 4 4 2 4 2 2 2 2" xfId="36747"/>
    <cellStyle name="Normal 4 4 2 4 2 2 3" xfId="30059"/>
    <cellStyle name="Normal 4 4 2 4 2 3" xfId="16884"/>
    <cellStyle name="Normal 4 4 2 4 2 3 2" xfId="33105"/>
    <cellStyle name="Normal 4 4 2 4 2 4" xfId="18769"/>
    <cellStyle name="Normal 4 4 2 4 2 4 2" xfId="34990"/>
    <cellStyle name="Normal 4 4 2 4 2 5" xfId="8375"/>
    <cellStyle name="Normal 4 4 2 4 2 5 2" xfId="28306"/>
    <cellStyle name="Normal 4 4 2 4 2 6" xfId="24477"/>
    <cellStyle name="Normal 4 4 2 4 3" xfId="3808"/>
    <cellStyle name="Normal 4 4 2 4 3 2" xfId="20525"/>
    <cellStyle name="Normal 4 4 2 4 3 2 2" xfId="36746"/>
    <cellStyle name="Normal 4 4 2 4 3 3" xfId="12967"/>
    <cellStyle name="Normal 4 4 2 4 3 3 2" xfId="30058"/>
    <cellStyle name="Normal 4 4 2 4 3 4" xfId="25975"/>
    <cellStyle name="Normal 4 4 2 4 4" xfId="15299"/>
    <cellStyle name="Normal 4 4 2 4 4 2" xfId="31521"/>
    <cellStyle name="Normal 4 4 2 4 5" xfId="18768"/>
    <cellStyle name="Normal 4 4 2 4 5 2" xfId="34989"/>
    <cellStyle name="Normal 4 4 2 4 6" xfId="8374"/>
    <cellStyle name="Normal 4 4 2 4 6 2" xfId="28305"/>
    <cellStyle name="Normal 4 4 2 4 7" xfId="21481"/>
    <cellStyle name="Normal 4 4 2 4 7 2" xfId="37693"/>
    <cellStyle name="Normal 4 4 2 4 8" xfId="22979"/>
    <cellStyle name="Normal 4 4 2 5" xfId="1161"/>
    <cellStyle name="Normal 4 4 2 5 2" xfId="2660"/>
    <cellStyle name="Normal 4 4 2 5 2 2" xfId="20527"/>
    <cellStyle name="Normal 4 4 2 5 2 2 2" xfId="36748"/>
    <cellStyle name="Normal 4 4 2 5 2 3" xfId="12969"/>
    <cellStyle name="Normal 4 4 2 5 2 3 2" xfId="30060"/>
    <cellStyle name="Normal 4 4 2 5 2 4" xfId="24828"/>
    <cellStyle name="Normal 4 4 2 5 3" xfId="4159"/>
    <cellStyle name="Normal 4 4 2 5 3 2" xfId="16092"/>
    <cellStyle name="Normal 4 4 2 5 3 2 2" xfId="32313"/>
    <cellStyle name="Normal 4 4 2 5 3 3" xfId="26326"/>
    <cellStyle name="Normal 4 4 2 5 4" xfId="18770"/>
    <cellStyle name="Normal 4 4 2 5 4 2" xfId="34991"/>
    <cellStyle name="Normal 4 4 2 5 5" xfId="8376"/>
    <cellStyle name="Normal 4 4 2 5 5 2" xfId="28307"/>
    <cellStyle name="Normal 4 4 2 5 6" xfId="21832"/>
    <cellStyle name="Normal 4 4 2 5 6 2" xfId="38044"/>
    <cellStyle name="Normal 4 4 2 5 7" xfId="23330"/>
    <cellStyle name="Normal 4 4 2 6" xfId="1512"/>
    <cellStyle name="Normal 4 4 2 6 2" xfId="3011"/>
    <cellStyle name="Normal 4 4 2 6 2 2" xfId="20516"/>
    <cellStyle name="Normal 4 4 2 6 2 2 2" xfId="36737"/>
    <cellStyle name="Normal 4 4 2 6 2 3" xfId="25179"/>
    <cellStyle name="Normal 4 4 2 6 3" xfId="4510"/>
    <cellStyle name="Normal 4 4 2 6 3 2" xfId="26677"/>
    <cellStyle name="Normal 4 4 2 6 4" xfId="12958"/>
    <cellStyle name="Normal 4 4 2 6 4 2" xfId="30049"/>
    <cellStyle name="Normal 4 4 2 6 5" xfId="22183"/>
    <cellStyle name="Normal 4 4 2 6 5 2" xfId="38395"/>
    <cellStyle name="Normal 4 4 2 6 6" xfId="23681"/>
    <cellStyle name="Normal 4 4 2 7" xfId="1958"/>
    <cellStyle name="Normal 4 4 2 7 2" xfId="14507"/>
    <cellStyle name="Normal 4 4 2 7 2 2" xfId="30729"/>
    <cellStyle name="Normal 4 4 2 7 3" xfId="24126"/>
    <cellStyle name="Normal 4 4 2 8" xfId="3457"/>
    <cellStyle name="Normal 4 4 2 8 2" xfId="18759"/>
    <cellStyle name="Normal 4 4 2 8 2 2" xfId="34980"/>
    <cellStyle name="Normal 4 4 2 8 3" xfId="25624"/>
    <cellStyle name="Normal 4 4 2 9" xfId="8365"/>
    <cellStyle name="Normal 4 4 2 9 2" xfId="28296"/>
    <cellStyle name="Normal 4 4 3" xfId="523"/>
    <cellStyle name="Normal 4 4 3 2" xfId="875"/>
    <cellStyle name="Normal 4 4 3 2 2" xfId="2374"/>
    <cellStyle name="Normal 4 4 3 2 2 2" xfId="12972"/>
    <cellStyle name="Normal 4 4 3 2 2 2 2" xfId="20530"/>
    <cellStyle name="Normal 4 4 3 2 2 2 2 2" xfId="36751"/>
    <cellStyle name="Normal 4 4 3 2 2 2 3" xfId="30063"/>
    <cellStyle name="Normal 4 4 3 2 2 3" xfId="17016"/>
    <cellStyle name="Normal 4 4 3 2 2 3 2" xfId="33237"/>
    <cellStyle name="Normal 4 4 3 2 2 4" xfId="18773"/>
    <cellStyle name="Normal 4 4 3 2 2 4 2" xfId="34994"/>
    <cellStyle name="Normal 4 4 3 2 2 5" xfId="8379"/>
    <cellStyle name="Normal 4 4 3 2 2 5 2" xfId="28310"/>
    <cellStyle name="Normal 4 4 3 2 2 6" xfId="24542"/>
    <cellStyle name="Normal 4 4 3 2 3" xfId="3873"/>
    <cellStyle name="Normal 4 4 3 2 3 2" xfId="20529"/>
    <cellStyle name="Normal 4 4 3 2 3 2 2" xfId="36750"/>
    <cellStyle name="Normal 4 4 3 2 3 3" xfId="12971"/>
    <cellStyle name="Normal 4 4 3 2 3 3 2" xfId="30062"/>
    <cellStyle name="Normal 4 4 3 2 3 4" xfId="26040"/>
    <cellStyle name="Normal 4 4 3 2 4" xfId="15431"/>
    <cellStyle name="Normal 4 4 3 2 4 2" xfId="31653"/>
    <cellStyle name="Normal 4 4 3 2 5" xfId="18772"/>
    <cellStyle name="Normal 4 4 3 2 5 2" xfId="34993"/>
    <cellStyle name="Normal 4 4 3 2 6" xfId="8378"/>
    <cellStyle name="Normal 4 4 3 2 6 2" xfId="28309"/>
    <cellStyle name="Normal 4 4 3 2 7" xfId="21546"/>
    <cellStyle name="Normal 4 4 3 2 7 2" xfId="37758"/>
    <cellStyle name="Normal 4 4 3 2 8" xfId="23044"/>
    <cellStyle name="Normal 4 4 3 3" xfId="1226"/>
    <cellStyle name="Normal 4 4 3 3 2" xfId="2725"/>
    <cellStyle name="Normal 4 4 3 3 2 2" xfId="20531"/>
    <cellStyle name="Normal 4 4 3 3 2 2 2" xfId="36752"/>
    <cellStyle name="Normal 4 4 3 3 2 3" xfId="12973"/>
    <cellStyle name="Normal 4 4 3 3 2 3 2" xfId="30064"/>
    <cellStyle name="Normal 4 4 3 3 2 4" xfId="24893"/>
    <cellStyle name="Normal 4 4 3 3 3" xfId="4224"/>
    <cellStyle name="Normal 4 4 3 3 3 2" xfId="16224"/>
    <cellStyle name="Normal 4 4 3 3 3 2 2" xfId="32445"/>
    <cellStyle name="Normal 4 4 3 3 3 3" xfId="26391"/>
    <cellStyle name="Normal 4 4 3 3 4" xfId="18774"/>
    <cellStyle name="Normal 4 4 3 3 4 2" xfId="34995"/>
    <cellStyle name="Normal 4 4 3 3 5" xfId="8380"/>
    <cellStyle name="Normal 4 4 3 3 5 2" xfId="28311"/>
    <cellStyle name="Normal 4 4 3 3 6" xfId="21897"/>
    <cellStyle name="Normal 4 4 3 3 6 2" xfId="38109"/>
    <cellStyle name="Normal 4 4 3 3 7" xfId="23395"/>
    <cellStyle name="Normal 4 4 3 4" xfId="1577"/>
    <cellStyle name="Normal 4 4 3 4 2" xfId="3076"/>
    <cellStyle name="Normal 4 4 3 4 2 2" xfId="20528"/>
    <cellStyle name="Normal 4 4 3 4 2 2 2" xfId="36749"/>
    <cellStyle name="Normal 4 4 3 4 2 3" xfId="25244"/>
    <cellStyle name="Normal 4 4 3 4 3" xfId="4575"/>
    <cellStyle name="Normal 4 4 3 4 3 2" xfId="26742"/>
    <cellStyle name="Normal 4 4 3 4 4" xfId="12970"/>
    <cellStyle name="Normal 4 4 3 4 4 2" xfId="30061"/>
    <cellStyle name="Normal 4 4 3 4 5" xfId="22248"/>
    <cellStyle name="Normal 4 4 3 4 5 2" xfId="38460"/>
    <cellStyle name="Normal 4 4 3 4 6" xfId="23746"/>
    <cellStyle name="Normal 4 4 3 5" xfId="2023"/>
    <cellStyle name="Normal 4 4 3 5 2" xfId="14639"/>
    <cellStyle name="Normal 4 4 3 5 2 2" xfId="30861"/>
    <cellStyle name="Normal 4 4 3 5 3" xfId="24191"/>
    <cellStyle name="Normal 4 4 3 6" xfId="3522"/>
    <cellStyle name="Normal 4 4 3 6 2" xfId="18771"/>
    <cellStyle name="Normal 4 4 3 6 2 2" xfId="34992"/>
    <cellStyle name="Normal 4 4 3 6 3" xfId="25689"/>
    <cellStyle name="Normal 4 4 3 7" xfId="8377"/>
    <cellStyle name="Normal 4 4 3 7 2" xfId="28308"/>
    <cellStyle name="Normal 4 4 3 8" xfId="21195"/>
    <cellStyle name="Normal 4 4 3 8 2" xfId="37407"/>
    <cellStyle name="Normal 4 4 3 9" xfId="22693"/>
    <cellStyle name="Normal 4 4 4" xfId="641"/>
    <cellStyle name="Normal 4 4 4 2" xfId="992"/>
    <cellStyle name="Normal 4 4 4 2 2" xfId="2491"/>
    <cellStyle name="Normal 4 4 4 2 2 2" xfId="12976"/>
    <cellStyle name="Normal 4 4 4 2 2 2 2" xfId="20534"/>
    <cellStyle name="Normal 4 4 4 2 2 2 2 2" xfId="36755"/>
    <cellStyle name="Normal 4 4 4 2 2 2 3" xfId="30067"/>
    <cellStyle name="Normal 4 4 4 2 2 3" xfId="17280"/>
    <cellStyle name="Normal 4 4 4 2 2 3 2" xfId="33501"/>
    <cellStyle name="Normal 4 4 4 2 2 4" xfId="18777"/>
    <cellStyle name="Normal 4 4 4 2 2 4 2" xfId="34998"/>
    <cellStyle name="Normal 4 4 4 2 2 5" xfId="8383"/>
    <cellStyle name="Normal 4 4 4 2 2 5 2" xfId="28314"/>
    <cellStyle name="Normal 4 4 4 2 2 6" xfId="24659"/>
    <cellStyle name="Normal 4 4 4 2 3" xfId="3990"/>
    <cellStyle name="Normal 4 4 4 2 3 2" xfId="20533"/>
    <cellStyle name="Normal 4 4 4 2 3 2 2" xfId="36754"/>
    <cellStyle name="Normal 4 4 4 2 3 3" xfId="12975"/>
    <cellStyle name="Normal 4 4 4 2 3 3 2" xfId="30066"/>
    <cellStyle name="Normal 4 4 4 2 3 4" xfId="26157"/>
    <cellStyle name="Normal 4 4 4 2 4" xfId="15695"/>
    <cellStyle name="Normal 4 4 4 2 4 2" xfId="31917"/>
    <cellStyle name="Normal 4 4 4 2 5" xfId="18776"/>
    <cellStyle name="Normal 4 4 4 2 5 2" xfId="34997"/>
    <cellStyle name="Normal 4 4 4 2 6" xfId="8382"/>
    <cellStyle name="Normal 4 4 4 2 6 2" xfId="28313"/>
    <cellStyle name="Normal 4 4 4 2 7" xfId="21663"/>
    <cellStyle name="Normal 4 4 4 2 7 2" xfId="37875"/>
    <cellStyle name="Normal 4 4 4 2 8" xfId="23161"/>
    <cellStyle name="Normal 4 4 4 3" xfId="1343"/>
    <cellStyle name="Normal 4 4 4 3 2" xfId="2842"/>
    <cellStyle name="Normal 4 4 4 3 2 2" xfId="20535"/>
    <cellStyle name="Normal 4 4 4 3 2 2 2" xfId="36756"/>
    <cellStyle name="Normal 4 4 4 3 2 3" xfId="12977"/>
    <cellStyle name="Normal 4 4 4 3 2 3 2" xfId="30068"/>
    <cellStyle name="Normal 4 4 4 3 2 4" xfId="25010"/>
    <cellStyle name="Normal 4 4 4 3 3" xfId="4341"/>
    <cellStyle name="Normal 4 4 4 3 3 2" xfId="16488"/>
    <cellStyle name="Normal 4 4 4 3 3 2 2" xfId="32709"/>
    <cellStyle name="Normal 4 4 4 3 3 3" xfId="26508"/>
    <cellStyle name="Normal 4 4 4 3 4" xfId="18778"/>
    <cellStyle name="Normal 4 4 4 3 4 2" xfId="34999"/>
    <cellStyle name="Normal 4 4 4 3 5" xfId="8384"/>
    <cellStyle name="Normal 4 4 4 3 5 2" xfId="28315"/>
    <cellStyle name="Normal 4 4 4 3 6" xfId="22014"/>
    <cellStyle name="Normal 4 4 4 3 6 2" xfId="38226"/>
    <cellStyle name="Normal 4 4 4 3 7" xfId="23512"/>
    <cellStyle name="Normal 4 4 4 4" xfId="1694"/>
    <cellStyle name="Normal 4 4 4 4 2" xfId="3193"/>
    <cellStyle name="Normal 4 4 4 4 2 2" xfId="20532"/>
    <cellStyle name="Normal 4 4 4 4 2 2 2" xfId="36753"/>
    <cellStyle name="Normal 4 4 4 4 2 3" xfId="25361"/>
    <cellStyle name="Normal 4 4 4 4 3" xfId="4692"/>
    <cellStyle name="Normal 4 4 4 4 3 2" xfId="26859"/>
    <cellStyle name="Normal 4 4 4 4 4" xfId="12974"/>
    <cellStyle name="Normal 4 4 4 4 4 2" xfId="30065"/>
    <cellStyle name="Normal 4 4 4 4 5" xfId="22365"/>
    <cellStyle name="Normal 4 4 4 4 5 2" xfId="38577"/>
    <cellStyle name="Normal 4 4 4 4 6" xfId="23863"/>
    <cellStyle name="Normal 4 4 4 5" xfId="2140"/>
    <cellStyle name="Normal 4 4 4 5 2" xfId="14903"/>
    <cellStyle name="Normal 4 4 4 5 2 2" xfId="31125"/>
    <cellStyle name="Normal 4 4 4 5 3" xfId="24308"/>
    <cellStyle name="Normal 4 4 4 6" xfId="3639"/>
    <cellStyle name="Normal 4 4 4 6 2" xfId="18775"/>
    <cellStyle name="Normal 4 4 4 6 2 2" xfId="34996"/>
    <cellStyle name="Normal 4 4 4 6 3" xfId="25806"/>
    <cellStyle name="Normal 4 4 4 7" xfId="8381"/>
    <cellStyle name="Normal 4 4 4 7 2" xfId="28312"/>
    <cellStyle name="Normal 4 4 4 8" xfId="21312"/>
    <cellStyle name="Normal 4 4 4 8 2" xfId="37524"/>
    <cellStyle name="Normal 4 4 4 9" xfId="22810"/>
    <cellStyle name="Normal 4 4 5" xfId="758"/>
    <cellStyle name="Normal 4 4 5 2" xfId="2257"/>
    <cellStyle name="Normal 4 4 5 2 2" xfId="12979"/>
    <cellStyle name="Normal 4 4 5 2 2 2" xfId="20537"/>
    <cellStyle name="Normal 4 4 5 2 2 2 2" xfId="36758"/>
    <cellStyle name="Normal 4 4 5 2 2 3" xfId="30070"/>
    <cellStyle name="Normal 4 4 5 2 3" xfId="16752"/>
    <cellStyle name="Normal 4 4 5 2 3 2" xfId="32973"/>
    <cellStyle name="Normal 4 4 5 2 4" xfId="18780"/>
    <cellStyle name="Normal 4 4 5 2 4 2" xfId="35001"/>
    <cellStyle name="Normal 4 4 5 2 5" xfId="8386"/>
    <cellStyle name="Normal 4 4 5 2 5 2" xfId="28317"/>
    <cellStyle name="Normal 4 4 5 2 6" xfId="24425"/>
    <cellStyle name="Normal 4 4 5 3" xfId="3756"/>
    <cellStyle name="Normal 4 4 5 3 2" xfId="20536"/>
    <cellStyle name="Normal 4 4 5 3 2 2" xfId="36757"/>
    <cellStyle name="Normal 4 4 5 3 3" xfId="12978"/>
    <cellStyle name="Normal 4 4 5 3 3 2" xfId="30069"/>
    <cellStyle name="Normal 4 4 5 3 4" xfId="25923"/>
    <cellStyle name="Normal 4 4 5 4" xfId="15167"/>
    <cellStyle name="Normal 4 4 5 4 2" xfId="31389"/>
    <cellStyle name="Normal 4 4 5 5" xfId="18779"/>
    <cellStyle name="Normal 4 4 5 5 2" xfId="35000"/>
    <cellStyle name="Normal 4 4 5 6" xfId="8385"/>
    <cellStyle name="Normal 4 4 5 6 2" xfId="28316"/>
    <cellStyle name="Normal 4 4 5 7" xfId="21429"/>
    <cellStyle name="Normal 4 4 5 7 2" xfId="37641"/>
    <cellStyle name="Normal 4 4 5 8" xfId="22927"/>
    <cellStyle name="Normal 4 4 6" xfId="1109"/>
    <cellStyle name="Normal 4 4 6 2" xfId="2608"/>
    <cellStyle name="Normal 4 4 6 2 2" xfId="20538"/>
    <cellStyle name="Normal 4 4 6 2 2 2" xfId="36759"/>
    <cellStyle name="Normal 4 4 6 2 3" xfId="12980"/>
    <cellStyle name="Normal 4 4 6 2 3 2" xfId="30071"/>
    <cellStyle name="Normal 4 4 6 2 4" xfId="24776"/>
    <cellStyle name="Normal 4 4 6 3" xfId="4107"/>
    <cellStyle name="Normal 4 4 6 3 2" xfId="15960"/>
    <cellStyle name="Normal 4 4 6 3 2 2" xfId="32181"/>
    <cellStyle name="Normal 4 4 6 3 3" xfId="26274"/>
    <cellStyle name="Normal 4 4 6 4" xfId="18781"/>
    <cellStyle name="Normal 4 4 6 4 2" xfId="35002"/>
    <cellStyle name="Normal 4 4 6 5" xfId="8387"/>
    <cellStyle name="Normal 4 4 6 5 2" xfId="28318"/>
    <cellStyle name="Normal 4 4 6 6" xfId="21780"/>
    <cellStyle name="Normal 4 4 6 6 2" xfId="37992"/>
    <cellStyle name="Normal 4 4 6 7" xfId="23278"/>
    <cellStyle name="Normal 4 4 7" xfId="1460"/>
    <cellStyle name="Normal 4 4 7 2" xfId="2959"/>
    <cellStyle name="Normal 4 4 7 2 2" xfId="20515"/>
    <cellStyle name="Normal 4 4 7 2 2 2" xfId="36736"/>
    <cellStyle name="Normal 4 4 7 2 3" xfId="25127"/>
    <cellStyle name="Normal 4 4 7 3" xfId="4458"/>
    <cellStyle name="Normal 4 4 7 3 2" xfId="26625"/>
    <cellStyle name="Normal 4 4 7 4" xfId="12957"/>
    <cellStyle name="Normal 4 4 7 4 2" xfId="30048"/>
    <cellStyle name="Normal 4 4 7 5" xfId="22131"/>
    <cellStyle name="Normal 4 4 7 5 2" xfId="38343"/>
    <cellStyle name="Normal 4 4 7 6" xfId="23629"/>
    <cellStyle name="Normal 4 4 8" xfId="1906"/>
    <cellStyle name="Normal 4 4 8 2" xfId="14375"/>
    <cellStyle name="Normal 4 4 8 2 2" xfId="30597"/>
    <cellStyle name="Normal 4 4 8 3" xfId="24074"/>
    <cellStyle name="Normal 4 4 9" xfId="3405"/>
    <cellStyle name="Normal 4 4 9 2" xfId="18758"/>
    <cellStyle name="Normal 4 4 9 2 2" xfId="34979"/>
    <cellStyle name="Normal 4 4 9 3" xfId="25572"/>
    <cellStyle name="Normal 4 5" xfId="417"/>
    <cellStyle name="Normal 4 5 10" xfId="21090"/>
    <cellStyle name="Normal 4 5 10 2" xfId="37302"/>
    <cellStyle name="Normal 4 5 11" xfId="22588"/>
    <cellStyle name="Normal 4 5 2" xfId="535"/>
    <cellStyle name="Normal 4 5 2 2" xfId="887"/>
    <cellStyle name="Normal 4 5 2 2 2" xfId="2386"/>
    <cellStyle name="Normal 4 5 2 2 2 2" xfId="12984"/>
    <cellStyle name="Normal 4 5 2 2 2 2 2" xfId="20542"/>
    <cellStyle name="Normal 4 5 2 2 2 2 2 2" xfId="36763"/>
    <cellStyle name="Normal 4 5 2 2 2 2 3" xfId="30075"/>
    <cellStyle name="Normal 4 5 2 2 2 3" xfId="17082"/>
    <cellStyle name="Normal 4 5 2 2 2 3 2" xfId="33303"/>
    <cellStyle name="Normal 4 5 2 2 2 4" xfId="18785"/>
    <cellStyle name="Normal 4 5 2 2 2 4 2" xfId="35006"/>
    <cellStyle name="Normal 4 5 2 2 2 5" xfId="8391"/>
    <cellStyle name="Normal 4 5 2 2 2 5 2" xfId="28322"/>
    <cellStyle name="Normal 4 5 2 2 2 6" xfId="24554"/>
    <cellStyle name="Normal 4 5 2 2 3" xfId="3885"/>
    <cellStyle name="Normal 4 5 2 2 3 2" xfId="20541"/>
    <cellStyle name="Normal 4 5 2 2 3 2 2" xfId="36762"/>
    <cellStyle name="Normal 4 5 2 2 3 3" xfId="12983"/>
    <cellStyle name="Normal 4 5 2 2 3 3 2" xfId="30074"/>
    <cellStyle name="Normal 4 5 2 2 3 4" xfId="26052"/>
    <cellStyle name="Normal 4 5 2 2 4" xfId="15497"/>
    <cellStyle name="Normal 4 5 2 2 4 2" xfId="31719"/>
    <cellStyle name="Normal 4 5 2 2 5" xfId="18784"/>
    <cellStyle name="Normal 4 5 2 2 5 2" xfId="35005"/>
    <cellStyle name="Normal 4 5 2 2 6" xfId="8390"/>
    <cellStyle name="Normal 4 5 2 2 6 2" xfId="28321"/>
    <cellStyle name="Normal 4 5 2 2 7" xfId="21558"/>
    <cellStyle name="Normal 4 5 2 2 7 2" xfId="37770"/>
    <cellStyle name="Normal 4 5 2 2 8" xfId="23056"/>
    <cellStyle name="Normal 4 5 2 3" xfId="1238"/>
    <cellStyle name="Normal 4 5 2 3 2" xfId="2737"/>
    <cellStyle name="Normal 4 5 2 3 2 2" xfId="20543"/>
    <cellStyle name="Normal 4 5 2 3 2 2 2" xfId="36764"/>
    <cellStyle name="Normal 4 5 2 3 2 3" xfId="12985"/>
    <cellStyle name="Normal 4 5 2 3 2 3 2" xfId="30076"/>
    <cellStyle name="Normal 4 5 2 3 2 4" xfId="24905"/>
    <cellStyle name="Normal 4 5 2 3 3" xfId="4236"/>
    <cellStyle name="Normal 4 5 2 3 3 2" xfId="16290"/>
    <cellStyle name="Normal 4 5 2 3 3 2 2" xfId="32511"/>
    <cellStyle name="Normal 4 5 2 3 3 3" xfId="26403"/>
    <cellStyle name="Normal 4 5 2 3 4" xfId="18786"/>
    <cellStyle name="Normal 4 5 2 3 4 2" xfId="35007"/>
    <cellStyle name="Normal 4 5 2 3 5" xfId="8392"/>
    <cellStyle name="Normal 4 5 2 3 5 2" xfId="28323"/>
    <cellStyle name="Normal 4 5 2 3 6" xfId="21909"/>
    <cellStyle name="Normal 4 5 2 3 6 2" xfId="38121"/>
    <cellStyle name="Normal 4 5 2 3 7" xfId="23407"/>
    <cellStyle name="Normal 4 5 2 4" xfId="1589"/>
    <cellStyle name="Normal 4 5 2 4 2" xfId="3088"/>
    <cellStyle name="Normal 4 5 2 4 2 2" xfId="20540"/>
    <cellStyle name="Normal 4 5 2 4 2 2 2" xfId="36761"/>
    <cellStyle name="Normal 4 5 2 4 2 3" xfId="25256"/>
    <cellStyle name="Normal 4 5 2 4 3" xfId="4587"/>
    <cellStyle name="Normal 4 5 2 4 3 2" xfId="26754"/>
    <cellStyle name="Normal 4 5 2 4 4" xfId="12982"/>
    <cellStyle name="Normal 4 5 2 4 4 2" xfId="30073"/>
    <cellStyle name="Normal 4 5 2 4 5" xfId="22260"/>
    <cellStyle name="Normal 4 5 2 4 5 2" xfId="38472"/>
    <cellStyle name="Normal 4 5 2 4 6" xfId="23758"/>
    <cellStyle name="Normal 4 5 2 5" xfId="2035"/>
    <cellStyle name="Normal 4 5 2 5 2" xfId="14705"/>
    <cellStyle name="Normal 4 5 2 5 2 2" xfId="30927"/>
    <cellStyle name="Normal 4 5 2 5 3" xfId="24203"/>
    <cellStyle name="Normal 4 5 2 6" xfId="3534"/>
    <cellStyle name="Normal 4 5 2 6 2" xfId="18783"/>
    <cellStyle name="Normal 4 5 2 6 2 2" xfId="35004"/>
    <cellStyle name="Normal 4 5 2 6 3" xfId="25701"/>
    <cellStyle name="Normal 4 5 2 7" xfId="8389"/>
    <cellStyle name="Normal 4 5 2 7 2" xfId="28320"/>
    <cellStyle name="Normal 4 5 2 8" xfId="21207"/>
    <cellStyle name="Normal 4 5 2 8 2" xfId="37419"/>
    <cellStyle name="Normal 4 5 2 9" xfId="22705"/>
    <cellStyle name="Normal 4 5 3" xfId="653"/>
    <cellStyle name="Normal 4 5 3 2" xfId="1004"/>
    <cellStyle name="Normal 4 5 3 2 2" xfId="2503"/>
    <cellStyle name="Normal 4 5 3 2 2 2" xfId="12988"/>
    <cellStyle name="Normal 4 5 3 2 2 2 2" xfId="20546"/>
    <cellStyle name="Normal 4 5 3 2 2 2 2 2" xfId="36767"/>
    <cellStyle name="Normal 4 5 3 2 2 2 3" xfId="30079"/>
    <cellStyle name="Normal 4 5 3 2 2 3" xfId="17346"/>
    <cellStyle name="Normal 4 5 3 2 2 3 2" xfId="33567"/>
    <cellStyle name="Normal 4 5 3 2 2 4" xfId="18789"/>
    <cellStyle name="Normal 4 5 3 2 2 4 2" xfId="35010"/>
    <cellStyle name="Normal 4 5 3 2 2 5" xfId="8395"/>
    <cellStyle name="Normal 4 5 3 2 2 5 2" xfId="28326"/>
    <cellStyle name="Normal 4 5 3 2 2 6" xfId="24671"/>
    <cellStyle name="Normal 4 5 3 2 3" xfId="4002"/>
    <cellStyle name="Normal 4 5 3 2 3 2" xfId="20545"/>
    <cellStyle name="Normal 4 5 3 2 3 2 2" xfId="36766"/>
    <cellStyle name="Normal 4 5 3 2 3 3" xfId="12987"/>
    <cellStyle name="Normal 4 5 3 2 3 3 2" xfId="30078"/>
    <cellStyle name="Normal 4 5 3 2 3 4" xfId="26169"/>
    <cellStyle name="Normal 4 5 3 2 4" xfId="15761"/>
    <cellStyle name="Normal 4 5 3 2 4 2" xfId="31983"/>
    <cellStyle name="Normal 4 5 3 2 5" xfId="18788"/>
    <cellStyle name="Normal 4 5 3 2 5 2" xfId="35009"/>
    <cellStyle name="Normal 4 5 3 2 6" xfId="8394"/>
    <cellStyle name="Normal 4 5 3 2 6 2" xfId="28325"/>
    <cellStyle name="Normal 4 5 3 2 7" xfId="21675"/>
    <cellStyle name="Normal 4 5 3 2 7 2" xfId="37887"/>
    <cellStyle name="Normal 4 5 3 2 8" xfId="23173"/>
    <cellStyle name="Normal 4 5 3 3" xfId="1355"/>
    <cellStyle name="Normal 4 5 3 3 2" xfId="2854"/>
    <cellStyle name="Normal 4 5 3 3 2 2" xfId="20547"/>
    <cellStyle name="Normal 4 5 3 3 2 2 2" xfId="36768"/>
    <cellStyle name="Normal 4 5 3 3 2 3" xfId="12989"/>
    <cellStyle name="Normal 4 5 3 3 2 3 2" xfId="30080"/>
    <cellStyle name="Normal 4 5 3 3 2 4" xfId="25022"/>
    <cellStyle name="Normal 4 5 3 3 3" xfId="4353"/>
    <cellStyle name="Normal 4 5 3 3 3 2" xfId="16554"/>
    <cellStyle name="Normal 4 5 3 3 3 2 2" xfId="32775"/>
    <cellStyle name="Normal 4 5 3 3 3 3" xfId="26520"/>
    <cellStyle name="Normal 4 5 3 3 4" xfId="18790"/>
    <cellStyle name="Normal 4 5 3 3 4 2" xfId="35011"/>
    <cellStyle name="Normal 4 5 3 3 5" xfId="8396"/>
    <cellStyle name="Normal 4 5 3 3 5 2" xfId="28327"/>
    <cellStyle name="Normal 4 5 3 3 6" xfId="22026"/>
    <cellStyle name="Normal 4 5 3 3 6 2" xfId="38238"/>
    <cellStyle name="Normal 4 5 3 3 7" xfId="23524"/>
    <cellStyle name="Normal 4 5 3 4" xfId="1706"/>
    <cellStyle name="Normal 4 5 3 4 2" xfId="3205"/>
    <cellStyle name="Normal 4 5 3 4 2 2" xfId="20544"/>
    <cellStyle name="Normal 4 5 3 4 2 2 2" xfId="36765"/>
    <cellStyle name="Normal 4 5 3 4 2 3" xfId="25373"/>
    <cellStyle name="Normal 4 5 3 4 3" xfId="4704"/>
    <cellStyle name="Normal 4 5 3 4 3 2" xfId="26871"/>
    <cellStyle name="Normal 4 5 3 4 4" xfId="12986"/>
    <cellStyle name="Normal 4 5 3 4 4 2" xfId="30077"/>
    <cellStyle name="Normal 4 5 3 4 5" xfId="22377"/>
    <cellStyle name="Normal 4 5 3 4 5 2" xfId="38589"/>
    <cellStyle name="Normal 4 5 3 4 6" xfId="23875"/>
    <cellStyle name="Normal 4 5 3 5" xfId="2152"/>
    <cellStyle name="Normal 4 5 3 5 2" xfId="14969"/>
    <cellStyle name="Normal 4 5 3 5 2 2" xfId="31191"/>
    <cellStyle name="Normal 4 5 3 5 3" xfId="24320"/>
    <cellStyle name="Normal 4 5 3 6" xfId="3651"/>
    <cellStyle name="Normal 4 5 3 6 2" xfId="18787"/>
    <cellStyle name="Normal 4 5 3 6 2 2" xfId="35008"/>
    <cellStyle name="Normal 4 5 3 6 3" xfId="25818"/>
    <cellStyle name="Normal 4 5 3 7" xfId="8393"/>
    <cellStyle name="Normal 4 5 3 7 2" xfId="28324"/>
    <cellStyle name="Normal 4 5 3 8" xfId="21324"/>
    <cellStyle name="Normal 4 5 3 8 2" xfId="37536"/>
    <cellStyle name="Normal 4 5 3 9" xfId="22822"/>
    <cellStyle name="Normal 4 5 4" xfId="770"/>
    <cellStyle name="Normal 4 5 4 2" xfId="2269"/>
    <cellStyle name="Normal 4 5 4 2 2" xfId="12991"/>
    <cellStyle name="Normal 4 5 4 2 2 2" xfId="20549"/>
    <cellStyle name="Normal 4 5 4 2 2 2 2" xfId="36770"/>
    <cellStyle name="Normal 4 5 4 2 2 3" xfId="30082"/>
    <cellStyle name="Normal 4 5 4 2 3" xfId="16818"/>
    <cellStyle name="Normal 4 5 4 2 3 2" xfId="33039"/>
    <cellStyle name="Normal 4 5 4 2 4" xfId="18792"/>
    <cellStyle name="Normal 4 5 4 2 4 2" xfId="35013"/>
    <cellStyle name="Normal 4 5 4 2 5" xfId="8398"/>
    <cellStyle name="Normal 4 5 4 2 5 2" xfId="28329"/>
    <cellStyle name="Normal 4 5 4 2 6" xfId="24437"/>
    <cellStyle name="Normal 4 5 4 3" xfId="3768"/>
    <cellStyle name="Normal 4 5 4 3 2" xfId="20548"/>
    <cellStyle name="Normal 4 5 4 3 2 2" xfId="36769"/>
    <cellStyle name="Normal 4 5 4 3 3" xfId="12990"/>
    <cellStyle name="Normal 4 5 4 3 3 2" xfId="30081"/>
    <cellStyle name="Normal 4 5 4 3 4" xfId="25935"/>
    <cellStyle name="Normal 4 5 4 4" xfId="15233"/>
    <cellStyle name="Normal 4 5 4 4 2" xfId="31455"/>
    <cellStyle name="Normal 4 5 4 5" xfId="18791"/>
    <cellStyle name="Normal 4 5 4 5 2" xfId="35012"/>
    <cellStyle name="Normal 4 5 4 6" xfId="8397"/>
    <cellStyle name="Normal 4 5 4 6 2" xfId="28328"/>
    <cellStyle name="Normal 4 5 4 7" xfId="21441"/>
    <cellStyle name="Normal 4 5 4 7 2" xfId="37653"/>
    <cellStyle name="Normal 4 5 4 8" xfId="22939"/>
    <cellStyle name="Normal 4 5 5" xfId="1121"/>
    <cellStyle name="Normal 4 5 5 2" xfId="2620"/>
    <cellStyle name="Normal 4 5 5 2 2" xfId="20550"/>
    <cellStyle name="Normal 4 5 5 2 2 2" xfId="36771"/>
    <cellStyle name="Normal 4 5 5 2 3" xfId="12992"/>
    <cellStyle name="Normal 4 5 5 2 3 2" xfId="30083"/>
    <cellStyle name="Normal 4 5 5 2 4" xfId="24788"/>
    <cellStyle name="Normal 4 5 5 3" xfId="4119"/>
    <cellStyle name="Normal 4 5 5 3 2" xfId="16026"/>
    <cellStyle name="Normal 4 5 5 3 2 2" xfId="32247"/>
    <cellStyle name="Normal 4 5 5 3 3" xfId="26286"/>
    <cellStyle name="Normal 4 5 5 4" xfId="18793"/>
    <cellStyle name="Normal 4 5 5 4 2" xfId="35014"/>
    <cellStyle name="Normal 4 5 5 5" xfId="8399"/>
    <cellStyle name="Normal 4 5 5 5 2" xfId="28330"/>
    <cellStyle name="Normal 4 5 5 6" xfId="21792"/>
    <cellStyle name="Normal 4 5 5 6 2" xfId="38004"/>
    <cellStyle name="Normal 4 5 5 7" xfId="23290"/>
    <cellStyle name="Normal 4 5 6" xfId="1472"/>
    <cellStyle name="Normal 4 5 6 2" xfId="2971"/>
    <cellStyle name="Normal 4 5 6 2 2" xfId="20539"/>
    <cellStyle name="Normal 4 5 6 2 2 2" xfId="36760"/>
    <cellStyle name="Normal 4 5 6 2 3" xfId="25139"/>
    <cellStyle name="Normal 4 5 6 3" xfId="4470"/>
    <cellStyle name="Normal 4 5 6 3 2" xfId="26637"/>
    <cellStyle name="Normal 4 5 6 4" xfId="12981"/>
    <cellStyle name="Normal 4 5 6 4 2" xfId="30072"/>
    <cellStyle name="Normal 4 5 6 5" xfId="22143"/>
    <cellStyle name="Normal 4 5 6 5 2" xfId="38355"/>
    <cellStyle name="Normal 4 5 6 6" xfId="23641"/>
    <cellStyle name="Normal 4 5 7" xfId="1918"/>
    <cellStyle name="Normal 4 5 7 2" xfId="14441"/>
    <cellStyle name="Normal 4 5 7 2 2" xfId="30663"/>
    <cellStyle name="Normal 4 5 7 3" xfId="24086"/>
    <cellStyle name="Normal 4 5 8" xfId="3417"/>
    <cellStyle name="Normal 4 5 8 2" xfId="18782"/>
    <cellStyle name="Normal 4 5 8 2 2" xfId="35003"/>
    <cellStyle name="Normal 4 5 8 3" xfId="25584"/>
    <cellStyle name="Normal 4 5 9" xfId="8388"/>
    <cellStyle name="Normal 4 5 9 2" xfId="28319"/>
    <cellStyle name="Normal 4 6" xfId="426"/>
    <cellStyle name="Normal 4 6 10" xfId="21099"/>
    <cellStyle name="Normal 4 6 10 2" xfId="37311"/>
    <cellStyle name="Normal 4 6 11" xfId="22597"/>
    <cellStyle name="Normal 4 6 2" xfId="544"/>
    <cellStyle name="Normal 4 6 2 2" xfId="896"/>
    <cellStyle name="Normal 4 6 2 2 2" xfId="2395"/>
    <cellStyle name="Normal 4 6 2 2 2 2" xfId="20553"/>
    <cellStyle name="Normal 4 6 2 2 2 2 2" xfId="36774"/>
    <cellStyle name="Normal 4 6 2 2 2 3" xfId="12995"/>
    <cellStyle name="Normal 4 6 2 2 2 3 2" xfId="30086"/>
    <cellStyle name="Normal 4 6 2 2 2 4" xfId="24563"/>
    <cellStyle name="Normal 4 6 2 2 3" xfId="3894"/>
    <cellStyle name="Normal 4 6 2 2 3 2" xfId="16950"/>
    <cellStyle name="Normal 4 6 2 2 3 2 2" xfId="33171"/>
    <cellStyle name="Normal 4 6 2 2 3 3" xfId="26061"/>
    <cellStyle name="Normal 4 6 2 2 4" xfId="18796"/>
    <cellStyle name="Normal 4 6 2 2 4 2" xfId="35017"/>
    <cellStyle name="Normal 4 6 2 2 5" xfId="8402"/>
    <cellStyle name="Normal 4 6 2 2 5 2" xfId="28333"/>
    <cellStyle name="Normal 4 6 2 2 6" xfId="21567"/>
    <cellStyle name="Normal 4 6 2 2 6 2" xfId="37779"/>
    <cellStyle name="Normal 4 6 2 2 7" xfId="23065"/>
    <cellStyle name="Normal 4 6 2 3" xfId="1247"/>
    <cellStyle name="Normal 4 6 2 3 2" xfId="2746"/>
    <cellStyle name="Normal 4 6 2 3 2 2" xfId="20552"/>
    <cellStyle name="Normal 4 6 2 3 2 2 2" xfId="36773"/>
    <cellStyle name="Normal 4 6 2 3 2 3" xfId="24914"/>
    <cellStyle name="Normal 4 6 2 3 3" xfId="4245"/>
    <cellStyle name="Normal 4 6 2 3 3 2" xfId="26412"/>
    <cellStyle name="Normal 4 6 2 3 4" xfId="12994"/>
    <cellStyle name="Normal 4 6 2 3 4 2" xfId="30085"/>
    <cellStyle name="Normal 4 6 2 3 5" xfId="21918"/>
    <cellStyle name="Normal 4 6 2 3 5 2" xfId="38130"/>
    <cellStyle name="Normal 4 6 2 3 6" xfId="23416"/>
    <cellStyle name="Normal 4 6 2 4" xfId="1598"/>
    <cellStyle name="Normal 4 6 2 4 2" xfId="3097"/>
    <cellStyle name="Normal 4 6 2 4 2 2" xfId="25265"/>
    <cellStyle name="Normal 4 6 2 4 3" xfId="4596"/>
    <cellStyle name="Normal 4 6 2 4 3 2" xfId="26763"/>
    <cellStyle name="Normal 4 6 2 4 4" xfId="15365"/>
    <cellStyle name="Normal 4 6 2 4 4 2" xfId="31587"/>
    <cellStyle name="Normal 4 6 2 4 5" xfId="22269"/>
    <cellStyle name="Normal 4 6 2 4 5 2" xfId="38481"/>
    <cellStyle name="Normal 4 6 2 4 6" xfId="23767"/>
    <cellStyle name="Normal 4 6 2 5" xfId="2044"/>
    <cellStyle name="Normal 4 6 2 5 2" xfId="18795"/>
    <cellStyle name="Normal 4 6 2 5 2 2" xfId="35016"/>
    <cellStyle name="Normal 4 6 2 5 3" xfId="24212"/>
    <cellStyle name="Normal 4 6 2 6" xfId="3543"/>
    <cellStyle name="Normal 4 6 2 6 2" xfId="25710"/>
    <cellStyle name="Normal 4 6 2 7" xfId="8401"/>
    <cellStyle name="Normal 4 6 2 7 2" xfId="28332"/>
    <cellStyle name="Normal 4 6 2 8" xfId="21216"/>
    <cellStyle name="Normal 4 6 2 8 2" xfId="37428"/>
    <cellStyle name="Normal 4 6 2 9" xfId="22714"/>
    <cellStyle name="Normal 4 6 3" xfId="662"/>
    <cellStyle name="Normal 4 6 3 2" xfId="1013"/>
    <cellStyle name="Normal 4 6 3 2 2" xfId="2512"/>
    <cellStyle name="Normal 4 6 3 2 2 2" xfId="20554"/>
    <cellStyle name="Normal 4 6 3 2 2 2 2" xfId="36775"/>
    <cellStyle name="Normal 4 6 3 2 2 3" xfId="24680"/>
    <cellStyle name="Normal 4 6 3 2 3" xfId="4011"/>
    <cellStyle name="Normal 4 6 3 2 3 2" xfId="26178"/>
    <cellStyle name="Normal 4 6 3 2 4" xfId="12996"/>
    <cellStyle name="Normal 4 6 3 2 4 2" xfId="30087"/>
    <cellStyle name="Normal 4 6 3 2 5" xfId="21684"/>
    <cellStyle name="Normal 4 6 3 2 5 2" xfId="37896"/>
    <cellStyle name="Normal 4 6 3 2 6" xfId="23182"/>
    <cellStyle name="Normal 4 6 3 3" xfId="1364"/>
    <cellStyle name="Normal 4 6 3 3 2" xfId="2863"/>
    <cellStyle name="Normal 4 6 3 3 2 2" xfId="25031"/>
    <cellStyle name="Normal 4 6 3 3 3" xfId="4362"/>
    <cellStyle name="Normal 4 6 3 3 3 2" xfId="26529"/>
    <cellStyle name="Normal 4 6 3 3 4" xfId="16158"/>
    <cellStyle name="Normal 4 6 3 3 4 2" xfId="32379"/>
    <cellStyle name="Normal 4 6 3 3 5" xfId="22035"/>
    <cellStyle name="Normal 4 6 3 3 5 2" xfId="38247"/>
    <cellStyle name="Normal 4 6 3 3 6" xfId="23533"/>
    <cellStyle name="Normal 4 6 3 4" xfId="1715"/>
    <cellStyle name="Normal 4 6 3 4 2" xfId="3214"/>
    <cellStyle name="Normal 4 6 3 4 2 2" xfId="25382"/>
    <cellStyle name="Normal 4 6 3 4 3" xfId="4713"/>
    <cellStyle name="Normal 4 6 3 4 3 2" xfId="26880"/>
    <cellStyle name="Normal 4 6 3 4 4" xfId="18797"/>
    <cellStyle name="Normal 4 6 3 4 4 2" xfId="35018"/>
    <cellStyle name="Normal 4 6 3 4 5" xfId="22386"/>
    <cellStyle name="Normal 4 6 3 4 5 2" xfId="38598"/>
    <cellStyle name="Normal 4 6 3 4 6" xfId="23884"/>
    <cellStyle name="Normal 4 6 3 5" xfId="2161"/>
    <cellStyle name="Normal 4 6 3 5 2" xfId="24329"/>
    <cellStyle name="Normal 4 6 3 6" xfId="3660"/>
    <cellStyle name="Normal 4 6 3 6 2" xfId="25827"/>
    <cellStyle name="Normal 4 6 3 7" xfId="8403"/>
    <cellStyle name="Normal 4 6 3 7 2" xfId="28334"/>
    <cellStyle name="Normal 4 6 3 8" xfId="21333"/>
    <cellStyle name="Normal 4 6 3 8 2" xfId="37545"/>
    <cellStyle name="Normal 4 6 3 9" xfId="22831"/>
    <cellStyle name="Normal 4 6 4" xfId="779"/>
    <cellStyle name="Normal 4 6 4 2" xfId="2278"/>
    <cellStyle name="Normal 4 6 4 2 2" xfId="20551"/>
    <cellStyle name="Normal 4 6 4 2 2 2" xfId="36772"/>
    <cellStyle name="Normal 4 6 4 2 3" xfId="24446"/>
    <cellStyle name="Normal 4 6 4 3" xfId="3777"/>
    <cellStyle name="Normal 4 6 4 3 2" xfId="25944"/>
    <cellStyle name="Normal 4 6 4 4" xfId="12993"/>
    <cellStyle name="Normal 4 6 4 4 2" xfId="30084"/>
    <cellStyle name="Normal 4 6 4 5" xfId="21450"/>
    <cellStyle name="Normal 4 6 4 5 2" xfId="37662"/>
    <cellStyle name="Normal 4 6 4 6" xfId="22948"/>
    <cellStyle name="Normal 4 6 5" xfId="1130"/>
    <cellStyle name="Normal 4 6 5 2" xfId="2629"/>
    <cellStyle name="Normal 4 6 5 2 2" xfId="24797"/>
    <cellStyle name="Normal 4 6 5 3" xfId="4128"/>
    <cellStyle name="Normal 4 6 5 3 2" xfId="26295"/>
    <cellStyle name="Normal 4 6 5 4" xfId="14573"/>
    <cellStyle name="Normal 4 6 5 4 2" xfId="30795"/>
    <cellStyle name="Normal 4 6 5 5" xfId="21801"/>
    <cellStyle name="Normal 4 6 5 5 2" xfId="38013"/>
    <cellStyle name="Normal 4 6 5 6" xfId="23299"/>
    <cellStyle name="Normal 4 6 6" xfId="1481"/>
    <cellStyle name="Normal 4 6 6 2" xfId="2980"/>
    <cellStyle name="Normal 4 6 6 2 2" xfId="25148"/>
    <cellStyle name="Normal 4 6 6 3" xfId="4479"/>
    <cellStyle name="Normal 4 6 6 3 2" xfId="26646"/>
    <cellStyle name="Normal 4 6 6 4" xfId="18794"/>
    <cellStyle name="Normal 4 6 6 4 2" xfId="35015"/>
    <cellStyle name="Normal 4 6 6 5" xfId="22152"/>
    <cellStyle name="Normal 4 6 6 5 2" xfId="38364"/>
    <cellStyle name="Normal 4 6 6 6" xfId="23650"/>
    <cellStyle name="Normal 4 6 7" xfId="1927"/>
    <cellStyle name="Normal 4 6 7 2" xfId="24095"/>
    <cellStyle name="Normal 4 6 8" xfId="3426"/>
    <cellStyle name="Normal 4 6 8 2" xfId="25593"/>
    <cellStyle name="Normal 4 6 9" xfId="8400"/>
    <cellStyle name="Normal 4 6 9 2" xfId="28331"/>
    <cellStyle name="Normal 4 7" xfId="438"/>
    <cellStyle name="Normal 4 7 10" xfId="21111"/>
    <cellStyle name="Normal 4 7 10 2" xfId="37323"/>
    <cellStyle name="Normal 4 7 11" xfId="22609"/>
    <cellStyle name="Normal 4 7 2" xfId="556"/>
    <cellStyle name="Normal 4 7 2 2" xfId="908"/>
    <cellStyle name="Normal 4 7 2 2 2" xfId="2407"/>
    <cellStyle name="Normal 4 7 2 2 2 2" xfId="20557"/>
    <cellStyle name="Normal 4 7 2 2 2 2 2" xfId="36778"/>
    <cellStyle name="Normal 4 7 2 2 2 3" xfId="12999"/>
    <cellStyle name="Normal 4 7 2 2 2 3 2" xfId="30090"/>
    <cellStyle name="Normal 4 7 2 2 2 4" xfId="24575"/>
    <cellStyle name="Normal 4 7 2 2 3" xfId="3906"/>
    <cellStyle name="Normal 4 7 2 2 3 2" xfId="17214"/>
    <cellStyle name="Normal 4 7 2 2 3 2 2" xfId="33435"/>
    <cellStyle name="Normal 4 7 2 2 3 3" xfId="26073"/>
    <cellStyle name="Normal 4 7 2 2 4" xfId="18800"/>
    <cellStyle name="Normal 4 7 2 2 4 2" xfId="35021"/>
    <cellStyle name="Normal 4 7 2 2 5" xfId="8406"/>
    <cellStyle name="Normal 4 7 2 2 5 2" xfId="28337"/>
    <cellStyle name="Normal 4 7 2 2 6" xfId="21579"/>
    <cellStyle name="Normal 4 7 2 2 6 2" xfId="37791"/>
    <cellStyle name="Normal 4 7 2 2 7" xfId="23077"/>
    <cellStyle name="Normal 4 7 2 3" xfId="1259"/>
    <cellStyle name="Normal 4 7 2 3 2" xfId="2758"/>
    <cellStyle name="Normal 4 7 2 3 2 2" xfId="20556"/>
    <cellStyle name="Normal 4 7 2 3 2 2 2" xfId="36777"/>
    <cellStyle name="Normal 4 7 2 3 2 3" xfId="24926"/>
    <cellStyle name="Normal 4 7 2 3 3" xfId="4257"/>
    <cellStyle name="Normal 4 7 2 3 3 2" xfId="26424"/>
    <cellStyle name="Normal 4 7 2 3 4" xfId="12998"/>
    <cellStyle name="Normal 4 7 2 3 4 2" xfId="30089"/>
    <cellStyle name="Normal 4 7 2 3 5" xfId="21930"/>
    <cellStyle name="Normal 4 7 2 3 5 2" xfId="38142"/>
    <cellStyle name="Normal 4 7 2 3 6" xfId="23428"/>
    <cellStyle name="Normal 4 7 2 4" xfId="1610"/>
    <cellStyle name="Normal 4 7 2 4 2" xfId="3109"/>
    <cellStyle name="Normal 4 7 2 4 2 2" xfId="25277"/>
    <cellStyle name="Normal 4 7 2 4 3" xfId="4608"/>
    <cellStyle name="Normal 4 7 2 4 3 2" xfId="26775"/>
    <cellStyle name="Normal 4 7 2 4 4" xfId="15629"/>
    <cellStyle name="Normal 4 7 2 4 4 2" xfId="31851"/>
    <cellStyle name="Normal 4 7 2 4 5" xfId="22281"/>
    <cellStyle name="Normal 4 7 2 4 5 2" xfId="38493"/>
    <cellStyle name="Normal 4 7 2 4 6" xfId="23779"/>
    <cellStyle name="Normal 4 7 2 5" xfId="2056"/>
    <cellStyle name="Normal 4 7 2 5 2" xfId="18799"/>
    <cellStyle name="Normal 4 7 2 5 2 2" xfId="35020"/>
    <cellStyle name="Normal 4 7 2 5 3" xfId="24224"/>
    <cellStyle name="Normal 4 7 2 6" xfId="3555"/>
    <cellStyle name="Normal 4 7 2 6 2" xfId="25722"/>
    <cellStyle name="Normal 4 7 2 7" xfId="8405"/>
    <cellStyle name="Normal 4 7 2 7 2" xfId="28336"/>
    <cellStyle name="Normal 4 7 2 8" xfId="21228"/>
    <cellStyle name="Normal 4 7 2 8 2" xfId="37440"/>
    <cellStyle name="Normal 4 7 2 9" xfId="22726"/>
    <cellStyle name="Normal 4 7 3" xfId="674"/>
    <cellStyle name="Normal 4 7 3 2" xfId="1025"/>
    <cellStyle name="Normal 4 7 3 2 2" xfId="2524"/>
    <cellStyle name="Normal 4 7 3 2 2 2" xfId="20558"/>
    <cellStyle name="Normal 4 7 3 2 2 2 2" xfId="36779"/>
    <cellStyle name="Normal 4 7 3 2 2 3" xfId="24692"/>
    <cellStyle name="Normal 4 7 3 2 3" xfId="4023"/>
    <cellStyle name="Normal 4 7 3 2 3 2" xfId="26190"/>
    <cellStyle name="Normal 4 7 3 2 4" xfId="13000"/>
    <cellStyle name="Normal 4 7 3 2 4 2" xfId="30091"/>
    <cellStyle name="Normal 4 7 3 2 5" xfId="21696"/>
    <cellStyle name="Normal 4 7 3 2 5 2" xfId="37908"/>
    <cellStyle name="Normal 4 7 3 2 6" xfId="23194"/>
    <cellStyle name="Normal 4 7 3 3" xfId="1376"/>
    <cellStyle name="Normal 4 7 3 3 2" xfId="2875"/>
    <cellStyle name="Normal 4 7 3 3 2 2" xfId="25043"/>
    <cellStyle name="Normal 4 7 3 3 3" xfId="4374"/>
    <cellStyle name="Normal 4 7 3 3 3 2" xfId="26541"/>
    <cellStyle name="Normal 4 7 3 3 4" xfId="16422"/>
    <cellStyle name="Normal 4 7 3 3 4 2" xfId="32643"/>
    <cellStyle name="Normal 4 7 3 3 5" xfId="22047"/>
    <cellStyle name="Normal 4 7 3 3 5 2" xfId="38259"/>
    <cellStyle name="Normal 4 7 3 3 6" xfId="23545"/>
    <cellStyle name="Normal 4 7 3 4" xfId="1727"/>
    <cellStyle name="Normal 4 7 3 4 2" xfId="3226"/>
    <cellStyle name="Normal 4 7 3 4 2 2" xfId="25394"/>
    <cellStyle name="Normal 4 7 3 4 3" xfId="4725"/>
    <cellStyle name="Normal 4 7 3 4 3 2" xfId="26892"/>
    <cellStyle name="Normal 4 7 3 4 4" xfId="18801"/>
    <cellStyle name="Normal 4 7 3 4 4 2" xfId="35022"/>
    <cellStyle name="Normal 4 7 3 4 5" xfId="22398"/>
    <cellStyle name="Normal 4 7 3 4 5 2" xfId="38610"/>
    <cellStyle name="Normal 4 7 3 4 6" xfId="23896"/>
    <cellStyle name="Normal 4 7 3 5" xfId="2173"/>
    <cellStyle name="Normal 4 7 3 5 2" xfId="24341"/>
    <cellStyle name="Normal 4 7 3 6" xfId="3672"/>
    <cellStyle name="Normal 4 7 3 6 2" xfId="25839"/>
    <cellStyle name="Normal 4 7 3 7" xfId="8407"/>
    <cellStyle name="Normal 4 7 3 7 2" xfId="28338"/>
    <cellStyle name="Normal 4 7 3 8" xfId="21345"/>
    <cellStyle name="Normal 4 7 3 8 2" xfId="37557"/>
    <cellStyle name="Normal 4 7 3 9" xfId="22843"/>
    <cellStyle name="Normal 4 7 4" xfId="791"/>
    <cellStyle name="Normal 4 7 4 2" xfId="2290"/>
    <cellStyle name="Normal 4 7 4 2 2" xfId="20555"/>
    <cellStyle name="Normal 4 7 4 2 2 2" xfId="36776"/>
    <cellStyle name="Normal 4 7 4 2 3" xfId="24458"/>
    <cellStyle name="Normal 4 7 4 3" xfId="3789"/>
    <cellStyle name="Normal 4 7 4 3 2" xfId="25956"/>
    <cellStyle name="Normal 4 7 4 4" xfId="12997"/>
    <cellStyle name="Normal 4 7 4 4 2" xfId="30088"/>
    <cellStyle name="Normal 4 7 4 5" xfId="21462"/>
    <cellStyle name="Normal 4 7 4 5 2" xfId="37674"/>
    <cellStyle name="Normal 4 7 4 6" xfId="22960"/>
    <cellStyle name="Normal 4 7 5" xfId="1142"/>
    <cellStyle name="Normal 4 7 5 2" xfId="2641"/>
    <cellStyle name="Normal 4 7 5 2 2" xfId="24809"/>
    <cellStyle name="Normal 4 7 5 3" xfId="4140"/>
    <cellStyle name="Normal 4 7 5 3 2" xfId="26307"/>
    <cellStyle name="Normal 4 7 5 4" xfId="14837"/>
    <cellStyle name="Normal 4 7 5 4 2" xfId="31059"/>
    <cellStyle name="Normal 4 7 5 5" xfId="21813"/>
    <cellStyle name="Normal 4 7 5 5 2" xfId="38025"/>
    <cellStyle name="Normal 4 7 5 6" xfId="23311"/>
    <cellStyle name="Normal 4 7 6" xfId="1493"/>
    <cellStyle name="Normal 4 7 6 2" xfId="2992"/>
    <cellStyle name="Normal 4 7 6 2 2" xfId="25160"/>
    <cellStyle name="Normal 4 7 6 3" xfId="4491"/>
    <cellStyle name="Normal 4 7 6 3 2" xfId="26658"/>
    <cellStyle name="Normal 4 7 6 4" xfId="18798"/>
    <cellStyle name="Normal 4 7 6 4 2" xfId="35019"/>
    <cellStyle name="Normal 4 7 6 5" xfId="22164"/>
    <cellStyle name="Normal 4 7 6 5 2" xfId="38376"/>
    <cellStyle name="Normal 4 7 6 6" xfId="23662"/>
    <cellStyle name="Normal 4 7 7" xfId="1939"/>
    <cellStyle name="Normal 4 7 7 2" xfId="24107"/>
    <cellStyle name="Normal 4 7 8" xfId="3438"/>
    <cellStyle name="Normal 4 7 8 2" xfId="25605"/>
    <cellStyle name="Normal 4 7 9" xfId="8404"/>
    <cellStyle name="Normal 4 7 9 2" xfId="28335"/>
    <cellStyle name="Normal 4 8" xfId="443"/>
    <cellStyle name="Normal 4 8 10" xfId="21116"/>
    <cellStyle name="Normal 4 8 10 2" xfId="37328"/>
    <cellStyle name="Normal 4 8 11" xfId="22614"/>
    <cellStyle name="Normal 4 8 2" xfId="561"/>
    <cellStyle name="Normal 4 8 2 2" xfId="913"/>
    <cellStyle name="Normal 4 8 2 2 2" xfId="2412"/>
    <cellStyle name="Normal 4 8 2 2 2 2" xfId="20560"/>
    <cellStyle name="Normal 4 8 2 2 2 2 2" xfId="36781"/>
    <cellStyle name="Normal 4 8 2 2 2 3" xfId="24580"/>
    <cellStyle name="Normal 4 8 2 2 3" xfId="3911"/>
    <cellStyle name="Normal 4 8 2 2 3 2" xfId="26078"/>
    <cellStyle name="Normal 4 8 2 2 4" xfId="13002"/>
    <cellStyle name="Normal 4 8 2 2 4 2" xfId="30093"/>
    <cellStyle name="Normal 4 8 2 2 5" xfId="21584"/>
    <cellStyle name="Normal 4 8 2 2 5 2" xfId="37796"/>
    <cellStyle name="Normal 4 8 2 2 6" xfId="23082"/>
    <cellStyle name="Normal 4 8 2 3" xfId="1264"/>
    <cellStyle name="Normal 4 8 2 3 2" xfId="2763"/>
    <cellStyle name="Normal 4 8 2 3 2 2" xfId="24931"/>
    <cellStyle name="Normal 4 8 2 3 3" xfId="4262"/>
    <cellStyle name="Normal 4 8 2 3 3 2" xfId="26429"/>
    <cellStyle name="Normal 4 8 2 3 4" xfId="16686"/>
    <cellStyle name="Normal 4 8 2 3 4 2" xfId="32907"/>
    <cellStyle name="Normal 4 8 2 3 5" xfId="21935"/>
    <cellStyle name="Normal 4 8 2 3 5 2" xfId="38147"/>
    <cellStyle name="Normal 4 8 2 3 6" xfId="23433"/>
    <cellStyle name="Normal 4 8 2 4" xfId="1615"/>
    <cellStyle name="Normal 4 8 2 4 2" xfId="3114"/>
    <cellStyle name="Normal 4 8 2 4 2 2" xfId="25282"/>
    <cellStyle name="Normal 4 8 2 4 3" xfId="4613"/>
    <cellStyle name="Normal 4 8 2 4 3 2" xfId="26780"/>
    <cellStyle name="Normal 4 8 2 4 4" xfId="18803"/>
    <cellStyle name="Normal 4 8 2 4 4 2" xfId="35024"/>
    <cellStyle name="Normal 4 8 2 4 5" xfId="22286"/>
    <cellStyle name="Normal 4 8 2 4 5 2" xfId="38498"/>
    <cellStyle name="Normal 4 8 2 4 6" xfId="23784"/>
    <cellStyle name="Normal 4 8 2 5" xfId="2061"/>
    <cellStyle name="Normal 4 8 2 5 2" xfId="24229"/>
    <cellStyle name="Normal 4 8 2 6" xfId="3560"/>
    <cellStyle name="Normal 4 8 2 6 2" xfId="25727"/>
    <cellStyle name="Normal 4 8 2 7" xfId="8409"/>
    <cellStyle name="Normal 4 8 2 7 2" xfId="28340"/>
    <cellStyle name="Normal 4 8 2 8" xfId="21233"/>
    <cellStyle name="Normal 4 8 2 8 2" xfId="37445"/>
    <cellStyle name="Normal 4 8 2 9" xfId="22731"/>
    <cellStyle name="Normal 4 8 3" xfId="679"/>
    <cellStyle name="Normal 4 8 3 2" xfId="1030"/>
    <cellStyle name="Normal 4 8 3 2 2" xfId="2529"/>
    <cellStyle name="Normal 4 8 3 2 2 2" xfId="24697"/>
    <cellStyle name="Normal 4 8 3 2 3" xfId="4028"/>
    <cellStyle name="Normal 4 8 3 2 3 2" xfId="26195"/>
    <cellStyle name="Normal 4 8 3 2 4" xfId="20559"/>
    <cellStyle name="Normal 4 8 3 2 4 2" xfId="36780"/>
    <cellStyle name="Normal 4 8 3 2 5" xfId="21701"/>
    <cellStyle name="Normal 4 8 3 2 5 2" xfId="37913"/>
    <cellStyle name="Normal 4 8 3 2 6" xfId="23199"/>
    <cellStyle name="Normal 4 8 3 3" xfId="1381"/>
    <cellStyle name="Normal 4 8 3 3 2" xfId="2880"/>
    <cellStyle name="Normal 4 8 3 3 2 2" xfId="25048"/>
    <cellStyle name="Normal 4 8 3 3 3" xfId="4379"/>
    <cellStyle name="Normal 4 8 3 3 3 2" xfId="26546"/>
    <cellStyle name="Normal 4 8 3 3 4" xfId="22052"/>
    <cellStyle name="Normal 4 8 3 3 4 2" xfId="38264"/>
    <cellStyle name="Normal 4 8 3 3 5" xfId="23550"/>
    <cellStyle name="Normal 4 8 3 4" xfId="1732"/>
    <cellStyle name="Normal 4 8 3 4 2" xfId="3231"/>
    <cellStyle name="Normal 4 8 3 4 2 2" xfId="25399"/>
    <cellStyle name="Normal 4 8 3 4 3" xfId="4730"/>
    <cellStyle name="Normal 4 8 3 4 3 2" xfId="26897"/>
    <cellStyle name="Normal 4 8 3 4 4" xfId="22403"/>
    <cellStyle name="Normal 4 8 3 4 4 2" xfId="38615"/>
    <cellStyle name="Normal 4 8 3 4 5" xfId="23901"/>
    <cellStyle name="Normal 4 8 3 5" xfId="2178"/>
    <cellStyle name="Normal 4 8 3 5 2" xfId="24346"/>
    <cellStyle name="Normal 4 8 3 6" xfId="3677"/>
    <cellStyle name="Normal 4 8 3 6 2" xfId="25844"/>
    <cellStyle name="Normal 4 8 3 7" xfId="13001"/>
    <cellStyle name="Normal 4 8 3 7 2" xfId="30092"/>
    <cellStyle name="Normal 4 8 3 8" xfId="21350"/>
    <cellStyle name="Normal 4 8 3 8 2" xfId="37562"/>
    <cellStyle name="Normal 4 8 3 9" xfId="22848"/>
    <cellStyle name="Normal 4 8 4" xfId="796"/>
    <cellStyle name="Normal 4 8 4 2" xfId="2295"/>
    <cellStyle name="Normal 4 8 4 2 2" xfId="24463"/>
    <cellStyle name="Normal 4 8 4 3" xfId="3794"/>
    <cellStyle name="Normal 4 8 4 3 2" xfId="25961"/>
    <cellStyle name="Normal 4 8 4 4" xfId="15101"/>
    <cellStyle name="Normal 4 8 4 4 2" xfId="31323"/>
    <cellStyle name="Normal 4 8 4 5" xfId="21467"/>
    <cellStyle name="Normal 4 8 4 5 2" xfId="37679"/>
    <cellStyle name="Normal 4 8 4 6" xfId="22965"/>
    <cellStyle name="Normal 4 8 5" xfId="1147"/>
    <cellStyle name="Normal 4 8 5 2" xfId="2646"/>
    <cellStyle name="Normal 4 8 5 2 2" xfId="24814"/>
    <cellStyle name="Normal 4 8 5 3" xfId="4145"/>
    <cellStyle name="Normal 4 8 5 3 2" xfId="26312"/>
    <cellStyle name="Normal 4 8 5 4" xfId="18802"/>
    <cellStyle name="Normal 4 8 5 4 2" xfId="35023"/>
    <cellStyle name="Normal 4 8 5 5" xfId="21818"/>
    <cellStyle name="Normal 4 8 5 5 2" xfId="38030"/>
    <cellStyle name="Normal 4 8 5 6" xfId="23316"/>
    <cellStyle name="Normal 4 8 6" xfId="1498"/>
    <cellStyle name="Normal 4 8 6 2" xfId="2997"/>
    <cellStyle name="Normal 4 8 6 2 2" xfId="25165"/>
    <cellStyle name="Normal 4 8 6 3" xfId="4496"/>
    <cellStyle name="Normal 4 8 6 3 2" xfId="26663"/>
    <cellStyle name="Normal 4 8 6 4" xfId="22169"/>
    <cellStyle name="Normal 4 8 6 4 2" xfId="38381"/>
    <cellStyle name="Normal 4 8 6 5" xfId="23667"/>
    <cellStyle name="Normal 4 8 7" xfId="1944"/>
    <cellStyle name="Normal 4 8 7 2" xfId="24112"/>
    <cellStyle name="Normal 4 8 8" xfId="3443"/>
    <cellStyle name="Normal 4 8 8 2" xfId="25610"/>
    <cellStyle name="Normal 4 8 9" xfId="8408"/>
    <cellStyle name="Normal 4 8 9 2" xfId="28339"/>
    <cellStyle name="Normal 4 9" xfId="465"/>
    <cellStyle name="Normal 4 9 10" xfId="21138"/>
    <cellStyle name="Normal 4 9 10 2" xfId="37350"/>
    <cellStyle name="Normal 4 9 11" xfId="22636"/>
    <cellStyle name="Normal 4 9 2" xfId="583"/>
    <cellStyle name="Normal 4 9 2 2" xfId="935"/>
    <cellStyle name="Normal 4 9 2 2 2" xfId="2434"/>
    <cellStyle name="Normal 4 9 2 2 2 2" xfId="24602"/>
    <cellStyle name="Normal 4 9 2 2 3" xfId="3933"/>
    <cellStyle name="Normal 4 9 2 2 3 2" xfId="26100"/>
    <cellStyle name="Normal 4 9 2 2 4" xfId="20561"/>
    <cellStyle name="Normal 4 9 2 2 4 2" xfId="36782"/>
    <cellStyle name="Normal 4 9 2 2 5" xfId="21606"/>
    <cellStyle name="Normal 4 9 2 2 5 2" xfId="37818"/>
    <cellStyle name="Normal 4 9 2 2 6" xfId="23104"/>
    <cellStyle name="Normal 4 9 2 3" xfId="1286"/>
    <cellStyle name="Normal 4 9 2 3 2" xfId="2785"/>
    <cellStyle name="Normal 4 9 2 3 2 2" xfId="24953"/>
    <cellStyle name="Normal 4 9 2 3 3" xfId="4284"/>
    <cellStyle name="Normal 4 9 2 3 3 2" xfId="26451"/>
    <cellStyle name="Normal 4 9 2 3 4" xfId="21957"/>
    <cellStyle name="Normal 4 9 2 3 4 2" xfId="38169"/>
    <cellStyle name="Normal 4 9 2 3 5" xfId="23455"/>
    <cellStyle name="Normal 4 9 2 4" xfId="1637"/>
    <cellStyle name="Normal 4 9 2 4 2" xfId="3136"/>
    <cellStyle name="Normal 4 9 2 4 2 2" xfId="25304"/>
    <cellStyle name="Normal 4 9 2 4 3" xfId="4635"/>
    <cellStyle name="Normal 4 9 2 4 3 2" xfId="26802"/>
    <cellStyle name="Normal 4 9 2 4 4" xfId="22308"/>
    <cellStyle name="Normal 4 9 2 4 4 2" xfId="38520"/>
    <cellStyle name="Normal 4 9 2 4 5" xfId="23806"/>
    <cellStyle name="Normal 4 9 2 5" xfId="2083"/>
    <cellStyle name="Normal 4 9 2 5 2" xfId="24251"/>
    <cellStyle name="Normal 4 9 2 6" xfId="3582"/>
    <cellStyle name="Normal 4 9 2 6 2" xfId="25749"/>
    <cellStyle name="Normal 4 9 2 7" xfId="13003"/>
    <cellStyle name="Normal 4 9 2 7 2" xfId="30094"/>
    <cellStyle name="Normal 4 9 2 8" xfId="21255"/>
    <cellStyle name="Normal 4 9 2 8 2" xfId="37467"/>
    <cellStyle name="Normal 4 9 2 9" xfId="22753"/>
    <cellStyle name="Normal 4 9 3" xfId="701"/>
    <cellStyle name="Normal 4 9 3 2" xfId="1052"/>
    <cellStyle name="Normal 4 9 3 2 2" xfId="2551"/>
    <cellStyle name="Normal 4 9 3 2 2 2" xfId="24719"/>
    <cellStyle name="Normal 4 9 3 2 3" xfId="4050"/>
    <cellStyle name="Normal 4 9 3 2 3 2" xfId="26217"/>
    <cellStyle name="Normal 4 9 3 2 4" xfId="21723"/>
    <cellStyle name="Normal 4 9 3 2 4 2" xfId="37935"/>
    <cellStyle name="Normal 4 9 3 2 5" xfId="23221"/>
    <cellStyle name="Normal 4 9 3 3" xfId="1403"/>
    <cellStyle name="Normal 4 9 3 3 2" xfId="2902"/>
    <cellStyle name="Normal 4 9 3 3 2 2" xfId="25070"/>
    <cellStyle name="Normal 4 9 3 3 3" xfId="4401"/>
    <cellStyle name="Normal 4 9 3 3 3 2" xfId="26568"/>
    <cellStyle name="Normal 4 9 3 3 4" xfId="22074"/>
    <cellStyle name="Normal 4 9 3 3 4 2" xfId="38286"/>
    <cellStyle name="Normal 4 9 3 3 5" xfId="23572"/>
    <cellStyle name="Normal 4 9 3 4" xfId="1754"/>
    <cellStyle name="Normal 4 9 3 4 2" xfId="3253"/>
    <cellStyle name="Normal 4 9 3 4 2 2" xfId="25421"/>
    <cellStyle name="Normal 4 9 3 4 3" xfId="4752"/>
    <cellStyle name="Normal 4 9 3 4 3 2" xfId="26919"/>
    <cellStyle name="Normal 4 9 3 4 4" xfId="22425"/>
    <cellStyle name="Normal 4 9 3 4 4 2" xfId="38637"/>
    <cellStyle name="Normal 4 9 3 4 5" xfId="23923"/>
    <cellStyle name="Normal 4 9 3 5" xfId="2200"/>
    <cellStyle name="Normal 4 9 3 5 2" xfId="24368"/>
    <cellStyle name="Normal 4 9 3 6" xfId="3699"/>
    <cellStyle name="Normal 4 9 3 6 2" xfId="25866"/>
    <cellStyle name="Normal 4 9 3 7" xfId="15894"/>
    <cellStyle name="Normal 4 9 3 7 2" xfId="32115"/>
    <cellStyle name="Normal 4 9 3 8" xfId="21372"/>
    <cellStyle name="Normal 4 9 3 8 2" xfId="37584"/>
    <cellStyle name="Normal 4 9 3 9" xfId="22870"/>
    <cellStyle name="Normal 4 9 4" xfId="818"/>
    <cellStyle name="Normal 4 9 4 2" xfId="2317"/>
    <cellStyle name="Normal 4 9 4 2 2" xfId="24485"/>
    <cellStyle name="Normal 4 9 4 3" xfId="3816"/>
    <cellStyle name="Normal 4 9 4 3 2" xfId="25983"/>
    <cellStyle name="Normal 4 9 4 4" xfId="18804"/>
    <cellStyle name="Normal 4 9 4 4 2" xfId="35025"/>
    <cellStyle name="Normal 4 9 4 5" xfId="21489"/>
    <cellStyle name="Normal 4 9 4 5 2" xfId="37701"/>
    <cellStyle name="Normal 4 9 4 6" xfId="22987"/>
    <cellStyle name="Normal 4 9 5" xfId="1169"/>
    <cellStyle name="Normal 4 9 5 2" xfId="2668"/>
    <cellStyle name="Normal 4 9 5 2 2" xfId="24836"/>
    <cellStyle name="Normal 4 9 5 3" xfId="4167"/>
    <cellStyle name="Normal 4 9 5 3 2" xfId="26334"/>
    <cellStyle name="Normal 4 9 5 4" xfId="21840"/>
    <cellStyle name="Normal 4 9 5 4 2" xfId="38052"/>
    <cellStyle name="Normal 4 9 5 5" xfId="23338"/>
    <cellStyle name="Normal 4 9 6" xfId="1520"/>
    <cellStyle name="Normal 4 9 6 2" xfId="3019"/>
    <cellStyle name="Normal 4 9 6 2 2" xfId="25187"/>
    <cellStyle name="Normal 4 9 6 3" xfId="4518"/>
    <cellStyle name="Normal 4 9 6 3 2" xfId="26685"/>
    <cellStyle name="Normal 4 9 6 4" xfId="22191"/>
    <cellStyle name="Normal 4 9 6 4 2" xfId="38403"/>
    <cellStyle name="Normal 4 9 6 5" xfId="23689"/>
    <cellStyle name="Normal 4 9 7" xfId="1966"/>
    <cellStyle name="Normal 4 9 7 2" xfId="24134"/>
    <cellStyle name="Normal 4 9 8" xfId="3465"/>
    <cellStyle name="Normal 4 9 8 2" xfId="25632"/>
    <cellStyle name="Normal 4 9 9" xfId="8410"/>
    <cellStyle name="Normal 4 9 9 2" xfId="28341"/>
    <cellStyle name="Normal 40" xfId="39595"/>
    <cellStyle name="Normal 41" xfId="39596"/>
    <cellStyle name="Normal 42" xfId="39597"/>
    <cellStyle name="Normal 43" xfId="39598"/>
    <cellStyle name="Normal 44" xfId="39599"/>
    <cellStyle name="Normal 45" xfId="39600"/>
    <cellStyle name="Normal 46" xfId="39601"/>
    <cellStyle name="Normal 47" xfId="39602"/>
    <cellStyle name="Normal 48" xfId="39603"/>
    <cellStyle name="Normal 49" xfId="39604"/>
    <cellStyle name="Normal 5" xfId="202"/>
    <cellStyle name="Normal 5 10" xfId="14297"/>
    <cellStyle name="Normal 5 10 2" xfId="30533"/>
    <cellStyle name="Normal 5 11" xfId="4859"/>
    <cellStyle name="Normal 5 12" xfId="21003"/>
    <cellStyle name="Normal 5 12 2" xfId="37215"/>
    <cellStyle name="Normal 5 13" xfId="22501"/>
    <cellStyle name="Normal 5 14" xfId="38705"/>
    <cellStyle name="Normal 5 15" xfId="39502"/>
    <cellStyle name="Normal 5 16" xfId="39551"/>
    <cellStyle name="Normal 5 17" xfId="295"/>
    <cellStyle name="Normal 5 2" xfId="203"/>
    <cellStyle name="Normal 5 2 10" xfId="13004"/>
    <cellStyle name="Normal 5 2 11" xfId="14298"/>
    <cellStyle name="Normal 5 2 11 2" xfId="30534"/>
    <cellStyle name="Normal 5 2 12" xfId="4922"/>
    <cellStyle name="Normal 5 2 13" xfId="380"/>
    <cellStyle name="Normal 5 2 2" xfId="204"/>
    <cellStyle name="Normal 5 2 2 2" xfId="13005"/>
    <cellStyle name="Normal 5 2 2 3" xfId="5682"/>
    <cellStyle name="Normal 5 2 3" xfId="8411"/>
    <cellStyle name="Normal 5 2 3 10" xfId="18805"/>
    <cellStyle name="Normal 5 2 3 10 2" xfId="35026"/>
    <cellStyle name="Normal 5 2 3 11" xfId="28342"/>
    <cellStyle name="Normal 5 2 3 2" xfId="8412"/>
    <cellStyle name="Normal 5 2 3 2 10" xfId="28343"/>
    <cellStyle name="Normal 5 2 3 2 2" xfId="8413"/>
    <cellStyle name="Normal 5 2 3 2 2 2" xfId="8414"/>
    <cellStyle name="Normal 5 2 3 2 2 2 2" xfId="8415"/>
    <cellStyle name="Normal 5 2 3 2 2 2 2 2" xfId="8416"/>
    <cellStyle name="Normal 5 2 3 2 2 2 2 2 2" xfId="13011"/>
    <cellStyle name="Normal 5 2 3 2 2 2 2 2 2 2" xfId="20567"/>
    <cellStyle name="Normal 5 2 3 2 2 2 2 2 2 2 2" xfId="36788"/>
    <cellStyle name="Normal 5 2 3 2 2 2 2 2 2 3" xfId="30100"/>
    <cellStyle name="Normal 5 2 3 2 2 2 2 2 3" xfId="17184"/>
    <cellStyle name="Normal 5 2 3 2 2 2 2 2 3 2" xfId="33405"/>
    <cellStyle name="Normal 5 2 3 2 2 2 2 2 4" xfId="18810"/>
    <cellStyle name="Normal 5 2 3 2 2 2 2 2 4 2" xfId="35031"/>
    <cellStyle name="Normal 5 2 3 2 2 2 2 2 5" xfId="28347"/>
    <cellStyle name="Normal 5 2 3 2 2 2 2 3" xfId="13010"/>
    <cellStyle name="Normal 5 2 3 2 2 2 2 3 2" xfId="20566"/>
    <cellStyle name="Normal 5 2 3 2 2 2 2 3 2 2" xfId="36787"/>
    <cellStyle name="Normal 5 2 3 2 2 2 2 3 3" xfId="30099"/>
    <cellStyle name="Normal 5 2 3 2 2 2 2 4" xfId="15599"/>
    <cellStyle name="Normal 5 2 3 2 2 2 2 4 2" xfId="31821"/>
    <cellStyle name="Normal 5 2 3 2 2 2 2 5" xfId="18809"/>
    <cellStyle name="Normal 5 2 3 2 2 2 2 5 2" xfId="35030"/>
    <cellStyle name="Normal 5 2 3 2 2 2 2 6" xfId="28346"/>
    <cellStyle name="Normal 5 2 3 2 2 2 3" xfId="8417"/>
    <cellStyle name="Normal 5 2 3 2 2 2 3 2" xfId="13012"/>
    <cellStyle name="Normal 5 2 3 2 2 2 3 2 2" xfId="20568"/>
    <cellStyle name="Normal 5 2 3 2 2 2 3 2 2 2" xfId="36789"/>
    <cellStyle name="Normal 5 2 3 2 2 2 3 2 3" xfId="30101"/>
    <cellStyle name="Normal 5 2 3 2 2 2 3 3" xfId="16392"/>
    <cellStyle name="Normal 5 2 3 2 2 2 3 3 2" xfId="32613"/>
    <cellStyle name="Normal 5 2 3 2 2 2 3 4" xfId="18811"/>
    <cellStyle name="Normal 5 2 3 2 2 2 3 4 2" xfId="35032"/>
    <cellStyle name="Normal 5 2 3 2 2 2 3 5" xfId="28348"/>
    <cellStyle name="Normal 5 2 3 2 2 2 4" xfId="13009"/>
    <cellStyle name="Normal 5 2 3 2 2 2 4 2" xfId="20565"/>
    <cellStyle name="Normal 5 2 3 2 2 2 4 2 2" xfId="36786"/>
    <cellStyle name="Normal 5 2 3 2 2 2 4 3" xfId="30098"/>
    <cellStyle name="Normal 5 2 3 2 2 2 5" xfId="14807"/>
    <cellStyle name="Normal 5 2 3 2 2 2 5 2" xfId="31029"/>
    <cellStyle name="Normal 5 2 3 2 2 2 6" xfId="18808"/>
    <cellStyle name="Normal 5 2 3 2 2 2 6 2" xfId="35029"/>
    <cellStyle name="Normal 5 2 3 2 2 2 7" xfId="28345"/>
    <cellStyle name="Normal 5 2 3 2 2 3" xfId="8418"/>
    <cellStyle name="Normal 5 2 3 2 2 3 2" xfId="8419"/>
    <cellStyle name="Normal 5 2 3 2 2 3 2 2" xfId="8420"/>
    <cellStyle name="Normal 5 2 3 2 2 3 2 2 2" xfId="13015"/>
    <cellStyle name="Normal 5 2 3 2 2 3 2 2 2 2" xfId="20571"/>
    <cellStyle name="Normal 5 2 3 2 2 3 2 2 2 2 2" xfId="36792"/>
    <cellStyle name="Normal 5 2 3 2 2 3 2 2 2 3" xfId="30104"/>
    <cellStyle name="Normal 5 2 3 2 2 3 2 2 3" xfId="17448"/>
    <cellStyle name="Normal 5 2 3 2 2 3 2 2 3 2" xfId="33669"/>
    <cellStyle name="Normal 5 2 3 2 2 3 2 2 4" xfId="18814"/>
    <cellStyle name="Normal 5 2 3 2 2 3 2 2 4 2" xfId="35035"/>
    <cellStyle name="Normal 5 2 3 2 2 3 2 2 5" xfId="28351"/>
    <cellStyle name="Normal 5 2 3 2 2 3 2 3" xfId="13014"/>
    <cellStyle name="Normal 5 2 3 2 2 3 2 3 2" xfId="20570"/>
    <cellStyle name="Normal 5 2 3 2 2 3 2 3 2 2" xfId="36791"/>
    <cellStyle name="Normal 5 2 3 2 2 3 2 3 3" xfId="30103"/>
    <cellStyle name="Normal 5 2 3 2 2 3 2 4" xfId="15863"/>
    <cellStyle name="Normal 5 2 3 2 2 3 2 4 2" xfId="32085"/>
    <cellStyle name="Normal 5 2 3 2 2 3 2 5" xfId="18813"/>
    <cellStyle name="Normal 5 2 3 2 2 3 2 5 2" xfId="35034"/>
    <cellStyle name="Normal 5 2 3 2 2 3 2 6" xfId="28350"/>
    <cellStyle name="Normal 5 2 3 2 2 3 3" xfId="8421"/>
    <cellStyle name="Normal 5 2 3 2 2 3 3 2" xfId="13016"/>
    <cellStyle name="Normal 5 2 3 2 2 3 3 2 2" xfId="20572"/>
    <cellStyle name="Normal 5 2 3 2 2 3 3 2 2 2" xfId="36793"/>
    <cellStyle name="Normal 5 2 3 2 2 3 3 2 3" xfId="30105"/>
    <cellStyle name="Normal 5 2 3 2 2 3 3 3" xfId="16656"/>
    <cellStyle name="Normal 5 2 3 2 2 3 3 3 2" xfId="32877"/>
    <cellStyle name="Normal 5 2 3 2 2 3 3 4" xfId="18815"/>
    <cellStyle name="Normal 5 2 3 2 2 3 3 4 2" xfId="35036"/>
    <cellStyle name="Normal 5 2 3 2 2 3 3 5" xfId="28352"/>
    <cellStyle name="Normal 5 2 3 2 2 3 4" xfId="13013"/>
    <cellStyle name="Normal 5 2 3 2 2 3 4 2" xfId="20569"/>
    <cellStyle name="Normal 5 2 3 2 2 3 4 2 2" xfId="36790"/>
    <cellStyle name="Normal 5 2 3 2 2 3 4 3" xfId="30102"/>
    <cellStyle name="Normal 5 2 3 2 2 3 5" xfId="15071"/>
    <cellStyle name="Normal 5 2 3 2 2 3 5 2" xfId="31293"/>
    <cellStyle name="Normal 5 2 3 2 2 3 6" xfId="18812"/>
    <cellStyle name="Normal 5 2 3 2 2 3 6 2" xfId="35033"/>
    <cellStyle name="Normal 5 2 3 2 2 3 7" xfId="28349"/>
    <cellStyle name="Normal 5 2 3 2 2 4" xfId="8422"/>
    <cellStyle name="Normal 5 2 3 2 2 4 2" xfId="8423"/>
    <cellStyle name="Normal 5 2 3 2 2 4 2 2" xfId="13018"/>
    <cellStyle name="Normal 5 2 3 2 2 4 2 2 2" xfId="20574"/>
    <cellStyle name="Normal 5 2 3 2 2 4 2 2 2 2" xfId="36795"/>
    <cellStyle name="Normal 5 2 3 2 2 4 2 2 3" xfId="30107"/>
    <cellStyle name="Normal 5 2 3 2 2 4 2 3" xfId="16920"/>
    <cellStyle name="Normal 5 2 3 2 2 4 2 3 2" xfId="33141"/>
    <cellStyle name="Normal 5 2 3 2 2 4 2 4" xfId="18817"/>
    <cellStyle name="Normal 5 2 3 2 2 4 2 4 2" xfId="35038"/>
    <cellStyle name="Normal 5 2 3 2 2 4 2 5" xfId="28354"/>
    <cellStyle name="Normal 5 2 3 2 2 4 3" xfId="13017"/>
    <cellStyle name="Normal 5 2 3 2 2 4 3 2" xfId="20573"/>
    <cellStyle name="Normal 5 2 3 2 2 4 3 2 2" xfId="36794"/>
    <cellStyle name="Normal 5 2 3 2 2 4 3 3" xfId="30106"/>
    <cellStyle name="Normal 5 2 3 2 2 4 4" xfId="15335"/>
    <cellStyle name="Normal 5 2 3 2 2 4 4 2" xfId="31557"/>
    <cellStyle name="Normal 5 2 3 2 2 4 5" xfId="18816"/>
    <cellStyle name="Normal 5 2 3 2 2 4 5 2" xfId="35037"/>
    <cellStyle name="Normal 5 2 3 2 2 4 6" xfId="28353"/>
    <cellStyle name="Normal 5 2 3 2 2 5" xfId="8424"/>
    <cellStyle name="Normal 5 2 3 2 2 5 2" xfId="13019"/>
    <cellStyle name="Normal 5 2 3 2 2 5 2 2" xfId="20575"/>
    <cellStyle name="Normal 5 2 3 2 2 5 2 2 2" xfId="36796"/>
    <cellStyle name="Normal 5 2 3 2 2 5 2 3" xfId="30108"/>
    <cellStyle name="Normal 5 2 3 2 2 5 3" xfId="16128"/>
    <cellStyle name="Normal 5 2 3 2 2 5 3 2" xfId="32349"/>
    <cellStyle name="Normal 5 2 3 2 2 5 4" xfId="18818"/>
    <cellStyle name="Normal 5 2 3 2 2 5 4 2" xfId="35039"/>
    <cellStyle name="Normal 5 2 3 2 2 5 5" xfId="28355"/>
    <cellStyle name="Normal 5 2 3 2 2 6" xfId="13008"/>
    <cellStyle name="Normal 5 2 3 2 2 6 2" xfId="20564"/>
    <cellStyle name="Normal 5 2 3 2 2 6 2 2" xfId="36785"/>
    <cellStyle name="Normal 5 2 3 2 2 6 3" xfId="30097"/>
    <cellStyle name="Normal 5 2 3 2 2 7" xfId="14543"/>
    <cellStyle name="Normal 5 2 3 2 2 7 2" xfId="30765"/>
    <cellStyle name="Normal 5 2 3 2 2 8" xfId="18807"/>
    <cellStyle name="Normal 5 2 3 2 2 8 2" xfId="35028"/>
    <cellStyle name="Normal 5 2 3 2 2 9" xfId="28344"/>
    <cellStyle name="Normal 5 2 3 2 3" xfId="8425"/>
    <cellStyle name="Normal 5 2 3 2 3 2" xfId="8426"/>
    <cellStyle name="Normal 5 2 3 2 3 2 2" xfId="8427"/>
    <cellStyle name="Normal 5 2 3 2 3 2 2 2" xfId="13022"/>
    <cellStyle name="Normal 5 2 3 2 3 2 2 2 2" xfId="20578"/>
    <cellStyle name="Normal 5 2 3 2 3 2 2 2 2 2" xfId="36799"/>
    <cellStyle name="Normal 5 2 3 2 3 2 2 2 3" xfId="30111"/>
    <cellStyle name="Normal 5 2 3 2 3 2 2 3" xfId="17052"/>
    <cellStyle name="Normal 5 2 3 2 3 2 2 3 2" xfId="33273"/>
    <cellStyle name="Normal 5 2 3 2 3 2 2 4" xfId="18821"/>
    <cellStyle name="Normal 5 2 3 2 3 2 2 4 2" xfId="35042"/>
    <cellStyle name="Normal 5 2 3 2 3 2 2 5" xfId="28358"/>
    <cellStyle name="Normal 5 2 3 2 3 2 3" xfId="13021"/>
    <cellStyle name="Normal 5 2 3 2 3 2 3 2" xfId="20577"/>
    <cellStyle name="Normal 5 2 3 2 3 2 3 2 2" xfId="36798"/>
    <cellStyle name="Normal 5 2 3 2 3 2 3 3" xfId="30110"/>
    <cellStyle name="Normal 5 2 3 2 3 2 4" xfId="15467"/>
    <cellStyle name="Normal 5 2 3 2 3 2 4 2" xfId="31689"/>
    <cellStyle name="Normal 5 2 3 2 3 2 5" xfId="18820"/>
    <cellStyle name="Normal 5 2 3 2 3 2 5 2" xfId="35041"/>
    <cellStyle name="Normal 5 2 3 2 3 2 6" xfId="28357"/>
    <cellStyle name="Normal 5 2 3 2 3 3" xfId="8428"/>
    <cellStyle name="Normal 5 2 3 2 3 3 2" xfId="13023"/>
    <cellStyle name="Normal 5 2 3 2 3 3 2 2" xfId="20579"/>
    <cellStyle name="Normal 5 2 3 2 3 3 2 2 2" xfId="36800"/>
    <cellStyle name="Normal 5 2 3 2 3 3 2 3" xfId="30112"/>
    <cellStyle name="Normal 5 2 3 2 3 3 3" xfId="16260"/>
    <cellStyle name="Normal 5 2 3 2 3 3 3 2" xfId="32481"/>
    <cellStyle name="Normal 5 2 3 2 3 3 4" xfId="18822"/>
    <cellStyle name="Normal 5 2 3 2 3 3 4 2" xfId="35043"/>
    <cellStyle name="Normal 5 2 3 2 3 3 5" xfId="28359"/>
    <cellStyle name="Normal 5 2 3 2 3 4" xfId="13020"/>
    <cellStyle name="Normal 5 2 3 2 3 4 2" xfId="20576"/>
    <cellStyle name="Normal 5 2 3 2 3 4 2 2" xfId="36797"/>
    <cellStyle name="Normal 5 2 3 2 3 4 3" xfId="30109"/>
    <cellStyle name="Normal 5 2 3 2 3 5" xfId="14675"/>
    <cellStyle name="Normal 5 2 3 2 3 5 2" xfId="30897"/>
    <cellStyle name="Normal 5 2 3 2 3 6" xfId="18819"/>
    <cellStyle name="Normal 5 2 3 2 3 6 2" xfId="35040"/>
    <cellStyle name="Normal 5 2 3 2 3 7" xfId="28356"/>
    <cellStyle name="Normal 5 2 3 2 4" xfId="8429"/>
    <cellStyle name="Normal 5 2 3 2 4 2" xfId="8430"/>
    <cellStyle name="Normal 5 2 3 2 4 2 2" xfId="8431"/>
    <cellStyle name="Normal 5 2 3 2 4 2 2 2" xfId="13026"/>
    <cellStyle name="Normal 5 2 3 2 4 2 2 2 2" xfId="20582"/>
    <cellStyle name="Normal 5 2 3 2 4 2 2 2 2 2" xfId="36803"/>
    <cellStyle name="Normal 5 2 3 2 4 2 2 2 3" xfId="30115"/>
    <cellStyle name="Normal 5 2 3 2 4 2 2 3" xfId="17316"/>
    <cellStyle name="Normal 5 2 3 2 4 2 2 3 2" xfId="33537"/>
    <cellStyle name="Normal 5 2 3 2 4 2 2 4" xfId="18825"/>
    <cellStyle name="Normal 5 2 3 2 4 2 2 4 2" xfId="35046"/>
    <cellStyle name="Normal 5 2 3 2 4 2 2 5" xfId="28362"/>
    <cellStyle name="Normal 5 2 3 2 4 2 3" xfId="13025"/>
    <cellStyle name="Normal 5 2 3 2 4 2 3 2" xfId="20581"/>
    <cellStyle name="Normal 5 2 3 2 4 2 3 2 2" xfId="36802"/>
    <cellStyle name="Normal 5 2 3 2 4 2 3 3" xfId="30114"/>
    <cellStyle name="Normal 5 2 3 2 4 2 4" xfId="15731"/>
    <cellStyle name="Normal 5 2 3 2 4 2 4 2" xfId="31953"/>
    <cellStyle name="Normal 5 2 3 2 4 2 5" xfId="18824"/>
    <cellStyle name="Normal 5 2 3 2 4 2 5 2" xfId="35045"/>
    <cellStyle name="Normal 5 2 3 2 4 2 6" xfId="28361"/>
    <cellStyle name="Normal 5 2 3 2 4 3" xfId="8432"/>
    <cellStyle name="Normal 5 2 3 2 4 3 2" xfId="13027"/>
    <cellStyle name="Normal 5 2 3 2 4 3 2 2" xfId="20583"/>
    <cellStyle name="Normal 5 2 3 2 4 3 2 2 2" xfId="36804"/>
    <cellStyle name="Normal 5 2 3 2 4 3 2 3" xfId="30116"/>
    <cellStyle name="Normal 5 2 3 2 4 3 3" xfId="16524"/>
    <cellStyle name="Normal 5 2 3 2 4 3 3 2" xfId="32745"/>
    <cellStyle name="Normal 5 2 3 2 4 3 4" xfId="18826"/>
    <cellStyle name="Normal 5 2 3 2 4 3 4 2" xfId="35047"/>
    <cellStyle name="Normal 5 2 3 2 4 3 5" xfId="28363"/>
    <cellStyle name="Normal 5 2 3 2 4 4" xfId="13024"/>
    <cellStyle name="Normal 5 2 3 2 4 4 2" xfId="20580"/>
    <cellStyle name="Normal 5 2 3 2 4 4 2 2" xfId="36801"/>
    <cellStyle name="Normal 5 2 3 2 4 4 3" xfId="30113"/>
    <cellStyle name="Normal 5 2 3 2 4 5" xfId="14939"/>
    <cellStyle name="Normal 5 2 3 2 4 5 2" xfId="31161"/>
    <cellStyle name="Normal 5 2 3 2 4 6" xfId="18823"/>
    <cellStyle name="Normal 5 2 3 2 4 6 2" xfId="35044"/>
    <cellStyle name="Normal 5 2 3 2 4 7" xfId="28360"/>
    <cellStyle name="Normal 5 2 3 2 5" xfId="8433"/>
    <cellStyle name="Normal 5 2 3 2 5 2" xfId="8434"/>
    <cellStyle name="Normal 5 2 3 2 5 2 2" xfId="13029"/>
    <cellStyle name="Normal 5 2 3 2 5 2 2 2" xfId="20585"/>
    <cellStyle name="Normal 5 2 3 2 5 2 2 2 2" xfId="36806"/>
    <cellStyle name="Normal 5 2 3 2 5 2 2 3" xfId="30118"/>
    <cellStyle name="Normal 5 2 3 2 5 2 3" xfId="16788"/>
    <cellStyle name="Normal 5 2 3 2 5 2 3 2" xfId="33009"/>
    <cellStyle name="Normal 5 2 3 2 5 2 4" xfId="18828"/>
    <cellStyle name="Normal 5 2 3 2 5 2 4 2" xfId="35049"/>
    <cellStyle name="Normal 5 2 3 2 5 2 5" xfId="28365"/>
    <cellStyle name="Normal 5 2 3 2 5 3" xfId="13028"/>
    <cellStyle name="Normal 5 2 3 2 5 3 2" xfId="20584"/>
    <cellStyle name="Normal 5 2 3 2 5 3 2 2" xfId="36805"/>
    <cellStyle name="Normal 5 2 3 2 5 3 3" xfId="30117"/>
    <cellStyle name="Normal 5 2 3 2 5 4" xfId="15203"/>
    <cellStyle name="Normal 5 2 3 2 5 4 2" xfId="31425"/>
    <cellStyle name="Normal 5 2 3 2 5 5" xfId="18827"/>
    <cellStyle name="Normal 5 2 3 2 5 5 2" xfId="35048"/>
    <cellStyle name="Normal 5 2 3 2 5 6" xfId="28364"/>
    <cellStyle name="Normal 5 2 3 2 6" xfId="8435"/>
    <cellStyle name="Normal 5 2 3 2 6 2" xfId="13030"/>
    <cellStyle name="Normal 5 2 3 2 6 2 2" xfId="20586"/>
    <cellStyle name="Normal 5 2 3 2 6 2 2 2" xfId="36807"/>
    <cellStyle name="Normal 5 2 3 2 6 2 3" xfId="30119"/>
    <cellStyle name="Normal 5 2 3 2 6 3" xfId="15996"/>
    <cellStyle name="Normal 5 2 3 2 6 3 2" xfId="32217"/>
    <cellStyle name="Normal 5 2 3 2 6 4" xfId="18829"/>
    <cellStyle name="Normal 5 2 3 2 6 4 2" xfId="35050"/>
    <cellStyle name="Normal 5 2 3 2 6 5" xfId="28366"/>
    <cellStyle name="Normal 5 2 3 2 7" xfId="13007"/>
    <cellStyle name="Normal 5 2 3 2 7 2" xfId="20563"/>
    <cellStyle name="Normal 5 2 3 2 7 2 2" xfId="36784"/>
    <cellStyle name="Normal 5 2 3 2 7 3" xfId="30096"/>
    <cellStyle name="Normal 5 2 3 2 8" xfId="14411"/>
    <cellStyle name="Normal 5 2 3 2 8 2" xfId="30633"/>
    <cellStyle name="Normal 5 2 3 2 9" xfId="18806"/>
    <cellStyle name="Normal 5 2 3 2 9 2" xfId="35027"/>
    <cellStyle name="Normal 5 2 3 3" xfId="8436"/>
    <cellStyle name="Normal 5 2 3 3 2" xfId="8437"/>
    <cellStyle name="Normal 5 2 3 3 2 2" xfId="8438"/>
    <cellStyle name="Normal 5 2 3 3 2 2 2" xfId="8439"/>
    <cellStyle name="Normal 5 2 3 3 2 2 2 2" xfId="13034"/>
    <cellStyle name="Normal 5 2 3 3 2 2 2 2 2" xfId="20590"/>
    <cellStyle name="Normal 5 2 3 3 2 2 2 2 2 2" xfId="36811"/>
    <cellStyle name="Normal 5 2 3 3 2 2 2 2 3" xfId="30123"/>
    <cellStyle name="Normal 5 2 3 3 2 2 2 3" xfId="17118"/>
    <cellStyle name="Normal 5 2 3 3 2 2 2 3 2" xfId="33339"/>
    <cellStyle name="Normal 5 2 3 3 2 2 2 4" xfId="18833"/>
    <cellStyle name="Normal 5 2 3 3 2 2 2 4 2" xfId="35054"/>
    <cellStyle name="Normal 5 2 3 3 2 2 2 5" xfId="28370"/>
    <cellStyle name="Normal 5 2 3 3 2 2 3" xfId="13033"/>
    <cellStyle name="Normal 5 2 3 3 2 2 3 2" xfId="20589"/>
    <cellStyle name="Normal 5 2 3 3 2 2 3 2 2" xfId="36810"/>
    <cellStyle name="Normal 5 2 3 3 2 2 3 3" xfId="30122"/>
    <cellStyle name="Normal 5 2 3 3 2 2 4" xfId="15533"/>
    <cellStyle name="Normal 5 2 3 3 2 2 4 2" xfId="31755"/>
    <cellStyle name="Normal 5 2 3 3 2 2 5" xfId="18832"/>
    <cellStyle name="Normal 5 2 3 3 2 2 5 2" xfId="35053"/>
    <cellStyle name="Normal 5 2 3 3 2 2 6" xfId="28369"/>
    <cellStyle name="Normal 5 2 3 3 2 3" xfId="8440"/>
    <cellStyle name="Normal 5 2 3 3 2 3 2" xfId="13035"/>
    <cellStyle name="Normal 5 2 3 3 2 3 2 2" xfId="20591"/>
    <cellStyle name="Normal 5 2 3 3 2 3 2 2 2" xfId="36812"/>
    <cellStyle name="Normal 5 2 3 3 2 3 2 3" xfId="30124"/>
    <cellStyle name="Normal 5 2 3 3 2 3 3" xfId="16326"/>
    <cellStyle name="Normal 5 2 3 3 2 3 3 2" xfId="32547"/>
    <cellStyle name="Normal 5 2 3 3 2 3 4" xfId="18834"/>
    <cellStyle name="Normal 5 2 3 3 2 3 4 2" xfId="35055"/>
    <cellStyle name="Normal 5 2 3 3 2 3 5" xfId="28371"/>
    <cellStyle name="Normal 5 2 3 3 2 4" xfId="13032"/>
    <cellStyle name="Normal 5 2 3 3 2 4 2" xfId="20588"/>
    <cellStyle name="Normal 5 2 3 3 2 4 2 2" xfId="36809"/>
    <cellStyle name="Normal 5 2 3 3 2 4 3" xfId="30121"/>
    <cellStyle name="Normal 5 2 3 3 2 5" xfId="14741"/>
    <cellStyle name="Normal 5 2 3 3 2 5 2" xfId="30963"/>
    <cellStyle name="Normal 5 2 3 3 2 6" xfId="18831"/>
    <cellStyle name="Normal 5 2 3 3 2 6 2" xfId="35052"/>
    <cellStyle name="Normal 5 2 3 3 2 7" xfId="28368"/>
    <cellStyle name="Normal 5 2 3 3 3" xfId="8441"/>
    <cellStyle name="Normal 5 2 3 3 3 2" xfId="8442"/>
    <cellStyle name="Normal 5 2 3 3 3 2 2" xfId="8443"/>
    <cellStyle name="Normal 5 2 3 3 3 2 2 2" xfId="13038"/>
    <cellStyle name="Normal 5 2 3 3 3 2 2 2 2" xfId="20594"/>
    <cellStyle name="Normal 5 2 3 3 3 2 2 2 2 2" xfId="36815"/>
    <cellStyle name="Normal 5 2 3 3 3 2 2 2 3" xfId="30127"/>
    <cellStyle name="Normal 5 2 3 3 3 2 2 3" xfId="17382"/>
    <cellStyle name="Normal 5 2 3 3 3 2 2 3 2" xfId="33603"/>
    <cellStyle name="Normal 5 2 3 3 3 2 2 4" xfId="18837"/>
    <cellStyle name="Normal 5 2 3 3 3 2 2 4 2" xfId="35058"/>
    <cellStyle name="Normal 5 2 3 3 3 2 2 5" xfId="28374"/>
    <cellStyle name="Normal 5 2 3 3 3 2 3" xfId="13037"/>
    <cellStyle name="Normal 5 2 3 3 3 2 3 2" xfId="20593"/>
    <cellStyle name="Normal 5 2 3 3 3 2 3 2 2" xfId="36814"/>
    <cellStyle name="Normal 5 2 3 3 3 2 3 3" xfId="30126"/>
    <cellStyle name="Normal 5 2 3 3 3 2 4" xfId="15797"/>
    <cellStyle name="Normal 5 2 3 3 3 2 4 2" xfId="32019"/>
    <cellStyle name="Normal 5 2 3 3 3 2 5" xfId="18836"/>
    <cellStyle name="Normal 5 2 3 3 3 2 5 2" xfId="35057"/>
    <cellStyle name="Normal 5 2 3 3 3 2 6" xfId="28373"/>
    <cellStyle name="Normal 5 2 3 3 3 3" xfId="8444"/>
    <cellStyle name="Normal 5 2 3 3 3 3 2" xfId="13039"/>
    <cellStyle name="Normal 5 2 3 3 3 3 2 2" xfId="20595"/>
    <cellStyle name="Normal 5 2 3 3 3 3 2 2 2" xfId="36816"/>
    <cellStyle name="Normal 5 2 3 3 3 3 2 3" xfId="30128"/>
    <cellStyle name="Normal 5 2 3 3 3 3 3" xfId="16590"/>
    <cellStyle name="Normal 5 2 3 3 3 3 3 2" xfId="32811"/>
    <cellStyle name="Normal 5 2 3 3 3 3 4" xfId="18838"/>
    <cellStyle name="Normal 5 2 3 3 3 3 4 2" xfId="35059"/>
    <cellStyle name="Normal 5 2 3 3 3 3 5" xfId="28375"/>
    <cellStyle name="Normal 5 2 3 3 3 4" xfId="13036"/>
    <cellStyle name="Normal 5 2 3 3 3 4 2" xfId="20592"/>
    <cellStyle name="Normal 5 2 3 3 3 4 2 2" xfId="36813"/>
    <cellStyle name="Normal 5 2 3 3 3 4 3" xfId="30125"/>
    <cellStyle name="Normal 5 2 3 3 3 5" xfId="15005"/>
    <cellStyle name="Normal 5 2 3 3 3 5 2" xfId="31227"/>
    <cellStyle name="Normal 5 2 3 3 3 6" xfId="18835"/>
    <cellStyle name="Normal 5 2 3 3 3 6 2" xfId="35056"/>
    <cellStyle name="Normal 5 2 3 3 3 7" xfId="28372"/>
    <cellStyle name="Normal 5 2 3 3 4" xfId="8445"/>
    <cellStyle name="Normal 5 2 3 3 4 2" xfId="8446"/>
    <cellStyle name="Normal 5 2 3 3 4 2 2" xfId="13041"/>
    <cellStyle name="Normal 5 2 3 3 4 2 2 2" xfId="20597"/>
    <cellStyle name="Normal 5 2 3 3 4 2 2 2 2" xfId="36818"/>
    <cellStyle name="Normal 5 2 3 3 4 2 2 3" xfId="30130"/>
    <cellStyle name="Normal 5 2 3 3 4 2 3" xfId="16854"/>
    <cellStyle name="Normal 5 2 3 3 4 2 3 2" xfId="33075"/>
    <cellStyle name="Normal 5 2 3 3 4 2 4" xfId="18840"/>
    <cellStyle name="Normal 5 2 3 3 4 2 4 2" xfId="35061"/>
    <cellStyle name="Normal 5 2 3 3 4 2 5" xfId="28377"/>
    <cellStyle name="Normal 5 2 3 3 4 3" xfId="13040"/>
    <cellStyle name="Normal 5 2 3 3 4 3 2" xfId="20596"/>
    <cellStyle name="Normal 5 2 3 3 4 3 2 2" xfId="36817"/>
    <cellStyle name="Normal 5 2 3 3 4 3 3" xfId="30129"/>
    <cellStyle name="Normal 5 2 3 3 4 4" xfId="15269"/>
    <cellStyle name="Normal 5 2 3 3 4 4 2" xfId="31491"/>
    <cellStyle name="Normal 5 2 3 3 4 5" xfId="18839"/>
    <cellStyle name="Normal 5 2 3 3 4 5 2" xfId="35060"/>
    <cellStyle name="Normal 5 2 3 3 4 6" xfId="28376"/>
    <cellStyle name="Normal 5 2 3 3 5" xfId="8447"/>
    <cellStyle name="Normal 5 2 3 3 5 2" xfId="13042"/>
    <cellStyle name="Normal 5 2 3 3 5 2 2" xfId="20598"/>
    <cellStyle name="Normal 5 2 3 3 5 2 2 2" xfId="36819"/>
    <cellStyle name="Normal 5 2 3 3 5 2 3" xfId="30131"/>
    <cellStyle name="Normal 5 2 3 3 5 3" xfId="16062"/>
    <cellStyle name="Normal 5 2 3 3 5 3 2" xfId="32283"/>
    <cellStyle name="Normal 5 2 3 3 5 4" xfId="18841"/>
    <cellStyle name="Normal 5 2 3 3 5 4 2" xfId="35062"/>
    <cellStyle name="Normal 5 2 3 3 5 5" xfId="28378"/>
    <cellStyle name="Normal 5 2 3 3 6" xfId="13031"/>
    <cellStyle name="Normal 5 2 3 3 6 2" xfId="20587"/>
    <cellStyle name="Normal 5 2 3 3 6 2 2" xfId="36808"/>
    <cellStyle name="Normal 5 2 3 3 6 3" xfId="30120"/>
    <cellStyle name="Normal 5 2 3 3 7" xfId="14477"/>
    <cellStyle name="Normal 5 2 3 3 7 2" xfId="30699"/>
    <cellStyle name="Normal 5 2 3 3 8" xfId="18830"/>
    <cellStyle name="Normal 5 2 3 3 8 2" xfId="35051"/>
    <cellStyle name="Normal 5 2 3 3 9" xfId="28367"/>
    <cellStyle name="Normal 5 2 3 4" xfId="8448"/>
    <cellStyle name="Normal 5 2 3 4 2" xfId="8449"/>
    <cellStyle name="Normal 5 2 3 4 2 2" xfId="8450"/>
    <cellStyle name="Normal 5 2 3 4 2 2 2" xfId="13045"/>
    <cellStyle name="Normal 5 2 3 4 2 2 2 2" xfId="20601"/>
    <cellStyle name="Normal 5 2 3 4 2 2 2 2 2" xfId="36822"/>
    <cellStyle name="Normal 5 2 3 4 2 2 2 3" xfId="30134"/>
    <cellStyle name="Normal 5 2 3 4 2 2 3" xfId="16986"/>
    <cellStyle name="Normal 5 2 3 4 2 2 3 2" xfId="33207"/>
    <cellStyle name="Normal 5 2 3 4 2 2 4" xfId="18844"/>
    <cellStyle name="Normal 5 2 3 4 2 2 4 2" xfId="35065"/>
    <cellStyle name="Normal 5 2 3 4 2 2 5" xfId="28381"/>
    <cellStyle name="Normal 5 2 3 4 2 3" xfId="13044"/>
    <cellStyle name="Normal 5 2 3 4 2 3 2" xfId="20600"/>
    <cellStyle name="Normal 5 2 3 4 2 3 2 2" xfId="36821"/>
    <cellStyle name="Normal 5 2 3 4 2 3 3" xfId="30133"/>
    <cellStyle name="Normal 5 2 3 4 2 4" xfId="15401"/>
    <cellStyle name="Normal 5 2 3 4 2 4 2" xfId="31623"/>
    <cellStyle name="Normal 5 2 3 4 2 5" xfId="18843"/>
    <cellStyle name="Normal 5 2 3 4 2 5 2" xfId="35064"/>
    <cellStyle name="Normal 5 2 3 4 2 6" xfId="28380"/>
    <cellStyle name="Normal 5 2 3 4 3" xfId="8451"/>
    <cellStyle name="Normal 5 2 3 4 3 2" xfId="13046"/>
    <cellStyle name="Normal 5 2 3 4 3 2 2" xfId="20602"/>
    <cellStyle name="Normal 5 2 3 4 3 2 2 2" xfId="36823"/>
    <cellStyle name="Normal 5 2 3 4 3 2 3" xfId="30135"/>
    <cellStyle name="Normal 5 2 3 4 3 3" xfId="16194"/>
    <cellStyle name="Normal 5 2 3 4 3 3 2" xfId="32415"/>
    <cellStyle name="Normal 5 2 3 4 3 4" xfId="18845"/>
    <cellStyle name="Normal 5 2 3 4 3 4 2" xfId="35066"/>
    <cellStyle name="Normal 5 2 3 4 3 5" xfId="28382"/>
    <cellStyle name="Normal 5 2 3 4 4" xfId="13043"/>
    <cellStyle name="Normal 5 2 3 4 4 2" xfId="20599"/>
    <cellStyle name="Normal 5 2 3 4 4 2 2" xfId="36820"/>
    <cellStyle name="Normal 5 2 3 4 4 3" xfId="30132"/>
    <cellStyle name="Normal 5 2 3 4 5" xfId="14609"/>
    <cellStyle name="Normal 5 2 3 4 5 2" xfId="30831"/>
    <cellStyle name="Normal 5 2 3 4 6" xfId="18842"/>
    <cellStyle name="Normal 5 2 3 4 6 2" xfId="35063"/>
    <cellStyle name="Normal 5 2 3 4 7" xfId="28379"/>
    <cellStyle name="Normal 5 2 3 5" xfId="8452"/>
    <cellStyle name="Normal 5 2 3 5 2" xfId="8453"/>
    <cellStyle name="Normal 5 2 3 5 2 2" xfId="8454"/>
    <cellStyle name="Normal 5 2 3 5 2 2 2" xfId="13049"/>
    <cellStyle name="Normal 5 2 3 5 2 2 2 2" xfId="20605"/>
    <cellStyle name="Normal 5 2 3 5 2 2 2 2 2" xfId="36826"/>
    <cellStyle name="Normal 5 2 3 5 2 2 2 3" xfId="30138"/>
    <cellStyle name="Normal 5 2 3 5 2 2 3" xfId="17250"/>
    <cellStyle name="Normal 5 2 3 5 2 2 3 2" xfId="33471"/>
    <cellStyle name="Normal 5 2 3 5 2 2 4" xfId="18848"/>
    <cellStyle name="Normal 5 2 3 5 2 2 4 2" xfId="35069"/>
    <cellStyle name="Normal 5 2 3 5 2 2 5" xfId="28385"/>
    <cellStyle name="Normal 5 2 3 5 2 3" xfId="13048"/>
    <cellStyle name="Normal 5 2 3 5 2 3 2" xfId="20604"/>
    <cellStyle name="Normal 5 2 3 5 2 3 2 2" xfId="36825"/>
    <cellStyle name="Normal 5 2 3 5 2 3 3" xfId="30137"/>
    <cellStyle name="Normal 5 2 3 5 2 4" xfId="15665"/>
    <cellStyle name="Normal 5 2 3 5 2 4 2" xfId="31887"/>
    <cellStyle name="Normal 5 2 3 5 2 5" xfId="18847"/>
    <cellStyle name="Normal 5 2 3 5 2 5 2" xfId="35068"/>
    <cellStyle name="Normal 5 2 3 5 2 6" xfId="28384"/>
    <cellStyle name="Normal 5 2 3 5 3" xfId="8455"/>
    <cellStyle name="Normal 5 2 3 5 3 2" xfId="13050"/>
    <cellStyle name="Normal 5 2 3 5 3 2 2" xfId="20606"/>
    <cellStyle name="Normal 5 2 3 5 3 2 2 2" xfId="36827"/>
    <cellStyle name="Normal 5 2 3 5 3 2 3" xfId="30139"/>
    <cellStyle name="Normal 5 2 3 5 3 3" xfId="16458"/>
    <cellStyle name="Normal 5 2 3 5 3 3 2" xfId="32679"/>
    <cellStyle name="Normal 5 2 3 5 3 4" xfId="18849"/>
    <cellStyle name="Normal 5 2 3 5 3 4 2" xfId="35070"/>
    <cellStyle name="Normal 5 2 3 5 3 5" xfId="28386"/>
    <cellStyle name="Normal 5 2 3 5 4" xfId="13047"/>
    <cellStyle name="Normal 5 2 3 5 4 2" xfId="20603"/>
    <cellStyle name="Normal 5 2 3 5 4 2 2" xfId="36824"/>
    <cellStyle name="Normal 5 2 3 5 4 3" xfId="30136"/>
    <cellStyle name="Normal 5 2 3 5 5" xfId="14873"/>
    <cellStyle name="Normal 5 2 3 5 5 2" xfId="31095"/>
    <cellStyle name="Normal 5 2 3 5 6" xfId="18846"/>
    <cellStyle name="Normal 5 2 3 5 6 2" xfId="35067"/>
    <cellStyle name="Normal 5 2 3 5 7" xfId="28383"/>
    <cellStyle name="Normal 5 2 3 6" xfId="8456"/>
    <cellStyle name="Normal 5 2 3 6 2" xfId="8457"/>
    <cellStyle name="Normal 5 2 3 6 2 2" xfId="13052"/>
    <cellStyle name="Normal 5 2 3 6 2 2 2" xfId="20608"/>
    <cellStyle name="Normal 5 2 3 6 2 2 2 2" xfId="36829"/>
    <cellStyle name="Normal 5 2 3 6 2 2 3" xfId="30141"/>
    <cellStyle name="Normal 5 2 3 6 2 3" xfId="16722"/>
    <cellStyle name="Normal 5 2 3 6 2 3 2" xfId="32943"/>
    <cellStyle name="Normal 5 2 3 6 2 4" xfId="18851"/>
    <cellStyle name="Normal 5 2 3 6 2 4 2" xfId="35072"/>
    <cellStyle name="Normal 5 2 3 6 2 5" xfId="28388"/>
    <cellStyle name="Normal 5 2 3 6 3" xfId="13051"/>
    <cellStyle name="Normal 5 2 3 6 3 2" xfId="20607"/>
    <cellStyle name="Normal 5 2 3 6 3 2 2" xfId="36828"/>
    <cellStyle name="Normal 5 2 3 6 3 3" xfId="30140"/>
    <cellStyle name="Normal 5 2 3 6 4" xfId="15137"/>
    <cellStyle name="Normal 5 2 3 6 4 2" xfId="31359"/>
    <cellStyle name="Normal 5 2 3 6 5" xfId="18850"/>
    <cellStyle name="Normal 5 2 3 6 5 2" xfId="35071"/>
    <cellStyle name="Normal 5 2 3 6 6" xfId="28387"/>
    <cellStyle name="Normal 5 2 3 7" xfId="8458"/>
    <cellStyle name="Normal 5 2 3 7 2" xfId="13053"/>
    <cellStyle name="Normal 5 2 3 7 2 2" xfId="20609"/>
    <cellStyle name="Normal 5 2 3 7 2 2 2" xfId="36830"/>
    <cellStyle name="Normal 5 2 3 7 2 3" xfId="30142"/>
    <cellStyle name="Normal 5 2 3 7 3" xfId="15930"/>
    <cellStyle name="Normal 5 2 3 7 3 2" xfId="32151"/>
    <cellStyle name="Normal 5 2 3 7 4" xfId="18852"/>
    <cellStyle name="Normal 5 2 3 7 4 2" xfId="35073"/>
    <cellStyle name="Normal 5 2 3 7 5" xfId="28389"/>
    <cellStyle name="Normal 5 2 3 8" xfId="13006"/>
    <cellStyle name="Normal 5 2 3 8 2" xfId="20562"/>
    <cellStyle name="Normal 5 2 3 8 2 2" xfId="36783"/>
    <cellStyle name="Normal 5 2 3 8 3" xfId="30095"/>
    <cellStyle name="Normal 5 2 3 9" xfId="14345"/>
    <cellStyle name="Normal 5 2 3 9 2" xfId="30567"/>
    <cellStyle name="Normal 5 2 4" xfId="8459"/>
    <cellStyle name="Normal 5 2 4 10" xfId="28390"/>
    <cellStyle name="Normal 5 2 4 2" xfId="8460"/>
    <cellStyle name="Normal 5 2 4 2 2" xfId="8461"/>
    <cellStyle name="Normal 5 2 4 2 2 2" xfId="8462"/>
    <cellStyle name="Normal 5 2 4 2 2 2 2" xfId="8463"/>
    <cellStyle name="Normal 5 2 4 2 2 2 2 2" xfId="13058"/>
    <cellStyle name="Normal 5 2 4 2 2 2 2 2 2" xfId="20614"/>
    <cellStyle name="Normal 5 2 4 2 2 2 2 2 2 2" xfId="36835"/>
    <cellStyle name="Normal 5 2 4 2 2 2 2 2 3" xfId="30147"/>
    <cellStyle name="Normal 5 2 4 2 2 2 2 3" xfId="17151"/>
    <cellStyle name="Normal 5 2 4 2 2 2 2 3 2" xfId="33372"/>
    <cellStyle name="Normal 5 2 4 2 2 2 2 4" xfId="18857"/>
    <cellStyle name="Normal 5 2 4 2 2 2 2 4 2" xfId="35078"/>
    <cellStyle name="Normal 5 2 4 2 2 2 2 5" xfId="28394"/>
    <cellStyle name="Normal 5 2 4 2 2 2 3" xfId="13057"/>
    <cellStyle name="Normal 5 2 4 2 2 2 3 2" xfId="20613"/>
    <cellStyle name="Normal 5 2 4 2 2 2 3 2 2" xfId="36834"/>
    <cellStyle name="Normal 5 2 4 2 2 2 3 3" xfId="30146"/>
    <cellStyle name="Normal 5 2 4 2 2 2 4" xfId="15566"/>
    <cellStyle name="Normal 5 2 4 2 2 2 4 2" xfId="31788"/>
    <cellStyle name="Normal 5 2 4 2 2 2 5" xfId="18856"/>
    <cellStyle name="Normal 5 2 4 2 2 2 5 2" xfId="35077"/>
    <cellStyle name="Normal 5 2 4 2 2 2 6" xfId="28393"/>
    <cellStyle name="Normal 5 2 4 2 2 3" xfId="8464"/>
    <cellStyle name="Normal 5 2 4 2 2 3 2" xfId="13059"/>
    <cellStyle name="Normal 5 2 4 2 2 3 2 2" xfId="20615"/>
    <cellStyle name="Normal 5 2 4 2 2 3 2 2 2" xfId="36836"/>
    <cellStyle name="Normal 5 2 4 2 2 3 2 3" xfId="30148"/>
    <cellStyle name="Normal 5 2 4 2 2 3 3" xfId="16359"/>
    <cellStyle name="Normal 5 2 4 2 2 3 3 2" xfId="32580"/>
    <cellStyle name="Normal 5 2 4 2 2 3 4" xfId="18858"/>
    <cellStyle name="Normal 5 2 4 2 2 3 4 2" xfId="35079"/>
    <cellStyle name="Normal 5 2 4 2 2 3 5" xfId="28395"/>
    <cellStyle name="Normal 5 2 4 2 2 4" xfId="13056"/>
    <cellStyle name="Normal 5 2 4 2 2 4 2" xfId="20612"/>
    <cellStyle name="Normal 5 2 4 2 2 4 2 2" xfId="36833"/>
    <cellStyle name="Normal 5 2 4 2 2 4 3" xfId="30145"/>
    <cellStyle name="Normal 5 2 4 2 2 5" xfId="14774"/>
    <cellStyle name="Normal 5 2 4 2 2 5 2" xfId="30996"/>
    <cellStyle name="Normal 5 2 4 2 2 6" xfId="18855"/>
    <cellStyle name="Normal 5 2 4 2 2 6 2" xfId="35076"/>
    <cellStyle name="Normal 5 2 4 2 2 7" xfId="28392"/>
    <cellStyle name="Normal 5 2 4 2 3" xfId="8465"/>
    <cellStyle name="Normal 5 2 4 2 3 2" xfId="8466"/>
    <cellStyle name="Normal 5 2 4 2 3 2 2" xfId="8467"/>
    <cellStyle name="Normal 5 2 4 2 3 2 2 2" xfId="13062"/>
    <cellStyle name="Normal 5 2 4 2 3 2 2 2 2" xfId="20618"/>
    <cellStyle name="Normal 5 2 4 2 3 2 2 2 2 2" xfId="36839"/>
    <cellStyle name="Normal 5 2 4 2 3 2 2 2 3" xfId="30151"/>
    <cellStyle name="Normal 5 2 4 2 3 2 2 3" xfId="17415"/>
    <cellStyle name="Normal 5 2 4 2 3 2 2 3 2" xfId="33636"/>
    <cellStyle name="Normal 5 2 4 2 3 2 2 4" xfId="18861"/>
    <cellStyle name="Normal 5 2 4 2 3 2 2 4 2" xfId="35082"/>
    <cellStyle name="Normal 5 2 4 2 3 2 2 5" xfId="28398"/>
    <cellStyle name="Normal 5 2 4 2 3 2 3" xfId="13061"/>
    <cellStyle name="Normal 5 2 4 2 3 2 3 2" xfId="20617"/>
    <cellStyle name="Normal 5 2 4 2 3 2 3 2 2" xfId="36838"/>
    <cellStyle name="Normal 5 2 4 2 3 2 3 3" xfId="30150"/>
    <cellStyle name="Normal 5 2 4 2 3 2 4" xfId="15830"/>
    <cellStyle name="Normal 5 2 4 2 3 2 4 2" xfId="32052"/>
    <cellStyle name="Normal 5 2 4 2 3 2 5" xfId="18860"/>
    <cellStyle name="Normal 5 2 4 2 3 2 5 2" xfId="35081"/>
    <cellStyle name="Normal 5 2 4 2 3 2 6" xfId="28397"/>
    <cellStyle name="Normal 5 2 4 2 3 3" xfId="8468"/>
    <cellStyle name="Normal 5 2 4 2 3 3 2" xfId="13063"/>
    <cellStyle name="Normal 5 2 4 2 3 3 2 2" xfId="20619"/>
    <cellStyle name="Normal 5 2 4 2 3 3 2 2 2" xfId="36840"/>
    <cellStyle name="Normal 5 2 4 2 3 3 2 3" xfId="30152"/>
    <cellStyle name="Normal 5 2 4 2 3 3 3" xfId="16623"/>
    <cellStyle name="Normal 5 2 4 2 3 3 3 2" xfId="32844"/>
    <cellStyle name="Normal 5 2 4 2 3 3 4" xfId="18862"/>
    <cellStyle name="Normal 5 2 4 2 3 3 4 2" xfId="35083"/>
    <cellStyle name="Normal 5 2 4 2 3 3 5" xfId="28399"/>
    <cellStyle name="Normal 5 2 4 2 3 4" xfId="13060"/>
    <cellStyle name="Normal 5 2 4 2 3 4 2" xfId="20616"/>
    <cellStyle name="Normal 5 2 4 2 3 4 2 2" xfId="36837"/>
    <cellStyle name="Normal 5 2 4 2 3 4 3" xfId="30149"/>
    <cellStyle name="Normal 5 2 4 2 3 5" xfId="15038"/>
    <cellStyle name="Normal 5 2 4 2 3 5 2" xfId="31260"/>
    <cellStyle name="Normal 5 2 4 2 3 6" xfId="18859"/>
    <cellStyle name="Normal 5 2 4 2 3 6 2" xfId="35080"/>
    <cellStyle name="Normal 5 2 4 2 3 7" xfId="28396"/>
    <cellStyle name="Normal 5 2 4 2 4" xfId="8469"/>
    <cellStyle name="Normal 5 2 4 2 4 2" xfId="8470"/>
    <cellStyle name="Normal 5 2 4 2 4 2 2" xfId="13065"/>
    <cellStyle name="Normal 5 2 4 2 4 2 2 2" xfId="20621"/>
    <cellStyle name="Normal 5 2 4 2 4 2 2 2 2" xfId="36842"/>
    <cellStyle name="Normal 5 2 4 2 4 2 2 3" xfId="30154"/>
    <cellStyle name="Normal 5 2 4 2 4 2 3" xfId="16887"/>
    <cellStyle name="Normal 5 2 4 2 4 2 3 2" xfId="33108"/>
    <cellStyle name="Normal 5 2 4 2 4 2 4" xfId="18864"/>
    <cellStyle name="Normal 5 2 4 2 4 2 4 2" xfId="35085"/>
    <cellStyle name="Normal 5 2 4 2 4 2 5" xfId="28401"/>
    <cellStyle name="Normal 5 2 4 2 4 3" xfId="13064"/>
    <cellStyle name="Normal 5 2 4 2 4 3 2" xfId="20620"/>
    <cellStyle name="Normal 5 2 4 2 4 3 2 2" xfId="36841"/>
    <cellStyle name="Normal 5 2 4 2 4 3 3" xfId="30153"/>
    <cellStyle name="Normal 5 2 4 2 4 4" xfId="15302"/>
    <cellStyle name="Normal 5 2 4 2 4 4 2" xfId="31524"/>
    <cellStyle name="Normal 5 2 4 2 4 5" xfId="18863"/>
    <cellStyle name="Normal 5 2 4 2 4 5 2" xfId="35084"/>
    <cellStyle name="Normal 5 2 4 2 4 6" xfId="28400"/>
    <cellStyle name="Normal 5 2 4 2 5" xfId="8471"/>
    <cellStyle name="Normal 5 2 4 2 5 2" xfId="13066"/>
    <cellStyle name="Normal 5 2 4 2 5 2 2" xfId="20622"/>
    <cellStyle name="Normal 5 2 4 2 5 2 2 2" xfId="36843"/>
    <cellStyle name="Normal 5 2 4 2 5 2 3" xfId="30155"/>
    <cellStyle name="Normal 5 2 4 2 5 3" xfId="16095"/>
    <cellStyle name="Normal 5 2 4 2 5 3 2" xfId="32316"/>
    <cellStyle name="Normal 5 2 4 2 5 4" xfId="18865"/>
    <cellStyle name="Normal 5 2 4 2 5 4 2" xfId="35086"/>
    <cellStyle name="Normal 5 2 4 2 5 5" xfId="28402"/>
    <cellStyle name="Normal 5 2 4 2 6" xfId="13055"/>
    <cellStyle name="Normal 5 2 4 2 6 2" xfId="20611"/>
    <cellStyle name="Normal 5 2 4 2 6 2 2" xfId="36832"/>
    <cellStyle name="Normal 5 2 4 2 6 3" xfId="30144"/>
    <cellStyle name="Normal 5 2 4 2 7" xfId="14510"/>
    <cellStyle name="Normal 5 2 4 2 7 2" xfId="30732"/>
    <cellStyle name="Normal 5 2 4 2 8" xfId="18854"/>
    <cellStyle name="Normal 5 2 4 2 8 2" xfId="35075"/>
    <cellStyle name="Normal 5 2 4 2 9" xfId="28391"/>
    <cellStyle name="Normal 5 2 4 3" xfId="8472"/>
    <cellStyle name="Normal 5 2 4 3 2" xfId="8473"/>
    <cellStyle name="Normal 5 2 4 3 2 2" xfId="8474"/>
    <cellStyle name="Normal 5 2 4 3 2 2 2" xfId="13069"/>
    <cellStyle name="Normal 5 2 4 3 2 2 2 2" xfId="20625"/>
    <cellStyle name="Normal 5 2 4 3 2 2 2 2 2" xfId="36846"/>
    <cellStyle name="Normal 5 2 4 3 2 2 2 3" xfId="30158"/>
    <cellStyle name="Normal 5 2 4 3 2 2 3" xfId="17019"/>
    <cellStyle name="Normal 5 2 4 3 2 2 3 2" xfId="33240"/>
    <cellStyle name="Normal 5 2 4 3 2 2 4" xfId="18868"/>
    <cellStyle name="Normal 5 2 4 3 2 2 4 2" xfId="35089"/>
    <cellStyle name="Normal 5 2 4 3 2 2 5" xfId="28405"/>
    <cellStyle name="Normal 5 2 4 3 2 3" xfId="13068"/>
    <cellStyle name="Normal 5 2 4 3 2 3 2" xfId="20624"/>
    <cellStyle name="Normal 5 2 4 3 2 3 2 2" xfId="36845"/>
    <cellStyle name="Normal 5 2 4 3 2 3 3" xfId="30157"/>
    <cellStyle name="Normal 5 2 4 3 2 4" xfId="15434"/>
    <cellStyle name="Normal 5 2 4 3 2 4 2" xfId="31656"/>
    <cellStyle name="Normal 5 2 4 3 2 5" xfId="18867"/>
    <cellStyle name="Normal 5 2 4 3 2 5 2" xfId="35088"/>
    <cellStyle name="Normal 5 2 4 3 2 6" xfId="28404"/>
    <cellStyle name="Normal 5 2 4 3 3" xfId="8475"/>
    <cellStyle name="Normal 5 2 4 3 3 2" xfId="13070"/>
    <cellStyle name="Normal 5 2 4 3 3 2 2" xfId="20626"/>
    <cellStyle name="Normal 5 2 4 3 3 2 2 2" xfId="36847"/>
    <cellStyle name="Normal 5 2 4 3 3 2 3" xfId="30159"/>
    <cellStyle name="Normal 5 2 4 3 3 3" xfId="16227"/>
    <cellStyle name="Normal 5 2 4 3 3 3 2" xfId="32448"/>
    <cellStyle name="Normal 5 2 4 3 3 4" xfId="18869"/>
    <cellStyle name="Normal 5 2 4 3 3 4 2" xfId="35090"/>
    <cellStyle name="Normal 5 2 4 3 3 5" xfId="28406"/>
    <cellStyle name="Normal 5 2 4 3 4" xfId="13067"/>
    <cellStyle name="Normal 5 2 4 3 4 2" xfId="20623"/>
    <cellStyle name="Normal 5 2 4 3 4 2 2" xfId="36844"/>
    <cellStyle name="Normal 5 2 4 3 4 3" xfId="30156"/>
    <cellStyle name="Normal 5 2 4 3 5" xfId="14642"/>
    <cellStyle name="Normal 5 2 4 3 5 2" xfId="30864"/>
    <cellStyle name="Normal 5 2 4 3 6" xfId="18866"/>
    <cellStyle name="Normal 5 2 4 3 6 2" xfId="35087"/>
    <cellStyle name="Normal 5 2 4 3 7" xfId="28403"/>
    <cellStyle name="Normal 5 2 4 4" xfId="8476"/>
    <cellStyle name="Normal 5 2 4 4 2" xfId="8477"/>
    <cellStyle name="Normal 5 2 4 4 2 2" xfId="8478"/>
    <cellStyle name="Normal 5 2 4 4 2 2 2" xfId="13073"/>
    <cellStyle name="Normal 5 2 4 4 2 2 2 2" xfId="20629"/>
    <cellStyle name="Normal 5 2 4 4 2 2 2 2 2" xfId="36850"/>
    <cellStyle name="Normal 5 2 4 4 2 2 2 3" xfId="30162"/>
    <cellStyle name="Normal 5 2 4 4 2 2 3" xfId="17283"/>
    <cellStyle name="Normal 5 2 4 4 2 2 3 2" xfId="33504"/>
    <cellStyle name="Normal 5 2 4 4 2 2 4" xfId="18872"/>
    <cellStyle name="Normal 5 2 4 4 2 2 4 2" xfId="35093"/>
    <cellStyle name="Normal 5 2 4 4 2 2 5" xfId="28409"/>
    <cellStyle name="Normal 5 2 4 4 2 3" xfId="13072"/>
    <cellStyle name="Normal 5 2 4 4 2 3 2" xfId="20628"/>
    <cellStyle name="Normal 5 2 4 4 2 3 2 2" xfId="36849"/>
    <cellStyle name="Normal 5 2 4 4 2 3 3" xfId="30161"/>
    <cellStyle name="Normal 5 2 4 4 2 4" xfId="15698"/>
    <cellStyle name="Normal 5 2 4 4 2 4 2" xfId="31920"/>
    <cellStyle name="Normal 5 2 4 4 2 5" xfId="18871"/>
    <cellStyle name="Normal 5 2 4 4 2 5 2" xfId="35092"/>
    <cellStyle name="Normal 5 2 4 4 2 6" xfId="28408"/>
    <cellStyle name="Normal 5 2 4 4 3" xfId="8479"/>
    <cellStyle name="Normal 5 2 4 4 3 2" xfId="13074"/>
    <cellStyle name="Normal 5 2 4 4 3 2 2" xfId="20630"/>
    <cellStyle name="Normal 5 2 4 4 3 2 2 2" xfId="36851"/>
    <cellStyle name="Normal 5 2 4 4 3 2 3" xfId="30163"/>
    <cellStyle name="Normal 5 2 4 4 3 3" xfId="16491"/>
    <cellStyle name="Normal 5 2 4 4 3 3 2" xfId="32712"/>
    <cellStyle name="Normal 5 2 4 4 3 4" xfId="18873"/>
    <cellStyle name="Normal 5 2 4 4 3 4 2" xfId="35094"/>
    <cellStyle name="Normal 5 2 4 4 3 5" xfId="28410"/>
    <cellStyle name="Normal 5 2 4 4 4" xfId="13071"/>
    <cellStyle name="Normal 5 2 4 4 4 2" xfId="20627"/>
    <cellStyle name="Normal 5 2 4 4 4 2 2" xfId="36848"/>
    <cellStyle name="Normal 5 2 4 4 4 3" xfId="30160"/>
    <cellStyle name="Normal 5 2 4 4 5" xfId="14906"/>
    <cellStyle name="Normal 5 2 4 4 5 2" xfId="31128"/>
    <cellStyle name="Normal 5 2 4 4 6" xfId="18870"/>
    <cellStyle name="Normal 5 2 4 4 6 2" xfId="35091"/>
    <cellStyle name="Normal 5 2 4 4 7" xfId="28407"/>
    <cellStyle name="Normal 5 2 4 5" xfId="8480"/>
    <cellStyle name="Normal 5 2 4 5 2" xfId="8481"/>
    <cellStyle name="Normal 5 2 4 5 2 2" xfId="13076"/>
    <cellStyle name="Normal 5 2 4 5 2 2 2" xfId="20632"/>
    <cellStyle name="Normal 5 2 4 5 2 2 2 2" xfId="36853"/>
    <cellStyle name="Normal 5 2 4 5 2 2 3" xfId="30165"/>
    <cellStyle name="Normal 5 2 4 5 2 3" xfId="16755"/>
    <cellStyle name="Normal 5 2 4 5 2 3 2" xfId="32976"/>
    <cellStyle name="Normal 5 2 4 5 2 4" xfId="18875"/>
    <cellStyle name="Normal 5 2 4 5 2 4 2" xfId="35096"/>
    <cellStyle name="Normal 5 2 4 5 2 5" xfId="28412"/>
    <cellStyle name="Normal 5 2 4 5 3" xfId="13075"/>
    <cellStyle name="Normal 5 2 4 5 3 2" xfId="20631"/>
    <cellStyle name="Normal 5 2 4 5 3 2 2" xfId="36852"/>
    <cellStyle name="Normal 5 2 4 5 3 3" xfId="30164"/>
    <cellStyle name="Normal 5 2 4 5 4" xfId="15170"/>
    <cellStyle name="Normal 5 2 4 5 4 2" xfId="31392"/>
    <cellStyle name="Normal 5 2 4 5 5" xfId="18874"/>
    <cellStyle name="Normal 5 2 4 5 5 2" xfId="35095"/>
    <cellStyle name="Normal 5 2 4 5 6" xfId="28411"/>
    <cellStyle name="Normal 5 2 4 6" xfId="8482"/>
    <cellStyle name="Normal 5 2 4 6 2" xfId="13077"/>
    <cellStyle name="Normal 5 2 4 6 2 2" xfId="20633"/>
    <cellStyle name="Normal 5 2 4 6 2 2 2" xfId="36854"/>
    <cellStyle name="Normal 5 2 4 6 2 3" xfId="30166"/>
    <cellStyle name="Normal 5 2 4 6 3" xfId="15963"/>
    <cellStyle name="Normal 5 2 4 6 3 2" xfId="32184"/>
    <cellStyle name="Normal 5 2 4 6 4" xfId="18876"/>
    <cellStyle name="Normal 5 2 4 6 4 2" xfId="35097"/>
    <cellStyle name="Normal 5 2 4 6 5" xfId="28413"/>
    <cellStyle name="Normal 5 2 4 7" xfId="13054"/>
    <cellStyle name="Normal 5 2 4 7 2" xfId="20610"/>
    <cellStyle name="Normal 5 2 4 7 2 2" xfId="36831"/>
    <cellStyle name="Normal 5 2 4 7 3" xfId="30143"/>
    <cellStyle name="Normal 5 2 4 8" xfId="14378"/>
    <cellStyle name="Normal 5 2 4 8 2" xfId="30600"/>
    <cellStyle name="Normal 5 2 4 9" xfId="18853"/>
    <cellStyle name="Normal 5 2 4 9 2" xfId="35074"/>
    <cellStyle name="Normal 5 2 5" xfId="8483"/>
    <cellStyle name="Normal 5 2 5 2" xfId="8484"/>
    <cellStyle name="Normal 5 2 5 2 2" xfId="8485"/>
    <cellStyle name="Normal 5 2 5 2 2 2" xfId="8486"/>
    <cellStyle name="Normal 5 2 5 2 2 2 2" xfId="13081"/>
    <cellStyle name="Normal 5 2 5 2 2 2 2 2" xfId="20637"/>
    <cellStyle name="Normal 5 2 5 2 2 2 2 2 2" xfId="36858"/>
    <cellStyle name="Normal 5 2 5 2 2 2 2 3" xfId="30170"/>
    <cellStyle name="Normal 5 2 5 2 2 2 3" xfId="17085"/>
    <cellStyle name="Normal 5 2 5 2 2 2 3 2" xfId="33306"/>
    <cellStyle name="Normal 5 2 5 2 2 2 4" xfId="18880"/>
    <cellStyle name="Normal 5 2 5 2 2 2 4 2" xfId="35101"/>
    <cellStyle name="Normal 5 2 5 2 2 2 5" xfId="28417"/>
    <cellStyle name="Normal 5 2 5 2 2 3" xfId="13080"/>
    <cellStyle name="Normal 5 2 5 2 2 3 2" xfId="20636"/>
    <cellStyle name="Normal 5 2 5 2 2 3 2 2" xfId="36857"/>
    <cellStyle name="Normal 5 2 5 2 2 3 3" xfId="30169"/>
    <cellStyle name="Normal 5 2 5 2 2 4" xfId="15500"/>
    <cellStyle name="Normal 5 2 5 2 2 4 2" xfId="31722"/>
    <cellStyle name="Normal 5 2 5 2 2 5" xfId="18879"/>
    <cellStyle name="Normal 5 2 5 2 2 5 2" xfId="35100"/>
    <cellStyle name="Normal 5 2 5 2 2 6" xfId="28416"/>
    <cellStyle name="Normal 5 2 5 2 3" xfId="8487"/>
    <cellStyle name="Normal 5 2 5 2 3 2" xfId="13082"/>
    <cellStyle name="Normal 5 2 5 2 3 2 2" xfId="20638"/>
    <cellStyle name="Normal 5 2 5 2 3 2 2 2" xfId="36859"/>
    <cellStyle name="Normal 5 2 5 2 3 2 3" xfId="30171"/>
    <cellStyle name="Normal 5 2 5 2 3 3" xfId="16293"/>
    <cellStyle name="Normal 5 2 5 2 3 3 2" xfId="32514"/>
    <cellStyle name="Normal 5 2 5 2 3 4" xfId="18881"/>
    <cellStyle name="Normal 5 2 5 2 3 4 2" xfId="35102"/>
    <cellStyle name="Normal 5 2 5 2 3 5" xfId="28418"/>
    <cellStyle name="Normal 5 2 5 2 4" xfId="13079"/>
    <cellStyle name="Normal 5 2 5 2 4 2" xfId="20635"/>
    <cellStyle name="Normal 5 2 5 2 4 2 2" xfId="36856"/>
    <cellStyle name="Normal 5 2 5 2 4 3" xfId="30168"/>
    <cellStyle name="Normal 5 2 5 2 5" xfId="14708"/>
    <cellStyle name="Normal 5 2 5 2 5 2" xfId="30930"/>
    <cellStyle name="Normal 5 2 5 2 6" xfId="18878"/>
    <cellStyle name="Normal 5 2 5 2 6 2" xfId="35099"/>
    <cellStyle name="Normal 5 2 5 2 7" xfId="28415"/>
    <cellStyle name="Normal 5 2 5 3" xfId="8488"/>
    <cellStyle name="Normal 5 2 5 3 2" xfId="8489"/>
    <cellStyle name="Normal 5 2 5 3 2 2" xfId="8490"/>
    <cellStyle name="Normal 5 2 5 3 2 2 2" xfId="13085"/>
    <cellStyle name="Normal 5 2 5 3 2 2 2 2" xfId="20641"/>
    <cellStyle name="Normal 5 2 5 3 2 2 2 2 2" xfId="36862"/>
    <cellStyle name="Normal 5 2 5 3 2 2 2 3" xfId="30174"/>
    <cellStyle name="Normal 5 2 5 3 2 2 3" xfId="17349"/>
    <cellStyle name="Normal 5 2 5 3 2 2 3 2" xfId="33570"/>
    <cellStyle name="Normal 5 2 5 3 2 2 4" xfId="18884"/>
    <cellStyle name="Normal 5 2 5 3 2 2 4 2" xfId="35105"/>
    <cellStyle name="Normal 5 2 5 3 2 2 5" xfId="28421"/>
    <cellStyle name="Normal 5 2 5 3 2 3" xfId="13084"/>
    <cellStyle name="Normal 5 2 5 3 2 3 2" xfId="20640"/>
    <cellStyle name="Normal 5 2 5 3 2 3 2 2" xfId="36861"/>
    <cellStyle name="Normal 5 2 5 3 2 3 3" xfId="30173"/>
    <cellStyle name="Normal 5 2 5 3 2 4" xfId="15764"/>
    <cellStyle name="Normal 5 2 5 3 2 4 2" xfId="31986"/>
    <cellStyle name="Normal 5 2 5 3 2 5" xfId="18883"/>
    <cellStyle name="Normal 5 2 5 3 2 5 2" xfId="35104"/>
    <cellStyle name="Normal 5 2 5 3 2 6" xfId="28420"/>
    <cellStyle name="Normal 5 2 5 3 3" xfId="8491"/>
    <cellStyle name="Normal 5 2 5 3 3 2" xfId="13086"/>
    <cellStyle name="Normal 5 2 5 3 3 2 2" xfId="20642"/>
    <cellStyle name="Normal 5 2 5 3 3 2 2 2" xfId="36863"/>
    <cellStyle name="Normal 5 2 5 3 3 2 3" xfId="30175"/>
    <cellStyle name="Normal 5 2 5 3 3 3" xfId="16557"/>
    <cellStyle name="Normal 5 2 5 3 3 3 2" xfId="32778"/>
    <cellStyle name="Normal 5 2 5 3 3 4" xfId="18885"/>
    <cellStyle name="Normal 5 2 5 3 3 4 2" xfId="35106"/>
    <cellStyle name="Normal 5 2 5 3 3 5" xfId="28422"/>
    <cellStyle name="Normal 5 2 5 3 4" xfId="13083"/>
    <cellStyle name="Normal 5 2 5 3 4 2" xfId="20639"/>
    <cellStyle name="Normal 5 2 5 3 4 2 2" xfId="36860"/>
    <cellStyle name="Normal 5 2 5 3 4 3" xfId="30172"/>
    <cellStyle name="Normal 5 2 5 3 5" xfId="14972"/>
    <cellStyle name="Normal 5 2 5 3 5 2" xfId="31194"/>
    <cellStyle name="Normal 5 2 5 3 6" xfId="18882"/>
    <cellStyle name="Normal 5 2 5 3 6 2" xfId="35103"/>
    <cellStyle name="Normal 5 2 5 3 7" xfId="28419"/>
    <cellStyle name="Normal 5 2 5 4" xfId="8492"/>
    <cellStyle name="Normal 5 2 5 4 2" xfId="8493"/>
    <cellStyle name="Normal 5 2 5 4 2 2" xfId="13088"/>
    <cellStyle name="Normal 5 2 5 4 2 2 2" xfId="20644"/>
    <cellStyle name="Normal 5 2 5 4 2 2 2 2" xfId="36865"/>
    <cellStyle name="Normal 5 2 5 4 2 2 3" xfId="30177"/>
    <cellStyle name="Normal 5 2 5 4 2 3" xfId="16821"/>
    <cellStyle name="Normal 5 2 5 4 2 3 2" xfId="33042"/>
    <cellStyle name="Normal 5 2 5 4 2 4" xfId="18887"/>
    <cellStyle name="Normal 5 2 5 4 2 4 2" xfId="35108"/>
    <cellStyle name="Normal 5 2 5 4 2 5" xfId="28424"/>
    <cellStyle name="Normal 5 2 5 4 3" xfId="13087"/>
    <cellStyle name="Normal 5 2 5 4 3 2" xfId="20643"/>
    <cellStyle name="Normal 5 2 5 4 3 2 2" xfId="36864"/>
    <cellStyle name="Normal 5 2 5 4 3 3" xfId="30176"/>
    <cellStyle name="Normal 5 2 5 4 4" xfId="15236"/>
    <cellStyle name="Normal 5 2 5 4 4 2" xfId="31458"/>
    <cellStyle name="Normal 5 2 5 4 5" xfId="18886"/>
    <cellStyle name="Normal 5 2 5 4 5 2" xfId="35107"/>
    <cellStyle name="Normal 5 2 5 4 6" xfId="28423"/>
    <cellStyle name="Normal 5 2 5 5" xfId="8494"/>
    <cellStyle name="Normal 5 2 5 5 2" xfId="13089"/>
    <cellStyle name="Normal 5 2 5 5 2 2" xfId="20645"/>
    <cellStyle name="Normal 5 2 5 5 2 2 2" xfId="36866"/>
    <cellStyle name="Normal 5 2 5 5 2 3" xfId="30178"/>
    <cellStyle name="Normal 5 2 5 5 3" xfId="16029"/>
    <cellStyle name="Normal 5 2 5 5 3 2" xfId="32250"/>
    <cellStyle name="Normal 5 2 5 5 4" xfId="18888"/>
    <cellStyle name="Normal 5 2 5 5 4 2" xfId="35109"/>
    <cellStyle name="Normal 5 2 5 5 5" xfId="28425"/>
    <cellStyle name="Normal 5 2 5 6" xfId="13078"/>
    <cellStyle name="Normal 5 2 5 6 2" xfId="20634"/>
    <cellStyle name="Normal 5 2 5 6 2 2" xfId="36855"/>
    <cellStyle name="Normal 5 2 5 6 3" xfId="30167"/>
    <cellStyle name="Normal 5 2 5 7" xfId="14444"/>
    <cellStyle name="Normal 5 2 5 7 2" xfId="30666"/>
    <cellStyle name="Normal 5 2 5 8" xfId="18877"/>
    <cellStyle name="Normal 5 2 5 8 2" xfId="35098"/>
    <cellStyle name="Normal 5 2 5 9" xfId="28414"/>
    <cellStyle name="Normal 5 2 6" xfId="8495"/>
    <cellStyle name="Normal 5 2 6 2" xfId="8496"/>
    <cellStyle name="Normal 5 2 6 2 2" xfId="8497"/>
    <cellStyle name="Normal 5 2 6 2 2 2" xfId="13092"/>
    <cellStyle name="Normal 5 2 6 2 2 2 2" xfId="20648"/>
    <cellStyle name="Normal 5 2 6 2 2 2 2 2" xfId="36869"/>
    <cellStyle name="Normal 5 2 6 2 2 2 3" xfId="30181"/>
    <cellStyle name="Normal 5 2 6 2 2 3" xfId="16953"/>
    <cellStyle name="Normal 5 2 6 2 2 3 2" xfId="33174"/>
    <cellStyle name="Normal 5 2 6 2 2 4" xfId="18891"/>
    <cellStyle name="Normal 5 2 6 2 2 4 2" xfId="35112"/>
    <cellStyle name="Normal 5 2 6 2 2 5" xfId="28428"/>
    <cellStyle name="Normal 5 2 6 2 3" xfId="13091"/>
    <cellStyle name="Normal 5 2 6 2 3 2" xfId="20647"/>
    <cellStyle name="Normal 5 2 6 2 3 2 2" xfId="36868"/>
    <cellStyle name="Normal 5 2 6 2 3 3" xfId="30180"/>
    <cellStyle name="Normal 5 2 6 2 4" xfId="15368"/>
    <cellStyle name="Normal 5 2 6 2 4 2" xfId="31590"/>
    <cellStyle name="Normal 5 2 6 2 5" xfId="18890"/>
    <cellStyle name="Normal 5 2 6 2 5 2" xfId="35111"/>
    <cellStyle name="Normal 5 2 6 2 6" xfId="28427"/>
    <cellStyle name="Normal 5 2 6 3" xfId="8498"/>
    <cellStyle name="Normal 5 2 6 3 2" xfId="13093"/>
    <cellStyle name="Normal 5 2 6 3 2 2" xfId="20649"/>
    <cellStyle name="Normal 5 2 6 3 2 2 2" xfId="36870"/>
    <cellStyle name="Normal 5 2 6 3 2 3" xfId="30182"/>
    <cellStyle name="Normal 5 2 6 3 3" xfId="16161"/>
    <cellStyle name="Normal 5 2 6 3 3 2" xfId="32382"/>
    <cellStyle name="Normal 5 2 6 3 4" xfId="18892"/>
    <cellStyle name="Normal 5 2 6 3 4 2" xfId="35113"/>
    <cellStyle name="Normal 5 2 6 3 5" xfId="28429"/>
    <cellStyle name="Normal 5 2 6 4" xfId="13090"/>
    <cellStyle name="Normal 5 2 6 4 2" xfId="20646"/>
    <cellStyle name="Normal 5 2 6 4 2 2" xfId="36867"/>
    <cellStyle name="Normal 5 2 6 4 3" xfId="30179"/>
    <cellStyle name="Normal 5 2 6 5" xfId="14576"/>
    <cellStyle name="Normal 5 2 6 5 2" xfId="30798"/>
    <cellStyle name="Normal 5 2 6 6" xfId="18889"/>
    <cellStyle name="Normal 5 2 6 6 2" xfId="35110"/>
    <cellStyle name="Normal 5 2 6 7" xfId="28426"/>
    <cellStyle name="Normal 5 2 7" xfId="8499"/>
    <cellStyle name="Normal 5 2 7 2" xfId="8500"/>
    <cellStyle name="Normal 5 2 7 2 2" xfId="8501"/>
    <cellStyle name="Normal 5 2 7 2 2 2" xfId="13096"/>
    <cellStyle name="Normal 5 2 7 2 2 2 2" xfId="20652"/>
    <cellStyle name="Normal 5 2 7 2 2 2 2 2" xfId="36873"/>
    <cellStyle name="Normal 5 2 7 2 2 2 3" xfId="30185"/>
    <cellStyle name="Normal 5 2 7 2 2 3" xfId="17217"/>
    <cellStyle name="Normal 5 2 7 2 2 3 2" xfId="33438"/>
    <cellStyle name="Normal 5 2 7 2 2 4" xfId="18895"/>
    <cellStyle name="Normal 5 2 7 2 2 4 2" xfId="35116"/>
    <cellStyle name="Normal 5 2 7 2 2 5" xfId="28432"/>
    <cellStyle name="Normal 5 2 7 2 3" xfId="13095"/>
    <cellStyle name="Normal 5 2 7 2 3 2" xfId="20651"/>
    <cellStyle name="Normal 5 2 7 2 3 2 2" xfId="36872"/>
    <cellStyle name="Normal 5 2 7 2 3 3" xfId="30184"/>
    <cellStyle name="Normal 5 2 7 2 4" xfId="15632"/>
    <cellStyle name="Normal 5 2 7 2 4 2" xfId="31854"/>
    <cellStyle name="Normal 5 2 7 2 5" xfId="18894"/>
    <cellStyle name="Normal 5 2 7 2 5 2" xfId="35115"/>
    <cellStyle name="Normal 5 2 7 2 6" xfId="28431"/>
    <cellStyle name="Normal 5 2 7 3" xfId="8502"/>
    <cellStyle name="Normal 5 2 7 3 2" xfId="13097"/>
    <cellStyle name="Normal 5 2 7 3 2 2" xfId="20653"/>
    <cellStyle name="Normal 5 2 7 3 2 2 2" xfId="36874"/>
    <cellStyle name="Normal 5 2 7 3 2 3" xfId="30186"/>
    <cellStyle name="Normal 5 2 7 3 3" xfId="16425"/>
    <cellStyle name="Normal 5 2 7 3 3 2" xfId="32646"/>
    <cellStyle name="Normal 5 2 7 3 4" xfId="18896"/>
    <cellStyle name="Normal 5 2 7 3 4 2" xfId="35117"/>
    <cellStyle name="Normal 5 2 7 3 5" xfId="28433"/>
    <cellStyle name="Normal 5 2 7 4" xfId="13094"/>
    <cellStyle name="Normal 5 2 7 4 2" xfId="20650"/>
    <cellStyle name="Normal 5 2 7 4 2 2" xfId="36871"/>
    <cellStyle name="Normal 5 2 7 4 3" xfId="30183"/>
    <cellStyle name="Normal 5 2 7 5" xfId="14840"/>
    <cellStyle name="Normal 5 2 7 5 2" xfId="31062"/>
    <cellStyle name="Normal 5 2 7 6" xfId="18893"/>
    <cellStyle name="Normal 5 2 7 6 2" xfId="35114"/>
    <cellStyle name="Normal 5 2 7 7" xfId="28430"/>
    <cellStyle name="Normal 5 2 8" xfId="8503"/>
    <cellStyle name="Normal 5 2 8 2" xfId="8504"/>
    <cellStyle name="Normal 5 2 8 2 2" xfId="13099"/>
    <cellStyle name="Normal 5 2 8 2 2 2" xfId="20655"/>
    <cellStyle name="Normal 5 2 8 2 2 2 2" xfId="36876"/>
    <cellStyle name="Normal 5 2 8 2 2 3" xfId="30188"/>
    <cellStyle name="Normal 5 2 8 2 3" xfId="16689"/>
    <cellStyle name="Normal 5 2 8 2 3 2" xfId="32910"/>
    <cellStyle name="Normal 5 2 8 2 4" xfId="18898"/>
    <cellStyle name="Normal 5 2 8 2 4 2" xfId="35119"/>
    <cellStyle name="Normal 5 2 8 2 5" xfId="28435"/>
    <cellStyle name="Normal 5 2 8 3" xfId="13098"/>
    <cellStyle name="Normal 5 2 8 3 2" xfId="20654"/>
    <cellStyle name="Normal 5 2 8 3 2 2" xfId="36875"/>
    <cellStyle name="Normal 5 2 8 3 3" xfId="30187"/>
    <cellStyle name="Normal 5 2 8 4" xfId="15104"/>
    <cellStyle name="Normal 5 2 8 4 2" xfId="31326"/>
    <cellStyle name="Normal 5 2 8 5" xfId="18897"/>
    <cellStyle name="Normal 5 2 8 5 2" xfId="35118"/>
    <cellStyle name="Normal 5 2 8 6" xfId="28434"/>
    <cellStyle name="Normal 5 2 9" xfId="8505"/>
    <cellStyle name="Normal 5 2 9 2" xfId="13100"/>
    <cellStyle name="Normal 5 2 9 2 2" xfId="20656"/>
    <cellStyle name="Normal 5 2 9 2 2 2" xfId="36877"/>
    <cellStyle name="Normal 5 2 9 2 3" xfId="30189"/>
    <cellStyle name="Normal 5 2 9 3" xfId="15897"/>
    <cellStyle name="Normal 5 2 9 3 2" xfId="32118"/>
    <cellStyle name="Normal 5 2 9 4" xfId="18899"/>
    <cellStyle name="Normal 5 2 9 4 2" xfId="35120"/>
    <cellStyle name="Normal 5 2 9 5" xfId="28436"/>
    <cellStyle name="Normal 5 3" xfId="205"/>
    <cellStyle name="Normal 5 3 10" xfId="18900"/>
    <cellStyle name="Normal 5 3 10 2" xfId="35121"/>
    <cellStyle name="Normal 5 3 11" xfId="8506"/>
    <cellStyle name="Normal 5 3 11 2" xfId="28437"/>
    <cellStyle name="Normal 5 3 12" xfId="4912"/>
    <cellStyle name="Normal 5 3 13" xfId="21031"/>
    <cellStyle name="Normal 5 3 13 2" xfId="37243"/>
    <cellStyle name="Normal 5 3 14" xfId="22529"/>
    <cellStyle name="Normal 5 3 15" xfId="324"/>
    <cellStyle name="Normal 5 3 2" xfId="1859"/>
    <cellStyle name="Normal 5 3 2 10" xfId="8507"/>
    <cellStyle name="Normal 5 3 2 10 2" xfId="28438"/>
    <cellStyle name="Normal 5 3 2 11" xfId="24027"/>
    <cellStyle name="Normal 5 3 2 2" xfId="8508"/>
    <cellStyle name="Normal 5 3 2 2 2" xfId="8509"/>
    <cellStyle name="Normal 5 3 2 2 2 2" xfId="8510"/>
    <cellStyle name="Normal 5 3 2 2 2 2 2" xfId="8511"/>
    <cellStyle name="Normal 5 3 2 2 2 2 2 2" xfId="13106"/>
    <cellStyle name="Normal 5 3 2 2 2 2 2 2 2" xfId="20662"/>
    <cellStyle name="Normal 5 3 2 2 2 2 2 2 2 2" xfId="36883"/>
    <cellStyle name="Normal 5 3 2 2 2 2 2 2 3" xfId="30195"/>
    <cellStyle name="Normal 5 3 2 2 2 2 2 3" xfId="17183"/>
    <cellStyle name="Normal 5 3 2 2 2 2 2 3 2" xfId="33404"/>
    <cellStyle name="Normal 5 3 2 2 2 2 2 4" xfId="18905"/>
    <cellStyle name="Normal 5 3 2 2 2 2 2 4 2" xfId="35126"/>
    <cellStyle name="Normal 5 3 2 2 2 2 2 5" xfId="28442"/>
    <cellStyle name="Normal 5 3 2 2 2 2 3" xfId="13105"/>
    <cellStyle name="Normal 5 3 2 2 2 2 3 2" xfId="20661"/>
    <cellStyle name="Normal 5 3 2 2 2 2 3 2 2" xfId="36882"/>
    <cellStyle name="Normal 5 3 2 2 2 2 3 3" xfId="30194"/>
    <cellStyle name="Normal 5 3 2 2 2 2 4" xfId="15598"/>
    <cellStyle name="Normal 5 3 2 2 2 2 4 2" xfId="31820"/>
    <cellStyle name="Normal 5 3 2 2 2 2 5" xfId="18904"/>
    <cellStyle name="Normal 5 3 2 2 2 2 5 2" xfId="35125"/>
    <cellStyle name="Normal 5 3 2 2 2 2 6" xfId="28441"/>
    <cellStyle name="Normal 5 3 2 2 2 3" xfId="8512"/>
    <cellStyle name="Normal 5 3 2 2 2 3 2" xfId="13107"/>
    <cellStyle name="Normal 5 3 2 2 2 3 2 2" xfId="20663"/>
    <cellStyle name="Normal 5 3 2 2 2 3 2 2 2" xfId="36884"/>
    <cellStyle name="Normal 5 3 2 2 2 3 2 3" xfId="30196"/>
    <cellStyle name="Normal 5 3 2 2 2 3 3" xfId="16391"/>
    <cellStyle name="Normal 5 3 2 2 2 3 3 2" xfId="32612"/>
    <cellStyle name="Normal 5 3 2 2 2 3 4" xfId="18906"/>
    <cellStyle name="Normal 5 3 2 2 2 3 4 2" xfId="35127"/>
    <cellStyle name="Normal 5 3 2 2 2 3 5" xfId="28443"/>
    <cellStyle name="Normal 5 3 2 2 2 4" xfId="13104"/>
    <cellStyle name="Normal 5 3 2 2 2 4 2" xfId="20660"/>
    <cellStyle name="Normal 5 3 2 2 2 4 2 2" xfId="36881"/>
    <cellStyle name="Normal 5 3 2 2 2 4 3" xfId="30193"/>
    <cellStyle name="Normal 5 3 2 2 2 5" xfId="14806"/>
    <cellStyle name="Normal 5 3 2 2 2 5 2" xfId="31028"/>
    <cellStyle name="Normal 5 3 2 2 2 6" xfId="18903"/>
    <cellStyle name="Normal 5 3 2 2 2 6 2" xfId="35124"/>
    <cellStyle name="Normal 5 3 2 2 2 7" xfId="28440"/>
    <cellStyle name="Normal 5 3 2 2 3" xfId="8513"/>
    <cellStyle name="Normal 5 3 2 2 3 2" xfId="8514"/>
    <cellStyle name="Normal 5 3 2 2 3 2 2" xfId="8515"/>
    <cellStyle name="Normal 5 3 2 2 3 2 2 2" xfId="13110"/>
    <cellStyle name="Normal 5 3 2 2 3 2 2 2 2" xfId="20666"/>
    <cellStyle name="Normal 5 3 2 2 3 2 2 2 2 2" xfId="36887"/>
    <cellStyle name="Normal 5 3 2 2 3 2 2 2 3" xfId="30199"/>
    <cellStyle name="Normal 5 3 2 2 3 2 2 3" xfId="17447"/>
    <cellStyle name="Normal 5 3 2 2 3 2 2 3 2" xfId="33668"/>
    <cellStyle name="Normal 5 3 2 2 3 2 2 4" xfId="18909"/>
    <cellStyle name="Normal 5 3 2 2 3 2 2 4 2" xfId="35130"/>
    <cellStyle name="Normal 5 3 2 2 3 2 2 5" xfId="28446"/>
    <cellStyle name="Normal 5 3 2 2 3 2 3" xfId="13109"/>
    <cellStyle name="Normal 5 3 2 2 3 2 3 2" xfId="20665"/>
    <cellStyle name="Normal 5 3 2 2 3 2 3 2 2" xfId="36886"/>
    <cellStyle name="Normal 5 3 2 2 3 2 3 3" xfId="30198"/>
    <cellStyle name="Normal 5 3 2 2 3 2 4" xfId="15862"/>
    <cellStyle name="Normal 5 3 2 2 3 2 4 2" xfId="32084"/>
    <cellStyle name="Normal 5 3 2 2 3 2 5" xfId="18908"/>
    <cellStyle name="Normal 5 3 2 2 3 2 5 2" xfId="35129"/>
    <cellStyle name="Normal 5 3 2 2 3 2 6" xfId="28445"/>
    <cellStyle name="Normal 5 3 2 2 3 3" xfId="8516"/>
    <cellStyle name="Normal 5 3 2 2 3 3 2" xfId="13111"/>
    <cellStyle name="Normal 5 3 2 2 3 3 2 2" xfId="20667"/>
    <cellStyle name="Normal 5 3 2 2 3 3 2 2 2" xfId="36888"/>
    <cellStyle name="Normal 5 3 2 2 3 3 2 3" xfId="30200"/>
    <cellStyle name="Normal 5 3 2 2 3 3 3" xfId="16655"/>
    <cellStyle name="Normal 5 3 2 2 3 3 3 2" xfId="32876"/>
    <cellStyle name="Normal 5 3 2 2 3 3 4" xfId="18910"/>
    <cellStyle name="Normal 5 3 2 2 3 3 4 2" xfId="35131"/>
    <cellStyle name="Normal 5 3 2 2 3 3 5" xfId="28447"/>
    <cellStyle name="Normal 5 3 2 2 3 4" xfId="13108"/>
    <cellStyle name="Normal 5 3 2 2 3 4 2" xfId="20664"/>
    <cellStyle name="Normal 5 3 2 2 3 4 2 2" xfId="36885"/>
    <cellStyle name="Normal 5 3 2 2 3 4 3" xfId="30197"/>
    <cellStyle name="Normal 5 3 2 2 3 5" xfId="15070"/>
    <cellStyle name="Normal 5 3 2 2 3 5 2" xfId="31292"/>
    <cellStyle name="Normal 5 3 2 2 3 6" xfId="18907"/>
    <cellStyle name="Normal 5 3 2 2 3 6 2" xfId="35128"/>
    <cellStyle name="Normal 5 3 2 2 3 7" xfId="28444"/>
    <cellStyle name="Normal 5 3 2 2 4" xfId="8517"/>
    <cellStyle name="Normal 5 3 2 2 4 2" xfId="8518"/>
    <cellStyle name="Normal 5 3 2 2 4 2 2" xfId="13113"/>
    <cellStyle name="Normal 5 3 2 2 4 2 2 2" xfId="20669"/>
    <cellStyle name="Normal 5 3 2 2 4 2 2 2 2" xfId="36890"/>
    <cellStyle name="Normal 5 3 2 2 4 2 2 3" xfId="30202"/>
    <cellStyle name="Normal 5 3 2 2 4 2 3" xfId="16919"/>
    <cellStyle name="Normal 5 3 2 2 4 2 3 2" xfId="33140"/>
    <cellStyle name="Normal 5 3 2 2 4 2 4" xfId="18912"/>
    <cellStyle name="Normal 5 3 2 2 4 2 4 2" xfId="35133"/>
    <cellStyle name="Normal 5 3 2 2 4 2 5" xfId="28449"/>
    <cellStyle name="Normal 5 3 2 2 4 3" xfId="13112"/>
    <cellStyle name="Normal 5 3 2 2 4 3 2" xfId="20668"/>
    <cellStyle name="Normal 5 3 2 2 4 3 2 2" xfId="36889"/>
    <cellStyle name="Normal 5 3 2 2 4 3 3" xfId="30201"/>
    <cellStyle name="Normal 5 3 2 2 4 4" xfId="15334"/>
    <cellStyle name="Normal 5 3 2 2 4 4 2" xfId="31556"/>
    <cellStyle name="Normal 5 3 2 2 4 5" xfId="18911"/>
    <cellStyle name="Normal 5 3 2 2 4 5 2" xfId="35132"/>
    <cellStyle name="Normal 5 3 2 2 4 6" xfId="28448"/>
    <cellStyle name="Normal 5 3 2 2 5" xfId="8519"/>
    <cellStyle name="Normal 5 3 2 2 5 2" xfId="13114"/>
    <cellStyle name="Normal 5 3 2 2 5 2 2" xfId="20670"/>
    <cellStyle name="Normal 5 3 2 2 5 2 2 2" xfId="36891"/>
    <cellStyle name="Normal 5 3 2 2 5 2 3" xfId="30203"/>
    <cellStyle name="Normal 5 3 2 2 5 3" xfId="16127"/>
    <cellStyle name="Normal 5 3 2 2 5 3 2" xfId="32348"/>
    <cellStyle name="Normal 5 3 2 2 5 4" xfId="18913"/>
    <cellStyle name="Normal 5 3 2 2 5 4 2" xfId="35134"/>
    <cellStyle name="Normal 5 3 2 2 5 5" xfId="28450"/>
    <cellStyle name="Normal 5 3 2 2 6" xfId="13103"/>
    <cellStyle name="Normal 5 3 2 2 6 2" xfId="20659"/>
    <cellStyle name="Normal 5 3 2 2 6 2 2" xfId="36880"/>
    <cellStyle name="Normal 5 3 2 2 6 3" xfId="30192"/>
    <cellStyle name="Normal 5 3 2 2 7" xfId="14542"/>
    <cellStyle name="Normal 5 3 2 2 7 2" xfId="30764"/>
    <cellStyle name="Normal 5 3 2 2 8" xfId="18902"/>
    <cellStyle name="Normal 5 3 2 2 8 2" xfId="35123"/>
    <cellStyle name="Normal 5 3 2 2 9" xfId="28439"/>
    <cellStyle name="Normal 5 3 2 3" xfId="8520"/>
    <cellStyle name="Normal 5 3 2 3 2" xfId="8521"/>
    <cellStyle name="Normal 5 3 2 3 2 2" xfId="8522"/>
    <cellStyle name="Normal 5 3 2 3 2 2 2" xfId="13117"/>
    <cellStyle name="Normal 5 3 2 3 2 2 2 2" xfId="20673"/>
    <cellStyle name="Normal 5 3 2 3 2 2 2 2 2" xfId="36894"/>
    <cellStyle name="Normal 5 3 2 3 2 2 2 3" xfId="30206"/>
    <cellStyle name="Normal 5 3 2 3 2 2 3" xfId="17051"/>
    <cellStyle name="Normal 5 3 2 3 2 2 3 2" xfId="33272"/>
    <cellStyle name="Normal 5 3 2 3 2 2 4" xfId="18916"/>
    <cellStyle name="Normal 5 3 2 3 2 2 4 2" xfId="35137"/>
    <cellStyle name="Normal 5 3 2 3 2 2 5" xfId="28453"/>
    <cellStyle name="Normal 5 3 2 3 2 3" xfId="13116"/>
    <cellStyle name="Normal 5 3 2 3 2 3 2" xfId="20672"/>
    <cellStyle name="Normal 5 3 2 3 2 3 2 2" xfId="36893"/>
    <cellStyle name="Normal 5 3 2 3 2 3 3" xfId="30205"/>
    <cellStyle name="Normal 5 3 2 3 2 4" xfId="15466"/>
    <cellStyle name="Normal 5 3 2 3 2 4 2" xfId="31688"/>
    <cellStyle name="Normal 5 3 2 3 2 5" xfId="18915"/>
    <cellStyle name="Normal 5 3 2 3 2 5 2" xfId="35136"/>
    <cellStyle name="Normal 5 3 2 3 2 6" xfId="28452"/>
    <cellStyle name="Normal 5 3 2 3 3" xfId="8523"/>
    <cellStyle name="Normal 5 3 2 3 3 2" xfId="13118"/>
    <cellStyle name="Normal 5 3 2 3 3 2 2" xfId="20674"/>
    <cellStyle name="Normal 5 3 2 3 3 2 2 2" xfId="36895"/>
    <cellStyle name="Normal 5 3 2 3 3 2 3" xfId="30207"/>
    <cellStyle name="Normal 5 3 2 3 3 3" xfId="16259"/>
    <cellStyle name="Normal 5 3 2 3 3 3 2" xfId="32480"/>
    <cellStyle name="Normal 5 3 2 3 3 4" xfId="18917"/>
    <cellStyle name="Normal 5 3 2 3 3 4 2" xfId="35138"/>
    <cellStyle name="Normal 5 3 2 3 3 5" xfId="28454"/>
    <cellStyle name="Normal 5 3 2 3 4" xfId="13115"/>
    <cellStyle name="Normal 5 3 2 3 4 2" xfId="20671"/>
    <cellStyle name="Normal 5 3 2 3 4 2 2" xfId="36892"/>
    <cellStyle name="Normal 5 3 2 3 4 3" xfId="30204"/>
    <cellStyle name="Normal 5 3 2 3 5" xfId="14674"/>
    <cellStyle name="Normal 5 3 2 3 5 2" xfId="30896"/>
    <cellStyle name="Normal 5 3 2 3 6" xfId="18914"/>
    <cellStyle name="Normal 5 3 2 3 6 2" xfId="35135"/>
    <cellStyle name="Normal 5 3 2 3 7" xfId="28451"/>
    <cellStyle name="Normal 5 3 2 4" xfId="8524"/>
    <cellStyle name="Normal 5 3 2 4 2" xfId="8525"/>
    <cellStyle name="Normal 5 3 2 4 2 2" xfId="8526"/>
    <cellStyle name="Normal 5 3 2 4 2 2 2" xfId="13121"/>
    <cellStyle name="Normal 5 3 2 4 2 2 2 2" xfId="20677"/>
    <cellStyle name="Normal 5 3 2 4 2 2 2 2 2" xfId="36898"/>
    <cellStyle name="Normal 5 3 2 4 2 2 2 3" xfId="30210"/>
    <cellStyle name="Normal 5 3 2 4 2 2 3" xfId="17315"/>
    <cellStyle name="Normal 5 3 2 4 2 2 3 2" xfId="33536"/>
    <cellStyle name="Normal 5 3 2 4 2 2 4" xfId="18920"/>
    <cellStyle name="Normal 5 3 2 4 2 2 4 2" xfId="35141"/>
    <cellStyle name="Normal 5 3 2 4 2 2 5" xfId="28457"/>
    <cellStyle name="Normal 5 3 2 4 2 3" xfId="13120"/>
    <cellStyle name="Normal 5 3 2 4 2 3 2" xfId="20676"/>
    <cellStyle name="Normal 5 3 2 4 2 3 2 2" xfId="36897"/>
    <cellStyle name="Normal 5 3 2 4 2 3 3" xfId="30209"/>
    <cellStyle name="Normal 5 3 2 4 2 4" xfId="15730"/>
    <cellStyle name="Normal 5 3 2 4 2 4 2" xfId="31952"/>
    <cellStyle name="Normal 5 3 2 4 2 5" xfId="18919"/>
    <cellStyle name="Normal 5 3 2 4 2 5 2" xfId="35140"/>
    <cellStyle name="Normal 5 3 2 4 2 6" xfId="28456"/>
    <cellStyle name="Normal 5 3 2 4 3" xfId="8527"/>
    <cellStyle name="Normal 5 3 2 4 3 2" xfId="13122"/>
    <cellStyle name="Normal 5 3 2 4 3 2 2" xfId="20678"/>
    <cellStyle name="Normal 5 3 2 4 3 2 2 2" xfId="36899"/>
    <cellStyle name="Normal 5 3 2 4 3 2 3" xfId="30211"/>
    <cellStyle name="Normal 5 3 2 4 3 3" xfId="16523"/>
    <cellStyle name="Normal 5 3 2 4 3 3 2" xfId="32744"/>
    <cellStyle name="Normal 5 3 2 4 3 4" xfId="18921"/>
    <cellStyle name="Normal 5 3 2 4 3 4 2" xfId="35142"/>
    <cellStyle name="Normal 5 3 2 4 3 5" xfId="28458"/>
    <cellStyle name="Normal 5 3 2 4 4" xfId="13119"/>
    <cellStyle name="Normal 5 3 2 4 4 2" xfId="20675"/>
    <cellStyle name="Normal 5 3 2 4 4 2 2" xfId="36896"/>
    <cellStyle name="Normal 5 3 2 4 4 3" xfId="30208"/>
    <cellStyle name="Normal 5 3 2 4 5" xfId="14938"/>
    <cellStyle name="Normal 5 3 2 4 5 2" xfId="31160"/>
    <cellStyle name="Normal 5 3 2 4 6" xfId="18918"/>
    <cellStyle name="Normal 5 3 2 4 6 2" xfId="35139"/>
    <cellStyle name="Normal 5 3 2 4 7" xfId="28455"/>
    <cellStyle name="Normal 5 3 2 5" xfId="8528"/>
    <cellStyle name="Normal 5 3 2 5 2" xfId="8529"/>
    <cellStyle name="Normal 5 3 2 5 2 2" xfId="13124"/>
    <cellStyle name="Normal 5 3 2 5 2 2 2" xfId="20680"/>
    <cellStyle name="Normal 5 3 2 5 2 2 2 2" xfId="36901"/>
    <cellStyle name="Normal 5 3 2 5 2 2 3" xfId="30213"/>
    <cellStyle name="Normal 5 3 2 5 2 3" xfId="16787"/>
    <cellStyle name="Normal 5 3 2 5 2 3 2" xfId="33008"/>
    <cellStyle name="Normal 5 3 2 5 2 4" xfId="18923"/>
    <cellStyle name="Normal 5 3 2 5 2 4 2" xfId="35144"/>
    <cellStyle name="Normal 5 3 2 5 2 5" xfId="28460"/>
    <cellStyle name="Normal 5 3 2 5 3" xfId="13123"/>
    <cellStyle name="Normal 5 3 2 5 3 2" xfId="20679"/>
    <cellStyle name="Normal 5 3 2 5 3 2 2" xfId="36900"/>
    <cellStyle name="Normal 5 3 2 5 3 3" xfId="30212"/>
    <cellStyle name="Normal 5 3 2 5 4" xfId="15202"/>
    <cellStyle name="Normal 5 3 2 5 4 2" xfId="31424"/>
    <cellStyle name="Normal 5 3 2 5 5" xfId="18922"/>
    <cellStyle name="Normal 5 3 2 5 5 2" xfId="35143"/>
    <cellStyle name="Normal 5 3 2 5 6" xfId="28459"/>
    <cellStyle name="Normal 5 3 2 6" xfId="8530"/>
    <cellStyle name="Normal 5 3 2 6 2" xfId="13125"/>
    <cellStyle name="Normal 5 3 2 6 2 2" xfId="20681"/>
    <cellStyle name="Normal 5 3 2 6 2 2 2" xfId="36902"/>
    <cellStyle name="Normal 5 3 2 6 2 3" xfId="30214"/>
    <cellStyle name="Normal 5 3 2 6 3" xfId="15995"/>
    <cellStyle name="Normal 5 3 2 6 3 2" xfId="32216"/>
    <cellStyle name="Normal 5 3 2 6 4" xfId="18924"/>
    <cellStyle name="Normal 5 3 2 6 4 2" xfId="35145"/>
    <cellStyle name="Normal 5 3 2 6 5" xfId="28461"/>
    <cellStyle name="Normal 5 3 2 7" xfId="13102"/>
    <cellStyle name="Normal 5 3 2 7 2" xfId="20658"/>
    <cellStyle name="Normal 5 3 2 7 2 2" xfId="36879"/>
    <cellStyle name="Normal 5 3 2 7 3" xfId="30191"/>
    <cellStyle name="Normal 5 3 2 8" xfId="14410"/>
    <cellStyle name="Normal 5 3 2 8 2" xfId="30632"/>
    <cellStyle name="Normal 5 3 2 9" xfId="18901"/>
    <cellStyle name="Normal 5 3 2 9 2" xfId="35122"/>
    <cellStyle name="Normal 5 3 3" xfId="3358"/>
    <cellStyle name="Normal 5 3 3 10" xfId="25525"/>
    <cellStyle name="Normal 5 3 3 2" xfId="8532"/>
    <cellStyle name="Normal 5 3 3 2 2" xfId="8533"/>
    <cellStyle name="Normal 5 3 3 2 2 2" xfId="8534"/>
    <cellStyle name="Normal 5 3 3 2 2 2 2" xfId="13129"/>
    <cellStyle name="Normal 5 3 3 2 2 2 2 2" xfId="20685"/>
    <cellStyle name="Normal 5 3 3 2 2 2 2 2 2" xfId="36906"/>
    <cellStyle name="Normal 5 3 3 2 2 2 2 3" xfId="30218"/>
    <cellStyle name="Normal 5 3 3 2 2 2 3" xfId="17117"/>
    <cellStyle name="Normal 5 3 3 2 2 2 3 2" xfId="33338"/>
    <cellStyle name="Normal 5 3 3 2 2 2 4" xfId="18928"/>
    <cellStyle name="Normal 5 3 3 2 2 2 4 2" xfId="35149"/>
    <cellStyle name="Normal 5 3 3 2 2 2 5" xfId="28465"/>
    <cellStyle name="Normal 5 3 3 2 2 3" xfId="13128"/>
    <cellStyle name="Normal 5 3 3 2 2 3 2" xfId="20684"/>
    <cellStyle name="Normal 5 3 3 2 2 3 2 2" xfId="36905"/>
    <cellStyle name="Normal 5 3 3 2 2 3 3" xfId="30217"/>
    <cellStyle name="Normal 5 3 3 2 2 4" xfId="15532"/>
    <cellStyle name="Normal 5 3 3 2 2 4 2" xfId="31754"/>
    <cellStyle name="Normal 5 3 3 2 2 5" xfId="18927"/>
    <cellStyle name="Normal 5 3 3 2 2 5 2" xfId="35148"/>
    <cellStyle name="Normal 5 3 3 2 2 6" xfId="28464"/>
    <cellStyle name="Normal 5 3 3 2 3" xfId="8535"/>
    <cellStyle name="Normal 5 3 3 2 3 2" xfId="13130"/>
    <cellStyle name="Normal 5 3 3 2 3 2 2" xfId="20686"/>
    <cellStyle name="Normal 5 3 3 2 3 2 2 2" xfId="36907"/>
    <cellStyle name="Normal 5 3 3 2 3 2 3" xfId="30219"/>
    <cellStyle name="Normal 5 3 3 2 3 3" xfId="16325"/>
    <cellStyle name="Normal 5 3 3 2 3 3 2" xfId="32546"/>
    <cellStyle name="Normal 5 3 3 2 3 4" xfId="18929"/>
    <cellStyle name="Normal 5 3 3 2 3 4 2" xfId="35150"/>
    <cellStyle name="Normal 5 3 3 2 3 5" xfId="28466"/>
    <cellStyle name="Normal 5 3 3 2 4" xfId="13127"/>
    <cellStyle name="Normal 5 3 3 2 4 2" xfId="20683"/>
    <cellStyle name="Normal 5 3 3 2 4 2 2" xfId="36904"/>
    <cellStyle name="Normal 5 3 3 2 4 3" xfId="30216"/>
    <cellStyle name="Normal 5 3 3 2 5" xfId="14740"/>
    <cellStyle name="Normal 5 3 3 2 5 2" xfId="30962"/>
    <cellStyle name="Normal 5 3 3 2 6" xfId="18926"/>
    <cellStyle name="Normal 5 3 3 2 6 2" xfId="35147"/>
    <cellStyle name="Normal 5 3 3 2 7" xfId="28463"/>
    <cellStyle name="Normal 5 3 3 3" xfId="8536"/>
    <cellStyle name="Normal 5 3 3 3 2" xfId="8537"/>
    <cellStyle name="Normal 5 3 3 3 2 2" xfId="8538"/>
    <cellStyle name="Normal 5 3 3 3 2 2 2" xfId="13133"/>
    <cellStyle name="Normal 5 3 3 3 2 2 2 2" xfId="20689"/>
    <cellStyle name="Normal 5 3 3 3 2 2 2 2 2" xfId="36910"/>
    <cellStyle name="Normal 5 3 3 3 2 2 2 3" xfId="30222"/>
    <cellStyle name="Normal 5 3 3 3 2 2 3" xfId="17381"/>
    <cellStyle name="Normal 5 3 3 3 2 2 3 2" xfId="33602"/>
    <cellStyle name="Normal 5 3 3 3 2 2 4" xfId="18932"/>
    <cellStyle name="Normal 5 3 3 3 2 2 4 2" xfId="35153"/>
    <cellStyle name="Normal 5 3 3 3 2 2 5" xfId="28469"/>
    <cellStyle name="Normal 5 3 3 3 2 3" xfId="13132"/>
    <cellStyle name="Normal 5 3 3 3 2 3 2" xfId="20688"/>
    <cellStyle name="Normal 5 3 3 3 2 3 2 2" xfId="36909"/>
    <cellStyle name="Normal 5 3 3 3 2 3 3" xfId="30221"/>
    <cellStyle name="Normal 5 3 3 3 2 4" xfId="15796"/>
    <cellStyle name="Normal 5 3 3 3 2 4 2" xfId="32018"/>
    <cellStyle name="Normal 5 3 3 3 2 5" xfId="18931"/>
    <cellStyle name="Normal 5 3 3 3 2 5 2" xfId="35152"/>
    <cellStyle name="Normal 5 3 3 3 2 6" xfId="28468"/>
    <cellStyle name="Normal 5 3 3 3 3" xfId="8539"/>
    <cellStyle name="Normal 5 3 3 3 3 2" xfId="13134"/>
    <cellStyle name="Normal 5 3 3 3 3 2 2" xfId="20690"/>
    <cellStyle name="Normal 5 3 3 3 3 2 2 2" xfId="36911"/>
    <cellStyle name="Normal 5 3 3 3 3 2 3" xfId="30223"/>
    <cellStyle name="Normal 5 3 3 3 3 3" xfId="16589"/>
    <cellStyle name="Normal 5 3 3 3 3 3 2" xfId="32810"/>
    <cellStyle name="Normal 5 3 3 3 3 4" xfId="18933"/>
    <cellStyle name="Normal 5 3 3 3 3 4 2" xfId="35154"/>
    <cellStyle name="Normal 5 3 3 3 3 5" xfId="28470"/>
    <cellStyle name="Normal 5 3 3 3 4" xfId="13131"/>
    <cellStyle name="Normal 5 3 3 3 4 2" xfId="20687"/>
    <cellStyle name="Normal 5 3 3 3 4 2 2" xfId="36908"/>
    <cellStyle name="Normal 5 3 3 3 4 3" xfId="30220"/>
    <cellStyle name="Normal 5 3 3 3 5" xfId="15004"/>
    <cellStyle name="Normal 5 3 3 3 5 2" xfId="31226"/>
    <cellStyle name="Normal 5 3 3 3 6" xfId="18930"/>
    <cellStyle name="Normal 5 3 3 3 6 2" xfId="35151"/>
    <cellStyle name="Normal 5 3 3 3 7" xfId="28467"/>
    <cellStyle name="Normal 5 3 3 4" xfId="8540"/>
    <cellStyle name="Normal 5 3 3 4 2" xfId="8541"/>
    <cellStyle name="Normal 5 3 3 4 2 2" xfId="13136"/>
    <cellStyle name="Normal 5 3 3 4 2 2 2" xfId="20692"/>
    <cellStyle name="Normal 5 3 3 4 2 2 2 2" xfId="36913"/>
    <cellStyle name="Normal 5 3 3 4 2 2 3" xfId="30225"/>
    <cellStyle name="Normal 5 3 3 4 2 3" xfId="16853"/>
    <cellStyle name="Normal 5 3 3 4 2 3 2" xfId="33074"/>
    <cellStyle name="Normal 5 3 3 4 2 4" xfId="18935"/>
    <cellStyle name="Normal 5 3 3 4 2 4 2" xfId="35156"/>
    <cellStyle name="Normal 5 3 3 4 2 5" xfId="28472"/>
    <cellStyle name="Normal 5 3 3 4 3" xfId="13135"/>
    <cellStyle name="Normal 5 3 3 4 3 2" xfId="20691"/>
    <cellStyle name="Normal 5 3 3 4 3 2 2" xfId="36912"/>
    <cellStyle name="Normal 5 3 3 4 3 3" xfId="30224"/>
    <cellStyle name="Normal 5 3 3 4 4" xfId="15268"/>
    <cellStyle name="Normal 5 3 3 4 4 2" xfId="31490"/>
    <cellStyle name="Normal 5 3 3 4 5" xfId="18934"/>
    <cellStyle name="Normal 5 3 3 4 5 2" xfId="35155"/>
    <cellStyle name="Normal 5 3 3 4 6" xfId="28471"/>
    <cellStyle name="Normal 5 3 3 5" xfId="8542"/>
    <cellStyle name="Normal 5 3 3 5 2" xfId="13137"/>
    <cellStyle name="Normal 5 3 3 5 2 2" xfId="20693"/>
    <cellStyle name="Normal 5 3 3 5 2 2 2" xfId="36914"/>
    <cellStyle name="Normal 5 3 3 5 2 3" xfId="30226"/>
    <cellStyle name="Normal 5 3 3 5 3" xfId="16061"/>
    <cellStyle name="Normal 5 3 3 5 3 2" xfId="32282"/>
    <cellStyle name="Normal 5 3 3 5 4" xfId="18936"/>
    <cellStyle name="Normal 5 3 3 5 4 2" xfId="35157"/>
    <cellStyle name="Normal 5 3 3 5 5" xfId="28473"/>
    <cellStyle name="Normal 5 3 3 6" xfId="13126"/>
    <cellStyle name="Normal 5 3 3 6 2" xfId="20682"/>
    <cellStyle name="Normal 5 3 3 6 2 2" xfId="36903"/>
    <cellStyle name="Normal 5 3 3 6 3" xfId="30215"/>
    <cellStyle name="Normal 5 3 3 7" xfId="14476"/>
    <cellStyle name="Normal 5 3 3 7 2" xfId="30698"/>
    <cellStyle name="Normal 5 3 3 8" xfId="18925"/>
    <cellStyle name="Normal 5 3 3 8 2" xfId="35146"/>
    <cellStyle name="Normal 5 3 3 9" xfId="8531"/>
    <cellStyle name="Normal 5 3 3 9 2" xfId="28462"/>
    <cellStyle name="Normal 5 3 4" xfId="8543"/>
    <cellStyle name="Normal 5 3 4 2" xfId="8544"/>
    <cellStyle name="Normal 5 3 4 2 2" xfId="8545"/>
    <cellStyle name="Normal 5 3 4 2 2 2" xfId="13140"/>
    <cellStyle name="Normal 5 3 4 2 2 2 2" xfId="20696"/>
    <cellStyle name="Normal 5 3 4 2 2 2 2 2" xfId="36917"/>
    <cellStyle name="Normal 5 3 4 2 2 2 3" xfId="30229"/>
    <cellStyle name="Normal 5 3 4 2 2 3" xfId="16985"/>
    <cellStyle name="Normal 5 3 4 2 2 3 2" xfId="33206"/>
    <cellStyle name="Normal 5 3 4 2 2 4" xfId="18939"/>
    <cellStyle name="Normal 5 3 4 2 2 4 2" xfId="35160"/>
    <cellStyle name="Normal 5 3 4 2 2 5" xfId="28476"/>
    <cellStyle name="Normal 5 3 4 2 3" xfId="13139"/>
    <cellStyle name="Normal 5 3 4 2 3 2" xfId="20695"/>
    <cellStyle name="Normal 5 3 4 2 3 2 2" xfId="36916"/>
    <cellStyle name="Normal 5 3 4 2 3 3" xfId="30228"/>
    <cellStyle name="Normal 5 3 4 2 4" xfId="15400"/>
    <cellStyle name="Normal 5 3 4 2 4 2" xfId="31622"/>
    <cellStyle name="Normal 5 3 4 2 5" xfId="18938"/>
    <cellStyle name="Normal 5 3 4 2 5 2" xfId="35159"/>
    <cellStyle name="Normal 5 3 4 2 6" xfId="28475"/>
    <cellStyle name="Normal 5 3 4 3" xfId="8546"/>
    <cellStyle name="Normal 5 3 4 3 2" xfId="13141"/>
    <cellStyle name="Normal 5 3 4 3 2 2" xfId="20697"/>
    <cellStyle name="Normal 5 3 4 3 2 2 2" xfId="36918"/>
    <cellStyle name="Normal 5 3 4 3 2 3" xfId="30230"/>
    <cellStyle name="Normal 5 3 4 3 3" xfId="16193"/>
    <cellStyle name="Normal 5 3 4 3 3 2" xfId="32414"/>
    <cellStyle name="Normal 5 3 4 3 4" xfId="18940"/>
    <cellStyle name="Normal 5 3 4 3 4 2" xfId="35161"/>
    <cellStyle name="Normal 5 3 4 3 5" xfId="28477"/>
    <cellStyle name="Normal 5 3 4 4" xfId="13138"/>
    <cellStyle name="Normal 5 3 4 4 2" xfId="20694"/>
    <cellStyle name="Normal 5 3 4 4 2 2" xfId="36915"/>
    <cellStyle name="Normal 5 3 4 4 3" xfId="30227"/>
    <cellStyle name="Normal 5 3 4 5" xfId="14608"/>
    <cellStyle name="Normal 5 3 4 5 2" xfId="30830"/>
    <cellStyle name="Normal 5 3 4 6" xfId="18937"/>
    <cellStyle name="Normal 5 3 4 6 2" xfId="35158"/>
    <cellStyle name="Normal 5 3 4 7" xfId="28474"/>
    <cellStyle name="Normal 5 3 5" xfId="8547"/>
    <cellStyle name="Normal 5 3 5 2" xfId="8548"/>
    <cellStyle name="Normal 5 3 5 2 2" xfId="8549"/>
    <cellStyle name="Normal 5 3 5 2 2 2" xfId="13144"/>
    <cellStyle name="Normal 5 3 5 2 2 2 2" xfId="20700"/>
    <cellStyle name="Normal 5 3 5 2 2 2 2 2" xfId="36921"/>
    <cellStyle name="Normal 5 3 5 2 2 2 3" xfId="30233"/>
    <cellStyle name="Normal 5 3 5 2 2 3" xfId="17249"/>
    <cellStyle name="Normal 5 3 5 2 2 3 2" xfId="33470"/>
    <cellStyle name="Normal 5 3 5 2 2 4" xfId="18943"/>
    <cellStyle name="Normal 5 3 5 2 2 4 2" xfId="35164"/>
    <cellStyle name="Normal 5 3 5 2 2 5" xfId="28480"/>
    <cellStyle name="Normal 5 3 5 2 3" xfId="13143"/>
    <cellStyle name="Normal 5 3 5 2 3 2" xfId="20699"/>
    <cellStyle name="Normal 5 3 5 2 3 2 2" xfId="36920"/>
    <cellStyle name="Normal 5 3 5 2 3 3" xfId="30232"/>
    <cellStyle name="Normal 5 3 5 2 4" xfId="15664"/>
    <cellStyle name="Normal 5 3 5 2 4 2" xfId="31886"/>
    <cellStyle name="Normal 5 3 5 2 5" xfId="18942"/>
    <cellStyle name="Normal 5 3 5 2 5 2" xfId="35163"/>
    <cellStyle name="Normal 5 3 5 2 6" xfId="28479"/>
    <cellStyle name="Normal 5 3 5 3" xfId="8550"/>
    <cellStyle name="Normal 5 3 5 3 2" xfId="13145"/>
    <cellStyle name="Normal 5 3 5 3 2 2" xfId="20701"/>
    <cellStyle name="Normal 5 3 5 3 2 2 2" xfId="36922"/>
    <cellStyle name="Normal 5 3 5 3 2 3" xfId="30234"/>
    <cellStyle name="Normal 5 3 5 3 3" xfId="16457"/>
    <cellStyle name="Normal 5 3 5 3 3 2" xfId="32678"/>
    <cellStyle name="Normal 5 3 5 3 4" xfId="18944"/>
    <cellStyle name="Normal 5 3 5 3 4 2" xfId="35165"/>
    <cellStyle name="Normal 5 3 5 3 5" xfId="28481"/>
    <cellStyle name="Normal 5 3 5 4" xfId="13142"/>
    <cellStyle name="Normal 5 3 5 4 2" xfId="20698"/>
    <cellStyle name="Normal 5 3 5 4 2 2" xfId="36919"/>
    <cellStyle name="Normal 5 3 5 4 3" xfId="30231"/>
    <cellStyle name="Normal 5 3 5 5" xfId="14872"/>
    <cellStyle name="Normal 5 3 5 5 2" xfId="31094"/>
    <cellStyle name="Normal 5 3 5 6" xfId="18941"/>
    <cellStyle name="Normal 5 3 5 6 2" xfId="35162"/>
    <cellStyle name="Normal 5 3 5 7" xfId="28478"/>
    <cellStyle name="Normal 5 3 6" xfId="8551"/>
    <cellStyle name="Normal 5 3 6 2" xfId="8552"/>
    <cellStyle name="Normal 5 3 6 2 2" xfId="13147"/>
    <cellStyle name="Normal 5 3 6 2 2 2" xfId="20703"/>
    <cellStyle name="Normal 5 3 6 2 2 2 2" xfId="36924"/>
    <cellStyle name="Normal 5 3 6 2 2 3" xfId="30236"/>
    <cellStyle name="Normal 5 3 6 2 3" xfId="16721"/>
    <cellStyle name="Normal 5 3 6 2 3 2" xfId="32942"/>
    <cellStyle name="Normal 5 3 6 2 4" xfId="18946"/>
    <cellStyle name="Normal 5 3 6 2 4 2" xfId="35167"/>
    <cellStyle name="Normal 5 3 6 2 5" xfId="28483"/>
    <cellStyle name="Normal 5 3 6 3" xfId="13146"/>
    <cellStyle name="Normal 5 3 6 3 2" xfId="20702"/>
    <cellStyle name="Normal 5 3 6 3 2 2" xfId="36923"/>
    <cellStyle name="Normal 5 3 6 3 3" xfId="30235"/>
    <cellStyle name="Normal 5 3 6 4" xfId="15136"/>
    <cellStyle name="Normal 5 3 6 4 2" xfId="31358"/>
    <cellStyle name="Normal 5 3 6 5" xfId="18945"/>
    <cellStyle name="Normal 5 3 6 5 2" xfId="35166"/>
    <cellStyle name="Normal 5 3 6 6" xfId="28482"/>
    <cellStyle name="Normal 5 3 7" xfId="8553"/>
    <cellStyle name="Normal 5 3 7 2" xfId="13148"/>
    <cellStyle name="Normal 5 3 7 2 2" xfId="20704"/>
    <cellStyle name="Normal 5 3 7 2 2 2" xfId="36925"/>
    <cellStyle name="Normal 5 3 7 2 3" xfId="30237"/>
    <cellStyle name="Normal 5 3 7 3" xfId="15929"/>
    <cellStyle name="Normal 5 3 7 3 2" xfId="32150"/>
    <cellStyle name="Normal 5 3 7 4" xfId="18947"/>
    <cellStyle name="Normal 5 3 7 4 2" xfId="35168"/>
    <cellStyle name="Normal 5 3 7 5" xfId="28484"/>
    <cellStyle name="Normal 5 3 8" xfId="13101"/>
    <cellStyle name="Normal 5 3 8 2" xfId="20657"/>
    <cellStyle name="Normal 5 3 8 2 2" xfId="36878"/>
    <cellStyle name="Normal 5 3 8 3" xfId="30190"/>
    <cellStyle name="Normal 5 3 9" xfId="14344"/>
    <cellStyle name="Normal 5 3 9 2" xfId="30566"/>
    <cellStyle name="Normal 5 4" xfId="1785"/>
    <cellStyle name="Normal 5 4 10" xfId="8554"/>
    <cellStyle name="Normal 5 4 10 2" xfId="28485"/>
    <cellStyle name="Normal 5 4 11" xfId="22455"/>
    <cellStyle name="Normal 5 4 11 2" xfId="38667"/>
    <cellStyle name="Normal 5 4 12" xfId="23953"/>
    <cellStyle name="Normal 5 4 2" xfId="3284"/>
    <cellStyle name="Normal 5 4 2 10" xfId="25451"/>
    <cellStyle name="Normal 5 4 2 2" xfId="8556"/>
    <cellStyle name="Normal 5 4 2 2 2" xfId="8557"/>
    <cellStyle name="Normal 5 4 2 2 2 2" xfId="8558"/>
    <cellStyle name="Normal 5 4 2 2 2 2 2" xfId="13153"/>
    <cellStyle name="Normal 5 4 2 2 2 2 2 2" xfId="20709"/>
    <cellStyle name="Normal 5 4 2 2 2 2 2 2 2" xfId="36930"/>
    <cellStyle name="Normal 5 4 2 2 2 2 2 3" xfId="30242"/>
    <cellStyle name="Normal 5 4 2 2 2 2 3" xfId="17150"/>
    <cellStyle name="Normal 5 4 2 2 2 2 3 2" xfId="33371"/>
    <cellStyle name="Normal 5 4 2 2 2 2 4" xfId="18952"/>
    <cellStyle name="Normal 5 4 2 2 2 2 4 2" xfId="35173"/>
    <cellStyle name="Normal 5 4 2 2 2 2 5" xfId="28489"/>
    <cellStyle name="Normal 5 4 2 2 2 3" xfId="13152"/>
    <cellStyle name="Normal 5 4 2 2 2 3 2" xfId="20708"/>
    <cellStyle name="Normal 5 4 2 2 2 3 2 2" xfId="36929"/>
    <cellStyle name="Normal 5 4 2 2 2 3 3" xfId="30241"/>
    <cellStyle name="Normal 5 4 2 2 2 4" xfId="15565"/>
    <cellStyle name="Normal 5 4 2 2 2 4 2" xfId="31787"/>
    <cellStyle name="Normal 5 4 2 2 2 5" xfId="18951"/>
    <cellStyle name="Normal 5 4 2 2 2 5 2" xfId="35172"/>
    <cellStyle name="Normal 5 4 2 2 2 6" xfId="28488"/>
    <cellStyle name="Normal 5 4 2 2 3" xfId="8559"/>
    <cellStyle name="Normal 5 4 2 2 3 2" xfId="13154"/>
    <cellStyle name="Normal 5 4 2 2 3 2 2" xfId="20710"/>
    <cellStyle name="Normal 5 4 2 2 3 2 2 2" xfId="36931"/>
    <cellStyle name="Normal 5 4 2 2 3 2 3" xfId="30243"/>
    <cellStyle name="Normal 5 4 2 2 3 3" xfId="16358"/>
    <cellStyle name="Normal 5 4 2 2 3 3 2" xfId="32579"/>
    <cellStyle name="Normal 5 4 2 2 3 4" xfId="18953"/>
    <cellStyle name="Normal 5 4 2 2 3 4 2" xfId="35174"/>
    <cellStyle name="Normal 5 4 2 2 3 5" xfId="28490"/>
    <cellStyle name="Normal 5 4 2 2 4" xfId="13151"/>
    <cellStyle name="Normal 5 4 2 2 4 2" xfId="20707"/>
    <cellStyle name="Normal 5 4 2 2 4 2 2" xfId="36928"/>
    <cellStyle name="Normal 5 4 2 2 4 3" xfId="30240"/>
    <cellStyle name="Normal 5 4 2 2 5" xfId="14773"/>
    <cellStyle name="Normal 5 4 2 2 5 2" xfId="30995"/>
    <cellStyle name="Normal 5 4 2 2 6" xfId="18950"/>
    <cellStyle name="Normal 5 4 2 2 6 2" xfId="35171"/>
    <cellStyle name="Normal 5 4 2 2 7" xfId="28487"/>
    <cellStyle name="Normal 5 4 2 3" xfId="8560"/>
    <cellStyle name="Normal 5 4 2 3 2" xfId="8561"/>
    <cellStyle name="Normal 5 4 2 3 2 2" xfId="8562"/>
    <cellStyle name="Normal 5 4 2 3 2 2 2" xfId="13157"/>
    <cellStyle name="Normal 5 4 2 3 2 2 2 2" xfId="20713"/>
    <cellStyle name="Normal 5 4 2 3 2 2 2 2 2" xfId="36934"/>
    <cellStyle name="Normal 5 4 2 3 2 2 2 3" xfId="30246"/>
    <cellStyle name="Normal 5 4 2 3 2 2 3" xfId="17414"/>
    <cellStyle name="Normal 5 4 2 3 2 2 3 2" xfId="33635"/>
    <cellStyle name="Normal 5 4 2 3 2 2 4" xfId="18956"/>
    <cellStyle name="Normal 5 4 2 3 2 2 4 2" xfId="35177"/>
    <cellStyle name="Normal 5 4 2 3 2 2 5" xfId="28493"/>
    <cellStyle name="Normal 5 4 2 3 2 3" xfId="13156"/>
    <cellStyle name="Normal 5 4 2 3 2 3 2" xfId="20712"/>
    <cellStyle name="Normal 5 4 2 3 2 3 2 2" xfId="36933"/>
    <cellStyle name="Normal 5 4 2 3 2 3 3" xfId="30245"/>
    <cellStyle name="Normal 5 4 2 3 2 4" xfId="15829"/>
    <cellStyle name="Normal 5 4 2 3 2 4 2" xfId="32051"/>
    <cellStyle name="Normal 5 4 2 3 2 5" xfId="18955"/>
    <cellStyle name="Normal 5 4 2 3 2 5 2" xfId="35176"/>
    <cellStyle name="Normal 5 4 2 3 2 6" xfId="28492"/>
    <cellStyle name="Normal 5 4 2 3 3" xfId="8563"/>
    <cellStyle name="Normal 5 4 2 3 3 2" xfId="13158"/>
    <cellStyle name="Normal 5 4 2 3 3 2 2" xfId="20714"/>
    <cellStyle name="Normal 5 4 2 3 3 2 2 2" xfId="36935"/>
    <cellStyle name="Normal 5 4 2 3 3 2 3" xfId="30247"/>
    <cellStyle name="Normal 5 4 2 3 3 3" xfId="16622"/>
    <cellStyle name="Normal 5 4 2 3 3 3 2" xfId="32843"/>
    <cellStyle name="Normal 5 4 2 3 3 4" xfId="18957"/>
    <cellStyle name="Normal 5 4 2 3 3 4 2" xfId="35178"/>
    <cellStyle name="Normal 5 4 2 3 3 5" xfId="28494"/>
    <cellStyle name="Normal 5 4 2 3 4" xfId="13155"/>
    <cellStyle name="Normal 5 4 2 3 4 2" xfId="20711"/>
    <cellStyle name="Normal 5 4 2 3 4 2 2" xfId="36932"/>
    <cellStyle name="Normal 5 4 2 3 4 3" xfId="30244"/>
    <cellStyle name="Normal 5 4 2 3 5" xfId="15037"/>
    <cellStyle name="Normal 5 4 2 3 5 2" xfId="31259"/>
    <cellStyle name="Normal 5 4 2 3 6" xfId="18954"/>
    <cellStyle name="Normal 5 4 2 3 6 2" xfId="35175"/>
    <cellStyle name="Normal 5 4 2 3 7" xfId="28491"/>
    <cellStyle name="Normal 5 4 2 4" xfId="8564"/>
    <cellStyle name="Normal 5 4 2 4 2" xfId="8565"/>
    <cellStyle name="Normal 5 4 2 4 2 2" xfId="13160"/>
    <cellStyle name="Normal 5 4 2 4 2 2 2" xfId="20716"/>
    <cellStyle name="Normal 5 4 2 4 2 2 2 2" xfId="36937"/>
    <cellStyle name="Normal 5 4 2 4 2 2 3" xfId="30249"/>
    <cellStyle name="Normal 5 4 2 4 2 3" xfId="16886"/>
    <cellStyle name="Normal 5 4 2 4 2 3 2" xfId="33107"/>
    <cellStyle name="Normal 5 4 2 4 2 4" xfId="18959"/>
    <cellStyle name="Normal 5 4 2 4 2 4 2" xfId="35180"/>
    <cellStyle name="Normal 5 4 2 4 2 5" xfId="28496"/>
    <cellStyle name="Normal 5 4 2 4 3" xfId="13159"/>
    <cellStyle name="Normal 5 4 2 4 3 2" xfId="20715"/>
    <cellStyle name="Normal 5 4 2 4 3 2 2" xfId="36936"/>
    <cellStyle name="Normal 5 4 2 4 3 3" xfId="30248"/>
    <cellStyle name="Normal 5 4 2 4 4" xfId="15301"/>
    <cellStyle name="Normal 5 4 2 4 4 2" xfId="31523"/>
    <cellStyle name="Normal 5 4 2 4 5" xfId="18958"/>
    <cellStyle name="Normal 5 4 2 4 5 2" xfId="35179"/>
    <cellStyle name="Normal 5 4 2 4 6" xfId="28495"/>
    <cellStyle name="Normal 5 4 2 5" xfId="8566"/>
    <cellStyle name="Normal 5 4 2 5 2" xfId="13161"/>
    <cellStyle name="Normal 5 4 2 5 2 2" xfId="20717"/>
    <cellStyle name="Normal 5 4 2 5 2 2 2" xfId="36938"/>
    <cellStyle name="Normal 5 4 2 5 2 3" xfId="30250"/>
    <cellStyle name="Normal 5 4 2 5 3" xfId="16094"/>
    <cellStyle name="Normal 5 4 2 5 3 2" xfId="32315"/>
    <cellStyle name="Normal 5 4 2 5 4" xfId="18960"/>
    <cellStyle name="Normal 5 4 2 5 4 2" xfId="35181"/>
    <cellStyle name="Normal 5 4 2 5 5" xfId="28497"/>
    <cellStyle name="Normal 5 4 2 6" xfId="13150"/>
    <cellStyle name="Normal 5 4 2 6 2" xfId="20706"/>
    <cellStyle name="Normal 5 4 2 6 2 2" xfId="36927"/>
    <cellStyle name="Normal 5 4 2 6 3" xfId="30239"/>
    <cellStyle name="Normal 5 4 2 7" xfId="14509"/>
    <cellStyle name="Normal 5 4 2 7 2" xfId="30731"/>
    <cellStyle name="Normal 5 4 2 8" xfId="18949"/>
    <cellStyle name="Normal 5 4 2 8 2" xfId="35170"/>
    <cellStyle name="Normal 5 4 2 9" xfId="8555"/>
    <cellStyle name="Normal 5 4 2 9 2" xfId="28486"/>
    <cellStyle name="Normal 5 4 3" xfId="4782"/>
    <cellStyle name="Normal 5 4 3 2" xfId="8568"/>
    <cellStyle name="Normal 5 4 3 2 2" xfId="8569"/>
    <cellStyle name="Normal 5 4 3 2 2 2" xfId="13164"/>
    <cellStyle name="Normal 5 4 3 2 2 2 2" xfId="20720"/>
    <cellStyle name="Normal 5 4 3 2 2 2 2 2" xfId="36941"/>
    <cellStyle name="Normal 5 4 3 2 2 2 3" xfId="30253"/>
    <cellStyle name="Normal 5 4 3 2 2 3" xfId="17018"/>
    <cellStyle name="Normal 5 4 3 2 2 3 2" xfId="33239"/>
    <cellStyle name="Normal 5 4 3 2 2 4" xfId="18963"/>
    <cellStyle name="Normal 5 4 3 2 2 4 2" xfId="35184"/>
    <cellStyle name="Normal 5 4 3 2 2 5" xfId="28500"/>
    <cellStyle name="Normal 5 4 3 2 3" xfId="13163"/>
    <cellStyle name="Normal 5 4 3 2 3 2" xfId="20719"/>
    <cellStyle name="Normal 5 4 3 2 3 2 2" xfId="36940"/>
    <cellStyle name="Normal 5 4 3 2 3 3" xfId="30252"/>
    <cellStyle name="Normal 5 4 3 2 4" xfId="15433"/>
    <cellStyle name="Normal 5 4 3 2 4 2" xfId="31655"/>
    <cellStyle name="Normal 5 4 3 2 5" xfId="18962"/>
    <cellStyle name="Normal 5 4 3 2 5 2" xfId="35183"/>
    <cellStyle name="Normal 5 4 3 2 6" xfId="28499"/>
    <cellStyle name="Normal 5 4 3 3" xfId="8570"/>
    <cellStyle name="Normal 5 4 3 3 2" xfId="13165"/>
    <cellStyle name="Normal 5 4 3 3 2 2" xfId="20721"/>
    <cellStyle name="Normal 5 4 3 3 2 2 2" xfId="36942"/>
    <cellStyle name="Normal 5 4 3 3 2 3" xfId="30254"/>
    <cellStyle name="Normal 5 4 3 3 3" xfId="16226"/>
    <cellStyle name="Normal 5 4 3 3 3 2" xfId="32447"/>
    <cellStyle name="Normal 5 4 3 3 4" xfId="18964"/>
    <cellStyle name="Normal 5 4 3 3 4 2" xfId="35185"/>
    <cellStyle name="Normal 5 4 3 3 5" xfId="28501"/>
    <cellStyle name="Normal 5 4 3 4" xfId="13162"/>
    <cellStyle name="Normal 5 4 3 4 2" xfId="20718"/>
    <cellStyle name="Normal 5 4 3 4 2 2" xfId="36939"/>
    <cellStyle name="Normal 5 4 3 4 3" xfId="30251"/>
    <cellStyle name="Normal 5 4 3 5" xfId="14641"/>
    <cellStyle name="Normal 5 4 3 5 2" xfId="30863"/>
    <cellStyle name="Normal 5 4 3 6" xfId="18961"/>
    <cellStyle name="Normal 5 4 3 6 2" xfId="35182"/>
    <cellStyle name="Normal 5 4 3 7" xfId="8567"/>
    <cellStyle name="Normal 5 4 3 7 2" xfId="28498"/>
    <cellStyle name="Normal 5 4 3 8" xfId="26949"/>
    <cellStyle name="Normal 5 4 4" xfId="8571"/>
    <cellStyle name="Normal 5 4 4 2" xfId="8572"/>
    <cellStyle name="Normal 5 4 4 2 2" xfId="8573"/>
    <cellStyle name="Normal 5 4 4 2 2 2" xfId="13168"/>
    <cellStyle name="Normal 5 4 4 2 2 2 2" xfId="20724"/>
    <cellStyle name="Normal 5 4 4 2 2 2 2 2" xfId="36945"/>
    <cellStyle name="Normal 5 4 4 2 2 2 3" xfId="30257"/>
    <cellStyle name="Normal 5 4 4 2 2 3" xfId="17282"/>
    <cellStyle name="Normal 5 4 4 2 2 3 2" xfId="33503"/>
    <cellStyle name="Normal 5 4 4 2 2 4" xfId="18967"/>
    <cellStyle name="Normal 5 4 4 2 2 4 2" xfId="35188"/>
    <cellStyle name="Normal 5 4 4 2 2 5" xfId="28504"/>
    <cellStyle name="Normal 5 4 4 2 3" xfId="13167"/>
    <cellStyle name="Normal 5 4 4 2 3 2" xfId="20723"/>
    <cellStyle name="Normal 5 4 4 2 3 2 2" xfId="36944"/>
    <cellStyle name="Normal 5 4 4 2 3 3" xfId="30256"/>
    <cellStyle name="Normal 5 4 4 2 4" xfId="15697"/>
    <cellStyle name="Normal 5 4 4 2 4 2" xfId="31919"/>
    <cellStyle name="Normal 5 4 4 2 5" xfId="18966"/>
    <cellStyle name="Normal 5 4 4 2 5 2" xfId="35187"/>
    <cellStyle name="Normal 5 4 4 2 6" xfId="28503"/>
    <cellStyle name="Normal 5 4 4 3" xfId="8574"/>
    <cellStyle name="Normal 5 4 4 3 2" xfId="13169"/>
    <cellStyle name="Normal 5 4 4 3 2 2" xfId="20725"/>
    <cellStyle name="Normal 5 4 4 3 2 2 2" xfId="36946"/>
    <cellStyle name="Normal 5 4 4 3 2 3" xfId="30258"/>
    <cellStyle name="Normal 5 4 4 3 3" xfId="16490"/>
    <cellStyle name="Normal 5 4 4 3 3 2" xfId="32711"/>
    <cellStyle name="Normal 5 4 4 3 4" xfId="18968"/>
    <cellStyle name="Normal 5 4 4 3 4 2" xfId="35189"/>
    <cellStyle name="Normal 5 4 4 3 5" xfId="28505"/>
    <cellStyle name="Normal 5 4 4 4" xfId="13166"/>
    <cellStyle name="Normal 5 4 4 4 2" xfId="20722"/>
    <cellStyle name="Normal 5 4 4 4 2 2" xfId="36943"/>
    <cellStyle name="Normal 5 4 4 4 3" xfId="30255"/>
    <cellStyle name="Normal 5 4 4 5" xfId="14905"/>
    <cellStyle name="Normal 5 4 4 5 2" xfId="31127"/>
    <cellStyle name="Normal 5 4 4 6" xfId="18965"/>
    <cellStyle name="Normal 5 4 4 6 2" xfId="35186"/>
    <cellStyle name="Normal 5 4 4 7" xfId="28502"/>
    <cellStyle name="Normal 5 4 5" xfId="8575"/>
    <cellStyle name="Normal 5 4 5 2" xfId="8576"/>
    <cellStyle name="Normal 5 4 5 2 2" xfId="13171"/>
    <cellStyle name="Normal 5 4 5 2 2 2" xfId="20727"/>
    <cellStyle name="Normal 5 4 5 2 2 2 2" xfId="36948"/>
    <cellStyle name="Normal 5 4 5 2 2 3" xfId="30260"/>
    <cellStyle name="Normal 5 4 5 2 3" xfId="16754"/>
    <cellStyle name="Normal 5 4 5 2 3 2" xfId="32975"/>
    <cellStyle name="Normal 5 4 5 2 4" xfId="18970"/>
    <cellStyle name="Normal 5 4 5 2 4 2" xfId="35191"/>
    <cellStyle name="Normal 5 4 5 2 5" xfId="28507"/>
    <cellStyle name="Normal 5 4 5 3" xfId="13170"/>
    <cellStyle name="Normal 5 4 5 3 2" xfId="20726"/>
    <cellStyle name="Normal 5 4 5 3 2 2" xfId="36947"/>
    <cellStyle name="Normal 5 4 5 3 3" xfId="30259"/>
    <cellStyle name="Normal 5 4 5 4" xfId="15169"/>
    <cellStyle name="Normal 5 4 5 4 2" xfId="31391"/>
    <cellStyle name="Normal 5 4 5 5" xfId="18969"/>
    <cellStyle name="Normal 5 4 5 5 2" xfId="35190"/>
    <cellStyle name="Normal 5 4 5 6" xfId="28506"/>
    <cellStyle name="Normal 5 4 6" xfId="8577"/>
    <cellStyle name="Normal 5 4 6 2" xfId="13172"/>
    <cellStyle name="Normal 5 4 6 2 2" xfId="20728"/>
    <cellStyle name="Normal 5 4 6 2 2 2" xfId="36949"/>
    <cellStyle name="Normal 5 4 6 2 3" xfId="30261"/>
    <cellStyle name="Normal 5 4 6 3" xfId="15962"/>
    <cellStyle name="Normal 5 4 6 3 2" xfId="32183"/>
    <cellStyle name="Normal 5 4 6 4" xfId="18971"/>
    <cellStyle name="Normal 5 4 6 4 2" xfId="35192"/>
    <cellStyle name="Normal 5 4 6 5" xfId="28508"/>
    <cellStyle name="Normal 5 4 7" xfId="13149"/>
    <cellStyle name="Normal 5 4 7 2" xfId="20705"/>
    <cellStyle name="Normal 5 4 7 2 2" xfId="36926"/>
    <cellStyle name="Normal 5 4 7 3" xfId="30238"/>
    <cellStyle name="Normal 5 4 8" xfId="14377"/>
    <cellStyle name="Normal 5 4 8 2" xfId="30599"/>
    <cellStyle name="Normal 5 4 9" xfId="18948"/>
    <cellStyle name="Normal 5 4 9 2" xfId="35169"/>
    <cellStyle name="Normal 5 5" xfId="1831"/>
    <cellStyle name="Normal 5 5 10" xfId="23999"/>
    <cellStyle name="Normal 5 5 2" xfId="8579"/>
    <cellStyle name="Normal 5 5 2 2" xfId="8580"/>
    <cellStyle name="Normal 5 5 2 2 2" xfId="8581"/>
    <cellStyle name="Normal 5 5 2 2 2 2" xfId="13176"/>
    <cellStyle name="Normal 5 5 2 2 2 2 2" xfId="20732"/>
    <cellStyle name="Normal 5 5 2 2 2 2 2 2" xfId="36953"/>
    <cellStyle name="Normal 5 5 2 2 2 2 3" xfId="30265"/>
    <cellStyle name="Normal 5 5 2 2 2 3" xfId="17084"/>
    <cellStyle name="Normal 5 5 2 2 2 3 2" xfId="33305"/>
    <cellStyle name="Normal 5 5 2 2 2 4" xfId="18975"/>
    <cellStyle name="Normal 5 5 2 2 2 4 2" xfId="35196"/>
    <cellStyle name="Normal 5 5 2 2 2 5" xfId="28512"/>
    <cellStyle name="Normal 5 5 2 2 3" xfId="13175"/>
    <cellStyle name="Normal 5 5 2 2 3 2" xfId="20731"/>
    <cellStyle name="Normal 5 5 2 2 3 2 2" xfId="36952"/>
    <cellStyle name="Normal 5 5 2 2 3 3" xfId="30264"/>
    <cellStyle name="Normal 5 5 2 2 4" xfId="15499"/>
    <cellStyle name="Normal 5 5 2 2 4 2" xfId="31721"/>
    <cellStyle name="Normal 5 5 2 2 5" xfId="18974"/>
    <cellStyle name="Normal 5 5 2 2 5 2" xfId="35195"/>
    <cellStyle name="Normal 5 5 2 2 6" xfId="28511"/>
    <cellStyle name="Normal 5 5 2 3" xfId="8582"/>
    <cellStyle name="Normal 5 5 2 3 2" xfId="13177"/>
    <cellStyle name="Normal 5 5 2 3 2 2" xfId="20733"/>
    <cellStyle name="Normal 5 5 2 3 2 2 2" xfId="36954"/>
    <cellStyle name="Normal 5 5 2 3 2 3" xfId="30266"/>
    <cellStyle name="Normal 5 5 2 3 3" xfId="16292"/>
    <cellStyle name="Normal 5 5 2 3 3 2" xfId="32513"/>
    <cellStyle name="Normal 5 5 2 3 4" xfId="18976"/>
    <cellStyle name="Normal 5 5 2 3 4 2" xfId="35197"/>
    <cellStyle name="Normal 5 5 2 3 5" xfId="28513"/>
    <cellStyle name="Normal 5 5 2 4" xfId="13174"/>
    <cellStyle name="Normal 5 5 2 4 2" xfId="20730"/>
    <cellStyle name="Normal 5 5 2 4 2 2" xfId="36951"/>
    <cellStyle name="Normal 5 5 2 4 3" xfId="30263"/>
    <cellStyle name="Normal 5 5 2 5" xfId="14707"/>
    <cellStyle name="Normal 5 5 2 5 2" xfId="30929"/>
    <cellStyle name="Normal 5 5 2 6" xfId="18973"/>
    <cellStyle name="Normal 5 5 2 6 2" xfId="35194"/>
    <cellStyle name="Normal 5 5 2 7" xfId="28510"/>
    <cellStyle name="Normal 5 5 3" xfId="8583"/>
    <cellStyle name="Normal 5 5 3 2" xfId="8584"/>
    <cellStyle name="Normal 5 5 3 2 2" xfId="8585"/>
    <cellStyle name="Normal 5 5 3 2 2 2" xfId="13180"/>
    <cellStyle name="Normal 5 5 3 2 2 2 2" xfId="20736"/>
    <cellStyle name="Normal 5 5 3 2 2 2 2 2" xfId="36957"/>
    <cellStyle name="Normal 5 5 3 2 2 2 3" xfId="30269"/>
    <cellStyle name="Normal 5 5 3 2 2 3" xfId="17348"/>
    <cellStyle name="Normal 5 5 3 2 2 3 2" xfId="33569"/>
    <cellStyle name="Normal 5 5 3 2 2 4" xfId="18979"/>
    <cellStyle name="Normal 5 5 3 2 2 4 2" xfId="35200"/>
    <cellStyle name="Normal 5 5 3 2 2 5" xfId="28516"/>
    <cellStyle name="Normal 5 5 3 2 3" xfId="13179"/>
    <cellStyle name="Normal 5 5 3 2 3 2" xfId="20735"/>
    <cellStyle name="Normal 5 5 3 2 3 2 2" xfId="36956"/>
    <cellStyle name="Normal 5 5 3 2 3 3" xfId="30268"/>
    <cellStyle name="Normal 5 5 3 2 4" xfId="15763"/>
    <cellStyle name="Normal 5 5 3 2 4 2" xfId="31985"/>
    <cellStyle name="Normal 5 5 3 2 5" xfId="18978"/>
    <cellStyle name="Normal 5 5 3 2 5 2" xfId="35199"/>
    <cellStyle name="Normal 5 5 3 2 6" xfId="28515"/>
    <cellStyle name="Normal 5 5 3 3" xfId="8586"/>
    <cellStyle name="Normal 5 5 3 3 2" xfId="13181"/>
    <cellStyle name="Normal 5 5 3 3 2 2" xfId="20737"/>
    <cellStyle name="Normal 5 5 3 3 2 2 2" xfId="36958"/>
    <cellStyle name="Normal 5 5 3 3 2 3" xfId="30270"/>
    <cellStyle name="Normal 5 5 3 3 3" xfId="16556"/>
    <cellStyle name="Normal 5 5 3 3 3 2" xfId="32777"/>
    <cellStyle name="Normal 5 5 3 3 4" xfId="18980"/>
    <cellStyle name="Normal 5 5 3 3 4 2" xfId="35201"/>
    <cellStyle name="Normal 5 5 3 3 5" xfId="28517"/>
    <cellStyle name="Normal 5 5 3 4" xfId="13178"/>
    <cellStyle name="Normal 5 5 3 4 2" xfId="20734"/>
    <cellStyle name="Normal 5 5 3 4 2 2" xfId="36955"/>
    <cellStyle name="Normal 5 5 3 4 3" xfId="30267"/>
    <cellStyle name="Normal 5 5 3 5" xfId="14971"/>
    <cellStyle name="Normal 5 5 3 5 2" xfId="31193"/>
    <cellStyle name="Normal 5 5 3 6" xfId="18977"/>
    <cellStyle name="Normal 5 5 3 6 2" xfId="35198"/>
    <cellStyle name="Normal 5 5 3 7" xfId="28514"/>
    <cellStyle name="Normal 5 5 4" xfId="8587"/>
    <cellStyle name="Normal 5 5 4 2" xfId="8588"/>
    <cellStyle name="Normal 5 5 4 2 2" xfId="13183"/>
    <cellStyle name="Normal 5 5 4 2 2 2" xfId="20739"/>
    <cellStyle name="Normal 5 5 4 2 2 2 2" xfId="36960"/>
    <cellStyle name="Normal 5 5 4 2 2 3" xfId="30272"/>
    <cellStyle name="Normal 5 5 4 2 3" xfId="16820"/>
    <cellStyle name="Normal 5 5 4 2 3 2" xfId="33041"/>
    <cellStyle name="Normal 5 5 4 2 4" xfId="18982"/>
    <cellStyle name="Normal 5 5 4 2 4 2" xfId="35203"/>
    <cellStyle name="Normal 5 5 4 2 5" xfId="28519"/>
    <cellStyle name="Normal 5 5 4 3" xfId="13182"/>
    <cellStyle name="Normal 5 5 4 3 2" xfId="20738"/>
    <cellStyle name="Normal 5 5 4 3 2 2" xfId="36959"/>
    <cellStyle name="Normal 5 5 4 3 3" xfId="30271"/>
    <cellStyle name="Normal 5 5 4 4" xfId="15235"/>
    <cellStyle name="Normal 5 5 4 4 2" xfId="31457"/>
    <cellStyle name="Normal 5 5 4 5" xfId="18981"/>
    <cellStyle name="Normal 5 5 4 5 2" xfId="35202"/>
    <cellStyle name="Normal 5 5 4 6" xfId="28518"/>
    <cellStyle name="Normal 5 5 5" xfId="8589"/>
    <cellStyle name="Normal 5 5 5 2" xfId="13184"/>
    <cellStyle name="Normal 5 5 5 2 2" xfId="20740"/>
    <cellStyle name="Normal 5 5 5 2 2 2" xfId="36961"/>
    <cellStyle name="Normal 5 5 5 2 3" xfId="30273"/>
    <cellStyle name="Normal 5 5 5 3" xfId="16028"/>
    <cellStyle name="Normal 5 5 5 3 2" xfId="32249"/>
    <cellStyle name="Normal 5 5 5 4" xfId="18983"/>
    <cellStyle name="Normal 5 5 5 4 2" xfId="35204"/>
    <cellStyle name="Normal 5 5 5 5" xfId="28520"/>
    <cellStyle name="Normal 5 5 6" xfId="13173"/>
    <cellStyle name="Normal 5 5 6 2" xfId="20729"/>
    <cellStyle name="Normal 5 5 6 2 2" xfId="36950"/>
    <cellStyle name="Normal 5 5 6 3" xfId="30262"/>
    <cellStyle name="Normal 5 5 7" xfId="14443"/>
    <cellStyle name="Normal 5 5 7 2" xfId="30665"/>
    <cellStyle name="Normal 5 5 8" xfId="18972"/>
    <cellStyle name="Normal 5 5 8 2" xfId="35193"/>
    <cellStyle name="Normal 5 5 9" xfId="8578"/>
    <cellStyle name="Normal 5 5 9 2" xfId="28509"/>
    <cellStyle name="Normal 5 6" xfId="3330"/>
    <cellStyle name="Normal 5 6 2" xfId="8591"/>
    <cellStyle name="Normal 5 6 2 2" xfId="8592"/>
    <cellStyle name="Normal 5 6 2 2 2" xfId="13187"/>
    <cellStyle name="Normal 5 6 2 2 2 2" xfId="20743"/>
    <cellStyle name="Normal 5 6 2 2 2 2 2" xfId="36964"/>
    <cellStyle name="Normal 5 6 2 2 2 3" xfId="30276"/>
    <cellStyle name="Normal 5 6 2 2 3" xfId="16952"/>
    <cellStyle name="Normal 5 6 2 2 3 2" xfId="33173"/>
    <cellStyle name="Normal 5 6 2 2 4" xfId="18986"/>
    <cellStyle name="Normal 5 6 2 2 4 2" xfId="35207"/>
    <cellStyle name="Normal 5 6 2 2 5" xfId="28523"/>
    <cellStyle name="Normal 5 6 2 3" xfId="13186"/>
    <cellStyle name="Normal 5 6 2 3 2" xfId="20742"/>
    <cellStyle name="Normal 5 6 2 3 2 2" xfId="36963"/>
    <cellStyle name="Normal 5 6 2 3 3" xfId="30275"/>
    <cellStyle name="Normal 5 6 2 4" xfId="15367"/>
    <cellStyle name="Normal 5 6 2 4 2" xfId="31589"/>
    <cellStyle name="Normal 5 6 2 5" xfId="18985"/>
    <cellStyle name="Normal 5 6 2 5 2" xfId="35206"/>
    <cellStyle name="Normal 5 6 2 6" xfId="28522"/>
    <cellStyle name="Normal 5 6 3" xfId="8593"/>
    <cellStyle name="Normal 5 6 3 2" xfId="13188"/>
    <cellStyle name="Normal 5 6 3 2 2" xfId="20744"/>
    <cellStyle name="Normal 5 6 3 2 2 2" xfId="36965"/>
    <cellStyle name="Normal 5 6 3 2 3" xfId="30277"/>
    <cellStyle name="Normal 5 6 3 3" xfId="16160"/>
    <cellStyle name="Normal 5 6 3 3 2" xfId="32381"/>
    <cellStyle name="Normal 5 6 3 4" xfId="18987"/>
    <cellStyle name="Normal 5 6 3 4 2" xfId="35208"/>
    <cellStyle name="Normal 5 6 3 5" xfId="28524"/>
    <cellStyle name="Normal 5 6 4" xfId="13185"/>
    <cellStyle name="Normal 5 6 4 2" xfId="20741"/>
    <cellStyle name="Normal 5 6 4 2 2" xfId="36962"/>
    <cellStyle name="Normal 5 6 4 3" xfId="30274"/>
    <cellStyle name="Normal 5 6 5" xfId="14575"/>
    <cellStyle name="Normal 5 6 5 2" xfId="30797"/>
    <cellStyle name="Normal 5 6 6" xfId="18984"/>
    <cellStyle name="Normal 5 6 6 2" xfId="35205"/>
    <cellStyle name="Normal 5 6 7" xfId="8590"/>
    <cellStyle name="Normal 5 6 7 2" xfId="28521"/>
    <cellStyle name="Normal 5 6 8" xfId="25497"/>
    <cellStyle name="Normal 5 7" xfId="8594"/>
    <cellStyle name="Normal 5 7 2" xfId="8595"/>
    <cellStyle name="Normal 5 7 2 2" xfId="8596"/>
    <cellStyle name="Normal 5 7 2 2 2" xfId="13191"/>
    <cellStyle name="Normal 5 7 2 2 2 2" xfId="20747"/>
    <cellStyle name="Normal 5 7 2 2 2 2 2" xfId="36968"/>
    <cellStyle name="Normal 5 7 2 2 2 3" xfId="30280"/>
    <cellStyle name="Normal 5 7 2 2 3" xfId="17216"/>
    <cellStyle name="Normal 5 7 2 2 3 2" xfId="33437"/>
    <cellStyle name="Normal 5 7 2 2 4" xfId="18990"/>
    <cellStyle name="Normal 5 7 2 2 4 2" xfId="35211"/>
    <cellStyle name="Normal 5 7 2 2 5" xfId="28527"/>
    <cellStyle name="Normal 5 7 2 3" xfId="13190"/>
    <cellStyle name="Normal 5 7 2 3 2" xfId="20746"/>
    <cellStyle name="Normal 5 7 2 3 2 2" xfId="36967"/>
    <cellStyle name="Normal 5 7 2 3 3" xfId="30279"/>
    <cellStyle name="Normal 5 7 2 4" xfId="15631"/>
    <cellStyle name="Normal 5 7 2 4 2" xfId="31853"/>
    <cellStyle name="Normal 5 7 2 5" xfId="18989"/>
    <cellStyle name="Normal 5 7 2 5 2" xfId="35210"/>
    <cellStyle name="Normal 5 7 2 6" xfId="28526"/>
    <cellStyle name="Normal 5 7 3" xfId="8597"/>
    <cellStyle name="Normal 5 7 3 2" xfId="13192"/>
    <cellStyle name="Normal 5 7 3 2 2" xfId="20748"/>
    <cellStyle name="Normal 5 7 3 2 2 2" xfId="36969"/>
    <cellStyle name="Normal 5 7 3 2 3" xfId="30281"/>
    <cellStyle name="Normal 5 7 3 3" xfId="16424"/>
    <cellStyle name="Normal 5 7 3 3 2" xfId="32645"/>
    <cellStyle name="Normal 5 7 3 4" xfId="18991"/>
    <cellStyle name="Normal 5 7 3 4 2" xfId="35212"/>
    <cellStyle name="Normal 5 7 3 5" xfId="28528"/>
    <cellStyle name="Normal 5 7 4" xfId="13189"/>
    <cellStyle name="Normal 5 7 4 2" xfId="20745"/>
    <cellStyle name="Normal 5 7 4 2 2" xfId="36966"/>
    <cellStyle name="Normal 5 7 4 3" xfId="30278"/>
    <cellStyle name="Normal 5 7 5" xfId="14839"/>
    <cellStyle name="Normal 5 7 5 2" xfId="31061"/>
    <cellStyle name="Normal 5 7 6" xfId="18988"/>
    <cellStyle name="Normal 5 7 6 2" xfId="35209"/>
    <cellStyle name="Normal 5 7 7" xfId="28525"/>
    <cellStyle name="Normal 5 8" xfId="8598"/>
    <cellStyle name="Normal 5 8 2" xfId="8599"/>
    <cellStyle name="Normal 5 8 2 2" xfId="13194"/>
    <cellStyle name="Normal 5 8 2 2 2" xfId="20750"/>
    <cellStyle name="Normal 5 8 2 2 2 2" xfId="36971"/>
    <cellStyle name="Normal 5 8 2 2 3" xfId="30283"/>
    <cellStyle name="Normal 5 8 2 3" xfId="16688"/>
    <cellStyle name="Normal 5 8 2 3 2" xfId="32909"/>
    <cellStyle name="Normal 5 8 2 4" xfId="18993"/>
    <cellStyle name="Normal 5 8 2 4 2" xfId="35214"/>
    <cellStyle name="Normal 5 8 2 5" xfId="28530"/>
    <cellStyle name="Normal 5 8 3" xfId="13193"/>
    <cellStyle name="Normal 5 8 3 2" xfId="20749"/>
    <cellStyle name="Normal 5 8 3 2 2" xfId="36970"/>
    <cellStyle name="Normal 5 8 3 3" xfId="30282"/>
    <cellStyle name="Normal 5 8 4" xfId="15103"/>
    <cellStyle name="Normal 5 8 4 2" xfId="31325"/>
    <cellStyle name="Normal 5 8 5" xfId="18992"/>
    <cellStyle name="Normal 5 8 5 2" xfId="35213"/>
    <cellStyle name="Normal 5 8 6" xfId="28529"/>
    <cellStyle name="Normal 5 9" xfId="8600"/>
    <cellStyle name="Normal 5 9 2" xfId="13195"/>
    <cellStyle name="Normal 5 9 2 2" xfId="20751"/>
    <cellStyle name="Normal 5 9 2 2 2" xfId="36972"/>
    <cellStyle name="Normal 5 9 2 3" xfId="30284"/>
    <cellStyle name="Normal 5 9 3" xfId="15896"/>
    <cellStyle name="Normal 5 9 3 2" xfId="32117"/>
    <cellStyle name="Normal 5 9 4" xfId="18994"/>
    <cellStyle name="Normal 5 9 4 2" xfId="35215"/>
    <cellStyle name="Normal 5 9 5" xfId="28531"/>
    <cellStyle name="Normal 50" xfId="39605"/>
    <cellStyle name="Normal 51" xfId="39606"/>
    <cellStyle name="Normal 52" xfId="39607"/>
    <cellStyle name="Normal 53" xfId="39546"/>
    <cellStyle name="Normal 54" xfId="269"/>
    <cellStyle name="Normal 6" xfId="206"/>
    <cellStyle name="Normal 6 10" xfId="38726"/>
    <cellStyle name="Normal 6 11" xfId="39553"/>
    <cellStyle name="Normal 6 12" xfId="297"/>
    <cellStyle name="Normal 6 2" xfId="207"/>
    <cellStyle name="Normal 6 2 2" xfId="208"/>
    <cellStyle name="Normal 6 2 2 2" xfId="38811"/>
    <cellStyle name="Normal 6 2 2 3" xfId="13196"/>
    <cellStyle name="Normal 6 2 3" xfId="38810"/>
    <cellStyle name="Normal 6 2 4" xfId="382"/>
    <cellStyle name="Normal 6 3" xfId="209"/>
    <cellStyle name="Normal 6 3 2" xfId="38812"/>
    <cellStyle name="Normal 6 3 3" xfId="381"/>
    <cellStyle name="Normal 6 4" xfId="210"/>
    <cellStyle name="Normal 6 4 2" xfId="1861"/>
    <cellStyle name="Normal 6 4 2 2" xfId="24029"/>
    <cellStyle name="Normal 6 4 3" xfId="3360"/>
    <cellStyle name="Normal 6 4 3 2" xfId="25527"/>
    <cellStyle name="Normal 6 4 4" xfId="21033"/>
    <cellStyle name="Normal 6 4 4 2" xfId="37245"/>
    <cellStyle name="Normal 6 4 5" xfId="22531"/>
    <cellStyle name="Normal 6 4 6" xfId="326"/>
    <cellStyle name="Normal 6 5" xfId="211"/>
    <cellStyle name="Normal 6 5 2" xfId="3286"/>
    <cellStyle name="Normal 6 5 2 2" xfId="25453"/>
    <cellStyle name="Normal 6 5 3" xfId="4784"/>
    <cellStyle name="Normal 6 5 3 2" xfId="26951"/>
    <cellStyle name="Normal 6 5 4" xfId="22457"/>
    <cellStyle name="Normal 6 5 4 2" xfId="38669"/>
    <cellStyle name="Normal 6 5 5" xfId="23955"/>
    <cellStyle name="Normal 6 5 6" xfId="1787"/>
    <cellStyle name="Normal 6 6" xfId="1833"/>
    <cellStyle name="Normal 6 6 2" xfId="24001"/>
    <cellStyle name="Normal 6 7" xfId="3332"/>
    <cellStyle name="Normal 6 7 2" xfId="25499"/>
    <cellStyle name="Normal 6 8" xfId="21005"/>
    <cellStyle name="Normal 6 8 2" xfId="37217"/>
    <cellStyle name="Normal 6 9" xfId="22503"/>
    <cellStyle name="Normal 7" xfId="212"/>
    <cellStyle name="Normal 7 10" xfId="8601"/>
    <cellStyle name="Normal 7 10 2" xfId="8602"/>
    <cellStyle name="Normal 7 10 2 2" xfId="8603"/>
    <cellStyle name="Normal 7 10 2 2 2" xfId="13199"/>
    <cellStyle name="Normal 7 10 2 2 2 2" xfId="20754"/>
    <cellStyle name="Normal 7 10 2 2 2 2 2" xfId="36975"/>
    <cellStyle name="Normal 7 10 2 2 2 3" xfId="30287"/>
    <cellStyle name="Normal 7 10 2 2 3" xfId="17228"/>
    <cellStyle name="Normal 7 10 2 2 3 2" xfId="33449"/>
    <cellStyle name="Normal 7 10 2 2 4" xfId="18997"/>
    <cellStyle name="Normal 7 10 2 2 4 2" xfId="35218"/>
    <cellStyle name="Normal 7 10 2 2 5" xfId="28534"/>
    <cellStyle name="Normal 7 10 2 3" xfId="13198"/>
    <cellStyle name="Normal 7 10 2 3 2" xfId="20753"/>
    <cellStyle name="Normal 7 10 2 3 2 2" xfId="36974"/>
    <cellStyle name="Normal 7 10 2 3 3" xfId="30286"/>
    <cellStyle name="Normal 7 10 2 4" xfId="15643"/>
    <cellStyle name="Normal 7 10 2 4 2" xfId="31865"/>
    <cellStyle name="Normal 7 10 2 5" xfId="18996"/>
    <cellStyle name="Normal 7 10 2 5 2" xfId="35217"/>
    <cellStyle name="Normal 7 10 2 6" xfId="28533"/>
    <cellStyle name="Normal 7 10 3" xfId="8604"/>
    <cellStyle name="Normal 7 10 3 2" xfId="13200"/>
    <cellStyle name="Normal 7 10 3 2 2" xfId="20755"/>
    <cellStyle name="Normal 7 10 3 2 2 2" xfId="36976"/>
    <cellStyle name="Normal 7 10 3 2 3" xfId="30288"/>
    <cellStyle name="Normal 7 10 3 3" xfId="16436"/>
    <cellStyle name="Normal 7 10 3 3 2" xfId="32657"/>
    <cellStyle name="Normal 7 10 3 4" xfId="18998"/>
    <cellStyle name="Normal 7 10 3 4 2" xfId="35219"/>
    <cellStyle name="Normal 7 10 3 5" xfId="28535"/>
    <cellStyle name="Normal 7 10 4" xfId="13197"/>
    <cellStyle name="Normal 7 10 4 2" xfId="20752"/>
    <cellStyle name="Normal 7 10 4 2 2" xfId="36973"/>
    <cellStyle name="Normal 7 10 4 3" xfId="30285"/>
    <cellStyle name="Normal 7 10 5" xfId="14851"/>
    <cellStyle name="Normal 7 10 5 2" xfId="31073"/>
    <cellStyle name="Normal 7 10 6" xfId="18995"/>
    <cellStyle name="Normal 7 10 6 2" xfId="35216"/>
    <cellStyle name="Normal 7 10 7" xfId="28532"/>
    <cellStyle name="Normal 7 11" xfId="8605"/>
    <cellStyle name="Normal 7 11 2" xfId="8606"/>
    <cellStyle name="Normal 7 11 2 2" xfId="13202"/>
    <cellStyle name="Normal 7 11 2 2 2" xfId="20757"/>
    <cellStyle name="Normal 7 11 2 2 2 2" xfId="36978"/>
    <cellStyle name="Normal 7 11 2 2 3" xfId="30290"/>
    <cellStyle name="Normal 7 11 2 3" xfId="16700"/>
    <cellStyle name="Normal 7 11 2 3 2" xfId="32921"/>
    <cellStyle name="Normal 7 11 2 4" xfId="19000"/>
    <cellStyle name="Normal 7 11 2 4 2" xfId="35221"/>
    <cellStyle name="Normal 7 11 2 5" xfId="28537"/>
    <cellStyle name="Normal 7 11 3" xfId="13201"/>
    <cellStyle name="Normal 7 11 3 2" xfId="20756"/>
    <cellStyle name="Normal 7 11 3 2 2" xfId="36977"/>
    <cellStyle name="Normal 7 11 3 3" xfId="30289"/>
    <cellStyle name="Normal 7 11 4" xfId="15115"/>
    <cellStyle name="Normal 7 11 4 2" xfId="31337"/>
    <cellStyle name="Normal 7 11 5" xfId="18999"/>
    <cellStyle name="Normal 7 11 5 2" xfId="35220"/>
    <cellStyle name="Normal 7 11 6" xfId="28536"/>
    <cellStyle name="Normal 7 12" xfId="8607"/>
    <cellStyle name="Normal 7 12 2" xfId="13203"/>
    <cellStyle name="Normal 7 12 2 2" xfId="20758"/>
    <cellStyle name="Normal 7 12 2 2 2" xfId="36979"/>
    <cellStyle name="Normal 7 12 2 3" xfId="30291"/>
    <cellStyle name="Normal 7 12 3" xfId="15908"/>
    <cellStyle name="Normal 7 12 3 2" xfId="32129"/>
    <cellStyle name="Normal 7 12 4" xfId="19001"/>
    <cellStyle name="Normal 7 12 4 2" xfId="35222"/>
    <cellStyle name="Normal 7 12 5" xfId="28538"/>
    <cellStyle name="Normal 7 13" xfId="14323"/>
    <cellStyle name="Normal 7 13 2" xfId="30545"/>
    <cellStyle name="Normal 7 14" xfId="21007"/>
    <cellStyle name="Normal 7 14 2" xfId="37219"/>
    <cellStyle name="Normal 7 15" xfId="22505"/>
    <cellStyle name="Normal 7 16" xfId="38733"/>
    <cellStyle name="Normal 7 17" xfId="39555"/>
    <cellStyle name="Normal 7 18" xfId="299"/>
    <cellStyle name="Normal 7 2" xfId="213"/>
    <cellStyle name="Normal 7 2 10" xfId="14317"/>
    <cellStyle name="Normal 7 2 10 2" xfId="30542"/>
    <cellStyle name="Normal 7 2 11" xfId="19002"/>
    <cellStyle name="Normal 7 2 11 2" xfId="35223"/>
    <cellStyle name="Normal 7 2 12" xfId="383"/>
    <cellStyle name="Normal 7 2 2" xfId="5683"/>
    <cellStyle name="Normal 7 2 2 10" xfId="19003"/>
    <cellStyle name="Normal 7 2 2 10 2" xfId="35224"/>
    <cellStyle name="Normal 7 2 2 11" xfId="27020"/>
    <cellStyle name="Normal 7 2 2 2" xfId="8608"/>
    <cellStyle name="Normal 7 2 2 2 10" xfId="28539"/>
    <cellStyle name="Normal 7 2 2 2 2" xfId="8609"/>
    <cellStyle name="Normal 7 2 2 2 2 2" xfId="8610"/>
    <cellStyle name="Normal 7 2 2 2 2 2 2" xfId="8611"/>
    <cellStyle name="Normal 7 2 2 2 2 2 2 2" xfId="8612"/>
    <cellStyle name="Normal 7 2 2 2 2 2 2 2 2" xfId="13210"/>
    <cellStyle name="Normal 7 2 2 2 2 2 2 2 2 2" xfId="20765"/>
    <cellStyle name="Normal 7 2 2 2 2 2 2 2 2 2 2" xfId="36986"/>
    <cellStyle name="Normal 7 2 2 2 2 2 2 2 2 3" xfId="30298"/>
    <cellStyle name="Normal 7 2 2 2 2 2 2 2 3" xfId="17192"/>
    <cellStyle name="Normal 7 2 2 2 2 2 2 2 3 2" xfId="33413"/>
    <cellStyle name="Normal 7 2 2 2 2 2 2 2 4" xfId="19008"/>
    <cellStyle name="Normal 7 2 2 2 2 2 2 2 4 2" xfId="35229"/>
    <cellStyle name="Normal 7 2 2 2 2 2 2 2 5" xfId="28543"/>
    <cellStyle name="Normal 7 2 2 2 2 2 2 3" xfId="13209"/>
    <cellStyle name="Normal 7 2 2 2 2 2 2 3 2" xfId="20764"/>
    <cellStyle name="Normal 7 2 2 2 2 2 2 3 2 2" xfId="36985"/>
    <cellStyle name="Normal 7 2 2 2 2 2 2 3 3" xfId="30297"/>
    <cellStyle name="Normal 7 2 2 2 2 2 2 4" xfId="15607"/>
    <cellStyle name="Normal 7 2 2 2 2 2 2 4 2" xfId="31829"/>
    <cellStyle name="Normal 7 2 2 2 2 2 2 5" xfId="19007"/>
    <cellStyle name="Normal 7 2 2 2 2 2 2 5 2" xfId="35228"/>
    <cellStyle name="Normal 7 2 2 2 2 2 2 6" xfId="28542"/>
    <cellStyle name="Normal 7 2 2 2 2 2 3" xfId="8613"/>
    <cellStyle name="Normal 7 2 2 2 2 2 3 2" xfId="13211"/>
    <cellStyle name="Normal 7 2 2 2 2 2 3 2 2" xfId="20766"/>
    <cellStyle name="Normal 7 2 2 2 2 2 3 2 2 2" xfId="36987"/>
    <cellStyle name="Normal 7 2 2 2 2 2 3 2 3" xfId="30299"/>
    <cellStyle name="Normal 7 2 2 2 2 2 3 3" xfId="16400"/>
    <cellStyle name="Normal 7 2 2 2 2 2 3 3 2" xfId="32621"/>
    <cellStyle name="Normal 7 2 2 2 2 2 3 4" xfId="19009"/>
    <cellStyle name="Normal 7 2 2 2 2 2 3 4 2" xfId="35230"/>
    <cellStyle name="Normal 7 2 2 2 2 2 3 5" xfId="28544"/>
    <cellStyle name="Normal 7 2 2 2 2 2 4" xfId="13208"/>
    <cellStyle name="Normal 7 2 2 2 2 2 4 2" xfId="20763"/>
    <cellStyle name="Normal 7 2 2 2 2 2 4 2 2" xfId="36984"/>
    <cellStyle name="Normal 7 2 2 2 2 2 4 3" xfId="30296"/>
    <cellStyle name="Normal 7 2 2 2 2 2 5" xfId="14815"/>
    <cellStyle name="Normal 7 2 2 2 2 2 5 2" xfId="31037"/>
    <cellStyle name="Normal 7 2 2 2 2 2 6" xfId="19006"/>
    <cellStyle name="Normal 7 2 2 2 2 2 6 2" xfId="35227"/>
    <cellStyle name="Normal 7 2 2 2 2 2 7" xfId="28541"/>
    <cellStyle name="Normal 7 2 2 2 2 3" xfId="8614"/>
    <cellStyle name="Normal 7 2 2 2 2 3 2" xfId="8615"/>
    <cellStyle name="Normal 7 2 2 2 2 3 2 2" xfId="8616"/>
    <cellStyle name="Normal 7 2 2 2 2 3 2 2 2" xfId="13214"/>
    <cellStyle name="Normal 7 2 2 2 2 3 2 2 2 2" xfId="20769"/>
    <cellStyle name="Normal 7 2 2 2 2 3 2 2 2 2 2" xfId="36990"/>
    <cellStyle name="Normal 7 2 2 2 2 3 2 2 2 3" xfId="30302"/>
    <cellStyle name="Normal 7 2 2 2 2 3 2 2 3" xfId="17456"/>
    <cellStyle name="Normal 7 2 2 2 2 3 2 2 3 2" xfId="33677"/>
    <cellStyle name="Normal 7 2 2 2 2 3 2 2 4" xfId="19012"/>
    <cellStyle name="Normal 7 2 2 2 2 3 2 2 4 2" xfId="35233"/>
    <cellStyle name="Normal 7 2 2 2 2 3 2 2 5" xfId="28547"/>
    <cellStyle name="Normal 7 2 2 2 2 3 2 3" xfId="13213"/>
    <cellStyle name="Normal 7 2 2 2 2 3 2 3 2" xfId="20768"/>
    <cellStyle name="Normal 7 2 2 2 2 3 2 3 2 2" xfId="36989"/>
    <cellStyle name="Normal 7 2 2 2 2 3 2 3 3" xfId="30301"/>
    <cellStyle name="Normal 7 2 2 2 2 3 2 4" xfId="15871"/>
    <cellStyle name="Normal 7 2 2 2 2 3 2 4 2" xfId="32093"/>
    <cellStyle name="Normal 7 2 2 2 2 3 2 5" xfId="19011"/>
    <cellStyle name="Normal 7 2 2 2 2 3 2 5 2" xfId="35232"/>
    <cellStyle name="Normal 7 2 2 2 2 3 2 6" xfId="28546"/>
    <cellStyle name="Normal 7 2 2 2 2 3 3" xfId="8617"/>
    <cellStyle name="Normal 7 2 2 2 2 3 3 2" xfId="13215"/>
    <cellStyle name="Normal 7 2 2 2 2 3 3 2 2" xfId="20770"/>
    <cellStyle name="Normal 7 2 2 2 2 3 3 2 2 2" xfId="36991"/>
    <cellStyle name="Normal 7 2 2 2 2 3 3 2 3" xfId="30303"/>
    <cellStyle name="Normal 7 2 2 2 2 3 3 3" xfId="16664"/>
    <cellStyle name="Normal 7 2 2 2 2 3 3 3 2" xfId="32885"/>
    <cellStyle name="Normal 7 2 2 2 2 3 3 4" xfId="19013"/>
    <cellStyle name="Normal 7 2 2 2 2 3 3 4 2" xfId="35234"/>
    <cellStyle name="Normal 7 2 2 2 2 3 3 5" xfId="28548"/>
    <cellStyle name="Normal 7 2 2 2 2 3 4" xfId="13212"/>
    <cellStyle name="Normal 7 2 2 2 2 3 4 2" xfId="20767"/>
    <cellStyle name="Normal 7 2 2 2 2 3 4 2 2" xfId="36988"/>
    <cellStyle name="Normal 7 2 2 2 2 3 4 3" xfId="30300"/>
    <cellStyle name="Normal 7 2 2 2 2 3 5" xfId="15079"/>
    <cellStyle name="Normal 7 2 2 2 2 3 5 2" xfId="31301"/>
    <cellStyle name="Normal 7 2 2 2 2 3 6" xfId="19010"/>
    <cellStyle name="Normal 7 2 2 2 2 3 6 2" xfId="35231"/>
    <cellStyle name="Normal 7 2 2 2 2 3 7" xfId="28545"/>
    <cellStyle name="Normal 7 2 2 2 2 4" xfId="8618"/>
    <cellStyle name="Normal 7 2 2 2 2 4 2" xfId="8619"/>
    <cellStyle name="Normal 7 2 2 2 2 4 2 2" xfId="13217"/>
    <cellStyle name="Normal 7 2 2 2 2 4 2 2 2" xfId="20772"/>
    <cellStyle name="Normal 7 2 2 2 2 4 2 2 2 2" xfId="36993"/>
    <cellStyle name="Normal 7 2 2 2 2 4 2 2 3" xfId="30305"/>
    <cellStyle name="Normal 7 2 2 2 2 4 2 3" xfId="16928"/>
    <cellStyle name="Normal 7 2 2 2 2 4 2 3 2" xfId="33149"/>
    <cellStyle name="Normal 7 2 2 2 2 4 2 4" xfId="19015"/>
    <cellStyle name="Normal 7 2 2 2 2 4 2 4 2" xfId="35236"/>
    <cellStyle name="Normal 7 2 2 2 2 4 2 5" xfId="28550"/>
    <cellStyle name="Normal 7 2 2 2 2 4 3" xfId="13216"/>
    <cellStyle name="Normal 7 2 2 2 2 4 3 2" xfId="20771"/>
    <cellStyle name="Normal 7 2 2 2 2 4 3 2 2" xfId="36992"/>
    <cellStyle name="Normal 7 2 2 2 2 4 3 3" xfId="30304"/>
    <cellStyle name="Normal 7 2 2 2 2 4 4" xfId="15343"/>
    <cellStyle name="Normal 7 2 2 2 2 4 4 2" xfId="31565"/>
    <cellStyle name="Normal 7 2 2 2 2 4 5" xfId="19014"/>
    <cellStyle name="Normal 7 2 2 2 2 4 5 2" xfId="35235"/>
    <cellStyle name="Normal 7 2 2 2 2 4 6" xfId="28549"/>
    <cellStyle name="Normal 7 2 2 2 2 5" xfId="8620"/>
    <cellStyle name="Normal 7 2 2 2 2 5 2" xfId="13218"/>
    <cellStyle name="Normal 7 2 2 2 2 5 2 2" xfId="20773"/>
    <cellStyle name="Normal 7 2 2 2 2 5 2 2 2" xfId="36994"/>
    <cellStyle name="Normal 7 2 2 2 2 5 2 3" xfId="30306"/>
    <cellStyle name="Normal 7 2 2 2 2 5 3" xfId="16136"/>
    <cellStyle name="Normal 7 2 2 2 2 5 3 2" xfId="32357"/>
    <cellStyle name="Normal 7 2 2 2 2 5 4" xfId="19016"/>
    <cellStyle name="Normal 7 2 2 2 2 5 4 2" xfId="35237"/>
    <cellStyle name="Normal 7 2 2 2 2 5 5" xfId="28551"/>
    <cellStyle name="Normal 7 2 2 2 2 6" xfId="13207"/>
    <cellStyle name="Normal 7 2 2 2 2 6 2" xfId="20762"/>
    <cellStyle name="Normal 7 2 2 2 2 6 2 2" xfId="36983"/>
    <cellStyle name="Normal 7 2 2 2 2 6 3" xfId="30295"/>
    <cellStyle name="Normal 7 2 2 2 2 7" xfId="14551"/>
    <cellStyle name="Normal 7 2 2 2 2 7 2" xfId="30773"/>
    <cellStyle name="Normal 7 2 2 2 2 8" xfId="19005"/>
    <cellStyle name="Normal 7 2 2 2 2 8 2" xfId="35226"/>
    <cellStyle name="Normal 7 2 2 2 2 9" xfId="28540"/>
    <cellStyle name="Normal 7 2 2 2 3" xfId="8621"/>
    <cellStyle name="Normal 7 2 2 2 3 2" xfId="8622"/>
    <cellStyle name="Normal 7 2 2 2 3 2 2" xfId="8623"/>
    <cellStyle name="Normal 7 2 2 2 3 2 2 2" xfId="13221"/>
    <cellStyle name="Normal 7 2 2 2 3 2 2 2 2" xfId="20776"/>
    <cellStyle name="Normal 7 2 2 2 3 2 2 2 2 2" xfId="36997"/>
    <cellStyle name="Normal 7 2 2 2 3 2 2 2 3" xfId="30309"/>
    <cellStyle name="Normal 7 2 2 2 3 2 2 3" xfId="17060"/>
    <cellStyle name="Normal 7 2 2 2 3 2 2 3 2" xfId="33281"/>
    <cellStyle name="Normal 7 2 2 2 3 2 2 4" xfId="19019"/>
    <cellStyle name="Normal 7 2 2 2 3 2 2 4 2" xfId="35240"/>
    <cellStyle name="Normal 7 2 2 2 3 2 2 5" xfId="28554"/>
    <cellStyle name="Normal 7 2 2 2 3 2 3" xfId="13220"/>
    <cellStyle name="Normal 7 2 2 2 3 2 3 2" xfId="20775"/>
    <cellStyle name="Normal 7 2 2 2 3 2 3 2 2" xfId="36996"/>
    <cellStyle name="Normal 7 2 2 2 3 2 3 3" xfId="30308"/>
    <cellStyle name="Normal 7 2 2 2 3 2 4" xfId="15475"/>
    <cellStyle name="Normal 7 2 2 2 3 2 4 2" xfId="31697"/>
    <cellStyle name="Normal 7 2 2 2 3 2 5" xfId="19018"/>
    <cellStyle name="Normal 7 2 2 2 3 2 5 2" xfId="35239"/>
    <cellStyle name="Normal 7 2 2 2 3 2 6" xfId="28553"/>
    <cellStyle name="Normal 7 2 2 2 3 3" xfId="8624"/>
    <cellStyle name="Normal 7 2 2 2 3 3 2" xfId="13222"/>
    <cellStyle name="Normal 7 2 2 2 3 3 2 2" xfId="20777"/>
    <cellStyle name="Normal 7 2 2 2 3 3 2 2 2" xfId="36998"/>
    <cellStyle name="Normal 7 2 2 2 3 3 2 3" xfId="30310"/>
    <cellStyle name="Normal 7 2 2 2 3 3 3" xfId="16268"/>
    <cellStyle name="Normal 7 2 2 2 3 3 3 2" xfId="32489"/>
    <cellStyle name="Normal 7 2 2 2 3 3 4" xfId="19020"/>
    <cellStyle name="Normal 7 2 2 2 3 3 4 2" xfId="35241"/>
    <cellStyle name="Normal 7 2 2 2 3 3 5" xfId="28555"/>
    <cellStyle name="Normal 7 2 2 2 3 4" xfId="13219"/>
    <cellStyle name="Normal 7 2 2 2 3 4 2" xfId="20774"/>
    <cellStyle name="Normal 7 2 2 2 3 4 2 2" xfId="36995"/>
    <cellStyle name="Normal 7 2 2 2 3 4 3" xfId="30307"/>
    <cellStyle name="Normal 7 2 2 2 3 5" xfId="14683"/>
    <cellStyle name="Normal 7 2 2 2 3 5 2" xfId="30905"/>
    <cellStyle name="Normal 7 2 2 2 3 6" xfId="19017"/>
    <cellStyle name="Normal 7 2 2 2 3 6 2" xfId="35238"/>
    <cellStyle name="Normal 7 2 2 2 3 7" xfId="28552"/>
    <cellStyle name="Normal 7 2 2 2 4" xfId="8625"/>
    <cellStyle name="Normal 7 2 2 2 4 2" xfId="8626"/>
    <cellStyle name="Normal 7 2 2 2 4 2 2" xfId="8627"/>
    <cellStyle name="Normal 7 2 2 2 4 2 2 2" xfId="13225"/>
    <cellStyle name="Normal 7 2 2 2 4 2 2 2 2" xfId="20780"/>
    <cellStyle name="Normal 7 2 2 2 4 2 2 2 2 2" xfId="37001"/>
    <cellStyle name="Normal 7 2 2 2 4 2 2 2 3" xfId="30313"/>
    <cellStyle name="Normal 7 2 2 2 4 2 2 3" xfId="17324"/>
    <cellStyle name="Normal 7 2 2 2 4 2 2 3 2" xfId="33545"/>
    <cellStyle name="Normal 7 2 2 2 4 2 2 4" xfId="19023"/>
    <cellStyle name="Normal 7 2 2 2 4 2 2 4 2" xfId="35244"/>
    <cellStyle name="Normal 7 2 2 2 4 2 2 5" xfId="28558"/>
    <cellStyle name="Normal 7 2 2 2 4 2 3" xfId="13224"/>
    <cellStyle name="Normal 7 2 2 2 4 2 3 2" xfId="20779"/>
    <cellStyle name="Normal 7 2 2 2 4 2 3 2 2" xfId="37000"/>
    <cellStyle name="Normal 7 2 2 2 4 2 3 3" xfId="30312"/>
    <cellStyle name="Normal 7 2 2 2 4 2 4" xfId="15739"/>
    <cellStyle name="Normal 7 2 2 2 4 2 4 2" xfId="31961"/>
    <cellStyle name="Normal 7 2 2 2 4 2 5" xfId="19022"/>
    <cellStyle name="Normal 7 2 2 2 4 2 5 2" xfId="35243"/>
    <cellStyle name="Normal 7 2 2 2 4 2 6" xfId="28557"/>
    <cellStyle name="Normal 7 2 2 2 4 3" xfId="8628"/>
    <cellStyle name="Normal 7 2 2 2 4 3 2" xfId="13226"/>
    <cellStyle name="Normal 7 2 2 2 4 3 2 2" xfId="20781"/>
    <cellStyle name="Normal 7 2 2 2 4 3 2 2 2" xfId="37002"/>
    <cellStyle name="Normal 7 2 2 2 4 3 2 3" xfId="30314"/>
    <cellStyle name="Normal 7 2 2 2 4 3 3" xfId="16532"/>
    <cellStyle name="Normal 7 2 2 2 4 3 3 2" xfId="32753"/>
    <cellStyle name="Normal 7 2 2 2 4 3 4" xfId="19024"/>
    <cellStyle name="Normal 7 2 2 2 4 3 4 2" xfId="35245"/>
    <cellStyle name="Normal 7 2 2 2 4 3 5" xfId="28559"/>
    <cellStyle name="Normal 7 2 2 2 4 4" xfId="13223"/>
    <cellStyle name="Normal 7 2 2 2 4 4 2" xfId="20778"/>
    <cellStyle name="Normal 7 2 2 2 4 4 2 2" xfId="36999"/>
    <cellStyle name="Normal 7 2 2 2 4 4 3" xfId="30311"/>
    <cellStyle name="Normal 7 2 2 2 4 5" xfId="14947"/>
    <cellStyle name="Normal 7 2 2 2 4 5 2" xfId="31169"/>
    <cellStyle name="Normal 7 2 2 2 4 6" xfId="19021"/>
    <cellStyle name="Normal 7 2 2 2 4 6 2" xfId="35242"/>
    <cellStyle name="Normal 7 2 2 2 4 7" xfId="28556"/>
    <cellStyle name="Normal 7 2 2 2 5" xfId="8629"/>
    <cellStyle name="Normal 7 2 2 2 5 2" xfId="8630"/>
    <cellStyle name="Normal 7 2 2 2 5 2 2" xfId="13228"/>
    <cellStyle name="Normal 7 2 2 2 5 2 2 2" xfId="20783"/>
    <cellStyle name="Normal 7 2 2 2 5 2 2 2 2" xfId="37004"/>
    <cellStyle name="Normal 7 2 2 2 5 2 2 3" xfId="30316"/>
    <cellStyle name="Normal 7 2 2 2 5 2 3" xfId="16796"/>
    <cellStyle name="Normal 7 2 2 2 5 2 3 2" xfId="33017"/>
    <cellStyle name="Normal 7 2 2 2 5 2 4" xfId="19026"/>
    <cellStyle name="Normal 7 2 2 2 5 2 4 2" xfId="35247"/>
    <cellStyle name="Normal 7 2 2 2 5 2 5" xfId="28561"/>
    <cellStyle name="Normal 7 2 2 2 5 3" xfId="13227"/>
    <cellStyle name="Normal 7 2 2 2 5 3 2" xfId="20782"/>
    <cellStyle name="Normal 7 2 2 2 5 3 2 2" xfId="37003"/>
    <cellStyle name="Normal 7 2 2 2 5 3 3" xfId="30315"/>
    <cellStyle name="Normal 7 2 2 2 5 4" xfId="15211"/>
    <cellStyle name="Normal 7 2 2 2 5 4 2" xfId="31433"/>
    <cellStyle name="Normal 7 2 2 2 5 5" xfId="19025"/>
    <cellStyle name="Normal 7 2 2 2 5 5 2" xfId="35246"/>
    <cellStyle name="Normal 7 2 2 2 5 6" xfId="28560"/>
    <cellStyle name="Normal 7 2 2 2 6" xfId="8631"/>
    <cellStyle name="Normal 7 2 2 2 6 2" xfId="13229"/>
    <cellStyle name="Normal 7 2 2 2 6 2 2" xfId="20784"/>
    <cellStyle name="Normal 7 2 2 2 6 2 2 2" xfId="37005"/>
    <cellStyle name="Normal 7 2 2 2 6 2 3" xfId="30317"/>
    <cellStyle name="Normal 7 2 2 2 6 3" xfId="16004"/>
    <cellStyle name="Normal 7 2 2 2 6 3 2" xfId="32225"/>
    <cellStyle name="Normal 7 2 2 2 6 4" xfId="19027"/>
    <cellStyle name="Normal 7 2 2 2 6 4 2" xfId="35248"/>
    <cellStyle name="Normal 7 2 2 2 6 5" xfId="28562"/>
    <cellStyle name="Normal 7 2 2 2 7" xfId="13206"/>
    <cellStyle name="Normal 7 2 2 2 7 2" xfId="20761"/>
    <cellStyle name="Normal 7 2 2 2 7 2 2" xfId="36982"/>
    <cellStyle name="Normal 7 2 2 2 7 3" xfId="30294"/>
    <cellStyle name="Normal 7 2 2 2 8" xfId="14419"/>
    <cellStyle name="Normal 7 2 2 2 8 2" xfId="30641"/>
    <cellStyle name="Normal 7 2 2 2 9" xfId="19004"/>
    <cellStyle name="Normal 7 2 2 2 9 2" xfId="35225"/>
    <cellStyle name="Normal 7 2 2 3" xfId="8632"/>
    <cellStyle name="Normal 7 2 2 3 2" xfId="8633"/>
    <cellStyle name="Normal 7 2 2 3 2 2" xfId="8634"/>
    <cellStyle name="Normal 7 2 2 3 2 2 2" xfId="8635"/>
    <cellStyle name="Normal 7 2 2 3 2 2 2 2" xfId="13233"/>
    <cellStyle name="Normal 7 2 2 3 2 2 2 2 2" xfId="20788"/>
    <cellStyle name="Normal 7 2 2 3 2 2 2 2 2 2" xfId="37009"/>
    <cellStyle name="Normal 7 2 2 3 2 2 2 2 3" xfId="30321"/>
    <cellStyle name="Normal 7 2 2 3 2 2 2 3" xfId="17126"/>
    <cellStyle name="Normal 7 2 2 3 2 2 2 3 2" xfId="33347"/>
    <cellStyle name="Normal 7 2 2 3 2 2 2 4" xfId="19031"/>
    <cellStyle name="Normal 7 2 2 3 2 2 2 4 2" xfId="35252"/>
    <cellStyle name="Normal 7 2 2 3 2 2 2 5" xfId="28566"/>
    <cellStyle name="Normal 7 2 2 3 2 2 3" xfId="13232"/>
    <cellStyle name="Normal 7 2 2 3 2 2 3 2" xfId="20787"/>
    <cellStyle name="Normal 7 2 2 3 2 2 3 2 2" xfId="37008"/>
    <cellStyle name="Normal 7 2 2 3 2 2 3 3" xfId="30320"/>
    <cellStyle name="Normal 7 2 2 3 2 2 4" xfId="15541"/>
    <cellStyle name="Normal 7 2 2 3 2 2 4 2" xfId="31763"/>
    <cellStyle name="Normal 7 2 2 3 2 2 5" xfId="19030"/>
    <cellStyle name="Normal 7 2 2 3 2 2 5 2" xfId="35251"/>
    <cellStyle name="Normal 7 2 2 3 2 2 6" xfId="28565"/>
    <cellStyle name="Normal 7 2 2 3 2 3" xfId="8636"/>
    <cellStyle name="Normal 7 2 2 3 2 3 2" xfId="13234"/>
    <cellStyle name="Normal 7 2 2 3 2 3 2 2" xfId="20789"/>
    <cellStyle name="Normal 7 2 2 3 2 3 2 2 2" xfId="37010"/>
    <cellStyle name="Normal 7 2 2 3 2 3 2 3" xfId="30322"/>
    <cellStyle name="Normal 7 2 2 3 2 3 3" xfId="16334"/>
    <cellStyle name="Normal 7 2 2 3 2 3 3 2" xfId="32555"/>
    <cellStyle name="Normal 7 2 2 3 2 3 4" xfId="19032"/>
    <cellStyle name="Normal 7 2 2 3 2 3 4 2" xfId="35253"/>
    <cellStyle name="Normal 7 2 2 3 2 3 5" xfId="28567"/>
    <cellStyle name="Normal 7 2 2 3 2 4" xfId="13231"/>
    <cellStyle name="Normal 7 2 2 3 2 4 2" xfId="20786"/>
    <cellStyle name="Normal 7 2 2 3 2 4 2 2" xfId="37007"/>
    <cellStyle name="Normal 7 2 2 3 2 4 3" xfId="30319"/>
    <cellStyle name="Normal 7 2 2 3 2 5" xfId="14749"/>
    <cellStyle name="Normal 7 2 2 3 2 5 2" xfId="30971"/>
    <cellStyle name="Normal 7 2 2 3 2 6" xfId="19029"/>
    <cellStyle name="Normal 7 2 2 3 2 6 2" xfId="35250"/>
    <cellStyle name="Normal 7 2 2 3 2 7" xfId="28564"/>
    <cellStyle name="Normal 7 2 2 3 3" xfId="8637"/>
    <cellStyle name="Normal 7 2 2 3 3 2" xfId="8638"/>
    <cellStyle name="Normal 7 2 2 3 3 2 2" xfId="8639"/>
    <cellStyle name="Normal 7 2 2 3 3 2 2 2" xfId="13237"/>
    <cellStyle name="Normal 7 2 2 3 3 2 2 2 2" xfId="20792"/>
    <cellStyle name="Normal 7 2 2 3 3 2 2 2 2 2" xfId="37013"/>
    <cellStyle name="Normal 7 2 2 3 3 2 2 2 3" xfId="30325"/>
    <cellStyle name="Normal 7 2 2 3 3 2 2 3" xfId="17390"/>
    <cellStyle name="Normal 7 2 2 3 3 2 2 3 2" xfId="33611"/>
    <cellStyle name="Normal 7 2 2 3 3 2 2 4" xfId="19035"/>
    <cellStyle name="Normal 7 2 2 3 3 2 2 4 2" xfId="35256"/>
    <cellStyle name="Normal 7 2 2 3 3 2 2 5" xfId="28570"/>
    <cellStyle name="Normal 7 2 2 3 3 2 3" xfId="13236"/>
    <cellStyle name="Normal 7 2 2 3 3 2 3 2" xfId="20791"/>
    <cellStyle name="Normal 7 2 2 3 3 2 3 2 2" xfId="37012"/>
    <cellStyle name="Normal 7 2 2 3 3 2 3 3" xfId="30324"/>
    <cellStyle name="Normal 7 2 2 3 3 2 4" xfId="15805"/>
    <cellStyle name="Normal 7 2 2 3 3 2 4 2" xfId="32027"/>
    <cellStyle name="Normal 7 2 2 3 3 2 5" xfId="19034"/>
    <cellStyle name="Normal 7 2 2 3 3 2 5 2" xfId="35255"/>
    <cellStyle name="Normal 7 2 2 3 3 2 6" xfId="28569"/>
    <cellStyle name="Normal 7 2 2 3 3 3" xfId="8640"/>
    <cellStyle name="Normal 7 2 2 3 3 3 2" xfId="13238"/>
    <cellStyle name="Normal 7 2 2 3 3 3 2 2" xfId="20793"/>
    <cellStyle name="Normal 7 2 2 3 3 3 2 2 2" xfId="37014"/>
    <cellStyle name="Normal 7 2 2 3 3 3 2 3" xfId="30326"/>
    <cellStyle name="Normal 7 2 2 3 3 3 3" xfId="16598"/>
    <cellStyle name="Normal 7 2 2 3 3 3 3 2" xfId="32819"/>
    <cellStyle name="Normal 7 2 2 3 3 3 4" xfId="19036"/>
    <cellStyle name="Normal 7 2 2 3 3 3 4 2" xfId="35257"/>
    <cellStyle name="Normal 7 2 2 3 3 3 5" xfId="28571"/>
    <cellStyle name="Normal 7 2 2 3 3 4" xfId="13235"/>
    <cellStyle name="Normal 7 2 2 3 3 4 2" xfId="20790"/>
    <cellStyle name="Normal 7 2 2 3 3 4 2 2" xfId="37011"/>
    <cellStyle name="Normal 7 2 2 3 3 4 3" xfId="30323"/>
    <cellStyle name="Normal 7 2 2 3 3 5" xfId="15013"/>
    <cellStyle name="Normal 7 2 2 3 3 5 2" xfId="31235"/>
    <cellStyle name="Normal 7 2 2 3 3 6" xfId="19033"/>
    <cellStyle name="Normal 7 2 2 3 3 6 2" xfId="35254"/>
    <cellStyle name="Normal 7 2 2 3 3 7" xfId="28568"/>
    <cellStyle name="Normal 7 2 2 3 4" xfId="8641"/>
    <cellStyle name="Normal 7 2 2 3 4 2" xfId="8642"/>
    <cellStyle name="Normal 7 2 2 3 4 2 2" xfId="13240"/>
    <cellStyle name="Normal 7 2 2 3 4 2 2 2" xfId="20795"/>
    <cellStyle name="Normal 7 2 2 3 4 2 2 2 2" xfId="37016"/>
    <cellStyle name="Normal 7 2 2 3 4 2 2 3" xfId="30328"/>
    <cellStyle name="Normal 7 2 2 3 4 2 3" xfId="16862"/>
    <cellStyle name="Normal 7 2 2 3 4 2 3 2" xfId="33083"/>
    <cellStyle name="Normal 7 2 2 3 4 2 4" xfId="19038"/>
    <cellStyle name="Normal 7 2 2 3 4 2 4 2" xfId="35259"/>
    <cellStyle name="Normal 7 2 2 3 4 2 5" xfId="28573"/>
    <cellStyle name="Normal 7 2 2 3 4 3" xfId="13239"/>
    <cellStyle name="Normal 7 2 2 3 4 3 2" xfId="20794"/>
    <cellStyle name="Normal 7 2 2 3 4 3 2 2" xfId="37015"/>
    <cellStyle name="Normal 7 2 2 3 4 3 3" xfId="30327"/>
    <cellStyle name="Normal 7 2 2 3 4 4" xfId="15277"/>
    <cellStyle name="Normal 7 2 2 3 4 4 2" xfId="31499"/>
    <cellStyle name="Normal 7 2 2 3 4 5" xfId="19037"/>
    <cellStyle name="Normal 7 2 2 3 4 5 2" xfId="35258"/>
    <cellStyle name="Normal 7 2 2 3 4 6" xfId="28572"/>
    <cellStyle name="Normal 7 2 2 3 5" xfId="8643"/>
    <cellStyle name="Normal 7 2 2 3 5 2" xfId="13241"/>
    <cellStyle name="Normal 7 2 2 3 5 2 2" xfId="20796"/>
    <cellStyle name="Normal 7 2 2 3 5 2 2 2" xfId="37017"/>
    <cellStyle name="Normal 7 2 2 3 5 2 3" xfId="30329"/>
    <cellStyle name="Normal 7 2 2 3 5 3" xfId="16070"/>
    <cellStyle name="Normal 7 2 2 3 5 3 2" xfId="32291"/>
    <cellStyle name="Normal 7 2 2 3 5 4" xfId="19039"/>
    <cellStyle name="Normal 7 2 2 3 5 4 2" xfId="35260"/>
    <cellStyle name="Normal 7 2 2 3 5 5" xfId="28574"/>
    <cellStyle name="Normal 7 2 2 3 6" xfId="13230"/>
    <cellStyle name="Normal 7 2 2 3 6 2" xfId="20785"/>
    <cellStyle name="Normal 7 2 2 3 6 2 2" xfId="37006"/>
    <cellStyle name="Normal 7 2 2 3 6 3" xfId="30318"/>
    <cellStyle name="Normal 7 2 2 3 7" xfId="14485"/>
    <cellStyle name="Normal 7 2 2 3 7 2" xfId="30707"/>
    <cellStyle name="Normal 7 2 2 3 8" xfId="19028"/>
    <cellStyle name="Normal 7 2 2 3 8 2" xfId="35249"/>
    <cellStyle name="Normal 7 2 2 3 9" xfId="28563"/>
    <cellStyle name="Normal 7 2 2 4" xfId="8644"/>
    <cellStyle name="Normal 7 2 2 4 2" xfId="8645"/>
    <cellStyle name="Normal 7 2 2 4 2 2" xfId="8646"/>
    <cellStyle name="Normal 7 2 2 4 2 2 2" xfId="13244"/>
    <cellStyle name="Normal 7 2 2 4 2 2 2 2" xfId="20799"/>
    <cellStyle name="Normal 7 2 2 4 2 2 2 2 2" xfId="37020"/>
    <cellStyle name="Normal 7 2 2 4 2 2 2 3" xfId="30332"/>
    <cellStyle name="Normal 7 2 2 4 2 2 3" xfId="16994"/>
    <cellStyle name="Normal 7 2 2 4 2 2 3 2" xfId="33215"/>
    <cellStyle name="Normal 7 2 2 4 2 2 4" xfId="19042"/>
    <cellStyle name="Normal 7 2 2 4 2 2 4 2" xfId="35263"/>
    <cellStyle name="Normal 7 2 2 4 2 2 5" xfId="28577"/>
    <cellStyle name="Normal 7 2 2 4 2 3" xfId="13243"/>
    <cellStyle name="Normal 7 2 2 4 2 3 2" xfId="20798"/>
    <cellStyle name="Normal 7 2 2 4 2 3 2 2" xfId="37019"/>
    <cellStyle name="Normal 7 2 2 4 2 3 3" xfId="30331"/>
    <cellStyle name="Normal 7 2 2 4 2 4" xfId="15409"/>
    <cellStyle name="Normal 7 2 2 4 2 4 2" xfId="31631"/>
    <cellStyle name="Normal 7 2 2 4 2 5" xfId="19041"/>
    <cellStyle name="Normal 7 2 2 4 2 5 2" xfId="35262"/>
    <cellStyle name="Normal 7 2 2 4 2 6" xfId="28576"/>
    <cellStyle name="Normal 7 2 2 4 3" xfId="8647"/>
    <cellStyle name="Normal 7 2 2 4 3 2" xfId="13245"/>
    <cellStyle name="Normal 7 2 2 4 3 2 2" xfId="20800"/>
    <cellStyle name="Normal 7 2 2 4 3 2 2 2" xfId="37021"/>
    <cellStyle name="Normal 7 2 2 4 3 2 3" xfId="30333"/>
    <cellStyle name="Normal 7 2 2 4 3 3" xfId="16202"/>
    <cellStyle name="Normal 7 2 2 4 3 3 2" xfId="32423"/>
    <cellStyle name="Normal 7 2 2 4 3 4" xfId="19043"/>
    <cellStyle name="Normal 7 2 2 4 3 4 2" xfId="35264"/>
    <cellStyle name="Normal 7 2 2 4 3 5" xfId="28578"/>
    <cellStyle name="Normal 7 2 2 4 4" xfId="13242"/>
    <cellStyle name="Normal 7 2 2 4 4 2" xfId="20797"/>
    <cellStyle name="Normal 7 2 2 4 4 2 2" xfId="37018"/>
    <cellStyle name="Normal 7 2 2 4 4 3" xfId="30330"/>
    <cellStyle name="Normal 7 2 2 4 5" xfId="14617"/>
    <cellStyle name="Normal 7 2 2 4 5 2" xfId="30839"/>
    <cellStyle name="Normal 7 2 2 4 6" xfId="19040"/>
    <cellStyle name="Normal 7 2 2 4 6 2" xfId="35261"/>
    <cellStyle name="Normal 7 2 2 4 7" xfId="28575"/>
    <cellStyle name="Normal 7 2 2 5" xfId="8648"/>
    <cellStyle name="Normal 7 2 2 5 2" xfId="8649"/>
    <cellStyle name="Normal 7 2 2 5 2 2" xfId="8650"/>
    <cellStyle name="Normal 7 2 2 5 2 2 2" xfId="13248"/>
    <cellStyle name="Normal 7 2 2 5 2 2 2 2" xfId="20803"/>
    <cellStyle name="Normal 7 2 2 5 2 2 2 2 2" xfId="37024"/>
    <cellStyle name="Normal 7 2 2 5 2 2 2 3" xfId="30336"/>
    <cellStyle name="Normal 7 2 2 5 2 2 3" xfId="17258"/>
    <cellStyle name="Normal 7 2 2 5 2 2 3 2" xfId="33479"/>
    <cellStyle name="Normal 7 2 2 5 2 2 4" xfId="19046"/>
    <cellStyle name="Normal 7 2 2 5 2 2 4 2" xfId="35267"/>
    <cellStyle name="Normal 7 2 2 5 2 2 5" xfId="28581"/>
    <cellStyle name="Normal 7 2 2 5 2 3" xfId="13247"/>
    <cellStyle name="Normal 7 2 2 5 2 3 2" xfId="20802"/>
    <cellStyle name="Normal 7 2 2 5 2 3 2 2" xfId="37023"/>
    <cellStyle name="Normal 7 2 2 5 2 3 3" xfId="30335"/>
    <cellStyle name="Normal 7 2 2 5 2 4" xfId="15673"/>
    <cellStyle name="Normal 7 2 2 5 2 4 2" xfId="31895"/>
    <cellStyle name="Normal 7 2 2 5 2 5" xfId="19045"/>
    <cellStyle name="Normal 7 2 2 5 2 5 2" xfId="35266"/>
    <cellStyle name="Normal 7 2 2 5 2 6" xfId="28580"/>
    <cellStyle name="Normal 7 2 2 5 3" xfId="8651"/>
    <cellStyle name="Normal 7 2 2 5 3 2" xfId="13249"/>
    <cellStyle name="Normal 7 2 2 5 3 2 2" xfId="20804"/>
    <cellStyle name="Normal 7 2 2 5 3 2 2 2" xfId="37025"/>
    <cellStyle name="Normal 7 2 2 5 3 2 3" xfId="30337"/>
    <cellStyle name="Normal 7 2 2 5 3 3" xfId="16466"/>
    <cellStyle name="Normal 7 2 2 5 3 3 2" xfId="32687"/>
    <cellStyle name="Normal 7 2 2 5 3 4" xfId="19047"/>
    <cellStyle name="Normal 7 2 2 5 3 4 2" xfId="35268"/>
    <cellStyle name="Normal 7 2 2 5 3 5" xfId="28582"/>
    <cellStyle name="Normal 7 2 2 5 4" xfId="13246"/>
    <cellStyle name="Normal 7 2 2 5 4 2" xfId="20801"/>
    <cellStyle name="Normal 7 2 2 5 4 2 2" xfId="37022"/>
    <cellStyle name="Normal 7 2 2 5 4 3" xfId="30334"/>
    <cellStyle name="Normal 7 2 2 5 5" xfId="14881"/>
    <cellStyle name="Normal 7 2 2 5 5 2" xfId="31103"/>
    <cellStyle name="Normal 7 2 2 5 6" xfId="19044"/>
    <cellStyle name="Normal 7 2 2 5 6 2" xfId="35265"/>
    <cellStyle name="Normal 7 2 2 5 7" xfId="28579"/>
    <cellStyle name="Normal 7 2 2 6" xfId="8652"/>
    <cellStyle name="Normal 7 2 2 6 2" xfId="8653"/>
    <cellStyle name="Normal 7 2 2 6 2 2" xfId="13251"/>
    <cellStyle name="Normal 7 2 2 6 2 2 2" xfId="20806"/>
    <cellStyle name="Normal 7 2 2 6 2 2 2 2" xfId="37027"/>
    <cellStyle name="Normal 7 2 2 6 2 2 3" xfId="30339"/>
    <cellStyle name="Normal 7 2 2 6 2 3" xfId="16730"/>
    <cellStyle name="Normal 7 2 2 6 2 3 2" xfId="32951"/>
    <cellStyle name="Normal 7 2 2 6 2 4" xfId="19049"/>
    <cellStyle name="Normal 7 2 2 6 2 4 2" xfId="35270"/>
    <cellStyle name="Normal 7 2 2 6 2 5" xfId="28584"/>
    <cellStyle name="Normal 7 2 2 6 3" xfId="13250"/>
    <cellStyle name="Normal 7 2 2 6 3 2" xfId="20805"/>
    <cellStyle name="Normal 7 2 2 6 3 2 2" xfId="37026"/>
    <cellStyle name="Normal 7 2 2 6 3 3" xfId="30338"/>
    <cellStyle name="Normal 7 2 2 6 4" xfId="15145"/>
    <cellStyle name="Normal 7 2 2 6 4 2" xfId="31367"/>
    <cellStyle name="Normal 7 2 2 6 5" xfId="19048"/>
    <cellStyle name="Normal 7 2 2 6 5 2" xfId="35269"/>
    <cellStyle name="Normal 7 2 2 6 6" xfId="28583"/>
    <cellStyle name="Normal 7 2 2 7" xfId="8654"/>
    <cellStyle name="Normal 7 2 2 7 2" xfId="13252"/>
    <cellStyle name="Normal 7 2 2 7 2 2" xfId="20807"/>
    <cellStyle name="Normal 7 2 2 7 2 2 2" xfId="37028"/>
    <cellStyle name="Normal 7 2 2 7 2 3" xfId="30340"/>
    <cellStyle name="Normal 7 2 2 7 3" xfId="15938"/>
    <cellStyle name="Normal 7 2 2 7 3 2" xfId="32159"/>
    <cellStyle name="Normal 7 2 2 7 4" xfId="19050"/>
    <cellStyle name="Normal 7 2 2 7 4 2" xfId="35271"/>
    <cellStyle name="Normal 7 2 2 7 5" xfId="28585"/>
    <cellStyle name="Normal 7 2 2 8" xfId="13205"/>
    <cellStyle name="Normal 7 2 2 8 2" xfId="20760"/>
    <cellStyle name="Normal 7 2 2 8 2 2" xfId="36981"/>
    <cellStyle name="Normal 7 2 2 8 3" xfId="30293"/>
    <cellStyle name="Normal 7 2 2 9" xfId="14353"/>
    <cellStyle name="Normal 7 2 2 9 2" xfId="30575"/>
    <cellStyle name="Normal 7 2 3" xfId="8655"/>
    <cellStyle name="Normal 7 2 3 10" xfId="28586"/>
    <cellStyle name="Normal 7 2 3 2" xfId="8656"/>
    <cellStyle name="Normal 7 2 3 2 2" xfId="8657"/>
    <cellStyle name="Normal 7 2 3 2 2 2" xfId="8658"/>
    <cellStyle name="Normal 7 2 3 2 2 2 2" xfId="8659"/>
    <cellStyle name="Normal 7 2 3 2 2 2 2 2" xfId="13257"/>
    <cellStyle name="Normal 7 2 3 2 2 2 2 2 2" xfId="20812"/>
    <cellStyle name="Normal 7 2 3 2 2 2 2 2 2 2" xfId="37033"/>
    <cellStyle name="Normal 7 2 3 2 2 2 2 2 3" xfId="30345"/>
    <cellStyle name="Normal 7 2 3 2 2 2 2 3" xfId="17159"/>
    <cellStyle name="Normal 7 2 3 2 2 2 2 3 2" xfId="33380"/>
    <cellStyle name="Normal 7 2 3 2 2 2 2 4" xfId="19055"/>
    <cellStyle name="Normal 7 2 3 2 2 2 2 4 2" xfId="35276"/>
    <cellStyle name="Normal 7 2 3 2 2 2 2 5" xfId="28590"/>
    <cellStyle name="Normal 7 2 3 2 2 2 3" xfId="13256"/>
    <cellStyle name="Normal 7 2 3 2 2 2 3 2" xfId="20811"/>
    <cellStyle name="Normal 7 2 3 2 2 2 3 2 2" xfId="37032"/>
    <cellStyle name="Normal 7 2 3 2 2 2 3 3" xfId="30344"/>
    <cellStyle name="Normal 7 2 3 2 2 2 4" xfId="15574"/>
    <cellStyle name="Normal 7 2 3 2 2 2 4 2" xfId="31796"/>
    <cellStyle name="Normal 7 2 3 2 2 2 5" xfId="19054"/>
    <cellStyle name="Normal 7 2 3 2 2 2 5 2" xfId="35275"/>
    <cellStyle name="Normal 7 2 3 2 2 2 6" xfId="28589"/>
    <cellStyle name="Normal 7 2 3 2 2 3" xfId="8660"/>
    <cellStyle name="Normal 7 2 3 2 2 3 2" xfId="13258"/>
    <cellStyle name="Normal 7 2 3 2 2 3 2 2" xfId="20813"/>
    <cellStyle name="Normal 7 2 3 2 2 3 2 2 2" xfId="37034"/>
    <cellStyle name="Normal 7 2 3 2 2 3 2 3" xfId="30346"/>
    <cellStyle name="Normal 7 2 3 2 2 3 3" xfId="16367"/>
    <cellStyle name="Normal 7 2 3 2 2 3 3 2" xfId="32588"/>
    <cellStyle name="Normal 7 2 3 2 2 3 4" xfId="19056"/>
    <cellStyle name="Normal 7 2 3 2 2 3 4 2" xfId="35277"/>
    <cellStyle name="Normal 7 2 3 2 2 3 5" xfId="28591"/>
    <cellStyle name="Normal 7 2 3 2 2 4" xfId="13255"/>
    <cellStyle name="Normal 7 2 3 2 2 4 2" xfId="20810"/>
    <cellStyle name="Normal 7 2 3 2 2 4 2 2" xfId="37031"/>
    <cellStyle name="Normal 7 2 3 2 2 4 3" xfId="30343"/>
    <cellStyle name="Normal 7 2 3 2 2 5" xfId="14782"/>
    <cellStyle name="Normal 7 2 3 2 2 5 2" xfId="31004"/>
    <cellStyle name="Normal 7 2 3 2 2 6" xfId="19053"/>
    <cellStyle name="Normal 7 2 3 2 2 6 2" xfId="35274"/>
    <cellStyle name="Normal 7 2 3 2 2 7" xfId="28588"/>
    <cellStyle name="Normal 7 2 3 2 3" xfId="8661"/>
    <cellStyle name="Normal 7 2 3 2 3 2" xfId="8662"/>
    <cellStyle name="Normal 7 2 3 2 3 2 2" xfId="8663"/>
    <cellStyle name="Normal 7 2 3 2 3 2 2 2" xfId="13261"/>
    <cellStyle name="Normal 7 2 3 2 3 2 2 2 2" xfId="20816"/>
    <cellStyle name="Normal 7 2 3 2 3 2 2 2 2 2" xfId="37037"/>
    <cellStyle name="Normal 7 2 3 2 3 2 2 2 3" xfId="30349"/>
    <cellStyle name="Normal 7 2 3 2 3 2 2 3" xfId="17423"/>
    <cellStyle name="Normal 7 2 3 2 3 2 2 3 2" xfId="33644"/>
    <cellStyle name="Normal 7 2 3 2 3 2 2 4" xfId="19059"/>
    <cellStyle name="Normal 7 2 3 2 3 2 2 4 2" xfId="35280"/>
    <cellStyle name="Normal 7 2 3 2 3 2 2 5" xfId="28594"/>
    <cellStyle name="Normal 7 2 3 2 3 2 3" xfId="13260"/>
    <cellStyle name="Normal 7 2 3 2 3 2 3 2" xfId="20815"/>
    <cellStyle name="Normal 7 2 3 2 3 2 3 2 2" xfId="37036"/>
    <cellStyle name="Normal 7 2 3 2 3 2 3 3" xfId="30348"/>
    <cellStyle name="Normal 7 2 3 2 3 2 4" xfId="15838"/>
    <cellStyle name="Normal 7 2 3 2 3 2 4 2" xfId="32060"/>
    <cellStyle name="Normal 7 2 3 2 3 2 5" xfId="19058"/>
    <cellStyle name="Normal 7 2 3 2 3 2 5 2" xfId="35279"/>
    <cellStyle name="Normal 7 2 3 2 3 2 6" xfId="28593"/>
    <cellStyle name="Normal 7 2 3 2 3 3" xfId="8664"/>
    <cellStyle name="Normal 7 2 3 2 3 3 2" xfId="13262"/>
    <cellStyle name="Normal 7 2 3 2 3 3 2 2" xfId="20817"/>
    <cellStyle name="Normal 7 2 3 2 3 3 2 2 2" xfId="37038"/>
    <cellStyle name="Normal 7 2 3 2 3 3 2 3" xfId="30350"/>
    <cellStyle name="Normal 7 2 3 2 3 3 3" xfId="16631"/>
    <cellStyle name="Normal 7 2 3 2 3 3 3 2" xfId="32852"/>
    <cellStyle name="Normal 7 2 3 2 3 3 4" xfId="19060"/>
    <cellStyle name="Normal 7 2 3 2 3 3 4 2" xfId="35281"/>
    <cellStyle name="Normal 7 2 3 2 3 3 5" xfId="28595"/>
    <cellStyle name="Normal 7 2 3 2 3 4" xfId="13259"/>
    <cellStyle name="Normal 7 2 3 2 3 4 2" xfId="20814"/>
    <cellStyle name="Normal 7 2 3 2 3 4 2 2" xfId="37035"/>
    <cellStyle name="Normal 7 2 3 2 3 4 3" xfId="30347"/>
    <cellStyle name="Normal 7 2 3 2 3 5" xfId="15046"/>
    <cellStyle name="Normal 7 2 3 2 3 5 2" xfId="31268"/>
    <cellStyle name="Normal 7 2 3 2 3 6" xfId="19057"/>
    <cellStyle name="Normal 7 2 3 2 3 6 2" xfId="35278"/>
    <cellStyle name="Normal 7 2 3 2 3 7" xfId="28592"/>
    <cellStyle name="Normal 7 2 3 2 4" xfId="8665"/>
    <cellStyle name="Normal 7 2 3 2 4 2" xfId="8666"/>
    <cellStyle name="Normal 7 2 3 2 4 2 2" xfId="13264"/>
    <cellStyle name="Normal 7 2 3 2 4 2 2 2" xfId="20819"/>
    <cellStyle name="Normal 7 2 3 2 4 2 2 2 2" xfId="37040"/>
    <cellStyle name="Normal 7 2 3 2 4 2 2 3" xfId="30352"/>
    <cellStyle name="Normal 7 2 3 2 4 2 3" xfId="16895"/>
    <cellStyle name="Normal 7 2 3 2 4 2 3 2" xfId="33116"/>
    <cellStyle name="Normal 7 2 3 2 4 2 4" xfId="19062"/>
    <cellStyle name="Normal 7 2 3 2 4 2 4 2" xfId="35283"/>
    <cellStyle name="Normal 7 2 3 2 4 2 5" xfId="28597"/>
    <cellStyle name="Normal 7 2 3 2 4 3" xfId="13263"/>
    <cellStyle name="Normal 7 2 3 2 4 3 2" xfId="20818"/>
    <cellStyle name="Normal 7 2 3 2 4 3 2 2" xfId="37039"/>
    <cellStyle name="Normal 7 2 3 2 4 3 3" xfId="30351"/>
    <cellStyle name="Normal 7 2 3 2 4 4" xfId="15310"/>
    <cellStyle name="Normal 7 2 3 2 4 4 2" xfId="31532"/>
    <cellStyle name="Normal 7 2 3 2 4 5" xfId="19061"/>
    <cellStyle name="Normal 7 2 3 2 4 5 2" xfId="35282"/>
    <cellStyle name="Normal 7 2 3 2 4 6" xfId="28596"/>
    <cellStyle name="Normal 7 2 3 2 5" xfId="8667"/>
    <cellStyle name="Normal 7 2 3 2 5 2" xfId="13265"/>
    <cellStyle name="Normal 7 2 3 2 5 2 2" xfId="20820"/>
    <cellStyle name="Normal 7 2 3 2 5 2 2 2" xfId="37041"/>
    <cellStyle name="Normal 7 2 3 2 5 2 3" xfId="30353"/>
    <cellStyle name="Normal 7 2 3 2 5 3" xfId="16103"/>
    <cellStyle name="Normal 7 2 3 2 5 3 2" xfId="32324"/>
    <cellStyle name="Normal 7 2 3 2 5 4" xfId="19063"/>
    <cellStyle name="Normal 7 2 3 2 5 4 2" xfId="35284"/>
    <cellStyle name="Normal 7 2 3 2 5 5" xfId="28598"/>
    <cellStyle name="Normal 7 2 3 2 6" xfId="13254"/>
    <cellStyle name="Normal 7 2 3 2 6 2" xfId="20809"/>
    <cellStyle name="Normal 7 2 3 2 6 2 2" xfId="37030"/>
    <cellStyle name="Normal 7 2 3 2 6 3" xfId="30342"/>
    <cellStyle name="Normal 7 2 3 2 7" xfId="14518"/>
    <cellStyle name="Normal 7 2 3 2 7 2" xfId="30740"/>
    <cellStyle name="Normal 7 2 3 2 8" xfId="19052"/>
    <cellStyle name="Normal 7 2 3 2 8 2" xfId="35273"/>
    <cellStyle name="Normal 7 2 3 2 9" xfId="28587"/>
    <cellStyle name="Normal 7 2 3 3" xfId="8668"/>
    <cellStyle name="Normal 7 2 3 3 2" xfId="8669"/>
    <cellStyle name="Normal 7 2 3 3 2 2" xfId="8670"/>
    <cellStyle name="Normal 7 2 3 3 2 2 2" xfId="13268"/>
    <cellStyle name="Normal 7 2 3 3 2 2 2 2" xfId="20823"/>
    <cellStyle name="Normal 7 2 3 3 2 2 2 2 2" xfId="37044"/>
    <cellStyle name="Normal 7 2 3 3 2 2 2 3" xfId="30356"/>
    <cellStyle name="Normal 7 2 3 3 2 2 3" xfId="17027"/>
    <cellStyle name="Normal 7 2 3 3 2 2 3 2" xfId="33248"/>
    <cellStyle name="Normal 7 2 3 3 2 2 4" xfId="19066"/>
    <cellStyle name="Normal 7 2 3 3 2 2 4 2" xfId="35287"/>
    <cellStyle name="Normal 7 2 3 3 2 2 5" xfId="28601"/>
    <cellStyle name="Normal 7 2 3 3 2 3" xfId="13267"/>
    <cellStyle name="Normal 7 2 3 3 2 3 2" xfId="20822"/>
    <cellStyle name="Normal 7 2 3 3 2 3 2 2" xfId="37043"/>
    <cellStyle name="Normal 7 2 3 3 2 3 3" xfId="30355"/>
    <cellStyle name="Normal 7 2 3 3 2 4" xfId="15442"/>
    <cellStyle name="Normal 7 2 3 3 2 4 2" xfId="31664"/>
    <cellStyle name="Normal 7 2 3 3 2 5" xfId="19065"/>
    <cellStyle name="Normal 7 2 3 3 2 5 2" xfId="35286"/>
    <cellStyle name="Normal 7 2 3 3 2 6" xfId="28600"/>
    <cellStyle name="Normal 7 2 3 3 3" xfId="8671"/>
    <cellStyle name="Normal 7 2 3 3 3 2" xfId="13269"/>
    <cellStyle name="Normal 7 2 3 3 3 2 2" xfId="20824"/>
    <cellStyle name="Normal 7 2 3 3 3 2 2 2" xfId="37045"/>
    <cellStyle name="Normal 7 2 3 3 3 2 3" xfId="30357"/>
    <cellStyle name="Normal 7 2 3 3 3 3" xfId="16235"/>
    <cellStyle name="Normal 7 2 3 3 3 3 2" xfId="32456"/>
    <cellStyle name="Normal 7 2 3 3 3 4" xfId="19067"/>
    <cellStyle name="Normal 7 2 3 3 3 4 2" xfId="35288"/>
    <cellStyle name="Normal 7 2 3 3 3 5" xfId="28602"/>
    <cellStyle name="Normal 7 2 3 3 4" xfId="13266"/>
    <cellStyle name="Normal 7 2 3 3 4 2" xfId="20821"/>
    <cellStyle name="Normal 7 2 3 3 4 2 2" xfId="37042"/>
    <cellStyle name="Normal 7 2 3 3 4 3" xfId="30354"/>
    <cellStyle name="Normal 7 2 3 3 5" xfId="14650"/>
    <cellStyle name="Normal 7 2 3 3 5 2" xfId="30872"/>
    <cellStyle name="Normal 7 2 3 3 6" xfId="19064"/>
    <cellStyle name="Normal 7 2 3 3 6 2" xfId="35285"/>
    <cellStyle name="Normal 7 2 3 3 7" xfId="28599"/>
    <cellStyle name="Normal 7 2 3 4" xfId="8672"/>
    <cellStyle name="Normal 7 2 3 4 2" xfId="8673"/>
    <cellStyle name="Normal 7 2 3 4 2 2" xfId="8674"/>
    <cellStyle name="Normal 7 2 3 4 2 2 2" xfId="13272"/>
    <cellStyle name="Normal 7 2 3 4 2 2 2 2" xfId="20827"/>
    <cellStyle name="Normal 7 2 3 4 2 2 2 2 2" xfId="37048"/>
    <cellStyle name="Normal 7 2 3 4 2 2 2 3" xfId="30360"/>
    <cellStyle name="Normal 7 2 3 4 2 2 3" xfId="17291"/>
    <cellStyle name="Normal 7 2 3 4 2 2 3 2" xfId="33512"/>
    <cellStyle name="Normal 7 2 3 4 2 2 4" xfId="19070"/>
    <cellStyle name="Normal 7 2 3 4 2 2 4 2" xfId="35291"/>
    <cellStyle name="Normal 7 2 3 4 2 2 5" xfId="28605"/>
    <cellStyle name="Normal 7 2 3 4 2 3" xfId="13271"/>
    <cellStyle name="Normal 7 2 3 4 2 3 2" xfId="20826"/>
    <cellStyle name="Normal 7 2 3 4 2 3 2 2" xfId="37047"/>
    <cellStyle name="Normal 7 2 3 4 2 3 3" xfId="30359"/>
    <cellStyle name="Normal 7 2 3 4 2 4" xfId="15706"/>
    <cellStyle name="Normal 7 2 3 4 2 4 2" xfId="31928"/>
    <cellStyle name="Normal 7 2 3 4 2 5" xfId="19069"/>
    <cellStyle name="Normal 7 2 3 4 2 5 2" xfId="35290"/>
    <cellStyle name="Normal 7 2 3 4 2 6" xfId="28604"/>
    <cellStyle name="Normal 7 2 3 4 3" xfId="8675"/>
    <cellStyle name="Normal 7 2 3 4 3 2" xfId="13273"/>
    <cellStyle name="Normal 7 2 3 4 3 2 2" xfId="20828"/>
    <cellStyle name="Normal 7 2 3 4 3 2 2 2" xfId="37049"/>
    <cellStyle name="Normal 7 2 3 4 3 2 3" xfId="30361"/>
    <cellStyle name="Normal 7 2 3 4 3 3" xfId="16499"/>
    <cellStyle name="Normal 7 2 3 4 3 3 2" xfId="32720"/>
    <cellStyle name="Normal 7 2 3 4 3 4" xfId="19071"/>
    <cellStyle name="Normal 7 2 3 4 3 4 2" xfId="35292"/>
    <cellStyle name="Normal 7 2 3 4 3 5" xfId="28606"/>
    <cellStyle name="Normal 7 2 3 4 4" xfId="13270"/>
    <cellStyle name="Normal 7 2 3 4 4 2" xfId="20825"/>
    <cellStyle name="Normal 7 2 3 4 4 2 2" xfId="37046"/>
    <cellStyle name="Normal 7 2 3 4 4 3" xfId="30358"/>
    <cellStyle name="Normal 7 2 3 4 5" xfId="14914"/>
    <cellStyle name="Normal 7 2 3 4 5 2" xfId="31136"/>
    <cellStyle name="Normal 7 2 3 4 6" xfId="19068"/>
    <cellStyle name="Normal 7 2 3 4 6 2" xfId="35289"/>
    <cellStyle name="Normal 7 2 3 4 7" xfId="28603"/>
    <cellStyle name="Normal 7 2 3 5" xfId="8676"/>
    <cellStyle name="Normal 7 2 3 5 2" xfId="8677"/>
    <cellStyle name="Normal 7 2 3 5 2 2" xfId="13275"/>
    <cellStyle name="Normal 7 2 3 5 2 2 2" xfId="20830"/>
    <cellStyle name="Normal 7 2 3 5 2 2 2 2" xfId="37051"/>
    <cellStyle name="Normal 7 2 3 5 2 2 3" xfId="30363"/>
    <cellStyle name="Normal 7 2 3 5 2 3" xfId="16763"/>
    <cellStyle name="Normal 7 2 3 5 2 3 2" xfId="32984"/>
    <cellStyle name="Normal 7 2 3 5 2 4" xfId="19073"/>
    <cellStyle name="Normal 7 2 3 5 2 4 2" xfId="35294"/>
    <cellStyle name="Normal 7 2 3 5 2 5" xfId="28608"/>
    <cellStyle name="Normal 7 2 3 5 3" xfId="13274"/>
    <cellStyle name="Normal 7 2 3 5 3 2" xfId="20829"/>
    <cellStyle name="Normal 7 2 3 5 3 2 2" xfId="37050"/>
    <cellStyle name="Normal 7 2 3 5 3 3" xfId="30362"/>
    <cellStyle name="Normal 7 2 3 5 4" xfId="15178"/>
    <cellStyle name="Normal 7 2 3 5 4 2" xfId="31400"/>
    <cellStyle name="Normal 7 2 3 5 5" xfId="19072"/>
    <cellStyle name="Normal 7 2 3 5 5 2" xfId="35293"/>
    <cellStyle name="Normal 7 2 3 5 6" xfId="28607"/>
    <cellStyle name="Normal 7 2 3 6" xfId="8678"/>
    <cellStyle name="Normal 7 2 3 6 2" xfId="13276"/>
    <cellStyle name="Normal 7 2 3 6 2 2" xfId="20831"/>
    <cellStyle name="Normal 7 2 3 6 2 2 2" xfId="37052"/>
    <cellStyle name="Normal 7 2 3 6 2 3" xfId="30364"/>
    <cellStyle name="Normal 7 2 3 6 3" xfId="15971"/>
    <cellStyle name="Normal 7 2 3 6 3 2" xfId="32192"/>
    <cellStyle name="Normal 7 2 3 6 4" xfId="19074"/>
    <cellStyle name="Normal 7 2 3 6 4 2" xfId="35295"/>
    <cellStyle name="Normal 7 2 3 6 5" xfId="28609"/>
    <cellStyle name="Normal 7 2 3 7" xfId="13253"/>
    <cellStyle name="Normal 7 2 3 7 2" xfId="20808"/>
    <cellStyle name="Normal 7 2 3 7 2 2" xfId="37029"/>
    <cellStyle name="Normal 7 2 3 7 3" xfId="30341"/>
    <cellStyle name="Normal 7 2 3 8" xfId="14386"/>
    <cellStyle name="Normal 7 2 3 8 2" xfId="30608"/>
    <cellStyle name="Normal 7 2 3 9" xfId="19051"/>
    <cellStyle name="Normal 7 2 3 9 2" xfId="35272"/>
    <cellStyle name="Normal 7 2 4" xfId="8679"/>
    <cellStyle name="Normal 7 2 4 2" xfId="8680"/>
    <cellStyle name="Normal 7 2 4 2 2" xfId="8681"/>
    <cellStyle name="Normal 7 2 4 2 2 2" xfId="8682"/>
    <cellStyle name="Normal 7 2 4 2 2 2 2" xfId="13280"/>
    <cellStyle name="Normal 7 2 4 2 2 2 2 2" xfId="20835"/>
    <cellStyle name="Normal 7 2 4 2 2 2 2 2 2" xfId="37056"/>
    <cellStyle name="Normal 7 2 4 2 2 2 2 3" xfId="30368"/>
    <cellStyle name="Normal 7 2 4 2 2 2 3" xfId="17093"/>
    <cellStyle name="Normal 7 2 4 2 2 2 3 2" xfId="33314"/>
    <cellStyle name="Normal 7 2 4 2 2 2 4" xfId="19078"/>
    <cellStyle name="Normal 7 2 4 2 2 2 4 2" xfId="35299"/>
    <cellStyle name="Normal 7 2 4 2 2 2 5" xfId="28613"/>
    <cellStyle name="Normal 7 2 4 2 2 3" xfId="13279"/>
    <cellStyle name="Normal 7 2 4 2 2 3 2" xfId="20834"/>
    <cellStyle name="Normal 7 2 4 2 2 3 2 2" xfId="37055"/>
    <cellStyle name="Normal 7 2 4 2 2 3 3" xfId="30367"/>
    <cellStyle name="Normal 7 2 4 2 2 4" xfId="15508"/>
    <cellStyle name="Normal 7 2 4 2 2 4 2" xfId="31730"/>
    <cellStyle name="Normal 7 2 4 2 2 5" xfId="19077"/>
    <cellStyle name="Normal 7 2 4 2 2 5 2" xfId="35298"/>
    <cellStyle name="Normal 7 2 4 2 2 6" xfId="28612"/>
    <cellStyle name="Normal 7 2 4 2 3" xfId="8683"/>
    <cellStyle name="Normal 7 2 4 2 3 2" xfId="13281"/>
    <cellStyle name="Normal 7 2 4 2 3 2 2" xfId="20836"/>
    <cellStyle name="Normal 7 2 4 2 3 2 2 2" xfId="37057"/>
    <cellStyle name="Normal 7 2 4 2 3 2 3" xfId="30369"/>
    <cellStyle name="Normal 7 2 4 2 3 3" xfId="16301"/>
    <cellStyle name="Normal 7 2 4 2 3 3 2" xfId="32522"/>
    <cellStyle name="Normal 7 2 4 2 3 4" xfId="19079"/>
    <cellStyle name="Normal 7 2 4 2 3 4 2" xfId="35300"/>
    <cellStyle name="Normal 7 2 4 2 3 5" xfId="28614"/>
    <cellStyle name="Normal 7 2 4 2 4" xfId="13278"/>
    <cellStyle name="Normal 7 2 4 2 4 2" xfId="20833"/>
    <cellStyle name="Normal 7 2 4 2 4 2 2" xfId="37054"/>
    <cellStyle name="Normal 7 2 4 2 4 3" xfId="30366"/>
    <cellStyle name="Normal 7 2 4 2 5" xfId="14716"/>
    <cellStyle name="Normal 7 2 4 2 5 2" xfId="30938"/>
    <cellStyle name="Normal 7 2 4 2 6" xfId="19076"/>
    <cellStyle name="Normal 7 2 4 2 6 2" xfId="35297"/>
    <cellStyle name="Normal 7 2 4 2 7" xfId="28611"/>
    <cellStyle name="Normal 7 2 4 3" xfId="8684"/>
    <cellStyle name="Normal 7 2 4 3 2" xfId="8685"/>
    <cellStyle name="Normal 7 2 4 3 2 2" xfId="8686"/>
    <cellStyle name="Normal 7 2 4 3 2 2 2" xfId="13284"/>
    <cellStyle name="Normal 7 2 4 3 2 2 2 2" xfId="20839"/>
    <cellStyle name="Normal 7 2 4 3 2 2 2 2 2" xfId="37060"/>
    <cellStyle name="Normal 7 2 4 3 2 2 2 3" xfId="30372"/>
    <cellStyle name="Normal 7 2 4 3 2 2 3" xfId="17357"/>
    <cellStyle name="Normal 7 2 4 3 2 2 3 2" xfId="33578"/>
    <cellStyle name="Normal 7 2 4 3 2 2 4" xfId="19082"/>
    <cellStyle name="Normal 7 2 4 3 2 2 4 2" xfId="35303"/>
    <cellStyle name="Normal 7 2 4 3 2 2 5" xfId="28617"/>
    <cellStyle name="Normal 7 2 4 3 2 3" xfId="13283"/>
    <cellStyle name="Normal 7 2 4 3 2 3 2" xfId="20838"/>
    <cellStyle name="Normal 7 2 4 3 2 3 2 2" xfId="37059"/>
    <cellStyle name="Normal 7 2 4 3 2 3 3" xfId="30371"/>
    <cellStyle name="Normal 7 2 4 3 2 4" xfId="15772"/>
    <cellStyle name="Normal 7 2 4 3 2 4 2" xfId="31994"/>
    <cellStyle name="Normal 7 2 4 3 2 5" xfId="19081"/>
    <cellStyle name="Normal 7 2 4 3 2 5 2" xfId="35302"/>
    <cellStyle name="Normal 7 2 4 3 2 6" xfId="28616"/>
    <cellStyle name="Normal 7 2 4 3 3" xfId="8687"/>
    <cellStyle name="Normal 7 2 4 3 3 2" xfId="13285"/>
    <cellStyle name="Normal 7 2 4 3 3 2 2" xfId="20840"/>
    <cellStyle name="Normal 7 2 4 3 3 2 2 2" xfId="37061"/>
    <cellStyle name="Normal 7 2 4 3 3 2 3" xfId="30373"/>
    <cellStyle name="Normal 7 2 4 3 3 3" xfId="16565"/>
    <cellStyle name="Normal 7 2 4 3 3 3 2" xfId="32786"/>
    <cellStyle name="Normal 7 2 4 3 3 4" xfId="19083"/>
    <cellStyle name="Normal 7 2 4 3 3 4 2" xfId="35304"/>
    <cellStyle name="Normal 7 2 4 3 3 5" xfId="28618"/>
    <cellStyle name="Normal 7 2 4 3 4" xfId="13282"/>
    <cellStyle name="Normal 7 2 4 3 4 2" xfId="20837"/>
    <cellStyle name="Normal 7 2 4 3 4 2 2" xfId="37058"/>
    <cellStyle name="Normal 7 2 4 3 4 3" xfId="30370"/>
    <cellStyle name="Normal 7 2 4 3 5" xfId="14980"/>
    <cellStyle name="Normal 7 2 4 3 5 2" xfId="31202"/>
    <cellStyle name="Normal 7 2 4 3 6" xfId="19080"/>
    <cellStyle name="Normal 7 2 4 3 6 2" xfId="35301"/>
    <cellStyle name="Normal 7 2 4 3 7" xfId="28615"/>
    <cellStyle name="Normal 7 2 4 4" xfId="8688"/>
    <cellStyle name="Normal 7 2 4 4 2" xfId="8689"/>
    <cellStyle name="Normal 7 2 4 4 2 2" xfId="13287"/>
    <cellStyle name="Normal 7 2 4 4 2 2 2" xfId="20842"/>
    <cellStyle name="Normal 7 2 4 4 2 2 2 2" xfId="37063"/>
    <cellStyle name="Normal 7 2 4 4 2 2 3" xfId="30375"/>
    <cellStyle name="Normal 7 2 4 4 2 3" xfId="16829"/>
    <cellStyle name="Normal 7 2 4 4 2 3 2" xfId="33050"/>
    <cellStyle name="Normal 7 2 4 4 2 4" xfId="19085"/>
    <cellStyle name="Normal 7 2 4 4 2 4 2" xfId="35306"/>
    <cellStyle name="Normal 7 2 4 4 2 5" xfId="28620"/>
    <cellStyle name="Normal 7 2 4 4 3" xfId="13286"/>
    <cellStyle name="Normal 7 2 4 4 3 2" xfId="20841"/>
    <cellStyle name="Normal 7 2 4 4 3 2 2" xfId="37062"/>
    <cellStyle name="Normal 7 2 4 4 3 3" xfId="30374"/>
    <cellStyle name="Normal 7 2 4 4 4" xfId="15244"/>
    <cellStyle name="Normal 7 2 4 4 4 2" xfId="31466"/>
    <cellStyle name="Normal 7 2 4 4 5" xfId="19084"/>
    <cellStyle name="Normal 7 2 4 4 5 2" xfId="35305"/>
    <cellStyle name="Normal 7 2 4 4 6" xfId="28619"/>
    <cellStyle name="Normal 7 2 4 5" xfId="8690"/>
    <cellStyle name="Normal 7 2 4 5 2" xfId="13288"/>
    <cellStyle name="Normal 7 2 4 5 2 2" xfId="20843"/>
    <cellStyle name="Normal 7 2 4 5 2 2 2" xfId="37064"/>
    <cellStyle name="Normal 7 2 4 5 2 3" xfId="30376"/>
    <cellStyle name="Normal 7 2 4 5 3" xfId="16037"/>
    <cellStyle name="Normal 7 2 4 5 3 2" xfId="32258"/>
    <cellStyle name="Normal 7 2 4 5 4" xfId="19086"/>
    <cellStyle name="Normal 7 2 4 5 4 2" xfId="35307"/>
    <cellStyle name="Normal 7 2 4 5 5" xfId="28621"/>
    <cellStyle name="Normal 7 2 4 6" xfId="13277"/>
    <cellStyle name="Normal 7 2 4 6 2" xfId="20832"/>
    <cellStyle name="Normal 7 2 4 6 2 2" xfId="37053"/>
    <cellStyle name="Normal 7 2 4 6 3" xfId="30365"/>
    <cellStyle name="Normal 7 2 4 7" xfId="14452"/>
    <cellStyle name="Normal 7 2 4 7 2" xfId="30674"/>
    <cellStyle name="Normal 7 2 4 8" xfId="19075"/>
    <cellStyle name="Normal 7 2 4 8 2" xfId="35296"/>
    <cellStyle name="Normal 7 2 4 9" xfId="28610"/>
    <cellStyle name="Normal 7 2 5" xfId="8691"/>
    <cellStyle name="Normal 7 2 5 2" xfId="8692"/>
    <cellStyle name="Normal 7 2 5 2 2" xfId="8693"/>
    <cellStyle name="Normal 7 2 5 2 2 2" xfId="13291"/>
    <cellStyle name="Normal 7 2 5 2 2 2 2" xfId="20846"/>
    <cellStyle name="Normal 7 2 5 2 2 2 2 2" xfId="37067"/>
    <cellStyle name="Normal 7 2 5 2 2 2 3" xfId="30379"/>
    <cellStyle name="Normal 7 2 5 2 2 3" xfId="16961"/>
    <cellStyle name="Normal 7 2 5 2 2 3 2" xfId="33182"/>
    <cellStyle name="Normal 7 2 5 2 2 4" xfId="19089"/>
    <cellStyle name="Normal 7 2 5 2 2 4 2" xfId="35310"/>
    <cellStyle name="Normal 7 2 5 2 2 5" xfId="28624"/>
    <cellStyle name="Normal 7 2 5 2 3" xfId="13290"/>
    <cellStyle name="Normal 7 2 5 2 3 2" xfId="20845"/>
    <cellStyle name="Normal 7 2 5 2 3 2 2" xfId="37066"/>
    <cellStyle name="Normal 7 2 5 2 3 3" xfId="30378"/>
    <cellStyle name="Normal 7 2 5 2 4" xfId="15376"/>
    <cellStyle name="Normal 7 2 5 2 4 2" xfId="31598"/>
    <cellStyle name="Normal 7 2 5 2 5" xfId="19088"/>
    <cellStyle name="Normal 7 2 5 2 5 2" xfId="35309"/>
    <cellStyle name="Normal 7 2 5 2 6" xfId="28623"/>
    <cellStyle name="Normal 7 2 5 3" xfId="8694"/>
    <cellStyle name="Normal 7 2 5 3 2" xfId="13292"/>
    <cellStyle name="Normal 7 2 5 3 2 2" xfId="20847"/>
    <cellStyle name="Normal 7 2 5 3 2 2 2" xfId="37068"/>
    <cellStyle name="Normal 7 2 5 3 2 3" xfId="30380"/>
    <cellStyle name="Normal 7 2 5 3 3" xfId="16169"/>
    <cellStyle name="Normal 7 2 5 3 3 2" xfId="32390"/>
    <cellStyle name="Normal 7 2 5 3 4" xfId="19090"/>
    <cellStyle name="Normal 7 2 5 3 4 2" xfId="35311"/>
    <cellStyle name="Normal 7 2 5 3 5" xfId="28625"/>
    <cellStyle name="Normal 7 2 5 4" xfId="13289"/>
    <cellStyle name="Normal 7 2 5 4 2" xfId="20844"/>
    <cellStyle name="Normal 7 2 5 4 2 2" xfId="37065"/>
    <cellStyle name="Normal 7 2 5 4 3" xfId="30377"/>
    <cellStyle name="Normal 7 2 5 5" xfId="14584"/>
    <cellStyle name="Normal 7 2 5 5 2" xfId="30806"/>
    <cellStyle name="Normal 7 2 5 6" xfId="19087"/>
    <cellStyle name="Normal 7 2 5 6 2" xfId="35308"/>
    <cellStyle name="Normal 7 2 5 7" xfId="28622"/>
    <cellStyle name="Normal 7 2 6" xfId="8695"/>
    <cellStyle name="Normal 7 2 6 2" xfId="8696"/>
    <cellStyle name="Normal 7 2 6 2 2" xfId="8697"/>
    <cellStyle name="Normal 7 2 6 2 2 2" xfId="13295"/>
    <cellStyle name="Normal 7 2 6 2 2 2 2" xfId="20850"/>
    <cellStyle name="Normal 7 2 6 2 2 2 2 2" xfId="37071"/>
    <cellStyle name="Normal 7 2 6 2 2 2 3" xfId="30383"/>
    <cellStyle name="Normal 7 2 6 2 2 3" xfId="17225"/>
    <cellStyle name="Normal 7 2 6 2 2 3 2" xfId="33446"/>
    <cellStyle name="Normal 7 2 6 2 2 4" xfId="19093"/>
    <cellStyle name="Normal 7 2 6 2 2 4 2" xfId="35314"/>
    <cellStyle name="Normal 7 2 6 2 2 5" xfId="28628"/>
    <cellStyle name="Normal 7 2 6 2 3" xfId="13294"/>
    <cellStyle name="Normal 7 2 6 2 3 2" xfId="20849"/>
    <cellStyle name="Normal 7 2 6 2 3 2 2" xfId="37070"/>
    <cellStyle name="Normal 7 2 6 2 3 3" xfId="30382"/>
    <cellStyle name="Normal 7 2 6 2 4" xfId="15640"/>
    <cellStyle name="Normal 7 2 6 2 4 2" xfId="31862"/>
    <cellStyle name="Normal 7 2 6 2 5" xfId="19092"/>
    <cellStyle name="Normal 7 2 6 2 5 2" xfId="35313"/>
    <cellStyle name="Normal 7 2 6 2 6" xfId="28627"/>
    <cellStyle name="Normal 7 2 6 3" xfId="8698"/>
    <cellStyle name="Normal 7 2 6 3 2" xfId="13296"/>
    <cellStyle name="Normal 7 2 6 3 2 2" xfId="20851"/>
    <cellStyle name="Normal 7 2 6 3 2 2 2" xfId="37072"/>
    <cellStyle name="Normal 7 2 6 3 2 3" xfId="30384"/>
    <cellStyle name="Normal 7 2 6 3 3" xfId="16433"/>
    <cellStyle name="Normal 7 2 6 3 3 2" xfId="32654"/>
    <cellStyle name="Normal 7 2 6 3 4" xfId="19094"/>
    <cellStyle name="Normal 7 2 6 3 4 2" xfId="35315"/>
    <cellStyle name="Normal 7 2 6 3 5" xfId="28629"/>
    <cellStyle name="Normal 7 2 6 4" xfId="13293"/>
    <cellStyle name="Normal 7 2 6 4 2" xfId="20848"/>
    <cellStyle name="Normal 7 2 6 4 2 2" xfId="37069"/>
    <cellStyle name="Normal 7 2 6 4 3" xfId="30381"/>
    <cellStyle name="Normal 7 2 6 5" xfId="14848"/>
    <cellStyle name="Normal 7 2 6 5 2" xfId="31070"/>
    <cellStyle name="Normal 7 2 6 6" xfId="19091"/>
    <cellStyle name="Normal 7 2 6 6 2" xfId="35312"/>
    <cellStyle name="Normal 7 2 6 7" xfId="28626"/>
    <cellStyle name="Normal 7 2 7" xfId="8699"/>
    <cellStyle name="Normal 7 2 7 2" xfId="8700"/>
    <cellStyle name="Normal 7 2 7 2 2" xfId="13298"/>
    <cellStyle name="Normal 7 2 7 2 2 2" xfId="20853"/>
    <cellStyle name="Normal 7 2 7 2 2 2 2" xfId="37074"/>
    <cellStyle name="Normal 7 2 7 2 2 3" xfId="30386"/>
    <cellStyle name="Normal 7 2 7 2 3" xfId="16697"/>
    <cellStyle name="Normal 7 2 7 2 3 2" xfId="32918"/>
    <cellStyle name="Normal 7 2 7 2 4" xfId="19096"/>
    <cellStyle name="Normal 7 2 7 2 4 2" xfId="35317"/>
    <cellStyle name="Normal 7 2 7 2 5" xfId="28631"/>
    <cellStyle name="Normal 7 2 7 3" xfId="13297"/>
    <cellStyle name="Normal 7 2 7 3 2" xfId="20852"/>
    <cellStyle name="Normal 7 2 7 3 2 2" xfId="37073"/>
    <cellStyle name="Normal 7 2 7 3 3" xfId="30385"/>
    <cellStyle name="Normal 7 2 7 4" xfId="15112"/>
    <cellStyle name="Normal 7 2 7 4 2" xfId="31334"/>
    <cellStyle name="Normal 7 2 7 5" xfId="19095"/>
    <cellStyle name="Normal 7 2 7 5 2" xfId="35316"/>
    <cellStyle name="Normal 7 2 7 6" xfId="28630"/>
    <cellStyle name="Normal 7 2 8" xfId="8701"/>
    <cellStyle name="Normal 7 2 8 2" xfId="13299"/>
    <cellStyle name="Normal 7 2 8 2 2" xfId="20854"/>
    <cellStyle name="Normal 7 2 8 2 2 2" xfId="37075"/>
    <cellStyle name="Normal 7 2 8 2 3" xfId="30387"/>
    <cellStyle name="Normal 7 2 8 3" xfId="15905"/>
    <cellStyle name="Normal 7 2 8 3 2" xfId="32126"/>
    <cellStyle name="Normal 7 2 8 4" xfId="19097"/>
    <cellStyle name="Normal 7 2 8 4 2" xfId="35318"/>
    <cellStyle name="Normal 7 2 8 5" xfId="28632"/>
    <cellStyle name="Normal 7 2 9" xfId="13204"/>
    <cellStyle name="Normal 7 2 9 2" xfId="20759"/>
    <cellStyle name="Normal 7 2 9 2 2" xfId="36980"/>
    <cellStyle name="Normal 7 2 9 3" xfId="30292"/>
    <cellStyle name="Normal 7 3" xfId="214"/>
    <cellStyle name="Normal 7 3 10" xfId="14318"/>
    <cellStyle name="Normal 7 3 10 2" xfId="30543"/>
    <cellStyle name="Normal 7 3 11" xfId="19098"/>
    <cellStyle name="Normal 7 3 11 2" xfId="35319"/>
    <cellStyle name="Normal 7 3 12" xfId="5684"/>
    <cellStyle name="Normal 7 3 12 2" xfId="27021"/>
    <cellStyle name="Normal 7 3 13" xfId="21035"/>
    <cellStyle name="Normal 7 3 13 2" xfId="37247"/>
    <cellStyle name="Normal 7 3 14" xfId="22533"/>
    <cellStyle name="Normal 7 3 15" xfId="328"/>
    <cellStyle name="Normal 7 3 2" xfId="1863"/>
    <cellStyle name="Normal 7 3 2 10" xfId="19099"/>
    <cellStyle name="Normal 7 3 2 10 2" xfId="35320"/>
    <cellStyle name="Normal 7 3 2 11" xfId="8702"/>
    <cellStyle name="Normal 7 3 2 11 2" xfId="28633"/>
    <cellStyle name="Normal 7 3 2 12" xfId="24031"/>
    <cellStyle name="Normal 7 3 2 2" xfId="8703"/>
    <cellStyle name="Normal 7 3 2 2 10" xfId="28634"/>
    <cellStyle name="Normal 7 3 2 2 2" xfId="8704"/>
    <cellStyle name="Normal 7 3 2 2 2 2" xfId="8705"/>
    <cellStyle name="Normal 7 3 2 2 2 2 2" xfId="8706"/>
    <cellStyle name="Normal 7 3 2 2 2 2 2 2" xfId="8707"/>
    <cellStyle name="Normal 7 3 2 2 2 2 2 2 2" xfId="13306"/>
    <cellStyle name="Normal 7 3 2 2 2 2 2 2 2 2" xfId="20861"/>
    <cellStyle name="Normal 7 3 2 2 2 2 2 2 2 2 2" xfId="37082"/>
    <cellStyle name="Normal 7 3 2 2 2 2 2 2 2 3" xfId="30394"/>
    <cellStyle name="Normal 7 3 2 2 2 2 2 2 3" xfId="17193"/>
    <cellStyle name="Normal 7 3 2 2 2 2 2 2 3 2" xfId="33414"/>
    <cellStyle name="Normal 7 3 2 2 2 2 2 2 4" xfId="19104"/>
    <cellStyle name="Normal 7 3 2 2 2 2 2 2 4 2" xfId="35325"/>
    <cellStyle name="Normal 7 3 2 2 2 2 2 2 5" xfId="28638"/>
    <cellStyle name="Normal 7 3 2 2 2 2 2 3" xfId="13305"/>
    <cellStyle name="Normal 7 3 2 2 2 2 2 3 2" xfId="20860"/>
    <cellStyle name="Normal 7 3 2 2 2 2 2 3 2 2" xfId="37081"/>
    <cellStyle name="Normal 7 3 2 2 2 2 2 3 3" xfId="30393"/>
    <cellStyle name="Normal 7 3 2 2 2 2 2 4" xfId="15608"/>
    <cellStyle name="Normal 7 3 2 2 2 2 2 4 2" xfId="31830"/>
    <cellStyle name="Normal 7 3 2 2 2 2 2 5" xfId="19103"/>
    <cellStyle name="Normal 7 3 2 2 2 2 2 5 2" xfId="35324"/>
    <cellStyle name="Normal 7 3 2 2 2 2 2 6" xfId="28637"/>
    <cellStyle name="Normal 7 3 2 2 2 2 3" xfId="8708"/>
    <cellStyle name="Normal 7 3 2 2 2 2 3 2" xfId="13307"/>
    <cellStyle name="Normal 7 3 2 2 2 2 3 2 2" xfId="20862"/>
    <cellStyle name="Normal 7 3 2 2 2 2 3 2 2 2" xfId="37083"/>
    <cellStyle name="Normal 7 3 2 2 2 2 3 2 3" xfId="30395"/>
    <cellStyle name="Normal 7 3 2 2 2 2 3 3" xfId="16401"/>
    <cellStyle name="Normal 7 3 2 2 2 2 3 3 2" xfId="32622"/>
    <cellStyle name="Normal 7 3 2 2 2 2 3 4" xfId="19105"/>
    <cellStyle name="Normal 7 3 2 2 2 2 3 4 2" xfId="35326"/>
    <cellStyle name="Normal 7 3 2 2 2 2 3 5" xfId="28639"/>
    <cellStyle name="Normal 7 3 2 2 2 2 4" xfId="13304"/>
    <cellStyle name="Normal 7 3 2 2 2 2 4 2" xfId="20859"/>
    <cellStyle name="Normal 7 3 2 2 2 2 4 2 2" xfId="37080"/>
    <cellStyle name="Normal 7 3 2 2 2 2 4 3" xfId="30392"/>
    <cellStyle name="Normal 7 3 2 2 2 2 5" xfId="14816"/>
    <cellStyle name="Normal 7 3 2 2 2 2 5 2" xfId="31038"/>
    <cellStyle name="Normal 7 3 2 2 2 2 6" xfId="19102"/>
    <cellStyle name="Normal 7 3 2 2 2 2 6 2" xfId="35323"/>
    <cellStyle name="Normal 7 3 2 2 2 2 7" xfId="28636"/>
    <cellStyle name="Normal 7 3 2 2 2 3" xfId="8709"/>
    <cellStyle name="Normal 7 3 2 2 2 3 2" xfId="8710"/>
    <cellStyle name="Normal 7 3 2 2 2 3 2 2" xfId="8711"/>
    <cellStyle name="Normal 7 3 2 2 2 3 2 2 2" xfId="13310"/>
    <cellStyle name="Normal 7 3 2 2 2 3 2 2 2 2" xfId="20865"/>
    <cellStyle name="Normal 7 3 2 2 2 3 2 2 2 2 2" xfId="37086"/>
    <cellStyle name="Normal 7 3 2 2 2 3 2 2 2 3" xfId="30398"/>
    <cellStyle name="Normal 7 3 2 2 2 3 2 2 3" xfId="17457"/>
    <cellStyle name="Normal 7 3 2 2 2 3 2 2 3 2" xfId="33678"/>
    <cellStyle name="Normal 7 3 2 2 2 3 2 2 4" xfId="19108"/>
    <cellStyle name="Normal 7 3 2 2 2 3 2 2 4 2" xfId="35329"/>
    <cellStyle name="Normal 7 3 2 2 2 3 2 2 5" xfId="28642"/>
    <cellStyle name="Normal 7 3 2 2 2 3 2 3" xfId="13309"/>
    <cellStyle name="Normal 7 3 2 2 2 3 2 3 2" xfId="20864"/>
    <cellStyle name="Normal 7 3 2 2 2 3 2 3 2 2" xfId="37085"/>
    <cellStyle name="Normal 7 3 2 2 2 3 2 3 3" xfId="30397"/>
    <cellStyle name="Normal 7 3 2 2 2 3 2 4" xfId="15872"/>
    <cellStyle name="Normal 7 3 2 2 2 3 2 4 2" xfId="32094"/>
    <cellStyle name="Normal 7 3 2 2 2 3 2 5" xfId="19107"/>
    <cellStyle name="Normal 7 3 2 2 2 3 2 5 2" xfId="35328"/>
    <cellStyle name="Normal 7 3 2 2 2 3 2 6" xfId="28641"/>
    <cellStyle name="Normal 7 3 2 2 2 3 3" xfId="8712"/>
    <cellStyle name="Normal 7 3 2 2 2 3 3 2" xfId="13311"/>
    <cellStyle name="Normal 7 3 2 2 2 3 3 2 2" xfId="20866"/>
    <cellStyle name="Normal 7 3 2 2 2 3 3 2 2 2" xfId="37087"/>
    <cellStyle name="Normal 7 3 2 2 2 3 3 2 3" xfId="30399"/>
    <cellStyle name="Normal 7 3 2 2 2 3 3 3" xfId="16665"/>
    <cellStyle name="Normal 7 3 2 2 2 3 3 3 2" xfId="32886"/>
    <cellStyle name="Normal 7 3 2 2 2 3 3 4" xfId="19109"/>
    <cellStyle name="Normal 7 3 2 2 2 3 3 4 2" xfId="35330"/>
    <cellStyle name="Normal 7 3 2 2 2 3 3 5" xfId="28643"/>
    <cellStyle name="Normal 7 3 2 2 2 3 4" xfId="13308"/>
    <cellStyle name="Normal 7 3 2 2 2 3 4 2" xfId="20863"/>
    <cellStyle name="Normal 7 3 2 2 2 3 4 2 2" xfId="37084"/>
    <cellStyle name="Normal 7 3 2 2 2 3 4 3" xfId="30396"/>
    <cellStyle name="Normal 7 3 2 2 2 3 5" xfId="15080"/>
    <cellStyle name="Normal 7 3 2 2 2 3 5 2" xfId="31302"/>
    <cellStyle name="Normal 7 3 2 2 2 3 6" xfId="19106"/>
    <cellStyle name="Normal 7 3 2 2 2 3 6 2" xfId="35327"/>
    <cellStyle name="Normal 7 3 2 2 2 3 7" xfId="28640"/>
    <cellStyle name="Normal 7 3 2 2 2 4" xfId="8713"/>
    <cellStyle name="Normal 7 3 2 2 2 4 2" xfId="8714"/>
    <cellStyle name="Normal 7 3 2 2 2 4 2 2" xfId="13313"/>
    <cellStyle name="Normal 7 3 2 2 2 4 2 2 2" xfId="20868"/>
    <cellStyle name="Normal 7 3 2 2 2 4 2 2 2 2" xfId="37089"/>
    <cellStyle name="Normal 7 3 2 2 2 4 2 2 3" xfId="30401"/>
    <cellStyle name="Normal 7 3 2 2 2 4 2 3" xfId="16929"/>
    <cellStyle name="Normal 7 3 2 2 2 4 2 3 2" xfId="33150"/>
    <cellStyle name="Normal 7 3 2 2 2 4 2 4" xfId="19111"/>
    <cellStyle name="Normal 7 3 2 2 2 4 2 4 2" xfId="35332"/>
    <cellStyle name="Normal 7 3 2 2 2 4 2 5" xfId="28645"/>
    <cellStyle name="Normal 7 3 2 2 2 4 3" xfId="13312"/>
    <cellStyle name="Normal 7 3 2 2 2 4 3 2" xfId="20867"/>
    <cellStyle name="Normal 7 3 2 2 2 4 3 2 2" xfId="37088"/>
    <cellStyle name="Normal 7 3 2 2 2 4 3 3" xfId="30400"/>
    <cellStyle name="Normal 7 3 2 2 2 4 4" xfId="15344"/>
    <cellStyle name="Normal 7 3 2 2 2 4 4 2" xfId="31566"/>
    <cellStyle name="Normal 7 3 2 2 2 4 5" xfId="19110"/>
    <cellStyle name="Normal 7 3 2 2 2 4 5 2" xfId="35331"/>
    <cellStyle name="Normal 7 3 2 2 2 4 6" xfId="28644"/>
    <cellStyle name="Normal 7 3 2 2 2 5" xfId="8715"/>
    <cellStyle name="Normal 7 3 2 2 2 5 2" xfId="13314"/>
    <cellStyle name="Normal 7 3 2 2 2 5 2 2" xfId="20869"/>
    <cellStyle name="Normal 7 3 2 2 2 5 2 2 2" xfId="37090"/>
    <cellStyle name="Normal 7 3 2 2 2 5 2 3" xfId="30402"/>
    <cellStyle name="Normal 7 3 2 2 2 5 3" xfId="16137"/>
    <cellStyle name="Normal 7 3 2 2 2 5 3 2" xfId="32358"/>
    <cellStyle name="Normal 7 3 2 2 2 5 4" xfId="19112"/>
    <cellStyle name="Normal 7 3 2 2 2 5 4 2" xfId="35333"/>
    <cellStyle name="Normal 7 3 2 2 2 5 5" xfId="28646"/>
    <cellStyle name="Normal 7 3 2 2 2 6" xfId="13303"/>
    <cellStyle name="Normal 7 3 2 2 2 6 2" xfId="20858"/>
    <cellStyle name="Normal 7 3 2 2 2 6 2 2" xfId="37079"/>
    <cellStyle name="Normal 7 3 2 2 2 6 3" xfId="30391"/>
    <cellStyle name="Normal 7 3 2 2 2 7" xfId="14552"/>
    <cellStyle name="Normal 7 3 2 2 2 7 2" xfId="30774"/>
    <cellStyle name="Normal 7 3 2 2 2 8" xfId="19101"/>
    <cellStyle name="Normal 7 3 2 2 2 8 2" xfId="35322"/>
    <cellStyle name="Normal 7 3 2 2 2 9" xfId="28635"/>
    <cellStyle name="Normal 7 3 2 2 3" xfId="8716"/>
    <cellStyle name="Normal 7 3 2 2 3 2" xfId="8717"/>
    <cellStyle name="Normal 7 3 2 2 3 2 2" xfId="8718"/>
    <cellStyle name="Normal 7 3 2 2 3 2 2 2" xfId="13317"/>
    <cellStyle name="Normal 7 3 2 2 3 2 2 2 2" xfId="20872"/>
    <cellStyle name="Normal 7 3 2 2 3 2 2 2 2 2" xfId="37093"/>
    <cellStyle name="Normal 7 3 2 2 3 2 2 2 3" xfId="30405"/>
    <cellStyle name="Normal 7 3 2 2 3 2 2 3" xfId="17061"/>
    <cellStyle name="Normal 7 3 2 2 3 2 2 3 2" xfId="33282"/>
    <cellStyle name="Normal 7 3 2 2 3 2 2 4" xfId="19115"/>
    <cellStyle name="Normal 7 3 2 2 3 2 2 4 2" xfId="35336"/>
    <cellStyle name="Normal 7 3 2 2 3 2 2 5" xfId="28649"/>
    <cellStyle name="Normal 7 3 2 2 3 2 3" xfId="13316"/>
    <cellStyle name="Normal 7 3 2 2 3 2 3 2" xfId="20871"/>
    <cellStyle name="Normal 7 3 2 2 3 2 3 2 2" xfId="37092"/>
    <cellStyle name="Normal 7 3 2 2 3 2 3 3" xfId="30404"/>
    <cellStyle name="Normal 7 3 2 2 3 2 4" xfId="15476"/>
    <cellStyle name="Normal 7 3 2 2 3 2 4 2" xfId="31698"/>
    <cellStyle name="Normal 7 3 2 2 3 2 5" xfId="19114"/>
    <cellStyle name="Normal 7 3 2 2 3 2 5 2" xfId="35335"/>
    <cellStyle name="Normal 7 3 2 2 3 2 6" xfId="28648"/>
    <cellStyle name="Normal 7 3 2 2 3 3" xfId="8719"/>
    <cellStyle name="Normal 7 3 2 2 3 3 2" xfId="13318"/>
    <cellStyle name="Normal 7 3 2 2 3 3 2 2" xfId="20873"/>
    <cellStyle name="Normal 7 3 2 2 3 3 2 2 2" xfId="37094"/>
    <cellStyle name="Normal 7 3 2 2 3 3 2 3" xfId="30406"/>
    <cellStyle name="Normal 7 3 2 2 3 3 3" xfId="16269"/>
    <cellStyle name="Normal 7 3 2 2 3 3 3 2" xfId="32490"/>
    <cellStyle name="Normal 7 3 2 2 3 3 4" xfId="19116"/>
    <cellStyle name="Normal 7 3 2 2 3 3 4 2" xfId="35337"/>
    <cellStyle name="Normal 7 3 2 2 3 3 5" xfId="28650"/>
    <cellStyle name="Normal 7 3 2 2 3 4" xfId="13315"/>
    <cellStyle name="Normal 7 3 2 2 3 4 2" xfId="20870"/>
    <cellStyle name="Normal 7 3 2 2 3 4 2 2" xfId="37091"/>
    <cellStyle name="Normal 7 3 2 2 3 4 3" xfId="30403"/>
    <cellStyle name="Normal 7 3 2 2 3 5" xfId="14684"/>
    <cellStyle name="Normal 7 3 2 2 3 5 2" xfId="30906"/>
    <cellStyle name="Normal 7 3 2 2 3 6" xfId="19113"/>
    <cellStyle name="Normal 7 3 2 2 3 6 2" xfId="35334"/>
    <cellStyle name="Normal 7 3 2 2 3 7" xfId="28647"/>
    <cellStyle name="Normal 7 3 2 2 4" xfId="8720"/>
    <cellStyle name="Normal 7 3 2 2 4 2" xfId="8721"/>
    <cellStyle name="Normal 7 3 2 2 4 2 2" xfId="8722"/>
    <cellStyle name="Normal 7 3 2 2 4 2 2 2" xfId="13321"/>
    <cellStyle name="Normal 7 3 2 2 4 2 2 2 2" xfId="20876"/>
    <cellStyle name="Normal 7 3 2 2 4 2 2 2 2 2" xfId="37097"/>
    <cellStyle name="Normal 7 3 2 2 4 2 2 2 3" xfId="30409"/>
    <cellStyle name="Normal 7 3 2 2 4 2 2 3" xfId="17325"/>
    <cellStyle name="Normal 7 3 2 2 4 2 2 3 2" xfId="33546"/>
    <cellStyle name="Normal 7 3 2 2 4 2 2 4" xfId="19119"/>
    <cellStyle name="Normal 7 3 2 2 4 2 2 4 2" xfId="35340"/>
    <cellStyle name="Normal 7 3 2 2 4 2 2 5" xfId="28653"/>
    <cellStyle name="Normal 7 3 2 2 4 2 3" xfId="13320"/>
    <cellStyle name="Normal 7 3 2 2 4 2 3 2" xfId="20875"/>
    <cellStyle name="Normal 7 3 2 2 4 2 3 2 2" xfId="37096"/>
    <cellStyle name="Normal 7 3 2 2 4 2 3 3" xfId="30408"/>
    <cellStyle name="Normal 7 3 2 2 4 2 4" xfId="15740"/>
    <cellStyle name="Normal 7 3 2 2 4 2 4 2" xfId="31962"/>
    <cellStyle name="Normal 7 3 2 2 4 2 5" xfId="19118"/>
    <cellStyle name="Normal 7 3 2 2 4 2 5 2" xfId="35339"/>
    <cellStyle name="Normal 7 3 2 2 4 2 6" xfId="28652"/>
    <cellStyle name="Normal 7 3 2 2 4 3" xfId="8723"/>
    <cellStyle name="Normal 7 3 2 2 4 3 2" xfId="13322"/>
    <cellStyle name="Normal 7 3 2 2 4 3 2 2" xfId="20877"/>
    <cellStyle name="Normal 7 3 2 2 4 3 2 2 2" xfId="37098"/>
    <cellStyle name="Normal 7 3 2 2 4 3 2 3" xfId="30410"/>
    <cellStyle name="Normal 7 3 2 2 4 3 3" xfId="16533"/>
    <cellStyle name="Normal 7 3 2 2 4 3 3 2" xfId="32754"/>
    <cellStyle name="Normal 7 3 2 2 4 3 4" xfId="19120"/>
    <cellStyle name="Normal 7 3 2 2 4 3 4 2" xfId="35341"/>
    <cellStyle name="Normal 7 3 2 2 4 3 5" xfId="28654"/>
    <cellStyle name="Normal 7 3 2 2 4 4" xfId="13319"/>
    <cellStyle name="Normal 7 3 2 2 4 4 2" xfId="20874"/>
    <cellStyle name="Normal 7 3 2 2 4 4 2 2" xfId="37095"/>
    <cellStyle name="Normal 7 3 2 2 4 4 3" xfId="30407"/>
    <cellStyle name="Normal 7 3 2 2 4 5" xfId="14948"/>
    <cellStyle name="Normal 7 3 2 2 4 5 2" xfId="31170"/>
    <cellStyle name="Normal 7 3 2 2 4 6" xfId="19117"/>
    <cellStyle name="Normal 7 3 2 2 4 6 2" xfId="35338"/>
    <cellStyle name="Normal 7 3 2 2 4 7" xfId="28651"/>
    <cellStyle name="Normal 7 3 2 2 5" xfId="8724"/>
    <cellStyle name="Normal 7 3 2 2 5 2" xfId="8725"/>
    <cellStyle name="Normal 7 3 2 2 5 2 2" xfId="13324"/>
    <cellStyle name="Normal 7 3 2 2 5 2 2 2" xfId="20879"/>
    <cellStyle name="Normal 7 3 2 2 5 2 2 2 2" xfId="37100"/>
    <cellStyle name="Normal 7 3 2 2 5 2 2 3" xfId="30412"/>
    <cellStyle name="Normal 7 3 2 2 5 2 3" xfId="16797"/>
    <cellStyle name="Normal 7 3 2 2 5 2 3 2" xfId="33018"/>
    <cellStyle name="Normal 7 3 2 2 5 2 4" xfId="19122"/>
    <cellStyle name="Normal 7 3 2 2 5 2 4 2" xfId="35343"/>
    <cellStyle name="Normal 7 3 2 2 5 2 5" xfId="28656"/>
    <cellStyle name="Normal 7 3 2 2 5 3" xfId="13323"/>
    <cellStyle name="Normal 7 3 2 2 5 3 2" xfId="20878"/>
    <cellStyle name="Normal 7 3 2 2 5 3 2 2" xfId="37099"/>
    <cellStyle name="Normal 7 3 2 2 5 3 3" xfId="30411"/>
    <cellStyle name="Normal 7 3 2 2 5 4" xfId="15212"/>
    <cellStyle name="Normal 7 3 2 2 5 4 2" xfId="31434"/>
    <cellStyle name="Normal 7 3 2 2 5 5" xfId="19121"/>
    <cellStyle name="Normal 7 3 2 2 5 5 2" xfId="35342"/>
    <cellStyle name="Normal 7 3 2 2 5 6" xfId="28655"/>
    <cellStyle name="Normal 7 3 2 2 6" xfId="8726"/>
    <cellStyle name="Normal 7 3 2 2 6 2" xfId="13325"/>
    <cellStyle name="Normal 7 3 2 2 6 2 2" xfId="20880"/>
    <cellStyle name="Normal 7 3 2 2 6 2 2 2" xfId="37101"/>
    <cellStyle name="Normal 7 3 2 2 6 2 3" xfId="30413"/>
    <cellStyle name="Normal 7 3 2 2 6 3" xfId="16005"/>
    <cellStyle name="Normal 7 3 2 2 6 3 2" xfId="32226"/>
    <cellStyle name="Normal 7 3 2 2 6 4" xfId="19123"/>
    <cellStyle name="Normal 7 3 2 2 6 4 2" xfId="35344"/>
    <cellStyle name="Normal 7 3 2 2 6 5" xfId="28657"/>
    <cellStyle name="Normal 7 3 2 2 7" xfId="13302"/>
    <cellStyle name="Normal 7 3 2 2 7 2" xfId="20857"/>
    <cellStyle name="Normal 7 3 2 2 7 2 2" xfId="37078"/>
    <cellStyle name="Normal 7 3 2 2 7 3" xfId="30390"/>
    <cellStyle name="Normal 7 3 2 2 8" xfId="14420"/>
    <cellStyle name="Normal 7 3 2 2 8 2" xfId="30642"/>
    <cellStyle name="Normal 7 3 2 2 9" xfId="19100"/>
    <cellStyle name="Normal 7 3 2 2 9 2" xfId="35321"/>
    <cellStyle name="Normal 7 3 2 3" xfId="8727"/>
    <cellStyle name="Normal 7 3 2 3 2" xfId="8728"/>
    <cellStyle name="Normal 7 3 2 3 2 2" xfId="8729"/>
    <cellStyle name="Normal 7 3 2 3 2 2 2" xfId="8730"/>
    <cellStyle name="Normal 7 3 2 3 2 2 2 2" xfId="13329"/>
    <cellStyle name="Normal 7 3 2 3 2 2 2 2 2" xfId="20884"/>
    <cellStyle name="Normal 7 3 2 3 2 2 2 2 2 2" xfId="37105"/>
    <cellStyle name="Normal 7 3 2 3 2 2 2 2 3" xfId="30417"/>
    <cellStyle name="Normal 7 3 2 3 2 2 2 3" xfId="17127"/>
    <cellStyle name="Normal 7 3 2 3 2 2 2 3 2" xfId="33348"/>
    <cellStyle name="Normal 7 3 2 3 2 2 2 4" xfId="19127"/>
    <cellStyle name="Normal 7 3 2 3 2 2 2 4 2" xfId="35348"/>
    <cellStyle name="Normal 7 3 2 3 2 2 2 5" xfId="28661"/>
    <cellStyle name="Normal 7 3 2 3 2 2 3" xfId="13328"/>
    <cellStyle name="Normal 7 3 2 3 2 2 3 2" xfId="20883"/>
    <cellStyle name="Normal 7 3 2 3 2 2 3 2 2" xfId="37104"/>
    <cellStyle name="Normal 7 3 2 3 2 2 3 3" xfId="30416"/>
    <cellStyle name="Normal 7 3 2 3 2 2 4" xfId="15542"/>
    <cellStyle name="Normal 7 3 2 3 2 2 4 2" xfId="31764"/>
    <cellStyle name="Normal 7 3 2 3 2 2 5" xfId="19126"/>
    <cellStyle name="Normal 7 3 2 3 2 2 5 2" xfId="35347"/>
    <cellStyle name="Normal 7 3 2 3 2 2 6" xfId="28660"/>
    <cellStyle name="Normal 7 3 2 3 2 3" xfId="8731"/>
    <cellStyle name="Normal 7 3 2 3 2 3 2" xfId="13330"/>
    <cellStyle name="Normal 7 3 2 3 2 3 2 2" xfId="20885"/>
    <cellStyle name="Normal 7 3 2 3 2 3 2 2 2" xfId="37106"/>
    <cellStyle name="Normal 7 3 2 3 2 3 2 3" xfId="30418"/>
    <cellStyle name="Normal 7 3 2 3 2 3 3" xfId="16335"/>
    <cellStyle name="Normal 7 3 2 3 2 3 3 2" xfId="32556"/>
    <cellStyle name="Normal 7 3 2 3 2 3 4" xfId="19128"/>
    <cellStyle name="Normal 7 3 2 3 2 3 4 2" xfId="35349"/>
    <cellStyle name="Normal 7 3 2 3 2 3 5" xfId="28662"/>
    <cellStyle name="Normal 7 3 2 3 2 4" xfId="13327"/>
    <cellStyle name="Normal 7 3 2 3 2 4 2" xfId="20882"/>
    <cellStyle name="Normal 7 3 2 3 2 4 2 2" xfId="37103"/>
    <cellStyle name="Normal 7 3 2 3 2 4 3" xfId="30415"/>
    <cellStyle name="Normal 7 3 2 3 2 5" xfId="14750"/>
    <cellStyle name="Normal 7 3 2 3 2 5 2" xfId="30972"/>
    <cellStyle name="Normal 7 3 2 3 2 6" xfId="19125"/>
    <cellStyle name="Normal 7 3 2 3 2 6 2" xfId="35346"/>
    <cellStyle name="Normal 7 3 2 3 2 7" xfId="28659"/>
    <cellStyle name="Normal 7 3 2 3 3" xfId="8732"/>
    <cellStyle name="Normal 7 3 2 3 3 2" xfId="8733"/>
    <cellStyle name="Normal 7 3 2 3 3 2 2" xfId="8734"/>
    <cellStyle name="Normal 7 3 2 3 3 2 2 2" xfId="13333"/>
    <cellStyle name="Normal 7 3 2 3 3 2 2 2 2" xfId="20888"/>
    <cellStyle name="Normal 7 3 2 3 3 2 2 2 2 2" xfId="37109"/>
    <cellStyle name="Normal 7 3 2 3 3 2 2 2 3" xfId="30421"/>
    <cellStyle name="Normal 7 3 2 3 3 2 2 3" xfId="17391"/>
    <cellStyle name="Normal 7 3 2 3 3 2 2 3 2" xfId="33612"/>
    <cellStyle name="Normal 7 3 2 3 3 2 2 4" xfId="19131"/>
    <cellStyle name="Normal 7 3 2 3 3 2 2 4 2" xfId="35352"/>
    <cellStyle name="Normal 7 3 2 3 3 2 2 5" xfId="28665"/>
    <cellStyle name="Normal 7 3 2 3 3 2 3" xfId="13332"/>
    <cellStyle name="Normal 7 3 2 3 3 2 3 2" xfId="20887"/>
    <cellStyle name="Normal 7 3 2 3 3 2 3 2 2" xfId="37108"/>
    <cellStyle name="Normal 7 3 2 3 3 2 3 3" xfId="30420"/>
    <cellStyle name="Normal 7 3 2 3 3 2 4" xfId="15806"/>
    <cellStyle name="Normal 7 3 2 3 3 2 4 2" xfId="32028"/>
    <cellStyle name="Normal 7 3 2 3 3 2 5" xfId="19130"/>
    <cellStyle name="Normal 7 3 2 3 3 2 5 2" xfId="35351"/>
    <cellStyle name="Normal 7 3 2 3 3 2 6" xfId="28664"/>
    <cellStyle name="Normal 7 3 2 3 3 3" xfId="8735"/>
    <cellStyle name="Normal 7 3 2 3 3 3 2" xfId="13334"/>
    <cellStyle name="Normal 7 3 2 3 3 3 2 2" xfId="20889"/>
    <cellStyle name="Normal 7 3 2 3 3 3 2 2 2" xfId="37110"/>
    <cellStyle name="Normal 7 3 2 3 3 3 2 3" xfId="30422"/>
    <cellStyle name="Normal 7 3 2 3 3 3 3" xfId="16599"/>
    <cellStyle name="Normal 7 3 2 3 3 3 3 2" xfId="32820"/>
    <cellStyle name="Normal 7 3 2 3 3 3 4" xfId="19132"/>
    <cellStyle name="Normal 7 3 2 3 3 3 4 2" xfId="35353"/>
    <cellStyle name="Normal 7 3 2 3 3 3 5" xfId="28666"/>
    <cellStyle name="Normal 7 3 2 3 3 4" xfId="13331"/>
    <cellStyle name="Normal 7 3 2 3 3 4 2" xfId="20886"/>
    <cellStyle name="Normal 7 3 2 3 3 4 2 2" xfId="37107"/>
    <cellStyle name="Normal 7 3 2 3 3 4 3" xfId="30419"/>
    <cellStyle name="Normal 7 3 2 3 3 5" xfId="15014"/>
    <cellStyle name="Normal 7 3 2 3 3 5 2" xfId="31236"/>
    <cellStyle name="Normal 7 3 2 3 3 6" xfId="19129"/>
    <cellStyle name="Normal 7 3 2 3 3 6 2" xfId="35350"/>
    <cellStyle name="Normal 7 3 2 3 3 7" xfId="28663"/>
    <cellStyle name="Normal 7 3 2 3 4" xfId="8736"/>
    <cellStyle name="Normal 7 3 2 3 4 2" xfId="8737"/>
    <cellStyle name="Normal 7 3 2 3 4 2 2" xfId="13336"/>
    <cellStyle name="Normal 7 3 2 3 4 2 2 2" xfId="20891"/>
    <cellStyle name="Normal 7 3 2 3 4 2 2 2 2" xfId="37112"/>
    <cellStyle name="Normal 7 3 2 3 4 2 2 3" xfId="30424"/>
    <cellStyle name="Normal 7 3 2 3 4 2 3" xfId="16863"/>
    <cellStyle name="Normal 7 3 2 3 4 2 3 2" xfId="33084"/>
    <cellStyle name="Normal 7 3 2 3 4 2 4" xfId="19134"/>
    <cellStyle name="Normal 7 3 2 3 4 2 4 2" xfId="35355"/>
    <cellStyle name="Normal 7 3 2 3 4 2 5" xfId="28668"/>
    <cellStyle name="Normal 7 3 2 3 4 3" xfId="13335"/>
    <cellStyle name="Normal 7 3 2 3 4 3 2" xfId="20890"/>
    <cellStyle name="Normal 7 3 2 3 4 3 2 2" xfId="37111"/>
    <cellStyle name="Normal 7 3 2 3 4 3 3" xfId="30423"/>
    <cellStyle name="Normal 7 3 2 3 4 4" xfId="15278"/>
    <cellStyle name="Normal 7 3 2 3 4 4 2" xfId="31500"/>
    <cellStyle name="Normal 7 3 2 3 4 5" xfId="19133"/>
    <cellStyle name="Normal 7 3 2 3 4 5 2" xfId="35354"/>
    <cellStyle name="Normal 7 3 2 3 4 6" xfId="28667"/>
    <cellStyle name="Normal 7 3 2 3 5" xfId="8738"/>
    <cellStyle name="Normal 7 3 2 3 5 2" xfId="13337"/>
    <cellStyle name="Normal 7 3 2 3 5 2 2" xfId="20892"/>
    <cellStyle name="Normal 7 3 2 3 5 2 2 2" xfId="37113"/>
    <cellStyle name="Normal 7 3 2 3 5 2 3" xfId="30425"/>
    <cellStyle name="Normal 7 3 2 3 5 3" xfId="16071"/>
    <cellStyle name="Normal 7 3 2 3 5 3 2" xfId="32292"/>
    <cellStyle name="Normal 7 3 2 3 5 4" xfId="19135"/>
    <cellStyle name="Normal 7 3 2 3 5 4 2" xfId="35356"/>
    <cellStyle name="Normal 7 3 2 3 5 5" xfId="28669"/>
    <cellStyle name="Normal 7 3 2 3 6" xfId="13326"/>
    <cellStyle name="Normal 7 3 2 3 6 2" xfId="20881"/>
    <cellStyle name="Normal 7 3 2 3 6 2 2" xfId="37102"/>
    <cellStyle name="Normal 7 3 2 3 6 3" xfId="30414"/>
    <cellStyle name="Normal 7 3 2 3 7" xfId="14486"/>
    <cellStyle name="Normal 7 3 2 3 7 2" xfId="30708"/>
    <cellStyle name="Normal 7 3 2 3 8" xfId="19124"/>
    <cellStyle name="Normal 7 3 2 3 8 2" xfId="35345"/>
    <cellStyle name="Normal 7 3 2 3 9" xfId="28658"/>
    <cellStyle name="Normal 7 3 2 4" xfId="8739"/>
    <cellStyle name="Normal 7 3 2 4 2" xfId="8740"/>
    <cellStyle name="Normal 7 3 2 4 2 2" xfId="8741"/>
    <cellStyle name="Normal 7 3 2 4 2 2 2" xfId="13340"/>
    <cellStyle name="Normal 7 3 2 4 2 2 2 2" xfId="20895"/>
    <cellStyle name="Normal 7 3 2 4 2 2 2 2 2" xfId="37116"/>
    <cellStyle name="Normal 7 3 2 4 2 2 2 3" xfId="30428"/>
    <cellStyle name="Normal 7 3 2 4 2 2 3" xfId="16995"/>
    <cellStyle name="Normal 7 3 2 4 2 2 3 2" xfId="33216"/>
    <cellStyle name="Normal 7 3 2 4 2 2 4" xfId="19138"/>
    <cellStyle name="Normal 7 3 2 4 2 2 4 2" xfId="35359"/>
    <cellStyle name="Normal 7 3 2 4 2 2 5" xfId="28672"/>
    <cellStyle name="Normal 7 3 2 4 2 3" xfId="13339"/>
    <cellStyle name="Normal 7 3 2 4 2 3 2" xfId="20894"/>
    <cellStyle name="Normal 7 3 2 4 2 3 2 2" xfId="37115"/>
    <cellStyle name="Normal 7 3 2 4 2 3 3" xfId="30427"/>
    <cellStyle name="Normal 7 3 2 4 2 4" xfId="15410"/>
    <cellStyle name="Normal 7 3 2 4 2 4 2" xfId="31632"/>
    <cellStyle name="Normal 7 3 2 4 2 5" xfId="19137"/>
    <cellStyle name="Normal 7 3 2 4 2 5 2" xfId="35358"/>
    <cellStyle name="Normal 7 3 2 4 2 6" xfId="28671"/>
    <cellStyle name="Normal 7 3 2 4 3" xfId="8742"/>
    <cellStyle name="Normal 7 3 2 4 3 2" xfId="13341"/>
    <cellStyle name="Normal 7 3 2 4 3 2 2" xfId="20896"/>
    <cellStyle name="Normal 7 3 2 4 3 2 2 2" xfId="37117"/>
    <cellStyle name="Normal 7 3 2 4 3 2 3" xfId="30429"/>
    <cellStyle name="Normal 7 3 2 4 3 3" xfId="16203"/>
    <cellStyle name="Normal 7 3 2 4 3 3 2" xfId="32424"/>
    <cellStyle name="Normal 7 3 2 4 3 4" xfId="19139"/>
    <cellStyle name="Normal 7 3 2 4 3 4 2" xfId="35360"/>
    <cellStyle name="Normal 7 3 2 4 3 5" xfId="28673"/>
    <cellStyle name="Normal 7 3 2 4 4" xfId="13338"/>
    <cellStyle name="Normal 7 3 2 4 4 2" xfId="20893"/>
    <cellStyle name="Normal 7 3 2 4 4 2 2" xfId="37114"/>
    <cellStyle name="Normal 7 3 2 4 4 3" xfId="30426"/>
    <cellStyle name="Normal 7 3 2 4 5" xfId="14618"/>
    <cellStyle name="Normal 7 3 2 4 5 2" xfId="30840"/>
    <cellStyle name="Normal 7 3 2 4 6" xfId="19136"/>
    <cellStyle name="Normal 7 3 2 4 6 2" xfId="35357"/>
    <cellStyle name="Normal 7 3 2 4 7" xfId="28670"/>
    <cellStyle name="Normal 7 3 2 5" xfId="8743"/>
    <cellStyle name="Normal 7 3 2 5 2" xfId="8744"/>
    <cellStyle name="Normal 7 3 2 5 2 2" xfId="8745"/>
    <cellStyle name="Normal 7 3 2 5 2 2 2" xfId="13344"/>
    <cellStyle name="Normal 7 3 2 5 2 2 2 2" xfId="20899"/>
    <cellStyle name="Normal 7 3 2 5 2 2 2 2 2" xfId="37120"/>
    <cellStyle name="Normal 7 3 2 5 2 2 2 3" xfId="30432"/>
    <cellStyle name="Normal 7 3 2 5 2 2 3" xfId="17259"/>
    <cellStyle name="Normal 7 3 2 5 2 2 3 2" xfId="33480"/>
    <cellStyle name="Normal 7 3 2 5 2 2 4" xfId="19142"/>
    <cellStyle name="Normal 7 3 2 5 2 2 4 2" xfId="35363"/>
    <cellStyle name="Normal 7 3 2 5 2 2 5" xfId="28676"/>
    <cellStyle name="Normal 7 3 2 5 2 3" xfId="13343"/>
    <cellStyle name="Normal 7 3 2 5 2 3 2" xfId="20898"/>
    <cellStyle name="Normal 7 3 2 5 2 3 2 2" xfId="37119"/>
    <cellStyle name="Normal 7 3 2 5 2 3 3" xfId="30431"/>
    <cellStyle name="Normal 7 3 2 5 2 4" xfId="15674"/>
    <cellStyle name="Normal 7 3 2 5 2 4 2" xfId="31896"/>
    <cellStyle name="Normal 7 3 2 5 2 5" xfId="19141"/>
    <cellStyle name="Normal 7 3 2 5 2 5 2" xfId="35362"/>
    <cellStyle name="Normal 7 3 2 5 2 6" xfId="28675"/>
    <cellStyle name="Normal 7 3 2 5 3" xfId="8746"/>
    <cellStyle name="Normal 7 3 2 5 3 2" xfId="13345"/>
    <cellStyle name="Normal 7 3 2 5 3 2 2" xfId="20900"/>
    <cellStyle name="Normal 7 3 2 5 3 2 2 2" xfId="37121"/>
    <cellStyle name="Normal 7 3 2 5 3 2 3" xfId="30433"/>
    <cellStyle name="Normal 7 3 2 5 3 3" xfId="16467"/>
    <cellStyle name="Normal 7 3 2 5 3 3 2" xfId="32688"/>
    <cellStyle name="Normal 7 3 2 5 3 4" xfId="19143"/>
    <cellStyle name="Normal 7 3 2 5 3 4 2" xfId="35364"/>
    <cellStyle name="Normal 7 3 2 5 3 5" xfId="28677"/>
    <cellStyle name="Normal 7 3 2 5 4" xfId="13342"/>
    <cellStyle name="Normal 7 3 2 5 4 2" xfId="20897"/>
    <cellStyle name="Normal 7 3 2 5 4 2 2" xfId="37118"/>
    <cellStyle name="Normal 7 3 2 5 4 3" xfId="30430"/>
    <cellStyle name="Normal 7 3 2 5 5" xfId="14882"/>
    <cellStyle name="Normal 7 3 2 5 5 2" xfId="31104"/>
    <cellStyle name="Normal 7 3 2 5 6" xfId="19140"/>
    <cellStyle name="Normal 7 3 2 5 6 2" xfId="35361"/>
    <cellStyle name="Normal 7 3 2 5 7" xfId="28674"/>
    <cellStyle name="Normal 7 3 2 6" xfId="8747"/>
    <cellStyle name="Normal 7 3 2 6 2" xfId="8748"/>
    <cellStyle name="Normal 7 3 2 6 2 2" xfId="13347"/>
    <cellStyle name="Normal 7 3 2 6 2 2 2" xfId="20902"/>
    <cellStyle name="Normal 7 3 2 6 2 2 2 2" xfId="37123"/>
    <cellStyle name="Normal 7 3 2 6 2 2 3" xfId="30435"/>
    <cellStyle name="Normal 7 3 2 6 2 3" xfId="16731"/>
    <cellStyle name="Normal 7 3 2 6 2 3 2" xfId="32952"/>
    <cellStyle name="Normal 7 3 2 6 2 4" xfId="19145"/>
    <cellStyle name="Normal 7 3 2 6 2 4 2" xfId="35366"/>
    <cellStyle name="Normal 7 3 2 6 2 5" xfId="28679"/>
    <cellStyle name="Normal 7 3 2 6 3" xfId="13346"/>
    <cellStyle name="Normal 7 3 2 6 3 2" xfId="20901"/>
    <cellStyle name="Normal 7 3 2 6 3 2 2" xfId="37122"/>
    <cellStyle name="Normal 7 3 2 6 3 3" xfId="30434"/>
    <cellStyle name="Normal 7 3 2 6 4" xfId="15146"/>
    <cellStyle name="Normal 7 3 2 6 4 2" xfId="31368"/>
    <cellStyle name="Normal 7 3 2 6 5" xfId="19144"/>
    <cellStyle name="Normal 7 3 2 6 5 2" xfId="35365"/>
    <cellStyle name="Normal 7 3 2 6 6" xfId="28678"/>
    <cellStyle name="Normal 7 3 2 7" xfId="8749"/>
    <cellStyle name="Normal 7 3 2 7 2" xfId="13348"/>
    <cellStyle name="Normal 7 3 2 7 2 2" xfId="20903"/>
    <cellStyle name="Normal 7 3 2 7 2 2 2" xfId="37124"/>
    <cellStyle name="Normal 7 3 2 7 2 3" xfId="30436"/>
    <cellStyle name="Normal 7 3 2 7 3" xfId="15939"/>
    <cellStyle name="Normal 7 3 2 7 3 2" xfId="32160"/>
    <cellStyle name="Normal 7 3 2 7 4" xfId="19146"/>
    <cellStyle name="Normal 7 3 2 7 4 2" xfId="35367"/>
    <cellStyle name="Normal 7 3 2 7 5" xfId="28680"/>
    <cellStyle name="Normal 7 3 2 8" xfId="13301"/>
    <cellStyle name="Normal 7 3 2 8 2" xfId="20856"/>
    <cellStyle name="Normal 7 3 2 8 2 2" xfId="37077"/>
    <cellStyle name="Normal 7 3 2 8 3" xfId="30389"/>
    <cellStyle name="Normal 7 3 2 9" xfId="14354"/>
    <cellStyle name="Normal 7 3 2 9 2" xfId="30576"/>
    <cellStyle name="Normal 7 3 3" xfId="3362"/>
    <cellStyle name="Normal 7 3 3 10" xfId="8750"/>
    <cellStyle name="Normal 7 3 3 10 2" xfId="28681"/>
    <cellStyle name="Normal 7 3 3 11" xfId="25529"/>
    <cellStyle name="Normal 7 3 3 2" xfId="8751"/>
    <cellStyle name="Normal 7 3 3 2 2" xfId="8752"/>
    <cellStyle name="Normal 7 3 3 2 2 2" xfId="8753"/>
    <cellStyle name="Normal 7 3 3 2 2 2 2" xfId="8754"/>
    <cellStyle name="Normal 7 3 3 2 2 2 2 2" xfId="13353"/>
    <cellStyle name="Normal 7 3 3 2 2 2 2 2 2" xfId="20908"/>
    <cellStyle name="Normal 7 3 3 2 2 2 2 2 2 2" xfId="37129"/>
    <cellStyle name="Normal 7 3 3 2 2 2 2 2 3" xfId="30441"/>
    <cellStyle name="Normal 7 3 3 2 2 2 2 3" xfId="17160"/>
    <cellStyle name="Normal 7 3 3 2 2 2 2 3 2" xfId="33381"/>
    <cellStyle name="Normal 7 3 3 2 2 2 2 4" xfId="19151"/>
    <cellStyle name="Normal 7 3 3 2 2 2 2 4 2" xfId="35372"/>
    <cellStyle name="Normal 7 3 3 2 2 2 2 5" xfId="28685"/>
    <cellStyle name="Normal 7 3 3 2 2 2 3" xfId="13352"/>
    <cellStyle name="Normal 7 3 3 2 2 2 3 2" xfId="20907"/>
    <cellStyle name="Normal 7 3 3 2 2 2 3 2 2" xfId="37128"/>
    <cellStyle name="Normal 7 3 3 2 2 2 3 3" xfId="30440"/>
    <cellStyle name="Normal 7 3 3 2 2 2 4" xfId="15575"/>
    <cellStyle name="Normal 7 3 3 2 2 2 4 2" xfId="31797"/>
    <cellStyle name="Normal 7 3 3 2 2 2 5" xfId="19150"/>
    <cellStyle name="Normal 7 3 3 2 2 2 5 2" xfId="35371"/>
    <cellStyle name="Normal 7 3 3 2 2 2 6" xfId="28684"/>
    <cellStyle name="Normal 7 3 3 2 2 3" xfId="8755"/>
    <cellStyle name="Normal 7 3 3 2 2 3 2" xfId="13354"/>
    <cellStyle name="Normal 7 3 3 2 2 3 2 2" xfId="20909"/>
    <cellStyle name="Normal 7 3 3 2 2 3 2 2 2" xfId="37130"/>
    <cellStyle name="Normal 7 3 3 2 2 3 2 3" xfId="30442"/>
    <cellStyle name="Normal 7 3 3 2 2 3 3" xfId="16368"/>
    <cellStyle name="Normal 7 3 3 2 2 3 3 2" xfId="32589"/>
    <cellStyle name="Normal 7 3 3 2 2 3 4" xfId="19152"/>
    <cellStyle name="Normal 7 3 3 2 2 3 4 2" xfId="35373"/>
    <cellStyle name="Normal 7 3 3 2 2 3 5" xfId="28686"/>
    <cellStyle name="Normal 7 3 3 2 2 4" xfId="13351"/>
    <cellStyle name="Normal 7 3 3 2 2 4 2" xfId="20906"/>
    <cellStyle name="Normal 7 3 3 2 2 4 2 2" xfId="37127"/>
    <cellStyle name="Normal 7 3 3 2 2 4 3" xfId="30439"/>
    <cellStyle name="Normal 7 3 3 2 2 5" xfId="14783"/>
    <cellStyle name="Normal 7 3 3 2 2 5 2" xfId="31005"/>
    <cellStyle name="Normal 7 3 3 2 2 6" xfId="19149"/>
    <cellStyle name="Normal 7 3 3 2 2 6 2" xfId="35370"/>
    <cellStyle name="Normal 7 3 3 2 2 7" xfId="28683"/>
    <cellStyle name="Normal 7 3 3 2 3" xfId="8756"/>
    <cellStyle name="Normal 7 3 3 2 3 2" xfId="8757"/>
    <cellStyle name="Normal 7 3 3 2 3 2 2" xfId="8758"/>
    <cellStyle name="Normal 7 3 3 2 3 2 2 2" xfId="13357"/>
    <cellStyle name="Normal 7 3 3 2 3 2 2 2 2" xfId="20912"/>
    <cellStyle name="Normal 7 3 3 2 3 2 2 2 2 2" xfId="37133"/>
    <cellStyle name="Normal 7 3 3 2 3 2 2 2 3" xfId="30445"/>
    <cellStyle name="Normal 7 3 3 2 3 2 2 3" xfId="17424"/>
    <cellStyle name="Normal 7 3 3 2 3 2 2 3 2" xfId="33645"/>
    <cellStyle name="Normal 7 3 3 2 3 2 2 4" xfId="19155"/>
    <cellStyle name="Normal 7 3 3 2 3 2 2 4 2" xfId="35376"/>
    <cellStyle name="Normal 7 3 3 2 3 2 2 5" xfId="28689"/>
    <cellStyle name="Normal 7 3 3 2 3 2 3" xfId="13356"/>
    <cellStyle name="Normal 7 3 3 2 3 2 3 2" xfId="20911"/>
    <cellStyle name="Normal 7 3 3 2 3 2 3 2 2" xfId="37132"/>
    <cellStyle name="Normal 7 3 3 2 3 2 3 3" xfId="30444"/>
    <cellStyle name="Normal 7 3 3 2 3 2 4" xfId="15839"/>
    <cellStyle name="Normal 7 3 3 2 3 2 4 2" xfId="32061"/>
    <cellStyle name="Normal 7 3 3 2 3 2 5" xfId="19154"/>
    <cellStyle name="Normal 7 3 3 2 3 2 5 2" xfId="35375"/>
    <cellStyle name="Normal 7 3 3 2 3 2 6" xfId="28688"/>
    <cellStyle name="Normal 7 3 3 2 3 3" xfId="8759"/>
    <cellStyle name="Normal 7 3 3 2 3 3 2" xfId="13358"/>
    <cellStyle name="Normal 7 3 3 2 3 3 2 2" xfId="20913"/>
    <cellStyle name="Normal 7 3 3 2 3 3 2 2 2" xfId="37134"/>
    <cellStyle name="Normal 7 3 3 2 3 3 2 3" xfId="30446"/>
    <cellStyle name="Normal 7 3 3 2 3 3 3" xfId="16632"/>
    <cellStyle name="Normal 7 3 3 2 3 3 3 2" xfId="32853"/>
    <cellStyle name="Normal 7 3 3 2 3 3 4" xfId="19156"/>
    <cellStyle name="Normal 7 3 3 2 3 3 4 2" xfId="35377"/>
    <cellStyle name="Normal 7 3 3 2 3 3 5" xfId="28690"/>
    <cellStyle name="Normal 7 3 3 2 3 4" xfId="13355"/>
    <cellStyle name="Normal 7 3 3 2 3 4 2" xfId="20910"/>
    <cellStyle name="Normal 7 3 3 2 3 4 2 2" xfId="37131"/>
    <cellStyle name="Normal 7 3 3 2 3 4 3" xfId="30443"/>
    <cellStyle name="Normal 7 3 3 2 3 5" xfId="15047"/>
    <cellStyle name="Normal 7 3 3 2 3 5 2" xfId="31269"/>
    <cellStyle name="Normal 7 3 3 2 3 6" xfId="19153"/>
    <cellStyle name="Normal 7 3 3 2 3 6 2" xfId="35374"/>
    <cellStyle name="Normal 7 3 3 2 3 7" xfId="28687"/>
    <cellStyle name="Normal 7 3 3 2 4" xfId="8760"/>
    <cellStyle name="Normal 7 3 3 2 4 2" xfId="8761"/>
    <cellStyle name="Normal 7 3 3 2 4 2 2" xfId="13360"/>
    <cellStyle name="Normal 7 3 3 2 4 2 2 2" xfId="20915"/>
    <cellStyle name="Normal 7 3 3 2 4 2 2 2 2" xfId="37136"/>
    <cellStyle name="Normal 7 3 3 2 4 2 2 3" xfId="30448"/>
    <cellStyle name="Normal 7 3 3 2 4 2 3" xfId="16896"/>
    <cellStyle name="Normal 7 3 3 2 4 2 3 2" xfId="33117"/>
    <cellStyle name="Normal 7 3 3 2 4 2 4" xfId="19158"/>
    <cellStyle name="Normal 7 3 3 2 4 2 4 2" xfId="35379"/>
    <cellStyle name="Normal 7 3 3 2 4 2 5" xfId="28692"/>
    <cellStyle name="Normal 7 3 3 2 4 3" xfId="13359"/>
    <cellStyle name="Normal 7 3 3 2 4 3 2" xfId="20914"/>
    <cellStyle name="Normal 7 3 3 2 4 3 2 2" xfId="37135"/>
    <cellStyle name="Normal 7 3 3 2 4 3 3" xfId="30447"/>
    <cellStyle name="Normal 7 3 3 2 4 4" xfId="15311"/>
    <cellStyle name="Normal 7 3 3 2 4 4 2" xfId="31533"/>
    <cellStyle name="Normal 7 3 3 2 4 5" xfId="19157"/>
    <cellStyle name="Normal 7 3 3 2 4 5 2" xfId="35378"/>
    <cellStyle name="Normal 7 3 3 2 4 6" xfId="28691"/>
    <cellStyle name="Normal 7 3 3 2 5" xfId="8762"/>
    <cellStyle name="Normal 7 3 3 2 5 2" xfId="13361"/>
    <cellStyle name="Normal 7 3 3 2 5 2 2" xfId="20916"/>
    <cellStyle name="Normal 7 3 3 2 5 2 2 2" xfId="37137"/>
    <cellStyle name="Normal 7 3 3 2 5 2 3" xfId="30449"/>
    <cellStyle name="Normal 7 3 3 2 5 3" xfId="16104"/>
    <cellStyle name="Normal 7 3 3 2 5 3 2" xfId="32325"/>
    <cellStyle name="Normal 7 3 3 2 5 4" xfId="19159"/>
    <cellStyle name="Normal 7 3 3 2 5 4 2" xfId="35380"/>
    <cellStyle name="Normal 7 3 3 2 5 5" xfId="28693"/>
    <cellStyle name="Normal 7 3 3 2 6" xfId="13350"/>
    <cellStyle name="Normal 7 3 3 2 6 2" xfId="20905"/>
    <cellStyle name="Normal 7 3 3 2 6 2 2" xfId="37126"/>
    <cellStyle name="Normal 7 3 3 2 6 3" xfId="30438"/>
    <cellStyle name="Normal 7 3 3 2 7" xfId="14519"/>
    <cellStyle name="Normal 7 3 3 2 7 2" xfId="30741"/>
    <cellStyle name="Normal 7 3 3 2 8" xfId="19148"/>
    <cellStyle name="Normal 7 3 3 2 8 2" xfId="35369"/>
    <cellStyle name="Normal 7 3 3 2 9" xfId="28682"/>
    <cellStyle name="Normal 7 3 3 3" xfId="8763"/>
    <cellStyle name="Normal 7 3 3 3 2" xfId="8764"/>
    <cellStyle name="Normal 7 3 3 3 2 2" xfId="8765"/>
    <cellStyle name="Normal 7 3 3 3 2 2 2" xfId="13364"/>
    <cellStyle name="Normal 7 3 3 3 2 2 2 2" xfId="20919"/>
    <cellStyle name="Normal 7 3 3 3 2 2 2 2 2" xfId="37140"/>
    <cellStyle name="Normal 7 3 3 3 2 2 2 3" xfId="30452"/>
    <cellStyle name="Normal 7 3 3 3 2 2 3" xfId="17028"/>
    <cellStyle name="Normal 7 3 3 3 2 2 3 2" xfId="33249"/>
    <cellStyle name="Normal 7 3 3 3 2 2 4" xfId="19162"/>
    <cellStyle name="Normal 7 3 3 3 2 2 4 2" xfId="35383"/>
    <cellStyle name="Normal 7 3 3 3 2 2 5" xfId="28696"/>
    <cellStyle name="Normal 7 3 3 3 2 3" xfId="13363"/>
    <cellStyle name="Normal 7 3 3 3 2 3 2" xfId="20918"/>
    <cellStyle name="Normal 7 3 3 3 2 3 2 2" xfId="37139"/>
    <cellStyle name="Normal 7 3 3 3 2 3 3" xfId="30451"/>
    <cellStyle name="Normal 7 3 3 3 2 4" xfId="15443"/>
    <cellStyle name="Normal 7 3 3 3 2 4 2" xfId="31665"/>
    <cellStyle name="Normal 7 3 3 3 2 5" xfId="19161"/>
    <cellStyle name="Normal 7 3 3 3 2 5 2" xfId="35382"/>
    <cellStyle name="Normal 7 3 3 3 2 6" xfId="28695"/>
    <cellStyle name="Normal 7 3 3 3 3" xfId="8766"/>
    <cellStyle name="Normal 7 3 3 3 3 2" xfId="13365"/>
    <cellStyle name="Normal 7 3 3 3 3 2 2" xfId="20920"/>
    <cellStyle name="Normal 7 3 3 3 3 2 2 2" xfId="37141"/>
    <cellStyle name="Normal 7 3 3 3 3 2 3" xfId="30453"/>
    <cellStyle name="Normal 7 3 3 3 3 3" xfId="16236"/>
    <cellStyle name="Normal 7 3 3 3 3 3 2" xfId="32457"/>
    <cellStyle name="Normal 7 3 3 3 3 4" xfId="19163"/>
    <cellStyle name="Normal 7 3 3 3 3 4 2" xfId="35384"/>
    <cellStyle name="Normal 7 3 3 3 3 5" xfId="28697"/>
    <cellStyle name="Normal 7 3 3 3 4" xfId="13362"/>
    <cellStyle name="Normal 7 3 3 3 4 2" xfId="20917"/>
    <cellStyle name="Normal 7 3 3 3 4 2 2" xfId="37138"/>
    <cellStyle name="Normal 7 3 3 3 4 3" xfId="30450"/>
    <cellStyle name="Normal 7 3 3 3 5" xfId="14651"/>
    <cellStyle name="Normal 7 3 3 3 5 2" xfId="30873"/>
    <cellStyle name="Normal 7 3 3 3 6" xfId="19160"/>
    <cellStyle name="Normal 7 3 3 3 6 2" xfId="35381"/>
    <cellStyle name="Normal 7 3 3 3 7" xfId="28694"/>
    <cellStyle name="Normal 7 3 3 4" xfId="8767"/>
    <cellStyle name="Normal 7 3 3 4 2" xfId="8768"/>
    <cellStyle name="Normal 7 3 3 4 2 2" xfId="8769"/>
    <cellStyle name="Normal 7 3 3 4 2 2 2" xfId="13368"/>
    <cellStyle name="Normal 7 3 3 4 2 2 2 2" xfId="20923"/>
    <cellStyle name="Normal 7 3 3 4 2 2 2 2 2" xfId="37144"/>
    <cellStyle name="Normal 7 3 3 4 2 2 2 3" xfId="30456"/>
    <cellStyle name="Normal 7 3 3 4 2 2 3" xfId="17292"/>
    <cellStyle name="Normal 7 3 3 4 2 2 3 2" xfId="33513"/>
    <cellStyle name="Normal 7 3 3 4 2 2 4" xfId="19166"/>
    <cellStyle name="Normal 7 3 3 4 2 2 4 2" xfId="35387"/>
    <cellStyle name="Normal 7 3 3 4 2 2 5" xfId="28700"/>
    <cellStyle name="Normal 7 3 3 4 2 3" xfId="13367"/>
    <cellStyle name="Normal 7 3 3 4 2 3 2" xfId="20922"/>
    <cellStyle name="Normal 7 3 3 4 2 3 2 2" xfId="37143"/>
    <cellStyle name="Normal 7 3 3 4 2 3 3" xfId="30455"/>
    <cellStyle name="Normal 7 3 3 4 2 4" xfId="15707"/>
    <cellStyle name="Normal 7 3 3 4 2 4 2" xfId="31929"/>
    <cellStyle name="Normal 7 3 3 4 2 5" xfId="19165"/>
    <cellStyle name="Normal 7 3 3 4 2 5 2" xfId="35386"/>
    <cellStyle name="Normal 7 3 3 4 2 6" xfId="28699"/>
    <cellStyle name="Normal 7 3 3 4 3" xfId="8770"/>
    <cellStyle name="Normal 7 3 3 4 3 2" xfId="13369"/>
    <cellStyle name="Normal 7 3 3 4 3 2 2" xfId="20924"/>
    <cellStyle name="Normal 7 3 3 4 3 2 2 2" xfId="37145"/>
    <cellStyle name="Normal 7 3 3 4 3 2 3" xfId="30457"/>
    <cellStyle name="Normal 7 3 3 4 3 3" xfId="16500"/>
    <cellStyle name="Normal 7 3 3 4 3 3 2" xfId="32721"/>
    <cellStyle name="Normal 7 3 3 4 3 4" xfId="19167"/>
    <cellStyle name="Normal 7 3 3 4 3 4 2" xfId="35388"/>
    <cellStyle name="Normal 7 3 3 4 3 5" xfId="28701"/>
    <cellStyle name="Normal 7 3 3 4 4" xfId="13366"/>
    <cellStyle name="Normal 7 3 3 4 4 2" xfId="20921"/>
    <cellStyle name="Normal 7 3 3 4 4 2 2" xfId="37142"/>
    <cellStyle name="Normal 7 3 3 4 4 3" xfId="30454"/>
    <cellStyle name="Normal 7 3 3 4 5" xfId="14915"/>
    <cellStyle name="Normal 7 3 3 4 5 2" xfId="31137"/>
    <cellStyle name="Normal 7 3 3 4 6" xfId="19164"/>
    <cellStyle name="Normal 7 3 3 4 6 2" xfId="35385"/>
    <cellStyle name="Normal 7 3 3 4 7" xfId="28698"/>
    <cellStyle name="Normal 7 3 3 5" xfId="8771"/>
    <cellStyle name="Normal 7 3 3 5 2" xfId="8772"/>
    <cellStyle name="Normal 7 3 3 5 2 2" xfId="13371"/>
    <cellStyle name="Normal 7 3 3 5 2 2 2" xfId="20926"/>
    <cellStyle name="Normal 7 3 3 5 2 2 2 2" xfId="37147"/>
    <cellStyle name="Normal 7 3 3 5 2 2 3" xfId="30459"/>
    <cellStyle name="Normal 7 3 3 5 2 3" xfId="16764"/>
    <cellStyle name="Normal 7 3 3 5 2 3 2" xfId="32985"/>
    <cellStyle name="Normal 7 3 3 5 2 4" xfId="19169"/>
    <cellStyle name="Normal 7 3 3 5 2 4 2" xfId="35390"/>
    <cellStyle name="Normal 7 3 3 5 2 5" xfId="28703"/>
    <cellStyle name="Normal 7 3 3 5 3" xfId="13370"/>
    <cellStyle name="Normal 7 3 3 5 3 2" xfId="20925"/>
    <cellStyle name="Normal 7 3 3 5 3 2 2" xfId="37146"/>
    <cellStyle name="Normal 7 3 3 5 3 3" xfId="30458"/>
    <cellStyle name="Normal 7 3 3 5 4" xfId="15179"/>
    <cellStyle name="Normal 7 3 3 5 4 2" xfId="31401"/>
    <cellStyle name="Normal 7 3 3 5 5" xfId="19168"/>
    <cellStyle name="Normal 7 3 3 5 5 2" xfId="35389"/>
    <cellStyle name="Normal 7 3 3 5 6" xfId="28702"/>
    <cellStyle name="Normal 7 3 3 6" xfId="8773"/>
    <cellStyle name="Normal 7 3 3 6 2" xfId="13372"/>
    <cellStyle name="Normal 7 3 3 6 2 2" xfId="20927"/>
    <cellStyle name="Normal 7 3 3 6 2 2 2" xfId="37148"/>
    <cellStyle name="Normal 7 3 3 6 2 3" xfId="30460"/>
    <cellStyle name="Normal 7 3 3 6 3" xfId="15972"/>
    <cellStyle name="Normal 7 3 3 6 3 2" xfId="32193"/>
    <cellStyle name="Normal 7 3 3 6 4" xfId="19170"/>
    <cellStyle name="Normal 7 3 3 6 4 2" xfId="35391"/>
    <cellStyle name="Normal 7 3 3 6 5" xfId="28704"/>
    <cellStyle name="Normal 7 3 3 7" xfId="13349"/>
    <cellStyle name="Normal 7 3 3 7 2" xfId="20904"/>
    <cellStyle name="Normal 7 3 3 7 2 2" xfId="37125"/>
    <cellStyle name="Normal 7 3 3 7 3" xfId="30437"/>
    <cellStyle name="Normal 7 3 3 8" xfId="14387"/>
    <cellStyle name="Normal 7 3 3 8 2" xfId="30609"/>
    <cellStyle name="Normal 7 3 3 9" xfId="19147"/>
    <cellStyle name="Normal 7 3 3 9 2" xfId="35368"/>
    <cellStyle name="Normal 7 3 4" xfId="8774"/>
    <cellStyle name="Normal 7 3 4 2" xfId="8775"/>
    <cellStyle name="Normal 7 3 4 2 2" xfId="8776"/>
    <cellStyle name="Normal 7 3 4 2 2 2" xfId="8777"/>
    <cellStyle name="Normal 7 3 4 2 2 2 2" xfId="13376"/>
    <cellStyle name="Normal 7 3 4 2 2 2 2 2" xfId="20931"/>
    <cellStyle name="Normal 7 3 4 2 2 2 2 2 2" xfId="37152"/>
    <cellStyle name="Normal 7 3 4 2 2 2 2 3" xfId="30464"/>
    <cellStyle name="Normal 7 3 4 2 2 2 3" xfId="17094"/>
    <cellStyle name="Normal 7 3 4 2 2 2 3 2" xfId="33315"/>
    <cellStyle name="Normal 7 3 4 2 2 2 4" xfId="19174"/>
    <cellStyle name="Normal 7 3 4 2 2 2 4 2" xfId="35395"/>
    <cellStyle name="Normal 7 3 4 2 2 2 5" xfId="28708"/>
    <cellStyle name="Normal 7 3 4 2 2 3" xfId="13375"/>
    <cellStyle name="Normal 7 3 4 2 2 3 2" xfId="20930"/>
    <cellStyle name="Normal 7 3 4 2 2 3 2 2" xfId="37151"/>
    <cellStyle name="Normal 7 3 4 2 2 3 3" xfId="30463"/>
    <cellStyle name="Normal 7 3 4 2 2 4" xfId="15509"/>
    <cellStyle name="Normal 7 3 4 2 2 4 2" xfId="31731"/>
    <cellStyle name="Normal 7 3 4 2 2 5" xfId="19173"/>
    <cellStyle name="Normal 7 3 4 2 2 5 2" xfId="35394"/>
    <cellStyle name="Normal 7 3 4 2 2 6" xfId="28707"/>
    <cellStyle name="Normal 7 3 4 2 3" xfId="8778"/>
    <cellStyle name="Normal 7 3 4 2 3 2" xfId="13377"/>
    <cellStyle name="Normal 7 3 4 2 3 2 2" xfId="20932"/>
    <cellStyle name="Normal 7 3 4 2 3 2 2 2" xfId="37153"/>
    <cellStyle name="Normal 7 3 4 2 3 2 3" xfId="30465"/>
    <cellStyle name="Normal 7 3 4 2 3 3" xfId="16302"/>
    <cellStyle name="Normal 7 3 4 2 3 3 2" xfId="32523"/>
    <cellStyle name="Normal 7 3 4 2 3 4" xfId="19175"/>
    <cellStyle name="Normal 7 3 4 2 3 4 2" xfId="35396"/>
    <cellStyle name="Normal 7 3 4 2 3 5" xfId="28709"/>
    <cellStyle name="Normal 7 3 4 2 4" xfId="13374"/>
    <cellStyle name="Normal 7 3 4 2 4 2" xfId="20929"/>
    <cellStyle name="Normal 7 3 4 2 4 2 2" xfId="37150"/>
    <cellStyle name="Normal 7 3 4 2 4 3" xfId="30462"/>
    <cellStyle name="Normal 7 3 4 2 5" xfId="14717"/>
    <cellStyle name="Normal 7 3 4 2 5 2" xfId="30939"/>
    <cellStyle name="Normal 7 3 4 2 6" xfId="19172"/>
    <cellStyle name="Normal 7 3 4 2 6 2" xfId="35393"/>
    <cellStyle name="Normal 7 3 4 2 7" xfId="28706"/>
    <cellStyle name="Normal 7 3 4 3" xfId="8779"/>
    <cellStyle name="Normal 7 3 4 3 2" xfId="8780"/>
    <cellStyle name="Normal 7 3 4 3 2 2" xfId="8781"/>
    <cellStyle name="Normal 7 3 4 3 2 2 2" xfId="13380"/>
    <cellStyle name="Normal 7 3 4 3 2 2 2 2" xfId="20935"/>
    <cellStyle name="Normal 7 3 4 3 2 2 2 2 2" xfId="37156"/>
    <cellStyle name="Normal 7 3 4 3 2 2 2 3" xfId="30468"/>
    <cellStyle name="Normal 7 3 4 3 2 2 3" xfId="17358"/>
    <cellStyle name="Normal 7 3 4 3 2 2 3 2" xfId="33579"/>
    <cellStyle name="Normal 7 3 4 3 2 2 4" xfId="19178"/>
    <cellStyle name="Normal 7 3 4 3 2 2 4 2" xfId="35399"/>
    <cellStyle name="Normal 7 3 4 3 2 2 5" xfId="28712"/>
    <cellStyle name="Normal 7 3 4 3 2 3" xfId="13379"/>
    <cellStyle name="Normal 7 3 4 3 2 3 2" xfId="20934"/>
    <cellStyle name="Normal 7 3 4 3 2 3 2 2" xfId="37155"/>
    <cellStyle name="Normal 7 3 4 3 2 3 3" xfId="30467"/>
    <cellStyle name="Normal 7 3 4 3 2 4" xfId="15773"/>
    <cellStyle name="Normal 7 3 4 3 2 4 2" xfId="31995"/>
    <cellStyle name="Normal 7 3 4 3 2 5" xfId="19177"/>
    <cellStyle name="Normal 7 3 4 3 2 5 2" xfId="35398"/>
    <cellStyle name="Normal 7 3 4 3 2 6" xfId="28711"/>
    <cellStyle name="Normal 7 3 4 3 3" xfId="8782"/>
    <cellStyle name="Normal 7 3 4 3 3 2" xfId="13381"/>
    <cellStyle name="Normal 7 3 4 3 3 2 2" xfId="20936"/>
    <cellStyle name="Normal 7 3 4 3 3 2 2 2" xfId="37157"/>
    <cellStyle name="Normal 7 3 4 3 3 2 3" xfId="30469"/>
    <cellStyle name="Normal 7 3 4 3 3 3" xfId="16566"/>
    <cellStyle name="Normal 7 3 4 3 3 3 2" xfId="32787"/>
    <cellStyle name="Normal 7 3 4 3 3 4" xfId="19179"/>
    <cellStyle name="Normal 7 3 4 3 3 4 2" xfId="35400"/>
    <cellStyle name="Normal 7 3 4 3 3 5" xfId="28713"/>
    <cellStyle name="Normal 7 3 4 3 4" xfId="13378"/>
    <cellStyle name="Normal 7 3 4 3 4 2" xfId="20933"/>
    <cellStyle name="Normal 7 3 4 3 4 2 2" xfId="37154"/>
    <cellStyle name="Normal 7 3 4 3 4 3" xfId="30466"/>
    <cellStyle name="Normal 7 3 4 3 5" xfId="14981"/>
    <cellStyle name="Normal 7 3 4 3 5 2" xfId="31203"/>
    <cellStyle name="Normal 7 3 4 3 6" xfId="19176"/>
    <cellStyle name="Normal 7 3 4 3 6 2" xfId="35397"/>
    <cellStyle name="Normal 7 3 4 3 7" xfId="28710"/>
    <cellStyle name="Normal 7 3 4 4" xfId="8783"/>
    <cellStyle name="Normal 7 3 4 4 2" xfId="8784"/>
    <cellStyle name="Normal 7 3 4 4 2 2" xfId="13383"/>
    <cellStyle name="Normal 7 3 4 4 2 2 2" xfId="20938"/>
    <cellStyle name="Normal 7 3 4 4 2 2 2 2" xfId="37159"/>
    <cellStyle name="Normal 7 3 4 4 2 2 3" xfId="30471"/>
    <cellStyle name="Normal 7 3 4 4 2 3" xfId="16830"/>
    <cellStyle name="Normal 7 3 4 4 2 3 2" xfId="33051"/>
    <cellStyle name="Normal 7 3 4 4 2 4" xfId="19181"/>
    <cellStyle name="Normal 7 3 4 4 2 4 2" xfId="35402"/>
    <cellStyle name="Normal 7 3 4 4 2 5" xfId="28715"/>
    <cellStyle name="Normal 7 3 4 4 3" xfId="13382"/>
    <cellStyle name="Normal 7 3 4 4 3 2" xfId="20937"/>
    <cellStyle name="Normal 7 3 4 4 3 2 2" xfId="37158"/>
    <cellStyle name="Normal 7 3 4 4 3 3" xfId="30470"/>
    <cellStyle name="Normal 7 3 4 4 4" xfId="15245"/>
    <cellStyle name="Normal 7 3 4 4 4 2" xfId="31467"/>
    <cellStyle name="Normal 7 3 4 4 5" xfId="19180"/>
    <cellStyle name="Normal 7 3 4 4 5 2" xfId="35401"/>
    <cellStyle name="Normal 7 3 4 4 6" xfId="28714"/>
    <cellStyle name="Normal 7 3 4 5" xfId="8785"/>
    <cellStyle name="Normal 7 3 4 5 2" xfId="13384"/>
    <cellStyle name="Normal 7 3 4 5 2 2" xfId="20939"/>
    <cellStyle name="Normal 7 3 4 5 2 2 2" xfId="37160"/>
    <cellStyle name="Normal 7 3 4 5 2 3" xfId="30472"/>
    <cellStyle name="Normal 7 3 4 5 3" xfId="16038"/>
    <cellStyle name="Normal 7 3 4 5 3 2" xfId="32259"/>
    <cellStyle name="Normal 7 3 4 5 4" xfId="19182"/>
    <cellStyle name="Normal 7 3 4 5 4 2" xfId="35403"/>
    <cellStyle name="Normal 7 3 4 5 5" xfId="28716"/>
    <cellStyle name="Normal 7 3 4 6" xfId="13373"/>
    <cellStyle name="Normal 7 3 4 6 2" xfId="20928"/>
    <cellStyle name="Normal 7 3 4 6 2 2" xfId="37149"/>
    <cellStyle name="Normal 7 3 4 6 3" xfId="30461"/>
    <cellStyle name="Normal 7 3 4 7" xfId="14453"/>
    <cellStyle name="Normal 7 3 4 7 2" xfId="30675"/>
    <cellStyle name="Normal 7 3 4 8" xfId="19171"/>
    <cellStyle name="Normal 7 3 4 8 2" xfId="35392"/>
    <cellStyle name="Normal 7 3 4 9" xfId="28705"/>
    <cellStyle name="Normal 7 3 5" xfId="8786"/>
    <cellStyle name="Normal 7 3 5 2" xfId="8787"/>
    <cellStyle name="Normal 7 3 5 2 2" xfId="8788"/>
    <cellStyle name="Normal 7 3 5 2 2 2" xfId="13387"/>
    <cellStyle name="Normal 7 3 5 2 2 2 2" xfId="20942"/>
    <cellStyle name="Normal 7 3 5 2 2 2 2 2" xfId="37163"/>
    <cellStyle name="Normal 7 3 5 2 2 2 3" xfId="30475"/>
    <cellStyle name="Normal 7 3 5 2 2 3" xfId="16962"/>
    <cellStyle name="Normal 7 3 5 2 2 3 2" xfId="33183"/>
    <cellStyle name="Normal 7 3 5 2 2 4" xfId="19185"/>
    <cellStyle name="Normal 7 3 5 2 2 4 2" xfId="35406"/>
    <cellStyle name="Normal 7 3 5 2 2 5" xfId="28719"/>
    <cellStyle name="Normal 7 3 5 2 3" xfId="13386"/>
    <cellStyle name="Normal 7 3 5 2 3 2" xfId="20941"/>
    <cellStyle name="Normal 7 3 5 2 3 2 2" xfId="37162"/>
    <cellStyle name="Normal 7 3 5 2 3 3" xfId="30474"/>
    <cellStyle name="Normal 7 3 5 2 4" xfId="15377"/>
    <cellStyle name="Normal 7 3 5 2 4 2" xfId="31599"/>
    <cellStyle name="Normal 7 3 5 2 5" xfId="19184"/>
    <cellStyle name="Normal 7 3 5 2 5 2" xfId="35405"/>
    <cellStyle name="Normal 7 3 5 2 6" xfId="28718"/>
    <cellStyle name="Normal 7 3 5 3" xfId="8789"/>
    <cellStyle name="Normal 7 3 5 3 2" xfId="13388"/>
    <cellStyle name="Normal 7 3 5 3 2 2" xfId="20943"/>
    <cellStyle name="Normal 7 3 5 3 2 2 2" xfId="37164"/>
    <cellStyle name="Normal 7 3 5 3 2 3" xfId="30476"/>
    <cellStyle name="Normal 7 3 5 3 3" xfId="16170"/>
    <cellStyle name="Normal 7 3 5 3 3 2" xfId="32391"/>
    <cellStyle name="Normal 7 3 5 3 4" xfId="19186"/>
    <cellStyle name="Normal 7 3 5 3 4 2" xfId="35407"/>
    <cellStyle name="Normal 7 3 5 3 5" xfId="28720"/>
    <cellStyle name="Normal 7 3 5 4" xfId="13385"/>
    <cellStyle name="Normal 7 3 5 4 2" xfId="20940"/>
    <cellStyle name="Normal 7 3 5 4 2 2" xfId="37161"/>
    <cellStyle name="Normal 7 3 5 4 3" xfId="30473"/>
    <cellStyle name="Normal 7 3 5 5" xfId="14585"/>
    <cellStyle name="Normal 7 3 5 5 2" xfId="30807"/>
    <cellStyle name="Normal 7 3 5 6" xfId="19183"/>
    <cellStyle name="Normal 7 3 5 6 2" xfId="35404"/>
    <cellStyle name="Normal 7 3 5 7" xfId="28717"/>
    <cellStyle name="Normal 7 3 6" xfId="8790"/>
    <cellStyle name="Normal 7 3 6 2" xfId="8791"/>
    <cellStyle name="Normal 7 3 6 2 2" xfId="8792"/>
    <cellStyle name="Normal 7 3 6 2 2 2" xfId="13391"/>
    <cellStyle name="Normal 7 3 6 2 2 2 2" xfId="20946"/>
    <cellStyle name="Normal 7 3 6 2 2 2 2 2" xfId="37167"/>
    <cellStyle name="Normal 7 3 6 2 2 2 3" xfId="30479"/>
    <cellStyle name="Normal 7 3 6 2 2 3" xfId="17226"/>
    <cellStyle name="Normal 7 3 6 2 2 3 2" xfId="33447"/>
    <cellStyle name="Normal 7 3 6 2 2 4" xfId="19189"/>
    <cellStyle name="Normal 7 3 6 2 2 4 2" xfId="35410"/>
    <cellStyle name="Normal 7 3 6 2 2 5" xfId="28723"/>
    <cellStyle name="Normal 7 3 6 2 3" xfId="13390"/>
    <cellStyle name="Normal 7 3 6 2 3 2" xfId="20945"/>
    <cellStyle name="Normal 7 3 6 2 3 2 2" xfId="37166"/>
    <cellStyle name="Normal 7 3 6 2 3 3" xfId="30478"/>
    <cellStyle name="Normal 7 3 6 2 4" xfId="15641"/>
    <cellStyle name="Normal 7 3 6 2 4 2" xfId="31863"/>
    <cellStyle name="Normal 7 3 6 2 5" xfId="19188"/>
    <cellStyle name="Normal 7 3 6 2 5 2" xfId="35409"/>
    <cellStyle name="Normal 7 3 6 2 6" xfId="28722"/>
    <cellStyle name="Normal 7 3 6 3" xfId="8793"/>
    <cellStyle name="Normal 7 3 6 3 2" xfId="13392"/>
    <cellStyle name="Normal 7 3 6 3 2 2" xfId="20947"/>
    <cellStyle name="Normal 7 3 6 3 2 2 2" xfId="37168"/>
    <cellStyle name="Normal 7 3 6 3 2 3" xfId="30480"/>
    <cellStyle name="Normal 7 3 6 3 3" xfId="16434"/>
    <cellStyle name="Normal 7 3 6 3 3 2" xfId="32655"/>
    <cellStyle name="Normal 7 3 6 3 4" xfId="19190"/>
    <cellStyle name="Normal 7 3 6 3 4 2" xfId="35411"/>
    <cellStyle name="Normal 7 3 6 3 5" xfId="28724"/>
    <cellStyle name="Normal 7 3 6 4" xfId="13389"/>
    <cellStyle name="Normal 7 3 6 4 2" xfId="20944"/>
    <cellStyle name="Normal 7 3 6 4 2 2" xfId="37165"/>
    <cellStyle name="Normal 7 3 6 4 3" xfId="30477"/>
    <cellStyle name="Normal 7 3 6 5" xfId="14849"/>
    <cellStyle name="Normal 7 3 6 5 2" xfId="31071"/>
    <cellStyle name="Normal 7 3 6 6" xfId="19187"/>
    <cellStyle name="Normal 7 3 6 6 2" xfId="35408"/>
    <cellStyle name="Normal 7 3 6 7" xfId="28721"/>
    <cellStyle name="Normal 7 3 7" xfId="8794"/>
    <cellStyle name="Normal 7 3 7 2" xfId="8795"/>
    <cellStyle name="Normal 7 3 7 2 2" xfId="13394"/>
    <cellStyle name="Normal 7 3 7 2 2 2" xfId="20949"/>
    <cellStyle name="Normal 7 3 7 2 2 2 2" xfId="37170"/>
    <cellStyle name="Normal 7 3 7 2 2 3" xfId="30482"/>
    <cellStyle name="Normal 7 3 7 2 3" xfId="16698"/>
    <cellStyle name="Normal 7 3 7 2 3 2" xfId="32919"/>
    <cellStyle name="Normal 7 3 7 2 4" xfId="19192"/>
    <cellStyle name="Normal 7 3 7 2 4 2" xfId="35413"/>
    <cellStyle name="Normal 7 3 7 2 5" xfId="28726"/>
    <cellStyle name="Normal 7 3 7 3" xfId="13393"/>
    <cellStyle name="Normal 7 3 7 3 2" xfId="20948"/>
    <cellStyle name="Normal 7 3 7 3 2 2" xfId="37169"/>
    <cellStyle name="Normal 7 3 7 3 3" xfId="30481"/>
    <cellStyle name="Normal 7 3 7 4" xfId="15113"/>
    <cellStyle name="Normal 7 3 7 4 2" xfId="31335"/>
    <cellStyle name="Normal 7 3 7 5" xfId="19191"/>
    <cellStyle name="Normal 7 3 7 5 2" xfId="35412"/>
    <cellStyle name="Normal 7 3 7 6" xfId="28725"/>
    <cellStyle name="Normal 7 3 8" xfId="8796"/>
    <cellStyle name="Normal 7 3 8 2" xfId="13395"/>
    <cellStyle name="Normal 7 3 8 2 2" xfId="20950"/>
    <cellStyle name="Normal 7 3 8 2 2 2" xfId="37171"/>
    <cellStyle name="Normal 7 3 8 2 3" xfId="30483"/>
    <cellStyle name="Normal 7 3 8 3" xfId="15906"/>
    <cellStyle name="Normal 7 3 8 3 2" xfId="32127"/>
    <cellStyle name="Normal 7 3 8 4" xfId="19193"/>
    <cellStyle name="Normal 7 3 8 4 2" xfId="35414"/>
    <cellStyle name="Normal 7 3 8 5" xfId="28727"/>
    <cellStyle name="Normal 7 3 9" xfId="13300"/>
    <cellStyle name="Normal 7 3 9 2" xfId="20855"/>
    <cellStyle name="Normal 7 3 9 2 2" xfId="37076"/>
    <cellStyle name="Normal 7 3 9 3" xfId="30388"/>
    <cellStyle name="Normal 7 4" xfId="1789"/>
    <cellStyle name="Normal 7 4 10" xfId="14319"/>
    <cellStyle name="Normal 7 4 10 2" xfId="30544"/>
    <cellStyle name="Normal 7 4 11" xfId="19194"/>
    <cellStyle name="Normal 7 4 11 2" xfId="35415"/>
    <cellStyle name="Normal 7 4 12" xfId="5685"/>
    <cellStyle name="Normal 7 4 12 2" xfId="27022"/>
    <cellStyle name="Normal 7 4 13" xfId="22459"/>
    <cellStyle name="Normal 7 4 13 2" xfId="38671"/>
    <cellStyle name="Normal 7 4 14" xfId="23957"/>
    <cellStyle name="Normal 7 4 2" xfId="3288"/>
    <cellStyle name="Normal 7 4 2 10" xfId="19195"/>
    <cellStyle name="Normal 7 4 2 10 2" xfId="35416"/>
    <cellStyle name="Normal 7 4 2 11" xfId="8797"/>
    <cellStyle name="Normal 7 4 2 11 2" xfId="28728"/>
    <cellStyle name="Normal 7 4 2 12" xfId="25455"/>
    <cellStyle name="Normal 7 4 2 2" xfId="8798"/>
    <cellStyle name="Normal 7 4 2 2 10" xfId="28729"/>
    <cellStyle name="Normal 7 4 2 2 2" xfId="8799"/>
    <cellStyle name="Normal 7 4 2 2 2 2" xfId="8800"/>
    <cellStyle name="Normal 7 4 2 2 2 2 2" xfId="8801"/>
    <cellStyle name="Normal 7 4 2 2 2 2 2 2" xfId="8802"/>
    <cellStyle name="Normal 7 4 2 2 2 2 2 2 2" xfId="13402"/>
    <cellStyle name="Normal 7 4 2 2 2 2 2 2 2 2" xfId="20957"/>
    <cellStyle name="Normal 7 4 2 2 2 2 2 2 2 2 2" xfId="37178"/>
    <cellStyle name="Normal 7 4 2 2 2 2 2 2 2 3" xfId="30490"/>
    <cellStyle name="Normal 7 4 2 2 2 2 2 2 3" xfId="17194"/>
    <cellStyle name="Normal 7 4 2 2 2 2 2 2 3 2" xfId="33415"/>
    <cellStyle name="Normal 7 4 2 2 2 2 2 2 4" xfId="19200"/>
    <cellStyle name="Normal 7 4 2 2 2 2 2 2 4 2" xfId="35421"/>
    <cellStyle name="Normal 7 4 2 2 2 2 2 2 5" xfId="28733"/>
    <cellStyle name="Normal 7 4 2 2 2 2 2 3" xfId="13401"/>
    <cellStyle name="Normal 7 4 2 2 2 2 2 3 2" xfId="20956"/>
    <cellStyle name="Normal 7 4 2 2 2 2 2 3 2 2" xfId="37177"/>
    <cellStyle name="Normal 7 4 2 2 2 2 2 3 3" xfId="30489"/>
    <cellStyle name="Normal 7 4 2 2 2 2 2 4" xfId="15609"/>
    <cellStyle name="Normal 7 4 2 2 2 2 2 4 2" xfId="31831"/>
    <cellStyle name="Normal 7 4 2 2 2 2 2 5" xfId="19199"/>
    <cellStyle name="Normal 7 4 2 2 2 2 2 5 2" xfId="35420"/>
    <cellStyle name="Normal 7 4 2 2 2 2 2 6" xfId="28732"/>
    <cellStyle name="Normal 7 4 2 2 2 2 3" xfId="8803"/>
    <cellStyle name="Normal 7 4 2 2 2 2 3 2" xfId="13403"/>
    <cellStyle name="Normal 7 4 2 2 2 2 3 2 2" xfId="20958"/>
    <cellStyle name="Normal 7 4 2 2 2 2 3 2 2 2" xfId="37179"/>
    <cellStyle name="Normal 7 4 2 2 2 2 3 2 3" xfId="30491"/>
    <cellStyle name="Normal 7 4 2 2 2 2 3 3" xfId="16402"/>
    <cellStyle name="Normal 7 4 2 2 2 2 3 3 2" xfId="32623"/>
    <cellStyle name="Normal 7 4 2 2 2 2 3 4" xfId="19201"/>
    <cellStyle name="Normal 7 4 2 2 2 2 3 4 2" xfId="35422"/>
    <cellStyle name="Normal 7 4 2 2 2 2 3 5" xfId="28734"/>
    <cellStyle name="Normal 7 4 2 2 2 2 4" xfId="13400"/>
    <cellStyle name="Normal 7 4 2 2 2 2 4 2" xfId="20955"/>
    <cellStyle name="Normal 7 4 2 2 2 2 4 2 2" xfId="37176"/>
    <cellStyle name="Normal 7 4 2 2 2 2 4 3" xfId="30488"/>
    <cellStyle name="Normal 7 4 2 2 2 2 5" xfId="14817"/>
    <cellStyle name="Normal 7 4 2 2 2 2 5 2" xfId="31039"/>
    <cellStyle name="Normal 7 4 2 2 2 2 6" xfId="19198"/>
    <cellStyle name="Normal 7 4 2 2 2 2 6 2" xfId="35419"/>
    <cellStyle name="Normal 7 4 2 2 2 2 7" xfId="28731"/>
    <cellStyle name="Normal 7 4 2 2 2 3" xfId="8804"/>
    <cellStyle name="Normal 7 4 2 2 2 3 2" xfId="8805"/>
    <cellStyle name="Normal 7 4 2 2 2 3 2 2" xfId="8806"/>
    <cellStyle name="Normal 7 4 2 2 2 3 2 2 2" xfId="13406"/>
    <cellStyle name="Normal 7 4 2 2 2 3 2 2 2 2" xfId="20961"/>
    <cellStyle name="Normal 7 4 2 2 2 3 2 2 2 2 2" xfId="37182"/>
    <cellStyle name="Normal 7 4 2 2 2 3 2 2 2 3" xfId="30494"/>
    <cellStyle name="Normal 7 4 2 2 2 3 2 2 3" xfId="17458"/>
    <cellStyle name="Normal 7 4 2 2 2 3 2 2 3 2" xfId="33679"/>
    <cellStyle name="Normal 7 4 2 2 2 3 2 2 4" xfId="19204"/>
    <cellStyle name="Normal 7 4 2 2 2 3 2 2 4 2" xfId="35425"/>
    <cellStyle name="Normal 7 4 2 2 2 3 2 2 5" xfId="28737"/>
    <cellStyle name="Normal 7 4 2 2 2 3 2 3" xfId="13405"/>
    <cellStyle name="Normal 7 4 2 2 2 3 2 3 2" xfId="20960"/>
    <cellStyle name="Normal 7 4 2 2 2 3 2 3 2 2" xfId="37181"/>
    <cellStyle name="Normal 7 4 2 2 2 3 2 3 3" xfId="30493"/>
    <cellStyle name="Normal 7 4 2 2 2 3 2 4" xfId="15873"/>
    <cellStyle name="Normal 7 4 2 2 2 3 2 4 2" xfId="32095"/>
    <cellStyle name="Normal 7 4 2 2 2 3 2 5" xfId="19203"/>
    <cellStyle name="Normal 7 4 2 2 2 3 2 5 2" xfId="35424"/>
    <cellStyle name="Normal 7 4 2 2 2 3 2 6" xfId="28736"/>
    <cellStyle name="Normal 7 4 2 2 2 3 3" xfId="8807"/>
    <cellStyle name="Normal 7 4 2 2 2 3 3 2" xfId="13407"/>
    <cellStyle name="Normal 7 4 2 2 2 3 3 2 2" xfId="20962"/>
    <cellStyle name="Normal 7 4 2 2 2 3 3 2 2 2" xfId="37183"/>
    <cellStyle name="Normal 7 4 2 2 2 3 3 2 3" xfId="30495"/>
    <cellStyle name="Normal 7 4 2 2 2 3 3 3" xfId="16666"/>
    <cellStyle name="Normal 7 4 2 2 2 3 3 3 2" xfId="32887"/>
    <cellStyle name="Normal 7 4 2 2 2 3 3 4" xfId="19205"/>
    <cellStyle name="Normal 7 4 2 2 2 3 3 4 2" xfId="35426"/>
    <cellStyle name="Normal 7 4 2 2 2 3 3 5" xfId="28738"/>
    <cellStyle name="Normal 7 4 2 2 2 3 4" xfId="13404"/>
    <cellStyle name="Normal 7 4 2 2 2 3 4 2" xfId="20959"/>
    <cellStyle name="Normal 7 4 2 2 2 3 4 2 2" xfId="37180"/>
    <cellStyle name="Normal 7 4 2 2 2 3 4 3" xfId="30492"/>
    <cellStyle name="Normal 7 4 2 2 2 3 5" xfId="15081"/>
    <cellStyle name="Normal 7 4 2 2 2 3 5 2" xfId="31303"/>
    <cellStyle name="Normal 7 4 2 2 2 3 6" xfId="19202"/>
    <cellStyle name="Normal 7 4 2 2 2 3 6 2" xfId="35423"/>
    <cellStyle name="Normal 7 4 2 2 2 3 7" xfId="28735"/>
    <cellStyle name="Normal 7 4 2 2 2 4" xfId="8808"/>
    <cellStyle name="Normal 7 4 2 2 2 4 2" xfId="8809"/>
    <cellStyle name="Normal 7 4 2 2 2 4 2 2" xfId="13409"/>
    <cellStyle name="Normal 7 4 2 2 2 4 2 2 2" xfId="20964"/>
    <cellStyle name="Normal 7 4 2 2 2 4 2 2 2 2" xfId="37185"/>
    <cellStyle name="Normal 7 4 2 2 2 4 2 2 3" xfId="30497"/>
    <cellStyle name="Normal 7 4 2 2 2 4 2 3" xfId="16930"/>
    <cellStyle name="Normal 7 4 2 2 2 4 2 3 2" xfId="33151"/>
    <cellStyle name="Normal 7 4 2 2 2 4 2 4" xfId="19207"/>
    <cellStyle name="Normal 7 4 2 2 2 4 2 4 2" xfId="35428"/>
    <cellStyle name="Normal 7 4 2 2 2 4 2 5" xfId="28740"/>
    <cellStyle name="Normal 7 4 2 2 2 4 3" xfId="13408"/>
    <cellStyle name="Normal 7 4 2 2 2 4 3 2" xfId="20963"/>
    <cellStyle name="Normal 7 4 2 2 2 4 3 2 2" xfId="37184"/>
    <cellStyle name="Normal 7 4 2 2 2 4 3 3" xfId="30496"/>
    <cellStyle name="Normal 7 4 2 2 2 4 4" xfId="15345"/>
    <cellStyle name="Normal 7 4 2 2 2 4 4 2" xfId="31567"/>
    <cellStyle name="Normal 7 4 2 2 2 4 5" xfId="19206"/>
    <cellStyle name="Normal 7 4 2 2 2 4 5 2" xfId="35427"/>
    <cellStyle name="Normal 7 4 2 2 2 4 6" xfId="28739"/>
    <cellStyle name="Normal 7 4 2 2 2 5" xfId="8810"/>
    <cellStyle name="Normal 7 4 2 2 2 5 2" xfId="13410"/>
    <cellStyle name="Normal 7 4 2 2 2 5 2 2" xfId="20965"/>
    <cellStyle name="Normal 7 4 2 2 2 5 2 2 2" xfId="37186"/>
    <cellStyle name="Normal 7 4 2 2 2 5 2 3" xfId="30498"/>
    <cellStyle name="Normal 7 4 2 2 2 5 3" xfId="16138"/>
    <cellStyle name="Normal 7 4 2 2 2 5 3 2" xfId="32359"/>
    <cellStyle name="Normal 7 4 2 2 2 5 4" xfId="19208"/>
    <cellStyle name="Normal 7 4 2 2 2 5 4 2" xfId="35429"/>
    <cellStyle name="Normal 7 4 2 2 2 5 5" xfId="28741"/>
    <cellStyle name="Normal 7 4 2 2 2 6" xfId="13399"/>
    <cellStyle name="Normal 7 4 2 2 2 6 2" xfId="20954"/>
    <cellStyle name="Normal 7 4 2 2 2 6 2 2" xfId="37175"/>
    <cellStyle name="Normal 7 4 2 2 2 6 3" xfId="30487"/>
    <cellStyle name="Normal 7 4 2 2 2 7" xfId="14553"/>
    <cellStyle name="Normal 7 4 2 2 2 7 2" xfId="30775"/>
    <cellStyle name="Normal 7 4 2 2 2 8" xfId="19197"/>
    <cellStyle name="Normal 7 4 2 2 2 8 2" xfId="35418"/>
    <cellStyle name="Normal 7 4 2 2 2 9" xfId="28730"/>
    <cellStyle name="Normal 7 4 2 2 3" xfId="8811"/>
    <cellStyle name="Normal 7 4 2 2 3 2" xfId="8812"/>
    <cellStyle name="Normal 7 4 2 2 3 2 2" xfId="8813"/>
    <cellStyle name="Normal 7 4 2 2 3 2 2 2" xfId="13413"/>
    <cellStyle name="Normal 7 4 2 2 3 2 2 2 2" xfId="20968"/>
    <cellStyle name="Normal 7 4 2 2 3 2 2 2 2 2" xfId="37189"/>
    <cellStyle name="Normal 7 4 2 2 3 2 2 2 3" xfId="30501"/>
    <cellStyle name="Normal 7 4 2 2 3 2 2 3" xfId="17062"/>
    <cellStyle name="Normal 7 4 2 2 3 2 2 3 2" xfId="33283"/>
    <cellStyle name="Normal 7 4 2 2 3 2 2 4" xfId="19211"/>
    <cellStyle name="Normal 7 4 2 2 3 2 2 4 2" xfId="35432"/>
    <cellStyle name="Normal 7 4 2 2 3 2 2 5" xfId="28744"/>
    <cellStyle name="Normal 7 4 2 2 3 2 3" xfId="13412"/>
    <cellStyle name="Normal 7 4 2 2 3 2 3 2" xfId="20967"/>
    <cellStyle name="Normal 7 4 2 2 3 2 3 2 2" xfId="37188"/>
    <cellStyle name="Normal 7 4 2 2 3 2 3 3" xfId="30500"/>
    <cellStyle name="Normal 7 4 2 2 3 2 4" xfId="15477"/>
    <cellStyle name="Normal 7 4 2 2 3 2 4 2" xfId="31699"/>
    <cellStyle name="Normal 7 4 2 2 3 2 5" xfId="19210"/>
    <cellStyle name="Normal 7 4 2 2 3 2 5 2" xfId="35431"/>
    <cellStyle name="Normal 7 4 2 2 3 2 6" xfId="28743"/>
    <cellStyle name="Normal 7 4 2 2 3 3" xfId="8814"/>
    <cellStyle name="Normal 7 4 2 2 3 3 2" xfId="13414"/>
    <cellStyle name="Normal 7 4 2 2 3 3 2 2" xfId="20969"/>
    <cellStyle name="Normal 7 4 2 2 3 3 2 2 2" xfId="37190"/>
    <cellStyle name="Normal 7 4 2 2 3 3 2 3" xfId="30502"/>
    <cellStyle name="Normal 7 4 2 2 3 3 3" xfId="16270"/>
    <cellStyle name="Normal 7 4 2 2 3 3 3 2" xfId="32491"/>
    <cellStyle name="Normal 7 4 2 2 3 3 4" xfId="19212"/>
    <cellStyle name="Normal 7 4 2 2 3 3 4 2" xfId="35433"/>
    <cellStyle name="Normal 7 4 2 2 3 3 5" xfId="28745"/>
    <cellStyle name="Normal 7 4 2 2 3 4" xfId="13411"/>
    <cellStyle name="Normal 7 4 2 2 3 4 2" xfId="20966"/>
    <cellStyle name="Normal 7 4 2 2 3 4 2 2" xfId="37187"/>
    <cellStyle name="Normal 7 4 2 2 3 4 3" xfId="30499"/>
    <cellStyle name="Normal 7 4 2 2 3 5" xfId="14685"/>
    <cellStyle name="Normal 7 4 2 2 3 5 2" xfId="30907"/>
    <cellStyle name="Normal 7 4 2 2 3 6" xfId="19209"/>
    <cellStyle name="Normal 7 4 2 2 3 6 2" xfId="35430"/>
    <cellStyle name="Normal 7 4 2 2 3 7" xfId="28742"/>
    <cellStyle name="Normal 7 4 2 2 4" xfId="8815"/>
    <cellStyle name="Normal 7 4 2 2 4 2" xfId="8816"/>
    <cellStyle name="Normal 7 4 2 2 4 2 2" xfId="8817"/>
    <cellStyle name="Normal 7 4 2 2 4 2 2 2" xfId="13417"/>
    <cellStyle name="Normal 7 4 2 2 4 2 2 2 2" xfId="20972"/>
    <cellStyle name="Normal 7 4 2 2 4 2 2 2 2 2" xfId="37193"/>
    <cellStyle name="Normal 7 4 2 2 4 2 2 2 3" xfId="30505"/>
    <cellStyle name="Normal 7 4 2 2 4 2 2 3" xfId="17326"/>
    <cellStyle name="Normal 7 4 2 2 4 2 2 3 2" xfId="33547"/>
    <cellStyle name="Normal 7 4 2 2 4 2 2 4" xfId="19215"/>
    <cellStyle name="Normal 7 4 2 2 4 2 2 4 2" xfId="35436"/>
    <cellStyle name="Normal 7 4 2 2 4 2 2 5" xfId="28748"/>
    <cellStyle name="Normal 7 4 2 2 4 2 3" xfId="13416"/>
    <cellStyle name="Normal 7 4 2 2 4 2 3 2" xfId="20971"/>
    <cellStyle name="Normal 7 4 2 2 4 2 3 2 2" xfId="37192"/>
    <cellStyle name="Normal 7 4 2 2 4 2 3 3" xfId="30504"/>
    <cellStyle name="Normal 7 4 2 2 4 2 4" xfId="15741"/>
    <cellStyle name="Normal 7 4 2 2 4 2 4 2" xfId="31963"/>
    <cellStyle name="Normal 7 4 2 2 4 2 5" xfId="19214"/>
    <cellStyle name="Normal 7 4 2 2 4 2 5 2" xfId="35435"/>
    <cellStyle name="Normal 7 4 2 2 4 2 6" xfId="28747"/>
    <cellStyle name="Normal 7 4 2 2 4 3" xfId="8818"/>
    <cellStyle name="Normal 7 4 2 2 4 3 2" xfId="13418"/>
    <cellStyle name="Normal 7 4 2 2 4 3 2 2" xfId="20973"/>
    <cellStyle name="Normal 7 4 2 2 4 3 2 2 2" xfId="37194"/>
    <cellStyle name="Normal 7 4 2 2 4 3 2 3" xfId="30506"/>
    <cellStyle name="Normal 7 4 2 2 4 3 3" xfId="16534"/>
    <cellStyle name="Normal 7 4 2 2 4 3 3 2" xfId="32755"/>
    <cellStyle name="Normal 7 4 2 2 4 3 4" xfId="19216"/>
    <cellStyle name="Normal 7 4 2 2 4 3 4 2" xfId="35437"/>
    <cellStyle name="Normal 7 4 2 2 4 3 5" xfId="28749"/>
    <cellStyle name="Normal 7 4 2 2 4 4" xfId="13415"/>
    <cellStyle name="Normal 7 4 2 2 4 4 2" xfId="20970"/>
    <cellStyle name="Normal 7 4 2 2 4 4 2 2" xfId="37191"/>
    <cellStyle name="Normal 7 4 2 2 4 4 3" xfId="30503"/>
    <cellStyle name="Normal 7 4 2 2 4 5" xfId="14949"/>
    <cellStyle name="Normal 7 4 2 2 4 5 2" xfId="31171"/>
    <cellStyle name="Normal 7 4 2 2 4 6" xfId="19213"/>
    <cellStyle name="Normal 7 4 2 2 4 6 2" xfId="35434"/>
    <cellStyle name="Normal 7 4 2 2 4 7" xfId="28746"/>
    <cellStyle name="Normal 7 4 2 2 5" xfId="8819"/>
    <cellStyle name="Normal 7 4 2 2 5 2" xfId="8820"/>
    <cellStyle name="Normal 7 4 2 2 5 2 2" xfId="13420"/>
    <cellStyle name="Normal 7 4 2 2 5 2 2 2" xfId="20975"/>
    <cellStyle name="Normal 7 4 2 2 5 2 2 2 2" xfId="37196"/>
    <cellStyle name="Normal 7 4 2 2 5 2 2 3" xfId="30508"/>
    <cellStyle name="Normal 7 4 2 2 5 2 3" xfId="16798"/>
    <cellStyle name="Normal 7 4 2 2 5 2 3 2" xfId="33019"/>
    <cellStyle name="Normal 7 4 2 2 5 2 4" xfId="19218"/>
    <cellStyle name="Normal 7 4 2 2 5 2 4 2" xfId="35439"/>
    <cellStyle name="Normal 7 4 2 2 5 2 5" xfId="28751"/>
    <cellStyle name="Normal 7 4 2 2 5 3" xfId="13419"/>
    <cellStyle name="Normal 7 4 2 2 5 3 2" xfId="20974"/>
    <cellStyle name="Normal 7 4 2 2 5 3 2 2" xfId="37195"/>
    <cellStyle name="Normal 7 4 2 2 5 3 3" xfId="30507"/>
    <cellStyle name="Normal 7 4 2 2 5 4" xfId="15213"/>
    <cellStyle name="Normal 7 4 2 2 5 4 2" xfId="31435"/>
    <cellStyle name="Normal 7 4 2 2 5 5" xfId="19217"/>
    <cellStyle name="Normal 7 4 2 2 5 5 2" xfId="35438"/>
    <cellStyle name="Normal 7 4 2 2 5 6" xfId="28750"/>
    <cellStyle name="Normal 7 4 2 2 6" xfId="8821"/>
    <cellStyle name="Normal 7 4 2 2 6 2" xfId="13421"/>
    <cellStyle name="Normal 7 4 2 2 6 3" xfId="16006"/>
    <cellStyle name="Normal 7 4 2 2 6 3 2" xfId="32227"/>
    <cellStyle name="Normal 7 4 2 2 7" xfId="13398"/>
    <cellStyle name="Normal 7 4 2 2 7 2" xfId="20953"/>
    <cellStyle name="Normal 7 4 2 2 7 2 2" xfId="37174"/>
    <cellStyle name="Normal 7 4 2 2 7 3" xfId="30486"/>
    <cellStyle name="Normal 7 4 2 2 8" xfId="14421"/>
    <cellStyle name="Normal 7 4 2 2 8 2" xfId="30643"/>
    <cellStyle name="Normal 7 4 2 2 9" xfId="19196"/>
    <cellStyle name="Normal 7 4 2 2 9 2" xfId="35417"/>
    <cellStyle name="Normal 7 4 2 3" xfId="8822"/>
    <cellStyle name="Normal 7 4 2 3 2" xfId="8823"/>
    <cellStyle name="Normal 7 4 2 3 2 2" xfId="8824"/>
    <cellStyle name="Normal 7 4 2 3 2 2 2" xfId="8825"/>
    <cellStyle name="Normal 7 4 2 3 2 2 2 2" xfId="13425"/>
    <cellStyle name="Normal 7 4 2 3 2 2 2 3" xfId="17128"/>
    <cellStyle name="Normal 7 4 2 3 2 2 2 3 2" xfId="33349"/>
    <cellStyle name="Normal 7 4 2 3 2 2 3" xfId="13424"/>
    <cellStyle name="Normal 7 4 2 3 2 2 4" xfId="15543"/>
    <cellStyle name="Normal 7 4 2 3 2 2 4 2" xfId="31765"/>
    <cellStyle name="Normal 7 4 2 3 2 3" xfId="8826"/>
    <cellStyle name="Normal 7 4 2 3 2 3 2" xfId="13426"/>
    <cellStyle name="Normal 7 4 2 3 2 3 3" xfId="16336"/>
    <cellStyle name="Normal 7 4 2 3 2 3 3 2" xfId="32557"/>
    <cellStyle name="Normal 7 4 2 3 2 4" xfId="13423"/>
    <cellStyle name="Normal 7 4 2 3 2 5" xfId="14751"/>
    <cellStyle name="Normal 7 4 2 3 2 5 2" xfId="30973"/>
    <cellStyle name="Normal 7 4 2 3 3" xfId="8827"/>
    <cellStyle name="Normal 7 4 2 3 3 2" xfId="8828"/>
    <cellStyle name="Normal 7 4 2 3 3 2 2" xfId="8829"/>
    <cellStyle name="Normal 7 4 2 3 3 2 2 2" xfId="13429"/>
    <cellStyle name="Normal 7 4 2 3 3 2 2 3" xfId="17392"/>
    <cellStyle name="Normal 7 4 2 3 3 2 2 3 2" xfId="33613"/>
    <cellStyle name="Normal 7 4 2 3 3 2 3" xfId="13428"/>
    <cellStyle name="Normal 7 4 2 3 3 2 4" xfId="15807"/>
    <cellStyle name="Normal 7 4 2 3 3 2 4 2" xfId="32029"/>
    <cellStyle name="Normal 7 4 2 3 3 3" xfId="8830"/>
    <cellStyle name="Normal 7 4 2 3 3 3 2" xfId="13430"/>
    <cellStyle name="Normal 7 4 2 3 3 3 3" xfId="16600"/>
    <cellStyle name="Normal 7 4 2 3 3 3 3 2" xfId="32821"/>
    <cellStyle name="Normal 7 4 2 3 3 4" xfId="13427"/>
    <cellStyle name="Normal 7 4 2 3 3 5" xfId="15015"/>
    <cellStyle name="Normal 7 4 2 3 3 5 2" xfId="31237"/>
    <cellStyle name="Normal 7 4 2 3 4" xfId="8831"/>
    <cellStyle name="Normal 7 4 2 3 4 2" xfId="8832"/>
    <cellStyle name="Normal 7 4 2 3 4 2 2" xfId="13432"/>
    <cellStyle name="Normal 7 4 2 3 4 2 3" xfId="16864"/>
    <cellStyle name="Normal 7 4 2 3 4 2 3 2" xfId="33085"/>
    <cellStyle name="Normal 7 4 2 3 4 3" xfId="13431"/>
    <cellStyle name="Normal 7 4 2 3 4 4" xfId="15279"/>
    <cellStyle name="Normal 7 4 2 3 4 4 2" xfId="31501"/>
    <cellStyle name="Normal 7 4 2 3 5" xfId="8833"/>
    <cellStyle name="Normal 7 4 2 3 5 2" xfId="13433"/>
    <cellStyle name="Normal 7 4 2 3 5 3" xfId="16072"/>
    <cellStyle name="Normal 7 4 2 3 5 3 2" xfId="32293"/>
    <cellStyle name="Normal 7 4 2 3 6" xfId="13422"/>
    <cellStyle name="Normal 7 4 2 3 7" xfId="14487"/>
    <cellStyle name="Normal 7 4 2 3 7 2" xfId="30709"/>
    <cellStyle name="Normal 7 4 2 4" xfId="8834"/>
    <cellStyle name="Normal 7 4 2 4 2" xfId="8835"/>
    <cellStyle name="Normal 7 4 2 4 2 2" xfId="8836"/>
    <cellStyle name="Normal 7 4 2 4 2 2 2" xfId="13436"/>
    <cellStyle name="Normal 7 4 2 4 2 2 3" xfId="16996"/>
    <cellStyle name="Normal 7 4 2 4 2 2 3 2" xfId="33217"/>
    <cellStyle name="Normal 7 4 2 4 2 3" xfId="13435"/>
    <cellStyle name="Normal 7 4 2 4 2 4" xfId="15411"/>
    <cellStyle name="Normal 7 4 2 4 2 4 2" xfId="31633"/>
    <cellStyle name="Normal 7 4 2 4 3" xfId="8837"/>
    <cellStyle name="Normal 7 4 2 4 3 2" xfId="13437"/>
    <cellStyle name="Normal 7 4 2 4 3 3" xfId="16204"/>
    <cellStyle name="Normal 7 4 2 4 3 3 2" xfId="32425"/>
    <cellStyle name="Normal 7 4 2 4 4" xfId="13434"/>
    <cellStyle name="Normal 7 4 2 4 5" xfId="14619"/>
    <cellStyle name="Normal 7 4 2 4 5 2" xfId="30841"/>
    <cellStyle name="Normal 7 4 2 5" xfId="8838"/>
    <cellStyle name="Normal 7 4 2 5 2" xfId="8839"/>
    <cellStyle name="Normal 7 4 2 5 2 2" xfId="8840"/>
    <cellStyle name="Normal 7 4 2 5 2 2 2" xfId="13440"/>
    <cellStyle name="Normal 7 4 2 5 2 2 3" xfId="17260"/>
    <cellStyle name="Normal 7 4 2 5 2 2 3 2" xfId="33481"/>
    <cellStyle name="Normal 7 4 2 5 2 3" xfId="13439"/>
    <cellStyle name="Normal 7 4 2 5 2 4" xfId="15675"/>
    <cellStyle name="Normal 7 4 2 5 2 4 2" xfId="31897"/>
    <cellStyle name="Normal 7 4 2 5 3" xfId="8841"/>
    <cellStyle name="Normal 7 4 2 5 3 2" xfId="13441"/>
    <cellStyle name="Normal 7 4 2 5 3 3" xfId="16468"/>
    <cellStyle name="Normal 7 4 2 5 3 3 2" xfId="32689"/>
    <cellStyle name="Normal 7 4 2 5 4" xfId="13438"/>
    <cellStyle name="Normal 7 4 2 5 5" xfId="14883"/>
    <cellStyle name="Normal 7 4 2 5 5 2" xfId="31105"/>
    <cellStyle name="Normal 7 4 2 6" xfId="8842"/>
    <cellStyle name="Normal 7 4 2 6 2" xfId="8843"/>
    <cellStyle name="Normal 7 4 2 6 2 2" xfId="13443"/>
    <cellStyle name="Normal 7 4 2 6 2 3" xfId="16732"/>
    <cellStyle name="Normal 7 4 2 6 2 3 2" xfId="32953"/>
    <cellStyle name="Normal 7 4 2 6 3" xfId="13442"/>
    <cellStyle name="Normal 7 4 2 6 4" xfId="15147"/>
    <cellStyle name="Normal 7 4 2 6 4 2" xfId="31369"/>
    <cellStyle name="Normal 7 4 2 7" xfId="8844"/>
    <cellStyle name="Normal 7 4 2 7 2" xfId="13444"/>
    <cellStyle name="Normal 7 4 2 7 3" xfId="15940"/>
    <cellStyle name="Normal 7 4 2 7 3 2" xfId="32161"/>
    <cellStyle name="Normal 7 4 2 8" xfId="13397"/>
    <cellStyle name="Normal 7 4 2 8 2" xfId="20952"/>
    <cellStyle name="Normal 7 4 2 8 2 2" xfId="37173"/>
    <cellStyle name="Normal 7 4 2 8 3" xfId="30485"/>
    <cellStyle name="Normal 7 4 2 9" xfId="14355"/>
    <cellStyle name="Normal 7 4 2 9 2" xfId="30577"/>
    <cellStyle name="Normal 7 4 3" xfId="4786"/>
    <cellStyle name="Normal 7 4 3 10" xfId="26953"/>
    <cellStyle name="Normal 7 4 3 2" xfId="8846"/>
    <cellStyle name="Normal 7 4 3 2 2" xfId="8847"/>
    <cellStyle name="Normal 7 4 3 2 2 2" xfId="8848"/>
    <cellStyle name="Normal 7 4 3 2 2 2 2" xfId="8849"/>
    <cellStyle name="Normal 7 4 3 2 2 2 2 2" xfId="13449"/>
    <cellStyle name="Normal 7 4 3 2 2 2 2 3" xfId="17161"/>
    <cellStyle name="Normal 7 4 3 2 2 2 2 3 2" xfId="33382"/>
    <cellStyle name="Normal 7 4 3 2 2 2 3" xfId="13448"/>
    <cellStyle name="Normal 7 4 3 2 2 2 4" xfId="15576"/>
    <cellStyle name="Normal 7 4 3 2 2 2 4 2" xfId="31798"/>
    <cellStyle name="Normal 7 4 3 2 2 3" xfId="8850"/>
    <cellStyle name="Normal 7 4 3 2 2 3 2" xfId="13450"/>
    <cellStyle name="Normal 7 4 3 2 2 3 3" xfId="16369"/>
    <cellStyle name="Normal 7 4 3 2 2 3 3 2" xfId="32590"/>
    <cellStyle name="Normal 7 4 3 2 2 4" xfId="13447"/>
    <cellStyle name="Normal 7 4 3 2 2 5" xfId="14784"/>
    <cellStyle name="Normal 7 4 3 2 2 5 2" xfId="31006"/>
    <cellStyle name="Normal 7 4 3 2 3" xfId="8851"/>
    <cellStyle name="Normal 7 4 3 2 3 2" xfId="8852"/>
    <cellStyle name="Normal 7 4 3 2 3 2 2" xfId="8853"/>
    <cellStyle name="Normal 7 4 3 2 3 2 2 2" xfId="13453"/>
    <cellStyle name="Normal 7 4 3 2 3 2 2 3" xfId="17425"/>
    <cellStyle name="Normal 7 4 3 2 3 2 2 3 2" xfId="33646"/>
    <cellStyle name="Normal 7 4 3 2 3 2 3" xfId="13452"/>
    <cellStyle name="Normal 7 4 3 2 3 2 4" xfId="15840"/>
    <cellStyle name="Normal 7 4 3 2 3 2 4 2" xfId="32062"/>
    <cellStyle name="Normal 7 4 3 2 3 3" xfId="8854"/>
    <cellStyle name="Normal 7 4 3 2 3 3 2" xfId="13454"/>
    <cellStyle name="Normal 7 4 3 2 3 3 3" xfId="16633"/>
    <cellStyle name="Normal 7 4 3 2 3 3 3 2" xfId="32854"/>
    <cellStyle name="Normal 7 4 3 2 3 4" xfId="13451"/>
    <cellStyle name="Normal 7 4 3 2 3 5" xfId="15048"/>
    <cellStyle name="Normal 7 4 3 2 3 5 2" xfId="31270"/>
    <cellStyle name="Normal 7 4 3 2 4" xfId="8855"/>
    <cellStyle name="Normal 7 4 3 2 4 2" xfId="8856"/>
    <cellStyle name="Normal 7 4 3 2 4 2 2" xfId="13456"/>
    <cellStyle name="Normal 7 4 3 2 4 2 3" xfId="16897"/>
    <cellStyle name="Normal 7 4 3 2 4 2 3 2" xfId="33118"/>
    <cellStyle name="Normal 7 4 3 2 4 3" xfId="13455"/>
    <cellStyle name="Normal 7 4 3 2 4 4" xfId="15312"/>
    <cellStyle name="Normal 7 4 3 2 4 4 2" xfId="31534"/>
    <cellStyle name="Normal 7 4 3 2 5" xfId="8857"/>
    <cellStyle name="Normal 7 4 3 2 5 2" xfId="13457"/>
    <cellStyle name="Normal 7 4 3 2 5 3" xfId="16105"/>
    <cellStyle name="Normal 7 4 3 2 5 3 2" xfId="32326"/>
    <cellStyle name="Normal 7 4 3 2 6" xfId="13446"/>
    <cellStyle name="Normal 7 4 3 2 7" xfId="14520"/>
    <cellStyle name="Normal 7 4 3 2 7 2" xfId="30742"/>
    <cellStyle name="Normal 7 4 3 3" xfId="8858"/>
    <cellStyle name="Normal 7 4 3 3 2" xfId="8859"/>
    <cellStyle name="Normal 7 4 3 3 2 2" xfId="8860"/>
    <cellStyle name="Normal 7 4 3 3 2 2 2" xfId="13460"/>
    <cellStyle name="Normal 7 4 3 3 2 2 3" xfId="17029"/>
    <cellStyle name="Normal 7 4 3 3 2 2 3 2" xfId="33250"/>
    <cellStyle name="Normal 7 4 3 3 2 3" xfId="13459"/>
    <cellStyle name="Normal 7 4 3 3 2 4" xfId="15444"/>
    <cellStyle name="Normal 7 4 3 3 2 4 2" xfId="31666"/>
    <cellStyle name="Normal 7 4 3 3 3" xfId="8861"/>
    <cellStyle name="Normal 7 4 3 3 3 2" xfId="13461"/>
    <cellStyle name="Normal 7 4 3 3 3 3" xfId="16237"/>
    <cellStyle name="Normal 7 4 3 3 3 3 2" xfId="32458"/>
    <cellStyle name="Normal 7 4 3 3 4" xfId="13458"/>
    <cellStyle name="Normal 7 4 3 3 5" xfId="14652"/>
    <cellStyle name="Normal 7 4 3 3 5 2" xfId="30874"/>
    <cellStyle name="Normal 7 4 3 4" xfId="8862"/>
    <cellStyle name="Normal 7 4 3 4 2" xfId="8863"/>
    <cellStyle name="Normal 7 4 3 4 2 2" xfId="8864"/>
    <cellStyle name="Normal 7 4 3 4 2 2 2" xfId="13464"/>
    <cellStyle name="Normal 7 4 3 4 2 2 3" xfId="17293"/>
    <cellStyle name="Normal 7 4 3 4 2 2 3 2" xfId="33514"/>
    <cellStyle name="Normal 7 4 3 4 2 3" xfId="13463"/>
    <cellStyle name="Normal 7 4 3 4 2 4" xfId="15708"/>
    <cellStyle name="Normal 7 4 3 4 2 4 2" xfId="31930"/>
    <cellStyle name="Normal 7 4 3 4 3" xfId="8865"/>
    <cellStyle name="Normal 7 4 3 4 3 2" xfId="13465"/>
    <cellStyle name="Normal 7 4 3 4 3 3" xfId="16501"/>
    <cellStyle name="Normal 7 4 3 4 3 3 2" xfId="32722"/>
    <cellStyle name="Normal 7 4 3 4 4" xfId="13462"/>
    <cellStyle name="Normal 7 4 3 4 5" xfId="14916"/>
    <cellStyle name="Normal 7 4 3 4 5 2" xfId="31138"/>
    <cellStyle name="Normal 7 4 3 5" xfId="8866"/>
    <cellStyle name="Normal 7 4 3 5 2" xfId="8867"/>
    <cellStyle name="Normal 7 4 3 5 2 2" xfId="13467"/>
    <cellStyle name="Normal 7 4 3 5 2 3" xfId="16765"/>
    <cellStyle name="Normal 7 4 3 5 2 3 2" xfId="32986"/>
    <cellStyle name="Normal 7 4 3 5 3" xfId="13466"/>
    <cellStyle name="Normal 7 4 3 5 4" xfId="15180"/>
    <cellStyle name="Normal 7 4 3 5 4 2" xfId="31402"/>
    <cellStyle name="Normal 7 4 3 6" xfId="8868"/>
    <cellStyle name="Normal 7 4 3 6 2" xfId="13468"/>
    <cellStyle name="Normal 7 4 3 6 3" xfId="15973"/>
    <cellStyle name="Normal 7 4 3 6 3 2" xfId="32194"/>
    <cellStyle name="Normal 7 4 3 7" xfId="13445"/>
    <cellStyle name="Normal 7 4 3 8" xfId="14388"/>
    <cellStyle name="Normal 7 4 3 8 2" xfId="30610"/>
    <cellStyle name="Normal 7 4 3 9" xfId="8845"/>
    <cellStyle name="Normal 7 4 4" xfId="8869"/>
    <cellStyle name="Normal 7 4 4 2" xfId="8870"/>
    <cellStyle name="Normal 7 4 4 2 2" xfId="8871"/>
    <cellStyle name="Normal 7 4 4 2 2 2" xfId="8872"/>
    <cellStyle name="Normal 7 4 4 2 2 2 2" xfId="13472"/>
    <cellStyle name="Normal 7 4 4 2 2 2 3" xfId="17095"/>
    <cellStyle name="Normal 7 4 4 2 2 2 3 2" xfId="33316"/>
    <cellStyle name="Normal 7 4 4 2 2 3" xfId="13471"/>
    <cellStyle name="Normal 7 4 4 2 2 4" xfId="15510"/>
    <cellStyle name="Normal 7 4 4 2 2 4 2" xfId="31732"/>
    <cellStyle name="Normal 7 4 4 2 3" xfId="8873"/>
    <cellStyle name="Normal 7 4 4 2 3 2" xfId="13473"/>
    <cellStyle name="Normal 7 4 4 2 3 3" xfId="16303"/>
    <cellStyle name="Normal 7 4 4 2 3 3 2" xfId="32524"/>
    <cellStyle name="Normal 7 4 4 2 4" xfId="13470"/>
    <cellStyle name="Normal 7 4 4 2 5" xfId="14718"/>
    <cellStyle name="Normal 7 4 4 2 5 2" xfId="30940"/>
    <cellStyle name="Normal 7 4 4 3" xfId="8874"/>
    <cellStyle name="Normal 7 4 4 3 2" xfId="8875"/>
    <cellStyle name="Normal 7 4 4 3 2 2" xfId="8876"/>
    <cellStyle name="Normal 7 4 4 3 2 2 2" xfId="13476"/>
    <cellStyle name="Normal 7 4 4 3 2 2 3" xfId="17359"/>
    <cellStyle name="Normal 7 4 4 3 2 2 3 2" xfId="33580"/>
    <cellStyle name="Normal 7 4 4 3 2 3" xfId="13475"/>
    <cellStyle name="Normal 7 4 4 3 2 4" xfId="15774"/>
    <cellStyle name="Normal 7 4 4 3 2 4 2" xfId="31996"/>
    <cellStyle name="Normal 7 4 4 3 3" xfId="8877"/>
    <cellStyle name="Normal 7 4 4 3 3 2" xfId="13477"/>
    <cellStyle name="Normal 7 4 4 3 3 3" xfId="16567"/>
    <cellStyle name="Normal 7 4 4 3 3 3 2" xfId="32788"/>
    <cellStyle name="Normal 7 4 4 3 4" xfId="13474"/>
    <cellStyle name="Normal 7 4 4 3 5" xfId="14982"/>
    <cellStyle name="Normal 7 4 4 3 5 2" xfId="31204"/>
    <cellStyle name="Normal 7 4 4 4" xfId="8878"/>
    <cellStyle name="Normal 7 4 4 4 2" xfId="8879"/>
    <cellStyle name="Normal 7 4 4 4 2 2" xfId="13479"/>
    <cellStyle name="Normal 7 4 4 4 2 3" xfId="16831"/>
    <cellStyle name="Normal 7 4 4 4 2 3 2" xfId="33052"/>
    <cellStyle name="Normal 7 4 4 4 3" xfId="13478"/>
    <cellStyle name="Normal 7 4 4 4 4" xfId="15246"/>
    <cellStyle name="Normal 7 4 4 4 4 2" xfId="31468"/>
    <cellStyle name="Normal 7 4 4 5" xfId="8880"/>
    <cellStyle name="Normal 7 4 4 5 2" xfId="13480"/>
    <cellStyle name="Normal 7 4 4 5 3" xfId="16039"/>
    <cellStyle name="Normal 7 4 4 5 3 2" xfId="32260"/>
    <cellStyle name="Normal 7 4 4 6" xfId="13469"/>
    <cellStyle name="Normal 7 4 4 7" xfId="14454"/>
    <cellStyle name="Normal 7 4 4 7 2" xfId="30676"/>
    <cellStyle name="Normal 7 4 5" xfId="8881"/>
    <cellStyle name="Normal 7 4 5 2" xfId="8882"/>
    <cellStyle name="Normal 7 4 5 2 2" xfId="8883"/>
    <cellStyle name="Normal 7 4 5 2 2 2" xfId="13483"/>
    <cellStyle name="Normal 7 4 5 2 2 3" xfId="16963"/>
    <cellStyle name="Normal 7 4 5 2 2 3 2" xfId="33184"/>
    <cellStyle name="Normal 7 4 5 2 3" xfId="13482"/>
    <cellStyle name="Normal 7 4 5 2 4" xfId="15378"/>
    <cellStyle name="Normal 7 4 5 2 4 2" xfId="31600"/>
    <cellStyle name="Normal 7 4 5 3" xfId="8884"/>
    <cellStyle name="Normal 7 4 5 3 2" xfId="13484"/>
    <cellStyle name="Normal 7 4 5 3 3" xfId="16171"/>
    <cellStyle name="Normal 7 4 5 3 3 2" xfId="32392"/>
    <cellStyle name="Normal 7 4 5 4" xfId="13481"/>
    <cellStyle name="Normal 7 4 5 5" xfId="14586"/>
    <cellStyle name="Normal 7 4 5 5 2" xfId="30808"/>
    <cellStyle name="Normal 7 4 6" xfId="8885"/>
    <cellStyle name="Normal 7 4 6 2" xfId="8886"/>
    <cellStyle name="Normal 7 4 6 2 2" xfId="8887"/>
    <cellStyle name="Normal 7 4 6 2 2 2" xfId="13487"/>
    <cellStyle name="Normal 7 4 6 2 2 3" xfId="17227"/>
    <cellStyle name="Normal 7 4 6 2 2 3 2" xfId="33448"/>
    <cellStyle name="Normal 7 4 6 2 3" xfId="13486"/>
    <cellStyle name="Normal 7 4 6 2 4" xfId="15642"/>
    <cellStyle name="Normal 7 4 6 2 4 2" xfId="31864"/>
    <cellStyle name="Normal 7 4 6 3" xfId="8888"/>
    <cellStyle name="Normal 7 4 6 3 2" xfId="13488"/>
    <cellStyle name="Normal 7 4 6 3 3" xfId="16435"/>
    <cellStyle name="Normal 7 4 6 3 3 2" xfId="32656"/>
    <cellStyle name="Normal 7 4 6 4" xfId="13485"/>
    <cellStyle name="Normal 7 4 6 5" xfId="14850"/>
    <cellStyle name="Normal 7 4 6 5 2" xfId="31072"/>
    <cellStyle name="Normal 7 4 7" xfId="8889"/>
    <cellStyle name="Normal 7 4 7 2" xfId="8890"/>
    <cellStyle name="Normal 7 4 7 2 2" xfId="13490"/>
    <cellStyle name="Normal 7 4 7 2 3" xfId="16699"/>
    <cellStyle name="Normal 7 4 7 2 3 2" xfId="32920"/>
    <cellStyle name="Normal 7 4 7 3" xfId="13489"/>
    <cellStyle name="Normal 7 4 7 4" xfId="15114"/>
    <cellStyle name="Normal 7 4 7 4 2" xfId="31336"/>
    <cellStyle name="Normal 7 4 8" xfId="8891"/>
    <cellStyle name="Normal 7 4 8 2" xfId="13491"/>
    <cellStyle name="Normal 7 4 8 3" xfId="15907"/>
    <cellStyle name="Normal 7 4 8 3 2" xfId="32128"/>
    <cellStyle name="Normal 7 4 9" xfId="13396"/>
    <cellStyle name="Normal 7 4 9 2" xfId="20951"/>
    <cellStyle name="Normal 7 4 9 2 2" xfId="37172"/>
    <cellStyle name="Normal 7 4 9 3" xfId="30484"/>
    <cellStyle name="Normal 7 5" xfId="1835"/>
    <cellStyle name="Normal 7 5 2" xfId="13492"/>
    <cellStyle name="Normal 7 5 3" xfId="5686"/>
    <cellStyle name="Normal 7 5 4" xfId="24003"/>
    <cellStyle name="Normal 7 6" xfId="3334"/>
    <cellStyle name="Normal 7 6 10" xfId="8892"/>
    <cellStyle name="Normal 7 6 11" xfId="25501"/>
    <cellStyle name="Normal 7 6 2" xfId="8893"/>
    <cellStyle name="Normal 7 6 2 2" xfId="8894"/>
    <cellStyle name="Normal 7 6 2 2 2" xfId="8895"/>
    <cellStyle name="Normal 7 6 2 2 2 2" xfId="8896"/>
    <cellStyle name="Normal 7 6 2 2 2 2 2" xfId="8897"/>
    <cellStyle name="Normal 7 6 2 2 2 2 2 2" xfId="13498"/>
    <cellStyle name="Normal 7 6 2 2 2 2 2 3" xfId="17195"/>
    <cellStyle name="Normal 7 6 2 2 2 2 2 3 2" xfId="33416"/>
    <cellStyle name="Normal 7 6 2 2 2 2 3" xfId="13497"/>
    <cellStyle name="Normal 7 6 2 2 2 2 4" xfId="15610"/>
    <cellStyle name="Normal 7 6 2 2 2 2 4 2" xfId="31832"/>
    <cellStyle name="Normal 7 6 2 2 2 3" xfId="8898"/>
    <cellStyle name="Normal 7 6 2 2 2 3 2" xfId="13499"/>
    <cellStyle name="Normal 7 6 2 2 2 3 3" xfId="16403"/>
    <cellStyle name="Normal 7 6 2 2 2 3 3 2" xfId="32624"/>
    <cellStyle name="Normal 7 6 2 2 2 4" xfId="13496"/>
    <cellStyle name="Normal 7 6 2 2 2 5" xfId="14818"/>
    <cellStyle name="Normal 7 6 2 2 2 5 2" xfId="31040"/>
    <cellStyle name="Normal 7 6 2 2 3" xfId="8899"/>
    <cellStyle name="Normal 7 6 2 2 3 2" xfId="8900"/>
    <cellStyle name="Normal 7 6 2 2 3 2 2" xfId="8901"/>
    <cellStyle name="Normal 7 6 2 2 3 2 2 2" xfId="13502"/>
    <cellStyle name="Normal 7 6 2 2 3 2 2 3" xfId="17459"/>
    <cellStyle name="Normal 7 6 2 2 3 2 2 3 2" xfId="33680"/>
    <cellStyle name="Normal 7 6 2 2 3 2 3" xfId="13501"/>
    <cellStyle name="Normal 7 6 2 2 3 2 4" xfId="15874"/>
    <cellStyle name="Normal 7 6 2 2 3 2 4 2" xfId="32096"/>
    <cellStyle name="Normal 7 6 2 2 3 3" xfId="8902"/>
    <cellStyle name="Normal 7 6 2 2 3 3 2" xfId="13503"/>
    <cellStyle name="Normal 7 6 2 2 3 3 3" xfId="16667"/>
    <cellStyle name="Normal 7 6 2 2 3 3 3 2" xfId="32888"/>
    <cellStyle name="Normal 7 6 2 2 3 4" xfId="13500"/>
    <cellStyle name="Normal 7 6 2 2 3 5" xfId="15082"/>
    <cellStyle name="Normal 7 6 2 2 3 5 2" xfId="31304"/>
    <cellStyle name="Normal 7 6 2 2 4" xfId="8903"/>
    <cellStyle name="Normal 7 6 2 2 4 2" xfId="8904"/>
    <cellStyle name="Normal 7 6 2 2 4 2 2" xfId="13505"/>
    <cellStyle name="Normal 7 6 2 2 4 2 3" xfId="16931"/>
    <cellStyle name="Normal 7 6 2 2 4 2 3 2" xfId="33152"/>
    <cellStyle name="Normal 7 6 2 2 4 3" xfId="13504"/>
    <cellStyle name="Normal 7 6 2 2 4 4" xfId="15346"/>
    <cellStyle name="Normal 7 6 2 2 4 4 2" xfId="31568"/>
    <cellStyle name="Normal 7 6 2 2 5" xfId="8905"/>
    <cellStyle name="Normal 7 6 2 2 5 2" xfId="13506"/>
    <cellStyle name="Normal 7 6 2 2 5 3" xfId="16139"/>
    <cellStyle name="Normal 7 6 2 2 5 3 2" xfId="32360"/>
    <cellStyle name="Normal 7 6 2 2 6" xfId="13495"/>
    <cellStyle name="Normal 7 6 2 2 7" xfId="14554"/>
    <cellStyle name="Normal 7 6 2 2 7 2" xfId="30776"/>
    <cellStyle name="Normal 7 6 2 3" xfId="8906"/>
    <cellStyle name="Normal 7 6 2 3 2" xfId="8907"/>
    <cellStyle name="Normal 7 6 2 3 2 2" xfId="8908"/>
    <cellStyle name="Normal 7 6 2 3 2 2 2" xfId="13509"/>
    <cellStyle name="Normal 7 6 2 3 2 2 3" xfId="17063"/>
    <cellStyle name="Normal 7 6 2 3 2 2 3 2" xfId="33284"/>
    <cellStyle name="Normal 7 6 2 3 2 3" xfId="13508"/>
    <cellStyle name="Normal 7 6 2 3 2 4" xfId="15478"/>
    <cellStyle name="Normal 7 6 2 3 2 4 2" xfId="31700"/>
    <cellStyle name="Normal 7 6 2 3 3" xfId="8909"/>
    <cellStyle name="Normal 7 6 2 3 3 2" xfId="13510"/>
    <cellStyle name="Normal 7 6 2 3 3 3" xfId="16271"/>
    <cellStyle name="Normal 7 6 2 3 3 3 2" xfId="32492"/>
    <cellStyle name="Normal 7 6 2 3 4" xfId="13507"/>
    <cellStyle name="Normal 7 6 2 3 5" xfId="14686"/>
    <cellStyle name="Normal 7 6 2 3 5 2" xfId="30908"/>
    <cellStyle name="Normal 7 6 2 4" xfId="8910"/>
    <cellStyle name="Normal 7 6 2 4 2" xfId="8911"/>
    <cellStyle name="Normal 7 6 2 4 2 2" xfId="8912"/>
    <cellStyle name="Normal 7 6 2 4 2 2 2" xfId="13513"/>
    <cellStyle name="Normal 7 6 2 4 2 2 3" xfId="17327"/>
    <cellStyle name="Normal 7 6 2 4 2 2 3 2" xfId="33548"/>
    <cellStyle name="Normal 7 6 2 4 2 3" xfId="13512"/>
    <cellStyle name="Normal 7 6 2 4 2 4" xfId="15742"/>
    <cellStyle name="Normal 7 6 2 4 2 4 2" xfId="31964"/>
    <cellStyle name="Normal 7 6 2 4 3" xfId="8913"/>
    <cellStyle name="Normal 7 6 2 4 3 2" xfId="13514"/>
    <cellStyle name="Normal 7 6 2 4 3 3" xfId="16535"/>
    <cellStyle name="Normal 7 6 2 4 3 3 2" xfId="32756"/>
    <cellStyle name="Normal 7 6 2 4 4" xfId="13511"/>
    <cellStyle name="Normal 7 6 2 4 5" xfId="14950"/>
    <cellStyle name="Normal 7 6 2 4 5 2" xfId="31172"/>
    <cellStyle name="Normal 7 6 2 5" xfId="8914"/>
    <cellStyle name="Normal 7 6 2 5 2" xfId="8915"/>
    <cellStyle name="Normal 7 6 2 5 2 2" xfId="13516"/>
    <cellStyle name="Normal 7 6 2 5 2 3" xfId="16799"/>
    <cellStyle name="Normal 7 6 2 5 2 3 2" xfId="33020"/>
    <cellStyle name="Normal 7 6 2 5 3" xfId="13515"/>
    <cellStyle name="Normal 7 6 2 5 4" xfId="15214"/>
    <cellStyle name="Normal 7 6 2 5 4 2" xfId="31436"/>
    <cellStyle name="Normal 7 6 2 6" xfId="8916"/>
    <cellStyle name="Normal 7 6 2 6 2" xfId="13517"/>
    <cellStyle name="Normal 7 6 2 6 3" xfId="16007"/>
    <cellStyle name="Normal 7 6 2 6 3 2" xfId="32228"/>
    <cellStyle name="Normal 7 6 2 7" xfId="13494"/>
    <cellStyle name="Normal 7 6 2 8" xfId="14422"/>
    <cellStyle name="Normal 7 6 2 8 2" xfId="30644"/>
    <cellStyle name="Normal 7 6 3" xfId="8917"/>
    <cellStyle name="Normal 7 6 3 2" xfId="8918"/>
    <cellStyle name="Normal 7 6 3 2 2" xfId="8919"/>
    <cellStyle name="Normal 7 6 3 2 2 2" xfId="8920"/>
    <cellStyle name="Normal 7 6 3 2 2 2 2" xfId="13521"/>
    <cellStyle name="Normal 7 6 3 2 2 2 3" xfId="17129"/>
    <cellStyle name="Normal 7 6 3 2 2 2 3 2" xfId="33350"/>
    <cellStyle name="Normal 7 6 3 2 2 3" xfId="13520"/>
    <cellStyle name="Normal 7 6 3 2 2 4" xfId="15544"/>
    <cellStyle name="Normal 7 6 3 2 2 4 2" xfId="31766"/>
    <cellStyle name="Normal 7 6 3 2 3" xfId="8921"/>
    <cellStyle name="Normal 7 6 3 2 3 2" xfId="13522"/>
    <cellStyle name="Normal 7 6 3 2 3 3" xfId="16337"/>
    <cellStyle name="Normal 7 6 3 2 3 3 2" xfId="32558"/>
    <cellStyle name="Normal 7 6 3 2 4" xfId="13519"/>
    <cellStyle name="Normal 7 6 3 2 5" xfId="14752"/>
    <cellStyle name="Normal 7 6 3 2 5 2" xfId="30974"/>
    <cellStyle name="Normal 7 6 3 3" xfId="8922"/>
    <cellStyle name="Normal 7 6 3 3 2" xfId="8923"/>
    <cellStyle name="Normal 7 6 3 3 2 2" xfId="8924"/>
    <cellStyle name="Normal 7 6 3 3 2 2 2" xfId="13525"/>
    <cellStyle name="Normal 7 6 3 3 2 2 3" xfId="17393"/>
    <cellStyle name="Normal 7 6 3 3 2 2 3 2" xfId="33614"/>
    <cellStyle name="Normal 7 6 3 3 2 3" xfId="13524"/>
    <cellStyle name="Normal 7 6 3 3 2 4" xfId="15808"/>
    <cellStyle name="Normal 7 6 3 3 2 4 2" xfId="32030"/>
    <cellStyle name="Normal 7 6 3 3 3" xfId="8925"/>
    <cellStyle name="Normal 7 6 3 3 3 2" xfId="13526"/>
    <cellStyle name="Normal 7 6 3 3 3 3" xfId="16601"/>
    <cellStyle name="Normal 7 6 3 3 3 3 2" xfId="32822"/>
    <cellStyle name="Normal 7 6 3 3 4" xfId="13523"/>
    <cellStyle name="Normal 7 6 3 3 5" xfId="15016"/>
    <cellStyle name="Normal 7 6 3 3 5 2" xfId="31238"/>
    <cellStyle name="Normal 7 6 3 4" xfId="8926"/>
    <cellStyle name="Normal 7 6 3 4 2" xfId="8927"/>
    <cellStyle name="Normal 7 6 3 4 2 2" xfId="13528"/>
    <cellStyle name="Normal 7 6 3 4 2 3" xfId="16865"/>
    <cellStyle name="Normal 7 6 3 4 2 3 2" xfId="33086"/>
    <cellStyle name="Normal 7 6 3 4 3" xfId="13527"/>
    <cellStyle name="Normal 7 6 3 4 4" xfId="15280"/>
    <cellStyle name="Normal 7 6 3 4 4 2" xfId="31502"/>
    <cellStyle name="Normal 7 6 3 5" xfId="8928"/>
    <cellStyle name="Normal 7 6 3 5 2" xfId="13529"/>
    <cellStyle name="Normal 7 6 3 5 3" xfId="16073"/>
    <cellStyle name="Normal 7 6 3 5 3 2" xfId="32294"/>
    <cellStyle name="Normal 7 6 3 6" xfId="13518"/>
    <cellStyle name="Normal 7 6 3 7" xfId="14488"/>
    <cellStyle name="Normal 7 6 3 7 2" xfId="30710"/>
    <cellStyle name="Normal 7 6 4" xfId="8929"/>
    <cellStyle name="Normal 7 6 4 2" xfId="8930"/>
    <cellStyle name="Normal 7 6 4 2 2" xfId="8931"/>
    <cellStyle name="Normal 7 6 4 2 2 2" xfId="13532"/>
    <cellStyle name="Normal 7 6 4 2 2 3" xfId="16997"/>
    <cellStyle name="Normal 7 6 4 2 2 3 2" xfId="33218"/>
    <cellStyle name="Normal 7 6 4 2 3" xfId="13531"/>
    <cellStyle name="Normal 7 6 4 2 4" xfId="15412"/>
    <cellStyle name="Normal 7 6 4 2 4 2" xfId="31634"/>
    <cellStyle name="Normal 7 6 4 3" xfId="8932"/>
    <cellStyle name="Normal 7 6 4 3 2" xfId="13533"/>
    <cellStyle name="Normal 7 6 4 3 3" xfId="16205"/>
    <cellStyle name="Normal 7 6 4 3 3 2" xfId="32426"/>
    <cellStyle name="Normal 7 6 4 4" xfId="13530"/>
    <cellStyle name="Normal 7 6 4 5" xfId="14620"/>
    <cellStyle name="Normal 7 6 4 5 2" xfId="30842"/>
    <cellStyle name="Normal 7 6 5" xfId="8933"/>
    <cellStyle name="Normal 7 6 5 2" xfId="8934"/>
    <cellStyle name="Normal 7 6 5 2 2" xfId="8935"/>
    <cellStyle name="Normal 7 6 5 2 2 2" xfId="13536"/>
    <cellStyle name="Normal 7 6 5 2 2 3" xfId="17261"/>
    <cellStyle name="Normal 7 6 5 2 2 3 2" xfId="33482"/>
    <cellStyle name="Normal 7 6 5 2 3" xfId="13535"/>
    <cellStyle name="Normal 7 6 5 2 4" xfId="15676"/>
    <cellStyle name="Normal 7 6 5 2 4 2" xfId="31898"/>
    <cellStyle name="Normal 7 6 5 3" xfId="8936"/>
    <cellStyle name="Normal 7 6 5 3 2" xfId="13537"/>
    <cellStyle name="Normal 7 6 5 3 3" xfId="16469"/>
    <cellStyle name="Normal 7 6 5 3 3 2" xfId="32690"/>
    <cellStyle name="Normal 7 6 5 4" xfId="13534"/>
    <cellStyle name="Normal 7 6 5 5" xfId="14884"/>
    <cellStyle name="Normal 7 6 5 5 2" xfId="31106"/>
    <cellStyle name="Normal 7 6 6" xfId="8937"/>
    <cellStyle name="Normal 7 6 6 2" xfId="8938"/>
    <cellStyle name="Normal 7 6 6 2 2" xfId="13539"/>
    <cellStyle name="Normal 7 6 6 2 3" xfId="16733"/>
    <cellStyle name="Normal 7 6 6 2 3 2" xfId="32954"/>
    <cellStyle name="Normal 7 6 6 3" xfId="13538"/>
    <cellStyle name="Normal 7 6 6 4" xfId="15148"/>
    <cellStyle name="Normal 7 6 6 4 2" xfId="31370"/>
    <cellStyle name="Normal 7 6 7" xfId="8939"/>
    <cellStyle name="Normal 7 6 7 2" xfId="13540"/>
    <cellStyle name="Normal 7 6 7 3" xfId="15941"/>
    <cellStyle name="Normal 7 6 7 3 2" xfId="32162"/>
    <cellStyle name="Normal 7 6 8" xfId="13493"/>
    <cellStyle name="Normal 7 6 9" xfId="14356"/>
    <cellStyle name="Normal 7 6 9 2" xfId="30578"/>
    <cellStyle name="Normal 7 7" xfId="8940"/>
    <cellStyle name="Normal 7 7 2" xfId="8941"/>
    <cellStyle name="Normal 7 7 2 2" xfId="8942"/>
    <cellStyle name="Normal 7 7 2 2 2" xfId="8943"/>
    <cellStyle name="Normal 7 7 2 2 2 2" xfId="8944"/>
    <cellStyle name="Normal 7 7 2 2 2 2 2" xfId="13545"/>
    <cellStyle name="Normal 7 7 2 2 2 2 3" xfId="17162"/>
    <cellStyle name="Normal 7 7 2 2 2 2 3 2" xfId="33383"/>
    <cellStyle name="Normal 7 7 2 2 2 3" xfId="13544"/>
    <cellStyle name="Normal 7 7 2 2 2 4" xfId="15577"/>
    <cellStyle name="Normal 7 7 2 2 2 4 2" xfId="31799"/>
    <cellStyle name="Normal 7 7 2 2 3" xfId="8945"/>
    <cellStyle name="Normal 7 7 2 2 3 2" xfId="13546"/>
    <cellStyle name="Normal 7 7 2 2 3 3" xfId="16370"/>
    <cellStyle name="Normal 7 7 2 2 3 3 2" xfId="32591"/>
    <cellStyle name="Normal 7 7 2 2 4" xfId="13543"/>
    <cellStyle name="Normal 7 7 2 2 5" xfId="14785"/>
    <cellStyle name="Normal 7 7 2 2 5 2" xfId="31007"/>
    <cellStyle name="Normal 7 7 2 3" xfId="8946"/>
    <cellStyle name="Normal 7 7 2 3 2" xfId="8947"/>
    <cellStyle name="Normal 7 7 2 3 2 2" xfId="8948"/>
    <cellStyle name="Normal 7 7 2 3 2 2 2" xfId="13549"/>
    <cellStyle name="Normal 7 7 2 3 2 2 3" xfId="17426"/>
    <cellStyle name="Normal 7 7 2 3 2 2 3 2" xfId="33647"/>
    <cellStyle name="Normal 7 7 2 3 2 3" xfId="13548"/>
    <cellStyle name="Normal 7 7 2 3 2 4" xfId="15841"/>
    <cellStyle name="Normal 7 7 2 3 2 4 2" xfId="32063"/>
    <cellStyle name="Normal 7 7 2 3 3" xfId="8949"/>
    <cellStyle name="Normal 7 7 2 3 3 2" xfId="13550"/>
    <cellStyle name="Normal 7 7 2 3 3 3" xfId="16634"/>
    <cellStyle name="Normal 7 7 2 3 3 3 2" xfId="32855"/>
    <cellStyle name="Normal 7 7 2 3 4" xfId="13547"/>
    <cellStyle name="Normal 7 7 2 3 5" xfId="15049"/>
    <cellStyle name="Normal 7 7 2 3 5 2" xfId="31271"/>
    <cellStyle name="Normal 7 7 2 4" xfId="8950"/>
    <cellStyle name="Normal 7 7 2 4 2" xfId="8951"/>
    <cellStyle name="Normal 7 7 2 4 2 2" xfId="13552"/>
    <cellStyle name="Normal 7 7 2 4 2 3" xfId="16898"/>
    <cellStyle name="Normal 7 7 2 4 2 3 2" xfId="33119"/>
    <cellStyle name="Normal 7 7 2 4 3" xfId="13551"/>
    <cellStyle name="Normal 7 7 2 4 4" xfId="15313"/>
    <cellStyle name="Normal 7 7 2 4 4 2" xfId="31535"/>
    <cellStyle name="Normal 7 7 2 5" xfId="8952"/>
    <cellStyle name="Normal 7 7 2 5 2" xfId="13553"/>
    <cellStyle name="Normal 7 7 2 5 3" xfId="16106"/>
    <cellStyle name="Normal 7 7 2 5 3 2" xfId="32327"/>
    <cellStyle name="Normal 7 7 2 6" xfId="13542"/>
    <cellStyle name="Normal 7 7 2 7" xfId="14521"/>
    <cellStyle name="Normal 7 7 2 7 2" xfId="30743"/>
    <cellStyle name="Normal 7 7 3" xfId="8953"/>
    <cellStyle name="Normal 7 7 3 2" xfId="8954"/>
    <cellStyle name="Normal 7 7 3 2 2" xfId="8955"/>
    <cellStyle name="Normal 7 7 3 2 2 2" xfId="13556"/>
    <cellStyle name="Normal 7 7 3 2 2 3" xfId="17030"/>
    <cellStyle name="Normal 7 7 3 2 2 3 2" xfId="33251"/>
    <cellStyle name="Normal 7 7 3 2 3" xfId="13555"/>
    <cellStyle name="Normal 7 7 3 2 4" xfId="15445"/>
    <cellStyle name="Normal 7 7 3 2 4 2" xfId="31667"/>
    <cellStyle name="Normal 7 7 3 3" xfId="8956"/>
    <cellStyle name="Normal 7 7 3 3 2" xfId="13557"/>
    <cellStyle name="Normal 7 7 3 3 3" xfId="16238"/>
    <cellStyle name="Normal 7 7 3 3 3 2" xfId="32459"/>
    <cellStyle name="Normal 7 7 3 4" xfId="13554"/>
    <cellStyle name="Normal 7 7 3 5" xfId="14653"/>
    <cellStyle name="Normal 7 7 3 5 2" xfId="30875"/>
    <cellStyle name="Normal 7 7 4" xfId="8957"/>
    <cellStyle name="Normal 7 7 4 2" xfId="8958"/>
    <cellStyle name="Normal 7 7 4 2 2" xfId="8959"/>
    <cellStyle name="Normal 7 7 4 2 2 2" xfId="13560"/>
    <cellStyle name="Normal 7 7 4 2 2 3" xfId="17294"/>
    <cellStyle name="Normal 7 7 4 2 2 3 2" xfId="33515"/>
    <cellStyle name="Normal 7 7 4 2 3" xfId="13559"/>
    <cellStyle name="Normal 7 7 4 2 4" xfId="15709"/>
    <cellStyle name="Normal 7 7 4 2 4 2" xfId="31931"/>
    <cellStyle name="Normal 7 7 4 3" xfId="8960"/>
    <cellStyle name="Normal 7 7 4 3 2" xfId="13561"/>
    <cellStyle name="Normal 7 7 4 3 3" xfId="16502"/>
    <cellStyle name="Normal 7 7 4 3 3 2" xfId="32723"/>
    <cellStyle name="Normal 7 7 4 4" xfId="13558"/>
    <cellStyle name="Normal 7 7 4 5" xfId="14917"/>
    <cellStyle name="Normal 7 7 4 5 2" xfId="31139"/>
    <cellStyle name="Normal 7 7 5" xfId="8961"/>
    <cellStyle name="Normal 7 7 5 2" xfId="8962"/>
    <cellStyle name="Normal 7 7 5 2 2" xfId="13563"/>
    <cellStyle name="Normal 7 7 5 2 3" xfId="16766"/>
    <cellStyle name="Normal 7 7 5 2 3 2" xfId="32987"/>
    <cellStyle name="Normal 7 7 5 3" xfId="13562"/>
    <cellStyle name="Normal 7 7 5 4" xfId="15181"/>
    <cellStyle name="Normal 7 7 5 4 2" xfId="31403"/>
    <cellStyle name="Normal 7 7 6" xfId="8963"/>
    <cellStyle name="Normal 7 7 6 2" xfId="13564"/>
    <cellStyle name="Normal 7 7 6 3" xfId="15974"/>
    <cellStyle name="Normal 7 7 6 3 2" xfId="32195"/>
    <cellStyle name="Normal 7 7 7" xfId="13541"/>
    <cellStyle name="Normal 7 7 8" xfId="14389"/>
    <cellStyle name="Normal 7 7 8 2" xfId="30611"/>
    <cellStyle name="Normal 7 8" xfId="8964"/>
    <cellStyle name="Normal 7 8 2" xfId="8965"/>
    <cellStyle name="Normal 7 8 2 2" xfId="8966"/>
    <cellStyle name="Normal 7 8 2 2 2" xfId="8967"/>
    <cellStyle name="Normal 7 8 2 2 2 2" xfId="13568"/>
    <cellStyle name="Normal 7 8 2 2 2 3" xfId="17096"/>
    <cellStyle name="Normal 7 8 2 2 2 3 2" xfId="33317"/>
    <cellStyle name="Normal 7 8 2 2 3" xfId="13567"/>
    <cellStyle name="Normal 7 8 2 2 4" xfId="15511"/>
    <cellStyle name="Normal 7 8 2 2 4 2" xfId="31733"/>
    <cellStyle name="Normal 7 8 2 3" xfId="8968"/>
    <cellStyle name="Normal 7 8 2 3 2" xfId="13569"/>
    <cellStyle name="Normal 7 8 2 3 3" xfId="16304"/>
    <cellStyle name="Normal 7 8 2 3 3 2" xfId="32525"/>
    <cellStyle name="Normal 7 8 2 4" xfId="13566"/>
    <cellStyle name="Normal 7 8 2 5" xfId="14719"/>
    <cellStyle name="Normal 7 8 2 5 2" xfId="30941"/>
    <cellStyle name="Normal 7 8 3" xfId="8969"/>
    <cellStyle name="Normal 7 8 3 2" xfId="8970"/>
    <cellStyle name="Normal 7 8 3 2 2" xfId="8971"/>
    <cellStyle name="Normal 7 8 3 2 2 2" xfId="13572"/>
    <cellStyle name="Normal 7 8 3 2 2 3" xfId="17360"/>
    <cellStyle name="Normal 7 8 3 2 2 3 2" xfId="33581"/>
    <cellStyle name="Normal 7 8 3 2 3" xfId="13571"/>
    <cellStyle name="Normal 7 8 3 2 4" xfId="15775"/>
    <cellStyle name="Normal 7 8 3 2 4 2" xfId="31997"/>
    <cellStyle name="Normal 7 8 3 3" xfId="8972"/>
    <cellStyle name="Normal 7 8 3 3 2" xfId="13573"/>
    <cellStyle name="Normal 7 8 3 3 3" xfId="16568"/>
    <cellStyle name="Normal 7 8 3 3 3 2" xfId="32789"/>
    <cellStyle name="Normal 7 8 3 4" xfId="13570"/>
    <cellStyle name="Normal 7 8 3 5" xfId="14983"/>
    <cellStyle name="Normal 7 8 3 5 2" xfId="31205"/>
    <cellStyle name="Normal 7 8 4" xfId="8973"/>
    <cellStyle name="Normal 7 8 4 2" xfId="8974"/>
    <cellStyle name="Normal 7 8 4 2 2" xfId="13575"/>
    <cellStyle name="Normal 7 8 4 2 3" xfId="16832"/>
    <cellStyle name="Normal 7 8 4 2 3 2" xfId="33053"/>
    <cellStyle name="Normal 7 8 4 3" xfId="13574"/>
    <cellStyle name="Normal 7 8 4 4" xfId="15247"/>
    <cellStyle name="Normal 7 8 4 4 2" xfId="31469"/>
    <cellStyle name="Normal 7 8 5" xfId="8975"/>
    <cellStyle name="Normal 7 8 5 2" xfId="13576"/>
    <cellStyle name="Normal 7 8 5 3" xfId="16040"/>
    <cellStyle name="Normal 7 8 5 3 2" xfId="32261"/>
    <cellStyle name="Normal 7 8 6" xfId="13565"/>
    <cellStyle name="Normal 7 8 7" xfId="14455"/>
    <cellStyle name="Normal 7 8 7 2" xfId="30677"/>
    <cellStyle name="Normal 7 9" xfId="8976"/>
    <cellStyle name="Normal 7 9 2" xfId="8977"/>
    <cellStyle name="Normal 7 9 2 2" xfId="8978"/>
    <cellStyle name="Normal 7 9 2 2 2" xfId="13579"/>
    <cellStyle name="Normal 7 9 2 2 3" xfId="16964"/>
    <cellStyle name="Normal 7 9 2 2 3 2" xfId="33185"/>
    <cellStyle name="Normal 7 9 2 3" xfId="13578"/>
    <cellStyle name="Normal 7 9 2 4" xfId="15379"/>
    <cellStyle name="Normal 7 9 2 4 2" xfId="31601"/>
    <cellStyle name="Normal 7 9 3" xfId="8979"/>
    <cellStyle name="Normal 7 9 3 2" xfId="13580"/>
    <cellStyle name="Normal 7 9 3 3" xfId="16172"/>
    <cellStyle name="Normal 7 9 3 3 2" xfId="32393"/>
    <cellStyle name="Normal 7 9 4" xfId="13577"/>
    <cellStyle name="Normal 7 9 5" xfId="14587"/>
    <cellStyle name="Normal 7 9 5 2" xfId="30809"/>
    <cellStyle name="Normal 8" xfId="215"/>
    <cellStyle name="Normal 8 10" xfId="511"/>
    <cellStyle name="Normal 8 10 2" xfId="863"/>
    <cellStyle name="Normal 8 10 2 2" xfId="2362"/>
    <cellStyle name="Normal 8 10 2 2 2" xfId="24530"/>
    <cellStyle name="Normal 8 10 2 3" xfId="3861"/>
    <cellStyle name="Normal 8 10 2 3 2" xfId="26028"/>
    <cellStyle name="Normal 8 10 2 4" xfId="21534"/>
    <cellStyle name="Normal 8 10 2 4 2" xfId="37746"/>
    <cellStyle name="Normal 8 10 2 5" xfId="23032"/>
    <cellStyle name="Normal 8 10 3" xfId="1214"/>
    <cellStyle name="Normal 8 10 3 2" xfId="2713"/>
    <cellStyle name="Normal 8 10 3 2 2" xfId="24881"/>
    <cellStyle name="Normal 8 10 3 3" xfId="4212"/>
    <cellStyle name="Normal 8 10 3 3 2" xfId="26379"/>
    <cellStyle name="Normal 8 10 3 4" xfId="21885"/>
    <cellStyle name="Normal 8 10 3 4 2" xfId="38097"/>
    <cellStyle name="Normal 8 10 3 5" xfId="23383"/>
    <cellStyle name="Normal 8 10 4" xfId="1565"/>
    <cellStyle name="Normal 8 10 4 2" xfId="3064"/>
    <cellStyle name="Normal 8 10 4 2 2" xfId="25232"/>
    <cellStyle name="Normal 8 10 4 3" xfId="4563"/>
    <cellStyle name="Normal 8 10 4 3 2" xfId="26730"/>
    <cellStyle name="Normal 8 10 4 4" xfId="22236"/>
    <cellStyle name="Normal 8 10 4 4 2" xfId="38448"/>
    <cellStyle name="Normal 8 10 4 5" xfId="23734"/>
    <cellStyle name="Normal 8 10 5" xfId="2011"/>
    <cellStyle name="Normal 8 10 5 2" xfId="24179"/>
    <cellStyle name="Normal 8 10 6" xfId="3510"/>
    <cellStyle name="Normal 8 10 6 2" xfId="25677"/>
    <cellStyle name="Normal 8 10 7" xfId="21183"/>
    <cellStyle name="Normal 8 10 7 2" xfId="37395"/>
    <cellStyle name="Normal 8 10 8" xfId="22681"/>
    <cellStyle name="Normal 8 11" xfId="629"/>
    <cellStyle name="Normal 8 11 2" xfId="980"/>
    <cellStyle name="Normal 8 11 2 2" xfId="2479"/>
    <cellStyle name="Normal 8 11 2 2 2" xfId="24647"/>
    <cellStyle name="Normal 8 11 2 3" xfId="3978"/>
    <cellStyle name="Normal 8 11 2 3 2" xfId="26145"/>
    <cellStyle name="Normal 8 11 2 4" xfId="21651"/>
    <cellStyle name="Normal 8 11 2 4 2" xfId="37863"/>
    <cellStyle name="Normal 8 11 2 5" xfId="23149"/>
    <cellStyle name="Normal 8 11 3" xfId="1331"/>
    <cellStyle name="Normal 8 11 3 2" xfId="2830"/>
    <cellStyle name="Normal 8 11 3 2 2" xfId="24998"/>
    <cellStyle name="Normal 8 11 3 3" xfId="4329"/>
    <cellStyle name="Normal 8 11 3 3 2" xfId="26496"/>
    <cellStyle name="Normal 8 11 3 4" xfId="22002"/>
    <cellStyle name="Normal 8 11 3 4 2" xfId="38214"/>
    <cellStyle name="Normal 8 11 3 5" xfId="23500"/>
    <cellStyle name="Normal 8 11 4" xfId="1682"/>
    <cellStyle name="Normal 8 11 4 2" xfId="3181"/>
    <cellStyle name="Normal 8 11 4 2 2" xfId="25349"/>
    <cellStyle name="Normal 8 11 4 3" xfId="4680"/>
    <cellStyle name="Normal 8 11 4 3 2" xfId="26847"/>
    <cellStyle name="Normal 8 11 4 4" xfId="22353"/>
    <cellStyle name="Normal 8 11 4 4 2" xfId="38565"/>
    <cellStyle name="Normal 8 11 4 5" xfId="23851"/>
    <cellStyle name="Normal 8 11 5" xfId="2128"/>
    <cellStyle name="Normal 8 11 5 2" xfId="24296"/>
    <cellStyle name="Normal 8 11 6" xfId="3627"/>
    <cellStyle name="Normal 8 11 6 2" xfId="25794"/>
    <cellStyle name="Normal 8 11 7" xfId="21300"/>
    <cellStyle name="Normal 8 11 7 2" xfId="37512"/>
    <cellStyle name="Normal 8 11 8" xfId="22798"/>
    <cellStyle name="Normal 8 12" xfId="384"/>
    <cellStyle name="Normal 8 12 2" xfId="1894"/>
    <cellStyle name="Normal 8 12 2 2" xfId="24062"/>
    <cellStyle name="Normal 8 12 3" xfId="3393"/>
    <cellStyle name="Normal 8 12 3 2" xfId="25560"/>
    <cellStyle name="Normal 8 12 4" xfId="21066"/>
    <cellStyle name="Normal 8 12 4 2" xfId="37278"/>
    <cellStyle name="Normal 8 12 5" xfId="22564"/>
    <cellStyle name="Normal 8 13" xfId="746"/>
    <cellStyle name="Normal 8 13 2" xfId="2245"/>
    <cellStyle name="Normal 8 13 2 2" xfId="24413"/>
    <cellStyle name="Normal 8 13 3" xfId="3744"/>
    <cellStyle name="Normal 8 13 3 2" xfId="25911"/>
    <cellStyle name="Normal 8 13 4" xfId="21417"/>
    <cellStyle name="Normal 8 13 4 2" xfId="37629"/>
    <cellStyle name="Normal 8 13 5" xfId="22915"/>
    <cellStyle name="Normal 8 14" xfId="1097"/>
    <cellStyle name="Normal 8 14 2" xfId="2596"/>
    <cellStyle name="Normal 8 14 2 2" xfId="24764"/>
    <cellStyle name="Normal 8 14 3" xfId="4095"/>
    <cellStyle name="Normal 8 14 3 2" xfId="26262"/>
    <cellStyle name="Normal 8 14 4" xfId="21768"/>
    <cellStyle name="Normal 8 14 4 2" xfId="37980"/>
    <cellStyle name="Normal 8 14 5" xfId="23266"/>
    <cellStyle name="Normal 8 15" xfId="1448"/>
    <cellStyle name="Normal 8 15 2" xfId="2947"/>
    <cellStyle name="Normal 8 15 2 2" xfId="25115"/>
    <cellStyle name="Normal 8 15 3" xfId="4446"/>
    <cellStyle name="Normal 8 15 3 2" xfId="26613"/>
    <cellStyle name="Normal 8 15 4" xfId="22119"/>
    <cellStyle name="Normal 8 15 4 2" xfId="38331"/>
    <cellStyle name="Normal 8 15 5" xfId="23617"/>
    <cellStyle name="Normal 8 16" xfId="330"/>
    <cellStyle name="Normal 8 16 2" xfId="1865"/>
    <cellStyle name="Normal 8 16 2 2" xfId="24033"/>
    <cellStyle name="Normal 8 16 3" xfId="3364"/>
    <cellStyle name="Normal 8 16 3 2" xfId="25531"/>
    <cellStyle name="Normal 8 16 4" xfId="21037"/>
    <cellStyle name="Normal 8 16 4 2" xfId="37249"/>
    <cellStyle name="Normal 8 16 5" xfId="22535"/>
    <cellStyle name="Normal 8 17" xfId="1791"/>
    <cellStyle name="Normal 8 17 2" xfId="3290"/>
    <cellStyle name="Normal 8 17 2 2" xfId="25457"/>
    <cellStyle name="Normal 8 17 3" xfId="4788"/>
    <cellStyle name="Normal 8 17 3 2" xfId="26955"/>
    <cellStyle name="Normal 8 17 4" xfId="22461"/>
    <cellStyle name="Normal 8 17 4 2" xfId="38673"/>
    <cellStyle name="Normal 8 17 5" xfId="23959"/>
    <cellStyle name="Normal 8 18" xfId="1837"/>
    <cellStyle name="Normal 8 18 2" xfId="24005"/>
    <cellStyle name="Normal 8 19" xfId="3336"/>
    <cellStyle name="Normal 8 19 2" xfId="25503"/>
    <cellStyle name="Normal 8 2" xfId="216"/>
    <cellStyle name="Normal 8 2 10" xfId="751"/>
    <cellStyle name="Normal 8 2 10 2" xfId="2250"/>
    <cellStyle name="Normal 8 2 10 2 2" xfId="24418"/>
    <cellStyle name="Normal 8 2 10 3" xfId="3749"/>
    <cellStyle name="Normal 8 2 10 3 2" xfId="25916"/>
    <cellStyle name="Normal 8 2 10 4" xfId="21422"/>
    <cellStyle name="Normal 8 2 10 4 2" xfId="37634"/>
    <cellStyle name="Normal 8 2 10 5" xfId="22920"/>
    <cellStyle name="Normal 8 2 11" xfId="1102"/>
    <cellStyle name="Normal 8 2 11 2" xfId="2601"/>
    <cellStyle name="Normal 8 2 11 2 2" xfId="24769"/>
    <cellStyle name="Normal 8 2 11 3" xfId="4100"/>
    <cellStyle name="Normal 8 2 11 3 2" xfId="26267"/>
    <cellStyle name="Normal 8 2 11 4" xfId="21773"/>
    <cellStyle name="Normal 8 2 11 4 2" xfId="37985"/>
    <cellStyle name="Normal 8 2 11 5" xfId="23271"/>
    <cellStyle name="Normal 8 2 12" xfId="1453"/>
    <cellStyle name="Normal 8 2 12 2" xfId="2952"/>
    <cellStyle name="Normal 8 2 12 2 2" xfId="25120"/>
    <cellStyle name="Normal 8 2 12 3" xfId="4451"/>
    <cellStyle name="Normal 8 2 12 3 2" xfId="26618"/>
    <cellStyle name="Normal 8 2 12 4" xfId="22124"/>
    <cellStyle name="Normal 8 2 12 4 2" xfId="38336"/>
    <cellStyle name="Normal 8 2 12 5" xfId="23622"/>
    <cellStyle name="Normal 8 2 13" xfId="1899"/>
    <cellStyle name="Normal 8 2 13 2" xfId="24067"/>
    <cellStyle name="Normal 8 2 14" xfId="3398"/>
    <cellStyle name="Normal 8 2 14 2" xfId="25565"/>
    <cellStyle name="Normal 8 2 15" xfId="4923"/>
    <cellStyle name="Normal 8 2 15 2" xfId="27017"/>
    <cellStyle name="Normal 8 2 16" xfId="21071"/>
    <cellStyle name="Normal 8 2 16 2" xfId="37283"/>
    <cellStyle name="Normal 8 2 17" xfId="22569"/>
    <cellStyle name="Normal 8 2 18" xfId="394"/>
    <cellStyle name="Normal 8 2 2" xfId="217"/>
    <cellStyle name="Normal 8 2 2 10" xfId="5687"/>
    <cellStyle name="Normal 8 2 2 11" xfId="21083"/>
    <cellStyle name="Normal 8 2 2 11 2" xfId="37295"/>
    <cellStyle name="Normal 8 2 2 12" xfId="22581"/>
    <cellStyle name="Normal 8 2 2 13" xfId="410"/>
    <cellStyle name="Normal 8 2 2 2" xfId="462"/>
    <cellStyle name="Normal 8 2 2 2 10" xfId="22633"/>
    <cellStyle name="Normal 8 2 2 2 2" xfId="580"/>
    <cellStyle name="Normal 8 2 2 2 2 2" xfId="932"/>
    <cellStyle name="Normal 8 2 2 2 2 2 2" xfId="2431"/>
    <cellStyle name="Normal 8 2 2 2 2 2 2 2" xfId="24599"/>
    <cellStyle name="Normal 8 2 2 2 2 2 3" xfId="3930"/>
    <cellStyle name="Normal 8 2 2 2 2 2 3 2" xfId="26097"/>
    <cellStyle name="Normal 8 2 2 2 2 2 4" xfId="21603"/>
    <cellStyle name="Normal 8 2 2 2 2 2 4 2" xfId="37815"/>
    <cellStyle name="Normal 8 2 2 2 2 2 5" xfId="23101"/>
    <cellStyle name="Normal 8 2 2 2 2 3" xfId="1283"/>
    <cellStyle name="Normal 8 2 2 2 2 3 2" xfId="2782"/>
    <cellStyle name="Normal 8 2 2 2 2 3 2 2" xfId="24950"/>
    <cellStyle name="Normal 8 2 2 2 2 3 3" xfId="4281"/>
    <cellStyle name="Normal 8 2 2 2 2 3 3 2" xfId="26448"/>
    <cellStyle name="Normal 8 2 2 2 2 3 4" xfId="21954"/>
    <cellStyle name="Normal 8 2 2 2 2 3 4 2" xfId="38166"/>
    <cellStyle name="Normal 8 2 2 2 2 3 5" xfId="23452"/>
    <cellStyle name="Normal 8 2 2 2 2 4" xfId="1634"/>
    <cellStyle name="Normal 8 2 2 2 2 4 2" xfId="3133"/>
    <cellStyle name="Normal 8 2 2 2 2 4 2 2" xfId="25301"/>
    <cellStyle name="Normal 8 2 2 2 2 4 3" xfId="4632"/>
    <cellStyle name="Normal 8 2 2 2 2 4 3 2" xfId="26799"/>
    <cellStyle name="Normal 8 2 2 2 2 4 4" xfId="22305"/>
    <cellStyle name="Normal 8 2 2 2 2 4 4 2" xfId="38517"/>
    <cellStyle name="Normal 8 2 2 2 2 4 5" xfId="23803"/>
    <cellStyle name="Normal 8 2 2 2 2 5" xfId="2080"/>
    <cellStyle name="Normal 8 2 2 2 2 5 2" xfId="24248"/>
    <cellStyle name="Normal 8 2 2 2 2 6" xfId="3579"/>
    <cellStyle name="Normal 8 2 2 2 2 6 2" xfId="25746"/>
    <cellStyle name="Normal 8 2 2 2 2 7" xfId="21252"/>
    <cellStyle name="Normal 8 2 2 2 2 7 2" xfId="37464"/>
    <cellStyle name="Normal 8 2 2 2 2 8" xfId="22750"/>
    <cellStyle name="Normal 8 2 2 2 3" xfId="698"/>
    <cellStyle name="Normal 8 2 2 2 3 2" xfId="1049"/>
    <cellStyle name="Normal 8 2 2 2 3 2 2" xfId="2548"/>
    <cellStyle name="Normal 8 2 2 2 3 2 2 2" xfId="24716"/>
    <cellStyle name="Normal 8 2 2 2 3 2 3" xfId="4047"/>
    <cellStyle name="Normal 8 2 2 2 3 2 3 2" xfId="26214"/>
    <cellStyle name="Normal 8 2 2 2 3 2 4" xfId="21720"/>
    <cellStyle name="Normal 8 2 2 2 3 2 4 2" xfId="37932"/>
    <cellStyle name="Normal 8 2 2 2 3 2 5" xfId="23218"/>
    <cellStyle name="Normal 8 2 2 2 3 3" xfId="1400"/>
    <cellStyle name="Normal 8 2 2 2 3 3 2" xfId="2899"/>
    <cellStyle name="Normal 8 2 2 2 3 3 2 2" xfId="25067"/>
    <cellStyle name="Normal 8 2 2 2 3 3 3" xfId="4398"/>
    <cellStyle name="Normal 8 2 2 2 3 3 3 2" xfId="26565"/>
    <cellStyle name="Normal 8 2 2 2 3 3 4" xfId="22071"/>
    <cellStyle name="Normal 8 2 2 2 3 3 4 2" xfId="38283"/>
    <cellStyle name="Normal 8 2 2 2 3 3 5" xfId="23569"/>
    <cellStyle name="Normal 8 2 2 2 3 4" xfId="1751"/>
    <cellStyle name="Normal 8 2 2 2 3 4 2" xfId="3250"/>
    <cellStyle name="Normal 8 2 2 2 3 4 2 2" xfId="25418"/>
    <cellStyle name="Normal 8 2 2 2 3 4 3" xfId="4749"/>
    <cellStyle name="Normal 8 2 2 2 3 4 3 2" xfId="26916"/>
    <cellStyle name="Normal 8 2 2 2 3 4 4" xfId="22422"/>
    <cellStyle name="Normal 8 2 2 2 3 4 4 2" xfId="38634"/>
    <cellStyle name="Normal 8 2 2 2 3 4 5" xfId="23920"/>
    <cellStyle name="Normal 8 2 2 2 3 5" xfId="2197"/>
    <cellStyle name="Normal 8 2 2 2 3 5 2" xfId="24365"/>
    <cellStyle name="Normal 8 2 2 2 3 6" xfId="3696"/>
    <cellStyle name="Normal 8 2 2 2 3 6 2" xfId="25863"/>
    <cellStyle name="Normal 8 2 2 2 3 7" xfId="21369"/>
    <cellStyle name="Normal 8 2 2 2 3 7 2" xfId="37581"/>
    <cellStyle name="Normal 8 2 2 2 3 8" xfId="22867"/>
    <cellStyle name="Normal 8 2 2 2 4" xfId="815"/>
    <cellStyle name="Normal 8 2 2 2 4 2" xfId="2314"/>
    <cellStyle name="Normal 8 2 2 2 4 2 2" xfId="24482"/>
    <cellStyle name="Normal 8 2 2 2 4 3" xfId="3813"/>
    <cellStyle name="Normal 8 2 2 2 4 3 2" xfId="25980"/>
    <cellStyle name="Normal 8 2 2 2 4 4" xfId="21486"/>
    <cellStyle name="Normal 8 2 2 2 4 4 2" xfId="37698"/>
    <cellStyle name="Normal 8 2 2 2 4 5" xfId="22984"/>
    <cellStyle name="Normal 8 2 2 2 5" xfId="1166"/>
    <cellStyle name="Normal 8 2 2 2 5 2" xfId="2665"/>
    <cellStyle name="Normal 8 2 2 2 5 2 2" xfId="24833"/>
    <cellStyle name="Normal 8 2 2 2 5 3" xfId="4164"/>
    <cellStyle name="Normal 8 2 2 2 5 3 2" xfId="26331"/>
    <cellStyle name="Normal 8 2 2 2 5 4" xfId="21837"/>
    <cellStyle name="Normal 8 2 2 2 5 4 2" xfId="38049"/>
    <cellStyle name="Normal 8 2 2 2 5 5" xfId="23335"/>
    <cellStyle name="Normal 8 2 2 2 6" xfId="1517"/>
    <cellStyle name="Normal 8 2 2 2 6 2" xfId="3016"/>
    <cellStyle name="Normal 8 2 2 2 6 2 2" xfId="25184"/>
    <cellStyle name="Normal 8 2 2 2 6 3" xfId="4515"/>
    <cellStyle name="Normal 8 2 2 2 6 3 2" xfId="26682"/>
    <cellStyle name="Normal 8 2 2 2 6 4" xfId="22188"/>
    <cellStyle name="Normal 8 2 2 2 6 4 2" xfId="38400"/>
    <cellStyle name="Normal 8 2 2 2 6 5" xfId="23686"/>
    <cellStyle name="Normal 8 2 2 2 7" xfId="1963"/>
    <cellStyle name="Normal 8 2 2 2 7 2" xfId="24131"/>
    <cellStyle name="Normal 8 2 2 2 8" xfId="3462"/>
    <cellStyle name="Normal 8 2 2 2 8 2" xfId="25629"/>
    <cellStyle name="Normal 8 2 2 2 9" xfId="21135"/>
    <cellStyle name="Normal 8 2 2 2 9 2" xfId="37347"/>
    <cellStyle name="Normal 8 2 2 3" xfId="528"/>
    <cellStyle name="Normal 8 2 2 3 2" xfId="880"/>
    <cellStyle name="Normal 8 2 2 3 2 2" xfId="2379"/>
    <cellStyle name="Normal 8 2 2 3 2 2 2" xfId="24547"/>
    <cellStyle name="Normal 8 2 2 3 2 3" xfId="3878"/>
    <cellStyle name="Normal 8 2 2 3 2 3 2" xfId="26045"/>
    <cellStyle name="Normal 8 2 2 3 2 4" xfId="21551"/>
    <cellStyle name="Normal 8 2 2 3 2 4 2" xfId="37763"/>
    <cellStyle name="Normal 8 2 2 3 2 5" xfId="23049"/>
    <cellStyle name="Normal 8 2 2 3 3" xfId="1231"/>
    <cellStyle name="Normal 8 2 2 3 3 2" xfId="2730"/>
    <cellStyle name="Normal 8 2 2 3 3 2 2" xfId="24898"/>
    <cellStyle name="Normal 8 2 2 3 3 3" xfId="4229"/>
    <cellStyle name="Normal 8 2 2 3 3 3 2" xfId="26396"/>
    <cellStyle name="Normal 8 2 2 3 3 4" xfId="21902"/>
    <cellStyle name="Normal 8 2 2 3 3 4 2" xfId="38114"/>
    <cellStyle name="Normal 8 2 2 3 3 5" xfId="23400"/>
    <cellStyle name="Normal 8 2 2 3 4" xfId="1582"/>
    <cellStyle name="Normal 8 2 2 3 4 2" xfId="3081"/>
    <cellStyle name="Normal 8 2 2 3 4 2 2" xfId="25249"/>
    <cellStyle name="Normal 8 2 2 3 4 3" xfId="4580"/>
    <cellStyle name="Normal 8 2 2 3 4 3 2" xfId="26747"/>
    <cellStyle name="Normal 8 2 2 3 4 4" xfId="22253"/>
    <cellStyle name="Normal 8 2 2 3 4 4 2" xfId="38465"/>
    <cellStyle name="Normal 8 2 2 3 4 5" xfId="23751"/>
    <cellStyle name="Normal 8 2 2 3 5" xfId="2028"/>
    <cellStyle name="Normal 8 2 2 3 5 2" xfId="24196"/>
    <cellStyle name="Normal 8 2 2 3 6" xfId="3527"/>
    <cellStyle name="Normal 8 2 2 3 6 2" xfId="25694"/>
    <cellStyle name="Normal 8 2 2 3 7" xfId="21200"/>
    <cellStyle name="Normal 8 2 2 3 7 2" xfId="37412"/>
    <cellStyle name="Normal 8 2 2 3 8" xfId="22698"/>
    <cellStyle name="Normal 8 2 2 4" xfId="646"/>
    <cellStyle name="Normal 8 2 2 4 2" xfId="997"/>
    <cellStyle name="Normal 8 2 2 4 2 2" xfId="2496"/>
    <cellStyle name="Normal 8 2 2 4 2 2 2" xfId="24664"/>
    <cellStyle name="Normal 8 2 2 4 2 3" xfId="3995"/>
    <cellStyle name="Normal 8 2 2 4 2 3 2" xfId="26162"/>
    <cellStyle name="Normal 8 2 2 4 2 4" xfId="21668"/>
    <cellStyle name="Normal 8 2 2 4 2 4 2" xfId="37880"/>
    <cellStyle name="Normal 8 2 2 4 2 5" xfId="23166"/>
    <cellStyle name="Normal 8 2 2 4 3" xfId="1348"/>
    <cellStyle name="Normal 8 2 2 4 3 2" xfId="2847"/>
    <cellStyle name="Normal 8 2 2 4 3 2 2" xfId="25015"/>
    <cellStyle name="Normal 8 2 2 4 3 3" xfId="4346"/>
    <cellStyle name="Normal 8 2 2 4 3 3 2" xfId="26513"/>
    <cellStyle name="Normal 8 2 2 4 3 4" xfId="22019"/>
    <cellStyle name="Normal 8 2 2 4 3 4 2" xfId="38231"/>
    <cellStyle name="Normal 8 2 2 4 3 5" xfId="23517"/>
    <cellStyle name="Normal 8 2 2 4 4" xfId="1699"/>
    <cellStyle name="Normal 8 2 2 4 4 2" xfId="3198"/>
    <cellStyle name="Normal 8 2 2 4 4 2 2" xfId="25366"/>
    <cellStyle name="Normal 8 2 2 4 4 3" xfId="4697"/>
    <cellStyle name="Normal 8 2 2 4 4 3 2" xfId="26864"/>
    <cellStyle name="Normal 8 2 2 4 4 4" xfId="22370"/>
    <cellStyle name="Normal 8 2 2 4 4 4 2" xfId="38582"/>
    <cellStyle name="Normal 8 2 2 4 4 5" xfId="23868"/>
    <cellStyle name="Normal 8 2 2 4 5" xfId="2145"/>
    <cellStyle name="Normal 8 2 2 4 5 2" xfId="24313"/>
    <cellStyle name="Normal 8 2 2 4 6" xfId="3644"/>
    <cellStyle name="Normal 8 2 2 4 6 2" xfId="25811"/>
    <cellStyle name="Normal 8 2 2 4 7" xfId="21317"/>
    <cellStyle name="Normal 8 2 2 4 7 2" xfId="37529"/>
    <cellStyle name="Normal 8 2 2 4 8" xfId="22815"/>
    <cellStyle name="Normal 8 2 2 5" xfId="763"/>
    <cellStyle name="Normal 8 2 2 5 2" xfId="2262"/>
    <cellStyle name="Normal 8 2 2 5 2 2" xfId="24430"/>
    <cellStyle name="Normal 8 2 2 5 3" xfId="3761"/>
    <cellStyle name="Normal 8 2 2 5 3 2" xfId="25928"/>
    <cellStyle name="Normal 8 2 2 5 4" xfId="21434"/>
    <cellStyle name="Normal 8 2 2 5 4 2" xfId="37646"/>
    <cellStyle name="Normal 8 2 2 5 5" xfId="22932"/>
    <cellStyle name="Normal 8 2 2 6" xfId="1114"/>
    <cellStyle name="Normal 8 2 2 6 2" xfId="2613"/>
    <cellStyle name="Normal 8 2 2 6 2 2" xfId="24781"/>
    <cellStyle name="Normal 8 2 2 6 3" xfId="4112"/>
    <cellStyle name="Normal 8 2 2 6 3 2" xfId="26279"/>
    <cellStyle name="Normal 8 2 2 6 4" xfId="21785"/>
    <cellStyle name="Normal 8 2 2 6 4 2" xfId="37997"/>
    <cellStyle name="Normal 8 2 2 6 5" xfId="23283"/>
    <cellStyle name="Normal 8 2 2 7" xfId="1465"/>
    <cellStyle name="Normal 8 2 2 7 2" xfId="2964"/>
    <cellStyle name="Normal 8 2 2 7 2 2" xfId="25132"/>
    <cellStyle name="Normal 8 2 2 7 3" xfId="4463"/>
    <cellStyle name="Normal 8 2 2 7 3 2" xfId="26630"/>
    <cellStyle name="Normal 8 2 2 7 4" xfId="22136"/>
    <cellStyle name="Normal 8 2 2 7 4 2" xfId="38348"/>
    <cellStyle name="Normal 8 2 2 7 5" xfId="23634"/>
    <cellStyle name="Normal 8 2 2 8" xfId="1911"/>
    <cellStyle name="Normal 8 2 2 8 2" xfId="24079"/>
    <cellStyle name="Normal 8 2 2 9" xfId="3410"/>
    <cellStyle name="Normal 8 2 2 9 2" xfId="25577"/>
    <cellStyle name="Normal 8 2 3" xfId="422"/>
    <cellStyle name="Normal 8 2 3 10" xfId="22593"/>
    <cellStyle name="Normal 8 2 3 2" xfId="540"/>
    <cellStyle name="Normal 8 2 3 2 2" xfId="892"/>
    <cellStyle name="Normal 8 2 3 2 2 2" xfId="2391"/>
    <cellStyle name="Normal 8 2 3 2 2 2 2" xfId="24559"/>
    <cellStyle name="Normal 8 2 3 2 2 3" xfId="3890"/>
    <cellStyle name="Normal 8 2 3 2 2 3 2" xfId="26057"/>
    <cellStyle name="Normal 8 2 3 2 2 4" xfId="21563"/>
    <cellStyle name="Normal 8 2 3 2 2 4 2" xfId="37775"/>
    <cellStyle name="Normal 8 2 3 2 2 5" xfId="23061"/>
    <cellStyle name="Normal 8 2 3 2 3" xfId="1243"/>
    <cellStyle name="Normal 8 2 3 2 3 2" xfId="2742"/>
    <cellStyle name="Normal 8 2 3 2 3 2 2" xfId="24910"/>
    <cellStyle name="Normal 8 2 3 2 3 3" xfId="4241"/>
    <cellStyle name="Normal 8 2 3 2 3 3 2" xfId="26408"/>
    <cellStyle name="Normal 8 2 3 2 3 4" xfId="21914"/>
    <cellStyle name="Normal 8 2 3 2 3 4 2" xfId="38126"/>
    <cellStyle name="Normal 8 2 3 2 3 5" xfId="23412"/>
    <cellStyle name="Normal 8 2 3 2 4" xfId="1594"/>
    <cellStyle name="Normal 8 2 3 2 4 2" xfId="3093"/>
    <cellStyle name="Normal 8 2 3 2 4 2 2" xfId="25261"/>
    <cellStyle name="Normal 8 2 3 2 4 3" xfId="4592"/>
    <cellStyle name="Normal 8 2 3 2 4 3 2" xfId="26759"/>
    <cellStyle name="Normal 8 2 3 2 4 4" xfId="22265"/>
    <cellStyle name="Normal 8 2 3 2 4 4 2" xfId="38477"/>
    <cellStyle name="Normal 8 2 3 2 4 5" xfId="23763"/>
    <cellStyle name="Normal 8 2 3 2 5" xfId="2040"/>
    <cellStyle name="Normal 8 2 3 2 5 2" xfId="24208"/>
    <cellStyle name="Normal 8 2 3 2 6" xfId="3539"/>
    <cellStyle name="Normal 8 2 3 2 6 2" xfId="25706"/>
    <cellStyle name="Normal 8 2 3 2 7" xfId="21212"/>
    <cellStyle name="Normal 8 2 3 2 7 2" xfId="37424"/>
    <cellStyle name="Normal 8 2 3 2 8" xfId="22710"/>
    <cellStyle name="Normal 8 2 3 3" xfId="658"/>
    <cellStyle name="Normal 8 2 3 3 2" xfId="1009"/>
    <cellStyle name="Normal 8 2 3 3 2 2" xfId="2508"/>
    <cellStyle name="Normal 8 2 3 3 2 2 2" xfId="24676"/>
    <cellStyle name="Normal 8 2 3 3 2 3" xfId="4007"/>
    <cellStyle name="Normal 8 2 3 3 2 3 2" xfId="26174"/>
    <cellStyle name="Normal 8 2 3 3 2 4" xfId="21680"/>
    <cellStyle name="Normal 8 2 3 3 2 4 2" xfId="37892"/>
    <cellStyle name="Normal 8 2 3 3 2 5" xfId="23178"/>
    <cellStyle name="Normal 8 2 3 3 3" xfId="1360"/>
    <cellStyle name="Normal 8 2 3 3 3 2" xfId="2859"/>
    <cellStyle name="Normal 8 2 3 3 3 2 2" xfId="25027"/>
    <cellStyle name="Normal 8 2 3 3 3 3" xfId="4358"/>
    <cellStyle name="Normal 8 2 3 3 3 3 2" xfId="26525"/>
    <cellStyle name="Normal 8 2 3 3 3 4" xfId="22031"/>
    <cellStyle name="Normal 8 2 3 3 3 4 2" xfId="38243"/>
    <cellStyle name="Normal 8 2 3 3 3 5" xfId="23529"/>
    <cellStyle name="Normal 8 2 3 3 4" xfId="1711"/>
    <cellStyle name="Normal 8 2 3 3 4 2" xfId="3210"/>
    <cellStyle name="Normal 8 2 3 3 4 2 2" xfId="25378"/>
    <cellStyle name="Normal 8 2 3 3 4 3" xfId="4709"/>
    <cellStyle name="Normal 8 2 3 3 4 3 2" xfId="26876"/>
    <cellStyle name="Normal 8 2 3 3 4 4" xfId="22382"/>
    <cellStyle name="Normal 8 2 3 3 4 4 2" xfId="38594"/>
    <cellStyle name="Normal 8 2 3 3 4 5" xfId="23880"/>
    <cellStyle name="Normal 8 2 3 3 5" xfId="2157"/>
    <cellStyle name="Normal 8 2 3 3 5 2" xfId="24325"/>
    <cellStyle name="Normal 8 2 3 3 6" xfId="3656"/>
    <cellStyle name="Normal 8 2 3 3 6 2" xfId="25823"/>
    <cellStyle name="Normal 8 2 3 3 7" xfId="21329"/>
    <cellStyle name="Normal 8 2 3 3 7 2" xfId="37541"/>
    <cellStyle name="Normal 8 2 3 3 8" xfId="22827"/>
    <cellStyle name="Normal 8 2 3 4" xfId="775"/>
    <cellStyle name="Normal 8 2 3 4 2" xfId="2274"/>
    <cellStyle name="Normal 8 2 3 4 2 2" xfId="24442"/>
    <cellStyle name="Normal 8 2 3 4 3" xfId="3773"/>
    <cellStyle name="Normal 8 2 3 4 3 2" xfId="25940"/>
    <cellStyle name="Normal 8 2 3 4 4" xfId="21446"/>
    <cellStyle name="Normal 8 2 3 4 4 2" xfId="37658"/>
    <cellStyle name="Normal 8 2 3 4 5" xfId="22944"/>
    <cellStyle name="Normal 8 2 3 5" xfId="1126"/>
    <cellStyle name="Normal 8 2 3 5 2" xfId="2625"/>
    <cellStyle name="Normal 8 2 3 5 2 2" xfId="24793"/>
    <cellStyle name="Normal 8 2 3 5 3" xfId="4124"/>
    <cellStyle name="Normal 8 2 3 5 3 2" xfId="26291"/>
    <cellStyle name="Normal 8 2 3 5 4" xfId="21797"/>
    <cellStyle name="Normal 8 2 3 5 4 2" xfId="38009"/>
    <cellStyle name="Normal 8 2 3 5 5" xfId="23295"/>
    <cellStyle name="Normal 8 2 3 6" xfId="1477"/>
    <cellStyle name="Normal 8 2 3 6 2" xfId="2976"/>
    <cellStyle name="Normal 8 2 3 6 2 2" xfId="25144"/>
    <cellStyle name="Normal 8 2 3 6 3" xfId="4475"/>
    <cellStyle name="Normal 8 2 3 6 3 2" xfId="26642"/>
    <cellStyle name="Normal 8 2 3 6 4" xfId="22148"/>
    <cellStyle name="Normal 8 2 3 6 4 2" xfId="38360"/>
    <cellStyle name="Normal 8 2 3 6 5" xfId="23646"/>
    <cellStyle name="Normal 8 2 3 7" xfId="1923"/>
    <cellStyle name="Normal 8 2 3 7 2" xfId="24091"/>
    <cellStyle name="Normal 8 2 3 8" xfId="3422"/>
    <cellStyle name="Normal 8 2 3 8 2" xfId="25589"/>
    <cellStyle name="Normal 8 2 3 9" xfId="21095"/>
    <cellStyle name="Normal 8 2 3 9 2" xfId="37307"/>
    <cellStyle name="Normal 8 2 4" xfId="434"/>
    <cellStyle name="Normal 8 2 4 10" xfId="22605"/>
    <cellStyle name="Normal 8 2 4 2" xfId="552"/>
    <cellStyle name="Normal 8 2 4 2 2" xfId="904"/>
    <cellStyle name="Normal 8 2 4 2 2 2" xfId="2403"/>
    <cellStyle name="Normal 8 2 4 2 2 2 2" xfId="24571"/>
    <cellStyle name="Normal 8 2 4 2 2 3" xfId="3902"/>
    <cellStyle name="Normal 8 2 4 2 2 3 2" xfId="26069"/>
    <cellStyle name="Normal 8 2 4 2 2 4" xfId="21575"/>
    <cellStyle name="Normal 8 2 4 2 2 4 2" xfId="37787"/>
    <cellStyle name="Normal 8 2 4 2 2 5" xfId="23073"/>
    <cellStyle name="Normal 8 2 4 2 3" xfId="1255"/>
    <cellStyle name="Normal 8 2 4 2 3 2" xfId="2754"/>
    <cellStyle name="Normal 8 2 4 2 3 2 2" xfId="24922"/>
    <cellStyle name="Normal 8 2 4 2 3 3" xfId="4253"/>
    <cellStyle name="Normal 8 2 4 2 3 3 2" xfId="26420"/>
    <cellStyle name="Normal 8 2 4 2 3 4" xfId="21926"/>
    <cellStyle name="Normal 8 2 4 2 3 4 2" xfId="38138"/>
    <cellStyle name="Normal 8 2 4 2 3 5" xfId="23424"/>
    <cellStyle name="Normal 8 2 4 2 4" xfId="1606"/>
    <cellStyle name="Normal 8 2 4 2 4 2" xfId="3105"/>
    <cellStyle name="Normal 8 2 4 2 4 2 2" xfId="25273"/>
    <cellStyle name="Normal 8 2 4 2 4 3" xfId="4604"/>
    <cellStyle name="Normal 8 2 4 2 4 3 2" xfId="26771"/>
    <cellStyle name="Normal 8 2 4 2 4 4" xfId="22277"/>
    <cellStyle name="Normal 8 2 4 2 4 4 2" xfId="38489"/>
    <cellStyle name="Normal 8 2 4 2 4 5" xfId="23775"/>
    <cellStyle name="Normal 8 2 4 2 5" xfId="2052"/>
    <cellStyle name="Normal 8 2 4 2 5 2" xfId="24220"/>
    <cellStyle name="Normal 8 2 4 2 6" xfId="3551"/>
    <cellStyle name="Normal 8 2 4 2 6 2" xfId="25718"/>
    <cellStyle name="Normal 8 2 4 2 7" xfId="21224"/>
    <cellStyle name="Normal 8 2 4 2 7 2" xfId="37436"/>
    <cellStyle name="Normal 8 2 4 2 8" xfId="22722"/>
    <cellStyle name="Normal 8 2 4 3" xfId="670"/>
    <cellStyle name="Normal 8 2 4 3 2" xfId="1021"/>
    <cellStyle name="Normal 8 2 4 3 2 2" xfId="2520"/>
    <cellStyle name="Normal 8 2 4 3 2 2 2" xfId="24688"/>
    <cellStyle name="Normal 8 2 4 3 2 3" xfId="4019"/>
    <cellStyle name="Normal 8 2 4 3 2 3 2" xfId="26186"/>
    <cellStyle name="Normal 8 2 4 3 2 4" xfId="21692"/>
    <cellStyle name="Normal 8 2 4 3 2 4 2" xfId="37904"/>
    <cellStyle name="Normal 8 2 4 3 2 5" xfId="23190"/>
    <cellStyle name="Normal 8 2 4 3 3" xfId="1372"/>
    <cellStyle name="Normal 8 2 4 3 3 2" xfId="2871"/>
    <cellStyle name="Normal 8 2 4 3 3 2 2" xfId="25039"/>
    <cellStyle name="Normal 8 2 4 3 3 3" xfId="4370"/>
    <cellStyle name="Normal 8 2 4 3 3 3 2" xfId="26537"/>
    <cellStyle name="Normal 8 2 4 3 3 4" xfId="22043"/>
    <cellStyle name="Normal 8 2 4 3 3 4 2" xfId="38255"/>
    <cellStyle name="Normal 8 2 4 3 3 5" xfId="23541"/>
    <cellStyle name="Normal 8 2 4 3 4" xfId="1723"/>
    <cellStyle name="Normal 8 2 4 3 4 2" xfId="3222"/>
    <cellStyle name="Normal 8 2 4 3 4 2 2" xfId="25390"/>
    <cellStyle name="Normal 8 2 4 3 4 3" xfId="4721"/>
    <cellStyle name="Normal 8 2 4 3 4 3 2" xfId="26888"/>
    <cellStyle name="Normal 8 2 4 3 4 4" xfId="22394"/>
    <cellStyle name="Normal 8 2 4 3 4 4 2" xfId="38606"/>
    <cellStyle name="Normal 8 2 4 3 4 5" xfId="23892"/>
    <cellStyle name="Normal 8 2 4 3 5" xfId="2169"/>
    <cellStyle name="Normal 8 2 4 3 5 2" xfId="24337"/>
    <cellStyle name="Normal 8 2 4 3 6" xfId="3668"/>
    <cellStyle name="Normal 8 2 4 3 6 2" xfId="25835"/>
    <cellStyle name="Normal 8 2 4 3 7" xfId="21341"/>
    <cellStyle name="Normal 8 2 4 3 7 2" xfId="37553"/>
    <cellStyle name="Normal 8 2 4 3 8" xfId="22839"/>
    <cellStyle name="Normal 8 2 4 4" xfId="787"/>
    <cellStyle name="Normal 8 2 4 4 2" xfId="2286"/>
    <cellStyle name="Normal 8 2 4 4 2 2" xfId="24454"/>
    <cellStyle name="Normal 8 2 4 4 3" xfId="3785"/>
    <cellStyle name="Normal 8 2 4 4 3 2" xfId="25952"/>
    <cellStyle name="Normal 8 2 4 4 4" xfId="21458"/>
    <cellStyle name="Normal 8 2 4 4 4 2" xfId="37670"/>
    <cellStyle name="Normal 8 2 4 4 5" xfId="22956"/>
    <cellStyle name="Normal 8 2 4 5" xfId="1138"/>
    <cellStyle name="Normal 8 2 4 5 2" xfId="2637"/>
    <cellStyle name="Normal 8 2 4 5 2 2" xfId="24805"/>
    <cellStyle name="Normal 8 2 4 5 3" xfId="4136"/>
    <cellStyle name="Normal 8 2 4 5 3 2" xfId="26303"/>
    <cellStyle name="Normal 8 2 4 5 4" xfId="21809"/>
    <cellStyle name="Normal 8 2 4 5 4 2" xfId="38021"/>
    <cellStyle name="Normal 8 2 4 5 5" xfId="23307"/>
    <cellStyle name="Normal 8 2 4 6" xfId="1489"/>
    <cellStyle name="Normal 8 2 4 6 2" xfId="2988"/>
    <cellStyle name="Normal 8 2 4 6 2 2" xfId="25156"/>
    <cellStyle name="Normal 8 2 4 6 3" xfId="4487"/>
    <cellStyle name="Normal 8 2 4 6 3 2" xfId="26654"/>
    <cellStyle name="Normal 8 2 4 6 4" xfId="22160"/>
    <cellStyle name="Normal 8 2 4 6 4 2" xfId="38372"/>
    <cellStyle name="Normal 8 2 4 6 5" xfId="23658"/>
    <cellStyle name="Normal 8 2 4 7" xfId="1935"/>
    <cellStyle name="Normal 8 2 4 7 2" xfId="24103"/>
    <cellStyle name="Normal 8 2 4 8" xfId="3434"/>
    <cellStyle name="Normal 8 2 4 8 2" xfId="25601"/>
    <cellStyle name="Normal 8 2 4 9" xfId="21107"/>
    <cellStyle name="Normal 8 2 4 9 2" xfId="37319"/>
    <cellStyle name="Normal 8 2 5" xfId="450"/>
    <cellStyle name="Normal 8 2 5 10" xfId="22621"/>
    <cellStyle name="Normal 8 2 5 2" xfId="568"/>
    <cellStyle name="Normal 8 2 5 2 2" xfId="920"/>
    <cellStyle name="Normal 8 2 5 2 2 2" xfId="2419"/>
    <cellStyle name="Normal 8 2 5 2 2 2 2" xfId="24587"/>
    <cellStyle name="Normal 8 2 5 2 2 3" xfId="3918"/>
    <cellStyle name="Normal 8 2 5 2 2 3 2" xfId="26085"/>
    <cellStyle name="Normal 8 2 5 2 2 4" xfId="21591"/>
    <cellStyle name="Normal 8 2 5 2 2 4 2" xfId="37803"/>
    <cellStyle name="Normal 8 2 5 2 2 5" xfId="23089"/>
    <cellStyle name="Normal 8 2 5 2 3" xfId="1271"/>
    <cellStyle name="Normal 8 2 5 2 3 2" xfId="2770"/>
    <cellStyle name="Normal 8 2 5 2 3 2 2" xfId="24938"/>
    <cellStyle name="Normal 8 2 5 2 3 3" xfId="4269"/>
    <cellStyle name="Normal 8 2 5 2 3 3 2" xfId="26436"/>
    <cellStyle name="Normal 8 2 5 2 3 4" xfId="21942"/>
    <cellStyle name="Normal 8 2 5 2 3 4 2" xfId="38154"/>
    <cellStyle name="Normal 8 2 5 2 3 5" xfId="23440"/>
    <cellStyle name="Normal 8 2 5 2 4" xfId="1622"/>
    <cellStyle name="Normal 8 2 5 2 4 2" xfId="3121"/>
    <cellStyle name="Normal 8 2 5 2 4 2 2" xfId="25289"/>
    <cellStyle name="Normal 8 2 5 2 4 3" xfId="4620"/>
    <cellStyle name="Normal 8 2 5 2 4 3 2" xfId="26787"/>
    <cellStyle name="Normal 8 2 5 2 4 4" xfId="22293"/>
    <cellStyle name="Normal 8 2 5 2 4 4 2" xfId="38505"/>
    <cellStyle name="Normal 8 2 5 2 4 5" xfId="23791"/>
    <cellStyle name="Normal 8 2 5 2 5" xfId="2068"/>
    <cellStyle name="Normal 8 2 5 2 5 2" xfId="24236"/>
    <cellStyle name="Normal 8 2 5 2 6" xfId="3567"/>
    <cellStyle name="Normal 8 2 5 2 6 2" xfId="25734"/>
    <cellStyle name="Normal 8 2 5 2 7" xfId="21240"/>
    <cellStyle name="Normal 8 2 5 2 7 2" xfId="37452"/>
    <cellStyle name="Normal 8 2 5 2 8" xfId="22738"/>
    <cellStyle name="Normal 8 2 5 3" xfId="686"/>
    <cellStyle name="Normal 8 2 5 3 2" xfId="1037"/>
    <cellStyle name="Normal 8 2 5 3 2 2" xfId="2536"/>
    <cellStyle name="Normal 8 2 5 3 2 2 2" xfId="24704"/>
    <cellStyle name="Normal 8 2 5 3 2 3" xfId="4035"/>
    <cellStyle name="Normal 8 2 5 3 2 3 2" xfId="26202"/>
    <cellStyle name="Normal 8 2 5 3 2 4" xfId="21708"/>
    <cellStyle name="Normal 8 2 5 3 2 4 2" xfId="37920"/>
    <cellStyle name="Normal 8 2 5 3 2 5" xfId="23206"/>
    <cellStyle name="Normal 8 2 5 3 3" xfId="1388"/>
    <cellStyle name="Normal 8 2 5 3 3 2" xfId="2887"/>
    <cellStyle name="Normal 8 2 5 3 3 2 2" xfId="25055"/>
    <cellStyle name="Normal 8 2 5 3 3 3" xfId="4386"/>
    <cellStyle name="Normal 8 2 5 3 3 3 2" xfId="26553"/>
    <cellStyle name="Normal 8 2 5 3 3 4" xfId="22059"/>
    <cellStyle name="Normal 8 2 5 3 3 4 2" xfId="38271"/>
    <cellStyle name="Normal 8 2 5 3 3 5" xfId="23557"/>
    <cellStyle name="Normal 8 2 5 3 4" xfId="1739"/>
    <cellStyle name="Normal 8 2 5 3 4 2" xfId="3238"/>
    <cellStyle name="Normal 8 2 5 3 4 2 2" xfId="25406"/>
    <cellStyle name="Normal 8 2 5 3 4 3" xfId="4737"/>
    <cellStyle name="Normal 8 2 5 3 4 3 2" xfId="26904"/>
    <cellStyle name="Normal 8 2 5 3 4 4" xfId="22410"/>
    <cellStyle name="Normal 8 2 5 3 4 4 2" xfId="38622"/>
    <cellStyle name="Normal 8 2 5 3 4 5" xfId="23908"/>
    <cellStyle name="Normal 8 2 5 3 5" xfId="2185"/>
    <cellStyle name="Normal 8 2 5 3 5 2" xfId="24353"/>
    <cellStyle name="Normal 8 2 5 3 6" xfId="3684"/>
    <cellStyle name="Normal 8 2 5 3 6 2" xfId="25851"/>
    <cellStyle name="Normal 8 2 5 3 7" xfId="21357"/>
    <cellStyle name="Normal 8 2 5 3 7 2" xfId="37569"/>
    <cellStyle name="Normal 8 2 5 3 8" xfId="22855"/>
    <cellStyle name="Normal 8 2 5 4" xfId="803"/>
    <cellStyle name="Normal 8 2 5 4 2" xfId="2302"/>
    <cellStyle name="Normal 8 2 5 4 2 2" xfId="24470"/>
    <cellStyle name="Normal 8 2 5 4 3" xfId="3801"/>
    <cellStyle name="Normal 8 2 5 4 3 2" xfId="25968"/>
    <cellStyle name="Normal 8 2 5 4 4" xfId="21474"/>
    <cellStyle name="Normal 8 2 5 4 4 2" xfId="37686"/>
    <cellStyle name="Normal 8 2 5 4 5" xfId="22972"/>
    <cellStyle name="Normal 8 2 5 5" xfId="1154"/>
    <cellStyle name="Normal 8 2 5 5 2" xfId="2653"/>
    <cellStyle name="Normal 8 2 5 5 2 2" xfId="24821"/>
    <cellStyle name="Normal 8 2 5 5 3" xfId="4152"/>
    <cellStyle name="Normal 8 2 5 5 3 2" xfId="26319"/>
    <cellStyle name="Normal 8 2 5 5 4" xfId="21825"/>
    <cellStyle name="Normal 8 2 5 5 4 2" xfId="38037"/>
    <cellStyle name="Normal 8 2 5 5 5" xfId="23323"/>
    <cellStyle name="Normal 8 2 5 6" xfId="1505"/>
    <cellStyle name="Normal 8 2 5 6 2" xfId="3004"/>
    <cellStyle name="Normal 8 2 5 6 2 2" xfId="25172"/>
    <cellStyle name="Normal 8 2 5 6 3" xfId="4503"/>
    <cellStyle name="Normal 8 2 5 6 3 2" xfId="26670"/>
    <cellStyle name="Normal 8 2 5 6 4" xfId="22176"/>
    <cellStyle name="Normal 8 2 5 6 4 2" xfId="38388"/>
    <cellStyle name="Normal 8 2 5 6 5" xfId="23674"/>
    <cellStyle name="Normal 8 2 5 7" xfId="1951"/>
    <cellStyle name="Normal 8 2 5 7 2" xfId="24119"/>
    <cellStyle name="Normal 8 2 5 8" xfId="3450"/>
    <cellStyle name="Normal 8 2 5 8 2" xfId="25617"/>
    <cellStyle name="Normal 8 2 5 9" xfId="21123"/>
    <cellStyle name="Normal 8 2 5 9 2" xfId="37335"/>
    <cellStyle name="Normal 8 2 6" xfId="475"/>
    <cellStyle name="Normal 8 2 6 10" xfId="22646"/>
    <cellStyle name="Normal 8 2 6 2" xfId="593"/>
    <cellStyle name="Normal 8 2 6 2 2" xfId="945"/>
    <cellStyle name="Normal 8 2 6 2 2 2" xfId="2444"/>
    <cellStyle name="Normal 8 2 6 2 2 2 2" xfId="24612"/>
    <cellStyle name="Normal 8 2 6 2 2 3" xfId="3943"/>
    <cellStyle name="Normal 8 2 6 2 2 3 2" xfId="26110"/>
    <cellStyle name="Normal 8 2 6 2 2 4" xfId="21616"/>
    <cellStyle name="Normal 8 2 6 2 2 4 2" xfId="37828"/>
    <cellStyle name="Normal 8 2 6 2 2 5" xfId="23114"/>
    <cellStyle name="Normal 8 2 6 2 3" xfId="1296"/>
    <cellStyle name="Normal 8 2 6 2 3 2" xfId="2795"/>
    <cellStyle name="Normal 8 2 6 2 3 2 2" xfId="24963"/>
    <cellStyle name="Normal 8 2 6 2 3 3" xfId="4294"/>
    <cellStyle name="Normal 8 2 6 2 3 3 2" xfId="26461"/>
    <cellStyle name="Normal 8 2 6 2 3 4" xfId="21967"/>
    <cellStyle name="Normal 8 2 6 2 3 4 2" xfId="38179"/>
    <cellStyle name="Normal 8 2 6 2 3 5" xfId="23465"/>
    <cellStyle name="Normal 8 2 6 2 4" xfId="1647"/>
    <cellStyle name="Normal 8 2 6 2 4 2" xfId="3146"/>
    <cellStyle name="Normal 8 2 6 2 4 2 2" xfId="25314"/>
    <cellStyle name="Normal 8 2 6 2 4 3" xfId="4645"/>
    <cellStyle name="Normal 8 2 6 2 4 3 2" xfId="26812"/>
    <cellStyle name="Normal 8 2 6 2 4 4" xfId="22318"/>
    <cellStyle name="Normal 8 2 6 2 4 4 2" xfId="38530"/>
    <cellStyle name="Normal 8 2 6 2 4 5" xfId="23816"/>
    <cellStyle name="Normal 8 2 6 2 5" xfId="2093"/>
    <cellStyle name="Normal 8 2 6 2 5 2" xfId="24261"/>
    <cellStyle name="Normal 8 2 6 2 6" xfId="3592"/>
    <cellStyle name="Normal 8 2 6 2 6 2" xfId="25759"/>
    <cellStyle name="Normal 8 2 6 2 7" xfId="21265"/>
    <cellStyle name="Normal 8 2 6 2 7 2" xfId="37477"/>
    <cellStyle name="Normal 8 2 6 2 8" xfId="22763"/>
    <cellStyle name="Normal 8 2 6 3" xfId="711"/>
    <cellStyle name="Normal 8 2 6 3 2" xfId="1062"/>
    <cellStyle name="Normal 8 2 6 3 2 2" xfId="2561"/>
    <cellStyle name="Normal 8 2 6 3 2 2 2" xfId="24729"/>
    <cellStyle name="Normal 8 2 6 3 2 3" xfId="4060"/>
    <cellStyle name="Normal 8 2 6 3 2 3 2" xfId="26227"/>
    <cellStyle name="Normal 8 2 6 3 2 4" xfId="21733"/>
    <cellStyle name="Normal 8 2 6 3 2 4 2" xfId="37945"/>
    <cellStyle name="Normal 8 2 6 3 2 5" xfId="23231"/>
    <cellStyle name="Normal 8 2 6 3 3" xfId="1413"/>
    <cellStyle name="Normal 8 2 6 3 3 2" xfId="2912"/>
    <cellStyle name="Normal 8 2 6 3 3 2 2" xfId="25080"/>
    <cellStyle name="Normal 8 2 6 3 3 3" xfId="4411"/>
    <cellStyle name="Normal 8 2 6 3 3 3 2" xfId="26578"/>
    <cellStyle name="Normal 8 2 6 3 3 4" xfId="22084"/>
    <cellStyle name="Normal 8 2 6 3 3 4 2" xfId="38296"/>
    <cellStyle name="Normal 8 2 6 3 3 5" xfId="23582"/>
    <cellStyle name="Normal 8 2 6 3 4" xfId="1764"/>
    <cellStyle name="Normal 8 2 6 3 4 2" xfId="3263"/>
    <cellStyle name="Normal 8 2 6 3 4 2 2" xfId="25431"/>
    <cellStyle name="Normal 8 2 6 3 4 3" xfId="4762"/>
    <cellStyle name="Normal 8 2 6 3 4 3 2" xfId="26929"/>
    <cellStyle name="Normal 8 2 6 3 4 4" xfId="22435"/>
    <cellStyle name="Normal 8 2 6 3 4 4 2" xfId="38647"/>
    <cellStyle name="Normal 8 2 6 3 4 5" xfId="23933"/>
    <cellStyle name="Normal 8 2 6 3 5" xfId="2210"/>
    <cellStyle name="Normal 8 2 6 3 5 2" xfId="24378"/>
    <cellStyle name="Normal 8 2 6 3 6" xfId="3709"/>
    <cellStyle name="Normal 8 2 6 3 6 2" xfId="25876"/>
    <cellStyle name="Normal 8 2 6 3 7" xfId="21382"/>
    <cellStyle name="Normal 8 2 6 3 7 2" xfId="37594"/>
    <cellStyle name="Normal 8 2 6 3 8" xfId="22880"/>
    <cellStyle name="Normal 8 2 6 4" xfId="828"/>
    <cellStyle name="Normal 8 2 6 4 2" xfId="2327"/>
    <cellStyle name="Normal 8 2 6 4 2 2" xfId="24495"/>
    <cellStyle name="Normal 8 2 6 4 3" xfId="3826"/>
    <cellStyle name="Normal 8 2 6 4 3 2" xfId="25993"/>
    <cellStyle name="Normal 8 2 6 4 4" xfId="21499"/>
    <cellStyle name="Normal 8 2 6 4 4 2" xfId="37711"/>
    <cellStyle name="Normal 8 2 6 4 5" xfId="22997"/>
    <cellStyle name="Normal 8 2 6 5" xfId="1179"/>
    <cellStyle name="Normal 8 2 6 5 2" xfId="2678"/>
    <cellStyle name="Normal 8 2 6 5 2 2" xfId="24846"/>
    <cellStyle name="Normal 8 2 6 5 3" xfId="4177"/>
    <cellStyle name="Normal 8 2 6 5 3 2" xfId="26344"/>
    <cellStyle name="Normal 8 2 6 5 4" xfId="21850"/>
    <cellStyle name="Normal 8 2 6 5 4 2" xfId="38062"/>
    <cellStyle name="Normal 8 2 6 5 5" xfId="23348"/>
    <cellStyle name="Normal 8 2 6 6" xfId="1530"/>
    <cellStyle name="Normal 8 2 6 6 2" xfId="3029"/>
    <cellStyle name="Normal 8 2 6 6 2 2" xfId="25197"/>
    <cellStyle name="Normal 8 2 6 6 3" xfId="4528"/>
    <cellStyle name="Normal 8 2 6 6 3 2" xfId="26695"/>
    <cellStyle name="Normal 8 2 6 6 4" xfId="22201"/>
    <cellStyle name="Normal 8 2 6 6 4 2" xfId="38413"/>
    <cellStyle name="Normal 8 2 6 6 5" xfId="23699"/>
    <cellStyle name="Normal 8 2 6 7" xfId="1976"/>
    <cellStyle name="Normal 8 2 6 7 2" xfId="24144"/>
    <cellStyle name="Normal 8 2 6 8" xfId="3475"/>
    <cellStyle name="Normal 8 2 6 8 2" xfId="25642"/>
    <cellStyle name="Normal 8 2 6 9" xfId="21148"/>
    <cellStyle name="Normal 8 2 6 9 2" xfId="37360"/>
    <cellStyle name="Normal 8 2 7" xfId="488"/>
    <cellStyle name="Normal 8 2 7 10" xfId="22659"/>
    <cellStyle name="Normal 8 2 7 2" xfId="606"/>
    <cellStyle name="Normal 8 2 7 2 2" xfId="958"/>
    <cellStyle name="Normal 8 2 7 2 2 2" xfId="2457"/>
    <cellStyle name="Normal 8 2 7 2 2 2 2" xfId="24625"/>
    <cellStyle name="Normal 8 2 7 2 2 3" xfId="3956"/>
    <cellStyle name="Normal 8 2 7 2 2 3 2" xfId="26123"/>
    <cellStyle name="Normal 8 2 7 2 2 4" xfId="21629"/>
    <cellStyle name="Normal 8 2 7 2 2 4 2" xfId="37841"/>
    <cellStyle name="Normal 8 2 7 2 2 5" xfId="23127"/>
    <cellStyle name="Normal 8 2 7 2 3" xfId="1309"/>
    <cellStyle name="Normal 8 2 7 2 3 2" xfId="2808"/>
    <cellStyle name="Normal 8 2 7 2 3 2 2" xfId="24976"/>
    <cellStyle name="Normal 8 2 7 2 3 3" xfId="4307"/>
    <cellStyle name="Normal 8 2 7 2 3 3 2" xfId="26474"/>
    <cellStyle name="Normal 8 2 7 2 3 4" xfId="21980"/>
    <cellStyle name="Normal 8 2 7 2 3 4 2" xfId="38192"/>
    <cellStyle name="Normal 8 2 7 2 3 5" xfId="23478"/>
    <cellStyle name="Normal 8 2 7 2 4" xfId="1660"/>
    <cellStyle name="Normal 8 2 7 2 4 2" xfId="3159"/>
    <cellStyle name="Normal 8 2 7 2 4 2 2" xfId="25327"/>
    <cellStyle name="Normal 8 2 7 2 4 3" xfId="4658"/>
    <cellStyle name="Normal 8 2 7 2 4 3 2" xfId="26825"/>
    <cellStyle name="Normal 8 2 7 2 4 4" xfId="22331"/>
    <cellStyle name="Normal 8 2 7 2 4 4 2" xfId="38543"/>
    <cellStyle name="Normal 8 2 7 2 4 5" xfId="23829"/>
    <cellStyle name="Normal 8 2 7 2 5" xfId="2106"/>
    <cellStyle name="Normal 8 2 7 2 5 2" xfId="24274"/>
    <cellStyle name="Normal 8 2 7 2 6" xfId="3605"/>
    <cellStyle name="Normal 8 2 7 2 6 2" xfId="25772"/>
    <cellStyle name="Normal 8 2 7 2 7" xfId="21278"/>
    <cellStyle name="Normal 8 2 7 2 7 2" xfId="37490"/>
    <cellStyle name="Normal 8 2 7 2 8" xfId="22776"/>
    <cellStyle name="Normal 8 2 7 3" xfId="724"/>
    <cellStyle name="Normal 8 2 7 3 2" xfId="1075"/>
    <cellStyle name="Normal 8 2 7 3 2 2" xfId="2574"/>
    <cellStyle name="Normal 8 2 7 3 2 2 2" xfId="24742"/>
    <cellStyle name="Normal 8 2 7 3 2 3" xfId="4073"/>
    <cellStyle name="Normal 8 2 7 3 2 3 2" xfId="26240"/>
    <cellStyle name="Normal 8 2 7 3 2 4" xfId="21746"/>
    <cellStyle name="Normal 8 2 7 3 2 4 2" xfId="37958"/>
    <cellStyle name="Normal 8 2 7 3 2 5" xfId="23244"/>
    <cellStyle name="Normal 8 2 7 3 3" xfId="1426"/>
    <cellStyle name="Normal 8 2 7 3 3 2" xfId="2925"/>
    <cellStyle name="Normal 8 2 7 3 3 2 2" xfId="25093"/>
    <cellStyle name="Normal 8 2 7 3 3 3" xfId="4424"/>
    <cellStyle name="Normal 8 2 7 3 3 3 2" xfId="26591"/>
    <cellStyle name="Normal 8 2 7 3 3 4" xfId="22097"/>
    <cellStyle name="Normal 8 2 7 3 3 4 2" xfId="38309"/>
    <cellStyle name="Normal 8 2 7 3 3 5" xfId="23595"/>
    <cellStyle name="Normal 8 2 7 3 4" xfId="1777"/>
    <cellStyle name="Normal 8 2 7 3 4 2" xfId="3276"/>
    <cellStyle name="Normal 8 2 7 3 4 2 2" xfId="25444"/>
    <cellStyle name="Normal 8 2 7 3 4 3" xfId="4775"/>
    <cellStyle name="Normal 8 2 7 3 4 3 2" xfId="26942"/>
    <cellStyle name="Normal 8 2 7 3 4 4" xfId="22448"/>
    <cellStyle name="Normal 8 2 7 3 4 4 2" xfId="38660"/>
    <cellStyle name="Normal 8 2 7 3 4 5" xfId="23946"/>
    <cellStyle name="Normal 8 2 7 3 5" xfId="2223"/>
    <cellStyle name="Normal 8 2 7 3 5 2" xfId="24391"/>
    <cellStyle name="Normal 8 2 7 3 6" xfId="3722"/>
    <cellStyle name="Normal 8 2 7 3 6 2" xfId="25889"/>
    <cellStyle name="Normal 8 2 7 3 7" xfId="21395"/>
    <cellStyle name="Normal 8 2 7 3 7 2" xfId="37607"/>
    <cellStyle name="Normal 8 2 7 3 8" xfId="22893"/>
    <cellStyle name="Normal 8 2 7 4" xfId="841"/>
    <cellStyle name="Normal 8 2 7 4 2" xfId="2340"/>
    <cellStyle name="Normal 8 2 7 4 2 2" xfId="24508"/>
    <cellStyle name="Normal 8 2 7 4 3" xfId="3839"/>
    <cellStyle name="Normal 8 2 7 4 3 2" xfId="26006"/>
    <cellStyle name="Normal 8 2 7 4 4" xfId="21512"/>
    <cellStyle name="Normal 8 2 7 4 4 2" xfId="37724"/>
    <cellStyle name="Normal 8 2 7 4 5" xfId="23010"/>
    <cellStyle name="Normal 8 2 7 5" xfId="1192"/>
    <cellStyle name="Normal 8 2 7 5 2" xfId="2691"/>
    <cellStyle name="Normal 8 2 7 5 2 2" xfId="24859"/>
    <cellStyle name="Normal 8 2 7 5 3" xfId="4190"/>
    <cellStyle name="Normal 8 2 7 5 3 2" xfId="26357"/>
    <cellStyle name="Normal 8 2 7 5 4" xfId="21863"/>
    <cellStyle name="Normal 8 2 7 5 4 2" xfId="38075"/>
    <cellStyle name="Normal 8 2 7 5 5" xfId="23361"/>
    <cellStyle name="Normal 8 2 7 6" xfId="1543"/>
    <cellStyle name="Normal 8 2 7 6 2" xfId="3042"/>
    <cellStyle name="Normal 8 2 7 6 2 2" xfId="25210"/>
    <cellStyle name="Normal 8 2 7 6 3" xfId="4541"/>
    <cellStyle name="Normal 8 2 7 6 3 2" xfId="26708"/>
    <cellStyle name="Normal 8 2 7 6 4" xfId="22214"/>
    <cellStyle name="Normal 8 2 7 6 4 2" xfId="38426"/>
    <cellStyle name="Normal 8 2 7 6 5" xfId="23712"/>
    <cellStyle name="Normal 8 2 7 7" xfId="1989"/>
    <cellStyle name="Normal 8 2 7 7 2" xfId="24157"/>
    <cellStyle name="Normal 8 2 7 8" xfId="3488"/>
    <cellStyle name="Normal 8 2 7 8 2" xfId="25655"/>
    <cellStyle name="Normal 8 2 7 9" xfId="21161"/>
    <cellStyle name="Normal 8 2 7 9 2" xfId="37373"/>
    <cellStyle name="Normal 8 2 8" xfId="516"/>
    <cellStyle name="Normal 8 2 8 2" xfId="868"/>
    <cellStyle name="Normal 8 2 8 2 2" xfId="2367"/>
    <cellStyle name="Normal 8 2 8 2 2 2" xfId="24535"/>
    <cellStyle name="Normal 8 2 8 2 3" xfId="3866"/>
    <cellStyle name="Normal 8 2 8 2 3 2" xfId="26033"/>
    <cellStyle name="Normal 8 2 8 2 4" xfId="21539"/>
    <cellStyle name="Normal 8 2 8 2 4 2" xfId="37751"/>
    <cellStyle name="Normal 8 2 8 2 5" xfId="23037"/>
    <cellStyle name="Normal 8 2 8 3" xfId="1219"/>
    <cellStyle name="Normal 8 2 8 3 2" xfId="2718"/>
    <cellStyle name="Normal 8 2 8 3 2 2" xfId="24886"/>
    <cellStyle name="Normal 8 2 8 3 3" xfId="4217"/>
    <cellStyle name="Normal 8 2 8 3 3 2" xfId="26384"/>
    <cellStyle name="Normal 8 2 8 3 4" xfId="21890"/>
    <cellStyle name="Normal 8 2 8 3 4 2" xfId="38102"/>
    <cellStyle name="Normal 8 2 8 3 5" xfId="23388"/>
    <cellStyle name="Normal 8 2 8 4" xfId="1570"/>
    <cellStyle name="Normal 8 2 8 4 2" xfId="3069"/>
    <cellStyle name="Normal 8 2 8 4 2 2" xfId="25237"/>
    <cellStyle name="Normal 8 2 8 4 3" xfId="4568"/>
    <cellStyle name="Normal 8 2 8 4 3 2" xfId="26735"/>
    <cellStyle name="Normal 8 2 8 4 4" xfId="22241"/>
    <cellStyle name="Normal 8 2 8 4 4 2" xfId="38453"/>
    <cellStyle name="Normal 8 2 8 4 5" xfId="23739"/>
    <cellStyle name="Normal 8 2 8 5" xfId="2016"/>
    <cellStyle name="Normal 8 2 8 5 2" xfId="24184"/>
    <cellStyle name="Normal 8 2 8 6" xfId="3515"/>
    <cellStyle name="Normal 8 2 8 6 2" xfId="25682"/>
    <cellStyle name="Normal 8 2 8 7" xfId="21188"/>
    <cellStyle name="Normal 8 2 8 7 2" xfId="37400"/>
    <cellStyle name="Normal 8 2 8 8" xfId="22686"/>
    <cellStyle name="Normal 8 2 9" xfId="634"/>
    <cellStyle name="Normal 8 2 9 2" xfId="985"/>
    <cellStyle name="Normal 8 2 9 2 2" xfId="2484"/>
    <cellStyle name="Normal 8 2 9 2 2 2" xfId="24652"/>
    <cellStyle name="Normal 8 2 9 2 3" xfId="3983"/>
    <cellStyle name="Normal 8 2 9 2 3 2" xfId="26150"/>
    <cellStyle name="Normal 8 2 9 2 4" xfId="21656"/>
    <cellStyle name="Normal 8 2 9 2 4 2" xfId="37868"/>
    <cellStyle name="Normal 8 2 9 2 5" xfId="23154"/>
    <cellStyle name="Normal 8 2 9 3" xfId="1336"/>
    <cellStyle name="Normal 8 2 9 3 2" xfId="2835"/>
    <cellStyle name="Normal 8 2 9 3 2 2" xfId="25003"/>
    <cellStyle name="Normal 8 2 9 3 3" xfId="4334"/>
    <cellStyle name="Normal 8 2 9 3 3 2" xfId="26501"/>
    <cellStyle name="Normal 8 2 9 3 4" xfId="22007"/>
    <cellStyle name="Normal 8 2 9 3 4 2" xfId="38219"/>
    <cellStyle name="Normal 8 2 9 3 5" xfId="23505"/>
    <cellStyle name="Normal 8 2 9 4" xfId="1687"/>
    <cellStyle name="Normal 8 2 9 4 2" xfId="3186"/>
    <cellStyle name="Normal 8 2 9 4 2 2" xfId="25354"/>
    <cellStyle name="Normal 8 2 9 4 3" xfId="4685"/>
    <cellStyle name="Normal 8 2 9 4 3 2" xfId="26852"/>
    <cellStyle name="Normal 8 2 9 4 4" xfId="22358"/>
    <cellStyle name="Normal 8 2 9 4 4 2" xfId="38570"/>
    <cellStyle name="Normal 8 2 9 4 5" xfId="23856"/>
    <cellStyle name="Normal 8 2 9 5" xfId="2133"/>
    <cellStyle name="Normal 8 2 9 5 2" xfId="24301"/>
    <cellStyle name="Normal 8 2 9 6" xfId="3632"/>
    <cellStyle name="Normal 8 2 9 6 2" xfId="25799"/>
    <cellStyle name="Normal 8 2 9 7" xfId="21305"/>
    <cellStyle name="Normal 8 2 9 7 2" xfId="37517"/>
    <cellStyle name="Normal 8 2 9 8" xfId="22803"/>
    <cellStyle name="Normal 8 20" xfId="4863"/>
    <cellStyle name="Normal 8 20 2" xfId="27000"/>
    <cellStyle name="Normal 8 21" xfId="21009"/>
    <cellStyle name="Normal 8 21 2" xfId="37221"/>
    <cellStyle name="Normal 8 22" xfId="22507"/>
    <cellStyle name="Normal 8 23" xfId="38761"/>
    <cellStyle name="Normal 8 24" xfId="39503"/>
    <cellStyle name="Normal 8 25" xfId="39557"/>
    <cellStyle name="Normal 8 26" xfId="301"/>
    <cellStyle name="Normal 8 3" xfId="218"/>
    <cellStyle name="Normal 8 3 10" xfId="4913"/>
    <cellStyle name="Normal 8 3 11" xfId="21082"/>
    <cellStyle name="Normal 8 3 11 2" xfId="37294"/>
    <cellStyle name="Normal 8 3 12" xfId="22580"/>
    <cellStyle name="Normal 8 3 13" xfId="409"/>
    <cellStyle name="Normal 8 3 2" xfId="461"/>
    <cellStyle name="Normal 8 3 2 10" xfId="22632"/>
    <cellStyle name="Normal 8 3 2 2" xfId="579"/>
    <cellStyle name="Normal 8 3 2 2 2" xfId="931"/>
    <cellStyle name="Normal 8 3 2 2 2 2" xfId="2430"/>
    <cellStyle name="Normal 8 3 2 2 2 2 2" xfId="24598"/>
    <cellStyle name="Normal 8 3 2 2 2 3" xfId="3929"/>
    <cellStyle name="Normal 8 3 2 2 2 3 2" xfId="26096"/>
    <cellStyle name="Normal 8 3 2 2 2 4" xfId="21602"/>
    <cellStyle name="Normal 8 3 2 2 2 4 2" xfId="37814"/>
    <cellStyle name="Normal 8 3 2 2 2 5" xfId="23100"/>
    <cellStyle name="Normal 8 3 2 2 3" xfId="1282"/>
    <cellStyle name="Normal 8 3 2 2 3 2" xfId="2781"/>
    <cellStyle name="Normal 8 3 2 2 3 2 2" xfId="24949"/>
    <cellStyle name="Normal 8 3 2 2 3 3" xfId="4280"/>
    <cellStyle name="Normal 8 3 2 2 3 3 2" xfId="26447"/>
    <cellStyle name="Normal 8 3 2 2 3 4" xfId="21953"/>
    <cellStyle name="Normal 8 3 2 2 3 4 2" xfId="38165"/>
    <cellStyle name="Normal 8 3 2 2 3 5" xfId="23451"/>
    <cellStyle name="Normal 8 3 2 2 4" xfId="1633"/>
    <cellStyle name="Normal 8 3 2 2 4 2" xfId="3132"/>
    <cellStyle name="Normal 8 3 2 2 4 2 2" xfId="25300"/>
    <cellStyle name="Normal 8 3 2 2 4 3" xfId="4631"/>
    <cellStyle name="Normal 8 3 2 2 4 3 2" xfId="26798"/>
    <cellStyle name="Normal 8 3 2 2 4 4" xfId="22304"/>
    <cellStyle name="Normal 8 3 2 2 4 4 2" xfId="38516"/>
    <cellStyle name="Normal 8 3 2 2 4 5" xfId="23802"/>
    <cellStyle name="Normal 8 3 2 2 5" xfId="2079"/>
    <cellStyle name="Normal 8 3 2 2 5 2" xfId="24247"/>
    <cellStyle name="Normal 8 3 2 2 6" xfId="3578"/>
    <cellStyle name="Normal 8 3 2 2 6 2" xfId="25745"/>
    <cellStyle name="Normal 8 3 2 2 7" xfId="21251"/>
    <cellStyle name="Normal 8 3 2 2 7 2" xfId="37463"/>
    <cellStyle name="Normal 8 3 2 2 8" xfId="22749"/>
    <cellStyle name="Normal 8 3 2 3" xfId="697"/>
    <cellStyle name="Normal 8 3 2 3 2" xfId="1048"/>
    <cellStyle name="Normal 8 3 2 3 2 2" xfId="2547"/>
    <cellStyle name="Normal 8 3 2 3 2 2 2" xfId="24715"/>
    <cellStyle name="Normal 8 3 2 3 2 3" xfId="4046"/>
    <cellStyle name="Normal 8 3 2 3 2 3 2" xfId="26213"/>
    <cellStyle name="Normal 8 3 2 3 2 4" xfId="21719"/>
    <cellStyle name="Normal 8 3 2 3 2 4 2" xfId="37931"/>
    <cellStyle name="Normal 8 3 2 3 2 5" xfId="23217"/>
    <cellStyle name="Normal 8 3 2 3 3" xfId="1399"/>
    <cellStyle name="Normal 8 3 2 3 3 2" xfId="2898"/>
    <cellStyle name="Normal 8 3 2 3 3 2 2" xfId="25066"/>
    <cellStyle name="Normal 8 3 2 3 3 3" xfId="4397"/>
    <cellStyle name="Normal 8 3 2 3 3 3 2" xfId="26564"/>
    <cellStyle name="Normal 8 3 2 3 3 4" xfId="22070"/>
    <cellStyle name="Normal 8 3 2 3 3 4 2" xfId="38282"/>
    <cellStyle name="Normal 8 3 2 3 3 5" xfId="23568"/>
    <cellStyle name="Normal 8 3 2 3 4" xfId="1750"/>
    <cellStyle name="Normal 8 3 2 3 4 2" xfId="3249"/>
    <cellStyle name="Normal 8 3 2 3 4 2 2" xfId="25417"/>
    <cellStyle name="Normal 8 3 2 3 4 3" xfId="4748"/>
    <cellStyle name="Normal 8 3 2 3 4 3 2" xfId="26915"/>
    <cellStyle name="Normal 8 3 2 3 4 4" xfId="22421"/>
    <cellStyle name="Normal 8 3 2 3 4 4 2" xfId="38633"/>
    <cellStyle name="Normal 8 3 2 3 4 5" xfId="23919"/>
    <cellStyle name="Normal 8 3 2 3 5" xfId="2196"/>
    <cellStyle name="Normal 8 3 2 3 5 2" xfId="24364"/>
    <cellStyle name="Normal 8 3 2 3 6" xfId="3695"/>
    <cellStyle name="Normal 8 3 2 3 6 2" xfId="25862"/>
    <cellStyle name="Normal 8 3 2 3 7" xfId="21368"/>
    <cellStyle name="Normal 8 3 2 3 7 2" xfId="37580"/>
    <cellStyle name="Normal 8 3 2 3 8" xfId="22866"/>
    <cellStyle name="Normal 8 3 2 4" xfId="814"/>
    <cellStyle name="Normal 8 3 2 4 2" xfId="2313"/>
    <cellStyle name="Normal 8 3 2 4 2 2" xfId="24481"/>
    <cellStyle name="Normal 8 3 2 4 3" xfId="3812"/>
    <cellStyle name="Normal 8 3 2 4 3 2" xfId="25979"/>
    <cellStyle name="Normal 8 3 2 4 4" xfId="21485"/>
    <cellStyle name="Normal 8 3 2 4 4 2" xfId="37697"/>
    <cellStyle name="Normal 8 3 2 4 5" xfId="22983"/>
    <cellStyle name="Normal 8 3 2 5" xfId="1165"/>
    <cellStyle name="Normal 8 3 2 5 2" xfId="2664"/>
    <cellStyle name="Normal 8 3 2 5 2 2" xfId="24832"/>
    <cellStyle name="Normal 8 3 2 5 3" xfId="4163"/>
    <cellStyle name="Normal 8 3 2 5 3 2" xfId="26330"/>
    <cellStyle name="Normal 8 3 2 5 4" xfId="21836"/>
    <cellStyle name="Normal 8 3 2 5 4 2" xfId="38048"/>
    <cellStyle name="Normal 8 3 2 5 5" xfId="23334"/>
    <cellStyle name="Normal 8 3 2 6" xfId="1516"/>
    <cellStyle name="Normal 8 3 2 6 2" xfId="3015"/>
    <cellStyle name="Normal 8 3 2 6 2 2" xfId="25183"/>
    <cellStyle name="Normal 8 3 2 6 3" xfId="4514"/>
    <cellStyle name="Normal 8 3 2 6 3 2" xfId="26681"/>
    <cellStyle name="Normal 8 3 2 6 4" xfId="22187"/>
    <cellStyle name="Normal 8 3 2 6 4 2" xfId="38399"/>
    <cellStyle name="Normal 8 3 2 6 5" xfId="23685"/>
    <cellStyle name="Normal 8 3 2 7" xfId="1962"/>
    <cellStyle name="Normal 8 3 2 7 2" xfId="24130"/>
    <cellStyle name="Normal 8 3 2 8" xfId="3461"/>
    <cellStyle name="Normal 8 3 2 8 2" xfId="25628"/>
    <cellStyle name="Normal 8 3 2 9" xfId="21134"/>
    <cellStyle name="Normal 8 3 2 9 2" xfId="37346"/>
    <cellStyle name="Normal 8 3 3" xfId="527"/>
    <cellStyle name="Normal 8 3 3 2" xfId="879"/>
    <cellStyle name="Normal 8 3 3 2 2" xfId="2378"/>
    <cellStyle name="Normal 8 3 3 2 2 2" xfId="24546"/>
    <cellStyle name="Normal 8 3 3 2 3" xfId="3877"/>
    <cellStyle name="Normal 8 3 3 2 3 2" xfId="26044"/>
    <cellStyle name="Normal 8 3 3 2 4" xfId="21550"/>
    <cellStyle name="Normal 8 3 3 2 4 2" xfId="37762"/>
    <cellStyle name="Normal 8 3 3 2 5" xfId="23048"/>
    <cellStyle name="Normal 8 3 3 3" xfId="1230"/>
    <cellStyle name="Normal 8 3 3 3 2" xfId="2729"/>
    <cellStyle name="Normal 8 3 3 3 2 2" xfId="24897"/>
    <cellStyle name="Normal 8 3 3 3 3" xfId="4228"/>
    <cellStyle name="Normal 8 3 3 3 3 2" xfId="26395"/>
    <cellStyle name="Normal 8 3 3 3 4" xfId="21901"/>
    <cellStyle name="Normal 8 3 3 3 4 2" xfId="38113"/>
    <cellStyle name="Normal 8 3 3 3 5" xfId="23399"/>
    <cellStyle name="Normal 8 3 3 4" xfId="1581"/>
    <cellStyle name="Normal 8 3 3 4 2" xfId="3080"/>
    <cellStyle name="Normal 8 3 3 4 2 2" xfId="25248"/>
    <cellStyle name="Normal 8 3 3 4 3" xfId="4579"/>
    <cellStyle name="Normal 8 3 3 4 3 2" xfId="26746"/>
    <cellStyle name="Normal 8 3 3 4 4" xfId="22252"/>
    <cellStyle name="Normal 8 3 3 4 4 2" xfId="38464"/>
    <cellStyle name="Normal 8 3 3 4 5" xfId="23750"/>
    <cellStyle name="Normal 8 3 3 5" xfId="2027"/>
    <cellStyle name="Normal 8 3 3 5 2" xfId="24195"/>
    <cellStyle name="Normal 8 3 3 6" xfId="3526"/>
    <cellStyle name="Normal 8 3 3 6 2" xfId="25693"/>
    <cellStyle name="Normal 8 3 3 7" xfId="21199"/>
    <cellStyle name="Normal 8 3 3 7 2" xfId="37411"/>
    <cellStyle name="Normal 8 3 3 8" xfId="22697"/>
    <cellStyle name="Normal 8 3 4" xfId="645"/>
    <cellStyle name="Normal 8 3 4 2" xfId="996"/>
    <cellStyle name="Normal 8 3 4 2 2" xfId="2495"/>
    <cellStyle name="Normal 8 3 4 2 2 2" xfId="24663"/>
    <cellStyle name="Normal 8 3 4 2 3" xfId="3994"/>
    <cellStyle name="Normal 8 3 4 2 3 2" xfId="26161"/>
    <cellStyle name="Normal 8 3 4 2 4" xfId="21667"/>
    <cellStyle name="Normal 8 3 4 2 4 2" xfId="37879"/>
    <cellStyle name="Normal 8 3 4 2 5" xfId="23165"/>
    <cellStyle name="Normal 8 3 4 3" xfId="1347"/>
    <cellStyle name="Normal 8 3 4 3 2" xfId="2846"/>
    <cellStyle name="Normal 8 3 4 3 2 2" xfId="25014"/>
    <cellStyle name="Normal 8 3 4 3 3" xfId="4345"/>
    <cellStyle name="Normal 8 3 4 3 3 2" xfId="26512"/>
    <cellStyle name="Normal 8 3 4 3 4" xfId="22018"/>
    <cellStyle name="Normal 8 3 4 3 4 2" xfId="38230"/>
    <cellStyle name="Normal 8 3 4 3 5" xfId="23516"/>
    <cellStyle name="Normal 8 3 4 4" xfId="1698"/>
    <cellStyle name="Normal 8 3 4 4 2" xfId="3197"/>
    <cellStyle name="Normal 8 3 4 4 2 2" xfId="25365"/>
    <cellStyle name="Normal 8 3 4 4 3" xfId="4696"/>
    <cellStyle name="Normal 8 3 4 4 3 2" xfId="26863"/>
    <cellStyle name="Normal 8 3 4 4 4" xfId="22369"/>
    <cellStyle name="Normal 8 3 4 4 4 2" xfId="38581"/>
    <cellStyle name="Normal 8 3 4 4 5" xfId="23867"/>
    <cellStyle name="Normal 8 3 4 5" xfId="2144"/>
    <cellStyle name="Normal 8 3 4 5 2" xfId="24312"/>
    <cellStyle name="Normal 8 3 4 6" xfId="3643"/>
    <cellStyle name="Normal 8 3 4 6 2" xfId="25810"/>
    <cellStyle name="Normal 8 3 4 7" xfId="21316"/>
    <cellStyle name="Normal 8 3 4 7 2" xfId="37528"/>
    <cellStyle name="Normal 8 3 4 8" xfId="22814"/>
    <cellStyle name="Normal 8 3 5" xfId="762"/>
    <cellStyle name="Normal 8 3 5 2" xfId="2261"/>
    <cellStyle name="Normal 8 3 5 2 2" xfId="24429"/>
    <cellStyle name="Normal 8 3 5 3" xfId="3760"/>
    <cellStyle name="Normal 8 3 5 3 2" xfId="25927"/>
    <cellStyle name="Normal 8 3 5 4" xfId="21433"/>
    <cellStyle name="Normal 8 3 5 4 2" xfId="37645"/>
    <cellStyle name="Normal 8 3 5 5" xfId="22931"/>
    <cellStyle name="Normal 8 3 6" xfId="1113"/>
    <cellStyle name="Normal 8 3 6 2" xfId="2612"/>
    <cellStyle name="Normal 8 3 6 2 2" xfId="24780"/>
    <cellStyle name="Normal 8 3 6 3" xfId="4111"/>
    <cellStyle name="Normal 8 3 6 3 2" xfId="26278"/>
    <cellStyle name="Normal 8 3 6 4" xfId="21784"/>
    <cellStyle name="Normal 8 3 6 4 2" xfId="37996"/>
    <cellStyle name="Normal 8 3 6 5" xfId="23282"/>
    <cellStyle name="Normal 8 3 7" xfId="1464"/>
    <cellStyle name="Normal 8 3 7 2" xfId="2963"/>
    <cellStyle name="Normal 8 3 7 2 2" xfId="25131"/>
    <cellStyle name="Normal 8 3 7 3" xfId="4462"/>
    <cellStyle name="Normal 8 3 7 3 2" xfId="26629"/>
    <cellStyle name="Normal 8 3 7 4" xfId="22135"/>
    <cellStyle name="Normal 8 3 7 4 2" xfId="38347"/>
    <cellStyle name="Normal 8 3 7 5" xfId="23633"/>
    <cellStyle name="Normal 8 3 8" xfId="1910"/>
    <cellStyle name="Normal 8 3 8 2" xfId="24078"/>
    <cellStyle name="Normal 8 3 9" xfId="3409"/>
    <cellStyle name="Normal 8 3 9 2" xfId="25576"/>
    <cellStyle name="Normal 8 4" xfId="421"/>
    <cellStyle name="Normal 8 4 10" xfId="22592"/>
    <cellStyle name="Normal 8 4 2" xfId="539"/>
    <cellStyle name="Normal 8 4 2 2" xfId="891"/>
    <cellStyle name="Normal 8 4 2 2 2" xfId="2390"/>
    <cellStyle name="Normal 8 4 2 2 2 2" xfId="24558"/>
    <cellStyle name="Normal 8 4 2 2 3" xfId="3889"/>
    <cellStyle name="Normal 8 4 2 2 3 2" xfId="26056"/>
    <cellStyle name="Normal 8 4 2 2 4" xfId="21562"/>
    <cellStyle name="Normal 8 4 2 2 4 2" xfId="37774"/>
    <cellStyle name="Normal 8 4 2 2 5" xfId="23060"/>
    <cellStyle name="Normal 8 4 2 3" xfId="1242"/>
    <cellStyle name="Normal 8 4 2 3 2" xfId="2741"/>
    <cellStyle name="Normal 8 4 2 3 2 2" xfId="24909"/>
    <cellStyle name="Normal 8 4 2 3 3" xfId="4240"/>
    <cellStyle name="Normal 8 4 2 3 3 2" xfId="26407"/>
    <cellStyle name="Normal 8 4 2 3 4" xfId="21913"/>
    <cellStyle name="Normal 8 4 2 3 4 2" xfId="38125"/>
    <cellStyle name="Normal 8 4 2 3 5" xfId="23411"/>
    <cellStyle name="Normal 8 4 2 4" xfId="1593"/>
    <cellStyle name="Normal 8 4 2 4 2" xfId="3092"/>
    <cellStyle name="Normal 8 4 2 4 2 2" xfId="25260"/>
    <cellStyle name="Normal 8 4 2 4 3" xfId="4591"/>
    <cellStyle name="Normal 8 4 2 4 3 2" xfId="26758"/>
    <cellStyle name="Normal 8 4 2 4 4" xfId="22264"/>
    <cellStyle name="Normal 8 4 2 4 4 2" xfId="38476"/>
    <cellStyle name="Normal 8 4 2 4 5" xfId="23762"/>
    <cellStyle name="Normal 8 4 2 5" xfId="2039"/>
    <cellStyle name="Normal 8 4 2 5 2" xfId="24207"/>
    <cellStyle name="Normal 8 4 2 6" xfId="3538"/>
    <cellStyle name="Normal 8 4 2 6 2" xfId="25705"/>
    <cellStyle name="Normal 8 4 2 7" xfId="21211"/>
    <cellStyle name="Normal 8 4 2 7 2" xfId="37423"/>
    <cellStyle name="Normal 8 4 2 8" xfId="22709"/>
    <cellStyle name="Normal 8 4 3" xfId="657"/>
    <cellStyle name="Normal 8 4 3 2" xfId="1008"/>
    <cellStyle name="Normal 8 4 3 2 2" xfId="2507"/>
    <cellStyle name="Normal 8 4 3 2 2 2" xfId="24675"/>
    <cellStyle name="Normal 8 4 3 2 3" xfId="4006"/>
    <cellStyle name="Normal 8 4 3 2 3 2" xfId="26173"/>
    <cellStyle name="Normal 8 4 3 2 4" xfId="21679"/>
    <cellStyle name="Normal 8 4 3 2 4 2" xfId="37891"/>
    <cellStyle name="Normal 8 4 3 2 5" xfId="23177"/>
    <cellStyle name="Normal 8 4 3 3" xfId="1359"/>
    <cellStyle name="Normal 8 4 3 3 2" xfId="2858"/>
    <cellStyle name="Normal 8 4 3 3 2 2" xfId="25026"/>
    <cellStyle name="Normal 8 4 3 3 3" xfId="4357"/>
    <cellStyle name="Normal 8 4 3 3 3 2" xfId="26524"/>
    <cellStyle name="Normal 8 4 3 3 4" xfId="22030"/>
    <cellStyle name="Normal 8 4 3 3 4 2" xfId="38242"/>
    <cellStyle name="Normal 8 4 3 3 5" xfId="23528"/>
    <cellStyle name="Normal 8 4 3 4" xfId="1710"/>
    <cellStyle name="Normal 8 4 3 4 2" xfId="3209"/>
    <cellStyle name="Normal 8 4 3 4 2 2" xfId="25377"/>
    <cellStyle name="Normal 8 4 3 4 3" xfId="4708"/>
    <cellStyle name="Normal 8 4 3 4 3 2" xfId="26875"/>
    <cellStyle name="Normal 8 4 3 4 4" xfId="22381"/>
    <cellStyle name="Normal 8 4 3 4 4 2" xfId="38593"/>
    <cellStyle name="Normal 8 4 3 4 5" xfId="23879"/>
    <cellStyle name="Normal 8 4 3 5" xfId="2156"/>
    <cellStyle name="Normal 8 4 3 5 2" xfId="24324"/>
    <cellStyle name="Normal 8 4 3 6" xfId="3655"/>
    <cellStyle name="Normal 8 4 3 6 2" xfId="25822"/>
    <cellStyle name="Normal 8 4 3 7" xfId="21328"/>
    <cellStyle name="Normal 8 4 3 7 2" xfId="37540"/>
    <cellStyle name="Normal 8 4 3 8" xfId="22826"/>
    <cellStyle name="Normal 8 4 4" xfId="774"/>
    <cellStyle name="Normal 8 4 4 2" xfId="2273"/>
    <cellStyle name="Normal 8 4 4 2 2" xfId="24441"/>
    <cellStyle name="Normal 8 4 4 3" xfId="3772"/>
    <cellStyle name="Normal 8 4 4 3 2" xfId="25939"/>
    <cellStyle name="Normal 8 4 4 4" xfId="21445"/>
    <cellStyle name="Normal 8 4 4 4 2" xfId="37657"/>
    <cellStyle name="Normal 8 4 4 5" xfId="22943"/>
    <cellStyle name="Normal 8 4 5" xfId="1125"/>
    <cellStyle name="Normal 8 4 5 2" xfId="2624"/>
    <cellStyle name="Normal 8 4 5 2 2" xfId="24792"/>
    <cellStyle name="Normal 8 4 5 3" xfId="4123"/>
    <cellStyle name="Normal 8 4 5 3 2" xfId="26290"/>
    <cellStyle name="Normal 8 4 5 4" xfId="21796"/>
    <cellStyle name="Normal 8 4 5 4 2" xfId="38008"/>
    <cellStyle name="Normal 8 4 5 5" xfId="23294"/>
    <cellStyle name="Normal 8 4 6" xfId="1476"/>
    <cellStyle name="Normal 8 4 6 2" xfId="2975"/>
    <cellStyle name="Normal 8 4 6 2 2" xfId="25143"/>
    <cellStyle name="Normal 8 4 6 3" xfId="4474"/>
    <cellStyle name="Normal 8 4 6 3 2" xfId="26641"/>
    <cellStyle name="Normal 8 4 6 4" xfId="22147"/>
    <cellStyle name="Normal 8 4 6 4 2" xfId="38359"/>
    <cellStyle name="Normal 8 4 6 5" xfId="23645"/>
    <cellStyle name="Normal 8 4 7" xfId="1922"/>
    <cellStyle name="Normal 8 4 7 2" xfId="24090"/>
    <cellStyle name="Normal 8 4 8" xfId="3421"/>
    <cellStyle name="Normal 8 4 8 2" xfId="25588"/>
    <cellStyle name="Normal 8 4 9" xfId="21094"/>
    <cellStyle name="Normal 8 4 9 2" xfId="37306"/>
    <cellStyle name="Normal 8 5" xfId="433"/>
    <cellStyle name="Normal 8 5 10" xfId="22604"/>
    <cellStyle name="Normal 8 5 2" xfId="551"/>
    <cellStyle name="Normal 8 5 2 2" xfId="903"/>
    <cellStyle name="Normal 8 5 2 2 2" xfId="2402"/>
    <cellStyle name="Normal 8 5 2 2 2 2" xfId="24570"/>
    <cellStyle name="Normal 8 5 2 2 3" xfId="3901"/>
    <cellStyle name="Normal 8 5 2 2 3 2" xfId="26068"/>
    <cellStyle name="Normal 8 5 2 2 4" xfId="21574"/>
    <cellStyle name="Normal 8 5 2 2 4 2" xfId="37786"/>
    <cellStyle name="Normal 8 5 2 2 5" xfId="23072"/>
    <cellStyle name="Normal 8 5 2 3" xfId="1254"/>
    <cellStyle name="Normal 8 5 2 3 2" xfId="2753"/>
    <cellStyle name="Normal 8 5 2 3 2 2" xfId="24921"/>
    <cellStyle name="Normal 8 5 2 3 3" xfId="4252"/>
    <cellStyle name="Normal 8 5 2 3 3 2" xfId="26419"/>
    <cellStyle name="Normal 8 5 2 3 4" xfId="21925"/>
    <cellStyle name="Normal 8 5 2 3 4 2" xfId="38137"/>
    <cellStyle name="Normal 8 5 2 3 5" xfId="23423"/>
    <cellStyle name="Normal 8 5 2 4" xfId="1605"/>
    <cellStyle name="Normal 8 5 2 4 2" xfId="3104"/>
    <cellStyle name="Normal 8 5 2 4 2 2" xfId="25272"/>
    <cellStyle name="Normal 8 5 2 4 3" xfId="4603"/>
    <cellStyle name="Normal 8 5 2 4 3 2" xfId="26770"/>
    <cellStyle name="Normal 8 5 2 4 4" xfId="22276"/>
    <cellStyle name="Normal 8 5 2 4 4 2" xfId="38488"/>
    <cellStyle name="Normal 8 5 2 4 5" xfId="23774"/>
    <cellStyle name="Normal 8 5 2 5" xfId="2051"/>
    <cellStyle name="Normal 8 5 2 5 2" xfId="24219"/>
    <cellStyle name="Normal 8 5 2 6" xfId="3550"/>
    <cellStyle name="Normal 8 5 2 6 2" xfId="25717"/>
    <cellStyle name="Normal 8 5 2 7" xfId="21223"/>
    <cellStyle name="Normal 8 5 2 7 2" xfId="37435"/>
    <cellStyle name="Normal 8 5 2 8" xfId="22721"/>
    <cellStyle name="Normal 8 5 3" xfId="669"/>
    <cellStyle name="Normal 8 5 3 2" xfId="1020"/>
    <cellStyle name="Normal 8 5 3 2 2" xfId="2519"/>
    <cellStyle name="Normal 8 5 3 2 2 2" xfId="24687"/>
    <cellStyle name="Normal 8 5 3 2 3" xfId="4018"/>
    <cellStyle name="Normal 8 5 3 2 3 2" xfId="26185"/>
    <cellStyle name="Normal 8 5 3 2 4" xfId="21691"/>
    <cellStyle name="Normal 8 5 3 2 4 2" xfId="37903"/>
    <cellStyle name="Normal 8 5 3 2 5" xfId="23189"/>
    <cellStyle name="Normal 8 5 3 3" xfId="1371"/>
    <cellStyle name="Normal 8 5 3 3 2" xfId="2870"/>
    <cellStyle name="Normal 8 5 3 3 2 2" xfId="25038"/>
    <cellStyle name="Normal 8 5 3 3 3" xfId="4369"/>
    <cellStyle name="Normal 8 5 3 3 3 2" xfId="26536"/>
    <cellStyle name="Normal 8 5 3 3 4" xfId="22042"/>
    <cellStyle name="Normal 8 5 3 3 4 2" xfId="38254"/>
    <cellStyle name="Normal 8 5 3 3 5" xfId="23540"/>
    <cellStyle name="Normal 8 5 3 4" xfId="1722"/>
    <cellStyle name="Normal 8 5 3 4 2" xfId="3221"/>
    <cellStyle name="Normal 8 5 3 4 2 2" xfId="25389"/>
    <cellStyle name="Normal 8 5 3 4 3" xfId="4720"/>
    <cellStyle name="Normal 8 5 3 4 3 2" xfId="26887"/>
    <cellStyle name="Normal 8 5 3 4 4" xfId="22393"/>
    <cellStyle name="Normal 8 5 3 4 4 2" xfId="38605"/>
    <cellStyle name="Normal 8 5 3 4 5" xfId="23891"/>
    <cellStyle name="Normal 8 5 3 5" xfId="2168"/>
    <cellStyle name="Normal 8 5 3 5 2" xfId="24336"/>
    <cellStyle name="Normal 8 5 3 6" xfId="3667"/>
    <cellStyle name="Normal 8 5 3 6 2" xfId="25834"/>
    <cellStyle name="Normal 8 5 3 7" xfId="21340"/>
    <cellStyle name="Normal 8 5 3 7 2" xfId="37552"/>
    <cellStyle name="Normal 8 5 3 8" xfId="22838"/>
    <cellStyle name="Normal 8 5 4" xfId="786"/>
    <cellStyle name="Normal 8 5 4 2" xfId="2285"/>
    <cellStyle name="Normal 8 5 4 2 2" xfId="24453"/>
    <cellStyle name="Normal 8 5 4 3" xfId="3784"/>
    <cellStyle name="Normal 8 5 4 3 2" xfId="25951"/>
    <cellStyle name="Normal 8 5 4 4" xfId="21457"/>
    <cellStyle name="Normal 8 5 4 4 2" xfId="37669"/>
    <cellStyle name="Normal 8 5 4 5" xfId="22955"/>
    <cellStyle name="Normal 8 5 5" xfId="1137"/>
    <cellStyle name="Normal 8 5 5 2" xfId="2636"/>
    <cellStyle name="Normal 8 5 5 2 2" xfId="24804"/>
    <cellStyle name="Normal 8 5 5 3" xfId="4135"/>
    <cellStyle name="Normal 8 5 5 3 2" xfId="26302"/>
    <cellStyle name="Normal 8 5 5 4" xfId="21808"/>
    <cellStyle name="Normal 8 5 5 4 2" xfId="38020"/>
    <cellStyle name="Normal 8 5 5 5" xfId="23306"/>
    <cellStyle name="Normal 8 5 6" xfId="1488"/>
    <cellStyle name="Normal 8 5 6 2" xfId="2987"/>
    <cellStyle name="Normal 8 5 6 2 2" xfId="25155"/>
    <cellStyle name="Normal 8 5 6 3" xfId="4486"/>
    <cellStyle name="Normal 8 5 6 3 2" xfId="26653"/>
    <cellStyle name="Normal 8 5 6 4" xfId="22159"/>
    <cellStyle name="Normal 8 5 6 4 2" xfId="38371"/>
    <cellStyle name="Normal 8 5 6 5" xfId="23657"/>
    <cellStyle name="Normal 8 5 7" xfId="1934"/>
    <cellStyle name="Normal 8 5 7 2" xfId="24102"/>
    <cellStyle name="Normal 8 5 8" xfId="3433"/>
    <cellStyle name="Normal 8 5 8 2" xfId="25600"/>
    <cellStyle name="Normal 8 5 9" xfId="21106"/>
    <cellStyle name="Normal 8 5 9 2" xfId="37318"/>
    <cellStyle name="Normal 8 6" xfId="440"/>
    <cellStyle name="Normal 8 6 10" xfId="22611"/>
    <cellStyle name="Normal 8 6 2" xfId="558"/>
    <cellStyle name="Normal 8 6 2 2" xfId="910"/>
    <cellStyle name="Normal 8 6 2 2 2" xfId="2409"/>
    <cellStyle name="Normal 8 6 2 2 2 2" xfId="24577"/>
    <cellStyle name="Normal 8 6 2 2 3" xfId="3908"/>
    <cellStyle name="Normal 8 6 2 2 3 2" xfId="26075"/>
    <cellStyle name="Normal 8 6 2 2 4" xfId="21581"/>
    <cellStyle name="Normal 8 6 2 2 4 2" xfId="37793"/>
    <cellStyle name="Normal 8 6 2 2 5" xfId="23079"/>
    <cellStyle name="Normal 8 6 2 3" xfId="1261"/>
    <cellStyle name="Normal 8 6 2 3 2" xfId="2760"/>
    <cellStyle name="Normal 8 6 2 3 2 2" xfId="24928"/>
    <cellStyle name="Normal 8 6 2 3 3" xfId="4259"/>
    <cellStyle name="Normal 8 6 2 3 3 2" xfId="26426"/>
    <cellStyle name="Normal 8 6 2 3 4" xfId="21932"/>
    <cellStyle name="Normal 8 6 2 3 4 2" xfId="38144"/>
    <cellStyle name="Normal 8 6 2 3 5" xfId="23430"/>
    <cellStyle name="Normal 8 6 2 4" xfId="1612"/>
    <cellStyle name="Normal 8 6 2 4 2" xfId="3111"/>
    <cellStyle name="Normal 8 6 2 4 2 2" xfId="25279"/>
    <cellStyle name="Normal 8 6 2 4 3" xfId="4610"/>
    <cellStyle name="Normal 8 6 2 4 3 2" xfId="26777"/>
    <cellStyle name="Normal 8 6 2 4 4" xfId="22283"/>
    <cellStyle name="Normal 8 6 2 4 4 2" xfId="38495"/>
    <cellStyle name="Normal 8 6 2 4 5" xfId="23781"/>
    <cellStyle name="Normal 8 6 2 5" xfId="2058"/>
    <cellStyle name="Normal 8 6 2 5 2" xfId="24226"/>
    <cellStyle name="Normal 8 6 2 6" xfId="3557"/>
    <cellStyle name="Normal 8 6 2 6 2" xfId="25724"/>
    <cellStyle name="Normal 8 6 2 7" xfId="21230"/>
    <cellStyle name="Normal 8 6 2 7 2" xfId="37442"/>
    <cellStyle name="Normal 8 6 2 8" xfId="22728"/>
    <cellStyle name="Normal 8 6 3" xfId="676"/>
    <cellStyle name="Normal 8 6 3 2" xfId="1027"/>
    <cellStyle name="Normal 8 6 3 2 2" xfId="2526"/>
    <cellStyle name="Normal 8 6 3 2 2 2" xfId="24694"/>
    <cellStyle name="Normal 8 6 3 2 3" xfId="4025"/>
    <cellStyle name="Normal 8 6 3 2 3 2" xfId="26192"/>
    <cellStyle name="Normal 8 6 3 2 4" xfId="21698"/>
    <cellStyle name="Normal 8 6 3 2 4 2" xfId="37910"/>
    <cellStyle name="Normal 8 6 3 2 5" xfId="23196"/>
    <cellStyle name="Normal 8 6 3 3" xfId="1378"/>
    <cellStyle name="Normal 8 6 3 3 2" xfId="2877"/>
    <cellStyle name="Normal 8 6 3 3 2 2" xfId="25045"/>
    <cellStyle name="Normal 8 6 3 3 3" xfId="4376"/>
    <cellStyle name="Normal 8 6 3 3 3 2" xfId="26543"/>
    <cellStyle name="Normal 8 6 3 3 4" xfId="22049"/>
    <cellStyle name="Normal 8 6 3 3 4 2" xfId="38261"/>
    <cellStyle name="Normal 8 6 3 3 5" xfId="23547"/>
    <cellStyle name="Normal 8 6 3 4" xfId="1729"/>
    <cellStyle name="Normal 8 6 3 4 2" xfId="3228"/>
    <cellStyle name="Normal 8 6 3 4 2 2" xfId="25396"/>
    <cellStyle name="Normal 8 6 3 4 3" xfId="4727"/>
    <cellStyle name="Normal 8 6 3 4 3 2" xfId="26894"/>
    <cellStyle name="Normal 8 6 3 4 4" xfId="22400"/>
    <cellStyle name="Normal 8 6 3 4 4 2" xfId="38612"/>
    <cellStyle name="Normal 8 6 3 4 5" xfId="23898"/>
    <cellStyle name="Normal 8 6 3 5" xfId="2175"/>
    <cellStyle name="Normal 8 6 3 5 2" xfId="24343"/>
    <cellStyle name="Normal 8 6 3 6" xfId="3674"/>
    <cellStyle name="Normal 8 6 3 6 2" xfId="25841"/>
    <cellStyle name="Normal 8 6 3 7" xfId="21347"/>
    <cellStyle name="Normal 8 6 3 7 2" xfId="37559"/>
    <cellStyle name="Normal 8 6 3 8" xfId="22845"/>
    <cellStyle name="Normal 8 6 4" xfId="793"/>
    <cellStyle name="Normal 8 6 4 2" xfId="2292"/>
    <cellStyle name="Normal 8 6 4 2 2" xfId="24460"/>
    <cellStyle name="Normal 8 6 4 3" xfId="3791"/>
    <cellStyle name="Normal 8 6 4 3 2" xfId="25958"/>
    <cellStyle name="Normal 8 6 4 4" xfId="21464"/>
    <cellStyle name="Normal 8 6 4 4 2" xfId="37676"/>
    <cellStyle name="Normal 8 6 4 5" xfId="22962"/>
    <cellStyle name="Normal 8 6 5" xfId="1144"/>
    <cellStyle name="Normal 8 6 5 2" xfId="2643"/>
    <cellStyle name="Normal 8 6 5 2 2" xfId="24811"/>
    <cellStyle name="Normal 8 6 5 3" xfId="4142"/>
    <cellStyle name="Normal 8 6 5 3 2" xfId="26309"/>
    <cellStyle name="Normal 8 6 5 4" xfId="21815"/>
    <cellStyle name="Normal 8 6 5 4 2" xfId="38027"/>
    <cellStyle name="Normal 8 6 5 5" xfId="23313"/>
    <cellStyle name="Normal 8 6 6" xfId="1495"/>
    <cellStyle name="Normal 8 6 6 2" xfId="2994"/>
    <cellStyle name="Normal 8 6 6 2 2" xfId="25162"/>
    <cellStyle name="Normal 8 6 6 3" xfId="4493"/>
    <cellStyle name="Normal 8 6 6 3 2" xfId="26660"/>
    <cellStyle name="Normal 8 6 6 4" xfId="22166"/>
    <cellStyle name="Normal 8 6 6 4 2" xfId="38378"/>
    <cellStyle name="Normal 8 6 6 5" xfId="23664"/>
    <cellStyle name="Normal 8 6 7" xfId="1941"/>
    <cellStyle name="Normal 8 6 7 2" xfId="24109"/>
    <cellStyle name="Normal 8 6 8" xfId="3440"/>
    <cellStyle name="Normal 8 6 8 2" xfId="25607"/>
    <cellStyle name="Normal 8 6 9" xfId="21113"/>
    <cellStyle name="Normal 8 6 9 2" xfId="37325"/>
    <cellStyle name="Normal 8 7" xfId="445"/>
    <cellStyle name="Normal 8 7 10" xfId="22616"/>
    <cellStyle name="Normal 8 7 2" xfId="563"/>
    <cellStyle name="Normal 8 7 2 2" xfId="915"/>
    <cellStyle name="Normal 8 7 2 2 2" xfId="2414"/>
    <cellStyle name="Normal 8 7 2 2 2 2" xfId="24582"/>
    <cellStyle name="Normal 8 7 2 2 3" xfId="3913"/>
    <cellStyle name="Normal 8 7 2 2 3 2" xfId="26080"/>
    <cellStyle name="Normal 8 7 2 2 4" xfId="21586"/>
    <cellStyle name="Normal 8 7 2 2 4 2" xfId="37798"/>
    <cellStyle name="Normal 8 7 2 2 5" xfId="23084"/>
    <cellStyle name="Normal 8 7 2 3" xfId="1266"/>
    <cellStyle name="Normal 8 7 2 3 2" xfId="2765"/>
    <cellStyle name="Normal 8 7 2 3 2 2" xfId="24933"/>
    <cellStyle name="Normal 8 7 2 3 3" xfId="4264"/>
    <cellStyle name="Normal 8 7 2 3 3 2" xfId="26431"/>
    <cellStyle name="Normal 8 7 2 3 4" xfId="21937"/>
    <cellStyle name="Normal 8 7 2 3 4 2" xfId="38149"/>
    <cellStyle name="Normal 8 7 2 3 5" xfId="23435"/>
    <cellStyle name="Normal 8 7 2 4" xfId="1617"/>
    <cellStyle name="Normal 8 7 2 4 2" xfId="3116"/>
    <cellStyle name="Normal 8 7 2 4 2 2" xfId="25284"/>
    <cellStyle name="Normal 8 7 2 4 3" xfId="4615"/>
    <cellStyle name="Normal 8 7 2 4 3 2" xfId="26782"/>
    <cellStyle name="Normal 8 7 2 4 4" xfId="22288"/>
    <cellStyle name="Normal 8 7 2 4 4 2" xfId="38500"/>
    <cellStyle name="Normal 8 7 2 4 5" xfId="23786"/>
    <cellStyle name="Normal 8 7 2 5" xfId="2063"/>
    <cellStyle name="Normal 8 7 2 5 2" xfId="24231"/>
    <cellStyle name="Normal 8 7 2 6" xfId="3562"/>
    <cellStyle name="Normal 8 7 2 6 2" xfId="25729"/>
    <cellStyle name="Normal 8 7 2 7" xfId="21235"/>
    <cellStyle name="Normal 8 7 2 7 2" xfId="37447"/>
    <cellStyle name="Normal 8 7 2 8" xfId="22733"/>
    <cellStyle name="Normal 8 7 3" xfId="681"/>
    <cellStyle name="Normal 8 7 3 2" xfId="1032"/>
    <cellStyle name="Normal 8 7 3 2 2" xfId="2531"/>
    <cellStyle name="Normal 8 7 3 2 2 2" xfId="24699"/>
    <cellStyle name="Normal 8 7 3 2 3" xfId="4030"/>
    <cellStyle name="Normal 8 7 3 2 3 2" xfId="26197"/>
    <cellStyle name="Normal 8 7 3 2 4" xfId="21703"/>
    <cellStyle name="Normal 8 7 3 2 4 2" xfId="37915"/>
    <cellStyle name="Normal 8 7 3 2 5" xfId="23201"/>
    <cellStyle name="Normal 8 7 3 3" xfId="1383"/>
    <cellStyle name="Normal 8 7 3 3 2" xfId="2882"/>
    <cellStyle name="Normal 8 7 3 3 2 2" xfId="25050"/>
    <cellStyle name="Normal 8 7 3 3 3" xfId="4381"/>
    <cellStyle name="Normal 8 7 3 3 3 2" xfId="26548"/>
    <cellStyle name="Normal 8 7 3 3 4" xfId="22054"/>
    <cellStyle name="Normal 8 7 3 3 4 2" xfId="38266"/>
    <cellStyle name="Normal 8 7 3 3 5" xfId="23552"/>
    <cellStyle name="Normal 8 7 3 4" xfId="1734"/>
    <cellStyle name="Normal 8 7 3 4 2" xfId="3233"/>
    <cellStyle name="Normal 8 7 3 4 2 2" xfId="25401"/>
    <cellStyle name="Normal 8 7 3 4 3" xfId="4732"/>
    <cellStyle name="Normal 8 7 3 4 3 2" xfId="26899"/>
    <cellStyle name="Normal 8 7 3 4 4" xfId="22405"/>
    <cellStyle name="Normal 8 7 3 4 4 2" xfId="38617"/>
    <cellStyle name="Normal 8 7 3 4 5" xfId="23903"/>
    <cellStyle name="Normal 8 7 3 5" xfId="2180"/>
    <cellStyle name="Normal 8 7 3 5 2" xfId="24348"/>
    <cellStyle name="Normal 8 7 3 6" xfId="3679"/>
    <cellStyle name="Normal 8 7 3 6 2" xfId="25846"/>
    <cellStyle name="Normal 8 7 3 7" xfId="21352"/>
    <cellStyle name="Normal 8 7 3 7 2" xfId="37564"/>
    <cellStyle name="Normal 8 7 3 8" xfId="22850"/>
    <cellStyle name="Normal 8 7 4" xfId="798"/>
    <cellStyle name="Normal 8 7 4 2" xfId="2297"/>
    <cellStyle name="Normal 8 7 4 2 2" xfId="24465"/>
    <cellStyle name="Normal 8 7 4 3" xfId="3796"/>
    <cellStyle name="Normal 8 7 4 3 2" xfId="25963"/>
    <cellStyle name="Normal 8 7 4 4" xfId="21469"/>
    <cellStyle name="Normal 8 7 4 4 2" xfId="37681"/>
    <cellStyle name="Normal 8 7 4 5" xfId="22967"/>
    <cellStyle name="Normal 8 7 5" xfId="1149"/>
    <cellStyle name="Normal 8 7 5 2" xfId="2648"/>
    <cellStyle name="Normal 8 7 5 2 2" xfId="24816"/>
    <cellStyle name="Normal 8 7 5 3" xfId="4147"/>
    <cellStyle name="Normal 8 7 5 3 2" xfId="26314"/>
    <cellStyle name="Normal 8 7 5 4" xfId="21820"/>
    <cellStyle name="Normal 8 7 5 4 2" xfId="38032"/>
    <cellStyle name="Normal 8 7 5 5" xfId="23318"/>
    <cellStyle name="Normal 8 7 6" xfId="1500"/>
    <cellStyle name="Normal 8 7 6 2" xfId="2999"/>
    <cellStyle name="Normal 8 7 6 2 2" xfId="25167"/>
    <cellStyle name="Normal 8 7 6 3" xfId="4498"/>
    <cellStyle name="Normal 8 7 6 3 2" xfId="26665"/>
    <cellStyle name="Normal 8 7 6 4" xfId="22171"/>
    <cellStyle name="Normal 8 7 6 4 2" xfId="38383"/>
    <cellStyle name="Normal 8 7 6 5" xfId="23669"/>
    <cellStyle name="Normal 8 7 7" xfId="1946"/>
    <cellStyle name="Normal 8 7 7 2" xfId="24114"/>
    <cellStyle name="Normal 8 7 8" xfId="3445"/>
    <cellStyle name="Normal 8 7 8 2" xfId="25612"/>
    <cellStyle name="Normal 8 7 9" xfId="21118"/>
    <cellStyle name="Normal 8 7 9 2" xfId="37330"/>
    <cellStyle name="Normal 8 8" xfId="466"/>
    <cellStyle name="Normal 8 8 10" xfId="22637"/>
    <cellStyle name="Normal 8 8 2" xfId="584"/>
    <cellStyle name="Normal 8 8 2 2" xfId="936"/>
    <cellStyle name="Normal 8 8 2 2 2" xfId="2435"/>
    <cellStyle name="Normal 8 8 2 2 2 2" xfId="24603"/>
    <cellStyle name="Normal 8 8 2 2 3" xfId="3934"/>
    <cellStyle name="Normal 8 8 2 2 3 2" xfId="26101"/>
    <cellStyle name="Normal 8 8 2 2 4" xfId="21607"/>
    <cellStyle name="Normal 8 8 2 2 4 2" xfId="37819"/>
    <cellStyle name="Normal 8 8 2 2 5" xfId="23105"/>
    <cellStyle name="Normal 8 8 2 3" xfId="1287"/>
    <cellStyle name="Normal 8 8 2 3 2" xfId="2786"/>
    <cellStyle name="Normal 8 8 2 3 2 2" xfId="24954"/>
    <cellStyle name="Normal 8 8 2 3 3" xfId="4285"/>
    <cellStyle name="Normal 8 8 2 3 3 2" xfId="26452"/>
    <cellStyle name="Normal 8 8 2 3 4" xfId="21958"/>
    <cellStyle name="Normal 8 8 2 3 4 2" xfId="38170"/>
    <cellStyle name="Normal 8 8 2 3 5" xfId="23456"/>
    <cellStyle name="Normal 8 8 2 4" xfId="1638"/>
    <cellStyle name="Normal 8 8 2 4 2" xfId="3137"/>
    <cellStyle name="Normal 8 8 2 4 2 2" xfId="25305"/>
    <cellStyle name="Normal 8 8 2 4 3" xfId="4636"/>
    <cellStyle name="Normal 8 8 2 4 3 2" xfId="26803"/>
    <cellStyle name="Normal 8 8 2 4 4" xfId="22309"/>
    <cellStyle name="Normal 8 8 2 4 4 2" xfId="38521"/>
    <cellStyle name="Normal 8 8 2 4 5" xfId="23807"/>
    <cellStyle name="Normal 8 8 2 5" xfId="2084"/>
    <cellStyle name="Normal 8 8 2 5 2" xfId="24252"/>
    <cellStyle name="Normal 8 8 2 6" xfId="3583"/>
    <cellStyle name="Normal 8 8 2 6 2" xfId="25750"/>
    <cellStyle name="Normal 8 8 2 7" xfId="21256"/>
    <cellStyle name="Normal 8 8 2 7 2" xfId="37468"/>
    <cellStyle name="Normal 8 8 2 8" xfId="22754"/>
    <cellStyle name="Normal 8 8 3" xfId="702"/>
    <cellStyle name="Normal 8 8 3 2" xfId="1053"/>
    <cellStyle name="Normal 8 8 3 2 2" xfId="2552"/>
    <cellStyle name="Normal 8 8 3 2 2 2" xfId="24720"/>
    <cellStyle name="Normal 8 8 3 2 3" xfId="4051"/>
    <cellStyle name="Normal 8 8 3 2 3 2" xfId="26218"/>
    <cellStyle name="Normal 8 8 3 2 4" xfId="21724"/>
    <cellStyle name="Normal 8 8 3 2 4 2" xfId="37936"/>
    <cellStyle name="Normal 8 8 3 2 5" xfId="23222"/>
    <cellStyle name="Normal 8 8 3 3" xfId="1404"/>
    <cellStyle name="Normal 8 8 3 3 2" xfId="2903"/>
    <cellStyle name="Normal 8 8 3 3 2 2" xfId="25071"/>
    <cellStyle name="Normal 8 8 3 3 3" xfId="4402"/>
    <cellStyle name="Normal 8 8 3 3 3 2" xfId="26569"/>
    <cellStyle name="Normal 8 8 3 3 4" xfId="22075"/>
    <cellStyle name="Normal 8 8 3 3 4 2" xfId="38287"/>
    <cellStyle name="Normal 8 8 3 3 5" xfId="23573"/>
    <cellStyle name="Normal 8 8 3 4" xfId="1755"/>
    <cellStyle name="Normal 8 8 3 4 2" xfId="3254"/>
    <cellStyle name="Normal 8 8 3 4 2 2" xfId="25422"/>
    <cellStyle name="Normal 8 8 3 4 3" xfId="4753"/>
    <cellStyle name="Normal 8 8 3 4 3 2" xfId="26920"/>
    <cellStyle name="Normal 8 8 3 4 4" xfId="22426"/>
    <cellStyle name="Normal 8 8 3 4 4 2" xfId="38638"/>
    <cellStyle name="Normal 8 8 3 4 5" xfId="23924"/>
    <cellStyle name="Normal 8 8 3 5" xfId="2201"/>
    <cellStyle name="Normal 8 8 3 5 2" xfId="24369"/>
    <cellStyle name="Normal 8 8 3 6" xfId="3700"/>
    <cellStyle name="Normal 8 8 3 6 2" xfId="25867"/>
    <cellStyle name="Normal 8 8 3 7" xfId="21373"/>
    <cellStyle name="Normal 8 8 3 7 2" xfId="37585"/>
    <cellStyle name="Normal 8 8 3 8" xfId="22871"/>
    <cellStyle name="Normal 8 8 4" xfId="819"/>
    <cellStyle name="Normal 8 8 4 2" xfId="2318"/>
    <cellStyle name="Normal 8 8 4 2 2" xfId="24486"/>
    <cellStyle name="Normal 8 8 4 3" xfId="3817"/>
    <cellStyle name="Normal 8 8 4 3 2" xfId="25984"/>
    <cellStyle name="Normal 8 8 4 4" xfId="21490"/>
    <cellStyle name="Normal 8 8 4 4 2" xfId="37702"/>
    <cellStyle name="Normal 8 8 4 5" xfId="22988"/>
    <cellStyle name="Normal 8 8 5" xfId="1170"/>
    <cellStyle name="Normal 8 8 5 2" xfId="2669"/>
    <cellStyle name="Normal 8 8 5 2 2" xfId="24837"/>
    <cellStyle name="Normal 8 8 5 3" xfId="4168"/>
    <cellStyle name="Normal 8 8 5 3 2" xfId="26335"/>
    <cellStyle name="Normal 8 8 5 4" xfId="21841"/>
    <cellStyle name="Normal 8 8 5 4 2" xfId="38053"/>
    <cellStyle name="Normal 8 8 5 5" xfId="23339"/>
    <cellStyle name="Normal 8 8 6" xfId="1521"/>
    <cellStyle name="Normal 8 8 6 2" xfId="3020"/>
    <cellStyle name="Normal 8 8 6 2 2" xfId="25188"/>
    <cellStyle name="Normal 8 8 6 3" xfId="4519"/>
    <cellStyle name="Normal 8 8 6 3 2" xfId="26686"/>
    <cellStyle name="Normal 8 8 6 4" xfId="22192"/>
    <cellStyle name="Normal 8 8 6 4 2" xfId="38404"/>
    <cellStyle name="Normal 8 8 6 5" xfId="23690"/>
    <cellStyle name="Normal 8 8 7" xfId="1967"/>
    <cellStyle name="Normal 8 8 7 2" xfId="24135"/>
    <cellStyle name="Normal 8 8 8" xfId="3466"/>
    <cellStyle name="Normal 8 8 8 2" xfId="25633"/>
    <cellStyle name="Normal 8 8 9" xfId="21139"/>
    <cellStyle name="Normal 8 8 9 2" xfId="37351"/>
    <cellStyle name="Normal 8 9" xfId="479"/>
    <cellStyle name="Normal 8 9 10" xfId="22650"/>
    <cellStyle name="Normal 8 9 2" xfId="597"/>
    <cellStyle name="Normal 8 9 2 2" xfId="949"/>
    <cellStyle name="Normal 8 9 2 2 2" xfId="2448"/>
    <cellStyle name="Normal 8 9 2 2 2 2" xfId="24616"/>
    <cellStyle name="Normal 8 9 2 2 3" xfId="3947"/>
    <cellStyle name="Normal 8 9 2 2 3 2" xfId="26114"/>
    <cellStyle name="Normal 8 9 2 2 4" xfId="21620"/>
    <cellStyle name="Normal 8 9 2 2 4 2" xfId="37832"/>
    <cellStyle name="Normal 8 9 2 2 5" xfId="23118"/>
    <cellStyle name="Normal 8 9 2 3" xfId="1300"/>
    <cellStyle name="Normal 8 9 2 3 2" xfId="2799"/>
    <cellStyle name="Normal 8 9 2 3 2 2" xfId="24967"/>
    <cellStyle name="Normal 8 9 2 3 3" xfId="4298"/>
    <cellStyle name="Normal 8 9 2 3 3 2" xfId="26465"/>
    <cellStyle name="Normal 8 9 2 3 4" xfId="21971"/>
    <cellStyle name="Normal 8 9 2 3 4 2" xfId="38183"/>
    <cellStyle name="Normal 8 9 2 3 5" xfId="23469"/>
    <cellStyle name="Normal 8 9 2 4" xfId="1651"/>
    <cellStyle name="Normal 8 9 2 4 2" xfId="3150"/>
    <cellStyle name="Normal 8 9 2 4 2 2" xfId="25318"/>
    <cellStyle name="Normal 8 9 2 4 3" xfId="4649"/>
    <cellStyle name="Normal 8 9 2 4 3 2" xfId="26816"/>
    <cellStyle name="Normal 8 9 2 4 4" xfId="22322"/>
    <cellStyle name="Normal 8 9 2 4 4 2" xfId="38534"/>
    <cellStyle name="Normal 8 9 2 4 5" xfId="23820"/>
    <cellStyle name="Normal 8 9 2 5" xfId="2097"/>
    <cellStyle name="Normal 8 9 2 5 2" xfId="24265"/>
    <cellStyle name="Normal 8 9 2 6" xfId="3596"/>
    <cellStyle name="Normal 8 9 2 6 2" xfId="25763"/>
    <cellStyle name="Normal 8 9 2 7" xfId="21269"/>
    <cellStyle name="Normal 8 9 2 7 2" xfId="37481"/>
    <cellStyle name="Normal 8 9 2 8" xfId="22767"/>
    <cellStyle name="Normal 8 9 3" xfId="715"/>
    <cellStyle name="Normal 8 9 3 2" xfId="1066"/>
    <cellStyle name="Normal 8 9 3 2 2" xfId="2565"/>
    <cellStyle name="Normal 8 9 3 2 2 2" xfId="24733"/>
    <cellStyle name="Normal 8 9 3 2 3" xfId="4064"/>
    <cellStyle name="Normal 8 9 3 2 3 2" xfId="26231"/>
    <cellStyle name="Normal 8 9 3 2 4" xfId="21737"/>
    <cellStyle name="Normal 8 9 3 2 4 2" xfId="37949"/>
    <cellStyle name="Normal 8 9 3 2 5" xfId="23235"/>
    <cellStyle name="Normal 8 9 3 3" xfId="1417"/>
    <cellStyle name="Normal 8 9 3 3 2" xfId="2916"/>
    <cellStyle name="Normal 8 9 3 3 2 2" xfId="25084"/>
    <cellStyle name="Normal 8 9 3 3 3" xfId="4415"/>
    <cellStyle name="Normal 8 9 3 3 3 2" xfId="26582"/>
    <cellStyle name="Normal 8 9 3 3 4" xfId="22088"/>
    <cellStyle name="Normal 8 9 3 3 4 2" xfId="38300"/>
    <cellStyle name="Normal 8 9 3 3 5" xfId="23586"/>
    <cellStyle name="Normal 8 9 3 4" xfId="1768"/>
    <cellStyle name="Normal 8 9 3 4 2" xfId="3267"/>
    <cellStyle name="Normal 8 9 3 4 2 2" xfId="25435"/>
    <cellStyle name="Normal 8 9 3 4 3" xfId="4766"/>
    <cellStyle name="Normal 8 9 3 4 3 2" xfId="26933"/>
    <cellStyle name="Normal 8 9 3 4 4" xfId="22439"/>
    <cellStyle name="Normal 8 9 3 4 4 2" xfId="38651"/>
    <cellStyle name="Normal 8 9 3 4 5" xfId="23937"/>
    <cellStyle name="Normal 8 9 3 5" xfId="2214"/>
    <cellStyle name="Normal 8 9 3 5 2" xfId="24382"/>
    <cellStyle name="Normal 8 9 3 6" xfId="3713"/>
    <cellStyle name="Normal 8 9 3 6 2" xfId="25880"/>
    <cellStyle name="Normal 8 9 3 7" xfId="21386"/>
    <cellStyle name="Normal 8 9 3 7 2" xfId="37598"/>
    <cellStyle name="Normal 8 9 3 8" xfId="22884"/>
    <cellStyle name="Normal 8 9 4" xfId="832"/>
    <cellStyle name="Normal 8 9 4 2" xfId="2331"/>
    <cellStyle name="Normal 8 9 4 2 2" xfId="24499"/>
    <cellStyle name="Normal 8 9 4 3" xfId="3830"/>
    <cellStyle name="Normal 8 9 4 3 2" xfId="25997"/>
    <cellStyle name="Normal 8 9 4 4" xfId="21503"/>
    <cellStyle name="Normal 8 9 4 4 2" xfId="37715"/>
    <cellStyle name="Normal 8 9 4 5" xfId="23001"/>
    <cellStyle name="Normal 8 9 5" xfId="1183"/>
    <cellStyle name="Normal 8 9 5 2" xfId="2682"/>
    <cellStyle name="Normal 8 9 5 2 2" xfId="24850"/>
    <cellStyle name="Normal 8 9 5 3" xfId="4181"/>
    <cellStyle name="Normal 8 9 5 3 2" xfId="26348"/>
    <cellStyle name="Normal 8 9 5 4" xfId="21854"/>
    <cellStyle name="Normal 8 9 5 4 2" xfId="38066"/>
    <cellStyle name="Normal 8 9 5 5" xfId="23352"/>
    <cellStyle name="Normal 8 9 6" xfId="1534"/>
    <cellStyle name="Normal 8 9 6 2" xfId="3033"/>
    <cellStyle name="Normal 8 9 6 2 2" xfId="25201"/>
    <cellStyle name="Normal 8 9 6 3" xfId="4532"/>
    <cellStyle name="Normal 8 9 6 3 2" xfId="26699"/>
    <cellStyle name="Normal 8 9 6 4" xfId="22205"/>
    <cellStyle name="Normal 8 9 6 4 2" xfId="38417"/>
    <cellStyle name="Normal 8 9 6 5" xfId="23703"/>
    <cellStyle name="Normal 8 9 7" xfId="1980"/>
    <cellStyle name="Normal 8 9 7 2" xfId="24148"/>
    <cellStyle name="Normal 8 9 8" xfId="3479"/>
    <cellStyle name="Normal 8 9 8 2" xfId="25646"/>
    <cellStyle name="Normal 8 9 9" xfId="21152"/>
    <cellStyle name="Normal 8 9 9 2" xfId="37364"/>
    <cellStyle name="Normal 9" xfId="219"/>
    <cellStyle name="Normal 9 10" xfId="38765"/>
    <cellStyle name="Normal 9 11" xfId="39504"/>
    <cellStyle name="Normal 9 12" xfId="39558"/>
    <cellStyle name="Normal 9 13" xfId="302"/>
    <cellStyle name="Normal 9 2" xfId="220"/>
    <cellStyle name="Normal 9 2 2" xfId="221"/>
    <cellStyle name="Normal 9 2 2 2" xfId="13581"/>
    <cellStyle name="Normal 9 2 3" xfId="222"/>
    <cellStyle name="Normal 9 2 4" xfId="390"/>
    <cellStyle name="Normal 9 3" xfId="223"/>
    <cellStyle name="Normal 9 3 2" xfId="224"/>
    <cellStyle name="Normal 9 3 2 2" xfId="24034"/>
    <cellStyle name="Normal 9 3 2 3" xfId="1866"/>
    <cellStyle name="Normal 9 3 3" xfId="3365"/>
    <cellStyle name="Normal 9 3 3 2" xfId="25532"/>
    <cellStyle name="Normal 9 3 4" xfId="21038"/>
    <cellStyle name="Normal 9 3 4 2" xfId="37250"/>
    <cellStyle name="Normal 9 3 5" xfId="22536"/>
    <cellStyle name="Normal 9 3 6" xfId="331"/>
    <cellStyle name="Normal 9 4" xfId="225"/>
    <cellStyle name="Normal 9 4 2" xfId="3291"/>
    <cellStyle name="Normal 9 4 2 2" xfId="25458"/>
    <cellStyle name="Normal 9 4 3" xfId="4789"/>
    <cellStyle name="Normal 9 4 3 2" xfId="26956"/>
    <cellStyle name="Normal 9 4 4" xfId="22462"/>
    <cellStyle name="Normal 9 4 4 2" xfId="38674"/>
    <cellStyle name="Normal 9 4 5" xfId="23960"/>
    <cellStyle name="Normal 9 4 6" xfId="1792"/>
    <cellStyle name="Normal 9 5" xfId="226"/>
    <cellStyle name="Normal 9 5 2" xfId="24006"/>
    <cellStyle name="Normal 9 5 3" xfId="1838"/>
    <cellStyle name="Normal 9 6" xfId="3337"/>
    <cellStyle name="Normal 9 6 2" xfId="25504"/>
    <cellStyle name="Normal 9 7" xfId="4864"/>
    <cellStyle name="Normal 9 7 2" xfId="27001"/>
    <cellStyle name="Normal 9 8" xfId="21010"/>
    <cellStyle name="Normal 9 8 2" xfId="37222"/>
    <cellStyle name="Normal 9 9" xfId="22508"/>
    <cellStyle name="Note" xfId="227" builtinId="10" customBuiltin="1"/>
    <cellStyle name="Note 2" xfId="4914"/>
    <cellStyle name="Note 2 10" xfId="8981"/>
    <cellStyle name="Note 2 10 2" xfId="13583"/>
    <cellStyle name="Note 2 11" xfId="13582"/>
    <cellStyle name="Note 2 12" xfId="14299"/>
    <cellStyle name="Note 2 12 2" xfId="30535"/>
    <cellStyle name="Note 2 13" xfId="8980"/>
    <cellStyle name="Note 2 14" xfId="27016"/>
    <cellStyle name="Note 2 15" xfId="38813"/>
    <cellStyle name="Note 2 2" xfId="8982"/>
    <cellStyle name="Note 2 2 10" xfId="13584"/>
    <cellStyle name="Note 2 2 11" xfId="14300"/>
    <cellStyle name="Note 2 2 11 2" xfId="30536"/>
    <cellStyle name="Note 2 2 12" xfId="38957"/>
    <cellStyle name="Note 2 2 2" xfId="8983"/>
    <cellStyle name="Note 2 2 2 10" xfId="14347"/>
    <cellStyle name="Note 2 2 2 10 2" xfId="30569"/>
    <cellStyle name="Note 2 2 2 11" xfId="39148"/>
    <cellStyle name="Note 2 2 2 2" xfId="8984"/>
    <cellStyle name="Note 2 2 2 2 2" xfId="8985"/>
    <cellStyle name="Note 2 2 2 2 2 2" xfId="8986"/>
    <cellStyle name="Note 2 2 2 2 2 2 2" xfId="8987"/>
    <cellStyle name="Note 2 2 2 2 2 2 2 2" xfId="8988"/>
    <cellStyle name="Note 2 2 2 2 2 2 2 2 2" xfId="13590"/>
    <cellStyle name="Note 2 2 2 2 2 2 2 2 3" xfId="17186"/>
    <cellStyle name="Note 2 2 2 2 2 2 2 2 3 2" xfId="33407"/>
    <cellStyle name="Note 2 2 2 2 2 2 2 3" xfId="8989"/>
    <cellStyle name="Note 2 2 2 2 2 2 2 3 2" xfId="13591"/>
    <cellStyle name="Note 2 2 2 2 2 2 2 4" xfId="13589"/>
    <cellStyle name="Note 2 2 2 2 2 2 2 5" xfId="15601"/>
    <cellStyle name="Note 2 2 2 2 2 2 2 5 2" xfId="31823"/>
    <cellStyle name="Note 2 2 2 2 2 2 3" xfId="8990"/>
    <cellStyle name="Note 2 2 2 2 2 2 3 2" xfId="13592"/>
    <cellStyle name="Note 2 2 2 2 2 2 3 3" xfId="16394"/>
    <cellStyle name="Note 2 2 2 2 2 2 3 3 2" xfId="32615"/>
    <cellStyle name="Note 2 2 2 2 2 2 4" xfId="8991"/>
    <cellStyle name="Note 2 2 2 2 2 2 4 2" xfId="13593"/>
    <cellStyle name="Note 2 2 2 2 2 2 5" xfId="13588"/>
    <cellStyle name="Note 2 2 2 2 2 2 6" xfId="14809"/>
    <cellStyle name="Note 2 2 2 2 2 2 6 2" xfId="31031"/>
    <cellStyle name="Note 2 2 2 2 2 3" xfId="8992"/>
    <cellStyle name="Note 2 2 2 2 2 3 2" xfId="8993"/>
    <cellStyle name="Note 2 2 2 2 2 3 2 2" xfId="8994"/>
    <cellStyle name="Note 2 2 2 2 2 3 2 2 2" xfId="13596"/>
    <cellStyle name="Note 2 2 2 2 2 3 2 2 3" xfId="17450"/>
    <cellStyle name="Note 2 2 2 2 2 3 2 2 3 2" xfId="33671"/>
    <cellStyle name="Note 2 2 2 2 2 3 2 3" xfId="8995"/>
    <cellStyle name="Note 2 2 2 2 2 3 2 3 2" xfId="13597"/>
    <cellStyle name="Note 2 2 2 2 2 3 2 4" xfId="13595"/>
    <cellStyle name="Note 2 2 2 2 2 3 2 5" xfId="15865"/>
    <cellStyle name="Note 2 2 2 2 2 3 2 5 2" xfId="32087"/>
    <cellStyle name="Note 2 2 2 2 2 3 3" xfId="8996"/>
    <cellStyle name="Note 2 2 2 2 2 3 3 2" xfId="13598"/>
    <cellStyle name="Note 2 2 2 2 2 3 3 3" xfId="16658"/>
    <cellStyle name="Note 2 2 2 2 2 3 3 3 2" xfId="32879"/>
    <cellStyle name="Note 2 2 2 2 2 3 4" xfId="8997"/>
    <cellStyle name="Note 2 2 2 2 2 3 4 2" xfId="13599"/>
    <cellStyle name="Note 2 2 2 2 2 3 5" xfId="13594"/>
    <cellStyle name="Note 2 2 2 2 2 3 6" xfId="15073"/>
    <cellStyle name="Note 2 2 2 2 2 3 6 2" xfId="31295"/>
    <cellStyle name="Note 2 2 2 2 2 4" xfId="8998"/>
    <cellStyle name="Note 2 2 2 2 2 4 2" xfId="8999"/>
    <cellStyle name="Note 2 2 2 2 2 4 2 2" xfId="13601"/>
    <cellStyle name="Note 2 2 2 2 2 4 2 3" xfId="16922"/>
    <cellStyle name="Note 2 2 2 2 2 4 2 3 2" xfId="33143"/>
    <cellStyle name="Note 2 2 2 2 2 4 3" xfId="9000"/>
    <cellStyle name="Note 2 2 2 2 2 4 3 2" xfId="13602"/>
    <cellStyle name="Note 2 2 2 2 2 4 4" xfId="13600"/>
    <cellStyle name="Note 2 2 2 2 2 4 5" xfId="15337"/>
    <cellStyle name="Note 2 2 2 2 2 4 5 2" xfId="31559"/>
    <cellStyle name="Note 2 2 2 2 2 5" xfId="9001"/>
    <cellStyle name="Note 2 2 2 2 2 5 2" xfId="13603"/>
    <cellStyle name="Note 2 2 2 2 2 5 3" xfId="16130"/>
    <cellStyle name="Note 2 2 2 2 2 5 3 2" xfId="32351"/>
    <cellStyle name="Note 2 2 2 2 2 6" xfId="9002"/>
    <cellStyle name="Note 2 2 2 2 2 6 2" xfId="13604"/>
    <cellStyle name="Note 2 2 2 2 2 7" xfId="13587"/>
    <cellStyle name="Note 2 2 2 2 2 8" xfId="14545"/>
    <cellStyle name="Note 2 2 2 2 2 8 2" xfId="30767"/>
    <cellStyle name="Note 2 2 2 2 3" xfId="9003"/>
    <cellStyle name="Note 2 2 2 2 3 2" xfId="9004"/>
    <cellStyle name="Note 2 2 2 2 3 2 2" xfId="9005"/>
    <cellStyle name="Note 2 2 2 2 3 2 2 2" xfId="13607"/>
    <cellStyle name="Note 2 2 2 2 3 2 2 3" xfId="17054"/>
    <cellStyle name="Note 2 2 2 2 3 2 2 3 2" xfId="33275"/>
    <cellStyle name="Note 2 2 2 2 3 2 3" xfId="9006"/>
    <cellStyle name="Note 2 2 2 2 3 2 3 2" xfId="13608"/>
    <cellStyle name="Note 2 2 2 2 3 2 4" xfId="13606"/>
    <cellStyle name="Note 2 2 2 2 3 2 5" xfId="15469"/>
    <cellStyle name="Note 2 2 2 2 3 2 5 2" xfId="31691"/>
    <cellStyle name="Note 2 2 2 2 3 3" xfId="9007"/>
    <cellStyle name="Note 2 2 2 2 3 3 2" xfId="13609"/>
    <cellStyle name="Note 2 2 2 2 3 3 3" xfId="16262"/>
    <cellStyle name="Note 2 2 2 2 3 3 3 2" xfId="32483"/>
    <cellStyle name="Note 2 2 2 2 3 4" xfId="9008"/>
    <cellStyle name="Note 2 2 2 2 3 4 2" xfId="13610"/>
    <cellStyle name="Note 2 2 2 2 3 5" xfId="13605"/>
    <cellStyle name="Note 2 2 2 2 3 6" xfId="14677"/>
    <cellStyle name="Note 2 2 2 2 3 6 2" xfId="30899"/>
    <cellStyle name="Note 2 2 2 2 4" xfId="9009"/>
    <cellStyle name="Note 2 2 2 2 4 2" xfId="9010"/>
    <cellStyle name="Note 2 2 2 2 4 2 2" xfId="9011"/>
    <cellStyle name="Note 2 2 2 2 4 2 2 2" xfId="13613"/>
    <cellStyle name="Note 2 2 2 2 4 2 2 3" xfId="17318"/>
    <cellStyle name="Note 2 2 2 2 4 2 2 3 2" xfId="33539"/>
    <cellStyle name="Note 2 2 2 2 4 2 3" xfId="9012"/>
    <cellStyle name="Note 2 2 2 2 4 2 3 2" xfId="13614"/>
    <cellStyle name="Note 2 2 2 2 4 2 4" xfId="13612"/>
    <cellStyle name="Note 2 2 2 2 4 2 5" xfId="15733"/>
    <cellStyle name="Note 2 2 2 2 4 2 5 2" xfId="31955"/>
    <cellStyle name="Note 2 2 2 2 4 3" xfId="9013"/>
    <cellStyle name="Note 2 2 2 2 4 3 2" xfId="13615"/>
    <cellStyle name="Note 2 2 2 2 4 3 3" xfId="16526"/>
    <cellStyle name="Note 2 2 2 2 4 3 3 2" xfId="32747"/>
    <cellStyle name="Note 2 2 2 2 4 4" xfId="9014"/>
    <cellStyle name="Note 2 2 2 2 4 4 2" xfId="13616"/>
    <cellStyle name="Note 2 2 2 2 4 5" xfId="13611"/>
    <cellStyle name="Note 2 2 2 2 4 6" xfId="14941"/>
    <cellStyle name="Note 2 2 2 2 4 6 2" xfId="31163"/>
    <cellStyle name="Note 2 2 2 2 5" xfId="9015"/>
    <cellStyle name="Note 2 2 2 2 5 2" xfId="9016"/>
    <cellStyle name="Note 2 2 2 2 5 2 2" xfId="13618"/>
    <cellStyle name="Note 2 2 2 2 5 2 3" xfId="16790"/>
    <cellStyle name="Note 2 2 2 2 5 2 3 2" xfId="33011"/>
    <cellStyle name="Note 2 2 2 2 5 3" xfId="9017"/>
    <cellStyle name="Note 2 2 2 2 5 3 2" xfId="13619"/>
    <cellStyle name="Note 2 2 2 2 5 4" xfId="13617"/>
    <cellStyle name="Note 2 2 2 2 5 5" xfId="15205"/>
    <cellStyle name="Note 2 2 2 2 5 5 2" xfId="31427"/>
    <cellStyle name="Note 2 2 2 2 6" xfId="9018"/>
    <cellStyle name="Note 2 2 2 2 6 2" xfId="13620"/>
    <cellStyle name="Note 2 2 2 2 6 3" xfId="15998"/>
    <cellStyle name="Note 2 2 2 2 6 3 2" xfId="32219"/>
    <cellStyle name="Note 2 2 2 2 7" xfId="9019"/>
    <cellStyle name="Note 2 2 2 2 7 2" xfId="13621"/>
    <cellStyle name="Note 2 2 2 2 8" xfId="13586"/>
    <cellStyle name="Note 2 2 2 2 9" xfId="14413"/>
    <cellStyle name="Note 2 2 2 2 9 2" xfId="30635"/>
    <cellStyle name="Note 2 2 2 3" xfId="9020"/>
    <cellStyle name="Note 2 2 2 3 2" xfId="9021"/>
    <cellStyle name="Note 2 2 2 3 2 2" xfId="9022"/>
    <cellStyle name="Note 2 2 2 3 2 2 2" xfId="9023"/>
    <cellStyle name="Note 2 2 2 3 2 2 2 2" xfId="13625"/>
    <cellStyle name="Note 2 2 2 3 2 2 2 3" xfId="17120"/>
    <cellStyle name="Note 2 2 2 3 2 2 2 3 2" xfId="33341"/>
    <cellStyle name="Note 2 2 2 3 2 2 3" xfId="9024"/>
    <cellStyle name="Note 2 2 2 3 2 2 3 2" xfId="13626"/>
    <cellStyle name="Note 2 2 2 3 2 2 4" xfId="13624"/>
    <cellStyle name="Note 2 2 2 3 2 2 5" xfId="15535"/>
    <cellStyle name="Note 2 2 2 3 2 2 5 2" xfId="31757"/>
    <cellStyle name="Note 2 2 2 3 2 3" xfId="9025"/>
    <cellStyle name="Note 2 2 2 3 2 3 2" xfId="13627"/>
    <cellStyle name="Note 2 2 2 3 2 3 3" xfId="16328"/>
    <cellStyle name="Note 2 2 2 3 2 3 3 2" xfId="32549"/>
    <cellStyle name="Note 2 2 2 3 2 4" xfId="9026"/>
    <cellStyle name="Note 2 2 2 3 2 4 2" xfId="13628"/>
    <cellStyle name="Note 2 2 2 3 2 5" xfId="13623"/>
    <cellStyle name="Note 2 2 2 3 2 6" xfId="14743"/>
    <cellStyle name="Note 2 2 2 3 2 6 2" xfId="30965"/>
    <cellStyle name="Note 2 2 2 3 3" xfId="9027"/>
    <cellStyle name="Note 2 2 2 3 3 2" xfId="9028"/>
    <cellStyle name="Note 2 2 2 3 3 2 2" xfId="9029"/>
    <cellStyle name="Note 2 2 2 3 3 2 2 2" xfId="13631"/>
    <cellStyle name="Note 2 2 2 3 3 2 2 3" xfId="17384"/>
    <cellStyle name="Note 2 2 2 3 3 2 2 3 2" xfId="33605"/>
    <cellStyle name="Note 2 2 2 3 3 2 3" xfId="9030"/>
    <cellStyle name="Note 2 2 2 3 3 2 3 2" xfId="13632"/>
    <cellStyle name="Note 2 2 2 3 3 2 4" xfId="13630"/>
    <cellStyle name="Note 2 2 2 3 3 2 5" xfId="15799"/>
    <cellStyle name="Note 2 2 2 3 3 2 5 2" xfId="32021"/>
    <cellStyle name="Note 2 2 2 3 3 3" xfId="9031"/>
    <cellStyle name="Note 2 2 2 3 3 3 2" xfId="13633"/>
    <cellStyle name="Note 2 2 2 3 3 3 3" xfId="16592"/>
    <cellStyle name="Note 2 2 2 3 3 3 3 2" xfId="32813"/>
    <cellStyle name="Note 2 2 2 3 3 4" xfId="9032"/>
    <cellStyle name="Note 2 2 2 3 3 4 2" xfId="13634"/>
    <cellStyle name="Note 2 2 2 3 3 5" xfId="13629"/>
    <cellStyle name="Note 2 2 2 3 3 6" xfId="15007"/>
    <cellStyle name="Note 2 2 2 3 3 6 2" xfId="31229"/>
    <cellStyle name="Note 2 2 2 3 4" xfId="9033"/>
    <cellStyle name="Note 2 2 2 3 4 2" xfId="9034"/>
    <cellStyle name="Note 2 2 2 3 4 2 2" xfId="13636"/>
    <cellStyle name="Note 2 2 2 3 4 2 3" xfId="16856"/>
    <cellStyle name="Note 2 2 2 3 4 2 3 2" xfId="33077"/>
    <cellStyle name="Note 2 2 2 3 4 3" xfId="9035"/>
    <cellStyle name="Note 2 2 2 3 4 3 2" xfId="13637"/>
    <cellStyle name="Note 2 2 2 3 4 4" xfId="13635"/>
    <cellStyle name="Note 2 2 2 3 4 5" xfId="15271"/>
    <cellStyle name="Note 2 2 2 3 4 5 2" xfId="31493"/>
    <cellStyle name="Note 2 2 2 3 5" xfId="9036"/>
    <cellStyle name="Note 2 2 2 3 5 2" xfId="13638"/>
    <cellStyle name="Note 2 2 2 3 5 3" xfId="16064"/>
    <cellStyle name="Note 2 2 2 3 5 3 2" xfId="32285"/>
    <cellStyle name="Note 2 2 2 3 6" xfId="9037"/>
    <cellStyle name="Note 2 2 2 3 6 2" xfId="13639"/>
    <cellStyle name="Note 2 2 2 3 7" xfId="13622"/>
    <cellStyle name="Note 2 2 2 3 8" xfId="14479"/>
    <cellStyle name="Note 2 2 2 3 8 2" xfId="30701"/>
    <cellStyle name="Note 2 2 2 4" xfId="9038"/>
    <cellStyle name="Note 2 2 2 4 2" xfId="9039"/>
    <cellStyle name="Note 2 2 2 4 2 2" xfId="9040"/>
    <cellStyle name="Note 2 2 2 4 2 2 2" xfId="13642"/>
    <cellStyle name="Note 2 2 2 4 2 2 3" xfId="16988"/>
    <cellStyle name="Note 2 2 2 4 2 2 3 2" xfId="33209"/>
    <cellStyle name="Note 2 2 2 4 2 3" xfId="9041"/>
    <cellStyle name="Note 2 2 2 4 2 3 2" xfId="13643"/>
    <cellStyle name="Note 2 2 2 4 2 4" xfId="13641"/>
    <cellStyle name="Note 2 2 2 4 2 5" xfId="15403"/>
    <cellStyle name="Note 2 2 2 4 2 5 2" xfId="31625"/>
    <cellStyle name="Note 2 2 2 4 3" xfId="9042"/>
    <cellStyle name="Note 2 2 2 4 3 2" xfId="13644"/>
    <cellStyle name="Note 2 2 2 4 3 3" xfId="16196"/>
    <cellStyle name="Note 2 2 2 4 3 3 2" xfId="32417"/>
    <cellStyle name="Note 2 2 2 4 4" xfId="9043"/>
    <cellStyle name="Note 2 2 2 4 4 2" xfId="13645"/>
    <cellStyle name="Note 2 2 2 4 5" xfId="13640"/>
    <cellStyle name="Note 2 2 2 4 6" xfId="14611"/>
    <cellStyle name="Note 2 2 2 4 6 2" xfId="30833"/>
    <cellStyle name="Note 2 2 2 5" xfId="9044"/>
    <cellStyle name="Note 2 2 2 5 2" xfId="9045"/>
    <cellStyle name="Note 2 2 2 5 2 2" xfId="9046"/>
    <cellStyle name="Note 2 2 2 5 2 2 2" xfId="13648"/>
    <cellStyle name="Note 2 2 2 5 2 2 3" xfId="17252"/>
    <cellStyle name="Note 2 2 2 5 2 2 3 2" xfId="33473"/>
    <cellStyle name="Note 2 2 2 5 2 3" xfId="9047"/>
    <cellStyle name="Note 2 2 2 5 2 3 2" xfId="13649"/>
    <cellStyle name="Note 2 2 2 5 2 4" xfId="13647"/>
    <cellStyle name="Note 2 2 2 5 2 5" xfId="15667"/>
    <cellStyle name="Note 2 2 2 5 2 5 2" xfId="31889"/>
    <cellStyle name="Note 2 2 2 5 3" xfId="9048"/>
    <cellStyle name="Note 2 2 2 5 3 2" xfId="13650"/>
    <cellStyle name="Note 2 2 2 5 3 3" xfId="16460"/>
    <cellStyle name="Note 2 2 2 5 3 3 2" xfId="32681"/>
    <cellStyle name="Note 2 2 2 5 4" xfId="9049"/>
    <cellStyle name="Note 2 2 2 5 4 2" xfId="13651"/>
    <cellStyle name="Note 2 2 2 5 5" xfId="13646"/>
    <cellStyle name="Note 2 2 2 5 6" xfId="14875"/>
    <cellStyle name="Note 2 2 2 5 6 2" xfId="31097"/>
    <cellStyle name="Note 2 2 2 6" xfId="9050"/>
    <cellStyle name="Note 2 2 2 6 2" xfId="9051"/>
    <cellStyle name="Note 2 2 2 6 2 2" xfId="13653"/>
    <cellStyle name="Note 2 2 2 6 2 3" xfId="16724"/>
    <cellStyle name="Note 2 2 2 6 2 3 2" xfId="32945"/>
    <cellStyle name="Note 2 2 2 6 3" xfId="9052"/>
    <cellStyle name="Note 2 2 2 6 3 2" xfId="13654"/>
    <cellStyle name="Note 2 2 2 6 4" xfId="13652"/>
    <cellStyle name="Note 2 2 2 6 5" xfId="15139"/>
    <cellStyle name="Note 2 2 2 6 5 2" xfId="31361"/>
    <cellStyle name="Note 2 2 2 7" xfId="9053"/>
    <cellStyle name="Note 2 2 2 7 2" xfId="13655"/>
    <cellStyle name="Note 2 2 2 7 3" xfId="15932"/>
    <cellStyle name="Note 2 2 2 7 3 2" xfId="32153"/>
    <cellStyle name="Note 2 2 2 8" xfId="9054"/>
    <cellStyle name="Note 2 2 2 8 2" xfId="13656"/>
    <cellStyle name="Note 2 2 2 9" xfId="13585"/>
    <cellStyle name="Note 2 2 3" xfId="9055"/>
    <cellStyle name="Note 2 2 3 10" xfId="39296"/>
    <cellStyle name="Note 2 2 3 2" xfId="9056"/>
    <cellStyle name="Note 2 2 3 2 2" xfId="9057"/>
    <cellStyle name="Note 2 2 3 2 2 2" xfId="9058"/>
    <cellStyle name="Note 2 2 3 2 2 2 2" xfId="9059"/>
    <cellStyle name="Note 2 2 3 2 2 2 2 2" xfId="13661"/>
    <cellStyle name="Note 2 2 3 2 2 2 2 3" xfId="17153"/>
    <cellStyle name="Note 2 2 3 2 2 2 2 3 2" xfId="33374"/>
    <cellStyle name="Note 2 2 3 2 2 2 3" xfId="9060"/>
    <cellStyle name="Note 2 2 3 2 2 2 3 2" xfId="13662"/>
    <cellStyle name="Note 2 2 3 2 2 2 4" xfId="13660"/>
    <cellStyle name="Note 2 2 3 2 2 2 5" xfId="15568"/>
    <cellStyle name="Note 2 2 3 2 2 2 5 2" xfId="31790"/>
    <cellStyle name="Note 2 2 3 2 2 3" xfId="9061"/>
    <cellStyle name="Note 2 2 3 2 2 3 2" xfId="13663"/>
    <cellStyle name="Note 2 2 3 2 2 3 3" xfId="16361"/>
    <cellStyle name="Note 2 2 3 2 2 3 3 2" xfId="32582"/>
    <cellStyle name="Note 2 2 3 2 2 4" xfId="9062"/>
    <cellStyle name="Note 2 2 3 2 2 4 2" xfId="13664"/>
    <cellStyle name="Note 2 2 3 2 2 5" xfId="13659"/>
    <cellStyle name="Note 2 2 3 2 2 6" xfId="14776"/>
    <cellStyle name="Note 2 2 3 2 2 6 2" xfId="30998"/>
    <cellStyle name="Note 2 2 3 2 3" xfId="9063"/>
    <cellStyle name="Note 2 2 3 2 3 2" xfId="9064"/>
    <cellStyle name="Note 2 2 3 2 3 2 2" xfId="9065"/>
    <cellStyle name="Note 2 2 3 2 3 2 2 2" xfId="13667"/>
    <cellStyle name="Note 2 2 3 2 3 2 2 3" xfId="17417"/>
    <cellStyle name="Note 2 2 3 2 3 2 2 3 2" xfId="33638"/>
    <cellStyle name="Note 2 2 3 2 3 2 3" xfId="9066"/>
    <cellStyle name="Note 2 2 3 2 3 2 3 2" xfId="13668"/>
    <cellStyle name="Note 2 2 3 2 3 2 4" xfId="13666"/>
    <cellStyle name="Note 2 2 3 2 3 2 5" xfId="15832"/>
    <cellStyle name="Note 2 2 3 2 3 2 5 2" xfId="32054"/>
    <cellStyle name="Note 2 2 3 2 3 3" xfId="9067"/>
    <cellStyle name="Note 2 2 3 2 3 3 2" xfId="13669"/>
    <cellStyle name="Note 2 2 3 2 3 3 3" xfId="16625"/>
    <cellStyle name="Note 2 2 3 2 3 3 3 2" xfId="32846"/>
    <cellStyle name="Note 2 2 3 2 3 4" xfId="9068"/>
    <cellStyle name="Note 2 2 3 2 3 4 2" xfId="13670"/>
    <cellStyle name="Note 2 2 3 2 3 5" xfId="13665"/>
    <cellStyle name="Note 2 2 3 2 3 6" xfId="15040"/>
    <cellStyle name="Note 2 2 3 2 3 6 2" xfId="31262"/>
    <cellStyle name="Note 2 2 3 2 4" xfId="9069"/>
    <cellStyle name="Note 2 2 3 2 4 2" xfId="9070"/>
    <cellStyle name="Note 2 2 3 2 4 2 2" xfId="13672"/>
    <cellStyle name="Note 2 2 3 2 4 2 3" xfId="16889"/>
    <cellStyle name="Note 2 2 3 2 4 2 3 2" xfId="33110"/>
    <cellStyle name="Note 2 2 3 2 4 3" xfId="9071"/>
    <cellStyle name="Note 2 2 3 2 4 3 2" xfId="13673"/>
    <cellStyle name="Note 2 2 3 2 4 4" xfId="13671"/>
    <cellStyle name="Note 2 2 3 2 4 5" xfId="15304"/>
    <cellStyle name="Note 2 2 3 2 4 5 2" xfId="31526"/>
    <cellStyle name="Note 2 2 3 2 5" xfId="9072"/>
    <cellStyle name="Note 2 2 3 2 5 2" xfId="13674"/>
    <cellStyle name="Note 2 2 3 2 5 3" xfId="16097"/>
    <cellStyle name="Note 2 2 3 2 5 3 2" xfId="32318"/>
    <cellStyle name="Note 2 2 3 2 6" xfId="9073"/>
    <cellStyle name="Note 2 2 3 2 6 2" xfId="13675"/>
    <cellStyle name="Note 2 2 3 2 7" xfId="13658"/>
    <cellStyle name="Note 2 2 3 2 8" xfId="14512"/>
    <cellStyle name="Note 2 2 3 2 8 2" xfId="30734"/>
    <cellStyle name="Note 2 2 3 3" xfId="9074"/>
    <cellStyle name="Note 2 2 3 3 2" xfId="9075"/>
    <cellStyle name="Note 2 2 3 3 2 2" xfId="9076"/>
    <cellStyle name="Note 2 2 3 3 2 2 2" xfId="13678"/>
    <cellStyle name="Note 2 2 3 3 2 2 3" xfId="17021"/>
    <cellStyle name="Note 2 2 3 3 2 2 3 2" xfId="33242"/>
    <cellStyle name="Note 2 2 3 3 2 3" xfId="9077"/>
    <cellStyle name="Note 2 2 3 3 2 3 2" xfId="13679"/>
    <cellStyle name="Note 2 2 3 3 2 4" xfId="13677"/>
    <cellStyle name="Note 2 2 3 3 2 5" xfId="15436"/>
    <cellStyle name="Note 2 2 3 3 2 5 2" xfId="31658"/>
    <cellStyle name="Note 2 2 3 3 3" xfId="9078"/>
    <cellStyle name="Note 2 2 3 3 3 2" xfId="13680"/>
    <cellStyle name="Note 2 2 3 3 3 3" xfId="16229"/>
    <cellStyle name="Note 2 2 3 3 3 3 2" xfId="32450"/>
    <cellStyle name="Note 2 2 3 3 4" xfId="9079"/>
    <cellStyle name="Note 2 2 3 3 4 2" xfId="13681"/>
    <cellStyle name="Note 2 2 3 3 5" xfId="13676"/>
    <cellStyle name="Note 2 2 3 3 6" xfId="14644"/>
    <cellStyle name="Note 2 2 3 3 6 2" xfId="30866"/>
    <cellStyle name="Note 2 2 3 4" xfId="9080"/>
    <cellStyle name="Note 2 2 3 4 2" xfId="9081"/>
    <cellStyle name="Note 2 2 3 4 2 2" xfId="9082"/>
    <cellStyle name="Note 2 2 3 4 2 2 2" xfId="13684"/>
    <cellStyle name="Note 2 2 3 4 2 2 3" xfId="17285"/>
    <cellStyle name="Note 2 2 3 4 2 2 3 2" xfId="33506"/>
    <cellStyle name="Note 2 2 3 4 2 3" xfId="9083"/>
    <cellStyle name="Note 2 2 3 4 2 3 2" xfId="13685"/>
    <cellStyle name="Note 2 2 3 4 2 4" xfId="13683"/>
    <cellStyle name="Note 2 2 3 4 2 5" xfId="15700"/>
    <cellStyle name="Note 2 2 3 4 2 5 2" xfId="31922"/>
    <cellStyle name="Note 2 2 3 4 3" xfId="9084"/>
    <cellStyle name="Note 2 2 3 4 3 2" xfId="13686"/>
    <cellStyle name="Note 2 2 3 4 3 3" xfId="16493"/>
    <cellStyle name="Note 2 2 3 4 3 3 2" xfId="32714"/>
    <cellStyle name="Note 2 2 3 4 4" xfId="9085"/>
    <cellStyle name="Note 2 2 3 4 4 2" xfId="13687"/>
    <cellStyle name="Note 2 2 3 4 5" xfId="13682"/>
    <cellStyle name="Note 2 2 3 4 6" xfId="14908"/>
    <cellStyle name="Note 2 2 3 4 6 2" xfId="31130"/>
    <cellStyle name="Note 2 2 3 5" xfId="9086"/>
    <cellStyle name="Note 2 2 3 5 2" xfId="9087"/>
    <cellStyle name="Note 2 2 3 5 2 2" xfId="13689"/>
    <cellStyle name="Note 2 2 3 5 2 3" xfId="16757"/>
    <cellStyle name="Note 2 2 3 5 2 3 2" xfId="32978"/>
    <cellStyle name="Note 2 2 3 5 3" xfId="9088"/>
    <cellStyle name="Note 2 2 3 5 3 2" xfId="13690"/>
    <cellStyle name="Note 2 2 3 5 4" xfId="13688"/>
    <cellStyle name="Note 2 2 3 5 5" xfId="15172"/>
    <cellStyle name="Note 2 2 3 5 5 2" xfId="31394"/>
    <cellStyle name="Note 2 2 3 6" xfId="9089"/>
    <cellStyle name="Note 2 2 3 6 2" xfId="13691"/>
    <cellStyle name="Note 2 2 3 6 3" xfId="15965"/>
    <cellStyle name="Note 2 2 3 6 3 2" xfId="32186"/>
    <cellStyle name="Note 2 2 3 7" xfId="9090"/>
    <cellStyle name="Note 2 2 3 7 2" xfId="13692"/>
    <cellStyle name="Note 2 2 3 8" xfId="13657"/>
    <cellStyle name="Note 2 2 3 9" xfId="14380"/>
    <cellStyle name="Note 2 2 3 9 2" xfId="30602"/>
    <cellStyle name="Note 2 2 4" xfId="9091"/>
    <cellStyle name="Note 2 2 4 2" xfId="9092"/>
    <cellStyle name="Note 2 2 4 2 2" xfId="9093"/>
    <cellStyle name="Note 2 2 4 2 2 2" xfId="9094"/>
    <cellStyle name="Note 2 2 4 2 2 2 2" xfId="13696"/>
    <cellStyle name="Note 2 2 4 2 2 2 3" xfId="17087"/>
    <cellStyle name="Note 2 2 4 2 2 2 3 2" xfId="33308"/>
    <cellStyle name="Note 2 2 4 2 2 3" xfId="9095"/>
    <cellStyle name="Note 2 2 4 2 2 3 2" xfId="13697"/>
    <cellStyle name="Note 2 2 4 2 2 4" xfId="13695"/>
    <cellStyle name="Note 2 2 4 2 2 5" xfId="15502"/>
    <cellStyle name="Note 2 2 4 2 2 5 2" xfId="31724"/>
    <cellStyle name="Note 2 2 4 2 3" xfId="9096"/>
    <cellStyle name="Note 2 2 4 2 3 2" xfId="13698"/>
    <cellStyle name="Note 2 2 4 2 3 3" xfId="16295"/>
    <cellStyle name="Note 2 2 4 2 3 3 2" xfId="32516"/>
    <cellStyle name="Note 2 2 4 2 4" xfId="9097"/>
    <cellStyle name="Note 2 2 4 2 4 2" xfId="13699"/>
    <cellStyle name="Note 2 2 4 2 5" xfId="13694"/>
    <cellStyle name="Note 2 2 4 2 6" xfId="14710"/>
    <cellStyle name="Note 2 2 4 2 6 2" xfId="30932"/>
    <cellStyle name="Note 2 2 4 3" xfId="9098"/>
    <cellStyle name="Note 2 2 4 3 2" xfId="9099"/>
    <cellStyle name="Note 2 2 4 3 2 2" xfId="9100"/>
    <cellStyle name="Note 2 2 4 3 2 2 2" xfId="13702"/>
    <cellStyle name="Note 2 2 4 3 2 2 3" xfId="17351"/>
    <cellStyle name="Note 2 2 4 3 2 2 3 2" xfId="33572"/>
    <cellStyle name="Note 2 2 4 3 2 3" xfId="9101"/>
    <cellStyle name="Note 2 2 4 3 2 3 2" xfId="13703"/>
    <cellStyle name="Note 2 2 4 3 2 4" xfId="13701"/>
    <cellStyle name="Note 2 2 4 3 2 5" xfId="15766"/>
    <cellStyle name="Note 2 2 4 3 2 5 2" xfId="31988"/>
    <cellStyle name="Note 2 2 4 3 3" xfId="9102"/>
    <cellStyle name="Note 2 2 4 3 3 2" xfId="13704"/>
    <cellStyle name="Note 2 2 4 3 3 3" xfId="16559"/>
    <cellStyle name="Note 2 2 4 3 3 3 2" xfId="32780"/>
    <cellStyle name="Note 2 2 4 3 4" xfId="9103"/>
    <cellStyle name="Note 2 2 4 3 4 2" xfId="13705"/>
    <cellStyle name="Note 2 2 4 3 5" xfId="13700"/>
    <cellStyle name="Note 2 2 4 3 6" xfId="14974"/>
    <cellStyle name="Note 2 2 4 3 6 2" xfId="31196"/>
    <cellStyle name="Note 2 2 4 4" xfId="9104"/>
    <cellStyle name="Note 2 2 4 4 2" xfId="9105"/>
    <cellStyle name="Note 2 2 4 4 2 2" xfId="13707"/>
    <cellStyle name="Note 2 2 4 4 2 3" xfId="16823"/>
    <cellStyle name="Note 2 2 4 4 2 3 2" xfId="33044"/>
    <cellStyle name="Note 2 2 4 4 3" xfId="9106"/>
    <cellStyle name="Note 2 2 4 4 3 2" xfId="13708"/>
    <cellStyle name="Note 2 2 4 4 4" xfId="13706"/>
    <cellStyle name="Note 2 2 4 4 5" xfId="15238"/>
    <cellStyle name="Note 2 2 4 4 5 2" xfId="31460"/>
    <cellStyle name="Note 2 2 4 5" xfId="9107"/>
    <cellStyle name="Note 2 2 4 5 2" xfId="13709"/>
    <cellStyle name="Note 2 2 4 5 3" xfId="16031"/>
    <cellStyle name="Note 2 2 4 5 3 2" xfId="32252"/>
    <cellStyle name="Note 2 2 4 6" xfId="9108"/>
    <cellStyle name="Note 2 2 4 6 2" xfId="13710"/>
    <cellStyle name="Note 2 2 4 7" xfId="13693"/>
    <cellStyle name="Note 2 2 4 8" xfId="14446"/>
    <cellStyle name="Note 2 2 4 8 2" xfId="30668"/>
    <cellStyle name="Note 2 2 4 9" xfId="39445"/>
    <cellStyle name="Note 2 2 5" xfId="9109"/>
    <cellStyle name="Note 2 2 5 2" xfId="9110"/>
    <cellStyle name="Note 2 2 5 2 2" xfId="9111"/>
    <cellStyle name="Note 2 2 5 2 2 2" xfId="13713"/>
    <cellStyle name="Note 2 2 5 2 2 3" xfId="16955"/>
    <cellStyle name="Note 2 2 5 2 2 3 2" xfId="33176"/>
    <cellStyle name="Note 2 2 5 2 3" xfId="9112"/>
    <cellStyle name="Note 2 2 5 2 3 2" xfId="13714"/>
    <cellStyle name="Note 2 2 5 2 4" xfId="13712"/>
    <cellStyle name="Note 2 2 5 2 5" xfId="15370"/>
    <cellStyle name="Note 2 2 5 2 5 2" xfId="31592"/>
    <cellStyle name="Note 2 2 5 3" xfId="9113"/>
    <cellStyle name="Note 2 2 5 3 2" xfId="13715"/>
    <cellStyle name="Note 2 2 5 3 3" xfId="16163"/>
    <cellStyle name="Note 2 2 5 3 3 2" xfId="32384"/>
    <cellStyle name="Note 2 2 5 4" xfId="9114"/>
    <cellStyle name="Note 2 2 5 4 2" xfId="13716"/>
    <cellStyle name="Note 2 2 5 5" xfId="13711"/>
    <cellStyle name="Note 2 2 5 6" xfId="14578"/>
    <cellStyle name="Note 2 2 5 6 2" xfId="30800"/>
    <cellStyle name="Note 2 2 6" xfId="9115"/>
    <cellStyle name="Note 2 2 6 2" xfId="9116"/>
    <cellStyle name="Note 2 2 6 2 2" xfId="9117"/>
    <cellStyle name="Note 2 2 6 2 2 2" xfId="13719"/>
    <cellStyle name="Note 2 2 6 2 2 3" xfId="17219"/>
    <cellStyle name="Note 2 2 6 2 2 3 2" xfId="33440"/>
    <cellStyle name="Note 2 2 6 2 3" xfId="9118"/>
    <cellStyle name="Note 2 2 6 2 3 2" xfId="13720"/>
    <cellStyle name="Note 2 2 6 2 4" xfId="13718"/>
    <cellStyle name="Note 2 2 6 2 5" xfId="15634"/>
    <cellStyle name="Note 2 2 6 2 5 2" xfId="31856"/>
    <cellStyle name="Note 2 2 6 3" xfId="9119"/>
    <cellStyle name="Note 2 2 6 3 2" xfId="13721"/>
    <cellStyle name="Note 2 2 6 3 3" xfId="16427"/>
    <cellStyle name="Note 2 2 6 3 3 2" xfId="32648"/>
    <cellStyle name="Note 2 2 6 4" xfId="9120"/>
    <cellStyle name="Note 2 2 6 4 2" xfId="13722"/>
    <cellStyle name="Note 2 2 6 5" xfId="13717"/>
    <cellStyle name="Note 2 2 6 6" xfId="14842"/>
    <cellStyle name="Note 2 2 6 6 2" xfId="31064"/>
    <cellStyle name="Note 2 2 7" xfId="9121"/>
    <cellStyle name="Note 2 2 7 2" xfId="9122"/>
    <cellStyle name="Note 2 2 7 2 2" xfId="13724"/>
    <cellStyle name="Note 2 2 7 2 3" xfId="16691"/>
    <cellStyle name="Note 2 2 7 2 3 2" xfId="32912"/>
    <cellStyle name="Note 2 2 7 3" xfId="9123"/>
    <cellStyle name="Note 2 2 7 3 2" xfId="13725"/>
    <cellStyle name="Note 2 2 7 4" xfId="13723"/>
    <cellStyle name="Note 2 2 7 5" xfId="15106"/>
    <cellStyle name="Note 2 2 7 5 2" xfId="31328"/>
    <cellStyle name="Note 2 2 8" xfId="9124"/>
    <cellStyle name="Note 2 2 8 2" xfId="13726"/>
    <cellStyle name="Note 2 2 8 3" xfId="15899"/>
    <cellStyle name="Note 2 2 8 3 2" xfId="32120"/>
    <cellStyle name="Note 2 2 9" xfId="9125"/>
    <cellStyle name="Note 2 2 9 2" xfId="13727"/>
    <cellStyle name="Note 2 3" xfId="9126"/>
    <cellStyle name="Note 2 3 10" xfId="14346"/>
    <cellStyle name="Note 2 3 10 2" xfId="30568"/>
    <cellStyle name="Note 2 3 11" xfId="39092"/>
    <cellStyle name="Note 2 3 2" xfId="9127"/>
    <cellStyle name="Note 2 3 2 10" xfId="39498"/>
    <cellStyle name="Note 2 3 2 2" xfId="9128"/>
    <cellStyle name="Note 2 3 2 2 2" xfId="9129"/>
    <cellStyle name="Note 2 3 2 2 2 2" xfId="9130"/>
    <cellStyle name="Note 2 3 2 2 2 2 2" xfId="9131"/>
    <cellStyle name="Note 2 3 2 2 2 2 2 2" xfId="13733"/>
    <cellStyle name="Note 2 3 2 2 2 2 2 3" xfId="17185"/>
    <cellStyle name="Note 2 3 2 2 2 2 2 3 2" xfId="33406"/>
    <cellStyle name="Note 2 3 2 2 2 2 3" xfId="9132"/>
    <cellStyle name="Note 2 3 2 2 2 2 3 2" xfId="13734"/>
    <cellStyle name="Note 2 3 2 2 2 2 4" xfId="13732"/>
    <cellStyle name="Note 2 3 2 2 2 2 5" xfId="15600"/>
    <cellStyle name="Note 2 3 2 2 2 2 5 2" xfId="31822"/>
    <cellStyle name="Note 2 3 2 2 2 3" xfId="9133"/>
    <cellStyle name="Note 2 3 2 2 2 3 2" xfId="13735"/>
    <cellStyle name="Note 2 3 2 2 2 3 3" xfId="16393"/>
    <cellStyle name="Note 2 3 2 2 2 3 3 2" xfId="32614"/>
    <cellStyle name="Note 2 3 2 2 2 4" xfId="9134"/>
    <cellStyle name="Note 2 3 2 2 2 4 2" xfId="13736"/>
    <cellStyle name="Note 2 3 2 2 2 5" xfId="13731"/>
    <cellStyle name="Note 2 3 2 2 2 6" xfId="14808"/>
    <cellStyle name="Note 2 3 2 2 2 6 2" xfId="31030"/>
    <cellStyle name="Note 2 3 2 2 3" xfId="9135"/>
    <cellStyle name="Note 2 3 2 2 3 2" xfId="9136"/>
    <cellStyle name="Note 2 3 2 2 3 2 2" xfId="9137"/>
    <cellStyle name="Note 2 3 2 2 3 2 2 2" xfId="13739"/>
    <cellStyle name="Note 2 3 2 2 3 2 2 3" xfId="17449"/>
    <cellStyle name="Note 2 3 2 2 3 2 2 3 2" xfId="33670"/>
    <cellStyle name="Note 2 3 2 2 3 2 3" xfId="9138"/>
    <cellStyle name="Note 2 3 2 2 3 2 3 2" xfId="13740"/>
    <cellStyle name="Note 2 3 2 2 3 2 4" xfId="13738"/>
    <cellStyle name="Note 2 3 2 2 3 2 5" xfId="15864"/>
    <cellStyle name="Note 2 3 2 2 3 2 5 2" xfId="32086"/>
    <cellStyle name="Note 2 3 2 2 3 3" xfId="9139"/>
    <cellStyle name="Note 2 3 2 2 3 3 2" xfId="13741"/>
    <cellStyle name="Note 2 3 2 2 3 3 3" xfId="16657"/>
    <cellStyle name="Note 2 3 2 2 3 3 3 2" xfId="32878"/>
    <cellStyle name="Note 2 3 2 2 3 4" xfId="9140"/>
    <cellStyle name="Note 2 3 2 2 3 4 2" xfId="13742"/>
    <cellStyle name="Note 2 3 2 2 3 5" xfId="13737"/>
    <cellStyle name="Note 2 3 2 2 3 6" xfId="15072"/>
    <cellStyle name="Note 2 3 2 2 3 6 2" xfId="31294"/>
    <cellStyle name="Note 2 3 2 2 4" xfId="9141"/>
    <cellStyle name="Note 2 3 2 2 4 2" xfId="9142"/>
    <cellStyle name="Note 2 3 2 2 4 2 2" xfId="13744"/>
    <cellStyle name="Note 2 3 2 2 4 2 3" xfId="16921"/>
    <cellStyle name="Note 2 3 2 2 4 2 3 2" xfId="33142"/>
    <cellStyle name="Note 2 3 2 2 4 3" xfId="9143"/>
    <cellStyle name="Note 2 3 2 2 4 3 2" xfId="13745"/>
    <cellStyle name="Note 2 3 2 2 4 4" xfId="13743"/>
    <cellStyle name="Note 2 3 2 2 4 5" xfId="15336"/>
    <cellStyle name="Note 2 3 2 2 4 5 2" xfId="31558"/>
    <cellStyle name="Note 2 3 2 2 5" xfId="9144"/>
    <cellStyle name="Note 2 3 2 2 5 2" xfId="13746"/>
    <cellStyle name="Note 2 3 2 2 5 3" xfId="16129"/>
    <cellStyle name="Note 2 3 2 2 5 3 2" xfId="32350"/>
    <cellStyle name="Note 2 3 2 2 6" xfId="9145"/>
    <cellStyle name="Note 2 3 2 2 6 2" xfId="13747"/>
    <cellStyle name="Note 2 3 2 2 7" xfId="13730"/>
    <cellStyle name="Note 2 3 2 2 8" xfId="14544"/>
    <cellStyle name="Note 2 3 2 2 8 2" xfId="30766"/>
    <cellStyle name="Note 2 3 2 3" xfId="9146"/>
    <cellStyle name="Note 2 3 2 3 2" xfId="9147"/>
    <cellStyle name="Note 2 3 2 3 2 2" xfId="9148"/>
    <cellStyle name="Note 2 3 2 3 2 2 2" xfId="13750"/>
    <cellStyle name="Note 2 3 2 3 2 2 3" xfId="17053"/>
    <cellStyle name="Note 2 3 2 3 2 2 3 2" xfId="33274"/>
    <cellStyle name="Note 2 3 2 3 2 3" xfId="9149"/>
    <cellStyle name="Note 2 3 2 3 2 3 2" xfId="13751"/>
    <cellStyle name="Note 2 3 2 3 2 4" xfId="13749"/>
    <cellStyle name="Note 2 3 2 3 2 5" xfId="15468"/>
    <cellStyle name="Note 2 3 2 3 2 5 2" xfId="31690"/>
    <cellStyle name="Note 2 3 2 3 3" xfId="9150"/>
    <cellStyle name="Note 2 3 2 3 3 2" xfId="13752"/>
    <cellStyle name="Note 2 3 2 3 3 3" xfId="16261"/>
    <cellStyle name="Note 2 3 2 3 3 3 2" xfId="32482"/>
    <cellStyle name="Note 2 3 2 3 4" xfId="9151"/>
    <cellStyle name="Note 2 3 2 3 4 2" xfId="13753"/>
    <cellStyle name="Note 2 3 2 3 5" xfId="13748"/>
    <cellStyle name="Note 2 3 2 3 6" xfId="14676"/>
    <cellStyle name="Note 2 3 2 3 6 2" xfId="30898"/>
    <cellStyle name="Note 2 3 2 4" xfId="9152"/>
    <cellStyle name="Note 2 3 2 4 2" xfId="9153"/>
    <cellStyle name="Note 2 3 2 4 2 2" xfId="9154"/>
    <cellStyle name="Note 2 3 2 4 2 2 2" xfId="13756"/>
    <cellStyle name="Note 2 3 2 4 2 2 3" xfId="17317"/>
    <cellStyle name="Note 2 3 2 4 2 2 3 2" xfId="33538"/>
    <cellStyle name="Note 2 3 2 4 2 3" xfId="9155"/>
    <cellStyle name="Note 2 3 2 4 2 3 2" xfId="13757"/>
    <cellStyle name="Note 2 3 2 4 2 4" xfId="13755"/>
    <cellStyle name="Note 2 3 2 4 2 5" xfId="15732"/>
    <cellStyle name="Note 2 3 2 4 2 5 2" xfId="31954"/>
    <cellStyle name="Note 2 3 2 4 3" xfId="9156"/>
    <cellStyle name="Note 2 3 2 4 3 2" xfId="13758"/>
    <cellStyle name="Note 2 3 2 4 3 3" xfId="16525"/>
    <cellStyle name="Note 2 3 2 4 3 3 2" xfId="32746"/>
    <cellStyle name="Note 2 3 2 4 4" xfId="9157"/>
    <cellStyle name="Note 2 3 2 4 4 2" xfId="13759"/>
    <cellStyle name="Note 2 3 2 4 5" xfId="13754"/>
    <cellStyle name="Note 2 3 2 4 6" xfId="14940"/>
    <cellStyle name="Note 2 3 2 4 6 2" xfId="31162"/>
    <cellStyle name="Note 2 3 2 5" xfId="9158"/>
    <cellStyle name="Note 2 3 2 5 2" xfId="9159"/>
    <cellStyle name="Note 2 3 2 5 2 2" xfId="13761"/>
    <cellStyle name="Note 2 3 2 5 2 3" xfId="16789"/>
    <cellStyle name="Note 2 3 2 5 2 3 2" xfId="33010"/>
    <cellStyle name="Note 2 3 2 5 3" xfId="9160"/>
    <cellStyle name="Note 2 3 2 5 3 2" xfId="13762"/>
    <cellStyle name="Note 2 3 2 5 4" xfId="13760"/>
    <cellStyle name="Note 2 3 2 5 5" xfId="15204"/>
    <cellStyle name="Note 2 3 2 5 5 2" xfId="31426"/>
    <cellStyle name="Note 2 3 2 6" xfId="9161"/>
    <cellStyle name="Note 2 3 2 6 2" xfId="13763"/>
    <cellStyle name="Note 2 3 2 6 3" xfId="15997"/>
    <cellStyle name="Note 2 3 2 6 3 2" xfId="32218"/>
    <cellStyle name="Note 2 3 2 7" xfId="9162"/>
    <cellStyle name="Note 2 3 2 7 2" xfId="13764"/>
    <cellStyle name="Note 2 3 2 8" xfId="13729"/>
    <cellStyle name="Note 2 3 2 9" xfId="14412"/>
    <cellStyle name="Note 2 3 2 9 2" xfId="30634"/>
    <cellStyle name="Note 2 3 3" xfId="9163"/>
    <cellStyle name="Note 2 3 3 2" xfId="9164"/>
    <cellStyle name="Note 2 3 3 2 2" xfId="9165"/>
    <cellStyle name="Note 2 3 3 2 2 2" xfId="9166"/>
    <cellStyle name="Note 2 3 3 2 2 2 2" xfId="13768"/>
    <cellStyle name="Note 2 3 3 2 2 2 3" xfId="17119"/>
    <cellStyle name="Note 2 3 3 2 2 2 3 2" xfId="33340"/>
    <cellStyle name="Note 2 3 3 2 2 3" xfId="9167"/>
    <cellStyle name="Note 2 3 3 2 2 3 2" xfId="13769"/>
    <cellStyle name="Note 2 3 3 2 2 4" xfId="13767"/>
    <cellStyle name="Note 2 3 3 2 2 5" xfId="15534"/>
    <cellStyle name="Note 2 3 3 2 2 5 2" xfId="31756"/>
    <cellStyle name="Note 2 3 3 2 3" xfId="9168"/>
    <cellStyle name="Note 2 3 3 2 3 2" xfId="13770"/>
    <cellStyle name="Note 2 3 3 2 3 3" xfId="16327"/>
    <cellStyle name="Note 2 3 3 2 3 3 2" xfId="32548"/>
    <cellStyle name="Note 2 3 3 2 4" xfId="9169"/>
    <cellStyle name="Note 2 3 3 2 4 2" xfId="13771"/>
    <cellStyle name="Note 2 3 3 2 5" xfId="13766"/>
    <cellStyle name="Note 2 3 3 2 6" xfId="14742"/>
    <cellStyle name="Note 2 3 3 2 6 2" xfId="30964"/>
    <cellStyle name="Note 2 3 3 3" xfId="9170"/>
    <cellStyle name="Note 2 3 3 3 2" xfId="9171"/>
    <cellStyle name="Note 2 3 3 3 2 2" xfId="9172"/>
    <cellStyle name="Note 2 3 3 3 2 2 2" xfId="13774"/>
    <cellStyle name="Note 2 3 3 3 2 2 3" xfId="17383"/>
    <cellStyle name="Note 2 3 3 3 2 2 3 2" xfId="33604"/>
    <cellStyle name="Note 2 3 3 3 2 3" xfId="9173"/>
    <cellStyle name="Note 2 3 3 3 2 3 2" xfId="13775"/>
    <cellStyle name="Note 2 3 3 3 2 4" xfId="13773"/>
    <cellStyle name="Note 2 3 3 3 2 5" xfId="15798"/>
    <cellStyle name="Note 2 3 3 3 2 5 2" xfId="32020"/>
    <cellStyle name="Note 2 3 3 3 3" xfId="9174"/>
    <cellStyle name="Note 2 3 3 3 3 2" xfId="13776"/>
    <cellStyle name="Note 2 3 3 3 3 3" xfId="16591"/>
    <cellStyle name="Note 2 3 3 3 3 3 2" xfId="32812"/>
    <cellStyle name="Note 2 3 3 3 4" xfId="9175"/>
    <cellStyle name="Note 2 3 3 3 4 2" xfId="13777"/>
    <cellStyle name="Note 2 3 3 3 5" xfId="13772"/>
    <cellStyle name="Note 2 3 3 3 6" xfId="15006"/>
    <cellStyle name="Note 2 3 3 3 6 2" xfId="31228"/>
    <cellStyle name="Note 2 3 3 4" xfId="9176"/>
    <cellStyle name="Note 2 3 3 4 2" xfId="9177"/>
    <cellStyle name="Note 2 3 3 4 2 2" xfId="13779"/>
    <cellStyle name="Note 2 3 3 4 2 3" xfId="16855"/>
    <cellStyle name="Note 2 3 3 4 2 3 2" xfId="33076"/>
    <cellStyle name="Note 2 3 3 4 3" xfId="9178"/>
    <cellStyle name="Note 2 3 3 4 3 2" xfId="13780"/>
    <cellStyle name="Note 2 3 3 4 4" xfId="13778"/>
    <cellStyle name="Note 2 3 3 4 5" xfId="15270"/>
    <cellStyle name="Note 2 3 3 4 5 2" xfId="31492"/>
    <cellStyle name="Note 2 3 3 5" xfId="9179"/>
    <cellStyle name="Note 2 3 3 5 2" xfId="13781"/>
    <cellStyle name="Note 2 3 3 5 3" xfId="16063"/>
    <cellStyle name="Note 2 3 3 5 3 2" xfId="32284"/>
    <cellStyle name="Note 2 3 3 6" xfId="9180"/>
    <cellStyle name="Note 2 3 3 6 2" xfId="13782"/>
    <cellStyle name="Note 2 3 3 7" xfId="13765"/>
    <cellStyle name="Note 2 3 3 8" xfId="14478"/>
    <cellStyle name="Note 2 3 3 8 2" xfId="30700"/>
    <cellStyle name="Note 2 3 4" xfId="9181"/>
    <cellStyle name="Note 2 3 4 2" xfId="9182"/>
    <cellStyle name="Note 2 3 4 2 2" xfId="9183"/>
    <cellStyle name="Note 2 3 4 2 2 2" xfId="13785"/>
    <cellStyle name="Note 2 3 4 2 2 3" xfId="16987"/>
    <cellStyle name="Note 2 3 4 2 2 3 2" xfId="33208"/>
    <cellStyle name="Note 2 3 4 2 3" xfId="9184"/>
    <cellStyle name="Note 2 3 4 2 3 2" xfId="13786"/>
    <cellStyle name="Note 2 3 4 2 4" xfId="13784"/>
    <cellStyle name="Note 2 3 4 2 5" xfId="15402"/>
    <cellStyle name="Note 2 3 4 2 5 2" xfId="31624"/>
    <cellStyle name="Note 2 3 4 3" xfId="9185"/>
    <cellStyle name="Note 2 3 4 3 2" xfId="13787"/>
    <cellStyle name="Note 2 3 4 3 3" xfId="16195"/>
    <cellStyle name="Note 2 3 4 3 3 2" xfId="32416"/>
    <cellStyle name="Note 2 3 4 4" xfId="9186"/>
    <cellStyle name="Note 2 3 4 4 2" xfId="13788"/>
    <cellStyle name="Note 2 3 4 5" xfId="13783"/>
    <cellStyle name="Note 2 3 4 6" xfId="14610"/>
    <cellStyle name="Note 2 3 4 6 2" xfId="30832"/>
    <cellStyle name="Note 2 3 5" xfId="9187"/>
    <cellStyle name="Note 2 3 5 2" xfId="9188"/>
    <cellStyle name="Note 2 3 5 2 2" xfId="9189"/>
    <cellStyle name="Note 2 3 5 2 2 2" xfId="13791"/>
    <cellStyle name="Note 2 3 5 2 2 3" xfId="17251"/>
    <cellStyle name="Note 2 3 5 2 2 3 2" xfId="33472"/>
    <cellStyle name="Note 2 3 5 2 3" xfId="9190"/>
    <cellStyle name="Note 2 3 5 2 3 2" xfId="13792"/>
    <cellStyle name="Note 2 3 5 2 4" xfId="13790"/>
    <cellStyle name="Note 2 3 5 2 5" xfId="15666"/>
    <cellStyle name="Note 2 3 5 2 5 2" xfId="31888"/>
    <cellStyle name="Note 2 3 5 3" xfId="9191"/>
    <cellStyle name="Note 2 3 5 3 2" xfId="13793"/>
    <cellStyle name="Note 2 3 5 3 3" xfId="16459"/>
    <cellStyle name="Note 2 3 5 3 3 2" xfId="32680"/>
    <cellStyle name="Note 2 3 5 4" xfId="9192"/>
    <cellStyle name="Note 2 3 5 4 2" xfId="13794"/>
    <cellStyle name="Note 2 3 5 5" xfId="13789"/>
    <cellStyle name="Note 2 3 5 6" xfId="14874"/>
    <cellStyle name="Note 2 3 5 6 2" xfId="31096"/>
    <cellStyle name="Note 2 3 6" xfId="9193"/>
    <cellStyle name="Note 2 3 6 2" xfId="9194"/>
    <cellStyle name="Note 2 3 6 2 2" xfId="13796"/>
    <cellStyle name="Note 2 3 6 2 3" xfId="16723"/>
    <cellStyle name="Note 2 3 6 2 3 2" xfId="32944"/>
    <cellStyle name="Note 2 3 6 3" xfId="9195"/>
    <cellStyle name="Note 2 3 6 3 2" xfId="13797"/>
    <cellStyle name="Note 2 3 6 4" xfId="13795"/>
    <cellStyle name="Note 2 3 6 5" xfId="15138"/>
    <cellStyle name="Note 2 3 6 5 2" xfId="31360"/>
    <cellStyle name="Note 2 3 7" xfId="9196"/>
    <cellStyle name="Note 2 3 7 2" xfId="13798"/>
    <cellStyle name="Note 2 3 7 3" xfId="15931"/>
    <cellStyle name="Note 2 3 7 3 2" xfId="32152"/>
    <cellStyle name="Note 2 3 8" xfId="9197"/>
    <cellStyle name="Note 2 3 8 2" xfId="13799"/>
    <cellStyle name="Note 2 3 9" xfId="13728"/>
    <cellStyle name="Note 2 4" xfId="9198"/>
    <cellStyle name="Note 2 4 10" xfId="39240"/>
    <cellStyle name="Note 2 4 2" xfId="9199"/>
    <cellStyle name="Note 2 4 2 2" xfId="9200"/>
    <cellStyle name="Note 2 4 2 2 2" xfId="9201"/>
    <cellStyle name="Note 2 4 2 2 2 2" xfId="9202"/>
    <cellStyle name="Note 2 4 2 2 2 2 2" xfId="13804"/>
    <cellStyle name="Note 2 4 2 2 2 2 3" xfId="17152"/>
    <cellStyle name="Note 2 4 2 2 2 2 3 2" xfId="33373"/>
    <cellStyle name="Note 2 4 2 2 2 3" xfId="9203"/>
    <cellStyle name="Note 2 4 2 2 2 3 2" xfId="13805"/>
    <cellStyle name="Note 2 4 2 2 2 4" xfId="13803"/>
    <cellStyle name="Note 2 4 2 2 2 5" xfId="15567"/>
    <cellStyle name="Note 2 4 2 2 2 5 2" xfId="31789"/>
    <cellStyle name="Note 2 4 2 2 3" xfId="9204"/>
    <cellStyle name="Note 2 4 2 2 3 2" xfId="13806"/>
    <cellStyle name="Note 2 4 2 2 3 3" xfId="16360"/>
    <cellStyle name="Note 2 4 2 2 3 3 2" xfId="32581"/>
    <cellStyle name="Note 2 4 2 2 4" xfId="9205"/>
    <cellStyle name="Note 2 4 2 2 4 2" xfId="13807"/>
    <cellStyle name="Note 2 4 2 2 5" xfId="13802"/>
    <cellStyle name="Note 2 4 2 2 6" xfId="14775"/>
    <cellStyle name="Note 2 4 2 2 6 2" xfId="30997"/>
    <cellStyle name="Note 2 4 2 3" xfId="9206"/>
    <cellStyle name="Note 2 4 2 3 2" xfId="9207"/>
    <cellStyle name="Note 2 4 2 3 2 2" xfId="9208"/>
    <cellStyle name="Note 2 4 2 3 2 2 2" xfId="13810"/>
    <cellStyle name="Note 2 4 2 3 2 2 3" xfId="17416"/>
    <cellStyle name="Note 2 4 2 3 2 2 3 2" xfId="33637"/>
    <cellStyle name="Note 2 4 2 3 2 3" xfId="9209"/>
    <cellStyle name="Note 2 4 2 3 2 3 2" xfId="13811"/>
    <cellStyle name="Note 2 4 2 3 2 4" xfId="13809"/>
    <cellStyle name="Note 2 4 2 3 2 5" xfId="15831"/>
    <cellStyle name="Note 2 4 2 3 2 5 2" xfId="32053"/>
    <cellStyle name="Note 2 4 2 3 3" xfId="9210"/>
    <cellStyle name="Note 2 4 2 3 3 2" xfId="13812"/>
    <cellStyle name="Note 2 4 2 3 3 3" xfId="16624"/>
    <cellStyle name="Note 2 4 2 3 3 3 2" xfId="32845"/>
    <cellStyle name="Note 2 4 2 3 4" xfId="9211"/>
    <cellStyle name="Note 2 4 2 3 4 2" xfId="13813"/>
    <cellStyle name="Note 2 4 2 3 5" xfId="13808"/>
    <cellStyle name="Note 2 4 2 3 6" xfId="15039"/>
    <cellStyle name="Note 2 4 2 3 6 2" xfId="31261"/>
    <cellStyle name="Note 2 4 2 4" xfId="9212"/>
    <cellStyle name="Note 2 4 2 4 2" xfId="9213"/>
    <cellStyle name="Note 2 4 2 4 2 2" xfId="13815"/>
    <cellStyle name="Note 2 4 2 4 2 3" xfId="16888"/>
    <cellStyle name="Note 2 4 2 4 2 3 2" xfId="33109"/>
    <cellStyle name="Note 2 4 2 4 3" xfId="9214"/>
    <cellStyle name="Note 2 4 2 4 3 2" xfId="13816"/>
    <cellStyle name="Note 2 4 2 4 4" xfId="13814"/>
    <cellStyle name="Note 2 4 2 4 5" xfId="15303"/>
    <cellStyle name="Note 2 4 2 4 5 2" xfId="31525"/>
    <cellStyle name="Note 2 4 2 5" xfId="9215"/>
    <cellStyle name="Note 2 4 2 5 2" xfId="13817"/>
    <cellStyle name="Note 2 4 2 5 3" xfId="16096"/>
    <cellStyle name="Note 2 4 2 5 3 2" xfId="32317"/>
    <cellStyle name="Note 2 4 2 6" xfId="9216"/>
    <cellStyle name="Note 2 4 2 6 2" xfId="13818"/>
    <cellStyle name="Note 2 4 2 7" xfId="13801"/>
    <cellStyle name="Note 2 4 2 8" xfId="14511"/>
    <cellStyle name="Note 2 4 2 8 2" xfId="30733"/>
    <cellStyle name="Note 2 4 3" xfId="9217"/>
    <cellStyle name="Note 2 4 3 2" xfId="9218"/>
    <cellStyle name="Note 2 4 3 2 2" xfId="9219"/>
    <cellStyle name="Note 2 4 3 2 2 2" xfId="13821"/>
    <cellStyle name="Note 2 4 3 2 2 3" xfId="17020"/>
    <cellStyle name="Note 2 4 3 2 2 3 2" xfId="33241"/>
    <cellStyle name="Note 2 4 3 2 3" xfId="9220"/>
    <cellStyle name="Note 2 4 3 2 3 2" xfId="13822"/>
    <cellStyle name="Note 2 4 3 2 4" xfId="13820"/>
    <cellStyle name="Note 2 4 3 2 5" xfId="15435"/>
    <cellStyle name="Note 2 4 3 2 5 2" xfId="31657"/>
    <cellStyle name="Note 2 4 3 3" xfId="9221"/>
    <cellStyle name="Note 2 4 3 3 2" xfId="13823"/>
    <cellStyle name="Note 2 4 3 3 3" xfId="16228"/>
    <cellStyle name="Note 2 4 3 3 3 2" xfId="32449"/>
    <cellStyle name="Note 2 4 3 4" xfId="9222"/>
    <cellStyle name="Note 2 4 3 4 2" xfId="13824"/>
    <cellStyle name="Note 2 4 3 5" xfId="13819"/>
    <cellStyle name="Note 2 4 3 6" xfId="14643"/>
    <cellStyle name="Note 2 4 3 6 2" xfId="30865"/>
    <cellStyle name="Note 2 4 4" xfId="9223"/>
    <cellStyle name="Note 2 4 4 2" xfId="9224"/>
    <cellStyle name="Note 2 4 4 2 2" xfId="9225"/>
    <cellStyle name="Note 2 4 4 2 2 2" xfId="13827"/>
    <cellStyle name="Note 2 4 4 2 2 3" xfId="17284"/>
    <cellStyle name="Note 2 4 4 2 2 3 2" xfId="33505"/>
    <cellStyle name="Note 2 4 4 2 3" xfId="9226"/>
    <cellStyle name="Note 2 4 4 2 3 2" xfId="13828"/>
    <cellStyle name="Note 2 4 4 2 4" xfId="13826"/>
    <cellStyle name="Note 2 4 4 2 5" xfId="15699"/>
    <cellStyle name="Note 2 4 4 2 5 2" xfId="31921"/>
    <cellStyle name="Note 2 4 4 3" xfId="9227"/>
    <cellStyle name="Note 2 4 4 3 2" xfId="13829"/>
    <cellStyle name="Note 2 4 4 3 3" xfId="16492"/>
    <cellStyle name="Note 2 4 4 3 3 2" xfId="32713"/>
    <cellStyle name="Note 2 4 4 4" xfId="9228"/>
    <cellStyle name="Note 2 4 4 4 2" xfId="13830"/>
    <cellStyle name="Note 2 4 4 5" xfId="13825"/>
    <cellStyle name="Note 2 4 4 6" xfId="14907"/>
    <cellStyle name="Note 2 4 4 6 2" xfId="31129"/>
    <cellStyle name="Note 2 4 5" xfId="9229"/>
    <cellStyle name="Note 2 4 5 2" xfId="9230"/>
    <cellStyle name="Note 2 4 5 2 2" xfId="13832"/>
    <cellStyle name="Note 2 4 5 2 3" xfId="16756"/>
    <cellStyle name="Note 2 4 5 2 3 2" xfId="32977"/>
    <cellStyle name="Note 2 4 5 3" xfId="9231"/>
    <cellStyle name="Note 2 4 5 3 2" xfId="13833"/>
    <cellStyle name="Note 2 4 5 4" xfId="13831"/>
    <cellStyle name="Note 2 4 5 5" xfId="15171"/>
    <cellStyle name="Note 2 4 5 5 2" xfId="31393"/>
    <cellStyle name="Note 2 4 6" xfId="9232"/>
    <cellStyle name="Note 2 4 6 2" xfId="13834"/>
    <cellStyle name="Note 2 4 6 3" xfId="15964"/>
    <cellStyle name="Note 2 4 6 3 2" xfId="32185"/>
    <cellStyle name="Note 2 4 7" xfId="9233"/>
    <cellStyle name="Note 2 4 7 2" xfId="13835"/>
    <cellStyle name="Note 2 4 8" xfId="13800"/>
    <cellStyle name="Note 2 4 9" xfId="14379"/>
    <cellStyle name="Note 2 4 9 2" xfId="30601"/>
    <cellStyle name="Note 2 5" xfId="9234"/>
    <cellStyle name="Note 2 5 2" xfId="9235"/>
    <cellStyle name="Note 2 5 2 2" xfId="9236"/>
    <cellStyle name="Note 2 5 2 2 2" xfId="9237"/>
    <cellStyle name="Note 2 5 2 2 2 2" xfId="13839"/>
    <cellStyle name="Note 2 5 2 2 2 3" xfId="17086"/>
    <cellStyle name="Note 2 5 2 2 2 3 2" xfId="33307"/>
    <cellStyle name="Note 2 5 2 2 3" xfId="9238"/>
    <cellStyle name="Note 2 5 2 2 3 2" xfId="13840"/>
    <cellStyle name="Note 2 5 2 2 4" xfId="13838"/>
    <cellStyle name="Note 2 5 2 2 5" xfId="15501"/>
    <cellStyle name="Note 2 5 2 2 5 2" xfId="31723"/>
    <cellStyle name="Note 2 5 2 3" xfId="9239"/>
    <cellStyle name="Note 2 5 2 3 2" xfId="13841"/>
    <cellStyle name="Note 2 5 2 3 3" xfId="16294"/>
    <cellStyle name="Note 2 5 2 3 3 2" xfId="32515"/>
    <cellStyle name="Note 2 5 2 4" xfId="9240"/>
    <cellStyle name="Note 2 5 2 4 2" xfId="13842"/>
    <cellStyle name="Note 2 5 2 5" xfId="13837"/>
    <cellStyle name="Note 2 5 2 6" xfId="14709"/>
    <cellStyle name="Note 2 5 2 6 2" xfId="30931"/>
    <cellStyle name="Note 2 5 3" xfId="9241"/>
    <cellStyle name="Note 2 5 3 2" xfId="9242"/>
    <cellStyle name="Note 2 5 3 2 2" xfId="9243"/>
    <cellStyle name="Note 2 5 3 2 2 2" xfId="13845"/>
    <cellStyle name="Note 2 5 3 2 2 3" xfId="17350"/>
    <cellStyle name="Note 2 5 3 2 2 3 2" xfId="33571"/>
    <cellStyle name="Note 2 5 3 2 3" xfId="9244"/>
    <cellStyle name="Note 2 5 3 2 3 2" xfId="13846"/>
    <cellStyle name="Note 2 5 3 2 4" xfId="13844"/>
    <cellStyle name="Note 2 5 3 2 5" xfId="15765"/>
    <cellStyle name="Note 2 5 3 2 5 2" xfId="31987"/>
    <cellStyle name="Note 2 5 3 3" xfId="9245"/>
    <cellStyle name="Note 2 5 3 3 2" xfId="13847"/>
    <cellStyle name="Note 2 5 3 3 3" xfId="16558"/>
    <cellStyle name="Note 2 5 3 3 3 2" xfId="32779"/>
    <cellStyle name="Note 2 5 3 4" xfId="9246"/>
    <cellStyle name="Note 2 5 3 4 2" xfId="13848"/>
    <cellStyle name="Note 2 5 3 5" xfId="13843"/>
    <cellStyle name="Note 2 5 3 6" xfId="14973"/>
    <cellStyle name="Note 2 5 3 6 2" xfId="31195"/>
    <cellStyle name="Note 2 5 4" xfId="9247"/>
    <cellStyle name="Note 2 5 4 2" xfId="9248"/>
    <cellStyle name="Note 2 5 4 2 2" xfId="13850"/>
    <cellStyle name="Note 2 5 4 2 3" xfId="16822"/>
    <cellStyle name="Note 2 5 4 2 3 2" xfId="33043"/>
    <cellStyle name="Note 2 5 4 3" xfId="9249"/>
    <cellStyle name="Note 2 5 4 3 2" xfId="13851"/>
    <cellStyle name="Note 2 5 4 4" xfId="13849"/>
    <cellStyle name="Note 2 5 4 5" xfId="15237"/>
    <cellStyle name="Note 2 5 4 5 2" xfId="31459"/>
    <cellStyle name="Note 2 5 5" xfId="9250"/>
    <cellStyle name="Note 2 5 5 2" xfId="13852"/>
    <cellStyle name="Note 2 5 5 3" xfId="16030"/>
    <cellStyle name="Note 2 5 5 3 2" xfId="32251"/>
    <cellStyle name="Note 2 5 6" xfId="9251"/>
    <cellStyle name="Note 2 5 6 2" xfId="13853"/>
    <cellStyle name="Note 2 5 7" xfId="13836"/>
    <cellStyle name="Note 2 5 8" xfId="14445"/>
    <cellStyle name="Note 2 5 8 2" xfId="30667"/>
    <cellStyle name="Note 2 5 9" xfId="39389"/>
    <cellStyle name="Note 2 6" xfId="9252"/>
    <cellStyle name="Note 2 6 2" xfId="9253"/>
    <cellStyle name="Note 2 6 2 2" xfId="9254"/>
    <cellStyle name="Note 2 6 2 2 2" xfId="13856"/>
    <cellStyle name="Note 2 6 2 2 3" xfId="16954"/>
    <cellStyle name="Note 2 6 2 2 3 2" xfId="33175"/>
    <cellStyle name="Note 2 6 2 3" xfId="9255"/>
    <cellStyle name="Note 2 6 2 3 2" xfId="13857"/>
    <cellStyle name="Note 2 6 2 4" xfId="13855"/>
    <cellStyle name="Note 2 6 2 5" xfId="15369"/>
    <cellStyle name="Note 2 6 2 5 2" xfId="31591"/>
    <cellStyle name="Note 2 6 3" xfId="9256"/>
    <cellStyle name="Note 2 6 3 2" xfId="13858"/>
    <cellStyle name="Note 2 6 3 3" xfId="16162"/>
    <cellStyle name="Note 2 6 3 3 2" xfId="32383"/>
    <cellStyle name="Note 2 6 4" xfId="9257"/>
    <cellStyle name="Note 2 6 4 2" xfId="13859"/>
    <cellStyle name="Note 2 6 5" xfId="13854"/>
    <cellStyle name="Note 2 6 6" xfId="14577"/>
    <cellStyle name="Note 2 6 6 2" xfId="30799"/>
    <cellStyle name="Note 2 7" xfId="9258"/>
    <cellStyle name="Note 2 7 2" xfId="9259"/>
    <cellStyle name="Note 2 7 2 2" xfId="9260"/>
    <cellStyle name="Note 2 7 2 2 2" xfId="13862"/>
    <cellStyle name="Note 2 7 2 2 3" xfId="17218"/>
    <cellStyle name="Note 2 7 2 2 3 2" xfId="33439"/>
    <cellStyle name="Note 2 7 2 3" xfId="9261"/>
    <cellStyle name="Note 2 7 2 3 2" xfId="13863"/>
    <cellStyle name="Note 2 7 2 4" xfId="13861"/>
    <cellStyle name="Note 2 7 2 5" xfId="15633"/>
    <cellStyle name="Note 2 7 2 5 2" xfId="31855"/>
    <cellStyle name="Note 2 7 3" xfId="9262"/>
    <cellStyle name="Note 2 7 3 2" xfId="13864"/>
    <cellStyle name="Note 2 7 3 3" xfId="16426"/>
    <cellStyle name="Note 2 7 3 3 2" xfId="32647"/>
    <cellStyle name="Note 2 7 4" xfId="9263"/>
    <cellStyle name="Note 2 7 4 2" xfId="13865"/>
    <cellStyle name="Note 2 7 5" xfId="13860"/>
    <cellStyle name="Note 2 7 6" xfId="14841"/>
    <cellStyle name="Note 2 7 6 2" xfId="31063"/>
    <cellStyle name="Note 2 8" xfId="9264"/>
    <cellStyle name="Note 2 8 2" xfId="9265"/>
    <cellStyle name="Note 2 8 2 2" xfId="13867"/>
    <cellStyle name="Note 2 8 2 3" xfId="16690"/>
    <cellStyle name="Note 2 8 2 3 2" xfId="32911"/>
    <cellStyle name="Note 2 8 3" xfId="9266"/>
    <cellStyle name="Note 2 8 3 2" xfId="13868"/>
    <cellStyle name="Note 2 8 4" xfId="13866"/>
    <cellStyle name="Note 2 8 5" xfId="15105"/>
    <cellStyle name="Note 2 8 5 2" xfId="31327"/>
    <cellStyle name="Note 2 9" xfId="9267"/>
    <cellStyle name="Note 2 9 2" xfId="13869"/>
    <cellStyle name="Note 2 9 3" xfId="15898"/>
    <cellStyle name="Note 2 9 3 2" xfId="32119"/>
    <cellStyle name="Note 3" xfId="9268"/>
    <cellStyle name="Note 3 10" xfId="9269"/>
    <cellStyle name="Note 3 10 2" xfId="13871"/>
    <cellStyle name="Note 3 11" xfId="13870"/>
    <cellStyle name="Note 3 12" xfId="14301"/>
    <cellStyle name="Note 3 12 2" xfId="30537"/>
    <cellStyle name="Note 3 13" xfId="38814"/>
    <cellStyle name="Note 3 2" xfId="9270"/>
    <cellStyle name="Note 3 2 10" xfId="13872"/>
    <cellStyle name="Note 3 2 11" xfId="14302"/>
    <cellStyle name="Note 3 2 11 2" xfId="30538"/>
    <cellStyle name="Note 3 2 12" xfId="38959"/>
    <cellStyle name="Note 3 2 2" xfId="9271"/>
    <cellStyle name="Note 3 2 2 10" xfId="14349"/>
    <cellStyle name="Note 3 2 2 10 2" xfId="30571"/>
    <cellStyle name="Note 3 2 2 11" xfId="39149"/>
    <cellStyle name="Note 3 2 2 2" xfId="9272"/>
    <cellStyle name="Note 3 2 2 2 2" xfId="9273"/>
    <cellStyle name="Note 3 2 2 2 2 2" xfId="9274"/>
    <cellStyle name="Note 3 2 2 2 2 2 2" xfId="9275"/>
    <cellStyle name="Note 3 2 2 2 2 2 2 2" xfId="9276"/>
    <cellStyle name="Note 3 2 2 2 2 2 2 2 2" xfId="13878"/>
    <cellStyle name="Note 3 2 2 2 2 2 2 2 3" xfId="17188"/>
    <cellStyle name="Note 3 2 2 2 2 2 2 2 3 2" xfId="33409"/>
    <cellStyle name="Note 3 2 2 2 2 2 2 3" xfId="9277"/>
    <cellStyle name="Note 3 2 2 2 2 2 2 3 2" xfId="13879"/>
    <cellStyle name="Note 3 2 2 2 2 2 2 4" xfId="13877"/>
    <cellStyle name="Note 3 2 2 2 2 2 2 5" xfId="15603"/>
    <cellStyle name="Note 3 2 2 2 2 2 2 5 2" xfId="31825"/>
    <cellStyle name="Note 3 2 2 2 2 2 3" xfId="9278"/>
    <cellStyle name="Note 3 2 2 2 2 2 3 2" xfId="13880"/>
    <cellStyle name="Note 3 2 2 2 2 2 3 3" xfId="16396"/>
    <cellStyle name="Note 3 2 2 2 2 2 3 3 2" xfId="32617"/>
    <cellStyle name="Note 3 2 2 2 2 2 4" xfId="9279"/>
    <cellStyle name="Note 3 2 2 2 2 2 4 2" xfId="13881"/>
    <cellStyle name="Note 3 2 2 2 2 2 5" xfId="13876"/>
    <cellStyle name="Note 3 2 2 2 2 2 6" xfId="14811"/>
    <cellStyle name="Note 3 2 2 2 2 2 6 2" xfId="31033"/>
    <cellStyle name="Note 3 2 2 2 2 3" xfId="9280"/>
    <cellStyle name="Note 3 2 2 2 2 3 2" xfId="9281"/>
    <cellStyle name="Note 3 2 2 2 2 3 2 2" xfId="9282"/>
    <cellStyle name="Note 3 2 2 2 2 3 2 2 2" xfId="13884"/>
    <cellStyle name="Note 3 2 2 2 2 3 2 2 3" xfId="17452"/>
    <cellStyle name="Note 3 2 2 2 2 3 2 2 3 2" xfId="33673"/>
    <cellStyle name="Note 3 2 2 2 2 3 2 3" xfId="9283"/>
    <cellStyle name="Note 3 2 2 2 2 3 2 3 2" xfId="13885"/>
    <cellStyle name="Note 3 2 2 2 2 3 2 4" xfId="13883"/>
    <cellStyle name="Note 3 2 2 2 2 3 2 5" xfId="15867"/>
    <cellStyle name="Note 3 2 2 2 2 3 2 5 2" xfId="32089"/>
    <cellStyle name="Note 3 2 2 2 2 3 3" xfId="9284"/>
    <cellStyle name="Note 3 2 2 2 2 3 3 2" xfId="13886"/>
    <cellStyle name="Note 3 2 2 2 2 3 3 3" xfId="16660"/>
    <cellStyle name="Note 3 2 2 2 2 3 3 3 2" xfId="32881"/>
    <cellStyle name="Note 3 2 2 2 2 3 4" xfId="9285"/>
    <cellStyle name="Note 3 2 2 2 2 3 4 2" xfId="13887"/>
    <cellStyle name="Note 3 2 2 2 2 3 5" xfId="13882"/>
    <cellStyle name="Note 3 2 2 2 2 3 6" xfId="15075"/>
    <cellStyle name="Note 3 2 2 2 2 3 6 2" xfId="31297"/>
    <cellStyle name="Note 3 2 2 2 2 4" xfId="9286"/>
    <cellStyle name="Note 3 2 2 2 2 4 2" xfId="9287"/>
    <cellStyle name="Note 3 2 2 2 2 4 2 2" xfId="13889"/>
    <cellStyle name="Note 3 2 2 2 2 4 2 3" xfId="16924"/>
    <cellStyle name="Note 3 2 2 2 2 4 2 3 2" xfId="33145"/>
    <cellStyle name="Note 3 2 2 2 2 4 3" xfId="9288"/>
    <cellStyle name="Note 3 2 2 2 2 4 3 2" xfId="13890"/>
    <cellStyle name="Note 3 2 2 2 2 4 4" xfId="13888"/>
    <cellStyle name="Note 3 2 2 2 2 4 5" xfId="15339"/>
    <cellStyle name="Note 3 2 2 2 2 4 5 2" xfId="31561"/>
    <cellStyle name="Note 3 2 2 2 2 5" xfId="9289"/>
    <cellStyle name="Note 3 2 2 2 2 5 2" xfId="13891"/>
    <cellStyle name="Note 3 2 2 2 2 5 3" xfId="16132"/>
    <cellStyle name="Note 3 2 2 2 2 5 3 2" xfId="32353"/>
    <cellStyle name="Note 3 2 2 2 2 6" xfId="9290"/>
    <cellStyle name="Note 3 2 2 2 2 6 2" xfId="13892"/>
    <cellStyle name="Note 3 2 2 2 2 7" xfId="13875"/>
    <cellStyle name="Note 3 2 2 2 2 8" xfId="14547"/>
    <cellStyle name="Note 3 2 2 2 2 8 2" xfId="30769"/>
    <cellStyle name="Note 3 2 2 2 3" xfId="9291"/>
    <cellStyle name="Note 3 2 2 2 3 2" xfId="9292"/>
    <cellStyle name="Note 3 2 2 2 3 2 2" xfId="9293"/>
    <cellStyle name="Note 3 2 2 2 3 2 2 2" xfId="13895"/>
    <cellStyle name="Note 3 2 2 2 3 2 2 3" xfId="17056"/>
    <cellStyle name="Note 3 2 2 2 3 2 2 3 2" xfId="33277"/>
    <cellStyle name="Note 3 2 2 2 3 2 3" xfId="9294"/>
    <cellStyle name="Note 3 2 2 2 3 2 3 2" xfId="13896"/>
    <cellStyle name="Note 3 2 2 2 3 2 4" xfId="13894"/>
    <cellStyle name="Note 3 2 2 2 3 2 5" xfId="15471"/>
    <cellStyle name="Note 3 2 2 2 3 2 5 2" xfId="31693"/>
    <cellStyle name="Note 3 2 2 2 3 3" xfId="9295"/>
    <cellStyle name="Note 3 2 2 2 3 3 2" xfId="13897"/>
    <cellStyle name="Note 3 2 2 2 3 3 3" xfId="16264"/>
    <cellStyle name="Note 3 2 2 2 3 3 3 2" xfId="32485"/>
    <cellStyle name="Note 3 2 2 2 3 4" xfId="9296"/>
    <cellStyle name="Note 3 2 2 2 3 4 2" xfId="13898"/>
    <cellStyle name="Note 3 2 2 2 3 5" xfId="13893"/>
    <cellStyle name="Note 3 2 2 2 3 6" xfId="14679"/>
    <cellStyle name="Note 3 2 2 2 3 6 2" xfId="30901"/>
    <cellStyle name="Note 3 2 2 2 4" xfId="9297"/>
    <cellStyle name="Note 3 2 2 2 4 2" xfId="9298"/>
    <cellStyle name="Note 3 2 2 2 4 2 2" xfId="9299"/>
    <cellStyle name="Note 3 2 2 2 4 2 2 2" xfId="13901"/>
    <cellStyle name="Note 3 2 2 2 4 2 2 3" xfId="17320"/>
    <cellStyle name="Note 3 2 2 2 4 2 2 3 2" xfId="33541"/>
    <cellStyle name="Note 3 2 2 2 4 2 3" xfId="9300"/>
    <cellStyle name="Note 3 2 2 2 4 2 3 2" xfId="13902"/>
    <cellStyle name="Note 3 2 2 2 4 2 4" xfId="13900"/>
    <cellStyle name="Note 3 2 2 2 4 2 5" xfId="15735"/>
    <cellStyle name="Note 3 2 2 2 4 2 5 2" xfId="31957"/>
    <cellStyle name="Note 3 2 2 2 4 3" xfId="9301"/>
    <cellStyle name="Note 3 2 2 2 4 3 2" xfId="13903"/>
    <cellStyle name="Note 3 2 2 2 4 3 3" xfId="16528"/>
    <cellStyle name="Note 3 2 2 2 4 3 3 2" xfId="32749"/>
    <cellStyle name="Note 3 2 2 2 4 4" xfId="9302"/>
    <cellStyle name="Note 3 2 2 2 4 4 2" xfId="13904"/>
    <cellStyle name="Note 3 2 2 2 4 5" xfId="13899"/>
    <cellStyle name="Note 3 2 2 2 4 6" xfId="14943"/>
    <cellStyle name="Note 3 2 2 2 4 6 2" xfId="31165"/>
    <cellStyle name="Note 3 2 2 2 5" xfId="9303"/>
    <cellStyle name="Note 3 2 2 2 5 2" xfId="9304"/>
    <cellStyle name="Note 3 2 2 2 5 2 2" xfId="13906"/>
    <cellStyle name="Note 3 2 2 2 5 2 3" xfId="16792"/>
    <cellStyle name="Note 3 2 2 2 5 2 3 2" xfId="33013"/>
    <cellStyle name="Note 3 2 2 2 5 3" xfId="9305"/>
    <cellStyle name="Note 3 2 2 2 5 3 2" xfId="13907"/>
    <cellStyle name="Note 3 2 2 2 5 4" xfId="13905"/>
    <cellStyle name="Note 3 2 2 2 5 5" xfId="15207"/>
    <cellStyle name="Note 3 2 2 2 5 5 2" xfId="31429"/>
    <cellStyle name="Note 3 2 2 2 6" xfId="9306"/>
    <cellStyle name="Note 3 2 2 2 6 2" xfId="13908"/>
    <cellStyle name="Note 3 2 2 2 6 3" xfId="16000"/>
    <cellStyle name="Note 3 2 2 2 6 3 2" xfId="32221"/>
    <cellStyle name="Note 3 2 2 2 7" xfId="9307"/>
    <cellStyle name="Note 3 2 2 2 7 2" xfId="13909"/>
    <cellStyle name="Note 3 2 2 2 8" xfId="13874"/>
    <cellStyle name="Note 3 2 2 2 9" xfId="14415"/>
    <cellStyle name="Note 3 2 2 2 9 2" xfId="30637"/>
    <cellStyle name="Note 3 2 2 3" xfId="9308"/>
    <cellStyle name="Note 3 2 2 3 2" xfId="9309"/>
    <cellStyle name="Note 3 2 2 3 2 2" xfId="9310"/>
    <cellStyle name="Note 3 2 2 3 2 2 2" xfId="9311"/>
    <cellStyle name="Note 3 2 2 3 2 2 2 2" xfId="13913"/>
    <cellStyle name="Note 3 2 2 3 2 2 2 3" xfId="17122"/>
    <cellStyle name="Note 3 2 2 3 2 2 2 3 2" xfId="33343"/>
    <cellStyle name="Note 3 2 2 3 2 2 3" xfId="9312"/>
    <cellStyle name="Note 3 2 2 3 2 2 3 2" xfId="13914"/>
    <cellStyle name="Note 3 2 2 3 2 2 4" xfId="13912"/>
    <cellStyle name="Note 3 2 2 3 2 2 5" xfId="15537"/>
    <cellStyle name="Note 3 2 2 3 2 2 5 2" xfId="31759"/>
    <cellStyle name="Note 3 2 2 3 2 3" xfId="9313"/>
    <cellStyle name="Note 3 2 2 3 2 3 2" xfId="13915"/>
    <cellStyle name="Note 3 2 2 3 2 3 3" xfId="16330"/>
    <cellStyle name="Note 3 2 2 3 2 3 3 2" xfId="32551"/>
    <cellStyle name="Note 3 2 2 3 2 4" xfId="9314"/>
    <cellStyle name="Note 3 2 2 3 2 4 2" xfId="13916"/>
    <cellStyle name="Note 3 2 2 3 2 5" xfId="13911"/>
    <cellStyle name="Note 3 2 2 3 2 6" xfId="14745"/>
    <cellStyle name="Note 3 2 2 3 2 6 2" xfId="30967"/>
    <cellStyle name="Note 3 2 2 3 3" xfId="9315"/>
    <cellStyle name="Note 3 2 2 3 3 2" xfId="9316"/>
    <cellStyle name="Note 3 2 2 3 3 2 2" xfId="9317"/>
    <cellStyle name="Note 3 2 2 3 3 2 2 2" xfId="13919"/>
    <cellStyle name="Note 3 2 2 3 3 2 2 3" xfId="17386"/>
    <cellStyle name="Note 3 2 2 3 3 2 2 3 2" xfId="33607"/>
    <cellStyle name="Note 3 2 2 3 3 2 3" xfId="9318"/>
    <cellStyle name="Note 3 2 2 3 3 2 3 2" xfId="13920"/>
    <cellStyle name="Note 3 2 2 3 3 2 4" xfId="13918"/>
    <cellStyle name="Note 3 2 2 3 3 2 5" xfId="15801"/>
    <cellStyle name="Note 3 2 2 3 3 2 5 2" xfId="32023"/>
    <cellStyle name="Note 3 2 2 3 3 3" xfId="9319"/>
    <cellStyle name="Note 3 2 2 3 3 3 2" xfId="13921"/>
    <cellStyle name="Note 3 2 2 3 3 3 3" xfId="16594"/>
    <cellStyle name="Note 3 2 2 3 3 3 3 2" xfId="32815"/>
    <cellStyle name="Note 3 2 2 3 3 4" xfId="9320"/>
    <cellStyle name="Note 3 2 2 3 3 4 2" xfId="13922"/>
    <cellStyle name="Note 3 2 2 3 3 5" xfId="13917"/>
    <cellStyle name="Note 3 2 2 3 3 6" xfId="15009"/>
    <cellStyle name="Note 3 2 2 3 3 6 2" xfId="31231"/>
    <cellStyle name="Note 3 2 2 3 4" xfId="9321"/>
    <cellStyle name="Note 3 2 2 3 4 2" xfId="9322"/>
    <cellStyle name="Note 3 2 2 3 4 2 2" xfId="13924"/>
    <cellStyle name="Note 3 2 2 3 4 2 3" xfId="16858"/>
    <cellStyle name="Note 3 2 2 3 4 2 3 2" xfId="33079"/>
    <cellStyle name="Note 3 2 2 3 4 3" xfId="9323"/>
    <cellStyle name="Note 3 2 2 3 4 3 2" xfId="13925"/>
    <cellStyle name="Note 3 2 2 3 4 4" xfId="13923"/>
    <cellStyle name="Note 3 2 2 3 4 5" xfId="15273"/>
    <cellStyle name="Note 3 2 2 3 4 5 2" xfId="31495"/>
    <cellStyle name="Note 3 2 2 3 5" xfId="9324"/>
    <cellStyle name="Note 3 2 2 3 5 2" xfId="13926"/>
    <cellStyle name="Note 3 2 2 3 5 3" xfId="16066"/>
    <cellStyle name="Note 3 2 2 3 5 3 2" xfId="32287"/>
    <cellStyle name="Note 3 2 2 3 6" xfId="9325"/>
    <cellStyle name="Note 3 2 2 3 6 2" xfId="13927"/>
    <cellStyle name="Note 3 2 2 3 7" xfId="13910"/>
    <cellStyle name="Note 3 2 2 3 8" xfId="14481"/>
    <cellStyle name="Note 3 2 2 3 8 2" xfId="30703"/>
    <cellStyle name="Note 3 2 2 4" xfId="9326"/>
    <cellStyle name="Note 3 2 2 4 2" xfId="9327"/>
    <cellStyle name="Note 3 2 2 4 2 2" xfId="9328"/>
    <cellStyle name="Note 3 2 2 4 2 2 2" xfId="13930"/>
    <cellStyle name="Note 3 2 2 4 2 2 3" xfId="16990"/>
    <cellStyle name="Note 3 2 2 4 2 2 3 2" xfId="33211"/>
    <cellStyle name="Note 3 2 2 4 2 3" xfId="9329"/>
    <cellStyle name="Note 3 2 2 4 2 3 2" xfId="13931"/>
    <cellStyle name="Note 3 2 2 4 2 4" xfId="13929"/>
    <cellStyle name="Note 3 2 2 4 2 5" xfId="15405"/>
    <cellStyle name="Note 3 2 2 4 2 5 2" xfId="31627"/>
    <cellStyle name="Note 3 2 2 4 3" xfId="9330"/>
    <cellStyle name="Note 3 2 2 4 3 2" xfId="13932"/>
    <cellStyle name="Note 3 2 2 4 3 3" xfId="16198"/>
    <cellStyle name="Note 3 2 2 4 3 3 2" xfId="32419"/>
    <cellStyle name="Note 3 2 2 4 4" xfId="9331"/>
    <cellStyle name="Note 3 2 2 4 4 2" xfId="13933"/>
    <cellStyle name="Note 3 2 2 4 5" xfId="13928"/>
    <cellStyle name="Note 3 2 2 4 6" xfId="14613"/>
    <cellStyle name="Note 3 2 2 4 6 2" xfId="30835"/>
    <cellStyle name="Note 3 2 2 5" xfId="9332"/>
    <cellStyle name="Note 3 2 2 5 2" xfId="9333"/>
    <cellStyle name="Note 3 2 2 5 2 2" xfId="9334"/>
    <cellStyle name="Note 3 2 2 5 2 2 2" xfId="13936"/>
    <cellStyle name="Note 3 2 2 5 2 2 3" xfId="17254"/>
    <cellStyle name="Note 3 2 2 5 2 2 3 2" xfId="33475"/>
    <cellStyle name="Note 3 2 2 5 2 3" xfId="9335"/>
    <cellStyle name="Note 3 2 2 5 2 3 2" xfId="13937"/>
    <cellStyle name="Note 3 2 2 5 2 4" xfId="13935"/>
    <cellStyle name="Note 3 2 2 5 2 5" xfId="15669"/>
    <cellStyle name="Note 3 2 2 5 2 5 2" xfId="31891"/>
    <cellStyle name="Note 3 2 2 5 3" xfId="9336"/>
    <cellStyle name="Note 3 2 2 5 3 2" xfId="13938"/>
    <cellStyle name="Note 3 2 2 5 3 3" xfId="16462"/>
    <cellStyle name="Note 3 2 2 5 3 3 2" xfId="32683"/>
    <cellStyle name="Note 3 2 2 5 4" xfId="9337"/>
    <cellStyle name="Note 3 2 2 5 4 2" xfId="13939"/>
    <cellStyle name="Note 3 2 2 5 5" xfId="13934"/>
    <cellStyle name="Note 3 2 2 5 6" xfId="14877"/>
    <cellStyle name="Note 3 2 2 5 6 2" xfId="31099"/>
    <cellStyle name="Note 3 2 2 6" xfId="9338"/>
    <cellStyle name="Note 3 2 2 6 2" xfId="9339"/>
    <cellStyle name="Note 3 2 2 6 2 2" xfId="13941"/>
    <cellStyle name="Note 3 2 2 6 2 3" xfId="16726"/>
    <cellStyle name="Note 3 2 2 6 2 3 2" xfId="32947"/>
    <cellStyle name="Note 3 2 2 6 3" xfId="9340"/>
    <cellStyle name="Note 3 2 2 6 3 2" xfId="13942"/>
    <cellStyle name="Note 3 2 2 6 4" xfId="13940"/>
    <cellStyle name="Note 3 2 2 6 5" xfId="15141"/>
    <cellStyle name="Note 3 2 2 6 5 2" xfId="31363"/>
    <cellStyle name="Note 3 2 2 7" xfId="9341"/>
    <cellStyle name="Note 3 2 2 7 2" xfId="13943"/>
    <cellStyle name="Note 3 2 2 7 3" xfId="15934"/>
    <cellStyle name="Note 3 2 2 7 3 2" xfId="32155"/>
    <cellStyle name="Note 3 2 2 8" xfId="9342"/>
    <cellStyle name="Note 3 2 2 8 2" xfId="13944"/>
    <cellStyle name="Note 3 2 2 9" xfId="13873"/>
    <cellStyle name="Note 3 2 3" xfId="9343"/>
    <cellStyle name="Note 3 2 3 10" xfId="39297"/>
    <cellStyle name="Note 3 2 3 2" xfId="9344"/>
    <cellStyle name="Note 3 2 3 2 2" xfId="9345"/>
    <cellStyle name="Note 3 2 3 2 2 2" xfId="9346"/>
    <cellStyle name="Note 3 2 3 2 2 2 2" xfId="9347"/>
    <cellStyle name="Note 3 2 3 2 2 2 2 2" xfId="13949"/>
    <cellStyle name="Note 3 2 3 2 2 2 2 3" xfId="17155"/>
    <cellStyle name="Note 3 2 3 2 2 2 2 3 2" xfId="33376"/>
    <cellStyle name="Note 3 2 3 2 2 2 3" xfId="9348"/>
    <cellStyle name="Note 3 2 3 2 2 2 3 2" xfId="13950"/>
    <cellStyle name="Note 3 2 3 2 2 2 4" xfId="13948"/>
    <cellStyle name="Note 3 2 3 2 2 2 5" xfId="15570"/>
    <cellStyle name="Note 3 2 3 2 2 2 5 2" xfId="31792"/>
    <cellStyle name="Note 3 2 3 2 2 3" xfId="9349"/>
    <cellStyle name="Note 3 2 3 2 2 3 2" xfId="13951"/>
    <cellStyle name="Note 3 2 3 2 2 3 3" xfId="16363"/>
    <cellStyle name="Note 3 2 3 2 2 3 3 2" xfId="32584"/>
    <cellStyle name="Note 3 2 3 2 2 4" xfId="9350"/>
    <cellStyle name="Note 3 2 3 2 2 4 2" xfId="13952"/>
    <cellStyle name="Note 3 2 3 2 2 5" xfId="13947"/>
    <cellStyle name="Note 3 2 3 2 2 6" xfId="14778"/>
    <cellStyle name="Note 3 2 3 2 2 6 2" xfId="31000"/>
    <cellStyle name="Note 3 2 3 2 3" xfId="9351"/>
    <cellStyle name="Note 3 2 3 2 3 2" xfId="9352"/>
    <cellStyle name="Note 3 2 3 2 3 2 2" xfId="9353"/>
    <cellStyle name="Note 3 2 3 2 3 2 2 2" xfId="13955"/>
    <cellStyle name="Note 3 2 3 2 3 2 2 3" xfId="17419"/>
    <cellStyle name="Note 3 2 3 2 3 2 2 3 2" xfId="33640"/>
    <cellStyle name="Note 3 2 3 2 3 2 3" xfId="9354"/>
    <cellStyle name="Note 3 2 3 2 3 2 3 2" xfId="13956"/>
    <cellStyle name="Note 3 2 3 2 3 2 4" xfId="13954"/>
    <cellStyle name="Note 3 2 3 2 3 2 5" xfId="15834"/>
    <cellStyle name="Note 3 2 3 2 3 2 5 2" xfId="32056"/>
    <cellStyle name="Note 3 2 3 2 3 3" xfId="9355"/>
    <cellStyle name="Note 3 2 3 2 3 3 2" xfId="13957"/>
    <cellStyle name="Note 3 2 3 2 3 3 3" xfId="16627"/>
    <cellStyle name="Note 3 2 3 2 3 3 3 2" xfId="32848"/>
    <cellStyle name="Note 3 2 3 2 3 4" xfId="9356"/>
    <cellStyle name="Note 3 2 3 2 3 4 2" xfId="13958"/>
    <cellStyle name="Note 3 2 3 2 3 5" xfId="13953"/>
    <cellStyle name="Note 3 2 3 2 3 6" xfId="15042"/>
    <cellStyle name="Note 3 2 3 2 3 6 2" xfId="31264"/>
    <cellStyle name="Note 3 2 3 2 4" xfId="9357"/>
    <cellStyle name="Note 3 2 3 2 4 2" xfId="9358"/>
    <cellStyle name="Note 3 2 3 2 4 2 2" xfId="13960"/>
    <cellStyle name="Note 3 2 3 2 4 2 3" xfId="16891"/>
    <cellStyle name="Note 3 2 3 2 4 2 3 2" xfId="33112"/>
    <cellStyle name="Note 3 2 3 2 4 3" xfId="9359"/>
    <cellStyle name="Note 3 2 3 2 4 3 2" xfId="13961"/>
    <cellStyle name="Note 3 2 3 2 4 4" xfId="13959"/>
    <cellStyle name="Note 3 2 3 2 4 5" xfId="15306"/>
    <cellStyle name="Note 3 2 3 2 4 5 2" xfId="31528"/>
    <cellStyle name="Note 3 2 3 2 5" xfId="9360"/>
    <cellStyle name="Note 3 2 3 2 5 2" xfId="13962"/>
    <cellStyle name="Note 3 2 3 2 5 3" xfId="16099"/>
    <cellStyle name="Note 3 2 3 2 5 3 2" xfId="32320"/>
    <cellStyle name="Note 3 2 3 2 6" xfId="9361"/>
    <cellStyle name="Note 3 2 3 2 6 2" xfId="13963"/>
    <cellStyle name="Note 3 2 3 2 7" xfId="13946"/>
    <cellStyle name="Note 3 2 3 2 8" xfId="14514"/>
    <cellStyle name="Note 3 2 3 2 8 2" xfId="30736"/>
    <cellStyle name="Note 3 2 3 3" xfId="9362"/>
    <cellStyle name="Note 3 2 3 3 2" xfId="9363"/>
    <cellStyle name="Note 3 2 3 3 2 2" xfId="9364"/>
    <cellStyle name="Note 3 2 3 3 2 2 2" xfId="13966"/>
    <cellStyle name="Note 3 2 3 3 2 2 3" xfId="17023"/>
    <cellStyle name="Note 3 2 3 3 2 2 3 2" xfId="33244"/>
    <cellStyle name="Note 3 2 3 3 2 3" xfId="9365"/>
    <cellStyle name="Note 3 2 3 3 2 3 2" xfId="13967"/>
    <cellStyle name="Note 3 2 3 3 2 4" xfId="13965"/>
    <cellStyle name="Note 3 2 3 3 2 5" xfId="15438"/>
    <cellStyle name="Note 3 2 3 3 2 5 2" xfId="31660"/>
    <cellStyle name="Note 3 2 3 3 3" xfId="9366"/>
    <cellStyle name="Note 3 2 3 3 3 2" xfId="13968"/>
    <cellStyle name="Note 3 2 3 3 3 3" xfId="16231"/>
    <cellStyle name="Note 3 2 3 3 3 3 2" xfId="32452"/>
    <cellStyle name="Note 3 2 3 3 4" xfId="9367"/>
    <cellStyle name="Note 3 2 3 3 4 2" xfId="13969"/>
    <cellStyle name="Note 3 2 3 3 5" xfId="13964"/>
    <cellStyle name="Note 3 2 3 3 6" xfId="14646"/>
    <cellStyle name="Note 3 2 3 3 6 2" xfId="30868"/>
    <cellStyle name="Note 3 2 3 4" xfId="9368"/>
    <cellStyle name="Note 3 2 3 4 2" xfId="9369"/>
    <cellStyle name="Note 3 2 3 4 2 2" xfId="9370"/>
    <cellStyle name="Note 3 2 3 4 2 2 2" xfId="13972"/>
    <cellStyle name="Note 3 2 3 4 2 2 3" xfId="17287"/>
    <cellStyle name="Note 3 2 3 4 2 2 3 2" xfId="33508"/>
    <cellStyle name="Note 3 2 3 4 2 3" xfId="9371"/>
    <cellStyle name="Note 3 2 3 4 2 3 2" xfId="13973"/>
    <cellStyle name="Note 3 2 3 4 2 4" xfId="13971"/>
    <cellStyle name="Note 3 2 3 4 2 5" xfId="15702"/>
    <cellStyle name="Note 3 2 3 4 2 5 2" xfId="31924"/>
    <cellStyle name="Note 3 2 3 4 3" xfId="9372"/>
    <cellStyle name="Note 3 2 3 4 3 2" xfId="13974"/>
    <cellStyle name="Note 3 2 3 4 3 3" xfId="16495"/>
    <cellStyle name="Note 3 2 3 4 3 3 2" xfId="32716"/>
    <cellStyle name="Note 3 2 3 4 4" xfId="9373"/>
    <cellStyle name="Note 3 2 3 4 4 2" xfId="13975"/>
    <cellStyle name="Note 3 2 3 4 5" xfId="13970"/>
    <cellStyle name="Note 3 2 3 4 6" xfId="14910"/>
    <cellStyle name="Note 3 2 3 4 6 2" xfId="31132"/>
    <cellStyle name="Note 3 2 3 5" xfId="9374"/>
    <cellStyle name="Note 3 2 3 5 2" xfId="9375"/>
    <cellStyle name="Note 3 2 3 5 2 2" xfId="13977"/>
    <cellStyle name="Note 3 2 3 5 2 3" xfId="16759"/>
    <cellStyle name="Note 3 2 3 5 2 3 2" xfId="32980"/>
    <cellStyle name="Note 3 2 3 5 3" xfId="9376"/>
    <cellStyle name="Note 3 2 3 5 3 2" xfId="13978"/>
    <cellStyle name="Note 3 2 3 5 4" xfId="13976"/>
    <cellStyle name="Note 3 2 3 5 5" xfId="15174"/>
    <cellStyle name="Note 3 2 3 5 5 2" xfId="31396"/>
    <cellStyle name="Note 3 2 3 6" xfId="9377"/>
    <cellStyle name="Note 3 2 3 6 2" xfId="13979"/>
    <cellStyle name="Note 3 2 3 6 3" xfId="15967"/>
    <cellStyle name="Note 3 2 3 6 3 2" xfId="32188"/>
    <cellStyle name="Note 3 2 3 7" xfId="9378"/>
    <cellStyle name="Note 3 2 3 7 2" xfId="13980"/>
    <cellStyle name="Note 3 2 3 8" xfId="13945"/>
    <cellStyle name="Note 3 2 3 9" xfId="14382"/>
    <cellStyle name="Note 3 2 3 9 2" xfId="30604"/>
    <cellStyle name="Note 3 2 4" xfId="9379"/>
    <cellStyle name="Note 3 2 4 2" xfId="9380"/>
    <cellStyle name="Note 3 2 4 2 2" xfId="9381"/>
    <cellStyle name="Note 3 2 4 2 2 2" xfId="9382"/>
    <cellStyle name="Note 3 2 4 2 2 2 2" xfId="13984"/>
    <cellStyle name="Note 3 2 4 2 2 2 3" xfId="17089"/>
    <cellStyle name="Note 3 2 4 2 2 2 3 2" xfId="33310"/>
    <cellStyle name="Note 3 2 4 2 2 3" xfId="9383"/>
    <cellStyle name="Note 3 2 4 2 2 3 2" xfId="13985"/>
    <cellStyle name="Note 3 2 4 2 2 4" xfId="13983"/>
    <cellStyle name="Note 3 2 4 2 2 5" xfId="15504"/>
    <cellStyle name="Note 3 2 4 2 2 5 2" xfId="31726"/>
    <cellStyle name="Note 3 2 4 2 3" xfId="9384"/>
    <cellStyle name="Note 3 2 4 2 3 2" xfId="13986"/>
    <cellStyle name="Note 3 2 4 2 3 3" xfId="16297"/>
    <cellStyle name="Note 3 2 4 2 3 3 2" xfId="32518"/>
    <cellStyle name="Note 3 2 4 2 4" xfId="9385"/>
    <cellStyle name="Note 3 2 4 2 4 2" xfId="13987"/>
    <cellStyle name="Note 3 2 4 2 5" xfId="13982"/>
    <cellStyle name="Note 3 2 4 2 6" xfId="14712"/>
    <cellStyle name="Note 3 2 4 2 6 2" xfId="30934"/>
    <cellStyle name="Note 3 2 4 3" xfId="9386"/>
    <cellStyle name="Note 3 2 4 3 2" xfId="9387"/>
    <cellStyle name="Note 3 2 4 3 2 2" xfId="9388"/>
    <cellStyle name="Note 3 2 4 3 2 2 2" xfId="13990"/>
    <cellStyle name="Note 3 2 4 3 2 2 3" xfId="17353"/>
    <cellStyle name="Note 3 2 4 3 2 2 3 2" xfId="33574"/>
    <cellStyle name="Note 3 2 4 3 2 3" xfId="9389"/>
    <cellStyle name="Note 3 2 4 3 2 3 2" xfId="13991"/>
    <cellStyle name="Note 3 2 4 3 2 4" xfId="13989"/>
    <cellStyle name="Note 3 2 4 3 2 5" xfId="15768"/>
    <cellStyle name="Note 3 2 4 3 2 5 2" xfId="31990"/>
    <cellStyle name="Note 3 2 4 3 3" xfId="9390"/>
    <cellStyle name="Note 3 2 4 3 3 2" xfId="13992"/>
    <cellStyle name="Note 3 2 4 3 3 3" xfId="16561"/>
    <cellStyle name="Note 3 2 4 3 3 3 2" xfId="32782"/>
    <cellStyle name="Note 3 2 4 3 4" xfId="9391"/>
    <cellStyle name="Note 3 2 4 3 4 2" xfId="13993"/>
    <cellStyle name="Note 3 2 4 3 5" xfId="13988"/>
    <cellStyle name="Note 3 2 4 3 6" xfId="14976"/>
    <cellStyle name="Note 3 2 4 3 6 2" xfId="31198"/>
    <cellStyle name="Note 3 2 4 4" xfId="9392"/>
    <cellStyle name="Note 3 2 4 4 2" xfId="9393"/>
    <cellStyle name="Note 3 2 4 4 2 2" xfId="13995"/>
    <cellStyle name="Note 3 2 4 4 2 3" xfId="16825"/>
    <cellStyle name="Note 3 2 4 4 2 3 2" xfId="33046"/>
    <cellStyle name="Note 3 2 4 4 3" xfId="9394"/>
    <cellStyle name="Note 3 2 4 4 3 2" xfId="13996"/>
    <cellStyle name="Note 3 2 4 4 4" xfId="13994"/>
    <cellStyle name="Note 3 2 4 4 5" xfId="15240"/>
    <cellStyle name="Note 3 2 4 4 5 2" xfId="31462"/>
    <cellStyle name="Note 3 2 4 5" xfId="9395"/>
    <cellStyle name="Note 3 2 4 5 2" xfId="13997"/>
    <cellStyle name="Note 3 2 4 5 3" xfId="16033"/>
    <cellStyle name="Note 3 2 4 5 3 2" xfId="32254"/>
    <cellStyle name="Note 3 2 4 6" xfId="9396"/>
    <cellStyle name="Note 3 2 4 6 2" xfId="13998"/>
    <cellStyle name="Note 3 2 4 7" xfId="13981"/>
    <cellStyle name="Note 3 2 4 8" xfId="14448"/>
    <cellStyle name="Note 3 2 4 8 2" xfId="30670"/>
    <cellStyle name="Note 3 2 4 9" xfId="39446"/>
    <cellStyle name="Note 3 2 5" xfId="9397"/>
    <cellStyle name="Note 3 2 5 2" xfId="9398"/>
    <cellStyle name="Note 3 2 5 2 2" xfId="9399"/>
    <cellStyle name="Note 3 2 5 2 2 2" xfId="14001"/>
    <cellStyle name="Note 3 2 5 2 2 3" xfId="16957"/>
    <cellStyle name="Note 3 2 5 2 2 3 2" xfId="33178"/>
    <cellStyle name="Note 3 2 5 2 3" xfId="9400"/>
    <cellStyle name="Note 3 2 5 2 3 2" xfId="14002"/>
    <cellStyle name="Note 3 2 5 2 4" xfId="14000"/>
    <cellStyle name="Note 3 2 5 2 5" xfId="15372"/>
    <cellStyle name="Note 3 2 5 2 5 2" xfId="31594"/>
    <cellStyle name="Note 3 2 5 3" xfId="9401"/>
    <cellStyle name="Note 3 2 5 3 2" xfId="14003"/>
    <cellStyle name="Note 3 2 5 3 3" xfId="16165"/>
    <cellStyle name="Note 3 2 5 3 3 2" xfId="32386"/>
    <cellStyle name="Note 3 2 5 4" xfId="9402"/>
    <cellStyle name="Note 3 2 5 4 2" xfId="14004"/>
    <cellStyle name="Note 3 2 5 5" xfId="13999"/>
    <cellStyle name="Note 3 2 5 6" xfId="14580"/>
    <cellStyle name="Note 3 2 5 6 2" xfId="30802"/>
    <cellStyle name="Note 3 2 6" xfId="9403"/>
    <cellStyle name="Note 3 2 6 2" xfId="9404"/>
    <cellStyle name="Note 3 2 6 2 2" xfId="9405"/>
    <cellStyle name="Note 3 2 6 2 2 2" xfId="14007"/>
    <cellStyle name="Note 3 2 6 2 2 3" xfId="17221"/>
    <cellStyle name="Note 3 2 6 2 2 3 2" xfId="33442"/>
    <cellStyle name="Note 3 2 6 2 3" xfId="9406"/>
    <cellStyle name="Note 3 2 6 2 3 2" xfId="14008"/>
    <cellStyle name="Note 3 2 6 2 4" xfId="14006"/>
    <cellStyle name="Note 3 2 6 2 5" xfId="15636"/>
    <cellStyle name="Note 3 2 6 2 5 2" xfId="31858"/>
    <cellStyle name="Note 3 2 6 3" xfId="9407"/>
    <cellStyle name="Note 3 2 6 3 2" xfId="14009"/>
    <cellStyle name="Note 3 2 6 3 3" xfId="16429"/>
    <cellStyle name="Note 3 2 6 3 3 2" xfId="32650"/>
    <cellStyle name="Note 3 2 6 4" xfId="9408"/>
    <cellStyle name="Note 3 2 6 4 2" xfId="14010"/>
    <cellStyle name="Note 3 2 6 5" xfId="14005"/>
    <cellStyle name="Note 3 2 6 6" xfId="14844"/>
    <cellStyle name="Note 3 2 6 6 2" xfId="31066"/>
    <cellStyle name="Note 3 2 7" xfId="9409"/>
    <cellStyle name="Note 3 2 7 2" xfId="9410"/>
    <cellStyle name="Note 3 2 7 2 2" xfId="14012"/>
    <cellStyle name="Note 3 2 7 2 3" xfId="16693"/>
    <cellStyle name="Note 3 2 7 2 3 2" xfId="32914"/>
    <cellStyle name="Note 3 2 7 3" xfId="9411"/>
    <cellStyle name="Note 3 2 7 3 2" xfId="14013"/>
    <cellStyle name="Note 3 2 7 4" xfId="14011"/>
    <cellStyle name="Note 3 2 7 5" xfId="15108"/>
    <cellStyle name="Note 3 2 7 5 2" xfId="31330"/>
    <cellStyle name="Note 3 2 8" xfId="9412"/>
    <cellStyle name="Note 3 2 8 2" xfId="14014"/>
    <cellStyle name="Note 3 2 8 3" xfId="15901"/>
    <cellStyle name="Note 3 2 8 3 2" xfId="32122"/>
    <cellStyle name="Note 3 2 9" xfId="9413"/>
    <cellStyle name="Note 3 2 9 2" xfId="14015"/>
    <cellStyle name="Note 3 3" xfId="9414"/>
    <cellStyle name="Note 3 3 10" xfId="14348"/>
    <cellStyle name="Note 3 3 10 2" xfId="30570"/>
    <cellStyle name="Note 3 3 11" xfId="39093"/>
    <cellStyle name="Note 3 3 2" xfId="9415"/>
    <cellStyle name="Note 3 3 2 2" xfId="9416"/>
    <cellStyle name="Note 3 3 2 2 2" xfId="9417"/>
    <cellStyle name="Note 3 3 2 2 2 2" xfId="9418"/>
    <cellStyle name="Note 3 3 2 2 2 2 2" xfId="9419"/>
    <cellStyle name="Note 3 3 2 2 2 2 2 2" xfId="14021"/>
    <cellStyle name="Note 3 3 2 2 2 2 2 3" xfId="17187"/>
    <cellStyle name="Note 3 3 2 2 2 2 2 3 2" xfId="33408"/>
    <cellStyle name="Note 3 3 2 2 2 2 3" xfId="9420"/>
    <cellStyle name="Note 3 3 2 2 2 2 3 2" xfId="14022"/>
    <cellStyle name="Note 3 3 2 2 2 2 4" xfId="14020"/>
    <cellStyle name="Note 3 3 2 2 2 2 5" xfId="15602"/>
    <cellStyle name="Note 3 3 2 2 2 2 5 2" xfId="31824"/>
    <cellStyle name="Note 3 3 2 2 2 3" xfId="9421"/>
    <cellStyle name="Note 3 3 2 2 2 3 2" xfId="14023"/>
    <cellStyle name="Note 3 3 2 2 2 3 3" xfId="16395"/>
    <cellStyle name="Note 3 3 2 2 2 3 3 2" xfId="32616"/>
    <cellStyle name="Note 3 3 2 2 2 4" xfId="9422"/>
    <cellStyle name="Note 3 3 2 2 2 4 2" xfId="14024"/>
    <cellStyle name="Note 3 3 2 2 2 5" xfId="14019"/>
    <cellStyle name="Note 3 3 2 2 2 6" xfId="14810"/>
    <cellStyle name="Note 3 3 2 2 2 6 2" xfId="31032"/>
    <cellStyle name="Note 3 3 2 2 3" xfId="9423"/>
    <cellStyle name="Note 3 3 2 2 3 2" xfId="9424"/>
    <cellStyle name="Note 3 3 2 2 3 2 2" xfId="9425"/>
    <cellStyle name="Note 3 3 2 2 3 2 2 2" xfId="14027"/>
    <cellStyle name="Note 3 3 2 2 3 2 2 3" xfId="17451"/>
    <cellStyle name="Note 3 3 2 2 3 2 2 3 2" xfId="33672"/>
    <cellStyle name="Note 3 3 2 2 3 2 3" xfId="9426"/>
    <cellStyle name="Note 3 3 2 2 3 2 3 2" xfId="14028"/>
    <cellStyle name="Note 3 3 2 2 3 2 4" xfId="14026"/>
    <cellStyle name="Note 3 3 2 2 3 2 5" xfId="15866"/>
    <cellStyle name="Note 3 3 2 2 3 2 5 2" xfId="32088"/>
    <cellStyle name="Note 3 3 2 2 3 3" xfId="9427"/>
    <cellStyle name="Note 3 3 2 2 3 3 2" xfId="14029"/>
    <cellStyle name="Note 3 3 2 2 3 3 3" xfId="16659"/>
    <cellStyle name="Note 3 3 2 2 3 3 3 2" xfId="32880"/>
    <cellStyle name="Note 3 3 2 2 3 4" xfId="9428"/>
    <cellStyle name="Note 3 3 2 2 3 4 2" xfId="14030"/>
    <cellStyle name="Note 3 3 2 2 3 5" xfId="14025"/>
    <cellStyle name="Note 3 3 2 2 3 6" xfId="15074"/>
    <cellStyle name="Note 3 3 2 2 3 6 2" xfId="31296"/>
    <cellStyle name="Note 3 3 2 2 4" xfId="9429"/>
    <cellStyle name="Note 3 3 2 2 4 2" xfId="9430"/>
    <cellStyle name="Note 3 3 2 2 4 2 2" xfId="14032"/>
    <cellStyle name="Note 3 3 2 2 4 2 3" xfId="16923"/>
    <cellStyle name="Note 3 3 2 2 4 2 3 2" xfId="33144"/>
    <cellStyle name="Note 3 3 2 2 4 3" xfId="9431"/>
    <cellStyle name="Note 3 3 2 2 4 3 2" xfId="14033"/>
    <cellStyle name="Note 3 3 2 2 4 4" xfId="14031"/>
    <cellStyle name="Note 3 3 2 2 4 5" xfId="15338"/>
    <cellStyle name="Note 3 3 2 2 4 5 2" xfId="31560"/>
    <cellStyle name="Note 3 3 2 2 5" xfId="9432"/>
    <cellStyle name="Note 3 3 2 2 5 2" xfId="14034"/>
    <cellStyle name="Note 3 3 2 2 5 3" xfId="16131"/>
    <cellStyle name="Note 3 3 2 2 5 3 2" xfId="32352"/>
    <cellStyle name="Note 3 3 2 2 6" xfId="9433"/>
    <cellStyle name="Note 3 3 2 2 6 2" xfId="14035"/>
    <cellStyle name="Note 3 3 2 2 7" xfId="14018"/>
    <cellStyle name="Note 3 3 2 2 8" xfId="14546"/>
    <cellStyle name="Note 3 3 2 2 8 2" xfId="30768"/>
    <cellStyle name="Note 3 3 2 3" xfId="9434"/>
    <cellStyle name="Note 3 3 2 3 2" xfId="9435"/>
    <cellStyle name="Note 3 3 2 3 2 2" xfId="9436"/>
    <cellStyle name="Note 3 3 2 3 2 2 2" xfId="14038"/>
    <cellStyle name="Note 3 3 2 3 2 2 3" xfId="17055"/>
    <cellStyle name="Note 3 3 2 3 2 2 3 2" xfId="33276"/>
    <cellStyle name="Note 3 3 2 3 2 3" xfId="9437"/>
    <cellStyle name="Note 3 3 2 3 2 3 2" xfId="14039"/>
    <cellStyle name="Note 3 3 2 3 2 4" xfId="14037"/>
    <cellStyle name="Note 3 3 2 3 2 5" xfId="15470"/>
    <cellStyle name="Note 3 3 2 3 2 5 2" xfId="31692"/>
    <cellStyle name="Note 3 3 2 3 3" xfId="9438"/>
    <cellStyle name="Note 3 3 2 3 3 2" xfId="14040"/>
    <cellStyle name="Note 3 3 2 3 3 3" xfId="16263"/>
    <cellStyle name="Note 3 3 2 3 3 3 2" xfId="32484"/>
    <cellStyle name="Note 3 3 2 3 4" xfId="9439"/>
    <cellStyle name="Note 3 3 2 3 4 2" xfId="14041"/>
    <cellStyle name="Note 3 3 2 3 5" xfId="14036"/>
    <cellStyle name="Note 3 3 2 3 6" xfId="14678"/>
    <cellStyle name="Note 3 3 2 3 6 2" xfId="30900"/>
    <cellStyle name="Note 3 3 2 4" xfId="9440"/>
    <cellStyle name="Note 3 3 2 4 2" xfId="9441"/>
    <cellStyle name="Note 3 3 2 4 2 2" xfId="9442"/>
    <cellStyle name="Note 3 3 2 4 2 2 2" xfId="14044"/>
    <cellStyle name="Note 3 3 2 4 2 2 3" xfId="17319"/>
    <cellStyle name="Note 3 3 2 4 2 2 3 2" xfId="33540"/>
    <cellStyle name="Note 3 3 2 4 2 3" xfId="9443"/>
    <cellStyle name="Note 3 3 2 4 2 3 2" xfId="14045"/>
    <cellStyle name="Note 3 3 2 4 2 4" xfId="14043"/>
    <cellStyle name="Note 3 3 2 4 2 5" xfId="15734"/>
    <cellStyle name="Note 3 3 2 4 2 5 2" xfId="31956"/>
    <cellStyle name="Note 3 3 2 4 3" xfId="9444"/>
    <cellStyle name="Note 3 3 2 4 3 2" xfId="14046"/>
    <cellStyle name="Note 3 3 2 4 3 3" xfId="16527"/>
    <cellStyle name="Note 3 3 2 4 3 3 2" xfId="32748"/>
    <cellStyle name="Note 3 3 2 4 4" xfId="9445"/>
    <cellStyle name="Note 3 3 2 4 4 2" xfId="14047"/>
    <cellStyle name="Note 3 3 2 4 5" xfId="14042"/>
    <cellStyle name="Note 3 3 2 4 6" xfId="14942"/>
    <cellStyle name="Note 3 3 2 4 6 2" xfId="31164"/>
    <cellStyle name="Note 3 3 2 5" xfId="9446"/>
    <cellStyle name="Note 3 3 2 5 2" xfId="9447"/>
    <cellStyle name="Note 3 3 2 5 2 2" xfId="14049"/>
    <cellStyle name="Note 3 3 2 5 2 3" xfId="16791"/>
    <cellStyle name="Note 3 3 2 5 2 3 2" xfId="33012"/>
    <cellStyle name="Note 3 3 2 5 3" xfId="9448"/>
    <cellStyle name="Note 3 3 2 5 3 2" xfId="14050"/>
    <cellStyle name="Note 3 3 2 5 4" xfId="14048"/>
    <cellStyle name="Note 3 3 2 5 5" xfId="15206"/>
    <cellStyle name="Note 3 3 2 5 5 2" xfId="31428"/>
    <cellStyle name="Note 3 3 2 6" xfId="9449"/>
    <cellStyle name="Note 3 3 2 6 2" xfId="14051"/>
    <cellStyle name="Note 3 3 2 6 3" xfId="15999"/>
    <cellStyle name="Note 3 3 2 6 3 2" xfId="32220"/>
    <cellStyle name="Note 3 3 2 7" xfId="9450"/>
    <cellStyle name="Note 3 3 2 7 2" xfId="14052"/>
    <cellStyle name="Note 3 3 2 8" xfId="14017"/>
    <cellStyle name="Note 3 3 2 9" xfId="14414"/>
    <cellStyle name="Note 3 3 2 9 2" xfId="30636"/>
    <cellStyle name="Note 3 3 3" xfId="9451"/>
    <cellStyle name="Note 3 3 3 2" xfId="9452"/>
    <cellStyle name="Note 3 3 3 2 2" xfId="9453"/>
    <cellStyle name="Note 3 3 3 2 2 2" xfId="9454"/>
    <cellStyle name="Note 3 3 3 2 2 2 2" xfId="14056"/>
    <cellStyle name="Note 3 3 3 2 2 2 3" xfId="17121"/>
    <cellStyle name="Note 3 3 3 2 2 2 3 2" xfId="33342"/>
    <cellStyle name="Note 3 3 3 2 2 3" xfId="9455"/>
    <cellStyle name="Note 3 3 3 2 2 3 2" xfId="14057"/>
    <cellStyle name="Note 3 3 3 2 2 4" xfId="14055"/>
    <cellStyle name="Note 3 3 3 2 2 5" xfId="15536"/>
    <cellStyle name="Note 3 3 3 2 2 5 2" xfId="31758"/>
    <cellStyle name="Note 3 3 3 2 3" xfId="9456"/>
    <cellStyle name="Note 3 3 3 2 3 2" xfId="14058"/>
    <cellStyle name="Note 3 3 3 2 3 3" xfId="16329"/>
    <cellStyle name="Note 3 3 3 2 3 3 2" xfId="32550"/>
    <cellStyle name="Note 3 3 3 2 4" xfId="9457"/>
    <cellStyle name="Note 3 3 3 2 4 2" xfId="14059"/>
    <cellStyle name="Note 3 3 3 2 5" xfId="14054"/>
    <cellStyle name="Note 3 3 3 2 6" xfId="14744"/>
    <cellStyle name="Note 3 3 3 2 6 2" xfId="30966"/>
    <cellStyle name="Note 3 3 3 3" xfId="9458"/>
    <cellStyle name="Note 3 3 3 3 2" xfId="9459"/>
    <cellStyle name="Note 3 3 3 3 2 2" xfId="9460"/>
    <cellStyle name="Note 3 3 3 3 2 2 2" xfId="14062"/>
    <cellStyle name="Note 3 3 3 3 2 2 3" xfId="17385"/>
    <cellStyle name="Note 3 3 3 3 2 2 3 2" xfId="33606"/>
    <cellStyle name="Note 3 3 3 3 2 3" xfId="9461"/>
    <cellStyle name="Note 3 3 3 3 2 3 2" xfId="14063"/>
    <cellStyle name="Note 3 3 3 3 2 4" xfId="14061"/>
    <cellStyle name="Note 3 3 3 3 2 5" xfId="15800"/>
    <cellStyle name="Note 3 3 3 3 2 5 2" xfId="32022"/>
    <cellStyle name="Note 3 3 3 3 3" xfId="9462"/>
    <cellStyle name="Note 3 3 3 3 3 2" xfId="14064"/>
    <cellStyle name="Note 3 3 3 3 3 3" xfId="16593"/>
    <cellStyle name="Note 3 3 3 3 3 3 2" xfId="32814"/>
    <cellStyle name="Note 3 3 3 3 4" xfId="9463"/>
    <cellStyle name="Note 3 3 3 3 4 2" xfId="14065"/>
    <cellStyle name="Note 3 3 3 3 5" xfId="14060"/>
    <cellStyle name="Note 3 3 3 3 6" xfId="15008"/>
    <cellStyle name="Note 3 3 3 3 6 2" xfId="31230"/>
    <cellStyle name="Note 3 3 3 4" xfId="9464"/>
    <cellStyle name="Note 3 3 3 4 2" xfId="9465"/>
    <cellStyle name="Note 3 3 3 4 2 2" xfId="14067"/>
    <cellStyle name="Note 3 3 3 4 2 3" xfId="16857"/>
    <cellStyle name="Note 3 3 3 4 2 3 2" xfId="33078"/>
    <cellStyle name="Note 3 3 3 4 3" xfId="9466"/>
    <cellStyle name="Note 3 3 3 4 3 2" xfId="14068"/>
    <cellStyle name="Note 3 3 3 4 4" xfId="14066"/>
    <cellStyle name="Note 3 3 3 4 5" xfId="15272"/>
    <cellStyle name="Note 3 3 3 4 5 2" xfId="31494"/>
    <cellStyle name="Note 3 3 3 5" xfId="9467"/>
    <cellStyle name="Note 3 3 3 5 2" xfId="14069"/>
    <cellStyle name="Note 3 3 3 5 3" xfId="16065"/>
    <cellStyle name="Note 3 3 3 5 3 2" xfId="32286"/>
    <cellStyle name="Note 3 3 3 6" xfId="9468"/>
    <cellStyle name="Note 3 3 3 6 2" xfId="14070"/>
    <cellStyle name="Note 3 3 3 7" xfId="14053"/>
    <cellStyle name="Note 3 3 3 8" xfId="14480"/>
    <cellStyle name="Note 3 3 3 8 2" xfId="30702"/>
    <cellStyle name="Note 3 3 4" xfId="9469"/>
    <cellStyle name="Note 3 3 4 2" xfId="9470"/>
    <cellStyle name="Note 3 3 4 2 2" xfId="9471"/>
    <cellStyle name="Note 3 3 4 2 2 2" xfId="14073"/>
    <cellStyle name="Note 3 3 4 2 2 3" xfId="16989"/>
    <cellStyle name="Note 3 3 4 2 2 3 2" xfId="33210"/>
    <cellStyle name="Note 3 3 4 2 3" xfId="9472"/>
    <cellStyle name="Note 3 3 4 2 3 2" xfId="14074"/>
    <cellStyle name="Note 3 3 4 2 4" xfId="14072"/>
    <cellStyle name="Note 3 3 4 2 5" xfId="15404"/>
    <cellStyle name="Note 3 3 4 2 5 2" xfId="31626"/>
    <cellStyle name="Note 3 3 4 3" xfId="9473"/>
    <cellStyle name="Note 3 3 4 3 2" xfId="14075"/>
    <cellStyle name="Note 3 3 4 3 3" xfId="16197"/>
    <cellStyle name="Note 3 3 4 3 3 2" xfId="32418"/>
    <cellStyle name="Note 3 3 4 4" xfId="9474"/>
    <cellStyle name="Note 3 3 4 4 2" xfId="14076"/>
    <cellStyle name="Note 3 3 4 5" xfId="14071"/>
    <cellStyle name="Note 3 3 4 6" xfId="14612"/>
    <cellStyle name="Note 3 3 4 6 2" xfId="30834"/>
    <cellStyle name="Note 3 3 5" xfId="9475"/>
    <cellStyle name="Note 3 3 5 2" xfId="9476"/>
    <cellStyle name="Note 3 3 5 2 2" xfId="9477"/>
    <cellStyle name="Note 3 3 5 2 2 2" xfId="14079"/>
    <cellStyle name="Note 3 3 5 2 2 3" xfId="17253"/>
    <cellStyle name="Note 3 3 5 2 2 3 2" xfId="33474"/>
    <cellStyle name="Note 3 3 5 2 3" xfId="9478"/>
    <cellStyle name="Note 3 3 5 2 3 2" xfId="14080"/>
    <cellStyle name="Note 3 3 5 2 4" xfId="14078"/>
    <cellStyle name="Note 3 3 5 2 5" xfId="15668"/>
    <cellStyle name="Note 3 3 5 2 5 2" xfId="31890"/>
    <cellStyle name="Note 3 3 5 3" xfId="9479"/>
    <cellStyle name="Note 3 3 5 3 2" xfId="14081"/>
    <cellStyle name="Note 3 3 5 3 3" xfId="16461"/>
    <cellStyle name="Note 3 3 5 3 3 2" xfId="32682"/>
    <cellStyle name="Note 3 3 5 4" xfId="9480"/>
    <cellStyle name="Note 3 3 5 4 2" xfId="14082"/>
    <cellStyle name="Note 3 3 5 5" xfId="14077"/>
    <cellStyle name="Note 3 3 5 6" xfId="14876"/>
    <cellStyle name="Note 3 3 5 6 2" xfId="31098"/>
    <cellStyle name="Note 3 3 6" xfId="9481"/>
    <cellStyle name="Note 3 3 6 2" xfId="9482"/>
    <cellStyle name="Note 3 3 6 2 2" xfId="14084"/>
    <cellStyle name="Note 3 3 6 2 3" xfId="16725"/>
    <cellStyle name="Note 3 3 6 2 3 2" xfId="32946"/>
    <cellStyle name="Note 3 3 6 3" xfId="9483"/>
    <cellStyle name="Note 3 3 6 3 2" xfId="14085"/>
    <cellStyle name="Note 3 3 6 4" xfId="14083"/>
    <cellStyle name="Note 3 3 6 5" xfId="15140"/>
    <cellStyle name="Note 3 3 6 5 2" xfId="31362"/>
    <cellStyle name="Note 3 3 7" xfId="9484"/>
    <cellStyle name="Note 3 3 7 2" xfId="14086"/>
    <cellStyle name="Note 3 3 7 3" xfId="15933"/>
    <cellStyle name="Note 3 3 7 3 2" xfId="32154"/>
    <cellStyle name="Note 3 3 8" xfId="9485"/>
    <cellStyle name="Note 3 3 8 2" xfId="14087"/>
    <cellStyle name="Note 3 3 9" xfId="14016"/>
    <cellStyle name="Note 3 4" xfId="9486"/>
    <cellStyle name="Note 3 4 10" xfId="39241"/>
    <cellStyle name="Note 3 4 2" xfId="9487"/>
    <cellStyle name="Note 3 4 2 2" xfId="9488"/>
    <cellStyle name="Note 3 4 2 2 2" xfId="9489"/>
    <cellStyle name="Note 3 4 2 2 2 2" xfId="9490"/>
    <cellStyle name="Note 3 4 2 2 2 2 2" xfId="14092"/>
    <cellStyle name="Note 3 4 2 2 2 2 3" xfId="17154"/>
    <cellStyle name="Note 3 4 2 2 2 2 3 2" xfId="33375"/>
    <cellStyle name="Note 3 4 2 2 2 3" xfId="9491"/>
    <cellStyle name="Note 3 4 2 2 2 3 2" xfId="14093"/>
    <cellStyle name="Note 3 4 2 2 2 4" xfId="14091"/>
    <cellStyle name="Note 3 4 2 2 2 5" xfId="15569"/>
    <cellStyle name="Note 3 4 2 2 2 5 2" xfId="31791"/>
    <cellStyle name="Note 3 4 2 2 3" xfId="9492"/>
    <cellStyle name="Note 3 4 2 2 3 2" xfId="14094"/>
    <cellStyle name="Note 3 4 2 2 3 3" xfId="16362"/>
    <cellStyle name="Note 3 4 2 2 3 3 2" xfId="32583"/>
    <cellStyle name="Note 3 4 2 2 4" xfId="9493"/>
    <cellStyle name="Note 3 4 2 2 4 2" xfId="14095"/>
    <cellStyle name="Note 3 4 2 2 5" xfId="14090"/>
    <cellStyle name="Note 3 4 2 2 6" xfId="14777"/>
    <cellStyle name="Note 3 4 2 2 6 2" xfId="30999"/>
    <cellStyle name="Note 3 4 2 3" xfId="9494"/>
    <cellStyle name="Note 3 4 2 3 2" xfId="9495"/>
    <cellStyle name="Note 3 4 2 3 2 2" xfId="9496"/>
    <cellStyle name="Note 3 4 2 3 2 2 2" xfId="14098"/>
    <cellStyle name="Note 3 4 2 3 2 2 3" xfId="17418"/>
    <cellStyle name="Note 3 4 2 3 2 2 3 2" xfId="33639"/>
    <cellStyle name="Note 3 4 2 3 2 3" xfId="9497"/>
    <cellStyle name="Note 3 4 2 3 2 3 2" xfId="14099"/>
    <cellStyle name="Note 3 4 2 3 2 4" xfId="14097"/>
    <cellStyle name="Note 3 4 2 3 2 5" xfId="15833"/>
    <cellStyle name="Note 3 4 2 3 2 5 2" xfId="32055"/>
    <cellStyle name="Note 3 4 2 3 3" xfId="9498"/>
    <cellStyle name="Note 3 4 2 3 3 2" xfId="14100"/>
    <cellStyle name="Note 3 4 2 3 3 3" xfId="16626"/>
    <cellStyle name="Note 3 4 2 3 3 3 2" xfId="32847"/>
    <cellStyle name="Note 3 4 2 3 4" xfId="9499"/>
    <cellStyle name="Note 3 4 2 3 4 2" xfId="14101"/>
    <cellStyle name="Note 3 4 2 3 5" xfId="14096"/>
    <cellStyle name="Note 3 4 2 3 6" xfId="15041"/>
    <cellStyle name="Note 3 4 2 3 6 2" xfId="31263"/>
    <cellStyle name="Note 3 4 2 4" xfId="9500"/>
    <cellStyle name="Note 3 4 2 4 2" xfId="9501"/>
    <cellStyle name="Note 3 4 2 4 2 2" xfId="14103"/>
    <cellStyle name="Note 3 4 2 4 2 3" xfId="16890"/>
    <cellStyle name="Note 3 4 2 4 2 3 2" xfId="33111"/>
    <cellStyle name="Note 3 4 2 4 3" xfId="9502"/>
    <cellStyle name="Note 3 4 2 4 3 2" xfId="14104"/>
    <cellStyle name="Note 3 4 2 4 4" xfId="14102"/>
    <cellStyle name="Note 3 4 2 4 5" xfId="15305"/>
    <cellStyle name="Note 3 4 2 4 5 2" xfId="31527"/>
    <cellStyle name="Note 3 4 2 5" xfId="9503"/>
    <cellStyle name="Note 3 4 2 5 2" xfId="14105"/>
    <cellStyle name="Note 3 4 2 5 3" xfId="16098"/>
    <cellStyle name="Note 3 4 2 5 3 2" xfId="32319"/>
    <cellStyle name="Note 3 4 2 6" xfId="9504"/>
    <cellStyle name="Note 3 4 2 6 2" xfId="14106"/>
    <cellStyle name="Note 3 4 2 7" xfId="14089"/>
    <cellStyle name="Note 3 4 2 8" xfId="14513"/>
    <cellStyle name="Note 3 4 2 8 2" xfId="30735"/>
    <cellStyle name="Note 3 4 3" xfId="9505"/>
    <cellStyle name="Note 3 4 3 2" xfId="9506"/>
    <cellStyle name="Note 3 4 3 2 2" xfId="9507"/>
    <cellStyle name="Note 3 4 3 2 2 2" xfId="14109"/>
    <cellStyle name="Note 3 4 3 2 2 3" xfId="17022"/>
    <cellStyle name="Note 3 4 3 2 2 3 2" xfId="33243"/>
    <cellStyle name="Note 3 4 3 2 3" xfId="9508"/>
    <cellStyle name="Note 3 4 3 2 3 2" xfId="14110"/>
    <cellStyle name="Note 3 4 3 2 4" xfId="14108"/>
    <cellStyle name="Note 3 4 3 2 5" xfId="15437"/>
    <cellStyle name="Note 3 4 3 2 5 2" xfId="31659"/>
    <cellStyle name="Note 3 4 3 3" xfId="9509"/>
    <cellStyle name="Note 3 4 3 3 2" xfId="14111"/>
    <cellStyle name="Note 3 4 3 3 3" xfId="16230"/>
    <cellStyle name="Note 3 4 3 3 3 2" xfId="32451"/>
    <cellStyle name="Note 3 4 3 4" xfId="9510"/>
    <cellStyle name="Note 3 4 3 4 2" xfId="14112"/>
    <cellStyle name="Note 3 4 3 5" xfId="14107"/>
    <cellStyle name="Note 3 4 3 6" xfId="14645"/>
    <cellStyle name="Note 3 4 3 6 2" xfId="30867"/>
    <cellStyle name="Note 3 4 4" xfId="9511"/>
    <cellStyle name="Note 3 4 4 2" xfId="9512"/>
    <cellStyle name="Note 3 4 4 2 2" xfId="9513"/>
    <cellStyle name="Note 3 4 4 2 2 2" xfId="14115"/>
    <cellStyle name="Note 3 4 4 2 2 3" xfId="17286"/>
    <cellStyle name="Note 3 4 4 2 2 3 2" xfId="33507"/>
    <cellStyle name="Note 3 4 4 2 3" xfId="9514"/>
    <cellStyle name="Note 3 4 4 2 3 2" xfId="14116"/>
    <cellStyle name="Note 3 4 4 2 4" xfId="14114"/>
    <cellStyle name="Note 3 4 4 2 5" xfId="15701"/>
    <cellStyle name="Note 3 4 4 2 5 2" xfId="31923"/>
    <cellStyle name="Note 3 4 4 3" xfId="9515"/>
    <cellStyle name="Note 3 4 4 3 2" xfId="14117"/>
    <cellStyle name="Note 3 4 4 3 3" xfId="16494"/>
    <cellStyle name="Note 3 4 4 3 3 2" xfId="32715"/>
    <cellStyle name="Note 3 4 4 4" xfId="9516"/>
    <cellStyle name="Note 3 4 4 4 2" xfId="14118"/>
    <cellStyle name="Note 3 4 4 5" xfId="14113"/>
    <cellStyle name="Note 3 4 4 6" xfId="14909"/>
    <cellStyle name="Note 3 4 4 6 2" xfId="31131"/>
    <cellStyle name="Note 3 4 5" xfId="9517"/>
    <cellStyle name="Note 3 4 5 2" xfId="9518"/>
    <cellStyle name="Note 3 4 5 2 2" xfId="14120"/>
    <cellStyle name="Note 3 4 5 2 3" xfId="16758"/>
    <cellStyle name="Note 3 4 5 2 3 2" xfId="32979"/>
    <cellStyle name="Note 3 4 5 3" xfId="9519"/>
    <cellStyle name="Note 3 4 5 3 2" xfId="14121"/>
    <cellStyle name="Note 3 4 5 4" xfId="14119"/>
    <cellStyle name="Note 3 4 5 5" xfId="15173"/>
    <cellStyle name="Note 3 4 5 5 2" xfId="31395"/>
    <cellStyle name="Note 3 4 6" xfId="9520"/>
    <cellStyle name="Note 3 4 6 2" xfId="14122"/>
    <cellStyle name="Note 3 4 6 3" xfId="15966"/>
    <cellStyle name="Note 3 4 6 3 2" xfId="32187"/>
    <cellStyle name="Note 3 4 7" xfId="9521"/>
    <cellStyle name="Note 3 4 7 2" xfId="14123"/>
    <cellStyle name="Note 3 4 8" xfId="14088"/>
    <cellStyle name="Note 3 4 9" xfId="14381"/>
    <cellStyle name="Note 3 4 9 2" xfId="30603"/>
    <cellStyle name="Note 3 5" xfId="9522"/>
    <cellStyle name="Note 3 5 2" xfId="9523"/>
    <cellStyle name="Note 3 5 2 2" xfId="9524"/>
    <cellStyle name="Note 3 5 2 2 2" xfId="9525"/>
    <cellStyle name="Note 3 5 2 2 2 2" xfId="14127"/>
    <cellStyle name="Note 3 5 2 2 2 3" xfId="17088"/>
    <cellStyle name="Note 3 5 2 2 2 3 2" xfId="33309"/>
    <cellStyle name="Note 3 5 2 2 3" xfId="9526"/>
    <cellStyle name="Note 3 5 2 2 3 2" xfId="14128"/>
    <cellStyle name="Note 3 5 2 2 4" xfId="14126"/>
    <cellStyle name="Note 3 5 2 2 5" xfId="15503"/>
    <cellStyle name="Note 3 5 2 2 5 2" xfId="31725"/>
    <cellStyle name="Note 3 5 2 3" xfId="9527"/>
    <cellStyle name="Note 3 5 2 3 2" xfId="14129"/>
    <cellStyle name="Note 3 5 2 3 3" xfId="16296"/>
    <cellStyle name="Note 3 5 2 3 3 2" xfId="32517"/>
    <cellStyle name="Note 3 5 2 4" xfId="9528"/>
    <cellStyle name="Note 3 5 2 4 2" xfId="14130"/>
    <cellStyle name="Note 3 5 2 5" xfId="14125"/>
    <cellStyle name="Note 3 5 2 6" xfId="14711"/>
    <cellStyle name="Note 3 5 2 6 2" xfId="30933"/>
    <cellStyle name="Note 3 5 3" xfId="9529"/>
    <cellStyle name="Note 3 5 3 2" xfId="9530"/>
    <cellStyle name="Note 3 5 3 2 2" xfId="9531"/>
    <cellStyle name="Note 3 5 3 2 2 2" xfId="14133"/>
    <cellStyle name="Note 3 5 3 2 2 3" xfId="17352"/>
    <cellStyle name="Note 3 5 3 2 2 3 2" xfId="33573"/>
    <cellStyle name="Note 3 5 3 2 3" xfId="9532"/>
    <cellStyle name="Note 3 5 3 2 3 2" xfId="14134"/>
    <cellStyle name="Note 3 5 3 2 4" xfId="14132"/>
    <cellStyle name="Note 3 5 3 2 5" xfId="15767"/>
    <cellStyle name="Note 3 5 3 2 5 2" xfId="31989"/>
    <cellStyle name="Note 3 5 3 3" xfId="9533"/>
    <cellStyle name="Note 3 5 3 3 2" xfId="14135"/>
    <cellStyle name="Note 3 5 3 3 3" xfId="16560"/>
    <cellStyle name="Note 3 5 3 3 3 2" xfId="32781"/>
    <cellStyle name="Note 3 5 3 4" xfId="9534"/>
    <cellStyle name="Note 3 5 3 4 2" xfId="14136"/>
    <cellStyle name="Note 3 5 3 5" xfId="14131"/>
    <cellStyle name="Note 3 5 3 6" xfId="14975"/>
    <cellStyle name="Note 3 5 3 6 2" xfId="31197"/>
    <cellStyle name="Note 3 5 4" xfId="9535"/>
    <cellStyle name="Note 3 5 4 2" xfId="9536"/>
    <cellStyle name="Note 3 5 4 2 2" xfId="14138"/>
    <cellStyle name="Note 3 5 4 2 3" xfId="16824"/>
    <cellStyle name="Note 3 5 4 2 3 2" xfId="33045"/>
    <cellStyle name="Note 3 5 4 3" xfId="9537"/>
    <cellStyle name="Note 3 5 4 3 2" xfId="14139"/>
    <cellStyle name="Note 3 5 4 4" xfId="14137"/>
    <cellStyle name="Note 3 5 4 5" xfId="15239"/>
    <cellStyle name="Note 3 5 4 5 2" xfId="31461"/>
    <cellStyle name="Note 3 5 5" xfId="9538"/>
    <cellStyle name="Note 3 5 5 2" xfId="14140"/>
    <cellStyle name="Note 3 5 5 3" xfId="16032"/>
    <cellStyle name="Note 3 5 5 3 2" xfId="32253"/>
    <cellStyle name="Note 3 5 6" xfId="9539"/>
    <cellStyle name="Note 3 5 6 2" xfId="14141"/>
    <cellStyle name="Note 3 5 7" xfId="14124"/>
    <cellStyle name="Note 3 5 8" xfId="14447"/>
    <cellStyle name="Note 3 5 8 2" xfId="30669"/>
    <cellStyle name="Note 3 5 9" xfId="39390"/>
    <cellStyle name="Note 3 6" xfId="9540"/>
    <cellStyle name="Note 3 6 2" xfId="9541"/>
    <cellStyle name="Note 3 6 2 2" xfId="9542"/>
    <cellStyle name="Note 3 6 2 2 2" xfId="14144"/>
    <cellStyle name="Note 3 6 2 2 3" xfId="16956"/>
    <cellStyle name="Note 3 6 2 2 3 2" xfId="33177"/>
    <cellStyle name="Note 3 6 2 3" xfId="9543"/>
    <cellStyle name="Note 3 6 2 3 2" xfId="14145"/>
    <cellStyle name="Note 3 6 2 4" xfId="14143"/>
    <cellStyle name="Note 3 6 2 5" xfId="15371"/>
    <cellStyle name="Note 3 6 2 5 2" xfId="31593"/>
    <cellStyle name="Note 3 6 3" xfId="9544"/>
    <cellStyle name="Note 3 6 3 2" xfId="14146"/>
    <cellStyle name="Note 3 6 3 3" xfId="16164"/>
    <cellStyle name="Note 3 6 3 3 2" xfId="32385"/>
    <cellStyle name="Note 3 6 4" xfId="9545"/>
    <cellStyle name="Note 3 6 4 2" xfId="14147"/>
    <cellStyle name="Note 3 6 5" xfId="14142"/>
    <cellStyle name="Note 3 6 6" xfId="14579"/>
    <cellStyle name="Note 3 6 6 2" xfId="30801"/>
    <cellStyle name="Note 3 7" xfId="9546"/>
    <cellStyle name="Note 3 7 2" xfId="9547"/>
    <cellStyle name="Note 3 7 2 2" xfId="9548"/>
    <cellStyle name="Note 3 7 2 2 2" xfId="14150"/>
    <cellStyle name="Note 3 7 2 2 3" xfId="17220"/>
    <cellStyle name="Note 3 7 2 2 3 2" xfId="33441"/>
    <cellStyle name="Note 3 7 2 3" xfId="9549"/>
    <cellStyle name="Note 3 7 2 3 2" xfId="14151"/>
    <cellStyle name="Note 3 7 2 4" xfId="14149"/>
    <cellStyle name="Note 3 7 2 5" xfId="15635"/>
    <cellStyle name="Note 3 7 2 5 2" xfId="31857"/>
    <cellStyle name="Note 3 7 3" xfId="9550"/>
    <cellStyle name="Note 3 7 3 2" xfId="14152"/>
    <cellStyle name="Note 3 7 3 3" xfId="16428"/>
    <cellStyle name="Note 3 7 3 3 2" xfId="32649"/>
    <cellStyle name="Note 3 7 4" xfId="9551"/>
    <cellStyle name="Note 3 7 4 2" xfId="14153"/>
    <cellStyle name="Note 3 7 5" xfId="14148"/>
    <cellStyle name="Note 3 7 6" xfId="14843"/>
    <cellStyle name="Note 3 7 6 2" xfId="31065"/>
    <cellStyle name="Note 3 8" xfId="9552"/>
    <cellStyle name="Note 3 8 2" xfId="9553"/>
    <cellStyle name="Note 3 8 2 2" xfId="14155"/>
    <cellStyle name="Note 3 8 2 3" xfId="16692"/>
    <cellStyle name="Note 3 8 2 3 2" xfId="32913"/>
    <cellStyle name="Note 3 8 3" xfId="9554"/>
    <cellStyle name="Note 3 8 3 2" xfId="14156"/>
    <cellStyle name="Note 3 8 4" xfId="14154"/>
    <cellStyle name="Note 3 8 5" xfId="15107"/>
    <cellStyle name="Note 3 8 5 2" xfId="31329"/>
    <cellStyle name="Note 3 9" xfId="9555"/>
    <cellStyle name="Note 3 9 2" xfId="14157"/>
    <cellStyle name="Note 3 9 3" xfId="15900"/>
    <cellStyle name="Note 3 9 3 2" xfId="32121"/>
    <cellStyle name="Note 4" xfId="38972"/>
    <cellStyle name="Note 4 2" xfId="39014"/>
    <cellStyle name="Note 4 2 2" xfId="39162"/>
    <cellStyle name="Note 4 2 3" xfId="39310"/>
    <cellStyle name="Note 4 2 4" xfId="39459"/>
    <cellStyle name="Note 4 3" xfId="39106"/>
    <cellStyle name="Note 4 4" xfId="39254"/>
    <cellStyle name="Note 4 5" xfId="39403"/>
    <cellStyle name="Note 5" xfId="38985"/>
    <cellStyle name="Note 5 2" xfId="39027"/>
    <cellStyle name="Note 5 2 2" xfId="39175"/>
    <cellStyle name="Note 5 2 3" xfId="39323"/>
    <cellStyle name="Note 5 2 4" xfId="39472"/>
    <cellStyle name="Note 5 3" xfId="39119"/>
    <cellStyle name="Note 5 4" xfId="39267"/>
    <cellStyle name="Note 5 5" xfId="39416"/>
    <cellStyle name="Output" xfId="228" builtinId="21" customBuiltin="1"/>
    <cellStyle name="Output 2" xfId="4915"/>
    <cellStyle name="Output 2 2" xfId="14158"/>
    <cellStyle name="Output 2 3" xfId="38815"/>
    <cellStyle name="Output 3" xfId="14303"/>
    <cellStyle name="Output 4" xfId="9556"/>
    <cellStyle name="Output 5" xfId="38702"/>
    <cellStyle name="Percent" xfId="229" builtinId="5"/>
    <cellStyle name="Percent 10" xfId="15877"/>
    <cellStyle name="Percent 11" xfId="9557"/>
    <cellStyle name="Percent 12" xfId="38701"/>
    <cellStyle name="Percent 12 2" xfId="5689"/>
    <cellStyle name="Percent 12 2 2" xfId="14160"/>
    <cellStyle name="Percent 12 2 3" xfId="9558"/>
    <cellStyle name="Percent 12 3" xfId="5690"/>
    <cellStyle name="Percent 12 3 2" xfId="14161"/>
    <cellStyle name="Percent 12 3 3" xfId="9559"/>
    <cellStyle name="Percent 13 2" xfId="5691"/>
    <cellStyle name="Percent 13 2 2" xfId="14162"/>
    <cellStyle name="Percent 13 2 3" xfId="9560"/>
    <cellStyle name="Percent 14 2" xfId="5692"/>
    <cellStyle name="Percent 14 2 2" xfId="14163"/>
    <cellStyle name="Percent 14 2 3" xfId="9561"/>
    <cellStyle name="Percent 15 2" xfId="5693"/>
    <cellStyle name="Percent 15 2 2" xfId="5694"/>
    <cellStyle name="Percent 15 2 2 2" xfId="14165"/>
    <cellStyle name="Percent 15 2 2 3" xfId="9563"/>
    <cellStyle name="Percent 15 2 3" xfId="14164"/>
    <cellStyle name="Percent 15 2 4" xfId="9562"/>
    <cellStyle name="Percent 15 3" xfId="5695"/>
    <cellStyle name="Percent 15 3 2" xfId="14166"/>
    <cellStyle name="Percent 15 3 3" xfId="9564"/>
    <cellStyle name="Percent 2" xfId="230"/>
    <cellStyle name="Percent 2 2" xfId="231"/>
    <cellStyle name="Percent 2 2 2" xfId="232"/>
    <cellStyle name="Percent 2 2 2 2" xfId="14167"/>
    <cellStyle name="Percent 2 2 2 3" xfId="4955"/>
    <cellStyle name="Percent 2 2 2 4" xfId="39610"/>
    <cellStyle name="Percent 2 2 3" xfId="9565"/>
    <cellStyle name="Percent 2 2 4" xfId="6470"/>
    <cellStyle name="Percent 2 2 5" xfId="4940"/>
    <cellStyle name="Percent 2 3" xfId="233"/>
    <cellStyle name="Percent 2 3 2" xfId="4959"/>
    <cellStyle name="Percent 2 3 3" xfId="5688"/>
    <cellStyle name="Percent 2 3 4" xfId="4927"/>
    <cellStyle name="Percent 2 4" xfId="234"/>
    <cellStyle name="Percent 2 4 2" xfId="235"/>
    <cellStyle name="Percent 2 4 3" xfId="14159"/>
    <cellStyle name="Percent 2 5" xfId="236"/>
    <cellStyle name="Percent 2 5 2" xfId="237"/>
    <cellStyle name="Percent 2 5 3" xfId="4916"/>
    <cellStyle name="Percent 2 6" xfId="238"/>
    <cellStyle name="Percent 3" xfId="239"/>
    <cellStyle name="Percent 3 2" xfId="240"/>
    <cellStyle name="Percent 3 2 2" xfId="14168"/>
    <cellStyle name="Percent 3 2 3" xfId="9566"/>
    <cellStyle name="Percent 3 2 4" xfId="38816"/>
    <cellStyle name="Percent 3 2 5" xfId="386"/>
    <cellStyle name="Percent 3 3" xfId="387"/>
    <cellStyle name="Percent 3 4" xfId="388"/>
    <cellStyle name="Percent 3 4 10" xfId="512"/>
    <cellStyle name="Percent 3 4 10 2" xfId="864"/>
    <cellStyle name="Percent 3 4 10 2 2" xfId="2363"/>
    <cellStyle name="Percent 3 4 10 2 2 2" xfId="24531"/>
    <cellStyle name="Percent 3 4 10 2 3" xfId="3862"/>
    <cellStyle name="Percent 3 4 10 2 3 2" xfId="26029"/>
    <cellStyle name="Percent 3 4 10 2 4" xfId="21535"/>
    <cellStyle name="Percent 3 4 10 2 4 2" xfId="37747"/>
    <cellStyle name="Percent 3 4 10 2 5" xfId="23033"/>
    <cellStyle name="Percent 3 4 10 3" xfId="1215"/>
    <cellStyle name="Percent 3 4 10 3 2" xfId="2714"/>
    <cellStyle name="Percent 3 4 10 3 2 2" xfId="24882"/>
    <cellStyle name="Percent 3 4 10 3 3" xfId="4213"/>
    <cellStyle name="Percent 3 4 10 3 3 2" xfId="26380"/>
    <cellStyle name="Percent 3 4 10 3 4" xfId="21886"/>
    <cellStyle name="Percent 3 4 10 3 4 2" xfId="38098"/>
    <cellStyle name="Percent 3 4 10 3 5" xfId="23384"/>
    <cellStyle name="Percent 3 4 10 4" xfId="1566"/>
    <cellStyle name="Percent 3 4 10 4 2" xfId="3065"/>
    <cellStyle name="Percent 3 4 10 4 2 2" xfId="25233"/>
    <cellStyle name="Percent 3 4 10 4 3" xfId="4564"/>
    <cellStyle name="Percent 3 4 10 4 3 2" xfId="26731"/>
    <cellStyle name="Percent 3 4 10 4 4" xfId="22237"/>
    <cellStyle name="Percent 3 4 10 4 4 2" xfId="38449"/>
    <cellStyle name="Percent 3 4 10 4 5" xfId="23735"/>
    <cellStyle name="Percent 3 4 10 5" xfId="2012"/>
    <cellStyle name="Percent 3 4 10 5 2" xfId="24180"/>
    <cellStyle name="Percent 3 4 10 6" xfId="3511"/>
    <cellStyle name="Percent 3 4 10 6 2" xfId="25678"/>
    <cellStyle name="Percent 3 4 10 7" xfId="21184"/>
    <cellStyle name="Percent 3 4 10 7 2" xfId="37396"/>
    <cellStyle name="Percent 3 4 10 8" xfId="22682"/>
    <cellStyle name="Percent 3 4 11" xfId="630"/>
    <cellStyle name="Percent 3 4 11 2" xfId="981"/>
    <cellStyle name="Percent 3 4 11 2 2" xfId="2480"/>
    <cellStyle name="Percent 3 4 11 2 2 2" xfId="24648"/>
    <cellStyle name="Percent 3 4 11 2 3" xfId="3979"/>
    <cellStyle name="Percent 3 4 11 2 3 2" xfId="26146"/>
    <cellStyle name="Percent 3 4 11 2 4" xfId="21652"/>
    <cellStyle name="Percent 3 4 11 2 4 2" xfId="37864"/>
    <cellStyle name="Percent 3 4 11 2 5" xfId="23150"/>
    <cellStyle name="Percent 3 4 11 3" xfId="1332"/>
    <cellStyle name="Percent 3 4 11 3 2" xfId="2831"/>
    <cellStyle name="Percent 3 4 11 3 2 2" xfId="24999"/>
    <cellStyle name="Percent 3 4 11 3 3" xfId="4330"/>
    <cellStyle name="Percent 3 4 11 3 3 2" xfId="26497"/>
    <cellStyle name="Percent 3 4 11 3 4" xfId="22003"/>
    <cellStyle name="Percent 3 4 11 3 4 2" xfId="38215"/>
    <cellStyle name="Percent 3 4 11 3 5" xfId="23501"/>
    <cellStyle name="Percent 3 4 11 4" xfId="1683"/>
    <cellStyle name="Percent 3 4 11 4 2" xfId="3182"/>
    <cellStyle name="Percent 3 4 11 4 2 2" xfId="25350"/>
    <cellStyle name="Percent 3 4 11 4 3" xfId="4681"/>
    <cellStyle name="Percent 3 4 11 4 3 2" xfId="26848"/>
    <cellStyle name="Percent 3 4 11 4 4" xfId="22354"/>
    <cellStyle name="Percent 3 4 11 4 4 2" xfId="38566"/>
    <cellStyle name="Percent 3 4 11 4 5" xfId="23852"/>
    <cellStyle name="Percent 3 4 11 5" xfId="2129"/>
    <cellStyle name="Percent 3 4 11 5 2" xfId="24297"/>
    <cellStyle name="Percent 3 4 11 6" xfId="3628"/>
    <cellStyle name="Percent 3 4 11 6 2" xfId="25795"/>
    <cellStyle name="Percent 3 4 11 7" xfId="21301"/>
    <cellStyle name="Percent 3 4 11 7 2" xfId="37513"/>
    <cellStyle name="Percent 3 4 11 8" xfId="22799"/>
    <cellStyle name="Percent 3 4 12" xfId="747"/>
    <cellStyle name="Percent 3 4 12 2" xfId="2246"/>
    <cellStyle name="Percent 3 4 12 2 2" xfId="24414"/>
    <cellStyle name="Percent 3 4 12 3" xfId="3745"/>
    <cellStyle name="Percent 3 4 12 3 2" xfId="25912"/>
    <cellStyle name="Percent 3 4 12 4" xfId="21418"/>
    <cellStyle name="Percent 3 4 12 4 2" xfId="37630"/>
    <cellStyle name="Percent 3 4 12 5" xfId="22916"/>
    <cellStyle name="Percent 3 4 13" xfId="1098"/>
    <cellStyle name="Percent 3 4 13 2" xfId="2597"/>
    <cellStyle name="Percent 3 4 13 2 2" xfId="24765"/>
    <cellStyle name="Percent 3 4 13 3" xfId="4096"/>
    <cellStyle name="Percent 3 4 13 3 2" xfId="26263"/>
    <cellStyle name="Percent 3 4 13 4" xfId="21769"/>
    <cellStyle name="Percent 3 4 13 4 2" xfId="37981"/>
    <cellStyle name="Percent 3 4 13 5" xfId="23267"/>
    <cellStyle name="Percent 3 4 14" xfId="1449"/>
    <cellStyle name="Percent 3 4 14 2" xfId="2948"/>
    <cellStyle name="Percent 3 4 14 2 2" xfId="25116"/>
    <cellStyle name="Percent 3 4 14 3" xfId="4447"/>
    <cellStyle name="Percent 3 4 14 3 2" xfId="26614"/>
    <cellStyle name="Percent 3 4 14 4" xfId="22120"/>
    <cellStyle name="Percent 3 4 14 4 2" xfId="38332"/>
    <cellStyle name="Percent 3 4 14 5" xfId="23618"/>
    <cellStyle name="Percent 3 4 15" xfId="1895"/>
    <cellStyle name="Percent 3 4 15 2" xfId="24063"/>
    <cellStyle name="Percent 3 4 16" xfId="3394"/>
    <cellStyle name="Percent 3 4 16 2" xfId="25561"/>
    <cellStyle name="Percent 3 4 17" xfId="21067"/>
    <cellStyle name="Percent 3 4 17 2" xfId="37279"/>
    <cellStyle name="Percent 3 4 18" xfId="22565"/>
    <cellStyle name="Percent 3 4 2" xfId="395"/>
    <cellStyle name="Percent 3 4 2 10" xfId="752"/>
    <cellStyle name="Percent 3 4 2 10 2" xfId="2251"/>
    <cellStyle name="Percent 3 4 2 10 2 2" xfId="24419"/>
    <cellStyle name="Percent 3 4 2 10 3" xfId="3750"/>
    <cellStyle name="Percent 3 4 2 10 3 2" xfId="25917"/>
    <cellStyle name="Percent 3 4 2 10 4" xfId="21423"/>
    <cellStyle name="Percent 3 4 2 10 4 2" xfId="37635"/>
    <cellStyle name="Percent 3 4 2 10 5" xfId="22921"/>
    <cellStyle name="Percent 3 4 2 11" xfId="1103"/>
    <cellStyle name="Percent 3 4 2 11 2" xfId="2602"/>
    <cellStyle name="Percent 3 4 2 11 2 2" xfId="24770"/>
    <cellStyle name="Percent 3 4 2 11 3" xfId="4101"/>
    <cellStyle name="Percent 3 4 2 11 3 2" xfId="26268"/>
    <cellStyle name="Percent 3 4 2 11 4" xfId="21774"/>
    <cellStyle name="Percent 3 4 2 11 4 2" xfId="37986"/>
    <cellStyle name="Percent 3 4 2 11 5" xfId="23272"/>
    <cellStyle name="Percent 3 4 2 12" xfId="1454"/>
    <cellStyle name="Percent 3 4 2 12 2" xfId="2953"/>
    <cellStyle name="Percent 3 4 2 12 2 2" xfId="25121"/>
    <cellStyle name="Percent 3 4 2 12 3" xfId="4452"/>
    <cellStyle name="Percent 3 4 2 12 3 2" xfId="26619"/>
    <cellStyle name="Percent 3 4 2 12 4" xfId="22125"/>
    <cellStyle name="Percent 3 4 2 12 4 2" xfId="38337"/>
    <cellStyle name="Percent 3 4 2 12 5" xfId="23623"/>
    <cellStyle name="Percent 3 4 2 13" xfId="1900"/>
    <cellStyle name="Percent 3 4 2 13 2" xfId="24068"/>
    <cellStyle name="Percent 3 4 2 14" xfId="3399"/>
    <cellStyle name="Percent 3 4 2 14 2" xfId="25566"/>
    <cellStyle name="Percent 3 4 2 15" xfId="21072"/>
    <cellStyle name="Percent 3 4 2 15 2" xfId="37284"/>
    <cellStyle name="Percent 3 4 2 16" xfId="22570"/>
    <cellStyle name="Percent 3 4 2 2" xfId="412"/>
    <cellStyle name="Percent 3 4 2 2 10" xfId="21085"/>
    <cellStyle name="Percent 3 4 2 2 10 2" xfId="37297"/>
    <cellStyle name="Percent 3 4 2 2 11" xfId="22583"/>
    <cellStyle name="Percent 3 4 2 2 2" xfId="464"/>
    <cellStyle name="Percent 3 4 2 2 2 10" xfId="22635"/>
    <cellStyle name="Percent 3 4 2 2 2 2" xfId="582"/>
    <cellStyle name="Percent 3 4 2 2 2 2 2" xfId="934"/>
    <cellStyle name="Percent 3 4 2 2 2 2 2 2" xfId="2433"/>
    <cellStyle name="Percent 3 4 2 2 2 2 2 2 2" xfId="24601"/>
    <cellStyle name="Percent 3 4 2 2 2 2 2 3" xfId="3932"/>
    <cellStyle name="Percent 3 4 2 2 2 2 2 3 2" xfId="26099"/>
    <cellStyle name="Percent 3 4 2 2 2 2 2 4" xfId="21605"/>
    <cellStyle name="Percent 3 4 2 2 2 2 2 4 2" xfId="37817"/>
    <cellStyle name="Percent 3 4 2 2 2 2 2 5" xfId="23103"/>
    <cellStyle name="Percent 3 4 2 2 2 2 3" xfId="1285"/>
    <cellStyle name="Percent 3 4 2 2 2 2 3 2" xfId="2784"/>
    <cellStyle name="Percent 3 4 2 2 2 2 3 2 2" xfId="24952"/>
    <cellStyle name="Percent 3 4 2 2 2 2 3 3" xfId="4283"/>
    <cellStyle name="Percent 3 4 2 2 2 2 3 3 2" xfId="26450"/>
    <cellStyle name="Percent 3 4 2 2 2 2 3 4" xfId="21956"/>
    <cellStyle name="Percent 3 4 2 2 2 2 3 4 2" xfId="38168"/>
    <cellStyle name="Percent 3 4 2 2 2 2 3 5" xfId="23454"/>
    <cellStyle name="Percent 3 4 2 2 2 2 4" xfId="1636"/>
    <cellStyle name="Percent 3 4 2 2 2 2 4 2" xfId="3135"/>
    <cellStyle name="Percent 3 4 2 2 2 2 4 2 2" xfId="25303"/>
    <cellStyle name="Percent 3 4 2 2 2 2 4 3" xfId="4634"/>
    <cellStyle name="Percent 3 4 2 2 2 2 4 3 2" xfId="26801"/>
    <cellStyle name="Percent 3 4 2 2 2 2 4 4" xfId="22307"/>
    <cellStyle name="Percent 3 4 2 2 2 2 4 4 2" xfId="38519"/>
    <cellStyle name="Percent 3 4 2 2 2 2 4 5" xfId="23805"/>
    <cellStyle name="Percent 3 4 2 2 2 2 5" xfId="2082"/>
    <cellStyle name="Percent 3 4 2 2 2 2 5 2" xfId="24250"/>
    <cellStyle name="Percent 3 4 2 2 2 2 6" xfId="3581"/>
    <cellStyle name="Percent 3 4 2 2 2 2 6 2" xfId="25748"/>
    <cellStyle name="Percent 3 4 2 2 2 2 7" xfId="21254"/>
    <cellStyle name="Percent 3 4 2 2 2 2 7 2" xfId="37466"/>
    <cellStyle name="Percent 3 4 2 2 2 2 8" xfId="22752"/>
    <cellStyle name="Percent 3 4 2 2 2 3" xfId="700"/>
    <cellStyle name="Percent 3 4 2 2 2 3 2" xfId="1051"/>
    <cellStyle name="Percent 3 4 2 2 2 3 2 2" xfId="2550"/>
    <cellStyle name="Percent 3 4 2 2 2 3 2 2 2" xfId="24718"/>
    <cellStyle name="Percent 3 4 2 2 2 3 2 3" xfId="4049"/>
    <cellStyle name="Percent 3 4 2 2 2 3 2 3 2" xfId="26216"/>
    <cellStyle name="Percent 3 4 2 2 2 3 2 4" xfId="21722"/>
    <cellStyle name="Percent 3 4 2 2 2 3 2 4 2" xfId="37934"/>
    <cellStyle name="Percent 3 4 2 2 2 3 2 5" xfId="23220"/>
    <cellStyle name="Percent 3 4 2 2 2 3 3" xfId="1402"/>
    <cellStyle name="Percent 3 4 2 2 2 3 3 2" xfId="2901"/>
    <cellStyle name="Percent 3 4 2 2 2 3 3 2 2" xfId="25069"/>
    <cellStyle name="Percent 3 4 2 2 2 3 3 3" xfId="4400"/>
    <cellStyle name="Percent 3 4 2 2 2 3 3 3 2" xfId="26567"/>
    <cellStyle name="Percent 3 4 2 2 2 3 3 4" xfId="22073"/>
    <cellStyle name="Percent 3 4 2 2 2 3 3 4 2" xfId="38285"/>
    <cellStyle name="Percent 3 4 2 2 2 3 3 5" xfId="23571"/>
    <cellStyle name="Percent 3 4 2 2 2 3 4" xfId="1753"/>
    <cellStyle name="Percent 3 4 2 2 2 3 4 2" xfId="3252"/>
    <cellStyle name="Percent 3 4 2 2 2 3 4 2 2" xfId="25420"/>
    <cellStyle name="Percent 3 4 2 2 2 3 4 3" xfId="4751"/>
    <cellStyle name="Percent 3 4 2 2 2 3 4 3 2" xfId="26918"/>
    <cellStyle name="Percent 3 4 2 2 2 3 4 4" xfId="22424"/>
    <cellStyle name="Percent 3 4 2 2 2 3 4 4 2" xfId="38636"/>
    <cellStyle name="Percent 3 4 2 2 2 3 4 5" xfId="23922"/>
    <cellStyle name="Percent 3 4 2 2 2 3 5" xfId="2199"/>
    <cellStyle name="Percent 3 4 2 2 2 3 5 2" xfId="24367"/>
    <cellStyle name="Percent 3 4 2 2 2 3 6" xfId="3698"/>
    <cellStyle name="Percent 3 4 2 2 2 3 6 2" xfId="25865"/>
    <cellStyle name="Percent 3 4 2 2 2 3 7" xfId="21371"/>
    <cellStyle name="Percent 3 4 2 2 2 3 7 2" xfId="37583"/>
    <cellStyle name="Percent 3 4 2 2 2 3 8" xfId="22869"/>
    <cellStyle name="Percent 3 4 2 2 2 4" xfId="817"/>
    <cellStyle name="Percent 3 4 2 2 2 4 2" xfId="2316"/>
    <cellStyle name="Percent 3 4 2 2 2 4 2 2" xfId="24484"/>
    <cellStyle name="Percent 3 4 2 2 2 4 3" xfId="3815"/>
    <cellStyle name="Percent 3 4 2 2 2 4 3 2" xfId="25982"/>
    <cellStyle name="Percent 3 4 2 2 2 4 4" xfId="21488"/>
    <cellStyle name="Percent 3 4 2 2 2 4 4 2" xfId="37700"/>
    <cellStyle name="Percent 3 4 2 2 2 4 5" xfId="22986"/>
    <cellStyle name="Percent 3 4 2 2 2 5" xfId="1168"/>
    <cellStyle name="Percent 3 4 2 2 2 5 2" xfId="2667"/>
    <cellStyle name="Percent 3 4 2 2 2 5 2 2" xfId="24835"/>
    <cellStyle name="Percent 3 4 2 2 2 5 3" xfId="4166"/>
    <cellStyle name="Percent 3 4 2 2 2 5 3 2" xfId="26333"/>
    <cellStyle name="Percent 3 4 2 2 2 5 4" xfId="21839"/>
    <cellStyle name="Percent 3 4 2 2 2 5 4 2" xfId="38051"/>
    <cellStyle name="Percent 3 4 2 2 2 5 5" xfId="23337"/>
    <cellStyle name="Percent 3 4 2 2 2 6" xfId="1519"/>
    <cellStyle name="Percent 3 4 2 2 2 6 2" xfId="3018"/>
    <cellStyle name="Percent 3 4 2 2 2 6 2 2" xfId="25186"/>
    <cellStyle name="Percent 3 4 2 2 2 6 3" xfId="4517"/>
    <cellStyle name="Percent 3 4 2 2 2 6 3 2" xfId="26684"/>
    <cellStyle name="Percent 3 4 2 2 2 6 4" xfId="22190"/>
    <cellStyle name="Percent 3 4 2 2 2 6 4 2" xfId="38402"/>
    <cellStyle name="Percent 3 4 2 2 2 6 5" xfId="23688"/>
    <cellStyle name="Percent 3 4 2 2 2 7" xfId="1965"/>
    <cellStyle name="Percent 3 4 2 2 2 7 2" xfId="24133"/>
    <cellStyle name="Percent 3 4 2 2 2 8" xfId="3464"/>
    <cellStyle name="Percent 3 4 2 2 2 8 2" xfId="25631"/>
    <cellStyle name="Percent 3 4 2 2 2 9" xfId="21137"/>
    <cellStyle name="Percent 3 4 2 2 2 9 2" xfId="37349"/>
    <cellStyle name="Percent 3 4 2 2 3" xfId="530"/>
    <cellStyle name="Percent 3 4 2 2 3 2" xfId="882"/>
    <cellStyle name="Percent 3 4 2 2 3 2 2" xfId="2381"/>
    <cellStyle name="Percent 3 4 2 2 3 2 2 2" xfId="24549"/>
    <cellStyle name="Percent 3 4 2 2 3 2 3" xfId="3880"/>
    <cellStyle name="Percent 3 4 2 2 3 2 3 2" xfId="26047"/>
    <cellStyle name="Percent 3 4 2 2 3 2 4" xfId="21553"/>
    <cellStyle name="Percent 3 4 2 2 3 2 4 2" xfId="37765"/>
    <cellStyle name="Percent 3 4 2 2 3 2 5" xfId="23051"/>
    <cellStyle name="Percent 3 4 2 2 3 3" xfId="1233"/>
    <cellStyle name="Percent 3 4 2 2 3 3 2" xfId="2732"/>
    <cellStyle name="Percent 3 4 2 2 3 3 2 2" xfId="24900"/>
    <cellStyle name="Percent 3 4 2 2 3 3 3" xfId="4231"/>
    <cellStyle name="Percent 3 4 2 2 3 3 3 2" xfId="26398"/>
    <cellStyle name="Percent 3 4 2 2 3 3 4" xfId="21904"/>
    <cellStyle name="Percent 3 4 2 2 3 3 4 2" xfId="38116"/>
    <cellStyle name="Percent 3 4 2 2 3 3 5" xfId="23402"/>
    <cellStyle name="Percent 3 4 2 2 3 4" xfId="1584"/>
    <cellStyle name="Percent 3 4 2 2 3 4 2" xfId="3083"/>
    <cellStyle name="Percent 3 4 2 2 3 4 2 2" xfId="25251"/>
    <cellStyle name="Percent 3 4 2 2 3 4 3" xfId="4582"/>
    <cellStyle name="Percent 3 4 2 2 3 4 3 2" xfId="26749"/>
    <cellStyle name="Percent 3 4 2 2 3 4 4" xfId="22255"/>
    <cellStyle name="Percent 3 4 2 2 3 4 4 2" xfId="38467"/>
    <cellStyle name="Percent 3 4 2 2 3 4 5" xfId="23753"/>
    <cellStyle name="Percent 3 4 2 2 3 5" xfId="2030"/>
    <cellStyle name="Percent 3 4 2 2 3 5 2" xfId="24198"/>
    <cellStyle name="Percent 3 4 2 2 3 6" xfId="3529"/>
    <cellStyle name="Percent 3 4 2 2 3 6 2" xfId="25696"/>
    <cellStyle name="Percent 3 4 2 2 3 7" xfId="21202"/>
    <cellStyle name="Percent 3 4 2 2 3 7 2" xfId="37414"/>
    <cellStyle name="Percent 3 4 2 2 3 8" xfId="22700"/>
    <cellStyle name="Percent 3 4 2 2 4" xfId="648"/>
    <cellStyle name="Percent 3 4 2 2 4 2" xfId="999"/>
    <cellStyle name="Percent 3 4 2 2 4 2 2" xfId="2498"/>
    <cellStyle name="Percent 3 4 2 2 4 2 2 2" xfId="24666"/>
    <cellStyle name="Percent 3 4 2 2 4 2 3" xfId="3997"/>
    <cellStyle name="Percent 3 4 2 2 4 2 3 2" xfId="26164"/>
    <cellStyle name="Percent 3 4 2 2 4 2 4" xfId="21670"/>
    <cellStyle name="Percent 3 4 2 2 4 2 4 2" xfId="37882"/>
    <cellStyle name="Percent 3 4 2 2 4 2 5" xfId="23168"/>
    <cellStyle name="Percent 3 4 2 2 4 3" xfId="1350"/>
    <cellStyle name="Percent 3 4 2 2 4 3 2" xfId="2849"/>
    <cellStyle name="Percent 3 4 2 2 4 3 2 2" xfId="25017"/>
    <cellStyle name="Percent 3 4 2 2 4 3 3" xfId="4348"/>
    <cellStyle name="Percent 3 4 2 2 4 3 3 2" xfId="26515"/>
    <cellStyle name="Percent 3 4 2 2 4 3 4" xfId="22021"/>
    <cellStyle name="Percent 3 4 2 2 4 3 4 2" xfId="38233"/>
    <cellStyle name="Percent 3 4 2 2 4 3 5" xfId="23519"/>
    <cellStyle name="Percent 3 4 2 2 4 4" xfId="1701"/>
    <cellStyle name="Percent 3 4 2 2 4 4 2" xfId="3200"/>
    <cellStyle name="Percent 3 4 2 2 4 4 2 2" xfId="25368"/>
    <cellStyle name="Percent 3 4 2 2 4 4 3" xfId="4699"/>
    <cellStyle name="Percent 3 4 2 2 4 4 3 2" xfId="26866"/>
    <cellStyle name="Percent 3 4 2 2 4 4 4" xfId="22372"/>
    <cellStyle name="Percent 3 4 2 2 4 4 4 2" xfId="38584"/>
    <cellStyle name="Percent 3 4 2 2 4 4 5" xfId="23870"/>
    <cellStyle name="Percent 3 4 2 2 4 5" xfId="2147"/>
    <cellStyle name="Percent 3 4 2 2 4 5 2" xfId="24315"/>
    <cellStyle name="Percent 3 4 2 2 4 6" xfId="3646"/>
    <cellStyle name="Percent 3 4 2 2 4 6 2" xfId="25813"/>
    <cellStyle name="Percent 3 4 2 2 4 7" xfId="21319"/>
    <cellStyle name="Percent 3 4 2 2 4 7 2" xfId="37531"/>
    <cellStyle name="Percent 3 4 2 2 4 8" xfId="22817"/>
    <cellStyle name="Percent 3 4 2 2 5" xfId="765"/>
    <cellStyle name="Percent 3 4 2 2 5 2" xfId="2264"/>
    <cellStyle name="Percent 3 4 2 2 5 2 2" xfId="24432"/>
    <cellStyle name="Percent 3 4 2 2 5 3" xfId="3763"/>
    <cellStyle name="Percent 3 4 2 2 5 3 2" xfId="25930"/>
    <cellStyle name="Percent 3 4 2 2 5 4" xfId="21436"/>
    <cellStyle name="Percent 3 4 2 2 5 4 2" xfId="37648"/>
    <cellStyle name="Percent 3 4 2 2 5 5" xfId="22934"/>
    <cellStyle name="Percent 3 4 2 2 6" xfId="1116"/>
    <cellStyle name="Percent 3 4 2 2 6 2" xfId="2615"/>
    <cellStyle name="Percent 3 4 2 2 6 2 2" xfId="24783"/>
    <cellStyle name="Percent 3 4 2 2 6 3" xfId="4114"/>
    <cellStyle name="Percent 3 4 2 2 6 3 2" xfId="26281"/>
    <cellStyle name="Percent 3 4 2 2 6 4" xfId="21787"/>
    <cellStyle name="Percent 3 4 2 2 6 4 2" xfId="37999"/>
    <cellStyle name="Percent 3 4 2 2 6 5" xfId="23285"/>
    <cellStyle name="Percent 3 4 2 2 7" xfId="1467"/>
    <cellStyle name="Percent 3 4 2 2 7 2" xfId="2966"/>
    <cellStyle name="Percent 3 4 2 2 7 2 2" xfId="25134"/>
    <cellStyle name="Percent 3 4 2 2 7 3" xfId="4465"/>
    <cellStyle name="Percent 3 4 2 2 7 3 2" xfId="26632"/>
    <cellStyle name="Percent 3 4 2 2 7 4" xfId="22138"/>
    <cellStyle name="Percent 3 4 2 2 7 4 2" xfId="38350"/>
    <cellStyle name="Percent 3 4 2 2 7 5" xfId="23636"/>
    <cellStyle name="Percent 3 4 2 2 8" xfId="1913"/>
    <cellStyle name="Percent 3 4 2 2 8 2" xfId="24081"/>
    <cellStyle name="Percent 3 4 2 2 9" xfId="3412"/>
    <cellStyle name="Percent 3 4 2 2 9 2" xfId="25579"/>
    <cellStyle name="Percent 3 4 2 3" xfId="424"/>
    <cellStyle name="Percent 3 4 2 3 10" xfId="22595"/>
    <cellStyle name="Percent 3 4 2 3 2" xfId="542"/>
    <cellStyle name="Percent 3 4 2 3 2 2" xfId="894"/>
    <cellStyle name="Percent 3 4 2 3 2 2 2" xfId="2393"/>
    <cellStyle name="Percent 3 4 2 3 2 2 2 2" xfId="24561"/>
    <cellStyle name="Percent 3 4 2 3 2 2 3" xfId="3892"/>
    <cellStyle name="Percent 3 4 2 3 2 2 3 2" xfId="26059"/>
    <cellStyle name="Percent 3 4 2 3 2 2 4" xfId="21565"/>
    <cellStyle name="Percent 3 4 2 3 2 2 4 2" xfId="37777"/>
    <cellStyle name="Percent 3 4 2 3 2 2 5" xfId="23063"/>
    <cellStyle name="Percent 3 4 2 3 2 3" xfId="1245"/>
    <cellStyle name="Percent 3 4 2 3 2 3 2" xfId="2744"/>
    <cellStyle name="Percent 3 4 2 3 2 3 2 2" xfId="24912"/>
    <cellStyle name="Percent 3 4 2 3 2 3 3" xfId="4243"/>
    <cellStyle name="Percent 3 4 2 3 2 3 3 2" xfId="26410"/>
    <cellStyle name="Percent 3 4 2 3 2 3 4" xfId="21916"/>
    <cellStyle name="Percent 3 4 2 3 2 3 4 2" xfId="38128"/>
    <cellStyle name="Percent 3 4 2 3 2 3 5" xfId="23414"/>
    <cellStyle name="Percent 3 4 2 3 2 4" xfId="1596"/>
    <cellStyle name="Percent 3 4 2 3 2 4 2" xfId="3095"/>
    <cellStyle name="Percent 3 4 2 3 2 4 2 2" xfId="25263"/>
    <cellStyle name="Percent 3 4 2 3 2 4 3" xfId="4594"/>
    <cellStyle name="Percent 3 4 2 3 2 4 3 2" xfId="26761"/>
    <cellStyle name="Percent 3 4 2 3 2 4 4" xfId="22267"/>
    <cellStyle name="Percent 3 4 2 3 2 4 4 2" xfId="38479"/>
    <cellStyle name="Percent 3 4 2 3 2 4 5" xfId="23765"/>
    <cellStyle name="Percent 3 4 2 3 2 5" xfId="2042"/>
    <cellStyle name="Percent 3 4 2 3 2 5 2" xfId="24210"/>
    <cellStyle name="Percent 3 4 2 3 2 6" xfId="3541"/>
    <cellStyle name="Percent 3 4 2 3 2 6 2" xfId="25708"/>
    <cellStyle name="Percent 3 4 2 3 2 7" xfId="21214"/>
    <cellStyle name="Percent 3 4 2 3 2 7 2" xfId="37426"/>
    <cellStyle name="Percent 3 4 2 3 2 8" xfId="22712"/>
    <cellStyle name="Percent 3 4 2 3 3" xfId="660"/>
    <cellStyle name="Percent 3 4 2 3 3 2" xfId="1011"/>
    <cellStyle name="Percent 3 4 2 3 3 2 2" xfId="2510"/>
    <cellStyle name="Percent 3 4 2 3 3 2 2 2" xfId="24678"/>
    <cellStyle name="Percent 3 4 2 3 3 2 3" xfId="4009"/>
    <cellStyle name="Percent 3 4 2 3 3 2 3 2" xfId="26176"/>
    <cellStyle name="Percent 3 4 2 3 3 2 4" xfId="21682"/>
    <cellStyle name="Percent 3 4 2 3 3 2 4 2" xfId="37894"/>
    <cellStyle name="Percent 3 4 2 3 3 2 5" xfId="23180"/>
    <cellStyle name="Percent 3 4 2 3 3 3" xfId="1362"/>
    <cellStyle name="Percent 3 4 2 3 3 3 2" xfId="2861"/>
    <cellStyle name="Percent 3 4 2 3 3 3 2 2" xfId="25029"/>
    <cellStyle name="Percent 3 4 2 3 3 3 3" xfId="4360"/>
    <cellStyle name="Percent 3 4 2 3 3 3 3 2" xfId="26527"/>
    <cellStyle name="Percent 3 4 2 3 3 3 4" xfId="22033"/>
    <cellStyle name="Percent 3 4 2 3 3 3 4 2" xfId="38245"/>
    <cellStyle name="Percent 3 4 2 3 3 3 5" xfId="23531"/>
    <cellStyle name="Percent 3 4 2 3 3 4" xfId="1713"/>
    <cellStyle name="Percent 3 4 2 3 3 4 2" xfId="3212"/>
    <cellStyle name="Percent 3 4 2 3 3 4 2 2" xfId="25380"/>
    <cellStyle name="Percent 3 4 2 3 3 4 3" xfId="4711"/>
    <cellStyle name="Percent 3 4 2 3 3 4 3 2" xfId="26878"/>
    <cellStyle name="Percent 3 4 2 3 3 4 4" xfId="22384"/>
    <cellStyle name="Percent 3 4 2 3 3 4 4 2" xfId="38596"/>
    <cellStyle name="Percent 3 4 2 3 3 4 5" xfId="23882"/>
    <cellStyle name="Percent 3 4 2 3 3 5" xfId="2159"/>
    <cellStyle name="Percent 3 4 2 3 3 5 2" xfId="24327"/>
    <cellStyle name="Percent 3 4 2 3 3 6" xfId="3658"/>
    <cellStyle name="Percent 3 4 2 3 3 6 2" xfId="25825"/>
    <cellStyle name="Percent 3 4 2 3 3 7" xfId="21331"/>
    <cellStyle name="Percent 3 4 2 3 3 7 2" xfId="37543"/>
    <cellStyle name="Percent 3 4 2 3 3 8" xfId="22829"/>
    <cellStyle name="Percent 3 4 2 3 4" xfId="777"/>
    <cellStyle name="Percent 3 4 2 3 4 2" xfId="2276"/>
    <cellStyle name="Percent 3 4 2 3 4 2 2" xfId="24444"/>
    <cellStyle name="Percent 3 4 2 3 4 3" xfId="3775"/>
    <cellStyle name="Percent 3 4 2 3 4 3 2" xfId="25942"/>
    <cellStyle name="Percent 3 4 2 3 4 4" xfId="21448"/>
    <cellStyle name="Percent 3 4 2 3 4 4 2" xfId="37660"/>
    <cellStyle name="Percent 3 4 2 3 4 5" xfId="22946"/>
    <cellStyle name="Percent 3 4 2 3 5" xfId="1128"/>
    <cellStyle name="Percent 3 4 2 3 5 2" xfId="2627"/>
    <cellStyle name="Percent 3 4 2 3 5 2 2" xfId="24795"/>
    <cellStyle name="Percent 3 4 2 3 5 3" xfId="4126"/>
    <cellStyle name="Percent 3 4 2 3 5 3 2" xfId="26293"/>
    <cellStyle name="Percent 3 4 2 3 5 4" xfId="21799"/>
    <cellStyle name="Percent 3 4 2 3 5 4 2" xfId="38011"/>
    <cellStyle name="Percent 3 4 2 3 5 5" xfId="23297"/>
    <cellStyle name="Percent 3 4 2 3 6" xfId="1479"/>
    <cellStyle name="Percent 3 4 2 3 6 2" xfId="2978"/>
    <cellStyle name="Percent 3 4 2 3 6 2 2" xfId="25146"/>
    <cellStyle name="Percent 3 4 2 3 6 3" xfId="4477"/>
    <cellStyle name="Percent 3 4 2 3 6 3 2" xfId="26644"/>
    <cellStyle name="Percent 3 4 2 3 6 4" xfId="22150"/>
    <cellStyle name="Percent 3 4 2 3 6 4 2" xfId="38362"/>
    <cellStyle name="Percent 3 4 2 3 6 5" xfId="23648"/>
    <cellStyle name="Percent 3 4 2 3 7" xfId="1925"/>
    <cellStyle name="Percent 3 4 2 3 7 2" xfId="24093"/>
    <cellStyle name="Percent 3 4 2 3 8" xfId="3424"/>
    <cellStyle name="Percent 3 4 2 3 8 2" xfId="25591"/>
    <cellStyle name="Percent 3 4 2 3 9" xfId="21097"/>
    <cellStyle name="Percent 3 4 2 3 9 2" xfId="37309"/>
    <cellStyle name="Percent 3 4 2 4" xfId="436"/>
    <cellStyle name="Percent 3 4 2 4 10" xfId="22607"/>
    <cellStyle name="Percent 3 4 2 4 2" xfId="554"/>
    <cellStyle name="Percent 3 4 2 4 2 2" xfId="906"/>
    <cellStyle name="Percent 3 4 2 4 2 2 2" xfId="2405"/>
    <cellStyle name="Percent 3 4 2 4 2 2 2 2" xfId="24573"/>
    <cellStyle name="Percent 3 4 2 4 2 2 3" xfId="3904"/>
    <cellStyle name="Percent 3 4 2 4 2 2 3 2" xfId="26071"/>
    <cellStyle name="Percent 3 4 2 4 2 2 4" xfId="21577"/>
    <cellStyle name="Percent 3 4 2 4 2 2 4 2" xfId="37789"/>
    <cellStyle name="Percent 3 4 2 4 2 2 5" xfId="23075"/>
    <cellStyle name="Percent 3 4 2 4 2 3" xfId="1257"/>
    <cellStyle name="Percent 3 4 2 4 2 3 2" xfId="2756"/>
    <cellStyle name="Percent 3 4 2 4 2 3 2 2" xfId="24924"/>
    <cellStyle name="Percent 3 4 2 4 2 3 3" xfId="4255"/>
    <cellStyle name="Percent 3 4 2 4 2 3 3 2" xfId="26422"/>
    <cellStyle name="Percent 3 4 2 4 2 3 4" xfId="21928"/>
    <cellStyle name="Percent 3 4 2 4 2 3 4 2" xfId="38140"/>
    <cellStyle name="Percent 3 4 2 4 2 3 5" xfId="23426"/>
    <cellStyle name="Percent 3 4 2 4 2 4" xfId="1608"/>
    <cellStyle name="Percent 3 4 2 4 2 4 2" xfId="3107"/>
    <cellStyle name="Percent 3 4 2 4 2 4 2 2" xfId="25275"/>
    <cellStyle name="Percent 3 4 2 4 2 4 3" xfId="4606"/>
    <cellStyle name="Percent 3 4 2 4 2 4 3 2" xfId="26773"/>
    <cellStyle name="Percent 3 4 2 4 2 4 4" xfId="22279"/>
    <cellStyle name="Percent 3 4 2 4 2 4 4 2" xfId="38491"/>
    <cellStyle name="Percent 3 4 2 4 2 4 5" xfId="23777"/>
    <cellStyle name="Percent 3 4 2 4 2 5" xfId="2054"/>
    <cellStyle name="Percent 3 4 2 4 2 5 2" xfId="24222"/>
    <cellStyle name="Percent 3 4 2 4 2 6" xfId="3553"/>
    <cellStyle name="Percent 3 4 2 4 2 6 2" xfId="25720"/>
    <cellStyle name="Percent 3 4 2 4 2 7" xfId="21226"/>
    <cellStyle name="Percent 3 4 2 4 2 7 2" xfId="37438"/>
    <cellStyle name="Percent 3 4 2 4 2 8" xfId="22724"/>
    <cellStyle name="Percent 3 4 2 4 3" xfId="672"/>
    <cellStyle name="Percent 3 4 2 4 3 2" xfId="1023"/>
    <cellStyle name="Percent 3 4 2 4 3 2 2" xfId="2522"/>
    <cellStyle name="Percent 3 4 2 4 3 2 2 2" xfId="24690"/>
    <cellStyle name="Percent 3 4 2 4 3 2 3" xfId="4021"/>
    <cellStyle name="Percent 3 4 2 4 3 2 3 2" xfId="26188"/>
    <cellStyle name="Percent 3 4 2 4 3 2 4" xfId="21694"/>
    <cellStyle name="Percent 3 4 2 4 3 2 4 2" xfId="37906"/>
    <cellStyle name="Percent 3 4 2 4 3 2 5" xfId="23192"/>
    <cellStyle name="Percent 3 4 2 4 3 3" xfId="1374"/>
    <cellStyle name="Percent 3 4 2 4 3 3 2" xfId="2873"/>
    <cellStyle name="Percent 3 4 2 4 3 3 2 2" xfId="25041"/>
    <cellStyle name="Percent 3 4 2 4 3 3 3" xfId="4372"/>
    <cellStyle name="Percent 3 4 2 4 3 3 3 2" xfId="26539"/>
    <cellStyle name="Percent 3 4 2 4 3 3 4" xfId="22045"/>
    <cellStyle name="Percent 3 4 2 4 3 3 4 2" xfId="38257"/>
    <cellStyle name="Percent 3 4 2 4 3 3 5" xfId="23543"/>
    <cellStyle name="Percent 3 4 2 4 3 4" xfId="1725"/>
    <cellStyle name="Percent 3 4 2 4 3 4 2" xfId="3224"/>
    <cellStyle name="Percent 3 4 2 4 3 4 2 2" xfId="25392"/>
    <cellStyle name="Percent 3 4 2 4 3 4 3" xfId="4723"/>
    <cellStyle name="Percent 3 4 2 4 3 4 3 2" xfId="26890"/>
    <cellStyle name="Percent 3 4 2 4 3 4 4" xfId="22396"/>
    <cellStyle name="Percent 3 4 2 4 3 4 4 2" xfId="38608"/>
    <cellStyle name="Percent 3 4 2 4 3 4 5" xfId="23894"/>
    <cellStyle name="Percent 3 4 2 4 3 5" xfId="2171"/>
    <cellStyle name="Percent 3 4 2 4 3 5 2" xfId="24339"/>
    <cellStyle name="Percent 3 4 2 4 3 6" xfId="3670"/>
    <cellStyle name="Percent 3 4 2 4 3 6 2" xfId="25837"/>
    <cellStyle name="Percent 3 4 2 4 3 7" xfId="21343"/>
    <cellStyle name="Percent 3 4 2 4 3 7 2" xfId="37555"/>
    <cellStyle name="Percent 3 4 2 4 3 8" xfId="22841"/>
    <cellStyle name="Percent 3 4 2 4 4" xfId="789"/>
    <cellStyle name="Percent 3 4 2 4 4 2" xfId="2288"/>
    <cellStyle name="Percent 3 4 2 4 4 2 2" xfId="24456"/>
    <cellStyle name="Percent 3 4 2 4 4 3" xfId="3787"/>
    <cellStyle name="Percent 3 4 2 4 4 3 2" xfId="25954"/>
    <cellStyle name="Percent 3 4 2 4 4 4" xfId="21460"/>
    <cellStyle name="Percent 3 4 2 4 4 4 2" xfId="37672"/>
    <cellStyle name="Percent 3 4 2 4 4 5" xfId="22958"/>
    <cellStyle name="Percent 3 4 2 4 5" xfId="1140"/>
    <cellStyle name="Percent 3 4 2 4 5 2" xfId="2639"/>
    <cellStyle name="Percent 3 4 2 4 5 2 2" xfId="24807"/>
    <cellStyle name="Percent 3 4 2 4 5 3" xfId="4138"/>
    <cellStyle name="Percent 3 4 2 4 5 3 2" xfId="26305"/>
    <cellStyle name="Percent 3 4 2 4 5 4" xfId="21811"/>
    <cellStyle name="Percent 3 4 2 4 5 4 2" xfId="38023"/>
    <cellStyle name="Percent 3 4 2 4 5 5" xfId="23309"/>
    <cellStyle name="Percent 3 4 2 4 6" xfId="1491"/>
    <cellStyle name="Percent 3 4 2 4 6 2" xfId="2990"/>
    <cellStyle name="Percent 3 4 2 4 6 2 2" xfId="25158"/>
    <cellStyle name="Percent 3 4 2 4 6 3" xfId="4489"/>
    <cellStyle name="Percent 3 4 2 4 6 3 2" xfId="26656"/>
    <cellStyle name="Percent 3 4 2 4 6 4" xfId="22162"/>
    <cellStyle name="Percent 3 4 2 4 6 4 2" xfId="38374"/>
    <cellStyle name="Percent 3 4 2 4 6 5" xfId="23660"/>
    <cellStyle name="Percent 3 4 2 4 7" xfId="1937"/>
    <cellStyle name="Percent 3 4 2 4 7 2" xfId="24105"/>
    <cellStyle name="Percent 3 4 2 4 8" xfId="3436"/>
    <cellStyle name="Percent 3 4 2 4 8 2" xfId="25603"/>
    <cellStyle name="Percent 3 4 2 4 9" xfId="21109"/>
    <cellStyle name="Percent 3 4 2 4 9 2" xfId="37321"/>
    <cellStyle name="Percent 3 4 2 5" xfId="451"/>
    <cellStyle name="Percent 3 4 2 5 10" xfId="22622"/>
    <cellStyle name="Percent 3 4 2 5 2" xfId="569"/>
    <cellStyle name="Percent 3 4 2 5 2 2" xfId="921"/>
    <cellStyle name="Percent 3 4 2 5 2 2 2" xfId="2420"/>
    <cellStyle name="Percent 3 4 2 5 2 2 2 2" xfId="24588"/>
    <cellStyle name="Percent 3 4 2 5 2 2 3" xfId="3919"/>
    <cellStyle name="Percent 3 4 2 5 2 2 3 2" xfId="26086"/>
    <cellStyle name="Percent 3 4 2 5 2 2 4" xfId="21592"/>
    <cellStyle name="Percent 3 4 2 5 2 2 4 2" xfId="37804"/>
    <cellStyle name="Percent 3 4 2 5 2 2 5" xfId="23090"/>
    <cellStyle name="Percent 3 4 2 5 2 3" xfId="1272"/>
    <cellStyle name="Percent 3 4 2 5 2 3 2" xfId="2771"/>
    <cellStyle name="Percent 3 4 2 5 2 3 2 2" xfId="24939"/>
    <cellStyle name="Percent 3 4 2 5 2 3 3" xfId="4270"/>
    <cellStyle name="Percent 3 4 2 5 2 3 3 2" xfId="26437"/>
    <cellStyle name="Percent 3 4 2 5 2 3 4" xfId="21943"/>
    <cellStyle name="Percent 3 4 2 5 2 3 4 2" xfId="38155"/>
    <cellStyle name="Percent 3 4 2 5 2 3 5" xfId="23441"/>
    <cellStyle name="Percent 3 4 2 5 2 4" xfId="1623"/>
    <cellStyle name="Percent 3 4 2 5 2 4 2" xfId="3122"/>
    <cellStyle name="Percent 3 4 2 5 2 4 2 2" xfId="25290"/>
    <cellStyle name="Percent 3 4 2 5 2 4 3" xfId="4621"/>
    <cellStyle name="Percent 3 4 2 5 2 4 3 2" xfId="26788"/>
    <cellStyle name="Percent 3 4 2 5 2 4 4" xfId="22294"/>
    <cellStyle name="Percent 3 4 2 5 2 4 4 2" xfId="38506"/>
    <cellStyle name="Percent 3 4 2 5 2 4 5" xfId="23792"/>
    <cellStyle name="Percent 3 4 2 5 2 5" xfId="2069"/>
    <cellStyle name="Percent 3 4 2 5 2 5 2" xfId="24237"/>
    <cellStyle name="Percent 3 4 2 5 2 6" xfId="3568"/>
    <cellStyle name="Percent 3 4 2 5 2 6 2" xfId="25735"/>
    <cellStyle name="Percent 3 4 2 5 2 7" xfId="21241"/>
    <cellStyle name="Percent 3 4 2 5 2 7 2" xfId="37453"/>
    <cellStyle name="Percent 3 4 2 5 2 8" xfId="22739"/>
    <cellStyle name="Percent 3 4 2 5 3" xfId="687"/>
    <cellStyle name="Percent 3 4 2 5 3 2" xfId="1038"/>
    <cellStyle name="Percent 3 4 2 5 3 2 2" xfId="2537"/>
    <cellStyle name="Percent 3 4 2 5 3 2 2 2" xfId="24705"/>
    <cellStyle name="Percent 3 4 2 5 3 2 3" xfId="4036"/>
    <cellStyle name="Percent 3 4 2 5 3 2 3 2" xfId="26203"/>
    <cellStyle name="Percent 3 4 2 5 3 2 4" xfId="21709"/>
    <cellStyle name="Percent 3 4 2 5 3 2 4 2" xfId="37921"/>
    <cellStyle name="Percent 3 4 2 5 3 2 5" xfId="23207"/>
    <cellStyle name="Percent 3 4 2 5 3 3" xfId="1389"/>
    <cellStyle name="Percent 3 4 2 5 3 3 2" xfId="2888"/>
    <cellStyle name="Percent 3 4 2 5 3 3 2 2" xfId="25056"/>
    <cellStyle name="Percent 3 4 2 5 3 3 3" xfId="4387"/>
    <cellStyle name="Percent 3 4 2 5 3 3 3 2" xfId="26554"/>
    <cellStyle name="Percent 3 4 2 5 3 3 4" xfId="22060"/>
    <cellStyle name="Percent 3 4 2 5 3 3 4 2" xfId="38272"/>
    <cellStyle name="Percent 3 4 2 5 3 3 5" xfId="23558"/>
    <cellStyle name="Percent 3 4 2 5 3 4" xfId="1740"/>
    <cellStyle name="Percent 3 4 2 5 3 4 2" xfId="3239"/>
    <cellStyle name="Percent 3 4 2 5 3 4 2 2" xfId="25407"/>
    <cellStyle name="Percent 3 4 2 5 3 4 3" xfId="4738"/>
    <cellStyle name="Percent 3 4 2 5 3 4 3 2" xfId="26905"/>
    <cellStyle name="Percent 3 4 2 5 3 4 4" xfId="22411"/>
    <cellStyle name="Percent 3 4 2 5 3 4 4 2" xfId="38623"/>
    <cellStyle name="Percent 3 4 2 5 3 4 5" xfId="23909"/>
    <cellStyle name="Percent 3 4 2 5 3 5" xfId="2186"/>
    <cellStyle name="Percent 3 4 2 5 3 5 2" xfId="24354"/>
    <cellStyle name="Percent 3 4 2 5 3 6" xfId="3685"/>
    <cellStyle name="Percent 3 4 2 5 3 6 2" xfId="25852"/>
    <cellStyle name="Percent 3 4 2 5 3 7" xfId="21358"/>
    <cellStyle name="Percent 3 4 2 5 3 7 2" xfId="37570"/>
    <cellStyle name="Percent 3 4 2 5 3 8" xfId="22856"/>
    <cellStyle name="Percent 3 4 2 5 4" xfId="804"/>
    <cellStyle name="Percent 3 4 2 5 4 2" xfId="2303"/>
    <cellStyle name="Percent 3 4 2 5 4 2 2" xfId="24471"/>
    <cellStyle name="Percent 3 4 2 5 4 3" xfId="3802"/>
    <cellStyle name="Percent 3 4 2 5 4 3 2" xfId="25969"/>
    <cellStyle name="Percent 3 4 2 5 4 4" xfId="21475"/>
    <cellStyle name="Percent 3 4 2 5 4 4 2" xfId="37687"/>
    <cellStyle name="Percent 3 4 2 5 4 5" xfId="22973"/>
    <cellStyle name="Percent 3 4 2 5 5" xfId="1155"/>
    <cellStyle name="Percent 3 4 2 5 5 2" xfId="2654"/>
    <cellStyle name="Percent 3 4 2 5 5 2 2" xfId="24822"/>
    <cellStyle name="Percent 3 4 2 5 5 3" xfId="4153"/>
    <cellStyle name="Percent 3 4 2 5 5 3 2" xfId="26320"/>
    <cellStyle name="Percent 3 4 2 5 5 4" xfId="21826"/>
    <cellStyle name="Percent 3 4 2 5 5 4 2" xfId="38038"/>
    <cellStyle name="Percent 3 4 2 5 5 5" xfId="23324"/>
    <cellStyle name="Percent 3 4 2 5 6" xfId="1506"/>
    <cellStyle name="Percent 3 4 2 5 6 2" xfId="3005"/>
    <cellStyle name="Percent 3 4 2 5 6 2 2" xfId="25173"/>
    <cellStyle name="Percent 3 4 2 5 6 3" xfId="4504"/>
    <cellStyle name="Percent 3 4 2 5 6 3 2" xfId="26671"/>
    <cellStyle name="Percent 3 4 2 5 6 4" xfId="22177"/>
    <cellStyle name="Percent 3 4 2 5 6 4 2" xfId="38389"/>
    <cellStyle name="Percent 3 4 2 5 6 5" xfId="23675"/>
    <cellStyle name="Percent 3 4 2 5 7" xfId="1952"/>
    <cellStyle name="Percent 3 4 2 5 7 2" xfId="24120"/>
    <cellStyle name="Percent 3 4 2 5 8" xfId="3451"/>
    <cellStyle name="Percent 3 4 2 5 8 2" xfId="25618"/>
    <cellStyle name="Percent 3 4 2 5 9" xfId="21124"/>
    <cellStyle name="Percent 3 4 2 5 9 2" xfId="37336"/>
    <cellStyle name="Percent 3 4 2 6" xfId="476"/>
    <cellStyle name="Percent 3 4 2 6 10" xfId="22647"/>
    <cellStyle name="Percent 3 4 2 6 2" xfId="594"/>
    <cellStyle name="Percent 3 4 2 6 2 2" xfId="946"/>
    <cellStyle name="Percent 3 4 2 6 2 2 2" xfId="2445"/>
    <cellStyle name="Percent 3 4 2 6 2 2 2 2" xfId="24613"/>
    <cellStyle name="Percent 3 4 2 6 2 2 3" xfId="3944"/>
    <cellStyle name="Percent 3 4 2 6 2 2 3 2" xfId="26111"/>
    <cellStyle name="Percent 3 4 2 6 2 2 4" xfId="21617"/>
    <cellStyle name="Percent 3 4 2 6 2 2 4 2" xfId="37829"/>
    <cellStyle name="Percent 3 4 2 6 2 2 5" xfId="23115"/>
    <cellStyle name="Percent 3 4 2 6 2 3" xfId="1297"/>
    <cellStyle name="Percent 3 4 2 6 2 3 2" xfId="2796"/>
    <cellStyle name="Percent 3 4 2 6 2 3 2 2" xfId="24964"/>
    <cellStyle name="Percent 3 4 2 6 2 3 3" xfId="4295"/>
    <cellStyle name="Percent 3 4 2 6 2 3 3 2" xfId="26462"/>
    <cellStyle name="Percent 3 4 2 6 2 3 4" xfId="21968"/>
    <cellStyle name="Percent 3 4 2 6 2 3 4 2" xfId="38180"/>
    <cellStyle name="Percent 3 4 2 6 2 3 5" xfId="23466"/>
    <cellStyle name="Percent 3 4 2 6 2 4" xfId="1648"/>
    <cellStyle name="Percent 3 4 2 6 2 4 2" xfId="3147"/>
    <cellStyle name="Percent 3 4 2 6 2 4 2 2" xfId="25315"/>
    <cellStyle name="Percent 3 4 2 6 2 4 3" xfId="4646"/>
    <cellStyle name="Percent 3 4 2 6 2 4 3 2" xfId="26813"/>
    <cellStyle name="Percent 3 4 2 6 2 4 4" xfId="22319"/>
    <cellStyle name="Percent 3 4 2 6 2 4 4 2" xfId="38531"/>
    <cellStyle name="Percent 3 4 2 6 2 4 5" xfId="23817"/>
    <cellStyle name="Percent 3 4 2 6 2 5" xfId="2094"/>
    <cellStyle name="Percent 3 4 2 6 2 5 2" xfId="24262"/>
    <cellStyle name="Percent 3 4 2 6 2 6" xfId="3593"/>
    <cellStyle name="Percent 3 4 2 6 2 6 2" xfId="25760"/>
    <cellStyle name="Percent 3 4 2 6 2 7" xfId="21266"/>
    <cellStyle name="Percent 3 4 2 6 2 7 2" xfId="37478"/>
    <cellStyle name="Percent 3 4 2 6 2 8" xfId="22764"/>
    <cellStyle name="Percent 3 4 2 6 3" xfId="712"/>
    <cellStyle name="Percent 3 4 2 6 3 2" xfId="1063"/>
    <cellStyle name="Percent 3 4 2 6 3 2 2" xfId="2562"/>
    <cellStyle name="Percent 3 4 2 6 3 2 2 2" xfId="24730"/>
    <cellStyle name="Percent 3 4 2 6 3 2 3" xfId="4061"/>
    <cellStyle name="Percent 3 4 2 6 3 2 3 2" xfId="26228"/>
    <cellStyle name="Percent 3 4 2 6 3 2 4" xfId="21734"/>
    <cellStyle name="Percent 3 4 2 6 3 2 4 2" xfId="37946"/>
    <cellStyle name="Percent 3 4 2 6 3 2 5" xfId="23232"/>
    <cellStyle name="Percent 3 4 2 6 3 3" xfId="1414"/>
    <cellStyle name="Percent 3 4 2 6 3 3 2" xfId="2913"/>
    <cellStyle name="Percent 3 4 2 6 3 3 2 2" xfId="25081"/>
    <cellStyle name="Percent 3 4 2 6 3 3 3" xfId="4412"/>
    <cellStyle name="Percent 3 4 2 6 3 3 3 2" xfId="26579"/>
    <cellStyle name="Percent 3 4 2 6 3 3 4" xfId="22085"/>
    <cellStyle name="Percent 3 4 2 6 3 3 4 2" xfId="38297"/>
    <cellStyle name="Percent 3 4 2 6 3 3 5" xfId="23583"/>
    <cellStyle name="Percent 3 4 2 6 3 4" xfId="1765"/>
    <cellStyle name="Percent 3 4 2 6 3 4 2" xfId="3264"/>
    <cellStyle name="Percent 3 4 2 6 3 4 2 2" xfId="25432"/>
    <cellStyle name="Percent 3 4 2 6 3 4 3" xfId="4763"/>
    <cellStyle name="Percent 3 4 2 6 3 4 3 2" xfId="26930"/>
    <cellStyle name="Percent 3 4 2 6 3 4 4" xfId="22436"/>
    <cellStyle name="Percent 3 4 2 6 3 4 4 2" xfId="38648"/>
    <cellStyle name="Percent 3 4 2 6 3 4 5" xfId="23934"/>
    <cellStyle name="Percent 3 4 2 6 3 5" xfId="2211"/>
    <cellStyle name="Percent 3 4 2 6 3 5 2" xfId="24379"/>
    <cellStyle name="Percent 3 4 2 6 3 6" xfId="3710"/>
    <cellStyle name="Percent 3 4 2 6 3 6 2" xfId="25877"/>
    <cellStyle name="Percent 3 4 2 6 3 7" xfId="21383"/>
    <cellStyle name="Percent 3 4 2 6 3 7 2" xfId="37595"/>
    <cellStyle name="Percent 3 4 2 6 3 8" xfId="22881"/>
    <cellStyle name="Percent 3 4 2 6 4" xfId="829"/>
    <cellStyle name="Percent 3 4 2 6 4 2" xfId="2328"/>
    <cellStyle name="Percent 3 4 2 6 4 2 2" xfId="24496"/>
    <cellStyle name="Percent 3 4 2 6 4 3" xfId="3827"/>
    <cellStyle name="Percent 3 4 2 6 4 3 2" xfId="25994"/>
    <cellStyle name="Percent 3 4 2 6 4 4" xfId="21500"/>
    <cellStyle name="Percent 3 4 2 6 4 4 2" xfId="37712"/>
    <cellStyle name="Percent 3 4 2 6 4 5" xfId="22998"/>
    <cellStyle name="Percent 3 4 2 6 5" xfId="1180"/>
    <cellStyle name="Percent 3 4 2 6 5 2" xfId="2679"/>
    <cellStyle name="Percent 3 4 2 6 5 2 2" xfId="24847"/>
    <cellStyle name="Percent 3 4 2 6 5 3" xfId="4178"/>
    <cellStyle name="Percent 3 4 2 6 5 3 2" xfId="26345"/>
    <cellStyle name="Percent 3 4 2 6 5 4" xfId="21851"/>
    <cellStyle name="Percent 3 4 2 6 5 4 2" xfId="38063"/>
    <cellStyle name="Percent 3 4 2 6 5 5" xfId="23349"/>
    <cellStyle name="Percent 3 4 2 6 6" xfId="1531"/>
    <cellStyle name="Percent 3 4 2 6 6 2" xfId="3030"/>
    <cellStyle name="Percent 3 4 2 6 6 2 2" xfId="25198"/>
    <cellStyle name="Percent 3 4 2 6 6 3" xfId="4529"/>
    <cellStyle name="Percent 3 4 2 6 6 3 2" xfId="26696"/>
    <cellStyle name="Percent 3 4 2 6 6 4" xfId="22202"/>
    <cellStyle name="Percent 3 4 2 6 6 4 2" xfId="38414"/>
    <cellStyle name="Percent 3 4 2 6 6 5" xfId="23700"/>
    <cellStyle name="Percent 3 4 2 6 7" xfId="1977"/>
    <cellStyle name="Percent 3 4 2 6 7 2" xfId="24145"/>
    <cellStyle name="Percent 3 4 2 6 8" xfId="3476"/>
    <cellStyle name="Percent 3 4 2 6 8 2" xfId="25643"/>
    <cellStyle name="Percent 3 4 2 6 9" xfId="21149"/>
    <cellStyle name="Percent 3 4 2 6 9 2" xfId="37361"/>
    <cellStyle name="Percent 3 4 2 7" xfId="489"/>
    <cellStyle name="Percent 3 4 2 7 10" xfId="22660"/>
    <cellStyle name="Percent 3 4 2 7 2" xfId="607"/>
    <cellStyle name="Percent 3 4 2 7 2 2" xfId="959"/>
    <cellStyle name="Percent 3 4 2 7 2 2 2" xfId="2458"/>
    <cellStyle name="Percent 3 4 2 7 2 2 2 2" xfId="24626"/>
    <cellStyle name="Percent 3 4 2 7 2 2 3" xfId="3957"/>
    <cellStyle name="Percent 3 4 2 7 2 2 3 2" xfId="26124"/>
    <cellStyle name="Percent 3 4 2 7 2 2 4" xfId="21630"/>
    <cellStyle name="Percent 3 4 2 7 2 2 4 2" xfId="37842"/>
    <cellStyle name="Percent 3 4 2 7 2 2 5" xfId="23128"/>
    <cellStyle name="Percent 3 4 2 7 2 3" xfId="1310"/>
    <cellStyle name="Percent 3 4 2 7 2 3 2" xfId="2809"/>
    <cellStyle name="Percent 3 4 2 7 2 3 2 2" xfId="24977"/>
    <cellStyle name="Percent 3 4 2 7 2 3 3" xfId="4308"/>
    <cellStyle name="Percent 3 4 2 7 2 3 3 2" xfId="26475"/>
    <cellStyle name="Percent 3 4 2 7 2 3 4" xfId="21981"/>
    <cellStyle name="Percent 3 4 2 7 2 3 4 2" xfId="38193"/>
    <cellStyle name="Percent 3 4 2 7 2 3 5" xfId="23479"/>
    <cellStyle name="Percent 3 4 2 7 2 4" xfId="1661"/>
    <cellStyle name="Percent 3 4 2 7 2 4 2" xfId="3160"/>
    <cellStyle name="Percent 3 4 2 7 2 4 2 2" xfId="25328"/>
    <cellStyle name="Percent 3 4 2 7 2 4 3" xfId="4659"/>
    <cellStyle name="Percent 3 4 2 7 2 4 3 2" xfId="26826"/>
    <cellStyle name="Percent 3 4 2 7 2 4 4" xfId="22332"/>
    <cellStyle name="Percent 3 4 2 7 2 4 4 2" xfId="38544"/>
    <cellStyle name="Percent 3 4 2 7 2 4 5" xfId="23830"/>
    <cellStyle name="Percent 3 4 2 7 2 5" xfId="2107"/>
    <cellStyle name="Percent 3 4 2 7 2 5 2" xfId="24275"/>
    <cellStyle name="Percent 3 4 2 7 2 6" xfId="3606"/>
    <cellStyle name="Percent 3 4 2 7 2 6 2" xfId="25773"/>
    <cellStyle name="Percent 3 4 2 7 2 7" xfId="21279"/>
    <cellStyle name="Percent 3 4 2 7 2 7 2" xfId="37491"/>
    <cellStyle name="Percent 3 4 2 7 2 8" xfId="22777"/>
    <cellStyle name="Percent 3 4 2 7 3" xfId="725"/>
    <cellStyle name="Percent 3 4 2 7 3 2" xfId="1076"/>
    <cellStyle name="Percent 3 4 2 7 3 2 2" xfId="2575"/>
    <cellStyle name="Percent 3 4 2 7 3 2 2 2" xfId="24743"/>
    <cellStyle name="Percent 3 4 2 7 3 2 3" xfId="4074"/>
    <cellStyle name="Percent 3 4 2 7 3 2 3 2" xfId="26241"/>
    <cellStyle name="Percent 3 4 2 7 3 2 4" xfId="21747"/>
    <cellStyle name="Percent 3 4 2 7 3 2 4 2" xfId="37959"/>
    <cellStyle name="Percent 3 4 2 7 3 2 5" xfId="23245"/>
    <cellStyle name="Percent 3 4 2 7 3 3" xfId="1427"/>
    <cellStyle name="Percent 3 4 2 7 3 3 2" xfId="2926"/>
    <cellStyle name="Percent 3 4 2 7 3 3 2 2" xfId="25094"/>
    <cellStyle name="Percent 3 4 2 7 3 3 3" xfId="4425"/>
    <cellStyle name="Percent 3 4 2 7 3 3 3 2" xfId="26592"/>
    <cellStyle name="Percent 3 4 2 7 3 3 4" xfId="22098"/>
    <cellStyle name="Percent 3 4 2 7 3 3 4 2" xfId="38310"/>
    <cellStyle name="Percent 3 4 2 7 3 3 5" xfId="23596"/>
    <cellStyle name="Percent 3 4 2 7 3 4" xfId="1778"/>
    <cellStyle name="Percent 3 4 2 7 3 4 2" xfId="3277"/>
    <cellStyle name="Percent 3 4 2 7 3 4 2 2" xfId="25445"/>
    <cellStyle name="Percent 3 4 2 7 3 4 3" xfId="4776"/>
    <cellStyle name="Percent 3 4 2 7 3 4 3 2" xfId="26943"/>
    <cellStyle name="Percent 3 4 2 7 3 4 4" xfId="22449"/>
    <cellStyle name="Percent 3 4 2 7 3 4 4 2" xfId="38661"/>
    <cellStyle name="Percent 3 4 2 7 3 4 5" xfId="23947"/>
    <cellStyle name="Percent 3 4 2 7 3 5" xfId="2224"/>
    <cellStyle name="Percent 3 4 2 7 3 5 2" xfId="24392"/>
    <cellStyle name="Percent 3 4 2 7 3 6" xfId="3723"/>
    <cellStyle name="Percent 3 4 2 7 3 6 2" xfId="25890"/>
    <cellStyle name="Percent 3 4 2 7 3 7" xfId="21396"/>
    <cellStyle name="Percent 3 4 2 7 3 7 2" xfId="37608"/>
    <cellStyle name="Percent 3 4 2 7 3 8" xfId="22894"/>
    <cellStyle name="Percent 3 4 2 7 4" xfId="842"/>
    <cellStyle name="Percent 3 4 2 7 4 2" xfId="2341"/>
    <cellStyle name="Percent 3 4 2 7 4 2 2" xfId="24509"/>
    <cellStyle name="Percent 3 4 2 7 4 3" xfId="3840"/>
    <cellStyle name="Percent 3 4 2 7 4 3 2" xfId="26007"/>
    <cellStyle name="Percent 3 4 2 7 4 4" xfId="21513"/>
    <cellStyle name="Percent 3 4 2 7 4 4 2" xfId="37725"/>
    <cellStyle name="Percent 3 4 2 7 4 5" xfId="23011"/>
    <cellStyle name="Percent 3 4 2 7 5" xfId="1193"/>
    <cellStyle name="Percent 3 4 2 7 5 2" xfId="2692"/>
    <cellStyle name="Percent 3 4 2 7 5 2 2" xfId="24860"/>
    <cellStyle name="Percent 3 4 2 7 5 3" xfId="4191"/>
    <cellStyle name="Percent 3 4 2 7 5 3 2" xfId="26358"/>
    <cellStyle name="Percent 3 4 2 7 5 4" xfId="21864"/>
    <cellStyle name="Percent 3 4 2 7 5 4 2" xfId="38076"/>
    <cellStyle name="Percent 3 4 2 7 5 5" xfId="23362"/>
    <cellStyle name="Percent 3 4 2 7 6" xfId="1544"/>
    <cellStyle name="Percent 3 4 2 7 6 2" xfId="3043"/>
    <cellStyle name="Percent 3 4 2 7 6 2 2" xfId="25211"/>
    <cellStyle name="Percent 3 4 2 7 6 3" xfId="4542"/>
    <cellStyle name="Percent 3 4 2 7 6 3 2" xfId="26709"/>
    <cellStyle name="Percent 3 4 2 7 6 4" xfId="22215"/>
    <cellStyle name="Percent 3 4 2 7 6 4 2" xfId="38427"/>
    <cellStyle name="Percent 3 4 2 7 6 5" xfId="23713"/>
    <cellStyle name="Percent 3 4 2 7 7" xfId="1990"/>
    <cellStyle name="Percent 3 4 2 7 7 2" xfId="24158"/>
    <cellStyle name="Percent 3 4 2 7 8" xfId="3489"/>
    <cellStyle name="Percent 3 4 2 7 8 2" xfId="25656"/>
    <cellStyle name="Percent 3 4 2 7 9" xfId="21162"/>
    <cellStyle name="Percent 3 4 2 7 9 2" xfId="37374"/>
    <cellStyle name="Percent 3 4 2 8" xfId="517"/>
    <cellStyle name="Percent 3 4 2 8 2" xfId="869"/>
    <cellStyle name="Percent 3 4 2 8 2 2" xfId="2368"/>
    <cellStyle name="Percent 3 4 2 8 2 2 2" xfId="24536"/>
    <cellStyle name="Percent 3 4 2 8 2 3" xfId="3867"/>
    <cellStyle name="Percent 3 4 2 8 2 3 2" xfId="26034"/>
    <cellStyle name="Percent 3 4 2 8 2 4" xfId="21540"/>
    <cellStyle name="Percent 3 4 2 8 2 4 2" xfId="37752"/>
    <cellStyle name="Percent 3 4 2 8 2 5" xfId="23038"/>
    <cellStyle name="Percent 3 4 2 8 3" xfId="1220"/>
    <cellStyle name="Percent 3 4 2 8 3 2" xfId="2719"/>
    <cellStyle name="Percent 3 4 2 8 3 2 2" xfId="24887"/>
    <cellStyle name="Percent 3 4 2 8 3 3" xfId="4218"/>
    <cellStyle name="Percent 3 4 2 8 3 3 2" xfId="26385"/>
    <cellStyle name="Percent 3 4 2 8 3 4" xfId="21891"/>
    <cellStyle name="Percent 3 4 2 8 3 4 2" xfId="38103"/>
    <cellStyle name="Percent 3 4 2 8 3 5" xfId="23389"/>
    <cellStyle name="Percent 3 4 2 8 4" xfId="1571"/>
    <cellStyle name="Percent 3 4 2 8 4 2" xfId="3070"/>
    <cellStyle name="Percent 3 4 2 8 4 2 2" xfId="25238"/>
    <cellStyle name="Percent 3 4 2 8 4 3" xfId="4569"/>
    <cellStyle name="Percent 3 4 2 8 4 3 2" xfId="26736"/>
    <cellStyle name="Percent 3 4 2 8 4 4" xfId="22242"/>
    <cellStyle name="Percent 3 4 2 8 4 4 2" xfId="38454"/>
    <cellStyle name="Percent 3 4 2 8 4 5" xfId="23740"/>
    <cellStyle name="Percent 3 4 2 8 5" xfId="2017"/>
    <cellStyle name="Percent 3 4 2 8 5 2" xfId="24185"/>
    <cellStyle name="Percent 3 4 2 8 6" xfId="3516"/>
    <cellStyle name="Percent 3 4 2 8 6 2" xfId="25683"/>
    <cellStyle name="Percent 3 4 2 8 7" xfId="21189"/>
    <cellStyle name="Percent 3 4 2 8 7 2" xfId="37401"/>
    <cellStyle name="Percent 3 4 2 8 8" xfId="22687"/>
    <cellStyle name="Percent 3 4 2 9" xfId="635"/>
    <cellStyle name="Percent 3 4 2 9 2" xfId="986"/>
    <cellStyle name="Percent 3 4 2 9 2 2" xfId="2485"/>
    <cellStyle name="Percent 3 4 2 9 2 2 2" xfId="24653"/>
    <cellStyle name="Percent 3 4 2 9 2 3" xfId="3984"/>
    <cellStyle name="Percent 3 4 2 9 2 3 2" xfId="26151"/>
    <cellStyle name="Percent 3 4 2 9 2 4" xfId="21657"/>
    <cellStyle name="Percent 3 4 2 9 2 4 2" xfId="37869"/>
    <cellStyle name="Percent 3 4 2 9 2 5" xfId="23155"/>
    <cellStyle name="Percent 3 4 2 9 3" xfId="1337"/>
    <cellStyle name="Percent 3 4 2 9 3 2" xfId="2836"/>
    <cellStyle name="Percent 3 4 2 9 3 2 2" xfId="25004"/>
    <cellStyle name="Percent 3 4 2 9 3 3" xfId="4335"/>
    <cellStyle name="Percent 3 4 2 9 3 3 2" xfId="26502"/>
    <cellStyle name="Percent 3 4 2 9 3 4" xfId="22008"/>
    <cellStyle name="Percent 3 4 2 9 3 4 2" xfId="38220"/>
    <cellStyle name="Percent 3 4 2 9 3 5" xfId="23506"/>
    <cellStyle name="Percent 3 4 2 9 4" xfId="1688"/>
    <cellStyle name="Percent 3 4 2 9 4 2" xfId="3187"/>
    <cellStyle name="Percent 3 4 2 9 4 2 2" xfId="25355"/>
    <cellStyle name="Percent 3 4 2 9 4 3" xfId="4686"/>
    <cellStyle name="Percent 3 4 2 9 4 3 2" xfId="26853"/>
    <cellStyle name="Percent 3 4 2 9 4 4" xfId="22359"/>
    <cellStyle name="Percent 3 4 2 9 4 4 2" xfId="38571"/>
    <cellStyle name="Percent 3 4 2 9 4 5" xfId="23857"/>
    <cellStyle name="Percent 3 4 2 9 5" xfId="2134"/>
    <cellStyle name="Percent 3 4 2 9 5 2" xfId="24302"/>
    <cellStyle name="Percent 3 4 2 9 6" xfId="3633"/>
    <cellStyle name="Percent 3 4 2 9 6 2" xfId="25800"/>
    <cellStyle name="Percent 3 4 2 9 7" xfId="21306"/>
    <cellStyle name="Percent 3 4 2 9 7 2" xfId="37518"/>
    <cellStyle name="Percent 3 4 2 9 8" xfId="22804"/>
    <cellStyle name="Percent 3 4 3" xfId="411"/>
    <cellStyle name="Percent 3 4 3 10" xfId="21084"/>
    <cellStyle name="Percent 3 4 3 10 2" xfId="37296"/>
    <cellStyle name="Percent 3 4 3 11" xfId="22582"/>
    <cellStyle name="Percent 3 4 3 2" xfId="463"/>
    <cellStyle name="Percent 3 4 3 2 10" xfId="22634"/>
    <cellStyle name="Percent 3 4 3 2 2" xfId="581"/>
    <cellStyle name="Percent 3 4 3 2 2 2" xfId="933"/>
    <cellStyle name="Percent 3 4 3 2 2 2 2" xfId="2432"/>
    <cellStyle name="Percent 3 4 3 2 2 2 2 2" xfId="24600"/>
    <cellStyle name="Percent 3 4 3 2 2 2 3" xfId="3931"/>
    <cellStyle name="Percent 3 4 3 2 2 2 3 2" xfId="26098"/>
    <cellStyle name="Percent 3 4 3 2 2 2 4" xfId="21604"/>
    <cellStyle name="Percent 3 4 3 2 2 2 4 2" xfId="37816"/>
    <cellStyle name="Percent 3 4 3 2 2 2 5" xfId="23102"/>
    <cellStyle name="Percent 3 4 3 2 2 3" xfId="1284"/>
    <cellStyle name="Percent 3 4 3 2 2 3 2" xfId="2783"/>
    <cellStyle name="Percent 3 4 3 2 2 3 2 2" xfId="24951"/>
    <cellStyle name="Percent 3 4 3 2 2 3 3" xfId="4282"/>
    <cellStyle name="Percent 3 4 3 2 2 3 3 2" xfId="26449"/>
    <cellStyle name="Percent 3 4 3 2 2 3 4" xfId="21955"/>
    <cellStyle name="Percent 3 4 3 2 2 3 4 2" xfId="38167"/>
    <cellStyle name="Percent 3 4 3 2 2 3 5" xfId="23453"/>
    <cellStyle name="Percent 3 4 3 2 2 4" xfId="1635"/>
    <cellStyle name="Percent 3 4 3 2 2 4 2" xfId="3134"/>
    <cellStyle name="Percent 3 4 3 2 2 4 2 2" xfId="25302"/>
    <cellStyle name="Percent 3 4 3 2 2 4 3" xfId="4633"/>
    <cellStyle name="Percent 3 4 3 2 2 4 3 2" xfId="26800"/>
    <cellStyle name="Percent 3 4 3 2 2 4 4" xfId="22306"/>
    <cellStyle name="Percent 3 4 3 2 2 4 4 2" xfId="38518"/>
    <cellStyle name="Percent 3 4 3 2 2 4 5" xfId="23804"/>
    <cellStyle name="Percent 3 4 3 2 2 5" xfId="2081"/>
    <cellStyle name="Percent 3 4 3 2 2 5 2" xfId="24249"/>
    <cellStyle name="Percent 3 4 3 2 2 6" xfId="3580"/>
    <cellStyle name="Percent 3 4 3 2 2 6 2" xfId="25747"/>
    <cellStyle name="Percent 3 4 3 2 2 7" xfId="21253"/>
    <cellStyle name="Percent 3 4 3 2 2 7 2" xfId="37465"/>
    <cellStyle name="Percent 3 4 3 2 2 8" xfId="22751"/>
    <cellStyle name="Percent 3 4 3 2 3" xfId="699"/>
    <cellStyle name="Percent 3 4 3 2 3 2" xfId="1050"/>
    <cellStyle name="Percent 3 4 3 2 3 2 2" xfId="2549"/>
    <cellStyle name="Percent 3 4 3 2 3 2 2 2" xfId="24717"/>
    <cellStyle name="Percent 3 4 3 2 3 2 3" xfId="4048"/>
    <cellStyle name="Percent 3 4 3 2 3 2 3 2" xfId="26215"/>
    <cellStyle name="Percent 3 4 3 2 3 2 4" xfId="21721"/>
    <cellStyle name="Percent 3 4 3 2 3 2 4 2" xfId="37933"/>
    <cellStyle name="Percent 3 4 3 2 3 2 5" xfId="23219"/>
    <cellStyle name="Percent 3 4 3 2 3 3" xfId="1401"/>
    <cellStyle name="Percent 3 4 3 2 3 3 2" xfId="2900"/>
    <cellStyle name="Percent 3 4 3 2 3 3 2 2" xfId="25068"/>
    <cellStyle name="Percent 3 4 3 2 3 3 3" xfId="4399"/>
    <cellStyle name="Percent 3 4 3 2 3 3 3 2" xfId="26566"/>
    <cellStyle name="Percent 3 4 3 2 3 3 4" xfId="22072"/>
    <cellStyle name="Percent 3 4 3 2 3 3 4 2" xfId="38284"/>
    <cellStyle name="Percent 3 4 3 2 3 3 5" xfId="23570"/>
    <cellStyle name="Percent 3 4 3 2 3 4" xfId="1752"/>
    <cellStyle name="Percent 3 4 3 2 3 4 2" xfId="3251"/>
    <cellStyle name="Percent 3 4 3 2 3 4 2 2" xfId="25419"/>
    <cellStyle name="Percent 3 4 3 2 3 4 3" xfId="4750"/>
    <cellStyle name="Percent 3 4 3 2 3 4 3 2" xfId="26917"/>
    <cellStyle name="Percent 3 4 3 2 3 4 4" xfId="22423"/>
    <cellStyle name="Percent 3 4 3 2 3 4 4 2" xfId="38635"/>
    <cellStyle name="Percent 3 4 3 2 3 4 5" xfId="23921"/>
    <cellStyle name="Percent 3 4 3 2 3 5" xfId="2198"/>
    <cellStyle name="Percent 3 4 3 2 3 5 2" xfId="24366"/>
    <cellStyle name="Percent 3 4 3 2 3 6" xfId="3697"/>
    <cellStyle name="Percent 3 4 3 2 3 6 2" xfId="25864"/>
    <cellStyle name="Percent 3 4 3 2 3 7" xfId="21370"/>
    <cellStyle name="Percent 3 4 3 2 3 7 2" xfId="37582"/>
    <cellStyle name="Percent 3 4 3 2 3 8" xfId="22868"/>
    <cellStyle name="Percent 3 4 3 2 4" xfId="816"/>
    <cellStyle name="Percent 3 4 3 2 4 2" xfId="2315"/>
    <cellStyle name="Percent 3 4 3 2 4 2 2" xfId="24483"/>
    <cellStyle name="Percent 3 4 3 2 4 3" xfId="3814"/>
    <cellStyle name="Percent 3 4 3 2 4 3 2" xfId="25981"/>
    <cellStyle name="Percent 3 4 3 2 4 4" xfId="21487"/>
    <cellStyle name="Percent 3 4 3 2 4 4 2" xfId="37699"/>
    <cellStyle name="Percent 3 4 3 2 4 5" xfId="22985"/>
    <cellStyle name="Percent 3 4 3 2 5" xfId="1167"/>
    <cellStyle name="Percent 3 4 3 2 5 2" xfId="2666"/>
    <cellStyle name="Percent 3 4 3 2 5 2 2" xfId="24834"/>
    <cellStyle name="Percent 3 4 3 2 5 3" xfId="4165"/>
    <cellStyle name="Percent 3 4 3 2 5 3 2" xfId="26332"/>
    <cellStyle name="Percent 3 4 3 2 5 4" xfId="21838"/>
    <cellStyle name="Percent 3 4 3 2 5 4 2" xfId="38050"/>
    <cellStyle name="Percent 3 4 3 2 5 5" xfId="23336"/>
    <cellStyle name="Percent 3 4 3 2 6" xfId="1518"/>
    <cellStyle name="Percent 3 4 3 2 6 2" xfId="3017"/>
    <cellStyle name="Percent 3 4 3 2 6 2 2" xfId="25185"/>
    <cellStyle name="Percent 3 4 3 2 6 3" xfId="4516"/>
    <cellStyle name="Percent 3 4 3 2 6 3 2" xfId="26683"/>
    <cellStyle name="Percent 3 4 3 2 6 4" xfId="22189"/>
    <cellStyle name="Percent 3 4 3 2 6 4 2" xfId="38401"/>
    <cellStyle name="Percent 3 4 3 2 6 5" xfId="23687"/>
    <cellStyle name="Percent 3 4 3 2 7" xfId="1964"/>
    <cellStyle name="Percent 3 4 3 2 7 2" xfId="24132"/>
    <cellStyle name="Percent 3 4 3 2 8" xfId="3463"/>
    <cellStyle name="Percent 3 4 3 2 8 2" xfId="25630"/>
    <cellStyle name="Percent 3 4 3 2 9" xfId="21136"/>
    <cellStyle name="Percent 3 4 3 2 9 2" xfId="37348"/>
    <cellStyle name="Percent 3 4 3 3" xfId="529"/>
    <cellStyle name="Percent 3 4 3 3 2" xfId="881"/>
    <cellStyle name="Percent 3 4 3 3 2 2" xfId="2380"/>
    <cellStyle name="Percent 3 4 3 3 2 2 2" xfId="24548"/>
    <cellStyle name="Percent 3 4 3 3 2 3" xfId="3879"/>
    <cellStyle name="Percent 3 4 3 3 2 3 2" xfId="26046"/>
    <cellStyle name="Percent 3 4 3 3 2 4" xfId="21552"/>
    <cellStyle name="Percent 3 4 3 3 2 4 2" xfId="37764"/>
    <cellStyle name="Percent 3 4 3 3 2 5" xfId="23050"/>
    <cellStyle name="Percent 3 4 3 3 3" xfId="1232"/>
    <cellStyle name="Percent 3 4 3 3 3 2" xfId="2731"/>
    <cellStyle name="Percent 3 4 3 3 3 2 2" xfId="24899"/>
    <cellStyle name="Percent 3 4 3 3 3 3" xfId="4230"/>
    <cellStyle name="Percent 3 4 3 3 3 3 2" xfId="26397"/>
    <cellStyle name="Percent 3 4 3 3 3 4" xfId="21903"/>
    <cellStyle name="Percent 3 4 3 3 3 4 2" xfId="38115"/>
    <cellStyle name="Percent 3 4 3 3 3 5" xfId="23401"/>
    <cellStyle name="Percent 3 4 3 3 4" xfId="1583"/>
    <cellStyle name="Percent 3 4 3 3 4 2" xfId="3082"/>
    <cellStyle name="Percent 3 4 3 3 4 2 2" xfId="25250"/>
    <cellStyle name="Percent 3 4 3 3 4 3" xfId="4581"/>
    <cellStyle name="Percent 3 4 3 3 4 3 2" xfId="26748"/>
    <cellStyle name="Percent 3 4 3 3 4 4" xfId="22254"/>
    <cellStyle name="Percent 3 4 3 3 4 4 2" xfId="38466"/>
    <cellStyle name="Percent 3 4 3 3 4 5" xfId="23752"/>
    <cellStyle name="Percent 3 4 3 3 5" xfId="2029"/>
    <cellStyle name="Percent 3 4 3 3 5 2" xfId="24197"/>
    <cellStyle name="Percent 3 4 3 3 6" xfId="3528"/>
    <cellStyle name="Percent 3 4 3 3 6 2" xfId="25695"/>
    <cellStyle name="Percent 3 4 3 3 7" xfId="21201"/>
    <cellStyle name="Percent 3 4 3 3 7 2" xfId="37413"/>
    <cellStyle name="Percent 3 4 3 3 8" xfId="22699"/>
    <cellStyle name="Percent 3 4 3 4" xfId="647"/>
    <cellStyle name="Percent 3 4 3 4 2" xfId="998"/>
    <cellStyle name="Percent 3 4 3 4 2 2" xfId="2497"/>
    <cellStyle name="Percent 3 4 3 4 2 2 2" xfId="24665"/>
    <cellStyle name="Percent 3 4 3 4 2 3" xfId="3996"/>
    <cellStyle name="Percent 3 4 3 4 2 3 2" xfId="26163"/>
    <cellStyle name="Percent 3 4 3 4 2 4" xfId="21669"/>
    <cellStyle name="Percent 3 4 3 4 2 4 2" xfId="37881"/>
    <cellStyle name="Percent 3 4 3 4 2 5" xfId="23167"/>
    <cellStyle name="Percent 3 4 3 4 3" xfId="1349"/>
    <cellStyle name="Percent 3 4 3 4 3 2" xfId="2848"/>
    <cellStyle name="Percent 3 4 3 4 3 2 2" xfId="25016"/>
    <cellStyle name="Percent 3 4 3 4 3 3" xfId="4347"/>
    <cellStyle name="Percent 3 4 3 4 3 3 2" xfId="26514"/>
    <cellStyle name="Percent 3 4 3 4 3 4" xfId="22020"/>
    <cellStyle name="Percent 3 4 3 4 3 4 2" xfId="38232"/>
    <cellStyle name="Percent 3 4 3 4 3 5" xfId="23518"/>
    <cellStyle name="Percent 3 4 3 4 4" xfId="1700"/>
    <cellStyle name="Percent 3 4 3 4 4 2" xfId="3199"/>
    <cellStyle name="Percent 3 4 3 4 4 2 2" xfId="25367"/>
    <cellStyle name="Percent 3 4 3 4 4 3" xfId="4698"/>
    <cellStyle name="Percent 3 4 3 4 4 3 2" xfId="26865"/>
    <cellStyle name="Percent 3 4 3 4 4 4" xfId="22371"/>
    <cellStyle name="Percent 3 4 3 4 4 4 2" xfId="38583"/>
    <cellStyle name="Percent 3 4 3 4 4 5" xfId="23869"/>
    <cellStyle name="Percent 3 4 3 4 5" xfId="2146"/>
    <cellStyle name="Percent 3 4 3 4 5 2" xfId="24314"/>
    <cellStyle name="Percent 3 4 3 4 6" xfId="3645"/>
    <cellStyle name="Percent 3 4 3 4 6 2" xfId="25812"/>
    <cellStyle name="Percent 3 4 3 4 7" xfId="21318"/>
    <cellStyle name="Percent 3 4 3 4 7 2" xfId="37530"/>
    <cellStyle name="Percent 3 4 3 4 8" xfId="22816"/>
    <cellStyle name="Percent 3 4 3 5" xfId="764"/>
    <cellStyle name="Percent 3 4 3 5 2" xfId="2263"/>
    <cellStyle name="Percent 3 4 3 5 2 2" xfId="24431"/>
    <cellStyle name="Percent 3 4 3 5 3" xfId="3762"/>
    <cellStyle name="Percent 3 4 3 5 3 2" xfId="25929"/>
    <cellStyle name="Percent 3 4 3 5 4" xfId="21435"/>
    <cellStyle name="Percent 3 4 3 5 4 2" xfId="37647"/>
    <cellStyle name="Percent 3 4 3 5 5" xfId="22933"/>
    <cellStyle name="Percent 3 4 3 6" xfId="1115"/>
    <cellStyle name="Percent 3 4 3 6 2" xfId="2614"/>
    <cellStyle name="Percent 3 4 3 6 2 2" xfId="24782"/>
    <cellStyle name="Percent 3 4 3 6 3" xfId="4113"/>
    <cellStyle name="Percent 3 4 3 6 3 2" xfId="26280"/>
    <cellStyle name="Percent 3 4 3 6 4" xfId="21786"/>
    <cellStyle name="Percent 3 4 3 6 4 2" xfId="37998"/>
    <cellStyle name="Percent 3 4 3 6 5" xfId="23284"/>
    <cellStyle name="Percent 3 4 3 7" xfId="1466"/>
    <cellStyle name="Percent 3 4 3 7 2" xfId="2965"/>
    <cellStyle name="Percent 3 4 3 7 2 2" xfId="25133"/>
    <cellStyle name="Percent 3 4 3 7 3" xfId="4464"/>
    <cellStyle name="Percent 3 4 3 7 3 2" xfId="26631"/>
    <cellStyle name="Percent 3 4 3 7 4" xfId="22137"/>
    <cellStyle name="Percent 3 4 3 7 4 2" xfId="38349"/>
    <cellStyle name="Percent 3 4 3 7 5" xfId="23635"/>
    <cellStyle name="Percent 3 4 3 8" xfId="1912"/>
    <cellStyle name="Percent 3 4 3 8 2" xfId="24080"/>
    <cellStyle name="Percent 3 4 3 9" xfId="3411"/>
    <cellStyle name="Percent 3 4 3 9 2" xfId="25578"/>
    <cellStyle name="Percent 3 4 4" xfId="423"/>
    <cellStyle name="Percent 3 4 4 10" xfId="22594"/>
    <cellStyle name="Percent 3 4 4 2" xfId="541"/>
    <cellStyle name="Percent 3 4 4 2 2" xfId="893"/>
    <cellStyle name="Percent 3 4 4 2 2 2" xfId="2392"/>
    <cellStyle name="Percent 3 4 4 2 2 2 2" xfId="24560"/>
    <cellStyle name="Percent 3 4 4 2 2 3" xfId="3891"/>
    <cellStyle name="Percent 3 4 4 2 2 3 2" xfId="26058"/>
    <cellStyle name="Percent 3 4 4 2 2 4" xfId="21564"/>
    <cellStyle name="Percent 3 4 4 2 2 4 2" xfId="37776"/>
    <cellStyle name="Percent 3 4 4 2 2 5" xfId="23062"/>
    <cellStyle name="Percent 3 4 4 2 3" xfId="1244"/>
    <cellStyle name="Percent 3 4 4 2 3 2" xfId="2743"/>
    <cellStyle name="Percent 3 4 4 2 3 2 2" xfId="24911"/>
    <cellStyle name="Percent 3 4 4 2 3 3" xfId="4242"/>
    <cellStyle name="Percent 3 4 4 2 3 3 2" xfId="26409"/>
    <cellStyle name="Percent 3 4 4 2 3 4" xfId="21915"/>
    <cellStyle name="Percent 3 4 4 2 3 4 2" xfId="38127"/>
    <cellStyle name="Percent 3 4 4 2 3 5" xfId="23413"/>
    <cellStyle name="Percent 3 4 4 2 4" xfId="1595"/>
    <cellStyle name="Percent 3 4 4 2 4 2" xfId="3094"/>
    <cellStyle name="Percent 3 4 4 2 4 2 2" xfId="25262"/>
    <cellStyle name="Percent 3 4 4 2 4 3" xfId="4593"/>
    <cellStyle name="Percent 3 4 4 2 4 3 2" xfId="26760"/>
    <cellStyle name="Percent 3 4 4 2 4 4" xfId="22266"/>
    <cellStyle name="Percent 3 4 4 2 4 4 2" xfId="38478"/>
    <cellStyle name="Percent 3 4 4 2 4 5" xfId="23764"/>
    <cellStyle name="Percent 3 4 4 2 5" xfId="2041"/>
    <cellStyle name="Percent 3 4 4 2 5 2" xfId="24209"/>
    <cellStyle name="Percent 3 4 4 2 6" xfId="3540"/>
    <cellStyle name="Percent 3 4 4 2 6 2" xfId="25707"/>
    <cellStyle name="Percent 3 4 4 2 7" xfId="21213"/>
    <cellStyle name="Percent 3 4 4 2 7 2" xfId="37425"/>
    <cellStyle name="Percent 3 4 4 2 8" xfId="22711"/>
    <cellStyle name="Percent 3 4 4 3" xfId="659"/>
    <cellStyle name="Percent 3 4 4 3 2" xfId="1010"/>
    <cellStyle name="Percent 3 4 4 3 2 2" xfId="2509"/>
    <cellStyle name="Percent 3 4 4 3 2 2 2" xfId="24677"/>
    <cellStyle name="Percent 3 4 4 3 2 3" xfId="4008"/>
    <cellStyle name="Percent 3 4 4 3 2 3 2" xfId="26175"/>
    <cellStyle name="Percent 3 4 4 3 2 4" xfId="21681"/>
    <cellStyle name="Percent 3 4 4 3 2 4 2" xfId="37893"/>
    <cellStyle name="Percent 3 4 4 3 2 5" xfId="23179"/>
    <cellStyle name="Percent 3 4 4 3 3" xfId="1361"/>
    <cellStyle name="Percent 3 4 4 3 3 2" xfId="2860"/>
    <cellStyle name="Percent 3 4 4 3 3 2 2" xfId="25028"/>
    <cellStyle name="Percent 3 4 4 3 3 3" xfId="4359"/>
    <cellStyle name="Percent 3 4 4 3 3 3 2" xfId="26526"/>
    <cellStyle name="Percent 3 4 4 3 3 4" xfId="22032"/>
    <cellStyle name="Percent 3 4 4 3 3 4 2" xfId="38244"/>
    <cellStyle name="Percent 3 4 4 3 3 5" xfId="23530"/>
    <cellStyle name="Percent 3 4 4 3 4" xfId="1712"/>
    <cellStyle name="Percent 3 4 4 3 4 2" xfId="3211"/>
    <cellStyle name="Percent 3 4 4 3 4 2 2" xfId="25379"/>
    <cellStyle name="Percent 3 4 4 3 4 3" xfId="4710"/>
    <cellStyle name="Percent 3 4 4 3 4 3 2" xfId="26877"/>
    <cellStyle name="Percent 3 4 4 3 4 4" xfId="22383"/>
    <cellStyle name="Percent 3 4 4 3 4 4 2" xfId="38595"/>
    <cellStyle name="Percent 3 4 4 3 4 5" xfId="23881"/>
    <cellStyle name="Percent 3 4 4 3 5" xfId="2158"/>
    <cellStyle name="Percent 3 4 4 3 5 2" xfId="24326"/>
    <cellStyle name="Percent 3 4 4 3 6" xfId="3657"/>
    <cellStyle name="Percent 3 4 4 3 6 2" xfId="25824"/>
    <cellStyle name="Percent 3 4 4 3 7" xfId="21330"/>
    <cellStyle name="Percent 3 4 4 3 7 2" xfId="37542"/>
    <cellStyle name="Percent 3 4 4 3 8" xfId="22828"/>
    <cellStyle name="Percent 3 4 4 4" xfId="776"/>
    <cellStyle name="Percent 3 4 4 4 2" xfId="2275"/>
    <cellStyle name="Percent 3 4 4 4 2 2" xfId="24443"/>
    <cellStyle name="Percent 3 4 4 4 3" xfId="3774"/>
    <cellStyle name="Percent 3 4 4 4 3 2" xfId="25941"/>
    <cellStyle name="Percent 3 4 4 4 4" xfId="21447"/>
    <cellStyle name="Percent 3 4 4 4 4 2" xfId="37659"/>
    <cellStyle name="Percent 3 4 4 4 5" xfId="22945"/>
    <cellStyle name="Percent 3 4 4 5" xfId="1127"/>
    <cellStyle name="Percent 3 4 4 5 2" xfId="2626"/>
    <cellStyle name="Percent 3 4 4 5 2 2" xfId="24794"/>
    <cellStyle name="Percent 3 4 4 5 3" xfId="4125"/>
    <cellStyle name="Percent 3 4 4 5 3 2" xfId="26292"/>
    <cellStyle name="Percent 3 4 4 5 4" xfId="21798"/>
    <cellStyle name="Percent 3 4 4 5 4 2" xfId="38010"/>
    <cellStyle name="Percent 3 4 4 5 5" xfId="23296"/>
    <cellStyle name="Percent 3 4 4 6" xfId="1478"/>
    <cellStyle name="Percent 3 4 4 6 2" xfId="2977"/>
    <cellStyle name="Percent 3 4 4 6 2 2" xfId="25145"/>
    <cellStyle name="Percent 3 4 4 6 3" xfId="4476"/>
    <cellStyle name="Percent 3 4 4 6 3 2" xfId="26643"/>
    <cellStyle name="Percent 3 4 4 6 4" xfId="22149"/>
    <cellStyle name="Percent 3 4 4 6 4 2" xfId="38361"/>
    <cellStyle name="Percent 3 4 4 6 5" xfId="23647"/>
    <cellStyle name="Percent 3 4 4 7" xfId="1924"/>
    <cellStyle name="Percent 3 4 4 7 2" xfId="24092"/>
    <cellStyle name="Percent 3 4 4 8" xfId="3423"/>
    <cellStyle name="Percent 3 4 4 8 2" xfId="25590"/>
    <cellStyle name="Percent 3 4 4 9" xfId="21096"/>
    <cellStyle name="Percent 3 4 4 9 2" xfId="37308"/>
    <cellStyle name="Percent 3 4 5" xfId="435"/>
    <cellStyle name="Percent 3 4 5 10" xfId="22606"/>
    <cellStyle name="Percent 3 4 5 2" xfId="553"/>
    <cellStyle name="Percent 3 4 5 2 2" xfId="905"/>
    <cellStyle name="Percent 3 4 5 2 2 2" xfId="2404"/>
    <cellStyle name="Percent 3 4 5 2 2 2 2" xfId="24572"/>
    <cellStyle name="Percent 3 4 5 2 2 3" xfId="3903"/>
    <cellStyle name="Percent 3 4 5 2 2 3 2" xfId="26070"/>
    <cellStyle name="Percent 3 4 5 2 2 4" xfId="21576"/>
    <cellStyle name="Percent 3 4 5 2 2 4 2" xfId="37788"/>
    <cellStyle name="Percent 3 4 5 2 2 5" xfId="23074"/>
    <cellStyle name="Percent 3 4 5 2 3" xfId="1256"/>
    <cellStyle name="Percent 3 4 5 2 3 2" xfId="2755"/>
    <cellStyle name="Percent 3 4 5 2 3 2 2" xfId="24923"/>
    <cellStyle name="Percent 3 4 5 2 3 3" xfId="4254"/>
    <cellStyle name="Percent 3 4 5 2 3 3 2" xfId="26421"/>
    <cellStyle name="Percent 3 4 5 2 3 4" xfId="21927"/>
    <cellStyle name="Percent 3 4 5 2 3 4 2" xfId="38139"/>
    <cellStyle name="Percent 3 4 5 2 3 5" xfId="23425"/>
    <cellStyle name="Percent 3 4 5 2 4" xfId="1607"/>
    <cellStyle name="Percent 3 4 5 2 4 2" xfId="3106"/>
    <cellStyle name="Percent 3 4 5 2 4 2 2" xfId="25274"/>
    <cellStyle name="Percent 3 4 5 2 4 3" xfId="4605"/>
    <cellStyle name="Percent 3 4 5 2 4 3 2" xfId="26772"/>
    <cellStyle name="Percent 3 4 5 2 4 4" xfId="22278"/>
    <cellStyle name="Percent 3 4 5 2 4 4 2" xfId="38490"/>
    <cellStyle name="Percent 3 4 5 2 4 5" xfId="23776"/>
    <cellStyle name="Percent 3 4 5 2 5" xfId="2053"/>
    <cellStyle name="Percent 3 4 5 2 5 2" xfId="24221"/>
    <cellStyle name="Percent 3 4 5 2 6" xfId="3552"/>
    <cellStyle name="Percent 3 4 5 2 6 2" xfId="25719"/>
    <cellStyle name="Percent 3 4 5 2 7" xfId="21225"/>
    <cellStyle name="Percent 3 4 5 2 7 2" xfId="37437"/>
    <cellStyle name="Percent 3 4 5 2 8" xfId="22723"/>
    <cellStyle name="Percent 3 4 5 3" xfId="671"/>
    <cellStyle name="Percent 3 4 5 3 2" xfId="1022"/>
    <cellStyle name="Percent 3 4 5 3 2 2" xfId="2521"/>
    <cellStyle name="Percent 3 4 5 3 2 2 2" xfId="24689"/>
    <cellStyle name="Percent 3 4 5 3 2 3" xfId="4020"/>
    <cellStyle name="Percent 3 4 5 3 2 3 2" xfId="26187"/>
    <cellStyle name="Percent 3 4 5 3 2 4" xfId="21693"/>
    <cellStyle name="Percent 3 4 5 3 2 4 2" xfId="37905"/>
    <cellStyle name="Percent 3 4 5 3 2 5" xfId="23191"/>
    <cellStyle name="Percent 3 4 5 3 3" xfId="1373"/>
    <cellStyle name="Percent 3 4 5 3 3 2" xfId="2872"/>
    <cellStyle name="Percent 3 4 5 3 3 2 2" xfId="25040"/>
    <cellStyle name="Percent 3 4 5 3 3 3" xfId="4371"/>
    <cellStyle name="Percent 3 4 5 3 3 3 2" xfId="26538"/>
    <cellStyle name="Percent 3 4 5 3 3 4" xfId="22044"/>
    <cellStyle name="Percent 3 4 5 3 3 4 2" xfId="38256"/>
    <cellStyle name="Percent 3 4 5 3 3 5" xfId="23542"/>
    <cellStyle name="Percent 3 4 5 3 4" xfId="1724"/>
    <cellStyle name="Percent 3 4 5 3 4 2" xfId="3223"/>
    <cellStyle name="Percent 3 4 5 3 4 2 2" xfId="25391"/>
    <cellStyle name="Percent 3 4 5 3 4 3" xfId="4722"/>
    <cellStyle name="Percent 3 4 5 3 4 3 2" xfId="26889"/>
    <cellStyle name="Percent 3 4 5 3 4 4" xfId="22395"/>
    <cellStyle name="Percent 3 4 5 3 4 4 2" xfId="38607"/>
    <cellStyle name="Percent 3 4 5 3 4 5" xfId="23893"/>
    <cellStyle name="Percent 3 4 5 3 5" xfId="2170"/>
    <cellStyle name="Percent 3 4 5 3 5 2" xfId="24338"/>
    <cellStyle name="Percent 3 4 5 3 6" xfId="3669"/>
    <cellStyle name="Percent 3 4 5 3 6 2" xfId="25836"/>
    <cellStyle name="Percent 3 4 5 3 7" xfId="21342"/>
    <cellStyle name="Percent 3 4 5 3 7 2" xfId="37554"/>
    <cellStyle name="Percent 3 4 5 3 8" xfId="22840"/>
    <cellStyle name="Percent 3 4 5 4" xfId="788"/>
    <cellStyle name="Percent 3 4 5 4 2" xfId="2287"/>
    <cellStyle name="Percent 3 4 5 4 2 2" xfId="24455"/>
    <cellStyle name="Percent 3 4 5 4 3" xfId="3786"/>
    <cellStyle name="Percent 3 4 5 4 3 2" xfId="25953"/>
    <cellStyle name="Percent 3 4 5 4 4" xfId="21459"/>
    <cellStyle name="Percent 3 4 5 4 4 2" xfId="37671"/>
    <cellStyle name="Percent 3 4 5 4 5" xfId="22957"/>
    <cellStyle name="Percent 3 4 5 5" xfId="1139"/>
    <cellStyle name="Percent 3 4 5 5 2" xfId="2638"/>
    <cellStyle name="Percent 3 4 5 5 2 2" xfId="24806"/>
    <cellStyle name="Percent 3 4 5 5 3" xfId="4137"/>
    <cellStyle name="Percent 3 4 5 5 3 2" xfId="26304"/>
    <cellStyle name="Percent 3 4 5 5 4" xfId="21810"/>
    <cellStyle name="Percent 3 4 5 5 4 2" xfId="38022"/>
    <cellStyle name="Percent 3 4 5 5 5" xfId="23308"/>
    <cellStyle name="Percent 3 4 5 6" xfId="1490"/>
    <cellStyle name="Percent 3 4 5 6 2" xfId="2989"/>
    <cellStyle name="Percent 3 4 5 6 2 2" xfId="25157"/>
    <cellStyle name="Percent 3 4 5 6 3" xfId="4488"/>
    <cellStyle name="Percent 3 4 5 6 3 2" xfId="26655"/>
    <cellStyle name="Percent 3 4 5 6 4" xfId="22161"/>
    <cellStyle name="Percent 3 4 5 6 4 2" xfId="38373"/>
    <cellStyle name="Percent 3 4 5 6 5" xfId="23659"/>
    <cellStyle name="Percent 3 4 5 7" xfId="1936"/>
    <cellStyle name="Percent 3 4 5 7 2" xfId="24104"/>
    <cellStyle name="Percent 3 4 5 8" xfId="3435"/>
    <cellStyle name="Percent 3 4 5 8 2" xfId="25602"/>
    <cellStyle name="Percent 3 4 5 9" xfId="21108"/>
    <cellStyle name="Percent 3 4 5 9 2" xfId="37320"/>
    <cellStyle name="Percent 3 4 6" xfId="441"/>
    <cellStyle name="Percent 3 4 6 10" xfId="22612"/>
    <cellStyle name="Percent 3 4 6 2" xfId="559"/>
    <cellStyle name="Percent 3 4 6 2 2" xfId="911"/>
    <cellStyle name="Percent 3 4 6 2 2 2" xfId="2410"/>
    <cellStyle name="Percent 3 4 6 2 2 2 2" xfId="24578"/>
    <cellStyle name="Percent 3 4 6 2 2 3" xfId="3909"/>
    <cellStyle name="Percent 3 4 6 2 2 3 2" xfId="26076"/>
    <cellStyle name="Percent 3 4 6 2 2 4" xfId="21582"/>
    <cellStyle name="Percent 3 4 6 2 2 4 2" xfId="37794"/>
    <cellStyle name="Percent 3 4 6 2 2 5" xfId="23080"/>
    <cellStyle name="Percent 3 4 6 2 3" xfId="1262"/>
    <cellStyle name="Percent 3 4 6 2 3 2" xfId="2761"/>
    <cellStyle name="Percent 3 4 6 2 3 2 2" xfId="24929"/>
    <cellStyle name="Percent 3 4 6 2 3 3" xfId="4260"/>
    <cellStyle name="Percent 3 4 6 2 3 3 2" xfId="26427"/>
    <cellStyle name="Percent 3 4 6 2 3 4" xfId="21933"/>
    <cellStyle name="Percent 3 4 6 2 3 4 2" xfId="38145"/>
    <cellStyle name="Percent 3 4 6 2 3 5" xfId="23431"/>
    <cellStyle name="Percent 3 4 6 2 4" xfId="1613"/>
    <cellStyle name="Percent 3 4 6 2 4 2" xfId="3112"/>
    <cellStyle name="Percent 3 4 6 2 4 2 2" xfId="25280"/>
    <cellStyle name="Percent 3 4 6 2 4 3" xfId="4611"/>
    <cellStyle name="Percent 3 4 6 2 4 3 2" xfId="26778"/>
    <cellStyle name="Percent 3 4 6 2 4 4" xfId="22284"/>
    <cellStyle name="Percent 3 4 6 2 4 4 2" xfId="38496"/>
    <cellStyle name="Percent 3 4 6 2 4 5" xfId="23782"/>
    <cellStyle name="Percent 3 4 6 2 5" xfId="2059"/>
    <cellStyle name="Percent 3 4 6 2 5 2" xfId="24227"/>
    <cellStyle name="Percent 3 4 6 2 6" xfId="3558"/>
    <cellStyle name="Percent 3 4 6 2 6 2" xfId="25725"/>
    <cellStyle name="Percent 3 4 6 2 7" xfId="21231"/>
    <cellStyle name="Percent 3 4 6 2 7 2" xfId="37443"/>
    <cellStyle name="Percent 3 4 6 2 8" xfId="22729"/>
    <cellStyle name="Percent 3 4 6 3" xfId="677"/>
    <cellStyle name="Percent 3 4 6 3 2" xfId="1028"/>
    <cellStyle name="Percent 3 4 6 3 2 2" xfId="2527"/>
    <cellStyle name="Percent 3 4 6 3 2 2 2" xfId="24695"/>
    <cellStyle name="Percent 3 4 6 3 2 3" xfId="4026"/>
    <cellStyle name="Percent 3 4 6 3 2 3 2" xfId="26193"/>
    <cellStyle name="Percent 3 4 6 3 2 4" xfId="21699"/>
    <cellStyle name="Percent 3 4 6 3 2 4 2" xfId="37911"/>
    <cellStyle name="Percent 3 4 6 3 2 5" xfId="23197"/>
    <cellStyle name="Percent 3 4 6 3 3" xfId="1379"/>
    <cellStyle name="Percent 3 4 6 3 3 2" xfId="2878"/>
    <cellStyle name="Percent 3 4 6 3 3 2 2" xfId="25046"/>
    <cellStyle name="Percent 3 4 6 3 3 3" xfId="4377"/>
    <cellStyle name="Percent 3 4 6 3 3 3 2" xfId="26544"/>
    <cellStyle name="Percent 3 4 6 3 3 4" xfId="22050"/>
    <cellStyle name="Percent 3 4 6 3 3 4 2" xfId="38262"/>
    <cellStyle name="Percent 3 4 6 3 3 5" xfId="23548"/>
    <cellStyle name="Percent 3 4 6 3 4" xfId="1730"/>
    <cellStyle name="Percent 3 4 6 3 4 2" xfId="3229"/>
    <cellStyle name="Percent 3 4 6 3 4 2 2" xfId="25397"/>
    <cellStyle name="Percent 3 4 6 3 4 3" xfId="4728"/>
    <cellStyle name="Percent 3 4 6 3 4 3 2" xfId="26895"/>
    <cellStyle name="Percent 3 4 6 3 4 4" xfId="22401"/>
    <cellStyle name="Percent 3 4 6 3 4 4 2" xfId="38613"/>
    <cellStyle name="Percent 3 4 6 3 4 5" xfId="23899"/>
    <cellStyle name="Percent 3 4 6 3 5" xfId="2176"/>
    <cellStyle name="Percent 3 4 6 3 5 2" xfId="24344"/>
    <cellStyle name="Percent 3 4 6 3 6" xfId="3675"/>
    <cellStyle name="Percent 3 4 6 3 6 2" xfId="25842"/>
    <cellStyle name="Percent 3 4 6 3 7" xfId="21348"/>
    <cellStyle name="Percent 3 4 6 3 7 2" xfId="37560"/>
    <cellStyle name="Percent 3 4 6 3 8" xfId="22846"/>
    <cellStyle name="Percent 3 4 6 4" xfId="794"/>
    <cellStyle name="Percent 3 4 6 4 2" xfId="2293"/>
    <cellStyle name="Percent 3 4 6 4 2 2" xfId="24461"/>
    <cellStyle name="Percent 3 4 6 4 3" xfId="3792"/>
    <cellStyle name="Percent 3 4 6 4 3 2" xfId="25959"/>
    <cellStyle name="Percent 3 4 6 4 4" xfId="21465"/>
    <cellStyle name="Percent 3 4 6 4 4 2" xfId="37677"/>
    <cellStyle name="Percent 3 4 6 4 5" xfId="22963"/>
    <cellStyle name="Percent 3 4 6 5" xfId="1145"/>
    <cellStyle name="Percent 3 4 6 5 2" xfId="2644"/>
    <cellStyle name="Percent 3 4 6 5 2 2" xfId="24812"/>
    <cellStyle name="Percent 3 4 6 5 3" xfId="4143"/>
    <cellStyle name="Percent 3 4 6 5 3 2" xfId="26310"/>
    <cellStyle name="Percent 3 4 6 5 4" xfId="21816"/>
    <cellStyle name="Percent 3 4 6 5 4 2" xfId="38028"/>
    <cellStyle name="Percent 3 4 6 5 5" xfId="23314"/>
    <cellStyle name="Percent 3 4 6 6" xfId="1496"/>
    <cellStyle name="Percent 3 4 6 6 2" xfId="2995"/>
    <cellStyle name="Percent 3 4 6 6 2 2" xfId="25163"/>
    <cellStyle name="Percent 3 4 6 6 3" xfId="4494"/>
    <cellStyle name="Percent 3 4 6 6 3 2" xfId="26661"/>
    <cellStyle name="Percent 3 4 6 6 4" xfId="22167"/>
    <cellStyle name="Percent 3 4 6 6 4 2" xfId="38379"/>
    <cellStyle name="Percent 3 4 6 6 5" xfId="23665"/>
    <cellStyle name="Percent 3 4 6 7" xfId="1942"/>
    <cellStyle name="Percent 3 4 6 7 2" xfId="24110"/>
    <cellStyle name="Percent 3 4 6 8" xfId="3441"/>
    <cellStyle name="Percent 3 4 6 8 2" xfId="25608"/>
    <cellStyle name="Percent 3 4 6 9" xfId="21114"/>
    <cellStyle name="Percent 3 4 6 9 2" xfId="37326"/>
    <cellStyle name="Percent 3 4 7" xfId="446"/>
    <cellStyle name="Percent 3 4 7 10" xfId="22617"/>
    <cellStyle name="Percent 3 4 7 2" xfId="564"/>
    <cellStyle name="Percent 3 4 7 2 2" xfId="916"/>
    <cellStyle name="Percent 3 4 7 2 2 2" xfId="2415"/>
    <cellStyle name="Percent 3 4 7 2 2 2 2" xfId="24583"/>
    <cellStyle name="Percent 3 4 7 2 2 3" xfId="3914"/>
    <cellStyle name="Percent 3 4 7 2 2 3 2" xfId="26081"/>
    <cellStyle name="Percent 3 4 7 2 2 4" xfId="21587"/>
    <cellStyle name="Percent 3 4 7 2 2 4 2" xfId="37799"/>
    <cellStyle name="Percent 3 4 7 2 2 5" xfId="23085"/>
    <cellStyle name="Percent 3 4 7 2 3" xfId="1267"/>
    <cellStyle name="Percent 3 4 7 2 3 2" xfId="2766"/>
    <cellStyle name="Percent 3 4 7 2 3 2 2" xfId="24934"/>
    <cellStyle name="Percent 3 4 7 2 3 3" xfId="4265"/>
    <cellStyle name="Percent 3 4 7 2 3 3 2" xfId="26432"/>
    <cellStyle name="Percent 3 4 7 2 3 4" xfId="21938"/>
    <cellStyle name="Percent 3 4 7 2 3 4 2" xfId="38150"/>
    <cellStyle name="Percent 3 4 7 2 3 5" xfId="23436"/>
    <cellStyle name="Percent 3 4 7 2 4" xfId="1618"/>
    <cellStyle name="Percent 3 4 7 2 4 2" xfId="3117"/>
    <cellStyle name="Percent 3 4 7 2 4 2 2" xfId="25285"/>
    <cellStyle name="Percent 3 4 7 2 4 3" xfId="4616"/>
    <cellStyle name="Percent 3 4 7 2 4 3 2" xfId="26783"/>
    <cellStyle name="Percent 3 4 7 2 4 4" xfId="22289"/>
    <cellStyle name="Percent 3 4 7 2 4 4 2" xfId="38501"/>
    <cellStyle name="Percent 3 4 7 2 4 5" xfId="23787"/>
    <cellStyle name="Percent 3 4 7 2 5" xfId="2064"/>
    <cellStyle name="Percent 3 4 7 2 5 2" xfId="24232"/>
    <cellStyle name="Percent 3 4 7 2 6" xfId="3563"/>
    <cellStyle name="Percent 3 4 7 2 6 2" xfId="25730"/>
    <cellStyle name="Percent 3 4 7 2 7" xfId="21236"/>
    <cellStyle name="Percent 3 4 7 2 7 2" xfId="37448"/>
    <cellStyle name="Percent 3 4 7 2 8" xfId="22734"/>
    <cellStyle name="Percent 3 4 7 3" xfId="682"/>
    <cellStyle name="Percent 3 4 7 3 2" xfId="1033"/>
    <cellStyle name="Percent 3 4 7 3 2 2" xfId="2532"/>
    <cellStyle name="Percent 3 4 7 3 2 2 2" xfId="24700"/>
    <cellStyle name="Percent 3 4 7 3 2 3" xfId="4031"/>
    <cellStyle name="Percent 3 4 7 3 2 3 2" xfId="26198"/>
    <cellStyle name="Percent 3 4 7 3 2 4" xfId="21704"/>
    <cellStyle name="Percent 3 4 7 3 2 4 2" xfId="37916"/>
    <cellStyle name="Percent 3 4 7 3 2 5" xfId="23202"/>
    <cellStyle name="Percent 3 4 7 3 3" xfId="1384"/>
    <cellStyle name="Percent 3 4 7 3 3 2" xfId="2883"/>
    <cellStyle name="Percent 3 4 7 3 3 2 2" xfId="25051"/>
    <cellStyle name="Percent 3 4 7 3 3 3" xfId="4382"/>
    <cellStyle name="Percent 3 4 7 3 3 3 2" xfId="26549"/>
    <cellStyle name="Percent 3 4 7 3 3 4" xfId="22055"/>
    <cellStyle name="Percent 3 4 7 3 3 4 2" xfId="38267"/>
    <cellStyle name="Percent 3 4 7 3 3 5" xfId="23553"/>
    <cellStyle name="Percent 3 4 7 3 4" xfId="1735"/>
    <cellStyle name="Percent 3 4 7 3 4 2" xfId="3234"/>
    <cellStyle name="Percent 3 4 7 3 4 2 2" xfId="25402"/>
    <cellStyle name="Percent 3 4 7 3 4 3" xfId="4733"/>
    <cellStyle name="Percent 3 4 7 3 4 3 2" xfId="26900"/>
    <cellStyle name="Percent 3 4 7 3 4 4" xfId="22406"/>
    <cellStyle name="Percent 3 4 7 3 4 4 2" xfId="38618"/>
    <cellStyle name="Percent 3 4 7 3 4 5" xfId="23904"/>
    <cellStyle name="Percent 3 4 7 3 5" xfId="2181"/>
    <cellStyle name="Percent 3 4 7 3 5 2" xfId="24349"/>
    <cellStyle name="Percent 3 4 7 3 6" xfId="3680"/>
    <cellStyle name="Percent 3 4 7 3 6 2" xfId="25847"/>
    <cellStyle name="Percent 3 4 7 3 7" xfId="21353"/>
    <cellStyle name="Percent 3 4 7 3 7 2" xfId="37565"/>
    <cellStyle name="Percent 3 4 7 3 8" xfId="22851"/>
    <cellStyle name="Percent 3 4 7 4" xfId="799"/>
    <cellStyle name="Percent 3 4 7 4 2" xfId="2298"/>
    <cellStyle name="Percent 3 4 7 4 2 2" xfId="24466"/>
    <cellStyle name="Percent 3 4 7 4 3" xfId="3797"/>
    <cellStyle name="Percent 3 4 7 4 3 2" xfId="25964"/>
    <cellStyle name="Percent 3 4 7 4 4" xfId="21470"/>
    <cellStyle name="Percent 3 4 7 4 4 2" xfId="37682"/>
    <cellStyle name="Percent 3 4 7 4 5" xfId="22968"/>
    <cellStyle name="Percent 3 4 7 5" xfId="1150"/>
    <cellStyle name="Percent 3 4 7 5 2" xfId="2649"/>
    <cellStyle name="Percent 3 4 7 5 2 2" xfId="24817"/>
    <cellStyle name="Percent 3 4 7 5 3" xfId="4148"/>
    <cellStyle name="Percent 3 4 7 5 3 2" xfId="26315"/>
    <cellStyle name="Percent 3 4 7 5 4" xfId="21821"/>
    <cellStyle name="Percent 3 4 7 5 4 2" xfId="38033"/>
    <cellStyle name="Percent 3 4 7 5 5" xfId="23319"/>
    <cellStyle name="Percent 3 4 7 6" xfId="1501"/>
    <cellStyle name="Percent 3 4 7 6 2" xfId="3000"/>
    <cellStyle name="Percent 3 4 7 6 2 2" xfId="25168"/>
    <cellStyle name="Percent 3 4 7 6 3" xfId="4499"/>
    <cellStyle name="Percent 3 4 7 6 3 2" xfId="26666"/>
    <cellStyle name="Percent 3 4 7 6 4" xfId="22172"/>
    <cellStyle name="Percent 3 4 7 6 4 2" xfId="38384"/>
    <cellStyle name="Percent 3 4 7 6 5" xfId="23670"/>
    <cellStyle name="Percent 3 4 7 7" xfId="1947"/>
    <cellStyle name="Percent 3 4 7 7 2" xfId="24115"/>
    <cellStyle name="Percent 3 4 7 8" xfId="3446"/>
    <cellStyle name="Percent 3 4 7 8 2" xfId="25613"/>
    <cellStyle name="Percent 3 4 7 9" xfId="21119"/>
    <cellStyle name="Percent 3 4 7 9 2" xfId="37331"/>
    <cellStyle name="Percent 3 4 8" xfId="469"/>
    <cellStyle name="Percent 3 4 8 10" xfId="22640"/>
    <cellStyle name="Percent 3 4 8 2" xfId="587"/>
    <cellStyle name="Percent 3 4 8 2 2" xfId="939"/>
    <cellStyle name="Percent 3 4 8 2 2 2" xfId="2438"/>
    <cellStyle name="Percent 3 4 8 2 2 2 2" xfId="24606"/>
    <cellStyle name="Percent 3 4 8 2 2 3" xfId="3937"/>
    <cellStyle name="Percent 3 4 8 2 2 3 2" xfId="26104"/>
    <cellStyle name="Percent 3 4 8 2 2 4" xfId="21610"/>
    <cellStyle name="Percent 3 4 8 2 2 4 2" xfId="37822"/>
    <cellStyle name="Percent 3 4 8 2 2 5" xfId="23108"/>
    <cellStyle name="Percent 3 4 8 2 3" xfId="1290"/>
    <cellStyle name="Percent 3 4 8 2 3 2" xfId="2789"/>
    <cellStyle name="Percent 3 4 8 2 3 2 2" xfId="24957"/>
    <cellStyle name="Percent 3 4 8 2 3 3" xfId="4288"/>
    <cellStyle name="Percent 3 4 8 2 3 3 2" xfId="26455"/>
    <cellStyle name="Percent 3 4 8 2 3 4" xfId="21961"/>
    <cellStyle name="Percent 3 4 8 2 3 4 2" xfId="38173"/>
    <cellStyle name="Percent 3 4 8 2 3 5" xfId="23459"/>
    <cellStyle name="Percent 3 4 8 2 4" xfId="1641"/>
    <cellStyle name="Percent 3 4 8 2 4 2" xfId="3140"/>
    <cellStyle name="Percent 3 4 8 2 4 2 2" xfId="25308"/>
    <cellStyle name="Percent 3 4 8 2 4 3" xfId="4639"/>
    <cellStyle name="Percent 3 4 8 2 4 3 2" xfId="26806"/>
    <cellStyle name="Percent 3 4 8 2 4 4" xfId="22312"/>
    <cellStyle name="Percent 3 4 8 2 4 4 2" xfId="38524"/>
    <cellStyle name="Percent 3 4 8 2 4 5" xfId="23810"/>
    <cellStyle name="Percent 3 4 8 2 5" xfId="2087"/>
    <cellStyle name="Percent 3 4 8 2 5 2" xfId="24255"/>
    <cellStyle name="Percent 3 4 8 2 6" xfId="3586"/>
    <cellStyle name="Percent 3 4 8 2 6 2" xfId="25753"/>
    <cellStyle name="Percent 3 4 8 2 7" xfId="21259"/>
    <cellStyle name="Percent 3 4 8 2 7 2" xfId="37471"/>
    <cellStyle name="Percent 3 4 8 2 8" xfId="22757"/>
    <cellStyle name="Percent 3 4 8 3" xfId="705"/>
    <cellStyle name="Percent 3 4 8 3 2" xfId="1056"/>
    <cellStyle name="Percent 3 4 8 3 2 2" xfId="2555"/>
    <cellStyle name="Percent 3 4 8 3 2 2 2" xfId="24723"/>
    <cellStyle name="Percent 3 4 8 3 2 3" xfId="4054"/>
    <cellStyle name="Percent 3 4 8 3 2 3 2" xfId="26221"/>
    <cellStyle name="Percent 3 4 8 3 2 4" xfId="21727"/>
    <cellStyle name="Percent 3 4 8 3 2 4 2" xfId="37939"/>
    <cellStyle name="Percent 3 4 8 3 2 5" xfId="23225"/>
    <cellStyle name="Percent 3 4 8 3 3" xfId="1407"/>
    <cellStyle name="Percent 3 4 8 3 3 2" xfId="2906"/>
    <cellStyle name="Percent 3 4 8 3 3 2 2" xfId="25074"/>
    <cellStyle name="Percent 3 4 8 3 3 3" xfId="4405"/>
    <cellStyle name="Percent 3 4 8 3 3 3 2" xfId="26572"/>
    <cellStyle name="Percent 3 4 8 3 3 4" xfId="22078"/>
    <cellStyle name="Percent 3 4 8 3 3 4 2" xfId="38290"/>
    <cellStyle name="Percent 3 4 8 3 3 5" xfId="23576"/>
    <cellStyle name="Percent 3 4 8 3 4" xfId="1758"/>
    <cellStyle name="Percent 3 4 8 3 4 2" xfId="3257"/>
    <cellStyle name="Percent 3 4 8 3 4 2 2" xfId="25425"/>
    <cellStyle name="Percent 3 4 8 3 4 3" xfId="4756"/>
    <cellStyle name="Percent 3 4 8 3 4 3 2" xfId="26923"/>
    <cellStyle name="Percent 3 4 8 3 4 4" xfId="22429"/>
    <cellStyle name="Percent 3 4 8 3 4 4 2" xfId="38641"/>
    <cellStyle name="Percent 3 4 8 3 4 5" xfId="23927"/>
    <cellStyle name="Percent 3 4 8 3 5" xfId="2204"/>
    <cellStyle name="Percent 3 4 8 3 5 2" xfId="24372"/>
    <cellStyle name="Percent 3 4 8 3 6" xfId="3703"/>
    <cellStyle name="Percent 3 4 8 3 6 2" xfId="25870"/>
    <cellStyle name="Percent 3 4 8 3 7" xfId="21376"/>
    <cellStyle name="Percent 3 4 8 3 7 2" xfId="37588"/>
    <cellStyle name="Percent 3 4 8 3 8" xfId="22874"/>
    <cellStyle name="Percent 3 4 8 4" xfId="822"/>
    <cellStyle name="Percent 3 4 8 4 2" xfId="2321"/>
    <cellStyle name="Percent 3 4 8 4 2 2" xfId="24489"/>
    <cellStyle name="Percent 3 4 8 4 3" xfId="3820"/>
    <cellStyle name="Percent 3 4 8 4 3 2" xfId="25987"/>
    <cellStyle name="Percent 3 4 8 4 4" xfId="21493"/>
    <cellStyle name="Percent 3 4 8 4 4 2" xfId="37705"/>
    <cellStyle name="Percent 3 4 8 4 5" xfId="22991"/>
    <cellStyle name="Percent 3 4 8 5" xfId="1173"/>
    <cellStyle name="Percent 3 4 8 5 2" xfId="2672"/>
    <cellStyle name="Percent 3 4 8 5 2 2" xfId="24840"/>
    <cellStyle name="Percent 3 4 8 5 3" xfId="4171"/>
    <cellStyle name="Percent 3 4 8 5 3 2" xfId="26338"/>
    <cellStyle name="Percent 3 4 8 5 4" xfId="21844"/>
    <cellStyle name="Percent 3 4 8 5 4 2" xfId="38056"/>
    <cellStyle name="Percent 3 4 8 5 5" xfId="23342"/>
    <cellStyle name="Percent 3 4 8 6" xfId="1524"/>
    <cellStyle name="Percent 3 4 8 6 2" xfId="3023"/>
    <cellStyle name="Percent 3 4 8 6 2 2" xfId="25191"/>
    <cellStyle name="Percent 3 4 8 6 3" xfId="4522"/>
    <cellStyle name="Percent 3 4 8 6 3 2" xfId="26689"/>
    <cellStyle name="Percent 3 4 8 6 4" xfId="22195"/>
    <cellStyle name="Percent 3 4 8 6 4 2" xfId="38407"/>
    <cellStyle name="Percent 3 4 8 6 5" xfId="23693"/>
    <cellStyle name="Percent 3 4 8 7" xfId="1970"/>
    <cellStyle name="Percent 3 4 8 7 2" xfId="24138"/>
    <cellStyle name="Percent 3 4 8 8" xfId="3469"/>
    <cellStyle name="Percent 3 4 8 8 2" xfId="25636"/>
    <cellStyle name="Percent 3 4 8 9" xfId="21142"/>
    <cellStyle name="Percent 3 4 8 9 2" xfId="37354"/>
    <cellStyle name="Percent 3 4 9" xfId="482"/>
    <cellStyle name="Percent 3 4 9 10" xfId="22653"/>
    <cellStyle name="Percent 3 4 9 2" xfId="600"/>
    <cellStyle name="Percent 3 4 9 2 2" xfId="952"/>
    <cellStyle name="Percent 3 4 9 2 2 2" xfId="2451"/>
    <cellStyle name="Percent 3 4 9 2 2 2 2" xfId="24619"/>
    <cellStyle name="Percent 3 4 9 2 2 3" xfId="3950"/>
    <cellStyle name="Percent 3 4 9 2 2 3 2" xfId="26117"/>
    <cellStyle name="Percent 3 4 9 2 2 4" xfId="21623"/>
    <cellStyle name="Percent 3 4 9 2 2 4 2" xfId="37835"/>
    <cellStyle name="Percent 3 4 9 2 2 5" xfId="23121"/>
    <cellStyle name="Percent 3 4 9 2 3" xfId="1303"/>
    <cellStyle name="Percent 3 4 9 2 3 2" xfId="2802"/>
    <cellStyle name="Percent 3 4 9 2 3 2 2" xfId="24970"/>
    <cellStyle name="Percent 3 4 9 2 3 3" xfId="4301"/>
    <cellStyle name="Percent 3 4 9 2 3 3 2" xfId="26468"/>
    <cellStyle name="Percent 3 4 9 2 3 4" xfId="21974"/>
    <cellStyle name="Percent 3 4 9 2 3 4 2" xfId="38186"/>
    <cellStyle name="Percent 3 4 9 2 3 5" xfId="23472"/>
    <cellStyle name="Percent 3 4 9 2 4" xfId="1654"/>
    <cellStyle name="Percent 3 4 9 2 4 2" xfId="3153"/>
    <cellStyle name="Percent 3 4 9 2 4 2 2" xfId="25321"/>
    <cellStyle name="Percent 3 4 9 2 4 3" xfId="4652"/>
    <cellStyle name="Percent 3 4 9 2 4 3 2" xfId="26819"/>
    <cellStyle name="Percent 3 4 9 2 4 4" xfId="22325"/>
    <cellStyle name="Percent 3 4 9 2 4 4 2" xfId="38537"/>
    <cellStyle name="Percent 3 4 9 2 4 5" xfId="23823"/>
    <cellStyle name="Percent 3 4 9 2 5" xfId="2100"/>
    <cellStyle name="Percent 3 4 9 2 5 2" xfId="24268"/>
    <cellStyle name="Percent 3 4 9 2 6" xfId="3599"/>
    <cellStyle name="Percent 3 4 9 2 6 2" xfId="25766"/>
    <cellStyle name="Percent 3 4 9 2 7" xfId="21272"/>
    <cellStyle name="Percent 3 4 9 2 7 2" xfId="37484"/>
    <cellStyle name="Percent 3 4 9 2 8" xfId="22770"/>
    <cellStyle name="Percent 3 4 9 3" xfId="718"/>
    <cellStyle name="Percent 3 4 9 3 2" xfId="1069"/>
    <cellStyle name="Percent 3 4 9 3 2 2" xfId="2568"/>
    <cellStyle name="Percent 3 4 9 3 2 2 2" xfId="24736"/>
    <cellStyle name="Percent 3 4 9 3 2 3" xfId="4067"/>
    <cellStyle name="Percent 3 4 9 3 2 3 2" xfId="26234"/>
    <cellStyle name="Percent 3 4 9 3 2 4" xfId="21740"/>
    <cellStyle name="Percent 3 4 9 3 2 4 2" xfId="37952"/>
    <cellStyle name="Percent 3 4 9 3 2 5" xfId="23238"/>
    <cellStyle name="Percent 3 4 9 3 3" xfId="1420"/>
    <cellStyle name="Percent 3 4 9 3 3 2" xfId="2919"/>
    <cellStyle name="Percent 3 4 9 3 3 2 2" xfId="25087"/>
    <cellStyle name="Percent 3 4 9 3 3 3" xfId="4418"/>
    <cellStyle name="Percent 3 4 9 3 3 3 2" xfId="26585"/>
    <cellStyle name="Percent 3 4 9 3 3 4" xfId="22091"/>
    <cellStyle name="Percent 3 4 9 3 3 4 2" xfId="38303"/>
    <cellStyle name="Percent 3 4 9 3 3 5" xfId="23589"/>
    <cellStyle name="Percent 3 4 9 3 4" xfId="1771"/>
    <cellStyle name="Percent 3 4 9 3 4 2" xfId="3270"/>
    <cellStyle name="Percent 3 4 9 3 4 2 2" xfId="25438"/>
    <cellStyle name="Percent 3 4 9 3 4 3" xfId="4769"/>
    <cellStyle name="Percent 3 4 9 3 4 3 2" xfId="26936"/>
    <cellStyle name="Percent 3 4 9 3 4 4" xfId="22442"/>
    <cellStyle name="Percent 3 4 9 3 4 4 2" xfId="38654"/>
    <cellStyle name="Percent 3 4 9 3 4 5" xfId="23940"/>
    <cellStyle name="Percent 3 4 9 3 5" xfId="2217"/>
    <cellStyle name="Percent 3 4 9 3 5 2" xfId="24385"/>
    <cellStyle name="Percent 3 4 9 3 6" xfId="3716"/>
    <cellStyle name="Percent 3 4 9 3 6 2" xfId="25883"/>
    <cellStyle name="Percent 3 4 9 3 7" xfId="21389"/>
    <cellStyle name="Percent 3 4 9 3 7 2" xfId="37601"/>
    <cellStyle name="Percent 3 4 9 3 8" xfId="22887"/>
    <cellStyle name="Percent 3 4 9 4" xfId="835"/>
    <cellStyle name="Percent 3 4 9 4 2" xfId="2334"/>
    <cellStyle name="Percent 3 4 9 4 2 2" xfId="24502"/>
    <cellStyle name="Percent 3 4 9 4 3" xfId="3833"/>
    <cellStyle name="Percent 3 4 9 4 3 2" xfId="26000"/>
    <cellStyle name="Percent 3 4 9 4 4" xfId="21506"/>
    <cellStyle name="Percent 3 4 9 4 4 2" xfId="37718"/>
    <cellStyle name="Percent 3 4 9 4 5" xfId="23004"/>
    <cellStyle name="Percent 3 4 9 5" xfId="1186"/>
    <cellStyle name="Percent 3 4 9 5 2" xfId="2685"/>
    <cellStyle name="Percent 3 4 9 5 2 2" xfId="24853"/>
    <cellStyle name="Percent 3 4 9 5 3" xfId="4184"/>
    <cellStyle name="Percent 3 4 9 5 3 2" xfId="26351"/>
    <cellStyle name="Percent 3 4 9 5 4" xfId="21857"/>
    <cellStyle name="Percent 3 4 9 5 4 2" xfId="38069"/>
    <cellStyle name="Percent 3 4 9 5 5" xfId="23355"/>
    <cellStyle name="Percent 3 4 9 6" xfId="1537"/>
    <cellStyle name="Percent 3 4 9 6 2" xfId="3036"/>
    <cellStyle name="Percent 3 4 9 6 2 2" xfId="25204"/>
    <cellStyle name="Percent 3 4 9 6 3" xfId="4535"/>
    <cellStyle name="Percent 3 4 9 6 3 2" xfId="26702"/>
    <cellStyle name="Percent 3 4 9 6 4" xfId="22208"/>
    <cellStyle name="Percent 3 4 9 6 4 2" xfId="38420"/>
    <cellStyle name="Percent 3 4 9 6 5" xfId="23706"/>
    <cellStyle name="Percent 3 4 9 7" xfId="1983"/>
    <cellStyle name="Percent 3 4 9 7 2" xfId="24151"/>
    <cellStyle name="Percent 3 4 9 8" xfId="3482"/>
    <cellStyle name="Percent 3 4 9 8 2" xfId="25649"/>
    <cellStyle name="Percent 3 4 9 9" xfId="21155"/>
    <cellStyle name="Percent 3 4 9 9 2" xfId="37367"/>
    <cellStyle name="Percent 3 5" xfId="14304"/>
    <cellStyle name="Percent 3 6" xfId="385"/>
    <cellStyle name="Percent 4" xfId="241"/>
    <cellStyle name="Percent 4 2" xfId="242"/>
    <cellStyle name="Percent 4 2 2" xfId="14169"/>
    <cellStyle name="Percent 4 2 3" xfId="9567"/>
    <cellStyle name="Percent 4 3" xfId="14305"/>
    <cellStyle name="Percent 4 4" xfId="389"/>
    <cellStyle name="Percent 47" xfId="5696"/>
    <cellStyle name="Percent 47 2" xfId="5697"/>
    <cellStyle name="Percent 47 2 2" xfId="14171"/>
    <cellStyle name="Percent 47 2 3" xfId="14321"/>
    <cellStyle name="Percent 47 2 4" xfId="9569"/>
    <cellStyle name="Percent 47 3" xfId="14170"/>
    <cellStyle name="Percent 47 4" xfId="14320"/>
    <cellStyle name="Percent 47 5" xfId="9568"/>
    <cellStyle name="Percent 5" xfId="243"/>
    <cellStyle name="Percent 5 2" xfId="244"/>
    <cellStyle name="Percent 5 2 2" xfId="14172"/>
    <cellStyle name="Percent 5 2 3" xfId="9570"/>
    <cellStyle name="Percent 5 3" xfId="14306"/>
    <cellStyle name="Percent 56" xfId="5698"/>
    <cellStyle name="Percent 56 2" xfId="5699"/>
    <cellStyle name="Percent 56 2 2" xfId="14174"/>
    <cellStyle name="Percent 56 2 3" xfId="9572"/>
    <cellStyle name="Percent 56 3" xfId="14173"/>
    <cellStyle name="Percent 56 4" xfId="14322"/>
    <cellStyle name="Percent 56 5" xfId="9571"/>
    <cellStyle name="Percent 57" xfId="5700"/>
    <cellStyle name="Percent 57 2" xfId="5701"/>
    <cellStyle name="Percent 57 2 2" xfId="14176"/>
    <cellStyle name="Percent 57 2 3" xfId="9574"/>
    <cellStyle name="Percent 57 3" xfId="14175"/>
    <cellStyle name="Percent 57 4" xfId="9573"/>
    <cellStyle name="Percent 58" xfId="5702"/>
    <cellStyle name="Percent 58 2" xfId="5703"/>
    <cellStyle name="Percent 58 2 2" xfId="14178"/>
    <cellStyle name="Percent 58 2 3" xfId="9576"/>
    <cellStyle name="Percent 58 3" xfId="14177"/>
    <cellStyle name="Percent 58 4" xfId="9575"/>
    <cellStyle name="Percent 59" xfId="5704"/>
    <cellStyle name="Percent 59 2" xfId="5705"/>
    <cellStyle name="Percent 59 2 2" xfId="14180"/>
    <cellStyle name="Percent 59 2 3" xfId="9578"/>
    <cellStyle name="Percent 59 3" xfId="14179"/>
    <cellStyle name="Percent 59 4" xfId="9577"/>
    <cellStyle name="Percent 6" xfId="245"/>
    <cellStyle name="Percent 6 2" xfId="246"/>
    <cellStyle name="Percent 6 2 2" xfId="14181"/>
    <cellStyle name="Percent 6 2 3" xfId="9579"/>
    <cellStyle name="Percent 6 3" xfId="14307"/>
    <cellStyle name="Percent 60" xfId="5706"/>
    <cellStyle name="Percent 60 2" xfId="5707"/>
    <cellStyle name="Percent 60 2 2" xfId="14183"/>
    <cellStyle name="Percent 60 2 3" xfId="9581"/>
    <cellStyle name="Percent 60 3" xfId="14182"/>
    <cellStyle name="Percent 60 4" xfId="9580"/>
    <cellStyle name="Percent 61" xfId="5708"/>
    <cellStyle name="Percent 61 2" xfId="5709"/>
    <cellStyle name="Percent 61 2 2" xfId="14185"/>
    <cellStyle name="Percent 61 2 3" xfId="9583"/>
    <cellStyle name="Percent 61 3" xfId="14184"/>
    <cellStyle name="Percent 61 4" xfId="9582"/>
    <cellStyle name="Percent 62" xfId="5710"/>
    <cellStyle name="Percent 62 2" xfId="5711"/>
    <cellStyle name="Percent 62 2 2" xfId="14187"/>
    <cellStyle name="Percent 62 2 3" xfId="9585"/>
    <cellStyle name="Percent 62 3" xfId="5712"/>
    <cellStyle name="Percent 62 3 2" xfId="5713"/>
    <cellStyle name="Percent 62 3 2 2" xfId="14189"/>
    <cellStyle name="Percent 62 3 2 3" xfId="9587"/>
    <cellStyle name="Percent 62 3 3" xfId="14188"/>
    <cellStyle name="Percent 62 3 4" xfId="9586"/>
    <cellStyle name="Percent 62 4" xfId="14186"/>
    <cellStyle name="Percent 62 5" xfId="9584"/>
    <cellStyle name="Percent 63" xfId="5714"/>
    <cellStyle name="Percent 63 2" xfId="14190"/>
    <cellStyle name="Percent 63 3" xfId="9588"/>
    <cellStyle name="Percent 64" xfId="5715"/>
    <cellStyle name="Percent 64 2" xfId="5716"/>
    <cellStyle name="Percent 64 2 2" xfId="14192"/>
    <cellStyle name="Percent 64 2 3" xfId="9590"/>
    <cellStyle name="Percent 64 3" xfId="14191"/>
    <cellStyle name="Percent 64 4" xfId="9589"/>
    <cellStyle name="Percent 65" xfId="9591"/>
    <cellStyle name="Percent 65 2" xfId="14193"/>
    <cellStyle name="Percent 7" xfId="247"/>
    <cellStyle name="Percent 7 2" xfId="9592"/>
    <cellStyle name="Percent 7 2 2" xfId="14194"/>
    <cellStyle name="Percent 7 3" xfId="14308"/>
    <cellStyle name="Percent 8" xfId="14309"/>
    <cellStyle name="Percent 8 2" xfId="9593"/>
    <cellStyle name="Percent 8 2 2" xfId="14195"/>
    <cellStyle name="Percent 9" xfId="14310"/>
    <cellStyle name="Percent 9 2" xfId="9594"/>
    <cellStyle name="Percent 9 2 2" xfId="14196"/>
    <cellStyle name="Report Header" xfId="39536"/>
    <cellStyle name="SAPBorder" xfId="39526"/>
    <cellStyle name="SAPColumnHeader" xfId="39542"/>
    <cellStyle name="SAPDataCell" xfId="39509"/>
    <cellStyle name="SAPDataTotalCell" xfId="39510"/>
    <cellStyle name="SAPDimensionCell" xfId="39508"/>
    <cellStyle name="SAPEditableDataCell" xfId="39511"/>
    <cellStyle name="SAPEditableDataTotalCell" xfId="39514"/>
    <cellStyle name="SAPEmphasized" xfId="39528"/>
    <cellStyle name="SAPEmphasizedEditableDataCell" xfId="39530"/>
    <cellStyle name="SAPEmphasizedEditableDataTotalCell" xfId="39531"/>
    <cellStyle name="SAPEmphasizedLockedDataCell" xfId="39534"/>
    <cellStyle name="SAPEmphasizedLockedDataTotalCell" xfId="39535"/>
    <cellStyle name="SAPEmphasizedReadonlyDataCell" xfId="39532"/>
    <cellStyle name="SAPEmphasizedReadonlyDataTotalCell" xfId="39533"/>
    <cellStyle name="SAPEmphasizedTotal" xfId="39529"/>
    <cellStyle name="SAPExceptionLevel1" xfId="39517"/>
    <cellStyle name="SAPExceptionLevel2" xfId="39518"/>
    <cellStyle name="SAPExceptionLevel3" xfId="39519"/>
    <cellStyle name="SAPExceptionLevel4" xfId="39520"/>
    <cellStyle name="SAPExceptionLevel5" xfId="39521"/>
    <cellStyle name="SAPExceptionLevel6" xfId="39522"/>
    <cellStyle name="SAPExceptionLevel7" xfId="39523"/>
    <cellStyle name="SAPExceptionLevel8" xfId="39524"/>
    <cellStyle name="SAPExceptionLevel9" xfId="39525"/>
    <cellStyle name="SAPGroupingFillCell" xfId="39545"/>
    <cellStyle name="SAPHierarchyCell" xfId="39543"/>
    <cellStyle name="SAPHierarchyCell0" xfId="39537"/>
    <cellStyle name="SAPHierarchyCell1" xfId="39538"/>
    <cellStyle name="SAPHierarchyCell2" xfId="39539"/>
    <cellStyle name="SAPHierarchyCell3" xfId="39540"/>
    <cellStyle name="SAPHierarchyCell4" xfId="39541"/>
    <cellStyle name="SAPHierarchyOddCell" xfId="39544"/>
    <cellStyle name="SAPLockedDataCell" xfId="39513"/>
    <cellStyle name="SAPLockedDataTotalCell" xfId="39516"/>
    <cellStyle name="SAPMemberCell" xfId="39506"/>
    <cellStyle name="SAPMemberTotalCell" xfId="39527"/>
    <cellStyle name="SAPReadonlyDataCell" xfId="39512"/>
    <cellStyle name="SAPReadonlyDataTotalCell" xfId="39515"/>
    <cellStyle name="Style 1" xfId="248"/>
    <cellStyle name="Style 1 2" xfId="249"/>
    <cellStyle name="Style 1 2 2" xfId="250"/>
    <cellStyle name="Style 1 2 3" xfId="251"/>
    <cellStyle name="Style 1 3" xfId="252"/>
    <cellStyle name="Style 1 4" xfId="253"/>
    <cellStyle name="Style 1 5" xfId="254"/>
    <cellStyle name="Style 1 5 2" xfId="255"/>
    <cellStyle name="Style 1 6" xfId="256"/>
    <cellStyle name="Style 1 6 2" xfId="257"/>
    <cellStyle name="Style 1 7" xfId="258"/>
    <cellStyle name="Style 1_Sheet3" xfId="259"/>
    <cellStyle name="STYLE1" xfId="260"/>
    <cellStyle name="STYLE2" xfId="261"/>
    <cellStyle name="STYLE3" xfId="262"/>
    <cellStyle name="STYLE4" xfId="263"/>
    <cellStyle name="TIME Detail" xfId="39615"/>
    <cellStyle name="TIME Period Start" xfId="39617"/>
    <cellStyle name="Title" xfId="264" builtinId="15" customBuiltin="1"/>
    <cellStyle name="Title 2" xfId="14197"/>
    <cellStyle name="Title 2 2" xfId="38817"/>
    <cellStyle name="Title 3" xfId="14311"/>
    <cellStyle name="Title 4" xfId="9595"/>
    <cellStyle name="Title 5" xfId="4816"/>
    <cellStyle name="Total" xfId="265" builtinId="25" customBuiltin="1"/>
    <cellStyle name="Total 2" xfId="4918"/>
    <cellStyle name="Total 2 2" xfId="14198"/>
    <cellStyle name="Total 2 2 2" xfId="38958"/>
    <cellStyle name="Total 2 3" xfId="38708"/>
    <cellStyle name="Total 3" xfId="4917"/>
    <cellStyle name="Total 3 2" xfId="14312"/>
    <cellStyle name="Total 4" xfId="9596"/>
    <cellStyle name="Warning Text" xfId="266" builtinId="11" customBuiltin="1"/>
    <cellStyle name="Warning Text 2" xfId="4919"/>
    <cellStyle name="Warning Text 2 2" xfId="14199"/>
    <cellStyle name="Warning Text 2 3" xfId="38818"/>
    <cellStyle name="Warning Text 3" xfId="14313"/>
    <cellStyle name="Warning Text 4" xfId="9597"/>
    <cellStyle name="Warning Text 5" xfId="38703"/>
  </cellStyles>
  <dxfs count="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lor theme="1"/>
      </font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 tint="-0.3499862666707357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CC"/>
      <color rgb="FFFFE5E5"/>
      <color rgb="FFFFFFCC"/>
      <color rgb="FFEAE476"/>
      <color rgb="FF0000FF"/>
      <color rgb="FFFFFF99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62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sheetMetadata" Target="metadata.xml"/><Relationship Id="rId61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1714500</xdr:colOff>
          <xdr:row>3</xdr:row>
          <xdr:rowOff>28575</xdr:rowOff>
        </xdr:from>
        <xdr:to>
          <xdr:col>5</xdr:col>
          <xdr:colOff>323850</xdr:colOff>
          <xdr:row>4</xdr:row>
          <xdr:rowOff>219075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COPY INTERFACE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33618</xdr:colOff>
      <xdr:row>113</xdr:row>
      <xdr:rowOff>22413</xdr:rowOff>
    </xdr:from>
    <xdr:to>
      <xdr:col>70</xdr:col>
      <xdr:colOff>416461</xdr:colOff>
      <xdr:row>144</xdr:row>
      <xdr:rowOff>16809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7706" y="14097001"/>
          <a:ext cx="5029200" cy="484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73</xdr:col>
      <xdr:colOff>78442</xdr:colOff>
      <xdr:row>113</xdr:row>
      <xdr:rowOff>44824</xdr:rowOff>
    </xdr:from>
    <xdr:to>
      <xdr:col>80</xdr:col>
      <xdr:colOff>47599</xdr:colOff>
      <xdr:row>139</xdr:row>
      <xdr:rowOff>59726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08589" y="14119412"/>
          <a:ext cx="5029199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230</xdr:row>
      <xdr:rowOff>83820</xdr:rowOff>
    </xdr:from>
    <xdr:to>
      <xdr:col>23</xdr:col>
      <xdr:colOff>503102</xdr:colOff>
      <xdr:row>255</xdr:row>
      <xdr:rowOff>105410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2280" y="46314360"/>
          <a:ext cx="4990012" cy="477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906780</xdr:colOff>
      <xdr:row>230</xdr:row>
      <xdr:rowOff>45720</xdr:rowOff>
    </xdr:from>
    <xdr:to>
      <xdr:col>17</xdr:col>
      <xdr:colOff>10160</xdr:colOff>
      <xdr:row>255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1540" y="46276260"/>
          <a:ext cx="5181600" cy="482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914400</xdr:colOff>
      <xdr:row>255</xdr:row>
      <xdr:rowOff>167640</xdr:rowOff>
    </xdr:from>
    <xdr:to>
      <xdr:col>16</xdr:col>
      <xdr:colOff>524510</xdr:colOff>
      <xdr:row>280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9160" y="51160680"/>
          <a:ext cx="5097780" cy="477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21537" name="FPMExcelClientSheetOptionstb1" hidden="1">
              <a:extLst>
                <a:ext uri="{63B3BB69-23CF-44E3-9099-C40C66FF867C}">
                  <a14:compatExt spid="_x0000_s321537"/>
                </a:ext>
                <a:ext uri="{FF2B5EF4-FFF2-40B4-BE49-F238E27FC236}">
                  <a16:creationId xmlns:a16="http://schemas.microsoft.com/office/drawing/2014/main" id="{00000000-0008-0000-0D00-000001E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12700</xdr:colOff>
      <xdr:row>3</xdr:row>
      <xdr:rowOff>63500</xdr:rowOff>
    </xdr:from>
    <xdr:to>
      <xdr:col>25</xdr:col>
      <xdr:colOff>401033</xdr:colOff>
      <xdr:row>6</xdr:row>
      <xdr:rowOff>171997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61200" y="711200"/>
          <a:ext cx="2297143" cy="708572"/>
        </a:xfrm>
        <a:prstGeom prst="rect">
          <a:avLst/>
        </a:prstGeom>
      </xdr:spPr>
    </xdr:pic>
    <xdr:clientData/>
  </xdr:twoCellAnchor>
  <xdr:twoCellAnchor editAs="oneCell">
    <xdr:from>
      <xdr:col>21</xdr:col>
      <xdr:colOff>622301</xdr:colOff>
      <xdr:row>9</xdr:row>
      <xdr:rowOff>76200</xdr:rowOff>
    </xdr:from>
    <xdr:to>
      <xdr:col>44</xdr:col>
      <xdr:colOff>542926</xdr:colOff>
      <xdr:row>16</xdr:row>
      <xdr:rowOff>57286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35801" y="1930400"/>
          <a:ext cx="14519910" cy="1139961"/>
        </a:xfrm>
        <a:prstGeom prst="rect">
          <a:avLst/>
        </a:prstGeom>
      </xdr:spPr>
    </xdr:pic>
    <xdr:clientData/>
  </xdr:twoCellAnchor>
  <xdr:twoCellAnchor editAs="oneCell">
    <xdr:from>
      <xdr:col>21</xdr:col>
      <xdr:colOff>622300</xdr:colOff>
      <xdr:row>19</xdr:row>
      <xdr:rowOff>101600</xdr:rowOff>
    </xdr:from>
    <xdr:to>
      <xdr:col>29</xdr:col>
      <xdr:colOff>16585</xdr:colOff>
      <xdr:row>23</xdr:row>
      <xdr:rowOff>3739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35800" y="3619500"/>
          <a:ext cx="4474285" cy="57523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27</xdr:row>
      <xdr:rowOff>0</xdr:rowOff>
    </xdr:from>
    <xdr:to>
      <xdr:col>31</xdr:col>
      <xdr:colOff>227857</xdr:colOff>
      <xdr:row>40</xdr:row>
      <xdr:rowOff>117176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48500" y="4711700"/>
          <a:ext cx="5942857" cy="239047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42</xdr:row>
      <xdr:rowOff>177800</xdr:rowOff>
    </xdr:from>
    <xdr:to>
      <xdr:col>32</xdr:col>
      <xdr:colOff>457200</xdr:colOff>
      <xdr:row>49</xdr:row>
      <xdr:rowOff>71702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48500" y="7543800"/>
          <a:ext cx="6807200" cy="1227402"/>
        </a:xfrm>
        <a:prstGeom prst="rect">
          <a:avLst/>
        </a:prstGeom>
      </xdr:spPr>
    </xdr:pic>
    <xdr:clientData/>
  </xdr:twoCellAnchor>
  <xdr:twoCellAnchor editAs="oneCell">
    <xdr:from>
      <xdr:col>22</xdr:col>
      <xdr:colOff>1</xdr:colOff>
      <xdr:row>50</xdr:row>
      <xdr:rowOff>0</xdr:rowOff>
    </xdr:from>
    <xdr:to>
      <xdr:col>28</xdr:col>
      <xdr:colOff>107329</xdr:colOff>
      <xdr:row>80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48501" y="8890000"/>
          <a:ext cx="3917328" cy="5422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ctuals\2018\Capital\01%20January\2018_01%20PGS%20Capital%20Expenditures%20Variance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REG_ACCT/SURV/ACTUAL/12month/xSurv-10A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FWHW\My%20Documents\2003%20Budget\Final%20Files%20for%202003%20Budget\SOP%20for%20Final%20Budget%20-%2005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dmb/AppData/Local/Microsoft/Windows/Temporary%20Internet%20Files/Content.Outlook/K7ZEZHE0/Failure%20Rate%20Analysi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PLT_ACCT\Data%20&amp;%20Apps\DATA\2003%20Monthly%20Reports\May_ja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URV/ACTUAL/12month/xSurv-10M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garey/Downloads/SR_Forecast_2+10_LTF_2022%20V3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GS_CORP\VOL1\SHARDATA\BUDGET_FIN\Budget\2023%20Rate%20Case\Earnings%20Model\2023%20Rate%20Case%20Budget%20-%20Earnings%20Model_02.07.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"/>
      <sheetName val="M 1+11"/>
      <sheetName val="Variance to 1+11 Summary"/>
      <sheetName val="Variance to 1+11 Detail"/>
      <sheetName val="M 6"/>
      <sheetName val="Q 6"/>
      <sheetName val="Y 6"/>
      <sheetName val="MTD Summary"/>
      <sheetName val="QTD Summary"/>
      <sheetName val="YTD Summary"/>
      <sheetName val="Variance to Budget Detail"/>
      <sheetName val="Actuals Table"/>
      <sheetName val="Input"/>
      <sheetName val="Actuals"/>
      <sheetName val="Forecast"/>
      <sheetName val="Q2 Forecast"/>
      <sheetName val="Q1 Forecast"/>
      <sheetName val="Budget"/>
      <sheetName val="2017"/>
      <sheetName val="Field Table"/>
      <sheetName val="Project Description"/>
      <sheetName val="Location"/>
      <sheetName val="PowerPlant ID"/>
      <sheetName val="Specific FP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>
            <v>2018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cap struc adj"/>
      <sheetName val="cap struc adj yr end"/>
      <sheetName val="TRANS SEP"/>
      <sheetName val="WC INPUTS"/>
      <sheetName val="WC"/>
      <sheetName val="PRINTING"/>
      <sheetName val="RB vs CAP"/>
      <sheetName val="COMPARISON to Act"/>
      <sheetName val="COMP to Budget"/>
      <sheetName val="COMP to 1+11"/>
      <sheetName val="ROE Ratios"/>
      <sheetName val="ROR Adjustments"/>
      <sheetName val="Equity Adjustments"/>
      <sheetName val="ROE Recon"/>
      <sheetName val="ROE Recon - Actual"/>
      <sheetName val="ROE Recon (2)"/>
      <sheetName val="OCI"/>
      <sheetName val="NI Summary"/>
      <sheetName val="13moavgcomparison"/>
      <sheetName val="NOTE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5558563985</v>
          </cell>
          <cell r="C3">
            <v>5552972957</v>
          </cell>
          <cell r="D3">
            <v>5395588967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117212</v>
          </cell>
        </row>
        <row r="5">
          <cell r="A5">
            <v>105</v>
          </cell>
          <cell r="B5">
            <v>37741860</v>
          </cell>
          <cell r="C5">
            <v>37741860</v>
          </cell>
          <cell r="D5">
            <v>37741860</v>
          </cell>
        </row>
        <row r="6">
          <cell r="A6">
            <v>106</v>
          </cell>
          <cell r="B6">
            <v>526690665</v>
          </cell>
          <cell r="C6">
            <v>534233065</v>
          </cell>
          <cell r="D6">
            <v>449906292</v>
          </cell>
        </row>
        <row r="7">
          <cell r="A7">
            <v>107</v>
          </cell>
          <cell r="B7">
            <v>254578109</v>
          </cell>
          <cell r="C7">
            <v>245558704</v>
          </cell>
          <cell r="D7">
            <v>336029662</v>
          </cell>
        </row>
        <row r="8">
          <cell r="A8">
            <v>108</v>
          </cell>
          <cell r="B8">
            <v>-2095908805</v>
          </cell>
          <cell r="C8">
            <v>-2094007220</v>
          </cell>
          <cell r="D8">
            <v>-2055706252</v>
          </cell>
        </row>
        <row r="9">
          <cell r="A9">
            <v>111</v>
          </cell>
          <cell r="B9">
            <v>-7293492</v>
          </cell>
          <cell r="C9">
            <v>-7644054</v>
          </cell>
          <cell r="D9">
            <v>-7783908</v>
          </cell>
        </row>
        <row r="10">
          <cell r="A10">
            <v>114</v>
          </cell>
          <cell r="B10">
            <v>4112635</v>
          </cell>
          <cell r="C10">
            <v>4122498</v>
          </cell>
          <cell r="D10">
            <v>4098242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6257256</v>
          </cell>
          <cell r="C12">
            <v>6260599</v>
          </cell>
          <cell r="D12">
            <v>6522574</v>
          </cell>
        </row>
        <row r="13">
          <cell r="A13">
            <v>122</v>
          </cell>
          <cell r="B13">
            <v>-2992761</v>
          </cell>
          <cell r="C13">
            <v>-2992463</v>
          </cell>
          <cell r="D13">
            <v>-3235061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0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0</v>
          </cell>
        </row>
        <row r="19">
          <cell r="A19">
            <v>131</v>
          </cell>
          <cell r="B19">
            <v>6876873</v>
          </cell>
          <cell r="C19">
            <v>5233529</v>
          </cell>
          <cell r="D19">
            <v>5666610</v>
          </cell>
        </row>
        <row r="20">
          <cell r="A20">
            <v>134</v>
          </cell>
          <cell r="B20">
            <v>123563</v>
          </cell>
          <cell r="C20">
            <v>106888</v>
          </cell>
          <cell r="D20">
            <v>90140</v>
          </cell>
        </row>
        <row r="21">
          <cell r="A21">
            <v>135</v>
          </cell>
          <cell r="B21">
            <v>54315</v>
          </cell>
          <cell r="C21">
            <v>54315</v>
          </cell>
          <cell r="D21">
            <v>55746</v>
          </cell>
        </row>
        <row r="22">
          <cell r="A22">
            <v>136</v>
          </cell>
          <cell r="B22">
            <v>0</v>
          </cell>
          <cell r="C22">
            <v>0</v>
          </cell>
          <cell r="D22">
            <v>0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0</v>
          </cell>
        </row>
        <row r="24">
          <cell r="A24">
            <v>142</v>
          </cell>
          <cell r="B24">
            <v>156415479</v>
          </cell>
          <cell r="C24">
            <v>161031258</v>
          </cell>
          <cell r="D24">
            <v>156955422</v>
          </cell>
        </row>
        <row r="25">
          <cell r="A25">
            <v>143</v>
          </cell>
          <cell r="B25">
            <v>15469133</v>
          </cell>
          <cell r="C25">
            <v>15396095</v>
          </cell>
          <cell r="D25">
            <v>12165791</v>
          </cell>
        </row>
        <row r="26">
          <cell r="A26">
            <v>144</v>
          </cell>
          <cell r="B26">
            <v>-947505</v>
          </cell>
          <cell r="C26">
            <v>-926649</v>
          </cell>
          <cell r="D26">
            <v>-1496123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8642062</v>
          </cell>
          <cell r="C28">
            <v>7692988</v>
          </cell>
          <cell r="D28">
            <v>8066966</v>
          </cell>
        </row>
        <row r="29">
          <cell r="A29">
            <v>151</v>
          </cell>
          <cell r="B29">
            <v>96004644</v>
          </cell>
          <cell r="C29">
            <v>92936828</v>
          </cell>
          <cell r="D29">
            <v>96834727</v>
          </cell>
        </row>
        <row r="30">
          <cell r="A30">
            <v>152</v>
          </cell>
          <cell r="B30">
            <v>0</v>
          </cell>
          <cell r="C30">
            <v>0</v>
          </cell>
          <cell r="D30">
            <v>501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52821695</v>
          </cell>
          <cell r="C32">
            <v>53387674</v>
          </cell>
          <cell r="D32">
            <v>55457762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0</v>
          </cell>
          <cell r="C35">
            <v>0</v>
          </cell>
          <cell r="D35">
            <v>0</v>
          </cell>
        </row>
        <row r="36">
          <cell r="A36">
            <v>165</v>
          </cell>
          <cell r="B36">
            <v>9285510</v>
          </cell>
          <cell r="C36">
            <v>9973347</v>
          </cell>
          <cell r="D36">
            <v>11842575</v>
          </cell>
        </row>
        <row r="37">
          <cell r="A37">
            <v>171</v>
          </cell>
          <cell r="B37">
            <v>0</v>
          </cell>
          <cell r="C37">
            <v>0</v>
          </cell>
          <cell r="D37">
            <v>36</v>
          </cell>
        </row>
        <row r="38">
          <cell r="A38">
            <v>173</v>
          </cell>
          <cell r="B38">
            <v>40577132</v>
          </cell>
          <cell r="C38">
            <v>41278012</v>
          </cell>
          <cell r="D38">
            <v>39832889</v>
          </cell>
        </row>
        <row r="39">
          <cell r="A39">
            <v>176</v>
          </cell>
          <cell r="B39">
            <v>40423270</v>
          </cell>
          <cell r="C39">
            <v>38273625</v>
          </cell>
          <cell r="D39">
            <v>84514481</v>
          </cell>
        </row>
        <row r="40">
          <cell r="A40">
            <v>181</v>
          </cell>
          <cell r="B40">
            <v>18174677</v>
          </cell>
          <cell r="C40">
            <v>18282738</v>
          </cell>
          <cell r="D40">
            <v>19116430</v>
          </cell>
        </row>
        <row r="41">
          <cell r="A41">
            <v>182</v>
          </cell>
          <cell r="B41">
            <v>340965670</v>
          </cell>
          <cell r="C41">
            <v>342616691</v>
          </cell>
          <cell r="D41">
            <v>339705415</v>
          </cell>
        </row>
        <row r="42">
          <cell r="A42">
            <v>183</v>
          </cell>
          <cell r="B42">
            <v>426387</v>
          </cell>
          <cell r="C42">
            <v>484937</v>
          </cell>
          <cell r="D42">
            <v>6788067</v>
          </cell>
        </row>
        <row r="43">
          <cell r="A43">
            <v>184</v>
          </cell>
          <cell r="B43">
            <v>-172055</v>
          </cell>
          <cell r="C43">
            <v>221991</v>
          </cell>
          <cell r="D43">
            <v>-351451</v>
          </cell>
        </row>
        <row r="44">
          <cell r="A44">
            <v>186</v>
          </cell>
          <cell r="B44">
            <v>1136453</v>
          </cell>
          <cell r="C44">
            <v>1043358</v>
          </cell>
          <cell r="D44">
            <v>2472947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253166252</v>
          </cell>
          <cell r="C48">
            <v>251756159</v>
          </cell>
          <cell r="D48">
            <v>252754672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-1527840249</v>
          </cell>
          <cell r="C53">
            <v>-1527840249</v>
          </cell>
          <cell r="D53">
            <v>-1527840249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-143039405</v>
          </cell>
          <cell r="C55">
            <v>-165985403</v>
          </cell>
          <cell r="D55">
            <v>-102871906</v>
          </cell>
        </row>
        <row r="56">
          <cell r="A56">
            <v>219</v>
          </cell>
          <cell r="B56">
            <v>3974728</v>
          </cell>
          <cell r="C56">
            <v>3994905</v>
          </cell>
          <cell r="D56">
            <v>4216844</v>
          </cell>
        </row>
        <row r="57">
          <cell r="A57">
            <v>221</v>
          </cell>
          <cell r="B57">
            <v>-1768835000</v>
          </cell>
          <cell r="C57">
            <v>-1768835000</v>
          </cell>
          <cell r="D57">
            <v>-1730373462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-3106696</v>
          </cell>
          <cell r="C59">
            <v>-3124680</v>
          </cell>
          <cell r="D59">
            <v>-2149490</v>
          </cell>
        </row>
        <row r="60">
          <cell r="A60">
            <v>226</v>
          </cell>
          <cell r="B60">
            <v>3867632</v>
          </cell>
          <cell r="C60">
            <v>3887835</v>
          </cell>
          <cell r="D60">
            <v>4110064</v>
          </cell>
        </row>
        <row r="61">
          <cell r="A61">
            <v>228</v>
          </cell>
          <cell r="B61">
            <v>-334836327</v>
          </cell>
          <cell r="C61">
            <v>-333431557</v>
          </cell>
          <cell r="D61">
            <v>-317398917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-31749516</v>
          </cell>
          <cell r="C63">
            <v>-31685546</v>
          </cell>
          <cell r="D63">
            <v>-30995998</v>
          </cell>
        </row>
        <row r="64">
          <cell r="A64">
            <v>231</v>
          </cell>
          <cell r="B64">
            <v>-97900000</v>
          </cell>
          <cell r="C64">
            <v>-70825000</v>
          </cell>
          <cell r="D64">
            <v>-74290385</v>
          </cell>
        </row>
        <row r="65">
          <cell r="A65">
            <v>232</v>
          </cell>
          <cell r="B65">
            <v>-153506893</v>
          </cell>
          <cell r="C65">
            <v>-163695328</v>
          </cell>
          <cell r="D65">
            <v>-164169120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-6033078</v>
          </cell>
          <cell r="C67">
            <v>-10140599</v>
          </cell>
          <cell r="D67">
            <v>-11342709</v>
          </cell>
        </row>
        <row r="68">
          <cell r="A68">
            <v>235</v>
          </cell>
          <cell r="B68">
            <v>-115029258</v>
          </cell>
          <cell r="C68">
            <v>-114777783</v>
          </cell>
          <cell r="D68">
            <v>-112773516</v>
          </cell>
        </row>
        <row r="69">
          <cell r="A69">
            <v>236</v>
          </cell>
          <cell r="B69">
            <v>-21455983</v>
          </cell>
          <cell r="C69">
            <v>-18101571</v>
          </cell>
          <cell r="D69">
            <v>-33427754</v>
          </cell>
        </row>
        <row r="70">
          <cell r="A70">
            <v>237</v>
          </cell>
          <cell r="B70">
            <v>-32283235</v>
          </cell>
          <cell r="C70">
            <v>-32724285</v>
          </cell>
          <cell r="D70">
            <v>-31755843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-8529680</v>
          </cell>
        </row>
        <row r="72">
          <cell r="A72">
            <v>241</v>
          </cell>
          <cell r="B72">
            <v>-5276105</v>
          </cell>
          <cell r="C72">
            <v>-5686058</v>
          </cell>
          <cell r="D72">
            <v>-6088071</v>
          </cell>
        </row>
        <row r="73">
          <cell r="A73">
            <v>242</v>
          </cell>
          <cell r="B73">
            <v>-23931139</v>
          </cell>
          <cell r="C73">
            <v>-23907668</v>
          </cell>
          <cell r="D73">
            <v>-24638231</v>
          </cell>
        </row>
        <row r="74">
          <cell r="A74">
            <v>245</v>
          </cell>
          <cell r="B74">
            <v>-40421020</v>
          </cell>
          <cell r="C74">
            <v>-38271375</v>
          </cell>
          <cell r="D74">
            <v>-84512231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-11215206</v>
          </cell>
          <cell r="C79">
            <v>-11120014</v>
          </cell>
          <cell r="D79">
            <v>-9794449</v>
          </cell>
        </row>
        <row r="80">
          <cell r="A80">
            <v>254</v>
          </cell>
          <cell r="B80">
            <v>-59008359</v>
          </cell>
          <cell r="C80">
            <v>-59413579</v>
          </cell>
          <cell r="D80">
            <v>-39790683</v>
          </cell>
        </row>
        <row r="81">
          <cell r="A81">
            <v>255</v>
          </cell>
          <cell r="B81">
            <v>-10718146</v>
          </cell>
          <cell r="C81">
            <v>-10733487</v>
          </cell>
          <cell r="D81">
            <v>-10902241</v>
          </cell>
        </row>
        <row r="82">
          <cell r="A82">
            <v>256</v>
          </cell>
          <cell r="B82">
            <v>15427</v>
          </cell>
          <cell r="C82">
            <v>12642</v>
          </cell>
          <cell r="D82">
            <v>-212460</v>
          </cell>
        </row>
        <row r="83">
          <cell r="A83">
            <v>257</v>
          </cell>
          <cell r="B83">
            <v>0</v>
          </cell>
          <cell r="C83">
            <v>0</v>
          </cell>
          <cell r="D83">
            <v>0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-14149765</v>
          </cell>
          <cell r="C85">
            <v>-14149765</v>
          </cell>
          <cell r="D85">
            <v>-11162498</v>
          </cell>
        </row>
        <row r="86">
          <cell r="A86">
            <v>282</v>
          </cell>
          <cell r="B86">
            <v>-686528688</v>
          </cell>
          <cell r="C86">
            <v>-683480323</v>
          </cell>
          <cell r="D86">
            <v>-634724668</v>
          </cell>
        </row>
        <row r="87">
          <cell r="A87">
            <v>283</v>
          </cell>
          <cell r="B87">
            <v>-85903427</v>
          </cell>
          <cell r="C87">
            <v>-85554439</v>
          </cell>
          <cell r="D87">
            <v>-97119410</v>
          </cell>
        </row>
        <row r="88">
          <cell r="A88">
            <v>299</v>
          </cell>
          <cell r="B88">
            <v>-37561102</v>
          </cell>
          <cell r="C88">
            <v>-30779203</v>
          </cell>
          <cell r="D88">
            <v>-76493929</v>
          </cell>
        </row>
        <row r="89">
          <cell r="A89">
            <v>10100</v>
          </cell>
          <cell r="B89">
            <v>5551463868</v>
          </cell>
          <cell r="C89">
            <v>5545872840</v>
          </cell>
          <cell r="D89">
            <v>5388488850</v>
          </cell>
        </row>
        <row r="90">
          <cell r="A90">
            <v>10102</v>
          </cell>
          <cell r="B90">
            <v>7100117</v>
          </cell>
          <cell r="C90">
            <v>7100117</v>
          </cell>
          <cell r="D90">
            <v>7100117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117212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725770</v>
          </cell>
          <cell r="C95">
            <v>725770</v>
          </cell>
          <cell r="D95">
            <v>725770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592868</v>
          </cell>
        </row>
        <row r="97">
          <cell r="A97">
            <v>10503</v>
          </cell>
          <cell r="B97">
            <v>23648445</v>
          </cell>
          <cell r="C97">
            <v>23648445</v>
          </cell>
          <cell r="D97">
            <v>23648445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2301557</v>
          </cell>
          <cell r="C100">
            <v>2301557</v>
          </cell>
          <cell r="D100">
            <v>2301557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0</v>
          </cell>
          <cell r="C103">
            <v>0</v>
          </cell>
          <cell r="D103">
            <v>0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778125</v>
          </cell>
          <cell r="C105">
            <v>778125</v>
          </cell>
          <cell r="D105">
            <v>778125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7415</v>
          </cell>
          <cell r="C107">
            <v>7415</v>
          </cell>
          <cell r="D107">
            <v>7415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567690</v>
          </cell>
          <cell r="C112">
            <v>567690</v>
          </cell>
          <cell r="D112">
            <v>567690</v>
          </cell>
        </row>
        <row r="113">
          <cell r="A113">
            <v>10519</v>
          </cell>
          <cell r="B113">
            <v>0</v>
          </cell>
          <cell r="C113">
            <v>0</v>
          </cell>
          <cell r="D113">
            <v>-42</v>
          </cell>
        </row>
        <row r="114">
          <cell r="A114">
            <v>10520</v>
          </cell>
          <cell r="B114">
            <v>1378812</v>
          </cell>
          <cell r="C114">
            <v>1378812</v>
          </cell>
          <cell r="D114">
            <v>1378853</v>
          </cell>
        </row>
        <row r="115">
          <cell r="A115">
            <v>10521</v>
          </cell>
          <cell r="B115">
            <v>1201</v>
          </cell>
          <cell r="C115">
            <v>1201</v>
          </cell>
          <cell r="D115">
            <v>1201</v>
          </cell>
        </row>
        <row r="116">
          <cell r="A116">
            <v>10522</v>
          </cell>
          <cell r="B116">
            <v>495336</v>
          </cell>
          <cell r="C116">
            <v>495336</v>
          </cell>
          <cell r="D116">
            <v>495336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0</v>
          </cell>
          <cell r="C121">
            <v>0</v>
          </cell>
          <cell r="D121">
            <v>0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2505</v>
          </cell>
          <cell r="C126">
            <v>2505</v>
          </cell>
          <cell r="D126">
            <v>2505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24935</v>
          </cell>
          <cell r="C128">
            <v>24935</v>
          </cell>
          <cell r="D128">
            <v>24935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103844</v>
          </cell>
          <cell r="C149">
            <v>103844</v>
          </cell>
          <cell r="D149">
            <v>103844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5669</v>
          </cell>
          <cell r="C161">
            <v>5669</v>
          </cell>
          <cell r="D161">
            <v>5669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51930</v>
          </cell>
          <cell r="C163">
            <v>51930</v>
          </cell>
          <cell r="D163">
            <v>51930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526690665</v>
          </cell>
          <cell r="C166">
            <v>534233065</v>
          </cell>
          <cell r="D166">
            <v>449906292</v>
          </cell>
        </row>
        <row r="167">
          <cell r="A167">
            <v>10700</v>
          </cell>
          <cell r="B167">
            <v>254578109</v>
          </cell>
          <cell r="C167">
            <v>245558704</v>
          </cell>
          <cell r="D167">
            <v>336029662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-2020373649</v>
          </cell>
          <cell r="C171">
            <v>-2018132040</v>
          </cell>
          <cell r="D171">
            <v>-2020401109</v>
          </cell>
        </row>
        <row r="172">
          <cell r="A172">
            <v>10802</v>
          </cell>
          <cell r="B172">
            <v>15873496</v>
          </cell>
          <cell r="C172">
            <v>15527051</v>
          </cell>
          <cell r="D172">
            <v>56313344</v>
          </cell>
        </row>
        <row r="173">
          <cell r="A173">
            <v>10803</v>
          </cell>
          <cell r="B173">
            <v>-96521984</v>
          </cell>
          <cell r="C173">
            <v>-96466276</v>
          </cell>
          <cell r="D173">
            <v>-95853491</v>
          </cell>
        </row>
        <row r="174">
          <cell r="A174">
            <v>10804</v>
          </cell>
          <cell r="B174">
            <v>-2046473</v>
          </cell>
          <cell r="C174">
            <v>-2064115</v>
          </cell>
          <cell r="D174">
            <v>-2258178</v>
          </cell>
        </row>
        <row r="175">
          <cell r="A175">
            <v>10805</v>
          </cell>
          <cell r="B175">
            <v>-851814</v>
          </cell>
          <cell r="C175">
            <v>-848450</v>
          </cell>
          <cell r="D175">
            <v>-810134</v>
          </cell>
        </row>
        <row r="176">
          <cell r="A176">
            <v>10808</v>
          </cell>
          <cell r="B176">
            <v>22285474</v>
          </cell>
          <cell r="C176">
            <v>22277994</v>
          </cell>
          <cell r="D176">
            <v>22274384</v>
          </cell>
        </row>
        <row r="177">
          <cell r="A177">
            <v>10809</v>
          </cell>
          <cell r="B177">
            <v>-22285474</v>
          </cell>
          <cell r="C177">
            <v>-22277994</v>
          </cell>
          <cell r="D177">
            <v>-22274384</v>
          </cell>
        </row>
        <row r="178">
          <cell r="A178">
            <v>10810</v>
          </cell>
          <cell r="B178">
            <v>423424015</v>
          </cell>
          <cell r="C178">
            <v>423281887</v>
          </cell>
          <cell r="D178">
            <v>423213289</v>
          </cell>
        </row>
        <row r="179">
          <cell r="A179">
            <v>10811</v>
          </cell>
          <cell r="B179">
            <v>-423424015</v>
          </cell>
          <cell r="C179">
            <v>-423281887</v>
          </cell>
          <cell r="D179">
            <v>-423213289</v>
          </cell>
        </row>
        <row r="180">
          <cell r="A180">
            <v>10820</v>
          </cell>
          <cell r="B180">
            <v>0</v>
          </cell>
          <cell r="C180">
            <v>0</v>
          </cell>
          <cell r="D180">
            <v>0</v>
          </cell>
        </row>
        <row r="181">
          <cell r="A181">
            <v>10850</v>
          </cell>
          <cell r="B181">
            <v>3612990</v>
          </cell>
          <cell r="C181">
            <v>3579255</v>
          </cell>
          <cell r="D181">
            <v>3024795</v>
          </cell>
        </row>
        <row r="182">
          <cell r="A182">
            <v>10851</v>
          </cell>
          <cell r="B182">
            <v>210934</v>
          </cell>
          <cell r="C182">
            <v>210934</v>
          </cell>
          <cell r="D182">
            <v>210174</v>
          </cell>
        </row>
        <row r="183">
          <cell r="A183">
            <v>10852</v>
          </cell>
          <cell r="B183">
            <v>833433</v>
          </cell>
          <cell r="C183">
            <v>833433</v>
          </cell>
          <cell r="D183">
            <v>819342</v>
          </cell>
        </row>
        <row r="184">
          <cell r="A184">
            <v>10853</v>
          </cell>
          <cell r="B184">
            <v>684741</v>
          </cell>
          <cell r="C184">
            <v>683467</v>
          </cell>
          <cell r="D184">
            <v>678568</v>
          </cell>
        </row>
        <row r="185">
          <cell r="A185">
            <v>10854</v>
          </cell>
          <cell r="B185">
            <v>1066864</v>
          </cell>
          <cell r="C185">
            <v>1066864</v>
          </cell>
          <cell r="D185">
            <v>1066700</v>
          </cell>
        </row>
        <row r="186">
          <cell r="A186">
            <v>10855</v>
          </cell>
          <cell r="B186">
            <v>820662</v>
          </cell>
          <cell r="C186">
            <v>820662</v>
          </cell>
          <cell r="D186">
            <v>824312</v>
          </cell>
        </row>
        <row r="187">
          <cell r="A187">
            <v>10856</v>
          </cell>
          <cell r="B187">
            <v>781996</v>
          </cell>
          <cell r="C187">
            <v>781996</v>
          </cell>
          <cell r="D187">
            <v>679425</v>
          </cell>
        </row>
        <row r="188">
          <cell r="A188">
            <v>11100</v>
          </cell>
          <cell r="B188">
            <v>-7293492</v>
          </cell>
          <cell r="C188">
            <v>-7644054</v>
          </cell>
          <cell r="D188">
            <v>-7783908</v>
          </cell>
        </row>
        <row r="189">
          <cell r="A189">
            <v>11401</v>
          </cell>
          <cell r="B189">
            <v>3080342</v>
          </cell>
          <cell r="C189">
            <v>3088081</v>
          </cell>
          <cell r="D189">
            <v>3173216</v>
          </cell>
        </row>
        <row r="190">
          <cell r="A190">
            <v>11402</v>
          </cell>
          <cell r="B190">
            <v>694851</v>
          </cell>
          <cell r="C190">
            <v>696597</v>
          </cell>
          <cell r="D190">
            <v>715801</v>
          </cell>
        </row>
        <row r="191">
          <cell r="A191">
            <v>11403</v>
          </cell>
          <cell r="B191">
            <v>337442</v>
          </cell>
          <cell r="C191">
            <v>337820</v>
          </cell>
          <cell r="D191">
            <v>209225</v>
          </cell>
        </row>
        <row r="192">
          <cell r="A192">
            <v>11501</v>
          </cell>
          <cell r="B192">
            <v>0</v>
          </cell>
          <cell r="C192">
            <v>0</v>
          </cell>
          <cell r="D192">
            <v>0</v>
          </cell>
        </row>
        <row r="193">
          <cell r="A193">
            <v>12100</v>
          </cell>
          <cell r="B193">
            <v>979974</v>
          </cell>
          <cell r="C193">
            <v>979974</v>
          </cell>
          <cell r="D193">
            <v>452296</v>
          </cell>
        </row>
        <row r="194">
          <cell r="A194">
            <v>12102</v>
          </cell>
          <cell r="B194">
            <v>0</v>
          </cell>
          <cell r="C194">
            <v>0</v>
          </cell>
          <cell r="D194">
            <v>4947</v>
          </cell>
        </row>
        <row r="195">
          <cell r="A195">
            <v>12103</v>
          </cell>
          <cell r="B195">
            <v>0</v>
          </cell>
          <cell r="C195">
            <v>0</v>
          </cell>
          <cell r="D195">
            <v>0</v>
          </cell>
        </row>
        <row r="196">
          <cell r="A196">
            <v>12105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12106</v>
          </cell>
          <cell r="B197">
            <v>0</v>
          </cell>
          <cell r="C197">
            <v>0</v>
          </cell>
          <cell r="D197">
            <v>6293</v>
          </cell>
        </row>
        <row r="198">
          <cell r="A198">
            <v>12107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12108</v>
          </cell>
          <cell r="B199">
            <v>0</v>
          </cell>
          <cell r="C199">
            <v>0</v>
          </cell>
          <cell r="D199">
            <v>1337</v>
          </cell>
        </row>
        <row r="200">
          <cell r="A200">
            <v>12109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12111</v>
          </cell>
          <cell r="B201">
            <v>0</v>
          </cell>
          <cell r="C201">
            <v>0</v>
          </cell>
          <cell r="D201">
            <v>0</v>
          </cell>
        </row>
        <row r="202">
          <cell r="A202">
            <v>12112</v>
          </cell>
          <cell r="B202">
            <v>4724122</v>
          </cell>
          <cell r="C202">
            <v>4726641</v>
          </cell>
          <cell r="D202">
            <v>4963758</v>
          </cell>
        </row>
        <row r="203">
          <cell r="A203">
            <v>12114</v>
          </cell>
          <cell r="B203">
            <v>349706</v>
          </cell>
          <cell r="C203">
            <v>350530</v>
          </cell>
          <cell r="D203">
            <v>372156</v>
          </cell>
        </row>
        <row r="204">
          <cell r="A204">
            <v>12115</v>
          </cell>
          <cell r="B204">
            <v>0</v>
          </cell>
          <cell r="C204">
            <v>0</v>
          </cell>
          <cell r="D204">
            <v>0</v>
          </cell>
        </row>
        <row r="205">
          <cell r="A205">
            <v>12116</v>
          </cell>
          <cell r="B205">
            <v>0</v>
          </cell>
          <cell r="C205">
            <v>0</v>
          </cell>
          <cell r="D205">
            <v>0</v>
          </cell>
        </row>
        <row r="206">
          <cell r="A206">
            <v>12117</v>
          </cell>
          <cell r="B206">
            <v>0</v>
          </cell>
          <cell r="C206">
            <v>0</v>
          </cell>
          <cell r="D206">
            <v>88459</v>
          </cell>
        </row>
        <row r="207">
          <cell r="A207">
            <v>12118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12122</v>
          </cell>
          <cell r="B208">
            <v>102099</v>
          </cell>
          <cell r="C208">
            <v>102099</v>
          </cell>
          <cell r="D208">
            <v>102099</v>
          </cell>
        </row>
        <row r="209">
          <cell r="A209">
            <v>12125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12126</v>
          </cell>
          <cell r="B210">
            <v>0</v>
          </cell>
          <cell r="C210">
            <v>0</v>
          </cell>
          <cell r="D210">
            <v>0</v>
          </cell>
        </row>
        <row r="211">
          <cell r="A211">
            <v>12127</v>
          </cell>
          <cell r="B211">
            <v>6458</v>
          </cell>
          <cell r="C211">
            <v>6458</v>
          </cell>
          <cell r="D211">
            <v>6458</v>
          </cell>
        </row>
        <row r="212">
          <cell r="A212">
            <v>12130</v>
          </cell>
          <cell r="B212">
            <v>94897</v>
          </cell>
          <cell r="C212">
            <v>94897</v>
          </cell>
          <cell r="D212">
            <v>94897</v>
          </cell>
        </row>
        <row r="213">
          <cell r="A213">
            <v>12132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12141</v>
          </cell>
          <cell r="B214">
            <v>0</v>
          </cell>
          <cell r="C214">
            <v>0</v>
          </cell>
          <cell r="D214">
            <v>584</v>
          </cell>
        </row>
        <row r="215">
          <cell r="A215">
            <v>12142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12143</v>
          </cell>
          <cell r="B216">
            <v>0</v>
          </cell>
          <cell r="C216">
            <v>0</v>
          </cell>
          <cell r="D216">
            <v>3232</v>
          </cell>
        </row>
        <row r="217">
          <cell r="A217">
            <v>12144</v>
          </cell>
          <cell r="B217">
            <v>0</v>
          </cell>
          <cell r="C217">
            <v>0</v>
          </cell>
          <cell r="D217">
            <v>1557</v>
          </cell>
        </row>
        <row r="218">
          <cell r="A218">
            <v>12150</v>
          </cell>
          <cell r="B218">
            <v>0</v>
          </cell>
          <cell r="C218">
            <v>0</v>
          </cell>
          <cell r="D218">
            <v>422855</v>
          </cell>
        </row>
        <row r="219">
          <cell r="A219">
            <v>12160</v>
          </cell>
          <cell r="B219">
            <v>0</v>
          </cell>
          <cell r="C219">
            <v>0</v>
          </cell>
          <cell r="D219">
            <v>0</v>
          </cell>
        </row>
        <row r="220">
          <cell r="A220">
            <v>12161</v>
          </cell>
          <cell r="B220">
            <v>0</v>
          </cell>
          <cell r="C220">
            <v>0</v>
          </cell>
          <cell r="D220">
            <v>152</v>
          </cell>
        </row>
        <row r="221">
          <cell r="A221">
            <v>12162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12163</v>
          </cell>
          <cell r="B222">
            <v>0</v>
          </cell>
          <cell r="C222">
            <v>0</v>
          </cell>
          <cell r="D222">
            <v>607</v>
          </cell>
        </row>
        <row r="223">
          <cell r="A223">
            <v>12164</v>
          </cell>
          <cell r="B223">
            <v>0</v>
          </cell>
          <cell r="C223">
            <v>0</v>
          </cell>
          <cell r="D223">
            <v>543</v>
          </cell>
        </row>
        <row r="224">
          <cell r="A224">
            <v>12165</v>
          </cell>
          <cell r="B224">
            <v>0</v>
          </cell>
          <cell r="C224">
            <v>0</v>
          </cell>
          <cell r="D224">
            <v>344</v>
          </cell>
        </row>
        <row r="225">
          <cell r="A225">
            <v>12166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12167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12168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12200</v>
          </cell>
          <cell r="B228">
            <v>0</v>
          </cell>
          <cell r="C228">
            <v>0</v>
          </cell>
          <cell r="D228">
            <v>0</v>
          </cell>
        </row>
        <row r="229">
          <cell r="A229">
            <v>12201</v>
          </cell>
          <cell r="B229">
            <v>0</v>
          </cell>
          <cell r="C229">
            <v>0</v>
          </cell>
          <cell r="D229">
            <v>0</v>
          </cell>
        </row>
        <row r="230">
          <cell r="A230">
            <v>12202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12203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12212</v>
          </cell>
          <cell r="B232">
            <v>-2669937</v>
          </cell>
          <cell r="C232">
            <v>-2672607</v>
          </cell>
          <cell r="D232">
            <v>-2922631</v>
          </cell>
        </row>
        <row r="233">
          <cell r="A233">
            <v>12214</v>
          </cell>
          <cell r="B233">
            <v>-215221</v>
          </cell>
          <cell r="C233">
            <v>-213708</v>
          </cell>
          <cell r="D233">
            <v>-222267</v>
          </cell>
        </row>
        <row r="234">
          <cell r="A234">
            <v>12222</v>
          </cell>
          <cell r="B234">
            <v>-46188</v>
          </cell>
          <cell r="C234">
            <v>-45580</v>
          </cell>
          <cell r="D234">
            <v>-38895</v>
          </cell>
        </row>
        <row r="235">
          <cell r="A235">
            <v>12225</v>
          </cell>
          <cell r="B235">
            <v>0</v>
          </cell>
          <cell r="C235">
            <v>0</v>
          </cell>
          <cell r="D235">
            <v>0</v>
          </cell>
        </row>
        <row r="236">
          <cell r="A236">
            <v>12226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12227</v>
          </cell>
          <cell r="B237">
            <v>-1314</v>
          </cell>
          <cell r="C237">
            <v>-1259</v>
          </cell>
          <cell r="D237">
            <v>-657</v>
          </cell>
        </row>
        <row r="238">
          <cell r="A238">
            <v>12230</v>
          </cell>
          <cell r="B238">
            <v>-60101</v>
          </cell>
          <cell r="C238">
            <v>-59311</v>
          </cell>
          <cell r="D238">
            <v>-50612</v>
          </cell>
        </row>
        <row r="239">
          <cell r="A239">
            <v>12232</v>
          </cell>
          <cell r="B239">
            <v>0</v>
          </cell>
          <cell r="C239">
            <v>0</v>
          </cell>
          <cell r="D239">
            <v>0</v>
          </cell>
        </row>
        <row r="240">
          <cell r="A240">
            <v>12268</v>
          </cell>
          <cell r="B240">
            <v>0</v>
          </cell>
          <cell r="C240">
            <v>0</v>
          </cell>
          <cell r="D240">
            <v>0</v>
          </cell>
        </row>
        <row r="241">
          <cell r="A241">
            <v>12301</v>
          </cell>
          <cell r="B241">
            <v>0</v>
          </cell>
          <cell r="C241">
            <v>0</v>
          </cell>
          <cell r="D241">
            <v>0</v>
          </cell>
        </row>
        <row r="242">
          <cell r="A242">
            <v>12302</v>
          </cell>
          <cell r="B242">
            <v>273668</v>
          </cell>
          <cell r="C242">
            <v>273668</v>
          </cell>
          <cell r="D242">
            <v>273668</v>
          </cell>
        </row>
        <row r="243">
          <cell r="A243">
            <v>12401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12504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12510</v>
          </cell>
          <cell r="B245">
            <v>0</v>
          </cell>
          <cell r="C245">
            <v>0</v>
          </cell>
          <cell r="D245">
            <v>0</v>
          </cell>
        </row>
        <row r="246">
          <cell r="A246">
            <v>12801</v>
          </cell>
          <cell r="B246">
            <v>0</v>
          </cell>
          <cell r="C246">
            <v>0</v>
          </cell>
          <cell r="D246">
            <v>0</v>
          </cell>
        </row>
        <row r="247">
          <cell r="A247">
            <v>12901</v>
          </cell>
          <cell r="B247">
            <v>0</v>
          </cell>
          <cell r="C247">
            <v>0</v>
          </cell>
          <cell r="D247">
            <v>0</v>
          </cell>
        </row>
        <row r="248">
          <cell r="A248">
            <v>13101</v>
          </cell>
          <cell r="B248">
            <v>0</v>
          </cell>
          <cell r="C248">
            <v>0</v>
          </cell>
          <cell r="D248">
            <v>0</v>
          </cell>
        </row>
        <row r="249">
          <cell r="A249">
            <v>13102</v>
          </cell>
          <cell r="B249">
            <v>23</v>
          </cell>
          <cell r="C249">
            <v>23</v>
          </cell>
          <cell r="D249">
            <v>-1551</v>
          </cell>
        </row>
        <row r="250">
          <cell r="A250">
            <v>13103</v>
          </cell>
          <cell r="B250">
            <v>0</v>
          </cell>
          <cell r="C250">
            <v>0</v>
          </cell>
          <cell r="D250">
            <v>0</v>
          </cell>
        </row>
        <row r="251">
          <cell r="A251">
            <v>13104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13105</v>
          </cell>
          <cell r="B252">
            <v>0</v>
          </cell>
          <cell r="C252">
            <v>0</v>
          </cell>
          <cell r="D252">
            <v>0</v>
          </cell>
        </row>
        <row r="253">
          <cell r="A253">
            <v>13106</v>
          </cell>
          <cell r="B253">
            <v>0</v>
          </cell>
          <cell r="C253">
            <v>0</v>
          </cell>
          <cell r="D253">
            <v>0</v>
          </cell>
        </row>
        <row r="254">
          <cell r="A254">
            <v>13107</v>
          </cell>
          <cell r="B254">
            <v>0</v>
          </cell>
          <cell r="C254">
            <v>0</v>
          </cell>
          <cell r="D254">
            <v>0</v>
          </cell>
        </row>
        <row r="255">
          <cell r="A255">
            <v>13108</v>
          </cell>
          <cell r="B255">
            <v>-125906</v>
          </cell>
          <cell r="C255">
            <v>-90105</v>
          </cell>
          <cell r="D255">
            <v>-54757</v>
          </cell>
        </row>
        <row r="256">
          <cell r="A256">
            <v>13109</v>
          </cell>
          <cell r="B256">
            <v>0</v>
          </cell>
          <cell r="C256">
            <v>0</v>
          </cell>
          <cell r="D256">
            <v>0</v>
          </cell>
        </row>
        <row r="257">
          <cell r="A257">
            <v>13110</v>
          </cell>
          <cell r="B257">
            <v>0</v>
          </cell>
          <cell r="C257">
            <v>0</v>
          </cell>
          <cell r="D257">
            <v>0</v>
          </cell>
        </row>
        <row r="258">
          <cell r="A258">
            <v>13111</v>
          </cell>
          <cell r="B258">
            <v>0</v>
          </cell>
          <cell r="C258">
            <v>0</v>
          </cell>
          <cell r="D258">
            <v>0</v>
          </cell>
        </row>
        <row r="259">
          <cell r="A259">
            <v>13115</v>
          </cell>
          <cell r="B259">
            <v>4827696</v>
          </cell>
          <cell r="C259">
            <v>4309686</v>
          </cell>
          <cell r="D259">
            <v>7561049</v>
          </cell>
        </row>
        <row r="260">
          <cell r="A260">
            <v>13116</v>
          </cell>
          <cell r="B260">
            <v>3507183</v>
          </cell>
          <cell r="C260">
            <v>3582543</v>
          </cell>
          <cell r="D260">
            <v>4546549</v>
          </cell>
        </row>
        <row r="261">
          <cell r="A261">
            <v>13117</v>
          </cell>
          <cell r="B261">
            <v>1494512</v>
          </cell>
          <cell r="C261">
            <v>1614264</v>
          </cell>
          <cell r="D261">
            <v>876307</v>
          </cell>
        </row>
        <row r="262">
          <cell r="A262">
            <v>13118</v>
          </cell>
          <cell r="B262">
            <v>-1777837</v>
          </cell>
          <cell r="C262">
            <v>-1436651</v>
          </cell>
          <cell r="D262">
            <v>-1087985</v>
          </cell>
        </row>
        <row r="263">
          <cell r="A263">
            <v>13119</v>
          </cell>
          <cell r="B263">
            <v>-8283141</v>
          </cell>
          <cell r="C263">
            <v>-9763825</v>
          </cell>
          <cell r="D263">
            <v>-13168058</v>
          </cell>
        </row>
        <row r="264">
          <cell r="A264">
            <v>13120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13121</v>
          </cell>
          <cell r="B265">
            <v>0</v>
          </cell>
          <cell r="C265">
            <v>0</v>
          </cell>
          <cell r="D265">
            <v>0</v>
          </cell>
        </row>
        <row r="266">
          <cell r="A266">
            <v>13125</v>
          </cell>
          <cell r="B266">
            <v>357471</v>
          </cell>
          <cell r="C266">
            <v>1784064</v>
          </cell>
          <cell r="D266">
            <v>1306124</v>
          </cell>
        </row>
        <row r="267">
          <cell r="A267">
            <v>13126</v>
          </cell>
          <cell r="B267">
            <v>6876873</v>
          </cell>
          <cell r="C267">
            <v>5233529</v>
          </cell>
          <cell r="D267">
            <v>5688932</v>
          </cell>
        </row>
        <row r="268">
          <cell r="A268">
            <v>13401</v>
          </cell>
          <cell r="B268">
            <v>1533</v>
          </cell>
          <cell r="C268">
            <v>1533</v>
          </cell>
          <cell r="D268">
            <v>1533</v>
          </cell>
        </row>
        <row r="269">
          <cell r="A269">
            <v>13402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13403</v>
          </cell>
          <cell r="B270">
            <v>1850</v>
          </cell>
          <cell r="C270">
            <v>1850</v>
          </cell>
          <cell r="D270">
            <v>1850</v>
          </cell>
        </row>
        <row r="271">
          <cell r="A271">
            <v>13404</v>
          </cell>
          <cell r="B271">
            <v>115781</v>
          </cell>
          <cell r="C271">
            <v>99106</v>
          </cell>
          <cell r="D271">
            <v>82357</v>
          </cell>
        </row>
        <row r="272">
          <cell r="A272">
            <v>13406</v>
          </cell>
          <cell r="B272">
            <v>3400</v>
          </cell>
          <cell r="C272">
            <v>3400</v>
          </cell>
          <cell r="D272">
            <v>3400</v>
          </cell>
        </row>
        <row r="273">
          <cell r="A273">
            <v>13407</v>
          </cell>
          <cell r="B273">
            <v>1000</v>
          </cell>
          <cell r="C273">
            <v>1000</v>
          </cell>
          <cell r="D273">
            <v>1000</v>
          </cell>
        </row>
        <row r="274">
          <cell r="A274">
            <v>13408</v>
          </cell>
          <cell r="B274">
            <v>0</v>
          </cell>
          <cell r="C274">
            <v>0</v>
          </cell>
          <cell r="D274">
            <v>0</v>
          </cell>
        </row>
        <row r="275">
          <cell r="A275">
            <v>13409</v>
          </cell>
          <cell r="B275">
            <v>0</v>
          </cell>
          <cell r="C275">
            <v>0</v>
          </cell>
          <cell r="D275">
            <v>0</v>
          </cell>
        </row>
        <row r="276">
          <cell r="A276">
            <v>13501</v>
          </cell>
          <cell r="B276">
            <v>51600</v>
          </cell>
          <cell r="C276">
            <v>51600</v>
          </cell>
          <cell r="D276">
            <v>53031</v>
          </cell>
        </row>
        <row r="277">
          <cell r="A277">
            <v>13502</v>
          </cell>
          <cell r="B277">
            <v>0</v>
          </cell>
          <cell r="C277">
            <v>0</v>
          </cell>
          <cell r="D277">
            <v>0</v>
          </cell>
        </row>
        <row r="278">
          <cell r="A278">
            <v>13503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13504</v>
          </cell>
          <cell r="B279">
            <v>2715</v>
          </cell>
          <cell r="C279">
            <v>2715</v>
          </cell>
          <cell r="D279">
            <v>2715</v>
          </cell>
        </row>
        <row r="280">
          <cell r="A280">
            <v>13505</v>
          </cell>
          <cell r="B280">
            <v>0</v>
          </cell>
          <cell r="C280">
            <v>0</v>
          </cell>
          <cell r="D280">
            <v>0</v>
          </cell>
        </row>
        <row r="281">
          <cell r="A281">
            <v>13506</v>
          </cell>
          <cell r="B281">
            <v>0</v>
          </cell>
          <cell r="C281">
            <v>0</v>
          </cell>
          <cell r="D281">
            <v>0</v>
          </cell>
        </row>
        <row r="282">
          <cell r="A282">
            <v>13601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13602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13603</v>
          </cell>
          <cell r="B284">
            <v>0</v>
          </cell>
          <cell r="C284">
            <v>0</v>
          </cell>
          <cell r="D284">
            <v>0</v>
          </cell>
        </row>
        <row r="285">
          <cell r="A285">
            <v>13610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13620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13621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14101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14201</v>
          </cell>
          <cell r="B289">
            <v>1810035</v>
          </cell>
          <cell r="C289">
            <v>2040689</v>
          </cell>
          <cell r="D289">
            <v>189887</v>
          </cell>
        </row>
        <row r="290">
          <cell r="A290">
            <v>14202</v>
          </cell>
          <cell r="B290">
            <v>154307475</v>
          </cell>
          <cell r="C290">
            <v>158704923</v>
          </cell>
          <cell r="D290">
            <v>156493685</v>
          </cell>
        </row>
        <row r="291">
          <cell r="A291">
            <v>14203</v>
          </cell>
          <cell r="B291">
            <v>297969</v>
          </cell>
          <cell r="C291">
            <v>285646</v>
          </cell>
          <cell r="D291">
            <v>271850</v>
          </cell>
        </row>
        <row r="292">
          <cell r="A292">
            <v>14204</v>
          </cell>
          <cell r="B292">
            <v>0</v>
          </cell>
          <cell r="C292">
            <v>0</v>
          </cell>
          <cell r="D292">
            <v>0</v>
          </cell>
        </row>
        <row r="293">
          <cell r="A293">
            <v>14205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14301</v>
          </cell>
          <cell r="B294">
            <v>7958962</v>
          </cell>
          <cell r="C294">
            <v>7849412</v>
          </cell>
          <cell r="D294">
            <v>6061783</v>
          </cell>
        </row>
        <row r="295">
          <cell r="A295">
            <v>14302</v>
          </cell>
          <cell r="B295">
            <v>0</v>
          </cell>
          <cell r="C295">
            <v>0</v>
          </cell>
          <cell r="D295">
            <v>732063</v>
          </cell>
        </row>
        <row r="296">
          <cell r="A296">
            <v>14303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14304</v>
          </cell>
          <cell r="B297">
            <v>0</v>
          </cell>
          <cell r="C297">
            <v>0</v>
          </cell>
          <cell r="D297">
            <v>14903</v>
          </cell>
        </row>
        <row r="298">
          <cell r="A298">
            <v>14305</v>
          </cell>
          <cell r="B298">
            <v>9621</v>
          </cell>
          <cell r="C298">
            <v>9219</v>
          </cell>
          <cell r="D298">
            <v>9984</v>
          </cell>
        </row>
        <row r="299">
          <cell r="A299">
            <v>14306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14307</v>
          </cell>
          <cell r="B300">
            <v>2288727</v>
          </cell>
          <cell r="C300">
            <v>1759211</v>
          </cell>
          <cell r="D300">
            <v>290815</v>
          </cell>
        </row>
        <row r="301">
          <cell r="A301">
            <v>14308</v>
          </cell>
          <cell r="B301">
            <v>0</v>
          </cell>
          <cell r="C301">
            <v>0</v>
          </cell>
          <cell r="D301">
            <v>0</v>
          </cell>
        </row>
        <row r="302">
          <cell r="A302">
            <v>14309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14310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14311</v>
          </cell>
          <cell r="B304">
            <v>574</v>
          </cell>
          <cell r="C304">
            <v>287</v>
          </cell>
          <cell r="D304">
            <v>442</v>
          </cell>
        </row>
        <row r="305">
          <cell r="A305">
            <v>14312</v>
          </cell>
          <cell r="B305">
            <v>1278671</v>
          </cell>
          <cell r="C305">
            <v>1899497</v>
          </cell>
          <cell r="D305">
            <v>1707410</v>
          </cell>
        </row>
        <row r="306">
          <cell r="A306">
            <v>14313</v>
          </cell>
          <cell r="B306">
            <v>0</v>
          </cell>
          <cell r="C306">
            <v>704877</v>
          </cell>
          <cell r="D306">
            <v>178059</v>
          </cell>
        </row>
        <row r="307">
          <cell r="A307">
            <v>14314</v>
          </cell>
          <cell r="B307">
            <v>0</v>
          </cell>
          <cell r="C307">
            <v>0</v>
          </cell>
          <cell r="D307">
            <v>1929</v>
          </cell>
        </row>
        <row r="308">
          <cell r="A308">
            <v>14315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14316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14317</v>
          </cell>
          <cell r="B310">
            <v>0</v>
          </cell>
          <cell r="C310">
            <v>0</v>
          </cell>
          <cell r="D310">
            <v>0</v>
          </cell>
        </row>
        <row r="311">
          <cell r="A311">
            <v>14318</v>
          </cell>
          <cell r="B311">
            <v>0</v>
          </cell>
          <cell r="C311">
            <v>5035</v>
          </cell>
          <cell r="D311">
            <v>36486</v>
          </cell>
        </row>
        <row r="312">
          <cell r="A312">
            <v>14319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14320</v>
          </cell>
          <cell r="B313">
            <v>0</v>
          </cell>
          <cell r="C313">
            <v>0</v>
          </cell>
          <cell r="D313">
            <v>0</v>
          </cell>
        </row>
        <row r="314">
          <cell r="A314">
            <v>14321</v>
          </cell>
          <cell r="B314">
            <v>0</v>
          </cell>
          <cell r="C314">
            <v>0</v>
          </cell>
          <cell r="D314">
            <v>114</v>
          </cell>
        </row>
        <row r="315">
          <cell r="A315">
            <v>14322</v>
          </cell>
          <cell r="B315">
            <v>5296</v>
          </cell>
          <cell r="C315">
            <v>2648</v>
          </cell>
          <cell r="D315">
            <v>2778</v>
          </cell>
        </row>
        <row r="316">
          <cell r="A316">
            <v>14323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14324</v>
          </cell>
          <cell r="B317">
            <v>0</v>
          </cell>
          <cell r="C317">
            <v>0</v>
          </cell>
          <cell r="D317">
            <v>0</v>
          </cell>
        </row>
        <row r="318">
          <cell r="A318">
            <v>14325</v>
          </cell>
          <cell r="B318">
            <v>257864</v>
          </cell>
          <cell r="C318">
            <v>281667</v>
          </cell>
          <cell r="D318">
            <v>276667</v>
          </cell>
        </row>
        <row r="319">
          <cell r="A319">
            <v>14326</v>
          </cell>
          <cell r="B319">
            <v>0</v>
          </cell>
          <cell r="C319">
            <v>0</v>
          </cell>
          <cell r="D319">
            <v>323</v>
          </cell>
        </row>
        <row r="320">
          <cell r="A320">
            <v>14327</v>
          </cell>
          <cell r="B320">
            <v>165326</v>
          </cell>
          <cell r="C320">
            <v>334777</v>
          </cell>
          <cell r="D320">
            <v>221776</v>
          </cell>
        </row>
        <row r="321">
          <cell r="A321">
            <v>14328</v>
          </cell>
          <cell r="B321">
            <v>0</v>
          </cell>
          <cell r="C321">
            <v>0</v>
          </cell>
          <cell r="D321">
            <v>0</v>
          </cell>
        </row>
        <row r="322">
          <cell r="A322">
            <v>14329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14330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14331</v>
          </cell>
          <cell r="B324">
            <v>342816</v>
          </cell>
          <cell r="C324">
            <v>472934</v>
          </cell>
          <cell r="D324">
            <v>799611</v>
          </cell>
        </row>
        <row r="325">
          <cell r="A325">
            <v>14332</v>
          </cell>
          <cell r="B325">
            <v>330852</v>
          </cell>
          <cell r="C325">
            <v>381061</v>
          </cell>
          <cell r="D325">
            <v>436849</v>
          </cell>
        </row>
        <row r="326">
          <cell r="A326">
            <v>14333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14334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14335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14336</v>
          </cell>
          <cell r="B329">
            <v>0</v>
          </cell>
          <cell r="C329">
            <v>-20359</v>
          </cell>
          <cell r="D329">
            <v>902</v>
          </cell>
        </row>
        <row r="330">
          <cell r="A330">
            <v>14337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14338</v>
          </cell>
          <cell r="B331">
            <v>583023</v>
          </cell>
          <cell r="C331">
            <v>578813</v>
          </cell>
          <cell r="D331">
            <v>670817</v>
          </cell>
        </row>
        <row r="332">
          <cell r="A332">
            <v>14339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14340</v>
          </cell>
          <cell r="B333">
            <v>0</v>
          </cell>
          <cell r="C333">
            <v>0</v>
          </cell>
          <cell r="D333">
            <v>81</v>
          </cell>
        </row>
        <row r="334">
          <cell r="A334">
            <v>14341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14342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14343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14344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14345</v>
          </cell>
          <cell r="B338">
            <v>3250</v>
          </cell>
          <cell r="C338">
            <v>1625</v>
          </cell>
          <cell r="D338">
            <v>700</v>
          </cell>
        </row>
        <row r="339">
          <cell r="A339">
            <v>14346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14347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14348</v>
          </cell>
          <cell r="B341">
            <v>0</v>
          </cell>
          <cell r="C341">
            <v>0</v>
          </cell>
          <cell r="D341">
            <v>0</v>
          </cell>
        </row>
        <row r="342">
          <cell r="A342">
            <v>14349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14350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14351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14352</v>
          </cell>
          <cell r="B345">
            <v>17456</v>
          </cell>
          <cell r="C345">
            <v>16785</v>
          </cell>
          <cell r="D345">
            <v>15614</v>
          </cell>
        </row>
        <row r="346">
          <cell r="A346">
            <v>14353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14355</v>
          </cell>
          <cell r="B347">
            <v>0</v>
          </cell>
          <cell r="C347">
            <v>0</v>
          </cell>
          <cell r="D347">
            <v>0</v>
          </cell>
        </row>
        <row r="348">
          <cell r="A348">
            <v>14356</v>
          </cell>
          <cell r="B348">
            <v>0</v>
          </cell>
          <cell r="C348">
            <v>0</v>
          </cell>
          <cell r="D348">
            <v>0</v>
          </cell>
        </row>
        <row r="349">
          <cell r="A349">
            <v>14357</v>
          </cell>
          <cell r="B349">
            <v>0</v>
          </cell>
          <cell r="C349">
            <v>0</v>
          </cell>
          <cell r="D349">
            <v>0</v>
          </cell>
        </row>
        <row r="350">
          <cell r="A350">
            <v>14358</v>
          </cell>
          <cell r="B350">
            <v>0</v>
          </cell>
          <cell r="C350">
            <v>0</v>
          </cell>
          <cell r="D350">
            <v>0</v>
          </cell>
        </row>
        <row r="351">
          <cell r="A351">
            <v>14360</v>
          </cell>
          <cell r="B351">
            <v>0</v>
          </cell>
          <cell r="C351">
            <v>0</v>
          </cell>
          <cell r="D351">
            <v>0</v>
          </cell>
        </row>
        <row r="352">
          <cell r="A352">
            <v>14361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14362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14363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14364</v>
          </cell>
          <cell r="B355">
            <v>2215096</v>
          </cell>
          <cell r="C355">
            <v>1107548</v>
          </cell>
          <cell r="D355">
            <v>656935</v>
          </cell>
        </row>
        <row r="356">
          <cell r="A356">
            <v>14365</v>
          </cell>
          <cell r="B356">
            <v>0</v>
          </cell>
          <cell r="C356">
            <v>0</v>
          </cell>
          <cell r="D356">
            <v>0</v>
          </cell>
        </row>
        <row r="357">
          <cell r="A357">
            <v>14366</v>
          </cell>
          <cell r="B357">
            <v>0</v>
          </cell>
          <cell r="C357">
            <v>0</v>
          </cell>
          <cell r="D357">
            <v>0</v>
          </cell>
        </row>
        <row r="358">
          <cell r="A358">
            <v>14367</v>
          </cell>
          <cell r="B358">
            <v>0</v>
          </cell>
          <cell r="C358">
            <v>0</v>
          </cell>
          <cell r="D358">
            <v>0</v>
          </cell>
        </row>
        <row r="359">
          <cell r="A359">
            <v>14368</v>
          </cell>
          <cell r="B359">
            <v>0</v>
          </cell>
          <cell r="C359">
            <v>0</v>
          </cell>
          <cell r="D359">
            <v>14295</v>
          </cell>
        </row>
        <row r="360">
          <cell r="A360">
            <v>14369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14370</v>
          </cell>
          <cell r="B361">
            <v>0</v>
          </cell>
          <cell r="C361">
            <v>0</v>
          </cell>
          <cell r="D361">
            <v>0</v>
          </cell>
        </row>
        <row r="362">
          <cell r="A362">
            <v>14371</v>
          </cell>
          <cell r="B362">
            <v>0</v>
          </cell>
          <cell r="C362">
            <v>0</v>
          </cell>
          <cell r="D362">
            <v>0</v>
          </cell>
        </row>
        <row r="363">
          <cell r="A363">
            <v>14372</v>
          </cell>
          <cell r="B363">
            <v>0</v>
          </cell>
          <cell r="C363">
            <v>0</v>
          </cell>
          <cell r="D363">
            <v>0</v>
          </cell>
        </row>
        <row r="364">
          <cell r="A364">
            <v>14373</v>
          </cell>
          <cell r="B364">
            <v>0</v>
          </cell>
          <cell r="C364">
            <v>0</v>
          </cell>
          <cell r="D364">
            <v>23919</v>
          </cell>
        </row>
        <row r="365">
          <cell r="A365">
            <v>14374</v>
          </cell>
          <cell r="B365">
            <v>3840</v>
          </cell>
          <cell r="C365">
            <v>3450</v>
          </cell>
          <cell r="D365">
            <v>5951</v>
          </cell>
        </row>
        <row r="366">
          <cell r="A366">
            <v>14375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14376</v>
          </cell>
          <cell r="B367">
            <v>4101</v>
          </cell>
          <cell r="C367">
            <v>4110</v>
          </cell>
          <cell r="D367">
            <v>2216</v>
          </cell>
        </row>
        <row r="368">
          <cell r="A368">
            <v>14377</v>
          </cell>
          <cell r="B368">
            <v>3658</v>
          </cell>
          <cell r="C368">
            <v>3500</v>
          </cell>
          <cell r="D368">
            <v>2368</v>
          </cell>
        </row>
        <row r="369">
          <cell r="A369">
            <v>14400</v>
          </cell>
          <cell r="B369">
            <v>-802150</v>
          </cell>
          <cell r="C369">
            <v>-781293</v>
          </cell>
          <cell r="D369">
            <v>-1350767</v>
          </cell>
        </row>
        <row r="370">
          <cell r="A370">
            <v>14422</v>
          </cell>
          <cell r="B370">
            <v>-145355</v>
          </cell>
          <cell r="C370">
            <v>-145355</v>
          </cell>
          <cell r="D370">
            <v>-145355</v>
          </cell>
        </row>
        <row r="371">
          <cell r="A371">
            <v>14501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14601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14602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14603</v>
          </cell>
          <cell r="B374">
            <v>2265</v>
          </cell>
          <cell r="C374">
            <v>1471</v>
          </cell>
          <cell r="D374">
            <v>1497</v>
          </cell>
        </row>
        <row r="375">
          <cell r="A375">
            <v>14604</v>
          </cell>
          <cell r="B375">
            <v>0</v>
          </cell>
          <cell r="C375">
            <v>0</v>
          </cell>
          <cell r="D375">
            <v>42</v>
          </cell>
        </row>
        <row r="376">
          <cell r="A376">
            <v>14605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14606</v>
          </cell>
          <cell r="B377">
            <v>0</v>
          </cell>
          <cell r="C377">
            <v>0</v>
          </cell>
          <cell r="D377">
            <v>0</v>
          </cell>
        </row>
        <row r="378">
          <cell r="A378">
            <v>14607</v>
          </cell>
          <cell r="B378">
            <v>2487</v>
          </cell>
          <cell r="C378">
            <v>2405</v>
          </cell>
          <cell r="D378">
            <v>1000</v>
          </cell>
        </row>
        <row r="379">
          <cell r="A379">
            <v>14608</v>
          </cell>
          <cell r="B379">
            <v>0</v>
          </cell>
          <cell r="C379">
            <v>0</v>
          </cell>
          <cell r="D379">
            <v>0</v>
          </cell>
        </row>
        <row r="380">
          <cell r="A380">
            <v>14609</v>
          </cell>
          <cell r="B380">
            <v>288843</v>
          </cell>
          <cell r="C380">
            <v>277530</v>
          </cell>
          <cell r="D380">
            <v>353196</v>
          </cell>
        </row>
        <row r="381">
          <cell r="A381">
            <v>14610</v>
          </cell>
          <cell r="B381">
            <v>0</v>
          </cell>
          <cell r="C381">
            <v>0</v>
          </cell>
          <cell r="D381">
            <v>0</v>
          </cell>
        </row>
        <row r="382">
          <cell r="A382">
            <v>14611</v>
          </cell>
          <cell r="B382">
            <v>62216</v>
          </cell>
          <cell r="C382">
            <v>64776</v>
          </cell>
          <cell r="D382">
            <v>72180</v>
          </cell>
        </row>
        <row r="383">
          <cell r="A383">
            <v>14612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14613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14614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14615</v>
          </cell>
          <cell r="B386">
            <v>0</v>
          </cell>
          <cell r="C386">
            <v>0</v>
          </cell>
          <cell r="D386">
            <v>0</v>
          </cell>
        </row>
        <row r="387">
          <cell r="A387">
            <v>14616</v>
          </cell>
          <cell r="B387">
            <v>22230</v>
          </cell>
          <cell r="C387">
            <v>20685</v>
          </cell>
          <cell r="D387">
            <v>60952</v>
          </cell>
        </row>
        <row r="388">
          <cell r="A388">
            <v>14617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14618</v>
          </cell>
          <cell r="B389">
            <v>0</v>
          </cell>
          <cell r="C389">
            <v>0</v>
          </cell>
          <cell r="D389">
            <v>0</v>
          </cell>
        </row>
        <row r="390">
          <cell r="A390">
            <v>14619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14620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14621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14622</v>
          </cell>
          <cell r="B393">
            <v>0</v>
          </cell>
          <cell r="C393">
            <v>0</v>
          </cell>
          <cell r="D393">
            <v>0</v>
          </cell>
        </row>
        <row r="394">
          <cell r="A394">
            <v>14623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14624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14625</v>
          </cell>
          <cell r="B396">
            <v>0</v>
          </cell>
          <cell r="C396">
            <v>0</v>
          </cell>
          <cell r="D396">
            <v>0</v>
          </cell>
        </row>
        <row r="397">
          <cell r="A397">
            <v>14626</v>
          </cell>
          <cell r="B397">
            <v>0</v>
          </cell>
          <cell r="C397">
            <v>0</v>
          </cell>
          <cell r="D397">
            <v>0</v>
          </cell>
        </row>
        <row r="398">
          <cell r="A398">
            <v>14627</v>
          </cell>
          <cell r="B398">
            <v>0</v>
          </cell>
          <cell r="C398">
            <v>0</v>
          </cell>
          <cell r="D398">
            <v>0</v>
          </cell>
        </row>
        <row r="399">
          <cell r="A399">
            <v>14628</v>
          </cell>
          <cell r="B399">
            <v>0</v>
          </cell>
          <cell r="C399">
            <v>0</v>
          </cell>
          <cell r="D399">
            <v>0</v>
          </cell>
        </row>
        <row r="400">
          <cell r="A400">
            <v>14629</v>
          </cell>
          <cell r="B400">
            <v>35997</v>
          </cell>
          <cell r="C400">
            <v>41557</v>
          </cell>
          <cell r="D400">
            <v>44454</v>
          </cell>
        </row>
        <row r="401">
          <cell r="A401">
            <v>14630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14631</v>
          </cell>
          <cell r="B402">
            <v>0</v>
          </cell>
          <cell r="C402">
            <v>0</v>
          </cell>
          <cell r="D402">
            <v>0</v>
          </cell>
        </row>
        <row r="403">
          <cell r="A403">
            <v>14632</v>
          </cell>
          <cell r="B403">
            <v>0</v>
          </cell>
          <cell r="C403">
            <v>0</v>
          </cell>
          <cell r="D403">
            <v>0</v>
          </cell>
        </row>
        <row r="404">
          <cell r="A404">
            <v>14633</v>
          </cell>
          <cell r="B404">
            <v>0</v>
          </cell>
          <cell r="C404">
            <v>0</v>
          </cell>
          <cell r="D404">
            <v>0</v>
          </cell>
        </row>
        <row r="405">
          <cell r="A405">
            <v>14634</v>
          </cell>
          <cell r="B405">
            <v>0</v>
          </cell>
          <cell r="C405">
            <v>0</v>
          </cell>
          <cell r="D405">
            <v>0</v>
          </cell>
        </row>
        <row r="406">
          <cell r="A406">
            <v>14635</v>
          </cell>
          <cell r="B406">
            <v>0</v>
          </cell>
          <cell r="C406">
            <v>0</v>
          </cell>
          <cell r="D406">
            <v>0</v>
          </cell>
        </row>
        <row r="407">
          <cell r="A407">
            <v>14636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14637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14638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14639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14640</v>
          </cell>
          <cell r="B411">
            <v>0</v>
          </cell>
          <cell r="C411">
            <v>0</v>
          </cell>
          <cell r="D411">
            <v>0</v>
          </cell>
        </row>
        <row r="412">
          <cell r="A412">
            <v>14641</v>
          </cell>
          <cell r="B412">
            <v>35</v>
          </cell>
          <cell r="C412">
            <v>35</v>
          </cell>
          <cell r="D412">
            <v>35</v>
          </cell>
        </row>
        <row r="413">
          <cell r="A413">
            <v>14642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14647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14650</v>
          </cell>
          <cell r="B415">
            <v>8127992</v>
          </cell>
          <cell r="C415">
            <v>7078947</v>
          </cell>
          <cell r="D415">
            <v>7128110</v>
          </cell>
        </row>
        <row r="416">
          <cell r="A416">
            <v>14651</v>
          </cell>
          <cell r="B416">
            <v>0</v>
          </cell>
          <cell r="C416">
            <v>87357</v>
          </cell>
          <cell r="D416">
            <v>159014</v>
          </cell>
        </row>
        <row r="417">
          <cell r="A417">
            <v>14652</v>
          </cell>
          <cell r="B417">
            <v>1372</v>
          </cell>
          <cell r="C417">
            <v>1226</v>
          </cell>
          <cell r="D417">
            <v>1472</v>
          </cell>
        </row>
        <row r="418">
          <cell r="A418">
            <v>14653</v>
          </cell>
          <cell r="B418">
            <v>0</v>
          </cell>
          <cell r="C418">
            <v>0</v>
          </cell>
          <cell r="D418">
            <v>0</v>
          </cell>
        </row>
        <row r="419">
          <cell r="A419">
            <v>14654</v>
          </cell>
          <cell r="B419">
            <v>0</v>
          </cell>
          <cell r="C419">
            <v>0</v>
          </cell>
          <cell r="D419">
            <v>0</v>
          </cell>
        </row>
        <row r="420">
          <cell r="A420">
            <v>14655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14657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14658</v>
          </cell>
          <cell r="B422">
            <v>58271</v>
          </cell>
          <cell r="C422">
            <v>60290</v>
          </cell>
          <cell r="D422">
            <v>54747</v>
          </cell>
        </row>
        <row r="423">
          <cell r="A423">
            <v>14660</v>
          </cell>
          <cell r="B423">
            <v>24068</v>
          </cell>
          <cell r="C423">
            <v>39392</v>
          </cell>
          <cell r="D423">
            <v>161864</v>
          </cell>
        </row>
        <row r="424">
          <cell r="A424">
            <v>14662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14663</v>
          </cell>
          <cell r="B425">
            <v>13632</v>
          </cell>
          <cell r="C425">
            <v>15413</v>
          </cell>
          <cell r="D425">
            <v>11611</v>
          </cell>
        </row>
        <row r="426">
          <cell r="A426">
            <v>14664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14665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14666</v>
          </cell>
          <cell r="B428">
            <v>0</v>
          </cell>
          <cell r="C428">
            <v>0</v>
          </cell>
          <cell r="D428">
            <v>431</v>
          </cell>
        </row>
        <row r="429">
          <cell r="A429">
            <v>14667</v>
          </cell>
          <cell r="B429">
            <v>0</v>
          </cell>
          <cell r="C429">
            <v>0</v>
          </cell>
          <cell r="D429">
            <v>0</v>
          </cell>
        </row>
        <row r="430">
          <cell r="A430">
            <v>14668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14669</v>
          </cell>
          <cell r="B431">
            <v>0</v>
          </cell>
          <cell r="C431">
            <v>0</v>
          </cell>
          <cell r="D431">
            <v>9627</v>
          </cell>
        </row>
        <row r="432">
          <cell r="A432">
            <v>14670</v>
          </cell>
          <cell r="B432">
            <v>2652</v>
          </cell>
          <cell r="C432">
            <v>1904</v>
          </cell>
          <cell r="D432">
            <v>6735</v>
          </cell>
        </row>
        <row r="433">
          <cell r="A433">
            <v>14671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14672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14673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14699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15110</v>
          </cell>
          <cell r="B437">
            <v>87043460</v>
          </cell>
          <cell r="C437">
            <v>83370924</v>
          </cell>
          <cell r="D437">
            <v>87372697</v>
          </cell>
        </row>
        <row r="438">
          <cell r="A438">
            <v>15111</v>
          </cell>
          <cell r="B438">
            <v>28030</v>
          </cell>
          <cell r="C438">
            <v>28030</v>
          </cell>
          <cell r="D438">
            <v>394381</v>
          </cell>
        </row>
        <row r="439">
          <cell r="A439">
            <v>15112</v>
          </cell>
          <cell r="B439">
            <v>7176458</v>
          </cell>
          <cell r="C439">
            <v>7008310</v>
          </cell>
          <cell r="D439">
            <v>6625153</v>
          </cell>
        </row>
        <row r="440">
          <cell r="A440">
            <v>15113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15114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15117</v>
          </cell>
          <cell r="B442">
            <v>1741005</v>
          </cell>
          <cell r="C442">
            <v>2506628</v>
          </cell>
          <cell r="D442">
            <v>2419202</v>
          </cell>
        </row>
        <row r="443">
          <cell r="A443">
            <v>15118</v>
          </cell>
          <cell r="B443">
            <v>15692</v>
          </cell>
          <cell r="C443">
            <v>22936</v>
          </cell>
          <cell r="D443">
            <v>23294</v>
          </cell>
        </row>
        <row r="444">
          <cell r="A444">
            <v>15119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15207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15209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15214</v>
          </cell>
          <cell r="B447">
            <v>0</v>
          </cell>
          <cell r="C447">
            <v>0</v>
          </cell>
          <cell r="D447">
            <v>11</v>
          </cell>
        </row>
        <row r="448">
          <cell r="A448">
            <v>15215</v>
          </cell>
          <cell r="B448">
            <v>0</v>
          </cell>
          <cell r="C448">
            <v>0</v>
          </cell>
          <cell r="D448">
            <v>22</v>
          </cell>
        </row>
        <row r="449">
          <cell r="A449">
            <v>15216</v>
          </cell>
          <cell r="B449">
            <v>0</v>
          </cell>
          <cell r="C449">
            <v>0</v>
          </cell>
          <cell r="D449">
            <v>159</v>
          </cell>
        </row>
        <row r="450">
          <cell r="A450">
            <v>15217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15218</v>
          </cell>
          <cell r="B451">
            <v>0</v>
          </cell>
          <cell r="C451">
            <v>0</v>
          </cell>
          <cell r="D451">
            <v>26</v>
          </cell>
        </row>
        <row r="452">
          <cell r="A452">
            <v>15234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15235</v>
          </cell>
          <cell r="B453">
            <v>0</v>
          </cell>
          <cell r="C453">
            <v>0</v>
          </cell>
          <cell r="D453">
            <v>0</v>
          </cell>
        </row>
        <row r="454">
          <cell r="A454">
            <v>15236</v>
          </cell>
          <cell r="B454">
            <v>0</v>
          </cell>
          <cell r="C454">
            <v>0</v>
          </cell>
          <cell r="D454">
            <v>283</v>
          </cell>
        </row>
        <row r="455">
          <cell r="A455">
            <v>15301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15302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15306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15311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15312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15314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15320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15324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15401</v>
          </cell>
          <cell r="B463">
            <v>49289731</v>
          </cell>
          <cell r="C463">
            <v>50034767</v>
          </cell>
          <cell r="D463">
            <v>53327743</v>
          </cell>
        </row>
        <row r="464">
          <cell r="A464">
            <v>15402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15403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15404</v>
          </cell>
          <cell r="B466">
            <v>0</v>
          </cell>
          <cell r="C466">
            <v>0</v>
          </cell>
          <cell r="D466">
            <v>0</v>
          </cell>
        </row>
        <row r="467">
          <cell r="A467">
            <v>15405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15406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15407</v>
          </cell>
          <cell r="B469">
            <v>0</v>
          </cell>
          <cell r="C469">
            <v>0</v>
          </cell>
          <cell r="D469">
            <v>0</v>
          </cell>
        </row>
        <row r="470">
          <cell r="A470">
            <v>15410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15411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15412</v>
          </cell>
          <cell r="B472">
            <v>0</v>
          </cell>
          <cell r="C472">
            <v>0</v>
          </cell>
          <cell r="D472">
            <v>0</v>
          </cell>
        </row>
        <row r="473">
          <cell r="A473">
            <v>15421</v>
          </cell>
          <cell r="B473">
            <v>3531964</v>
          </cell>
          <cell r="C473">
            <v>3352907</v>
          </cell>
          <cell r="D473">
            <v>2130019</v>
          </cell>
        </row>
        <row r="474">
          <cell r="A474">
            <v>15425</v>
          </cell>
          <cell r="B474">
            <v>0</v>
          </cell>
          <cell r="C474">
            <v>0</v>
          </cell>
          <cell r="D474">
            <v>0</v>
          </cell>
        </row>
        <row r="475">
          <cell r="A475">
            <v>15449</v>
          </cell>
          <cell r="B475">
            <v>0</v>
          </cell>
          <cell r="C475">
            <v>0</v>
          </cell>
          <cell r="D475">
            <v>-617</v>
          </cell>
        </row>
        <row r="476">
          <cell r="A476">
            <v>15459</v>
          </cell>
          <cell r="B476">
            <v>0</v>
          </cell>
          <cell r="C476">
            <v>0</v>
          </cell>
          <cell r="D476">
            <v>0</v>
          </cell>
        </row>
        <row r="477">
          <cell r="A477">
            <v>15470</v>
          </cell>
          <cell r="B477">
            <v>0</v>
          </cell>
          <cell r="C477">
            <v>0</v>
          </cell>
          <cell r="D477">
            <v>617</v>
          </cell>
        </row>
        <row r="478">
          <cell r="A478">
            <v>15600</v>
          </cell>
          <cell r="B478">
            <v>0</v>
          </cell>
          <cell r="C478">
            <v>0</v>
          </cell>
          <cell r="D478">
            <v>0</v>
          </cell>
        </row>
        <row r="479">
          <cell r="A479">
            <v>15810</v>
          </cell>
          <cell r="B479">
            <v>0</v>
          </cell>
          <cell r="C479">
            <v>0</v>
          </cell>
          <cell r="D479">
            <v>0</v>
          </cell>
        </row>
        <row r="480">
          <cell r="A480">
            <v>15820</v>
          </cell>
          <cell r="B480">
            <v>0</v>
          </cell>
          <cell r="C480">
            <v>0</v>
          </cell>
          <cell r="D480">
            <v>0</v>
          </cell>
        </row>
        <row r="481">
          <cell r="A481">
            <v>15825</v>
          </cell>
          <cell r="B481">
            <v>0</v>
          </cell>
          <cell r="C481">
            <v>0</v>
          </cell>
          <cell r="D481">
            <v>0</v>
          </cell>
        </row>
        <row r="482">
          <cell r="A482">
            <v>16300</v>
          </cell>
          <cell r="B482">
            <v>0</v>
          </cell>
          <cell r="C482">
            <v>0</v>
          </cell>
          <cell r="D482">
            <v>0</v>
          </cell>
        </row>
        <row r="483">
          <cell r="A483">
            <v>16301</v>
          </cell>
          <cell r="B483">
            <v>0</v>
          </cell>
          <cell r="C483">
            <v>0</v>
          </cell>
          <cell r="D483">
            <v>0</v>
          </cell>
        </row>
        <row r="484">
          <cell r="A484">
            <v>16302</v>
          </cell>
          <cell r="B484">
            <v>0</v>
          </cell>
          <cell r="C484">
            <v>0</v>
          </cell>
          <cell r="D484">
            <v>0</v>
          </cell>
        </row>
        <row r="485">
          <cell r="A485">
            <v>16303</v>
          </cell>
          <cell r="B485">
            <v>0</v>
          </cell>
          <cell r="C485">
            <v>0</v>
          </cell>
          <cell r="D485">
            <v>0</v>
          </cell>
        </row>
        <row r="486">
          <cell r="A486">
            <v>16304</v>
          </cell>
          <cell r="B486">
            <v>0</v>
          </cell>
          <cell r="C486">
            <v>0</v>
          </cell>
          <cell r="D486">
            <v>0</v>
          </cell>
        </row>
        <row r="487">
          <cell r="A487">
            <v>16305</v>
          </cell>
          <cell r="B487">
            <v>0</v>
          </cell>
          <cell r="C487">
            <v>0</v>
          </cell>
          <cell r="D487">
            <v>0</v>
          </cell>
        </row>
        <row r="488">
          <cell r="A488">
            <v>16306</v>
          </cell>
          <cell r="B488">
            <v>0</v>
          </cell>
          <cell r="C488">
            <v>0</v>
          </cell>
          <cell r="D488">
            <v>0</v>
          </cell>
        </row>
        <row r="489">
          <cell r="A489">
            <v>16307</v>
          </cell>
          <cell r="B489">
            <v>0</v>
          </cell>
          <cell r="C489">
            <v>0</v>
          </cell>
          <cell r="D489">
            <v>0</v>
          </cell>
        </row>
        <row r="490">
          <cell r="A490">
            <v>16309</v>
          </cell>
          <cell r="B490">
            <v>0</v>
          </cell>
          <cell r="C490">
            <v>0</v>
          </cell>
          <cell r="D490">
            <v>0</v>
          </cell>
        </row>
        <row r="491">
          <cell r="A491">
            <v>16310</v>
          </cell>
          <cell r="B491">
            <v>0</v>
          </cell>
          <cell r="C491">
            <v>0</v>
          </cell>
          <cell r="D491">
            <v>0</v>
          </cell>
        </row>
        <row r="492">
          <cell r="A492">
            <v>16311</v>
          </cell>
          <cell r="B492">
            <v>0</v>
          </cell>
          <cell r="C492">
            <v>0</v>
          </cell>
          <cell r="D492">
            <v>0</v>
          </cell>
        </row>
        <row r="493">
          <cell r="A493">
            <v>16312</v>
          </cell>
          <cell r="B493">
            <v>0</v>
          </cell>
          <cell r="C493">
            <v>0</v>
          </cell>
          <cell r="D493">
            <v>0</v>
          </cell>
        </row>
        <row r="494">
          <cell r="A494">
            <v>16340</v>
          </cell>
          <cell r="B494">
            <v>-641811</v>
          </cell>
          <cell r="C494">
            <v>-857714</v>
          </cell>
          <cell r="D494">
            <v>-286162</v>
          </cell>
        </row>
        <row r="495">
          <cell r="A495">
            <v>16341</v>
          </cell>
          <cell r="B495">
            <v>8115</v>
          </cell>
          <cell r="C495">
            <v>8372</v>
          </cell>
          <cell r="D495">
            <v>33431</v>
          </cell>
        </row>
        <row r="496">
          <cell r="A496">
            <v>16342</v>
          </cell>
          <cell r="B496">
            <v>134387</v>
          </cell>
          <cell r="C496">
            <v>178118</v>
          </cell>
          <cell r="D496">
            <v>-134117</v>
          </cell>
        </row>
        <row r="497">
          <cell r="A497">
            <v>16343</v>
          </cell>
          <cell r="B497">
            <v>-906</v>
          </cell>
          <cell r="C497">
            <v>4211</v>
          </cell>
          <cell r="D497">
            <v>-78179</v>
          </cell>
        </row>
        <row r="498">
          <cell r="A498">
            <v>16344</v>
          </cell>
          <cell r="B498">
            <v>-3824</v>
          </cell>
          <cell r="C498">
            <v>-418</v>
          </cell>
          <cell r="D498">
            <v>-337333</v>
          </cell>
        </row>
        <row r="499">
          <cell r="A499">
            <v>16345</v>
          </cell>
          <cell r="B499">
            <v>-2852</v>
          </cell>
          <cell r="C499">
            <v>-940</v>
          </cell>
          <cell r="D499">
            <v>18969</v>
          </cell>
        </row>
        <row r="500">
          <cell r="A500">
            <v>16346</v>
          </cell>
          <cell r="B500">
            <v>4369</v>
          </cell>
          <cell r="C500">
            <v>10233</v>
          </cell>
          <cell r="D500">
            <v>-46430</v>
          </cell>
        </row>
        <row r="501">
          <cell r="A501">
            <v>16347</v>
          </cell>
          <cell r="B501">
            <v>22650</v>
          </cell>
          <cell r="C501">
            <v>24379</v>
          </cell>
          <cell r="D501">
            <v>36201</v>
          </cell>
        </row>
        <row r="502">
          <cell r="A502">
            <v>16348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16349</v>
          </cell>
          <cell r="B503">
            <v>176813</v>
          </cell>
          <cell r="C503">
            <v>173605</v>
          </cell>
          <cell r="D503">
            <v>289882</v>
          </cell>
        </row>
        <row r="504">
          <cell r="A504">
            <v>16350</v>
          </cell>
          <cell r="B504">
            <v>-9630</v>
          </cell>
          <cell r="C504">
            <v>-6484</v>
          </cell>
          <cell r="D504">
            <v>-58567</v>
          </cell>
        </row>
        <row r="505">
          <cell r="A505">
            <v>16351</v>
          </cell>
          <cell r="B505">
            <v>-509</v>
          </cell>
          <cell r="C505">
            <v>-204</v>
          </cell>
          <cell r="D505">
            <v>993</v>
          </cell>
        </row>
        <row r="506">
          <cell r="A506">
            <v>16352</v>
          </cell>
          <cell r="B506">
            <v>91549</v>
          </cell>
          <cell r="C506">
            <v>94303</v>
          </cell>
          <cell r="D506">
            <v>-20347</v>
          </cell>
        </row>
        <row r="507">
          <cell r="A507">
            <v>16353</v>
          </cell>
          <cell r="B507">
            <v>74313</v>
          </cell>
          <cell r="C507">
            <v>72044</v>
          </cell>
          <cell r="D507">
            <v>557899</v>
          </cell>
        </row>
        <row r="508">
          <cell r="A508">
            <v>16354</v>
          </cell>
          <cell r="B508">
            <v>-1373</v>
          </cell>
          <cell r="C508">
            <v>-803</v>
          </cell>
          <cell r="D508">
            <v>2777</v>
          </cell>
        </row>
        <row r="509">
          <cell r="A509">
            <v>16355</v>
          </cell>
          <cell r="B509">
            <v>49551</v>
          </cell>
          <cell r="C509">
            <v>174126</v>
          </cell>
          <cell r="D509">
            <v>26193</v>
          </cell>
        </row>
        <row r="510">
          <cell r="A510">
            <v>16356</v>
          </cell>
          <cell r="B510">
            <v>23850</v>
          </cell>
          <cell r="C510">
            <v>19914</v>
          </cell>
          <cell r="D510">
            <v>27835</v>
          </cell>
        </row>
        <row r="511">
          <cell r="A511">
            <v>16357</v>
          </cell>
          <cell r="B511">
            <v>836</v>
          </cell>
          <cell r="C511">
            <v>651</v>
          </cell>
          <cell r="D511">
            <v>1438</v>
          </cell>
        </row>
        <row r="512">
          <cell r="A512">
            <v>16358</v>
          </cell>
          <cell r="B512">
            <v>-38490</v>
          </cell>
          <cell r="C512">
            <v>-29552</v>
          </cell>
          <cell r="D512">
            <v>26833</v>
          </cell>
        </row>
        <row r="513">
          <cell r="A513">
            <v>16359</v>
          </cell>
          <cell r="B513">
            <v>90751</v>
          </cell>
          <cell r="C513">
            <v>115256</v>
          </cell>
          <cell r="D513">
            <v>-103133</v>
          </cell>
        </row>
        <row r="514">
          <cell r="A514">
            <v>16360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16361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16362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16363</v>
          </cell>
          <cell r="B517">
            <v>12292</v>
          </cell>
          <cell r="C517">
            <v>11581</v>
          </cell>
          <cell r="D517">
            <v>21668</v>
          </cell>
        </row>
        <row r="518">
          <cell r="A518">
            <v>16364</v>
          </cell>
          <cell r="B518">
            <v>8892</v>
          </cell>
          <cell r="C518">
            <v>8417</v>
          </cell>
          <cell r="D518">
            <v>13975</v>
          </cell>
        </row>
        <row r="519">
          <cell r="A519">
            <v>16365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16366</v>
          </cell>
          <cell r="B520">
            <v>1029</v>
          </cell>
          <cell r="C520">
            <v>906</v>
          </cell>
          <cell r="D520">
            <v>6173</v>
          </cell>
        </row>
        <row r="521">
          <cell r="A521">
            <v>16367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16368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16369</v>
          </cell>
          <cell r="B523">
            <v>0</v>
          </cell>
          <cell r="C523">
            <v>0</v>
          </cell>
          <cell r="D523">
            <v>0</v>
          </cell>
        </row>
        <row r="524">
          <cell r="A524">
            <v>16370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16371</v>
          </cell>
          <cell r="B525">
            <v>0</v>
          </cell>
          <cell r="C525">
            <v>0</v>
          </cell>
          <cell r="D525">
            <v>0</v>
          </cell>
        </row>
        <row r="526">
          <cell r="A526">
            <v>16372</v>
          </cell>
          <cell r="B526">
            <v>0</v>
          </cell>
          <cell r="C526">
            <v>0</v>
          </cell>
          <cell r="D526">
            <v>0</v>
          </cell>
        </row>
        <row r="527">
          <cell r="A527">
            <v>16373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16374</v>
          </cell>
          <cell r="B528">
            <v>0</v>
          </cell>
          <cell r="C528">
            <v>0</v>
          </cell>
          <cell r="D528">
            <v>0</v>
          </cell>
        </row>
        <row r="529">
          <cell r="A529">
            <v>16375</v>
          </cell>
          <cell r="B529">
            <v>0</v>
          </cell>
          <cell r="C529">
            <v>0</v>
          </cell>
          <cell r="D529">
            <v>0</v>
          </cell>
        </row>
        <row r="530">
          <cell r="A530">
            <v>16376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16377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16378</v>
          </cell>
          <cell r="B532">
            <v>0</v>
          </cell>
          <cell r="C532">
            <v>0</v>
          </cell>
          <cell r="D532">
            <v>0</v>
          </cell>
        </row>
        <row r="533">
          <cell r="A533">
            <v>16379</v>
          </cell>
          <cell r="B533">
            <v>0</v>
          </cell>
          <cell r="C533">
            <v>0</v>
          </cell>
          <cell r="D533">
            <v>0</v>
          </cell>
        </row>
        <row r="534">
          <cell r="A534">
            <v>16380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16381</v>
          </cell>
          <cell r="B535">
            <v>0</v>
          </cell>
          <cell r="C535">
            <v>0</v>
          </cell>
          <cell r="D535">
            <v>0</v>
          </cell>
        </row>
        <row r="536">
          <cell r="A536">
            <v>16382</v>
          </cell>
          <cell r="B536">
            <v>0</v>
          </cell>
          <cell r="C536">
            <v>0</v>
          </cell>
          <cell r="D536">
            <v>0</v>
          </cell>
        </row>
        <row r="537">
          <cell r="A537">
            <v>16383</v>
          </cell>
          <cell r="B537">
            <v>0</v>
          </cell>
          <cell r="C537">
            <v>0</v>
          </cell>
          <cell r="D537">
            <v>0</v>
          </cell>
        </row>
        <row r="538">
          <cell r="A538">
            <v>16384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16385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16386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16387</v>
          </cell>
          <cell r="B541">
            <v>0</v>
          </cell>
          <cell r="C541">
            <v>0</v>
          </cell>
          <cell r="D541">
            <v>0</v>
          </cell>
        </row>
        <row r="542">
          <cell r="A542">
            <v>16388</v>
          </cell>
          <cell r="B542">
            <v>0</v>
          </cell>
          <cell r="C542">
            <v>0</v>
          </cell>
          <cell r="D542">
            <v>0</v>
          </cell>
        </row>
        <row r="543">
          <cell r="A543">
            <v>16389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16390</v>
          </cell>
          <cell r="B544">
            <v>0</v>
          </cell>
          <cell r="C544">
            <v>0</v>
          </cell>
          <cell r="D544">
            <v>0</v>
          </cell>
        </row>
        <row r="545">
          <cell r="A545">
            <v>16501</v>
          </cell>
          <cell r="B545">
            <v>650578</v>
          </cell>
          <cell r="C545">
            <v>975867</v>
          </cell>
          <cell r="D545">
            <v>3353811</v>
          </cell>
        </row>
        <row r="546">
          <cell r="A546">
            <v>16502</v>
          </cell>
          <cell r="B546">
            <v>6704</v>
          </cell>
          <cell r="C546">
            <v>7822</v>
          </cell>
          <cell r="D546">
            <v>13924</v>
          </cell>
        </row>
        <row r="547">
          <cell r="A547">
            <v>16503</v>
          </cell>
          <cell r="B547">
            <v>0</v>
          </cell>
          <cell r="C547">
            <v>0</v>
          </cell>
          <cell r="D547">
            <v>0</v>
          </cell>
        </row>
        <row r="548">
          <cell r="A548">
            <v>16504</v>
          </cell>
          <cell r="B548">
            <v>2526</v>
          </cell>
          <cell r="C548">
            <v>2652</v>
          </cell>
          <cell r="D548">
            <v>3112</v>
          </cell>
        </row>
        <row r="549">
          <cell r="A549">
            <v>16505</v>
          </cell>
          <cell r="B549">
            <v>95579</v>
          </cell>
          <cell r="C549">
            <v>107527</v>
          </cell>
          <cell r="D549">
            <v>125872</v>
          </cell>
        </row>
        <row r="550">
          <cell r="A550">
            <v>16506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16507</v>
          </cell>
          <cell r="B551">
            <v>0</v>
          </cell>
          <cell r="C551">
            <v>0</v>
          </cell>
          <cell r="D551">
            <v>0</v>
          </cell>
        </row>
        <row r="552">
          <cell r="A552">
            <v>16508</v>
          </cell>
          <cell r="B552">
            <v>956175</v>
          </cell>
          <cell r="C552">
            <v>1074880</v>
          </cell>
          <cell r="D552">
            <v>1273171</v>
          </cell>
        </row>
        <row r="553">
          <cell r="A553">
            <v>16509</v>
          </cell>
          <cell r="B553">
            <v>213954</v>
          </cell>
          <cell r="C553">
            <v>240698</v>
          </cell>
          <cell r="D553">
            <v>283536</v>
          </cell>
        </row>
        <row r="554">
          <cell r="A554">
            <v>16510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16511</v>
          </cell>
          <cell r="B555">
            <v>10641</v>
          </cell>
          <cell r="C555">
            <v>10609</v>
          </cell>
          <cell r="D555">
            <v>10873</v>
          </cell>
        </row>
        <row r="556">
          <cell r="A556">
            <v>16512</v>
          </cell>
          <cell r="B556">
            <v>0</v>
          </cell>
          <cell r="C556">
            <v>0</v>
          </cell>
          <cell r="D556">
            <v>0</v>
          </cell>
        </row>
        <row r="557">
          <cell r="A557">
            <v>16513</v>
          </cell>
          <cell r="B557">
            <v>440</v>
          </cell>
          <cell r="C557">
            <v>549</v>
          </cell>
          <cell r="D557">
            <v>1360</v>
          </cell>
        </row>
        <row r="558">
          <cell r="A558">
            <v>16514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16516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16517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16518</v>
          </cell>
          <cell r="B561">
            <v>10067</v>
          </cell>
          <cell r="C561">
            <v>10325</v>
          </cell>
          <cell r="D561">
            <v>13164</v>
          </cell>
        </row>
        <row r="562">
          <cell r="A562">
            <v>16519</v>
          </cell>
          <cell r="B562">
            <v>2933258</v>
          </cell>
          <cell r="C562">
            <v>2951144</v>
          </cell>
          <cell r="D562">
            <v>3147942</v>
          </cell>
        </row>
        <row r="563">
          <cell r="A563">
            <v>16520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16550</v>
          </cell>
          <cell r="B564">
            <v>0</v>
          </cell>
          <cell r="C564">
            <v>0</v>
          </cell>
          <cell r="D564">
            <v>58223</v>
          </cell>
        </row>
        <row r="565">
          <cell r="A565">
            <v>16551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16552</v>
          </cell>
          <cell r="B566">
            <v>203666</v>
          </cell>
          <cell r="C566">
            <v>204481</v>
          </cell>
          <cell r="D566">
            <v>213442</v>
          </cell>
        </row>
        <row r="567">
          <cell r="A567">
            <v>16553</v>
          </cell>
          <cell r="B567">
            <v>397005</v>
          </cell>
          <cell r="C567">
            <v>404639</v>
          </cell>
          <cell r="D567">
            <v>488621</v>
          </cell>
        </row>
        <row r="568">
          <cell r="A568">
            <v>16554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16560</v>
          </cell>
          <cell r="B569">
            <v>0</v>
          </cell>
          <cell r="C569">
            <v>0</v>
          </cell>
          <cell r="D569">
            <v>0</v>
          </cell>
        </row>
        <row r="570">
          <cell r="A570">
            <v>16570</v>
          </cell>
          <cell r="B570">
            <v>0</v>
          </cell>
          <cell r="C570">
            <v>0</v>
          </cell>
          <cell r="D570">
            <v>0</v>
          </cell>
        </row>
        <row r="571">
          <cell r="A571">
            <v>16571</v>
          </cell>
          <cell r="B571">
            <v>4589554</v>
          </cell>
          <cell r="C571">
            <v>4652973</v>
          </cell>
          <cell r="D571">
            <v>2898655</v>
          </cell>
        </row>
        <row r="572">
          <cell r="A572">
            <v>16572</v>
          </cell>
          <cell r="B572">
            <v>-297885</v>
          </cell>
          <cell r="C572">
            <v>-263445</v>
          </cell>
          <cell r="D572">
            <v>-26586</v>
          </cell>
        </row>
        <row r="573">
          <cell r="A573">
            <v>16573</v>
          </cell>
          <cell r="B573">
            <v>-219592</v>
          </cell>
          <cell r="C573">
            <v>-189879</v>
          </cell>
          <cell r="D573">
            <v>108123</v>
          </cell>
        </row>
        <row r="574">
          <cell r="A574">
            <v>16574</v>
          </cell>
          <cell r="B574">
            <v>-134153</v>
          </cell>
          <cell r="C574">
            <v>-121721</v>
          </cell>
          <cell r="D574">
            <v>-212309</v>
          </cell>
        </row>
        <row r="575">
          <cell r="A575">
            <v>16575</v>
          </cell>
          <cell r="B575">
            <v>-133006</v>
          </cell>
          <cell r="C575">
            <v>-95773</v>
          </cell>
          <cell r="D575">
            <v>-115983</v>
          </cell>
        </row>
        <row r="576">
          <cell r="A576">
            <v>16578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16580</v>
          </cell>
          <cell r="B577">
            <v>0</v>
          </cell>
          <cell r="C577">
            <v>0</v>
          </cell>
          <cell r="D577">
            <v>203622</v>
          </cell>
        </row>
        <row r="578">
          <cell r="A578">
            <v>16581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16582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16584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16585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16587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17103</v>
          </cell>
          <cell r="B583">
            <v>0</v>
          </cell>
          <cell r="C583">
            <v>0</v>
          </cell>
          <cell r="D583">
            <v>36</v>
          </cell>
        </row>
        <row r="584">
          <cell r="A584">
            <v>17104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17116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17117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17119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17141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17301</v>
          </cell>
          <cell r="B589">
            <v>40196132</v>
          </cell>
          <cell r="C589">
            <v>40897012</v>
          </cell>
          <cell r="D589">
            <v>39451889</v>
          </cell>
        </row>
        <row r="590">
          <cell r="A590">
            <v>17302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17303</v>
          </cell>
          <cell r="B591">
            <v>381000</v>
          </cell>
          <cell r="C591">
            <v>381000</v>
          </cell>
          <cell r="D591">
            <v>381000</v>
          </cell>
        </row>
        <row r="592">
          <cell r="A592">
            <v>17601</v>
          </cell>
          <cell r="B592">
            <v>0</v>
          </cell>
          <cell r="C592">
            <v>53960</v>
          </cell>
          <cell r="D592">
            <v>236339</v>
          </cell>
        </row>
        <row r="593">
          <cell r="A593">
            <v>17602</v>
          </cell>
          <cell r="B593">
            <v>35453520</v>
          </cell>
          <cell r="C593">
            <v>33813390</v>
          </cell>
          <cell r="D593">
            <v>77058728</v>
          </cell>
        </row>
        <row r="594">
          <cell r="A594">
            <v>17603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17604</v>
          </cell>
          <cell r="B595">
            <v>2000</v>
          </cell>
          <cell r="C595">
            <v>1000</v>
          </cell>
          <cell r="D595">
            <v>116069</v>
          </cell>
        </row>
        <row r="596">
          <cell r="A596">
            <v>17605</v>
          </cell>
          <cell r="B596">
            <v>4553000</v>
          </cell>
          <cell r="C596">
            <v>4013550</v>
          </cell>
          <cell r="D596">
            <v>6824195</v>
          </cell>
        </row>
        <row r="597">
          <cell r="A597">
            <v>17606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17607</v>
          </cell>
          <cell r="B598">
            <v>414750</v>
          </cell>
          <cell r="C598">
            <v>391725</v>
          </cell>
          <cell r="D598">
            <v>84831</v>
          </cell>
        </row>
        <row r="599">
          <cell r="A599">
            <v>17608</v>
          </cell>
          <cell r="B599">
            <v>0</v>
          </cell>
          <cell r="C599">
            <v>0</v>
          </cell>
          <cell r="D599">
            <v>194319</v>
          </cell>
        </row>
        <row r="600">
          <cell r="A600">
            <v>17671</v>
          </cell>
          <cell r="B600">
            <v>0</v>
          </cell>
          <cell r="C600">
            <v>0</v>
          </cell>
          <cell r="D600">
            <v>0</v>
          </cell>
        </row>
        <row r="601">
          <cell r="A601">
            <v>18104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18105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18106</v>
          </cell>
          <cell r="B603">
            <v>0</v>
          </cell>
          <cell r="C603">
            <v>0</v>
          </cell>
          <cell r="D603">
            <v>0</v>
          </cell>
        </row>
        <row r="604">
          <cell r="A604">
            <v>18107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18108</v>
          </cell>
          <cell r="B605">
            <v>1626265</v>
          </cell>
          <cell r="C605">
            <v>1629531</v>
          </cell>
          <cell r="D605">
            <v>1665265</v>
          </cell>
        </row>
        <row r="606">
          <cell r="A606">
            <v>18109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18110</v>
          </cell>
          <cell r="B607">
            <v>0</v>
          </cell>
          <cell r="C607">
            <v>0</v>
          </cell>
          <cell r="D607">
            <v>0</v>
          </cell>
        </row>
        <row r="608">
          <cell r="A608">
            <v>18111</v>
          </cell>
          <cell r="B608">
            <v>0</v>
          </cell>
          <cell r="C608">
            <v>0</v>
          </cell>
          <cell r="D608">
            <v>0</v>
          </cell>
        </row>
        <row r="609">
          <cell r="A609">
            <v>18112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18113</v>
          </cell>
          <cell r="B610">
            <v>0</v>
          </cell>
          <cell r="C610">
            <v>0</v>
          </cell>
          <cell r="D610">
            <v>0</v>
          </cell>
        </row>
        <row r="611">
          <cell r="A611">
            <v>18114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18115</v>
          </cell>
          <cell r="B612">
            <v>0</v>
          </cell>
          <cell r="C612">
            <v>0</v>
          </cell>
          <cell r="D612">
            <v>0</v>
          </cell>
        </row>
        <row r="613">
          <cell r="A613">
            <v>18116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18117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18118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18119</v>
          </cell>
          <cell r="B616">
            <v>0</v>
          </cell>
          <cell r="C616">
            <v>0</v>
          </cell>
          <cell r="D616">
            <v>0</v>
          </cell>
        </row>
        <row r="617">
          <cell r="A617">
            <v>18120</v>
          </cell>
          <cell r="B617">
            <v>0</v>
          </cell>
          <cell r="C617">
            <v>0</v>
          </cell>
          <cell r="D617">
            <v>0</v>
          </cell>
        </row>
        <row r="618">
          <cell r="A618">
            <v>18121</v>
          </cell>
          <cell r="B618">
            <v>0</v>
          </cell>
          <cell r="C618">
            <v>0</v>
          </cell>
          <cell r="D618">
            <v>0</v>
          </cell>
        </row>
        <row r="619">
          <cell r="A619">
            <v>18122</v>
          </cell>
          <cell r="B619">
            <v>0</v>
          </cell>
          <cell r="C619">
            <v>0</v>
          </cell>
          <cell r="D619">
            <v>0</v>
          </cell>
        </row>
        <row r="620">
          <cell r="A620">
            <v>18123</v>
          </cell>
          <cell r="B620">
            <v>0</v>
          </cell>
          <cell r="C620">
            <v>0</v>
          </cell>
          <cell r="D620">
            <v>0</v>
          </cell>
        </row>
        <row r="621">
          <cell r="A621">
            <v>18124</v>
          </cell>
          <cell r="B621">
            <v>0</v>
          </cell>
          <cell r="C621">
            <v>0</v>
          </cell>
          <cell r="D621">
            <v>0</v>
          </cell>
        </row>
        <row r="622">
          <cell r="A622">
            <v>18125</v>
          </cell>
          <cell r="B622">
            <v>0</v>
          </cell>
          <cell r="C622">
            <v>0</v>
          </cell>
          <cell r="D622">
            <v>0</v>
          </cell>
        </row>
        <row r="623">
          <cell r="A623">
            <v>18126</v>
          </cell>
          <cell r="B623">
            <v>0</v>
          </cell>
          <cell r="C623">
            <v>0</v>
          </cell>
          <cell r="D623">
            <v>0</v>
          </cell>
        </row>
        <row r="624">
          <cell r="A624">
            <v>18127</v>
          </cell>
          <cell r="B624">
            <v>0</v>
          </cell>
          <cell r="C624">
            <v>0</v>
          </cell>
          <cell r="D624">
            <v>0</v>
          </cell>
        </row>
        <row r="625">
          <cell r="A625">
            <v>18128</v>
          </cell>
          <cell r="B625">
            <v>3617573</v>
          </cell>
          <cell r="C625">
            <v>3623324</v>
          </cell>
          <cell r="D625">
            <v>3686589</v>
          </cell>
        </row>
        <row r="626">
          <cell r="A626">
            <v>18129</v>
          </cell>
          <cell r="B626">
            <v>0</v>
          </cell>
          <cell r="C626">
            <v>0</v>
          </cell>
          <cell r="D626">
            <v>0</v>
          </cell>
        </row>
        <row r="627">
          <cell r="A627">
            <v>18130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18131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18133</v>
          </cell>
          <cell r="B629">
            <v>0</v>
          </cell>
          <cell r="C629">
            <v>0</v>
          </cell>
          <cell r="D629">
            <v>0</v>
          </cell>
        </row>
        <row r="630">
          <cell r="A630">
            <v>18134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18135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18136</v>
          </cell>
          <cell r="B632">
            <v>0</v>
          </cell>
          <cell r="C632">
            <v>0</v>
          </cell>
          <cell r="D632">
            <v>0</v>
          </cell>
        </row>
        <row r="633">
          <cell r="A633">
            <v>18137</v>
          </cell>
          <cell r="B633">
            <v>0</v>
          </cell>
          <cell r="C633">
            <v>0</v>
          </cell>
          <cell r="D633">
            <v>0</v>
          </cell>
        </row>
        <row r="634">
          <cell r="A634">
            <v>18138</v>
          </cell>
          <cell r="B634">
            <v>0</v>
          </cell>
          <cell r="C634">
            <v>0</v>
          </cell>
          <cell r="D634">
            <v>0</v>
          </cell>
        </row>
        <row r="635">
          <cell r="A635">
            <v>18139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18140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18141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18142</v>
          </cell>
          <cell r="B638">
            <v>0</v>
          </cell>
          <cell r="C638">
            <v>0</v>
          </cell>
          <cell r="D638">
            <v>0</v>
          </cell>
        </row>
        <row r="639">
          <cell r="A639">
            <v>18143</v>
          </cell>
          <cell r="B639">
            <v>0</v>
          </cell>
          <cell r="C639">
            <v>0</v>
          </cell>
          <cell r="D639">
            <v>0</v>
          </cell>
        </row>
        <row r="640">
          <cell r="A640">
            <v>18144</v>
          </cell>
          <cell r="B640">
            <v>999053</v>
          </cell>
          <cell r="C640">
            <v>1000583</v>
          </cell>
          <cell r="D640">
            <v>1017412</v>
          </cell>
        </row>
        <row r="641">
          <cell r="A641">
            <v>18145</v>
          </cell>
          <cell r="B641">
            <v>2670914</v>
          </cell>
          <cell r="C641">
            <v>2680609</v>
          </cell>
          <cell r="D641">
            <v>2786824</v>
          </cell>
        </row>
        <row r="642">
          <cell r="A642">
            <v>18146</v>
          </cell>
          <cell r="B642">
            <v>317074</v>
          </cell>
          <cell r="C642">
            <v>322777</v>
          </cell>
          <cell r="D642">
            <v>385507</v>
          </cell>
        </row>
        <row r="643">
          <cell r="A643">
            <v>18147</v>
          </cell>
          <cell r="B643">
            <v>190149</v>
          </cell>
          <cell r="C643">
            <v>192360</v>
          </cell>
          <cell r="D643">
            <v>216681</v>
          </cell>
        </row>
        <row r="644">
          <cell r="A644">
            <v>18148</v>
          </cell>
          <cell r="B644">
            <v>544547</v>
          </cell>
          <cell r="C644">
            <v>546218</v>
          </cell>
          <cell r="D644">
            <v>564592</v>
          </cell>
        </row>
        <row r="645">
          <cell r="A645">
            <v>18149</v>
          </cell>
          <cell r="B645">
            <v>3324197</v>
          </cell>
          <cell r="C645">
            <v>3380603</v>
          </cell>
          <cell r="D645">
            <v>4001071</v>
          </cell>
        </row>
        <row r="646">
          <cell r="A646">
            <v>18150</v>
          </cell>
          <cell r="B646">
            <v>0</v>
          </cell>
          <cell r="C646">
            <v>0</v>
          </cell>
          <cell r="D646">
            <v>0</v>
          </cell>
        </row>
        <row r="647">
          <cell r="A647">
            <v>18151</v>
          </cell>
          <cell r="B647">
            <v>914312</v>
          </cell>
          <cell r="C647">
            <v>920546</v>
          </cell>
          <cell r="D647">
            <v>989120</v>
          </cell>
        </row>
        <row r="648">
          <cell r="A648">
            <v>18152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18153</v>
          </cell>
          <cell r="B649">
            <v>107340</v>
          </cell>
          <cell r="C649">
            <v>103996</v>
          </cell>
          <cell r="D649">
            <v>49675</v>
          </cell>
        </row>
        <row r="650">
          <cell r="A650">
            <v>18154</v>
          </cell>
          <cell r="B650">
            <v>1115700</v>
          </cell>
          <cell r="C650">
            <v>1121363</v>
          </cell>
          <cell r="D650">
            <v>1182632</v>
          </cell>
        </row>
        <row r="651">
          <cell r="A651">
            <v>18155</v>
          </cell>
          <cell r="B651">
            <v>1059236</v>
          </cell>
          <cell r="C651">
            <v>1064303</v>
          </cell>
          <cell r="D651">
            <v>1119192</v>
          </cell>
        </row>
        <row r="652">
          <cell r="A652">
            <v>18156</v>
          </cell>
          <cell r="B652">
            <v>309007</v>
          </cell>
          <cell r="C652">
            <v>310215</v>
          </cell>
          <cell r="D652">
            <v>323101</v>
          </cell>
        </row>
        <row r="653">
          <cell r="A653">
            <v>18157</v>
          </cell>
          <cell r="B653">
            <v>1379311</v>
          </cell>
          <cell r="C653">
            <v>1386313</v>
          </cell>
          <cell r="D653">
            <v>1128771</v>
          </cell>
        </row>
        <row r="654">
          <cell r="A654">
            <v>18200</v>
          </cell>
          <cell r="B654">
            <v>200000</v>
          </cell>
          <cell r="C654">
            <v>200000</v>
          </cell>
          <cell r="D654">
            <v>200000</v>
          </cell>
        </row>
        <row r="655">
          <cell r="A655">
            <v>18201</v>
          </cell>
          <cell r="B655">
            <v>9007175</v>
          </cell>
          <cell r="C655">
            <v>8939841</v>
          </cell>
          <cell r="D655">
            <v>8211977</v>
          </cell>
        </row>
        <row r="656">
          <cell r="A656">
            <v>18220</v>
          </cell>
          <cell r="B656">
            <v>0</v>
          </cell>
          <cell r="C656">
            <v>0</v>
          </cell>
          <cell r="D656">
            <v>0</v>
          </cell>
        </row>
        <row r="657">
          <cell r="A657">
            <v>18222</v>
          </cell>
          <cell r="B657">
            <v>0</v>
          </cell>
          <cell r="C657">
            <v>0</v>
          </cell>
          <cell r="D657">
            <v>0</v>
          </cell>
        </row>
        <row r="658">
          <cell r="A658">
            <v>18230</v>
          </cell>
          <cell r="B658">
            <v>68911974</v>
          </cell>
          <cell r="C658">
            <v>68926938</v>
          </cell>
          <cell r="D658">
            <v>67924685</v>
          </cell>
        </row>
        <row r="659">
          <cell r="A659">
            <v>18231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18232</v>
          </cell>
          <cell r="B660">
            <v>1292137</v>
          </cell>
          <cell r="C660">
            <v>1317630</v>
          </cell>
          <cell r="D660">
            <v>719537</v>
          </cell>
        </row>
        <row r="661">
          <cell r="A661">
            <v>18233</v>
          </cell>
          <cell r="B661">
            <v>0</v>
          </cell>
          <cell r="C661">
            <v>0</v>
          </cell>
          <cell r="D661">
            <v>8270772</v>
          </cell>
        </row>
        <row r="662">
          <cell r="A662">
            <v>18234</v>
          </cell>
          <cell r="B662">
            <v>25728596</v>
          </cell>
          <cell r="C662">
            <v>26281681</v>
          </cell>
          <cell r="D662">
            <v>31053955</v>
          </cell>
        </row>
        <row r="663">
          <cell r="A663">
            <v>18235</v>
          </cell>
          <cell r="B663">
            <v>0</v>
          </cell>
          <cell r="C663">
            <v>0</v>
          </cell>
          <cell r="D663">
            <v>722372</v>
          </cell>
        </row>
        <row r="664">
          <cell r="A664">
            <v>18236</v>
          </cell>
          <cell r="B664">
            <v>0</v>
          </cell>
          <cell r="C664">
            <v>0</v>
          </cell>
          <cell r="D664">
            <v>68679</v>
          </cell>
        </row>
        <row r="665">
          <cell r="A665">
            <v>18237</v>
          </cell>
          <cell r="B665">
            <v>0</v>
          </cell>
          <cell r="C665">
            <v>0</v>
          </cell>
          <cell r="D665">
            <v>0</v>
          </cell>
        </row>
        <row r="666">
          <cell r="A666">
            <v>18238</v>
          </cell>
          <cell r="B666">
            <v>12033782</v>
          </cell>
          <cell r="C666">
            <v>12934930</v>
          </cell>
          <cell r="D666">
            <v>10320027</v>
          </cell>
        </row>
        <row r="667">
          <cell r="A667">
            <v>18239</v>
          </cell>
          <cell r="B667">
            <v>191652396</v>
          </cell>
          <cell r="C667">
            <v>191652396</v>
          </cell>
          <cell r="D667">
            <v>179919685</v>
          </cell>
        </row>
        <row r="668">
          <cell r="A668">
            <v>18240</v>
          </cell>
          <cell r="B668">
            <v>10132650</v>
          </cell>
          <cell r="C668">
            <v>10132650</v>
          </cell>
          <cell r="D668">
            <v>10113088</v>
          </cell>
        </row>
        <row r="669">
          <cell r="A669">
            <v>18241</v>
          </cell>
          <cell r="B669">
            <v>875724</v>
          </cell>
          <cell r="C669">
            <v>885439</v>
          </cell>
          <cell r="D669">
            <v>992304</v>
          </cell>
        </row>
        <row r="670">
          <cell r="A670">
            <v>18242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18243</v>
          </cell>
          <cell r="B671">
            <v>83315</v>
          </cell>
          <cell r="C671">
            <v>85891</v>
          </cell>
          <cell r="D671">
            <v>115759</v>
          </cell>
        </row>
        <row r="672">
          <cell r="A672">
            <v>18244</v>
          </cell>
          <cell r="B672">
            <v>741399</v>
          </cell>
          <cell r="C672">
            <v>756569</v>
          </cell>
          <cell r="D672">
            <v>923743</v>
          </cell>
        </row>
        <row r="673">
          <cell r="A673">
            <v>18245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18246</v>
          </cell>
          <cell r="B674">
            <v>0</v>
          </cell>
          <cell r="C674">
            <v>0</v>
          </cell>
          <cell r="D674">
            <v>0</v>
          </cell>
        </row>
        <row r="675">
          <cell r="A675">
            <v>18251</v>
          </cell>
          <cell r="B675">
            <v>14238</v>
          </cell>
          <cell r="C675">
            <v>14442</v>
          </cell>
          <cell r="D675">
            <v>41451</v>
          </cell>
        </row>
        <row r="676">
          <cell r="A676">
            <v>18252</v>
          </cell>
          <cell r="B676">
            <v>6</v>
          </cell>
          <cell r="C676">
            <v>9</v>
          </cell>
          <cell r="D676">
            <v>294</v>
          </cell>
        </row>
        <row r="677">
          <cell r="A677">
            <v>18253</v>
          </cell>
          <cell r="B677">
            <v>1233461</v>
          </cell>
          <cell r="C677">
            <v>1194952</v>
          </cell>
          <cell r="D677">
            <v>589292</v>
          </cell>
        </row>
        <row r="678">
          <cell r="A678">
            <v>18260</v>
          </cell>
          <cell r="B678">
            <v>493250</v>
          </cell>
          <cell r="C678">
            <v>493250</v>
          </cell>
          <cell r="D678">
            <v>379423</v>
          </cell>
        </row>
        <row r="679">
          <cell r="A679">
            <v>18261</v>
          </cell>
          <cell r="B679">
            <v>1068708</v>
          </cell>
          <cell r="C679">
            <v>1089260</v>
          </cell>
          <cell r="D679">
            <v>964367</v>
          </cell>
        </row>
        <row r="680">
          <cell r="A680">
            <v>18262</v>
          </cell>
          <cell r="B680">
            <v>645347</v>
          </cell>
          <cell r="C680">
            <v>662701</v>
          </cell>
          <cell r="D680">
            <v>484050</v>
          </cell>
        </row>
        <row r="681">
          <cell r="A681">
            <v>18263</v>
          </cell>
          <cell r="B681">
            <v>2043599</v>
          </cell>
          <cell r="C681">
            <v>2126888</v>
          </cell>
          <cell r="D681">
            <v>1522004</v>
          </cell>
        </row>
        <row r="682">
          <cell r="A682">
            <v>18265</v>
          </cell>
          <cell r="B682">
            <v>0</v>
          </cell>
          <cell r="C682">
            <v>0</v>
          </cell>
          <cell r="D682">
            <v>0</v>
          </cell>
        </row>
        <row r="683">
          <cell r="A683">
            <v>18271</v>
          </cell>
          <cell r="B683">
            <v>0</v>
          </cell>
          <cell r="C683">
            <v>0</v>
          </cell>
          <cell r="D683">
            <v>0</v>
          </cell>
        </row>
        <row r="684">
          <cell r="A684">
            <v>18276</v>
          </cell>
          <cell r="B684">
            <v>3351723</v>
          </cell>
          <cell r="C684">
            <v>3354881</v>
          </cell>
          <cell r="D684">
            <v>3371476</v>
          </cell>
        </row>
        <row r="685">
          <cell r="A685">
            <v>18277</v>
          </cell>
          <cell r="B685">
            <v>-3351723</v>
          </cell>
          <cell r="C685">
            <v>-3354881</v>
          </cell>
          <cell r="D685">
            <v>-3371476</v>
          </cell>
        </row>
        <row r="686">
          <cell r="A686">
            <v>18278</v>
          </cell>
          <cell r="B686">
            <v>13156628</v>
          </cell>
          <cell r="C686">
            <v>13294242</v>
          </cell>
          <cell r="D686">
            <v>14828283</v>
          </cell>
        </row>
        <row r="687">
          <cell r="A687">
            <v>18279</v>
          </cell>
          <cell r="B687">
            <v>-13156628</v>
          </cell>
          <cell r="C687">
            <v>-13294242</v>
          </cell>
          <cell r="D687">
            <v>-14828283</v>
          </cell>
        </row>
        <row r="688">
          <cell r="A688">
            <v>18280</v>
          </cell>
          <cell r="B688">
            <v>62247</v>
          </cell>
          <cell r="C688">
            <v>64137</v>
          </cell>
          <cell r="D688">
            <v>84928</v>
          </cell>
        </row>
        <row r="689">
          <cell r="A689">
            <v>18281</v>
          </cell>
          <cell r="B689">
            <v>416105</v>
          </cell>
          <cell r="C689">
            <v>417633</v>
          </cell>
          <cell r="D689">
            <v>434441</v>
          </cell>
        </row>
        <row r="690">
          <cell r="A690">
            <v>18283</v>
          </cell>
          <cell r="B690">
            <v>2683461</v>
          </cell>
          <cell r="C690">
            <v>2692288</v>
          </cell>
          <cell r="D690">
            <v>2789387</v>
          </cell>
        </row>
        <row r="691">
          <cell r="A691">
            <v>18284</v>
          </cell>
          <cell r="B691">
            <v>2290612</v>
          </cell>
          <cell r="C691">
            <v>2298457</v>
          </cell>
          <cell r="D691">
            <v>2384747</v>
          </cell>
        </row>
        <row r="692">
          <cell r="A692">
            <v>18285</v>
          </cell>
          <cell r="B692">
            <v>574090</v>
          </cell>
          <cell r="C692">
            <v>576056</v>
          </cell>
          <cell r="D692">
            <v>597683</v>
          </cell>
        </row>
        <row r="693">
          <cell r="A693">
            <v>18286</v>
          </cell>
          <cell r="B693">
            <v>0</v>
          </cell>
          <cell r="C693">
            <v>0</v>
          </cell>
          <cell r="D693">
            <v>0</v>
          </cell>
        </row>
        <row r="694">
          <cell r="A694">
            <v>18287</v>
          </cell>
          <cell r="B694">
            <v>64097</v>
          </cell>
          <cell r="C694">
            <v>64331</v>
          </cell>
          <cell r="D694">
            <v>66904</v>
          </cell>
        </row>
        <row r="695">
          <cell r="A695">
            <v>18288</v>
          </cell>
          <cell r="B695">
            <v>447553</v>
          </cell>
          <cell r="C695">
            <v>449187</v>
          </cell>
          <cell r="D695">
            <v>467154</v>
          </cell>
        </row>
        <row r="696">
          <cell r="A696">
            <v>18289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18290</v>
          </cell>
          <cell r="B697">
            <v>22906</v>
          </cell>
          <cell r="C697">
            <v>24002</v>
          </cell>
          <cell r="D697">
            <v>36052</v>
          </cell>
        </row>
        <row r="698">
          <cell r="A698">
            <v>18291</v>
          </cell>
          <cell r="B698">
            <v>123114</v>
          </cell>
          <cell r="C698">
            <v>125634</v>
          </cell>
          <cell r="D698">
            <v>153394</v>
          </cell>
        </row>
        <row r="699">
          <cell r="A699">
            <v>18292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18293</v>
          </cell>
          <cell r="B700">
            <v>1773008</v>
          </cell>
          <cell r="C700">
            <v>1776567</v>
          </cell>
          <cell r="D700">
            <v>1815710</v>
          </cell>
        </row>
        <row r="701">
          <cell r="A701">
            <v>18294</v>
          </cell>
          <cell r="B701">
            <v>33538</v>
          </cell>
          <cell r="C701">
            <v>34591</v>
          </cell>
          <cell r="D701">
            <v>46366</v>
          </cell>
        </row>
        <row r="702">
          <cell r="A702">
            <v>18295</v>
          </cell>
          <cell r="B702">
            <v>176592</v>
          </cell>
          <cell r="C702">
            <v>180205</v>
          </cell>
          <cell r="D702">
            <v>220021</v>
          </cell>
        </row>
        <row r="703">
          <cell r="A703">
            <v>18296</v>
          </cell>
          <cell r="B703">
            <v>1402154</v>
          </cell>
          <cell r="C703">
            <v>1404515</v>
          </cell>
          <cell r="D703">
            <v>1430480</v>
          </cell>
        </row>
        <row r="704">
          <cell r="A704">
            <v>18297</v>
          </cell>
          <cell r="B704">
            <v>3893235</v>
          </cell>
          <cell r="C704">
            <v>3959297</v>
          </cell>
          <cell r="D704">
            <v>4685979</v>
          </cell>
        </row>
        <row r="705">
          <cell r="A705">
            <v>18298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18299</v>
          </cell>
          <cell r="B706">
            <v>845199</v>
          </cell>
          <cell r="C706">
            <v>854324</v>
          </cell>
          <cell r="D706">
            <v>954706</v>
          </cell>
        </row>
        <row r="707">
          <cell r="A707">
            <v>18301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18302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18303</v>
          </cell>
          <cell r="B709">
            <v>0</v>
          </cell>
          <cell r="C709">
            <v>0</v>
          </cell>
          <cell r="D709">
            <v>4853</v>
          </cell>
        </row>
        <row r="710">
          <cell r="A710">
            <v>18304</v>
          </cell>
          <cell r="B710">
            <v>0</v>
          </cell>
          <cell r="C710">
            <v>0</v>
          </cell>
          <cell r="D710">
            <v>0</v>
          </cell>
        </row>
        <row r="711">
          <cell r="A711">
            <v>18305</v>
          </cell>
          <cell r="B711">
            <v>0</v>
          </cell>
          <cell r="C711">
            <v>0</v>
          </cell>
          <cell r="D711">
            <v>0</v>
          </cell>
        </row>
        <row r="712">
          <cell r="A712">
            <v>18306</v>
          </cell>
          <cell r="B712">
            <v>207974</v>
          </cell>
          <cell r="C712">
            <v>204035</v>
          </cell>
          <cell r="D712">
            <v>179144</v>
          </cell>
        </row>
        <row r="713">
          <cell r="A713">
            <v>18307</v>
          </cell>
          <cell r="B713">
            <v>0</v>
          </cell>
          <cell r="C713">
            <v>0</v>
          </cell>
          <cell r="D713">
            <v>8081</v>
          </cell>
        </row>
        <row r="714">
          <cell r="A714">
            <v>18308</v>
          </cell>
          <cell r="B714">
            <v>925</v>
          </cell>
          <cell r="C714">
            <v>639</v>
          </cell>
          <cell r="D714">
            <v>98</v>
          </cell>
        </row>
        <row r="715">
          <cell r="A715">
            <v>18309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18310</v>
          </cell>
          <cell r="B716">
            <v>65417</v>
          </cell>
          <cell r="C716">
            <v>64793</v>
          </cell>
          <cell r="D716">
            <v>38261</v>
          </cell>
        </row>
        <row r="717">
          <cell r="A717">
            <v>18311</v>
          </cell>
          <cell r="B717">
            <v>3604</v>
          </cell>
          <cell r="C717">
            <v>3604</v>
          </cell>
          <cell r="D717">
            <v>3604</v>
          </cell>
        </row>
        <row r="718">
          <cell r="A718">
            <v>18312</v>
          </cell>
          <cell r="B718">
            <v>0</v>
          </cell>
          <cell r="C718">
            <v>0</v>
          </cell>
          <cell r="D718">
            <v>4064974</v>
          </cell>
        </row>
        <row r="719">
          <cell r="A719">
            <v>18313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18314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18315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18316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18317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18318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18319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18320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18321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18322</v>
          </cell>
          <cell r="B728">
            <v>0</v>
          </cell>
          <cell r="C728">
            <v>0</v>
          </cell>
          <cell r="D728">
            <v>590741</v>
          </cell>
        </row>
        <row r="729">
          <cell r="A729">
            <v>18323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18324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18325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18326</v>
          </cell>
          <cell r="B732">
            <v>0</v>
          </cell>
          <cell r="C732">
            <v>0</v>
          </cell>
          <cell r="D732">
            <v>3556</v>
          </cell>
        </row>
        <row r="733">
          <cell r="A733">
            <v>18327</v>
          </cell>
          <cell r="B733">
            <v>0</v>
          </cell>
          <cell r="C733">
            <v>0</v>
          </cell>
          <cell r="D733">
            <v>0</v>
          </cell>
        </row>
        <row r="734">
          <cell r="A734">
            <v>18328</v>
          </cell>
          <cell r="B734">
            <v>0</v>
          </cell>
          <cell r="C734">
            <v>0</v>
          </cell>
          <cell r="D734">
            <v>32015</v>
          </cell>
        </row>
        <row r="735">
          <cell r="A735">
            <v>18329</v>
          </cell>
          <cell r="B735">
            <v>0</v>
          </cell>
          <cell r="C735">
            <v>0</v>
          </cell>
          <cell r="D735">
            <v>0</v>
          </cell>
        </row>
        <row r="736">
          <cell r="A736">
            <v>18330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18331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18332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18333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18334</v>
          </cell>
          <cell r="B740">
            <v>0</v>
          </cell>
          <cell r="C740">
            <v>0</v>
          </cell>
          <cell r="D740">
            <v>39536</v>
          </cell>
        </row>
        <row r="741">
          <cell r="A741">
            <v>18335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18336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18337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18338</v>
          </cell>
          <cell r="B744">
            <v>0</v>
          </cell>
          <cell r="C744">
            <v>65375</v>
          </cell>
          <cell r="D744">
            <v>35483</v>
          </cell>
        </row>
        <row r="745">
          <cell r="A745">
            <v>18339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18340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18341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18342</v>
          </cell>
          <cell r="B748">
            <v>0</v>
          </cell>
          <cell r="C748">
            <v>0</v>
          </cell>
          <cell r="D748">
            <v>241113</v>
          </cell>
        </row>
        <row r="749">
          <cell r="A749">
            <v>18343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18344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18345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18346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18347</v>
          </cell>
          <cell r="B753">
            <v>109185</v>
          </cell>
          <cell r="C753">
            <v>107638</v>
          </cell>
          <cell r="D753">
            <v>85258</v>
          </cell>
        </row>
        <row r="754">
          <cell r="A754">
            <v>18348</v>
          </cell>
          <cell r="B754">
            <v>38134</v>
          </cell>
          <cell r="C754">
            <v>38134</v>
          </cell>
          <cell r="D754">
            <v>37747</v>
          </cell>
        </row>
        <row r="755">
          <cell r="A755">
            <v>18349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18350</v>
          </cell>
          <cell r="B756">
            <v>0</v>
          </cell>
          <cell r="C756">
            <v>0</v>
          </cell>
          <cell r="D756">
            <v>473636</v>
          </cell>
        </row>
        <row r="757">
          <cell r="A757">
            <v>18351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18352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18353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18354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18355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18356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18357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18358</v>
          </cell>
          <cell r="B764">
            <v>0</v>
          </cell>
          <cell r="C764">
            <v>0</v>
          </cell>
          <cell r="D764">
            <v>0</v>
          </cell>
        </row>
        <row r="765">
          <cell r="A765">
            <v>18359</v>
          </cell>
          <cell r="B765">
            <v>0</v>
          </cell>
          <cell r="C765">
            <v>0</v>
          </cell>
          <cell r="D765">
            <v>0</v>
          </cell>
        </row>
        <row r="766">
          <cell r="A766">
            <v>18360</v>
          </cell>
          <cell r="B766">
            <v>0</v>
          </cell>
          <cell r="C766">
            <v>0</v>
          </cell>
          <cell r="D766">
            <v>89791</v>
          </cell>
        </row>
        <row r="767">
          <cell r="A767">
            <v>18362</v>
          </cell>
          <cell r="B767">
            <v>0</v>
          </cell>
          <cell r="C767">
            <v>0</v>
          </cell>
          <cell r="D767">
            <v>0</v>
          </cell>
        </row>
        <row r="768">
          <cell r="A768">
            <v>18363</v>
          </cell>
          <cell r="B768">
            <v>0</v>
          </cell>
          <cell r="C768">
            <v>0</v>
          </cell>
          <cell r="D768">
            <v>0</v>
          </cell>
        </row>
        <row r="769">
          <cell r="A769">
            <v>18364</v>
          </cell>
          <cell r="B769">
            <v>0</v>
          </cell>
          <cell r="C769">
            <v>0</v>
          </cell>
          <cell r="D769">
            <v>0</v>
          </cell>
        </row>
        <row r="770">
          <cell r="A770">
            <v>18365</v>
          </cell>
          <cell r="B770">
            <v>0</v>
          </cell>
          <cell r="C770">
            <v>0</v>
          </cell>
          <cell r="D770">
            <v>0</v>
          </cell>
        </row>
        <row r="771">
          <cell r="A771">
            <v>18366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18367</v>
          </cell>
          <cell r="B772">
            <v>0</v>
          </cell>
          <cell r="C772">
            <v>0</v>
          </cell>
          <cell r="D772">
            <v>0</v>
          </cell>
        </row>
        <row r="773">
          <cell r="A773">
            <v>18368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18369</v>
          </cell>
          <cell r="B774">
            <v>0</v>
          </cell>
          <cell r="C774">
            <v>0</v>
          </cell>
          <cell r="D774">
            <v>0</v>
          </cell>
        </row>
        <row r="775">
          <cell r="A775">
            <v>18370</v>
          </cell>
          <cell r="B775">
            <v>-26</v>
          </cell>
          <cell r="C775">
            <v>-26</v>
          </cell>
          <cell r="D775">
            <v>15067</v>
          </cell>
        </row>
        <row r="776">
          <cell r="A776">
            <v>18371</v>
          </cell>
          <cell r="B776">
            <v>958</v>
          </cell>
          <cell r="C776">
            <v>529</v>
          </cell>
          <cell r="D776">
            <v>36614</v>
          </cell>
        </row>
        <row r="777">
          <cell r="A777">
            <v>18372</v>
          </cell>
          <cell r="B777">
            <v>0</v>
          </cell>
          <cell r="C777">
            <v>0</v>
          </cell>
          <cell r="D777">
            <v>587561</v>
          </cell>
        </row>
        <row r="778">
          <cell r="A778">
            <v>18373</v>
          </cell>
          <cell r="B778">
            <v>0</v>
          </cell>
          <cell r="C778">
            <v>0</v>
          </cell>
          <cell r="D778">
            <v>220774</v>
          </cell>
        </row>
        <row r="779">
          <cell r="A779">
            <v>18374</v>
          </cell>
          <cell r="B779">
            <v>216</v>
          </cell>
          <cell r="C779">
            <v>216</v>
          </cell>
          <cell r="D779">
            <v>161</v>
          </cell>
        </row>
        <row r="780">
          <cell r="A780">
            <v>18375</v>
          </cell>
          <cell r="B780">
            <v>0</v>
          </cell>
          <cell r="C780">
            <v>0</v>
          </cell>
          <cell r="D780">
            <v>0</v>
          </cell>
        </row>
        <row r="781">
          <cell r="A781">
            <v>18376</v>
          </cell>
          <cell r="B781">
            <v>0</v>
          </cell>
          <cell r="C781">
            <v>0</v>
          </cell>
          <cell r="D781">
            <v>0</v>
          </cell>
        </row>
        <row r="782">
          <cell r="A782">
            <v>18377</v>
          </cell>
          <cell r="B782">
            <v>0</v>
          </cell>
          <cell r="C782">
            <v>0</v>
          </cell>
          <cell r="D782">
            <v>0</v>
          </cell>
        </row>
        <row r="783">
          <cell r="A783">
            <v>18378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18379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18380</v>
          </cell>
          <cell r="B785">
            <v>0</v>
          </cell>
          <cell r="C785">
            <v>0</v>
          </cell>
          <cell r="D785">
            <v>0</v>
          </cell>
        </row>
        <row r="786">
          <cell r="A786">
            <v>18381</v>
          </cell>
          <cell r="B786">
            <v>0</v>
          </cell>
          <cell r="C786">
            <v>0</v>
          </cell>
          <cell r="D786">
            <v>0</v>
          </cell>
        </row>
        <row r="787">
          <cell r="A787">
            <v>18382</v>
          </cell>
          <cell r="B787">
            <v>0</v>
          </cell>
          <cell r="C787">
            <v>0</v>
          </cell>
          <cell r="D787">
            <v>0</v>
          </cell>
        </row>
        <row r="788">
          <cell r="A788">
            <v>18383</v>
          </cell>
          <cell r="B788">
            <v>0</v>
          </cell>
          <cell r="C788">
            <v>0</v>
          </cell>
          <cell r="D788">
            <v>0</v>
          </cell>
        </row>
        <row r="789">
          <cell r="A789">
            <v>18384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18385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18386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18387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18388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18389</v>
          </cell>
          <cell r="B794">
            <v>0</v>
          </cell>
          <cell r="C794">
            <v>0</v>
          </cell>
          <cell r="D794">
            <v>0</v>
          </cell>
        </row>
        <row r="795">
          <cell r="A795">
            <v>18390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18391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18392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18393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18395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18396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18397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18398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18401</v>
          </cell>
          <cell r="B803">
            <v>-84299</v>
          </cell>
          <cell r="C803">
            <v>-40496</v>
          </cell>
          <cell r="D803">
            <v>-139784</v>
          </cell>
        </row>
        <row r="804">
          <cell r="A804">
            <v>18402</v>
          </cell>
          <cell r="B804">
            <v>-48832</v>
          </cell>
          <cell r="C804">
            <v>-41712</v>
          </cell>
          <cell r="D804">
            <v>-48430</v>
          </cell>
        </row>
        <row r="805">
          <cell r="A805">
            <v>18403</v>
          </cell>
          <cell r="B805">
            <v>-480596</v>
          </cell>
          <cell r="C805">
            <v>-421255</v>
          </cell>
          <cell r="D805">
            <v>-353269</v>
          </cell>
        </row>
        <row r="806">
          <cell r="A806">
            <v>18405</v>
          </cell>
          <cell r="B806">
            <v>-9128</v>
          </cell>
          <cell r="C806">
            <v>6774</v>
          </cell>
          <cell r="D806">
            <v>8019</v>
          </cell>
        </row>
        <row r="807">
          <cell r="A807">
            <v>18409</v>
          </cell>
          <cell r="B807">
            <v>1419</v>
          </cell>
          <cell r="C807">
            <v>1419</v>
          </cell>
          <cell r="D807">
            <v>4301</v>
          </cell>
        </row>
        <row r="808">
          <cell r="A808">
            <v>18410</v>
          </cell>
          <cell r="B808">
            <v>5497</v>
          </cell>
          <cell r="C808">
            <v>5497</v>
          </cell>
          <cell r="D808">
            <v>17660</v>
          </cell>
        </row>
        <row r="809">
          <cell r="A809">
            <v>18411</v>
          </cell>
          <cell r="B809">
            <v>16033</v>
          </cell>
          <cell r="C809">
            <v>16033</v>
          </cell>
          <cell r="D809">
            <v>43167</v>
          </cell>
        </row>
        <row r="810">
          <cell r="A810">
            <v>18412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18413</v>
          </cell>
          <cell r="B811">
            <v>8465</v>
          </cell>
          <cell r="C811">
            <v>5522</v>
          </cell>
          <cell r="D811">
            <v>2761</v>
          </cell>
        </row>
        <row r="812">
          <cell r="A812">
            <v>18414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18415</v>
          </cell>
          <cell r="B813">
            <v>2690</v>
          </cell>
          <cell r="C813">
            <v>2690</v>
          </cell>
          <cell r="D813">
            <v>2690</v>
          </cell>
        </row>
        <row r="814">
          <cell r="A814">
            <v>18416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18417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18418</v>
          </cell>
          <cell r="B816">
            <v>2255</v>
          </cell>
          <cell r="C816">
            <v>2041</v>
          </cell>
          <cell r="D816">
            <v>1661</v>
          </cell>
        </row>
        <row r="817">
          <cell r="A817">
            <v>18419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18420</v>
          </cell>
          <cell r="B818">
            <v>0</v>
          </cell>
          <cell r="C818">
            <v>0</v>
          </cell>
          <cell r="D818">
            <v>0</v>
          </cell>
        </row>
        <row r="819">
          <cell r="A819">
            <v>18421</v>
          </cell>
          <cell r="B819">
            <v>1084310</v>
          </cell>
          <cell r="C819">
            <v>1074849</v>
          </cell>
          <cell r="D819">
            <v>923743</v>
          </cell>
        </row>
        <row r="820">
          <cell r="A820">
            <v>18422</v>
          </cell>
          <cell r="B820">
            <v>151758</v>
          </cell>
          <cell r="C820">
            <v>147194</v>
          </cell>
          <cell r="D820">
            <v>119642</v>
          </cell>
        </row>
        <row r="821">
          <cell r="A821">
            <v>18423</v>
          </cell>
          <cell r="B821">
            <v>2074671</v>
          </cell>
          <cell r="C821">
            <v>2041207</v>
          </cell>
          <cell r="D821">
            <v>1725637</v>
          </cell>
        </row>
        <row r="822">
          <cell r="A822">
            <v>18424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18425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18426</v>
          </cell>
          <cell r="B824">
            <v>2399</v>
          </cell>
          <cell r="C824">
            <v>2399</v>
          </cell>
          <cell r="D824">
            <v>2393</v>
          </cell>
        </row>
        <row r="825">
          <cell r="A825">
            <v>18429</v>
          </cell>
          <cell r="B825">
            <v>-3310535</v>
          </cell>
          <cell r="C825">
            <v>-3263047</v>
          </cell>
          <cell r="D825">
            <v>-2768818</v>
          </cell>
        </row>
        <row r="826">
          <cell r="A826">
            <v>18430</v>
          </cell>
          <cell r="B826">
            <v>4948</v>
          </cell>
          <cell r="C826">
            <v>4948</v>
          </cell>
          <cell r="D826">
            <v>6007</v>
          </cell>
        </row>
        <row r="827">
          <cell r="A827">
            <v>18431</v>
          </cell>
          <cell r="B827">
            <v>40879</v>
          </cell>
          <cell r="C827">
            <v>40945</v>
          </cell>
          <cell r="D827">
            <v>40031</v>
          </cell>
        </row>
        <row r="828">
          <cell r="A828">
            <v>18433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18435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18439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18440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18441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18450</v>
          </cell>
          <cell r="B833">
            <v>121</v>
          </cell>
          <cell r="C833">
            <v>121</v>
          </cell>
          <cell r="D833">
            <v>121</v>
          </cell>
        </row>
        <row r="834">
          <cell r="A834">
            <v>18451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18452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18453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18454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18455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18456</v>
          </cell>
          <cell r="B839">
            <v>0</v>
          </cell>
          <cell r="C839">
            <v>0</v>
          </cell>
          <cell r="D839">
            <v>0</v>
          </cell>
        </row>
        <row r="840">
          <cell r="A840">
            <v>18457</v>
          </cell>
          <cell r="B840">
            <v>0</v>
          </cell>
          <cell r="C840">
            <v>0</v>
          </cell>
          <cell r="D840">
            <v>0</v>
          </cell>
        </row>
        <row r="841">
          <cell r="A841">
            <v>18458</v>
          </cell>
          <cell r="B841">
            <v>0</v>
          </cell>
          <cell r="C841">
            <v>0</v>
          </cell>
          <cell r="D841">
            <v>0</v>
          </cell>
        </row>
        <row r="842">
          <cell r="A842">
            <v>18459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18465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18466</v>
          </cell>
          <cell r="B844">
            <v>3981</v>
          </cell>
          <cell r="C844">
            <v>3664</v>
          </cell>
          <cell r="D844">
            <v>3555</v>
          </cell>
        </row>
        <row r="845">
          <cell r="A845">
            <v>18467</v>
          </cell>
          <cell r="B845">
            <v>-94</v>
          </cell>
          <cell r="C845">
            <v>-94</v>
          </cell>
          <cell r="D845">
            <v>-94</v>
          </cell>
        </row>
        <row r="846">
          <cell r="A846">
            <v>18468</v>
          </cell>
          <cell r="B846">
            <v>28347</v>
          </cell>
          <cell r="C846">
            <v>27988</v>
          </cell>
          <cell r="D846">
            <v>26908</v>
          </cell>
        </row>
        <row r="847">
          <cell r="A847">
            <v>18469</v>
          </cell>
          <cell r="B847">
            <v>641811</v>
          </cell>
          <cell r="C847">
            <v>857714</v>
          </cell>
          <cell r="D847">
            <v>111566</v>
          </cell>
        </row>
        <row r="848">
          <cell r="A848">
            <v>18470</v>
          </cell>
          <cell r="B848">
            <v>-100296</v>
          </cell>
          <cell r="C848">
            <v>-81630</v>
          </cell>
          <cell r="D848">
            <v>-27769</v>
          </cell>
        </row>
        <row r="849">
          <cell r="A849">
            <v>18471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18472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18473</v>
          </cell>
          <cell r="B851">
            <v>0</v>
          </cell>
          <cell r="C851">
            <v>0</v>
          </cell>
          <cell r="D851">
            <v>0</v>
          </cell>
        </row>
        <row r="852">
          <cell r="A852">
            <v>18474</v>
          </cell>
          <cell r="B852">
            <v>0</v>
          </cell>
          <cell r="C852">
            <v>0</v>
          </cell>
          <cell r="D852">
            <v>0</v>
          </cell>
        </row>
        <row r="853">
          <cell r="A853">
            <v>18475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18476</v>
          </cell>
          <cell r="B854">
            <v>0</v>
          </cell>
          <cell r="C854">
            <v>0</v>
          </cell>
          <cell r="D854">
            <v>0</v>
          </cell>
        </row>
        <row r="855">
          <cell r="A855">
            <v>18477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18478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18479</v>
          </cell>
          <cell r="B857">
            <v>-2465</v>
          </cell>
          <cell r="C857">
            <v>-2436</v>
          </cell>
          <cell r="D857">
            <v>-1450</v>
          </cell>
        </row>
        <row r="858">
          <cell r="A858">
            <v>18480</v>
          </cell>
          <cell r="B858">
            <v>-205395</v>
          </cell>
          <cell r="C858">
            <v>-168345</v>
          </cell>
          <cell r="D858">
            <v>-51700</v>
          </cell>
        </row>
        <row r="859">
          <cell r="A859">
            <v>18481</v>
          </cell>
          <cell r="B859">
            <v>0</v>
          </cell>
          <cell r="C859">
            <v>0</v>
          </cell>
          <cell r="D859">
            <v>0</v>
          </cell>
        </row>
        <row r="860">
          <cell r="A860">
            <v>18482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18483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18484</v>
          </cell>
          <cell r="B862">
            <v>0</v>
          </cell>
          <cell r="C862">
            <v>0</v>
          </cell>
          <cell r="D862">
            <v>0</v>
          </cell>
        </row>
        <row r="863">
          <cell r="A863">
            <v>18485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18486</v>
          </cell>
          <cell r="B864">
            <v>0</v>
          </cell>
          <cell r="C864">
            <v>0</v>
          </cell>
          <cell r="D864">
            <v>0</v>
          </cell>
        </row>
        <row r="865">
          <cell r="A865">
            <v>18487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18488</v>
          </cell>
          <cell r="B866">
            <v>0</v>
          </cell>
          <cell r="C866">
            <v>0</v>
          </cell>
          <cell r="D866">
            <v>0</v>
          </cell>
        </row>
        <row r="867">
          <cell r="A867">
            <v>18489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18490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18491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18492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18493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18494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18495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18496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18497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18498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18499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18601</v>
          </cell>
          <cell r="B878">
            <v>194618</v>
          </cell>
          <cell r="C878">
            <v>128723</v>
          </cell>
          <cell r="D878">
            <v>507096</v>
          </cell>
        </row>
        <row r="879">
          <cell r="A879">
            <v>18602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18603</v>
          </cell>
          <cell r="B880">
            <v>113329</v>
          </cell>
          <cell r="C880">
            <v>95293</v>
          </cell>
          <cell r="D880">
            <v>47599</v>
          </cell>
        </row>
        <row r="881">
          <cell r="A881">
            <v>18604</v>
          </cell>
          <cell r="B881">
            <v>0</v>
          </cell>
          <cell r="C881">
            <v>0</v>
          </cell>
          <cell r="D881">
            <v>47171</v>
          </cell>
        </row>
        <row r="882">
          <cell r="A882">
            <v>18605</v>
          </cell>
          <cell r="B882">
            <v>195689</v>
          </cell>
          <cell r="C882">
            <v>195689</v>
          </cell>
          <cell r="D882">
            <v>195689</v>
          </cell>
        </row>
        <row r="883">
          <cell r="A883">
            <v>18606</v>
          </cell>
          <cell r="B883">
            <v>0</v>
          </cell>
          <cell r="C883">
            <v>0</v>
          </cell>
          <cell r="D883">
            <v>3846</v>
          </cell>
        </row>
        <row r="884">
          <cell r="A884">
            <v>18607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18608</v>
          </cell>
          <cell r="B885">
            <v>623</v>
          </cell>
          <cell r="C885">
            <v>312</v>
          </cell>
          <cell r="D885">
            <v>48</v>
          </cell>
        </row>
        <row r="886">
          <cell r="A886">
            <v>18609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18610</v>
          </cell>
          <cell r="B887">
            <v>614280</v>
          </cell>
          <cell r="C887">
            <v>611166</v>
          </cell>
          <cell r="D887">
            <v>768176</v>
          </cell>
        </row>
        <row r="888">
          <cell r="A888">
            <v>18611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18612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18613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18614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18615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18616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18617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18618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18619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18620</v>
          </cell>
          <cell r="B897">
            <v>3264</v>
          </cell>
          <cell r="C897">
            <v>3217</v>
          </cell>
          <cell r="D897">
            <v>696</v>
          </cell>
        </row>
        <row r="898">
          <cell r="A898">
            <v>18621</v>
          </cell>
          <cell r="B898">
            <v>0</v>
          </cell>
          <cell r="C898">
            <v>0</v>
          </cell>
          <cell r="D898">
            <v>84035</v>
          </cell>
        </row>
        <row r="899">
          <cell r="A899">
            <v>18622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18623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18624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18625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18626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18627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18628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18629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18630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18631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18632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18633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18634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18635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18637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18638</v>
          </cell>
          <cell r="B914">
            <v>0</v>
          </cell>
          <cell r="C914">
            <v>0</v>
          </cell>
          <cell r="D914">
            <v>0</v>
          </cell>
        </row>
        <row r="915">
          <cell r="A915">
            <v>18640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18641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18642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18643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18644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18645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18646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18647</v>
          </cell>
          <cell r="B922">
            <v>0</v>
          </cell>
          <cell r="C922">
            <v>0</v>
          </cell>
          <cell r="D922">
            <v>19231</v>
          </cell>
        </row>
        <row r="923">
          <cell r="A923">
            <v>18648</v>
          </cell>
          <cell r="B923">
            <v>14649</v>
          </cell>
          <cell r="C923">
            <v>8959</v>
          </cell>
          <cell r="D923">
            <v>1378</v>
          </cell>
        </row>
        <row r="924">
          <cell r="A924">
            <v>18650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18651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18652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18653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18654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18655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18656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18657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18658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18660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18661</v>
          </cell>
          <cell r="B934">
            <v>0</v>
          </cell>
          <cell r="C934">
            <v>0</v>
          </cell>
          <cell r="D934">
            <v>641717</v>
          </cell>
        </row>
        <row r="935">
          <cell r="A935">
            <v>18662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18663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18664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18665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18667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18669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18670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18677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18678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18679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18680</v>
          </cell>
          <cell r="B945">
            <v>0</v>
          </cell>
          <cell r="C945">
            <v>0</v>
          </cell>
          <cell r="D945">
            <v>1503</v>
          </cell>
        </row>
        <row r="946">
          <cell r="A946">
            <v>18681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18682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18683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18685</v>
          </cell>
          <cell r="B949">
            <v>0</v>
          </cell>
          <cell r="C949">
            <v>0</v>
          </cell>
          <cell r="D949">
            <v>0</v>
          </cell>
        </row>
        <row r="950">
          <cell r="A950">
            <v>18686</v>
          </cell>
          <cell r="B950">
            <v>0</v>
          </cell>
          <cell r="C950">
            <v>0</v>
          </cell>
          <cell r="D950">
            <v>0</v>
          </cell>
        </row>
        <row r="951">
          <cell r="A951">
            <v>18687</v>
          </cell>
          <cell r="B951">
            <v>0</v>
          </cell>
          <cell r="C951">
            <v>0</v>
          </cell>
          <cell r="D951">
            <v>0</v>
          </cell>
        </row>
        <row r="952">
          <cell r="A952">
            <v>18688</v>
          </cell>
          <cell r="B952">
            <v>0</v>
          </cell>
          <cell r="C952">
            <v>0</v>
          </cell>
          <cell r="D952">
            <v>0</v>
          </cell>
        </row>
        <row r="953">
          <cell r="A953">
            <v>18689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18690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18691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18695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18699</v>
          </cell>
          <cell r="B957">
            <v>0</v>
          </cell>
          <cell r="C957">
            <v>0</v>
          </cell>
          <cell r="D957">
            <v>154763</v>
          </cell>
        </row>
        <row r="958">
          <cell r="A958">
            <v>18701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18800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18805</v>
          </cell>
          <cell r="B960">
            <v>0</v>
          </cell>
          <cell r="C960">
            <v>0</v>
          </cell>
          <cell r="D960">
            <v>0</v>
          </cell>
        </row>
        <row r="961">
          <cell r="A961">
            <v>18806</v>
          </cell>
          <cell r="B961">
            <v>0</v>
          </cell>
          <cell r="C961">
            <v>0</v>
          </cell>
          <cell r="D961">
            <v>0</v>
          </cell>
        </row>
        <row r="962">
          <cell r="A962">
            <v>18807</v>
          </cell>
          <cell r="B962">
            <v>0</v>
          </cell>
          <cell r="C962">
            <v>0</v>
          </cell>
          <cell r="D962">
            <v>0</v>
          </cell>
        </row>
        <row r="963">
          <cell r="A963">
            <v>18811</v>
          </cell>
          <cell r="B963">
            <v>0</v>
          </cell>
          <cell r="C963">
            <v>0</v>
          </cell>
          <cell r="D963">
            <v>0</v>
          </cell>
        </row>
        <row r="964">
          <cell r="A964">
            <v>18812</v>
          </cell>
          <cell r="B964">
            <v>0</v>
          </cell>
          <cell r="C964">
            <v>0</v>
          </cell>
          <cell r="D964">
            <v>0</v>
          </cell>
        </row>
        <row r="965">
          <cell r="A965">
            <v>18814</v>
          </cell>
          <cell r="B965">
            <v>0</v>
          </cell>
          <cell r="C965">
            <v>0</v>
          </cell>
          <cell r="D965">
            <v>0</v>
          </cell>
        </row>
        <row r="966">
          <cell r="A966">
            <v>18815</v>
          </cell>
          <cell r="B966">
            <v>0</v>
          </cell>
          <cell r="C966">
            <v>0</v>
          </cell>
          <cell r="D966">
            <v>0</v>
          </cell>
        </row>
        <row r="967">
          <cell r="A967">
            <v>18816</v>
          </cell>
          <cell r="B967">
            <v>0</v>
          </cell>
          <cell r="C967">
            <v>0</v>
          </cell>
          <cell r="D967">
            <v>0</v>
          </cell>
        </row>
        <row r="968">
          <cell r="A968">
            <v>18817</v>
          </cell>
          <cell r="B968">
            <v>0</v>
          </cell>
          <cell r="C968">
            <v>0</v>
          </cell>
          <cell r="D968">
            <v>0</v>
          </cell>
        </row>
        <row r="969">
          <cell r="A969">
            <v>18818</v>
          </cell>
          <cell r="B969">
            <v>0</v>
          </cell>
          <cell r="C969">
            <v>0</v>
          </cell>
          <cell r="D969">
            <v>0</v>
          </cell>
        </row>
        <row r="970">
          <cell r="A970">
            <v>18819</v>
          </cell>
          <cell r="B970">
            <v>0</v>
          </cell>
          <cell r="C970">
            <v>0</v>
          </cell>
          <cell r="D970">
            <v>0</v>
          </cell>
        </row>
        <row r="971">
          <cell r="A971">
            <v>18820</v>
          </cell>
          <cell r="B971">
            <v>0</v>
          </cell>
          <cell r="C971">
            <v>0</v>
          </cell>
          <cell r="D971">
            <v>0</v>
          </cell>
        </row>
        <row r="972">
          <cell r="A972">
            <v>18821</v>
          </cell>
          <cell r="B972">
            <v>0</v>
          </cell>
          <cell r="C972">
            <v>0</v>
          </cell>
          <cell r="D972">
            <v>0</v>
          </cell>
        </row>
        <row r="973">
          <cell r="A973">
            <v>18822</v>
          </cell>
          <cell r="B973">
            <v>0</v>
          </cell>
          <cell r="C973">
            <v>0</v>
          </cell>
          <cell r="D973">
            <v>0</v>
          </cell>
        </row>
        <row r="974">
          <cell r="A974">
            <v>18823</v>
          </cell>
          <cell r="B974">
            <v>0</v>
          </cell>
          <cell r="C974">
            <v>0</v>
          </cell>
          <cell r="D974">
            <v>0</v>
          </cell>
        </row>
        <row r="975">
          <cell r="A975">
            <v>18825</v>
          </cell>
          <cell r="B975">
            <v>0</v>
          </cell>
          <cell r="C975">
            <v>0</v>
          </cell>
          <cell r="D975">
            <v>0</v>
          </cell>
        </row>
        <row r="976">
          <cell r="A976">
            <v>18826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18827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18828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18910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18915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18916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18921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18923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18924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18925</v>
          </cell>
          <cell r="B985">
            <v>0</v>
          </cell>
          <cell r="C985">
            <v>0</v>
          </cell>
          <cell r="D985">
            <v>0</v>
          </cell>
        </row>
        <row r="986">
          <cell r="A986">
            <v>18926</v>
          </cell>
          <cell r="B986">
            <v>0</v>
          </cell>
          <cell r="C986">
            <v>0</v>
          </cell>
          <cell r="D986">
            <v>0</v>
          </cell>
        </row>
        <row r="987">
          <cell r="A987">
            <v>18942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18943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19001</v>
          </cell>
          <cell r="B989">
            <v>-3941</v>
          </cell>
          <cell r="C989">
            <v>-4145</v>
          </cell>
          <cell r="D989">
            <v>-6464</v>
          </cell>
        </row>
        <row r="990">
          <cell r="A990">
            <v>19002</v>
          </cell>
          <cell r="B990">
            <v>819050</v>
          </cell>
          <cell r="C990">
            <v>817821</v>
          </cell>
          <cell r="D990">
            <v>803877</v>
          </cell>
        </row>
        <row r="991">
          <cell r="A991">
            <v>19003</v>
          </cell>
          <cell r="B991">
            <v>3116702</v>
          </cell>
          <cell r="C991">
            <v>3088807</v>
          </cell>
          <cell r="D991">
            <v>2985498</v>
          </cell>
        </row>
        <row r="992">
          <cell r="A992">
            <v>19004</v>
          </cell>
          <cell r="B992">
            <v>19143767</v>
          </cell>
          <cell r="C992">
            <v>18976012</v>
          </cell>
          <cell r="D992">
            <v>18370151</v>
          </cell>
        </row>
        <row r="993">
          <cell r="A993">
            <v>19005</v>
          </cell>
          <cell r="B993">
            <v>0</v>
          </cell>
          <cell r="C993">
            <v>0</v>
          </cell>
          <cell r="D993">
            <v>0</v>
          </cell>
        </row>
        <row r="994">
          <cell r="A994">
            <v>19006</v>
          </cell>
          <cell r="B994">
            <v>0</v>
          </cell>
          <cell r="C994">
            <v>0</v>
          </cell>
          <cell r="D994">
            <v>0</v>
          </cell>
        </row>
        <row r="995">
          <cell r="A995">
            <v>19007</v>
          </cell>
          <cell r="B995">
            <v>0</v>
          </cell>
          <cell r="C995">
            <v>0</v>
          </cell>
          <cell r="D995">
            <v>0</v>
          </cell>
        </row>
        <row r="996">
          <cell r="A996">
            <v>19008</v>
          </cell>
          <cell r="B996">
            <v>0</v>
          </cell>
          <cell r="C996">
            <v>0</v>
          </cell>
          <cell r="D996">
            <v>0</v>
          </cell>
        </row>
        <row r="997">
          <cell r="A997">
            <v>19009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19010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19011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19012</v>
          </cell>
          <cell r="B1000">
            <v>7107955</v>
          </cell>
          <cell r="C1000">
            <v>7065116</v>
          </cell>
          <cell r="D1000">
            <v>5925476</v>
          </cell>
        </row>
        <row r="1001">
          <cell r="A1001">
            <v>19013</v>
          </cell>
          <cell r="B1001">
            <v>42765916</v>
          </cell>
          <cell r="C1001">
            <v>42508297</v>
          </cell>
          <cell r="D1001">
            <v>35653850</v>
          </cell>
        </row>
        <row r="1002">
          <cell r="A1002">
            <v>19014</v>
          </cell>
          <cell r="B1002">
            <v>4613083</v>
          </cell>
          <cell r="C1002">
            <v>4598480</v>
          </cell>
          <cell r="D1002">
            <v>4004281</v>
          </cell>
        </row>
        <row r="1003">
          <cell r="A1003">
            <v>19015</v>
          </cell>
          <cell r="B1003">
            <v>28084434</v>
          </cell>
          <cell r="C1003">
            <v>27996616</v>
          </cell>
          <cell r="D1003">
            <v>24421366</v>
          </cell>
        </row>
        <row r="1004">
          <cell r="A1004">
            <v>19016</v>
          </cell>
          <cell r="B1004">
            <v>6411207</v>
          </cell>
          <cell r="C1004">
            <v>6408143</v>
          </cell>
          <cell r="D1004">
            <v>6374440</v>
          </cell>
        </row>
        <row r="1005">
          <cell r="A1005">
            <v>19017</v>
          </cell>
          <cell r="B1005">
            <v>38557929</v>
          </cell>
          <cell r="C1005">
            <v>38539503</v>
          </cell>
          <cell r="D1005">
            <v>38336826</v>
          </cell>
        </row>
        <row r="1006">
          <cell r="A1006">
            <v>19021</v>
          </cell>
          <cell r="B1006">
            <v>8723</v>
          </cell>
          <cell r="C1006">
            <v>8620</v>
          </cell>
          <cell r="D1006">
            <v>7625</v>
          </cell>
        </row>
        <row r="1007">
          <cell r="A1007">
            <v>19022</v>
          </cell>
          <cell r="B1007">
            <v>445713</v>
          </cell>
          <cell r="C1007">
            <v>445090</v>
          </cell>
          <cell r="D1007">
            <v>442921</v>
          </cell>
        </row>
        <row r="1008">
          <cell r="A1008">
            <v>19023</v>
          </cell>
          <cell r="B1008">
            <v>41899</v>
          </cell>
          <cell r="C1008">
            <v>43992</v>
          </cell>
          <cell r="D1008">
            <v>70260</v>
          </cell>
        </row>
        <row r="1009">
          <cell r="A1009">
            <v>19024</v>
          </cell>
          <cell r="B1009">
            <v>178604</v>
          </cell>
          <cell r="C1009">
            <v>187529</v>
          </cell>
          <cell r="D1009">
            <v>300167</v>
          </cell>
        </row>
        <row r="1010">
          <cell r="A1010">
            <v>19025</v>
          </cell>
          <cell r="B1010">
            <v>6107205</v>
          </cell>
          <cell r="C1010">
            <v>6115947</v>
          </cell>
          <cell r="D1010">
            <v>6617291</v>
          </cell>
        </row>
        <row r="1011">
          <cell r="A1011">
            <v>19026</v>
          </cell>
          <cell r="B1011">
            <v>66740404</v>
          </cell>
          <cell r="C1011">
            <v>66740404</v>
          </cell>
          <cell r="D1011">
            <v>62853340</v>
          </cell>
        </row>
        <row r="1012">
          <cell r="A1012">
            <v>19027</v>
          </cell>
          <cell r="B1012">
            <v>11098177</v>
          </cell>
          <cell r="C1012">
            <v>11098177</v>
          </cell>
          <cell r="D1012">
            <v>10451802</v>
          </cell>
        </row>
        <row r="1013">
          <cell r="A1013">
            <v>19028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19029</v>
          </cell>
          <cell r="B1014">
            <v>0</v>
          </cell>
          <cell r="C1014">
            <v>0</v>
          </cell>
          <cell r="D1014">
            <v>0</v>
          </cell>
        </row>
        <row r="1015">
          <cell r="A1015">
            <v>19041</v>
          </cell>
          <cell r="B1015">
            <v>2200469</v>
          </cell>
          <cell r="C1015">
            <v>2083505</v>
          </cell>
          <cell r="D1015">
            <v>4632943</v>
          </cell>
        </row>
        <row r="1016">
          <cell r="A1016">
            <v>19042</v>
          </cell>
          <cell r="B1016">
            <v>13232818</v>
          </cell>
          <cell r="C1016">
            <v>12529438</v>
          </cell>
          <cell r="D1016">
            <v>27860836</v>
          </cell>
        </row>
        <row r="1017">
          <cell r="A1017">
            <v>19045</v>
          </cell>
          <cell r="B1017">
            <v>355898</v>
          </cell>
          <cell r="C1017">
            <v>357704</v>
          </cell>
          <cell r="D1017">
            <v>377577</v>
          </cell>
        </row>
        <row r="1018">
          <cell r="A1018">
            <v>19046</v>
          </cell>
          <cell r="B1018">
            <v>2140238</v>
          </cell>
          <cell r="C1018">
            <v>2151102</v>
          </cell>
          <cell r="D1018">
            <v>2270608</v>
          </cell>
        </row>
        <row r="1019">
          <cell r="A1019">
            <v>20101</v>
          </cell>
          <cell r="B1019">
            <v>-119696788</v>
          </cell>
          <cell r="C1019">
            <v>-119696788</v>
          </cell>
          <cell r="D1019">
            <v>-119696788</v>
          </cell>
        </row>
        <row r="1020">
          <cell r="A1020">
            <v>20401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20402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20403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20404</v>
          </cell>
          <cell r="B1023">
            <v>0</v>
          </cell>
          <cell r="C1023">
            <v>0</v>
          </cell>
          <cell r="D1023">
            <v>0</v>
          </cell>
        </row>
        <row r="1024">
          <cell r="A1024">
            <v>20405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20406</v>
          </cell>
          <cell r="B1025">
            <v>0</v>
          </cell>
          <cell r="C1025">
            <v>0</v>
          </cell>
          <cell r="D1025">
            <v>0</v>
          </cell>
        </row>
        <row r="1026">
          <cell r="A1026">
            <v>20701</v>
          </cell>
          <cell r="B1026">
            <v>0</v>
          </cell>
          <cell r="C1026">
            <v>0</v>
          </cell>
          <cell r="D1026">
            <v>0</v>
          </cell>
        </row>
        <row r="1027">
          <cell r="A1027">
            <v>20702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21001</v>
          </cell>
          <cell r="B1028">
            <v>0</v>
          </cell>
          <cell r="C1028">
            <v>0</v>
          </cell>
          <cell r="D1028">
            <v>0</v>
          </cell>
        </row>
        <row r="1029">
          <cell r="A1029">
            <v>21101</v>
          </cell>
          <cell r="B1029">
            <v>-1527840249</v>
          </cell>
          <cell r="C1029">
            <v>-1527840249</v>
          </cell>
          <cell r="D1029">
            <v>-1527840249</v>
          </cell>
        </row>
        <row r="1030">
          <cell r="A1030">
            <v>21401</v>
          </cell>
          <cell r="B1030">
            <v>700921</v>
          </cell>
          <cell r="C1030">
            <v>700921</v>
          </cell>
          <cell r="D1030">
            <v>700921</v>
          </cell>
        </row>
        <row r="1031">
          <cell r="A1031">
            <v>21402</v>
          </cell>
          <cell r="B1031">
            <v>0</v>
          </cell>
          <cell r="C1031">
            <v>0</v>
          </cell>
          <cell r="D1031">
            <v>0</v>
          </cell>
        </row>
        <row r="1032">
          <cell r="A1032">
            <v>21403</v>
          </cell>
          <cell r="B1032">
            <v>0</v>
          </cell>
          <cell r="C1032">
            <v>0</v>
          </cell>
          <cell r="D1032">
            <v>0</v>
          </cell>
        </row>
        <row r="1033">
          <cell r="A1033">
            <v>21404</v>
          </cell>
          <cell r="B1033">
            <v>0</v>
          </cell>
          <cell r="C1033">
            <v>0</v>
          </cell>
          <cell r="D1033">
            <v>0</v>
          </cell>
        </row>
        <row r="1034">
          <cell r="A1034">
            <v>21405</v>
          </cell>
          <cell r="B1034">
            <v>0</v>
          </cell>
          <cell r="C1034">
            <v>0</v>
          </cell>
          <cell r="D1034">
            <v>0</v>
          </cell>
        </row>
        <row r="1035">
          <cell r="A1035">
            <v>21406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21601</v>
          </cell>
          <cell r="B1036">
            <v>-143039405</v>
          </cell>
          <cell r="C1036">
            <v>-165985403</v>
          </cell>
          <cell r="D1036">
            <v>-102871906</v>
          </cell>
        </row>
        <row r="1037">
          <cell r="A1037">
            <v>21901</v>
          </cell>
          <cell r="B1037">
            <v>24572776</v>
          </cell>
          <cell r="C1037">
            <v>23201439</v>
          </cell>
          <cell r="D1037">
            <v>51308618</v>
          </cell>
        </row>
        <row r="1038">
          <cell r="A1038">
            <v>21902</v>
          </cell>
          <cell r="B1038">
            <v>-24572776</v>
          </cell>
          <cell r="C1038">
            <v>-23201439</v>
          </cell>
          <cell r="D1038">
            <v>-51308618</v>
          </cell>
        </row>
        <row r="1039">
          <cell r="A1039">
            <v>21903</v>
          </cell>
          <cell r="B1039">
            <v>123946464</v>
          </cell>
          <cell r="C1039">
            <v>123946464</v>
          </cell>
          <cell r="D1039">
            <v>116727630</v>
          </cell>
        </row>
        <row r="1040">
          <cell r="A1040">
            <v>21904</v>
          </cell>
          <cell r="B1040">
            <v>-123946464</v>
          </cell>
          <cell r="C1040">
            <v>-123946464</v>
          </cell>
          <cell r="D1040">
            <v>-116727630</v>
          </cell>
        </row>
        <row r="1041">
          <cell r="A1041">
            <v>21906</v>
          </cell>
          <cell r="B1041">
            <v>3974728</v>
          </cell>
          <cell r="C1041">
            <v>3994905</v>
          </cell>
          <cell r="D1041">
            <v>4216844</v>
          </cell>
        </row>
        <row r="1042">
          <cell r="A1042">
            <v>22104</v>
          </cell>
          <cell r="B1042">
            <v>0</v>
          </cell>
          <cell r="C1042">
            <v>0</v>
          </cell>
          <cell r="D1042">
            <v>0</v>
          </cell>
        </row>
        <row r="1043">
          <cell r="A1043">
            <v>22105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22106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22107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22108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22109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22110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22111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22112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22113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22114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22115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22116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22117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22118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22119</v>
          </cell>
          <cell r="B1057">
            <v>0</v>
          </cell>
          <cell r="C1057">
            <v>0</v>
          </cell>
          <cell r="D1057">
            <v>0</v>
          </cell>
        </row>
        <row r="1058">
          <cell r="A1058">
            <v>22120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22121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22122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22124</v>
          </cell>
          <cell r="B1061">
            <v>0</v>
          </cell>
          <cell r="C1061">
            <v>0</v>
          </cell>
          <cell r="D1061">
            <v>0</v>
          </cell>
        </row>
        <row r="1062">
          <cell r="A1062">
            <v>22125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22126</v>
          </cell>
          <cell r="B1063">
            <v>0</v>
          </cell>
          <cell r="C1063">
            <v>0</v>
          </cell>
          <cell r="D1063">
            <v>0</v>
          </cell>
        </row>
        <row r="1064">
          <cell r="A1064">
            <v>22128</v>
          </cell>
          <cell r="B1064">
            <v>-250000000</v>
          </cell>
          <cell r="C1064">
            <v>-250000000</v>
          </cell>
          <cell r="D1064">
            <v>-250000000</v>
          </cell>
        </row>
        <row r="1065">
          <cell r="A1065">
            <v>22129</v>
          </cell>
          <cell r="B1065">
            <v>0</v>
          </cell>
          <cell r="C1065">
            <v>0</v>
          </cell>
          <cell r="D1065">
            <v>0</v>
          </cell>
        </row>
        <row r="1066">
          <cell r="A1066">
            <v>22130</v>
          </cell>
          <cell r="B1066">
            <v>0</v>
          </cell>
          <cell r="C1066">
            <v>0</v>
          </cell>
          <cell r="D1066">
            <v>0</v>
          </cell>
        </row>
        <row r="1067">
          <cell r="A1067">
            <v>22131</v>
          </cell>
          <cell r="B1067">
            <v>0</v>
          </cell>
          <cell r="C1067">
            <v>0</v>
          </cell>
          <cell r="D1067">
            <v>0</v>
          </cell>
        </row>
        <row r="1068">
          <cell r="A1068">
            <v>22132</v>
          </cell>
          <cell r="B1068">
            <v>0</v>
          </cell>
          <cell r="C1068">
            <v>0</v>
          </cell>
          <cell r="D1068">
            <v>0</v>
          </cell>
        </row>
        <row r="1069">
          <cell r="A1069">
            <v>22133</v>
          </cell>
          <cell r="B1069">
            <v>0</v>
          </cell>
          <cell r="C1069">
            <v>0</v>
          </cell>
          <cell r="D1069">
            <v>0</v>
          </cell>
        </row>
        <row r="1070">
          <cell r="A1070">
            <v>22134</v>
          </cell>
          <cell r="B1070">
            <v>0</v>
          </cell>
          <cell r="C1070">
            <v>0</v>
          </cell>
          <cell r="D1070">
            <v>0</v>
          </cell>
        </row>
        <row r="1071">
          <cell r="A1071">
            <v>22137</v>
          </cell>
          <cell r="B1071">
            <v>0</v>
          </cell>
          <cell r="C1071">
            <v>0</v>
          </cell>
          <cell r="D1071">
            <v>0</v>
          </cell>
        </row>
        <row r="1072">
          <cell r="A1072">
            <v>22144</v>
          </cell>
          <cell r="B1072">
            <v>-190000000</v>
          </cell>
          <cell r="C1072">
            <v>-190000000</v>
          </cell>
          <cell r="D1072">
            <v>-190000000</v>
          </cell>
        </row>
        <row r="1073">
          <cell r="A1073">
            <v>22145</v>
          </cell>
          <cell r="B1073">
            <v>-85950000</v>
          </cell>
          <cell r="C1073">
            <v>-85950000</v>
          </cell>
          <cell r="D1073">
            <v>-85950000</v>
          </cell>
        </row>
        <row r="1074">
          <cell r="A1074">
            <v>22146</v>
          </cell>
          <cell r="B1074">
            <v>-210000000</v>
          </cell>
          <cell r="C1074">
            <v>-210000000</v>
          </cell>
          <cell r="D1074">
            <v>-210000000</v>
          </cell>
        </row>
        <row r="1075">
          <cell r="A1075">
            <v>22147</v>
          </cell>
          <cell r="B1075">
            <v>-60685000</v>
          </cell>
          <cell r="C1075">
            <v>-60685000</v>
          </cell>
          <cell r="D1075">
            <v>-60685000</v>
          </cell>
        </row>
        <row r="1076">
          <cell r="A1076">
            <v>22148</v>
          </cell>
          <cell r="B1076">
            <v>-86400000</v>
          </cell>
          <cell r="C1076">
            <v>-86400000</v>
          </cell>
          <cell r="D1076">
            <v>-86400000</v>
          </cell>
        </row>
        <row r="1077">
          <cell r="A1077">
            <v>22149</v>
          </cell>
          <cell r="B1077">
            <v>-330000000</v>
          </cell>
          <cell r="C1077">
            <v>-330000000</v>
          </cell>
          <cell r="D1077">
            <v>-330000000</v>
          </cell>
        </row>
        <row r="1078">
          <cell r="A1078">
            <v>22150</v>
          </cell>
          <cell r="B1078">
            <v>0</v>
          </cell>
          <cell r="C1078">
            <v>0</v>
          </cell>
          <cell r="D1078">
            <v>0</v>
          </cell>
        </row>
        <row r="1079">
          <cell r="A1079">
            <v>22151</v>
          </cell>
          <cell r="B1079">
            <v>-250000000</v>
          </cell>
          <cell r="C1079">
            <v>-250000000</v>
          </cell>
          <cell r="D1079">
            <v>-250000000</v>
          </cell>
        </row>
        <row r="1080">
          <cell r="A1080">
            <v>22154</v>
          </cell>
          <cell r="B1080">
            <v>-54200000</v>
          </cell>
          <cell r="C1080">
            <v>-54200000</v>
          </cell>
          <cell r="D1080">
            <v>-54200000</v>
          </cell>
        </row>
        <row r="1081">
          <cell r="A1081">
            <v>22155</v>
          </cell>
          <cell r="B1081">
            <v>-51600000</v>
          </cell>
          <cell r="C1081">
            <v>-51600000</v>
          </cell>
          <cell r="D1081">
            <v>-51600000</v>
          </cell>
        </row>
        <row r="1082">
          <cell r="A1082">
            <v>22156</v>
          </cell>
          <cell r="B1082">
            <v>0</v>
          </cell>
          <cell r="C1082">
            <v>0</v>
          </cell>
          <cell r="D1082">
            <v>0</v>
          </cell>
        </row>
        <row r="1083">
          <cell r="A1083">
            <v>22157</v>
          </cell>
          <cell r="B1083">
            <v>-200000000</v>
          </cell>
          <cell r="C1083">
            <v>-200000000</v>
          </cell>
          <cell r="D1083">
            <v>-161538462</v>
          </cell>
        </row>
        <row r="1084">
          <cell r="A1084">
            <v>22158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22159</v>
          </cell>
          <cell r="B1085">
            <v>0</v>
          </cell>
          <cell r="C1085">
            <v>0</v>
          </cell>
          <cell r="D1085">
            <v>0</v>
          </cell>
        </row>
        <row r="1086">
          <cell r="A1086">
            <v>22160</v>
          </cell>
          <cell r="B1086">
            <v>0</v>
          </cell>
          <cell r="C1086">
            <v>0</v>
          </cell>
          <cell r="D1086">
            <v>0</v>
          </cell>
        </row>
        <row r="1087">
          <cell r="A1087">
            <v>22161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22162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22163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22164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22168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22401</v>
          </cell>
          <cell r="B1092">
            <v>0</v>
          </cell>
          <cell r="C1092">
            <v>0</v>
          </cell>
          <cell r="D1092">
            <v>0</v>
          </cell>
        </row>
        <row r="1093">
          <cell r="A1093">
            <v>22505</v>
          </cell>
          <cell r="B1093">
            <v>0</v>
          </cell>
          <cell r="C1093">
            <v>0</v>
          </cell>
          <cell r="D1093">
            <v>0</v>
          </cell>
        </row>
        <row r="1094">
          <cell r="A1094">
            <v>22506</v>
          </cell>
          <cell r="B1094">
            <v>0</v>
          </cell>
          <cell r="C1094">
            <v>0</v>
          </cell>
          <cell r="D1094">
            <v>0</v>
          </cell>
        </row>
        <row r="1095">
          <cell r="A1095">
            <v>22507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22508</v>
          </cell>
          <cell r="B1096">
            <v>0</v>
          </cell>
          <cell r="C1096">
            <v>0</v>
          </cell>
          <cell r="D1096">
            <v>0</v>
          </cell>
        </row>
        <row r="1097">
          <cell r="A1097">
            <v>22511</v>
          </cell>
          <cell r="B1097">
            <v>0</v>
          </cell>
          <cell r="C1097">
            <v>0</v>
          </cell>
          <cell r="D1097">
            <v>0</v>
          </cell>
        </row>
        <row r="1098">
          <cell r="A1098">
            <v>22512</v>
          </cell>
          <cell r="B1098">
            <v>0</v>
          </cell>
          <cell r="C1098">
            <v>0</v>
          </cell>
          <cell r="D1098">
            <v>0</v>
          </cell>
        </row>
        <row r="1099">
          <cell r="A1099">
            <v>22513</v>
          </cell>
          <cell r="B1099">
            <v>0</v>
          </cell>
          <cell r="C1099">
            <v>0</v>
          </cell>
          <cell r="D1099">
            <v>0</v>
          </cell>
        </row>
        <row r="1100">
          <cell r="A1100">
            <v>22514</v>
          </cell>
          <cell r="B1100">
            <v>0</v>
          </cell>
          <cell r="C1100">
            <v>0</v>
          </cell>
          <cell r="D1100">
            <v>0</v>
          </cell>
        </row>
        <row r="1101">
          <cell r="A1101">
            <v>22544</v>
          </cell>
          <cell r="B1101">
            <v>0</v>
          </cell>
          <cell r="C1101">
            <v>0</v>
          </cell>
          <cell r="D1101">
            <v>0</v>
          </cell>
        </row>
        <row r="1102">
          <cell r="A1102">
            <v>22545</v>
          </cell>
          <cell r="B1102">
            <v>0</v>
          </cell>
          <cell r="C1102">
            <v>0</v>
          </cell>
          <cell r="D1102">
            <v>0</v>
          </cell>
        </row>
        <row r="1103">
          <cell r="A1103">
            <v>22546</v>
          </cell>
          <cell r="B1103">
            <v>-337947</v>
          </cell>
          <cell r="C1103">
            <v>-341877</v>
          </cell>
          <cell r="D1103">
            <v>-385102</v>
          </cell>
        </row>
        <row r="1104">
          <cell r="A1104">
            <v>22557</v>
          </cell>
          <cell r="B1104">
            <v>-2768749</v>
          </cell>
          <cell r="C1104">
            <v>-2782803</v>
          </cell>
          <cell r="D1104">
            <v>-1764388</v>
          </cell>
        </row>
        <row r="1105">
          <cell r="A1105">
            <v>22601</v>
          </cell>
          <cell r="B1105">
            <v>0</v>
          </cell>
          <cell r="C1105">
            <v>0</v>
          </cell>
          <cell r="D1105">
            <v>0</v>
          </cell>
        </row>
        <row r="1106">
          <cell r="A1106">
            <v>22602</v>
          </cell>
          <cell r="B1106">
            <v>0</v>
          </cell>
          <cell r="C1106">
            <v>0</v>
          </cell>
          <cell r="D1106">
            <v>0</v>
          </cell>
        </row>
        <row r="1107">
          <cell r="A1107">
            <v>22603</v>
          </cell>
          <cell r="B1107">
            <v>0</v>
          </cell>
          <cell r="C1107">
            <v>0</v>
          </cell>
          <cell r="D1107">
            <v>0</v>
          </cell>
        </row>
        <row r="1108">
          <cell r="A1108">
            <v>22628</v>
          </cell>
          <cell r="B1108">
            <v>1364638</v>
          </cell>
          <cell r="C1108">
            <v>1366808</v>
          </cell>
          <cell r="D1108">
            <v>1390673</v>
          </cell>
        </row>
        <row r="1109">
          <cell r="A1109">
            <v>22644</v>
          </cell>
          <cell r="B1109">
            <v>977866</v>
          </cell>
          <cell r="C1109">
            <v>979364</v>
          </cell>
          <cell r="D1109">
            <v>995836</v>
          </cell>
        </row>
        <row r="1110">
          <cell r="A1110">
            <v>22645</v>
          </cell>
          <cell r="B1110">
            <v>0</v>
          </cell>
          <cell r="C1110">
            <v>0</v>
          </cell>
          <cell r="D1110">
            <v>0</v>
          </cell>
        </row>
        <row r="1111">
          <cell r="A1111">
            <v>22646</v>
          </cell>
          <cell r="B1111">
            <v>186639</v>
          </cell>
          <cell r="C1111">
            <v>189996</v>
          </cell>
          <cell r="D1111">
            <v>226921</v>
          </cell>
        </row>
        <row r="1112">
          <cell r="A1112">
            <v>22647</v>
          </cell>
          <cell r="B1112">
            <v>685799</v>
          </cell>
          <cell r="C1112">
            <v>687902</v>
          </cell>
          <cell r="D1112">
            <v>711043</v>
          </cell>
        </row>
        <row r="1113">
          <cell r="A1113">
            <v>22649</v>
          </cell>
          <cell r="B1113">
            <v>652690</v>
          </cell>
          <cell r="C1113">
            <v>663765</v>
          </cell>
          <cell r="D1113">
            <v>785592</v>
          </cell>
        </row>
        <row r="1114">
          <cell r="A1114">
            <v>22650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22812</v>
          </cell>
          <cell r="B1115">
            <v>-30652263</v>
          </cell>
          <cell r="C1115">
            <v>-30318930</v>
          </cell>
          <cell r="D1115">
            <v>-26729185</v>
          </cell>
        </row>
        <row r="1116">
          <cell r="A1116">
            <v>22821</v>
          </cell>
          <cell r="B1116">
            <v>-8916687</v>
          </cell>
          <cell r="C1116">
            <v>-8802998</v>
          </cell>
          <cell r="D1116">
            <v>-9689049</v>
          </cell>
        </row>
        <row r="1117">
          <cell r="A1117">
            <v>22822</v>
          </cell>
          <cell r="B1117">
            <v>-9702140</v>
          </cell>
          <cell r="C1117">
            <v>-9641966</v>
          </cell>
          <cell r="D1117">
            <v>-10598028</v>
          </cell>
        </row>
        <row r="1118">
          <cell r="A1118">
            <v>22823</v>
          </cell>
          <cell r="B1118">
            <v>839366</v>
          </cell>
          <cell r="C1118">
            <v>839366</v>
          </cell>
          <cell r="D1118">
            <v>839366</v>
          </cell>
        </row>
        <row r="1119">
          <cell r="A1119">
            <v>22824</v>
          </cell>
          <cell r="B1119">
            <v>-90156</v>
          </cell>
          <cell r="C1119">
            <v>-90156</v>
          </cell>
          <cell r="D1119">
            <v>-107832</v>
          </cell>
        </row>
        <row r="1120">
          <cell r="A1120">
            <v>22825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22826</v>
          </cell>
          <cell r="B1121">
            <v>0</v>
          </cell>
          <cell r="C1121">
            <v>0</v>
          </cell>
          <cell r="D1121">
            <v>0</v>
          </cell>
        </row>
        <row r="1122">
          <cell r="A1122">
            <v>22830</v>
          </cell>
          <cell r="B1122">
            <v>29050127</v>
          </cell>
          <cell r="C1122">
            <v>29728752</v>
          </cell>
          <cell r="D1122">
            <v>32776924</v>
          </cell>
        </row>
        <row r="1123">
          <cell r="A1123">
            <v>22831</v>
          </cell>
          <cell r="B1123">
            <v>-152442479</v>
          </cell>
          <cell r="C1123">
            <v>-152442479</v>
          </cell>
          <cell r="D1123">
            <v>-153089190</v>
          </cell>
        </row>
        <row r="1124">
          <cell r="A1124">
            <v>22832</v>
          </cell>
          <cell r="B1124">
            <v>-2767423</v>
          </cell>
          <cell r="C1124">
            <v>-2767423</v>
          </cell>
          <cell r="D1124">
            <v>-1277272</v>
          </cell>
        </row>
        <row r="1125">
          <cell r="A1125">
            <v>22833</v>
          </cell>
          <cell r="B1125">
            <v>-4455629</v>
          </cell>
          <cell r="C1125">
            <v>-4460545</v>
          </cell>
          <cell r="D1125">
            <v>-5708299</v>
          </cell>
        </row>
        <row r="1126">
          <cell r="A1126">
            <v>22834</v>
          </cell>
          <cell r="B1126">
            <v>-101172011</v>
          </cell>
          <cell r="C1126">
            <v>-100919633</v>
          </cell>
          <cell r="D1126">
            <v>-100064031</v>
          </cell>
        </row>
        <row r="1127">
          <cell r="A1127">
            <v>22835</v>
          </cell>
          <cell r="B1127">
            <v>-15317114</v>
          </cell>
          <cell r="C1127">
            <v>-15345629</v>
          </cell>
          <cell r="D1127">
            <v>-16921828</v>
          </cell>
        </row>
        <row r="1128">
          <cell r="A1128">
            <v>22836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22837</v>
          </cell>
          <cell r="B1129">
            <v>-37697909</v>
          </cell>
          <cell r="C1129">
            <v>-37697909</v>
          </cell>
          <cell r="D1129">
            <v>-26158277</v>
          </cell>
        </row>
        <row r="1130">
          <cell r="A1130">
            <v>22838</v>
          </cell>
          <cell r="B1130">
            <v>-1512008</v>
          </cell>
          <cell r="C1130">
            <v>-1512008</v>
          </cell>
          <cell r="D1130">
            <v>-672218</v>
          </cell>
        </row>
        <row r="1131">
          <cell r="A1131">
            <v>22901</v>
          </cell>
          <cell r="B1131">
            <v>0</v>
          </cell>
          <cell r="C1131">
            <v>0</v>
          </cell>
          <cell r="D1131">
            <v>0</v>
          </cell>
        </row>
        <row r="1132">
          <cell r="A1132">
            <v>22902</v>
          </cell>
          <cell r="B1132">
            <v>0</v>
          </cell>
          <cell r="C1132">
            <v>0</v>
          </cell>
          <cell r="D1132">
            <v>0</v>
          </cell>
        </row>
        <row r="1133">
          <cell r="A1133">
            <v>23000</v>
          </cell>
          <cell r="B1133">
            <v>-200000</v>
          </cell>
          <cell r="C1133">
            <v>-200000</v>
          </cell>
          <cell r="D1133">
            <v>-200000</v>
          </cell>
        </row>
        <row r="1134">
          <cell r="A1134">
            <v>23001</v>
          </cell>
          <cell r="B1134">
            <v>-31549516</v>
          </cell>
          <cell r="C1134">
            <v>-31485546</v>
          </cell>
          <cell r="D1134">
            <v>-30795998</v>
          </cell>
        </row>
        <row r="1135">
          <cell r="A1135">
            <v>23004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23005</v>
          </cell>
          <cell r="B1136">
            <v>0</v>
          </cell>
          <cell r="C1136">
            <v>0</v>
          </cell>
          <cell r="D1136">
            <v>0</v>
          </cell>
        </row>
        <row r="1137">
          <cell r="A1137">
            <v>23158</v>
          </cell>
          <cell r="B1137">
            <v>0</v>
          </cell>
          <cell r="C1137">
            <v>0</v>
          </cell>
          <cell r="D1137">
            <v>0</v>
          </cell>
        </row>
        <row r="1138">
          <cell r="A1138">
            <v>23175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23176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23177</v>
          </cell>
          <cell r="B1140">
            <v>-23995100</v>
          </cell>
          <cell r="C1140">
            <v>-27948050</v>
          </cell>
          <cell r="D1140">
            <v>-14217969</v>
          </cell>
        </row>
        <row r="1141">
          <cell r="A1141">
            <v>23178</v>
          </cell>
          <cell r="B1141">
            <v>-57588200</v>
          </cell>
          <cell r="C1141">
            <v>-34718600</v>
          </cell>
          <cell r="D1141">
            <v>-48957759</v>
          </cell>
        </row>
        <row r="1142">
          <cell r="A1142">
            <v>23179</v>
          </cell>
          <cell r="B1142">
            <v>-16316700</v>
          </cell>
          <cell r="C1142">
            <v>-8158350</v>
          </cell>
          <cell r="D1142">
            <v>-11114656</v>
          </cell>
        </row>
        <row r="1143">
          <cell r="A1143">
            <v>23190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23201</v>
          </cell>
          <cell r="B1144">
            <v>-19354729</v>
          </cell>
          <cell r="C1144">
            <v>-17430591</v>
          </cell>
          <cell r="D1144">
            <v>-20214648</v>
          </cell>
        </row>
        <row r="1145">
          <cell r="A1145">
            <v>23202</v>
          </cell>
          <cell r="B1145">
            <v>-5994207</v>
          </cell>
          <cell r="C1145">
            <v>-13493002</v>
          </cell>
          <cell r="D1145">
            <v>-8943014</v>
          </cell>
        </row>
        <row r="1146">
          <cell r="A1146">
            <v>23203</v>
          </cell>
          <cell r="B1146">
            <v>-36221619</v>
          </cell>
          <cell r="C1146">
            <v>-33561892</v>
          </cell>
          <cell r="D1146">
            <v>-35164031</v>
          </cell>
        </row>
        <row r="1147">
          <cell r="A1147">
            <v>23204</v>
          </cell>
          <cell r="B1147">
            <v>-1499</v>
          </cell>
          <cell r="C1147">
            <v>-1499</v>
          </cell>
          <cell r="D1147">
            <v>-1495</v>
          </cell>
        </row>
        <row r="1148">
          <cell r="A1148">
            <v>23205</v>
          </cell>
          <cell r="B1148">
            <v>-29078093</v>
          </cell>
          <cell r="C1148">
            <v>-30635144</v>
          </cell>
          <cell r="D1148">
            <v>-40428116</v>
          </cell>
        </row>
        <row r="1149">
          <cell r="A1149">
            <v>23206</v>
          </cell>
          <cell r="B1149">
            <v>-8061665</v>
          </cell>
          <cell r="C1149">
            <v>-7981541</v>
          </cell>
          <cell r="D1149">
            <v>-4340508</v>
          </cell>
        </row>
        <row r="1150">
          <cell r="A1150">
            <v>23207</v>
          </cell>
          <cell r="B1150">
            <v>-23322</v>
          </cell>
          <cell r="C1150">
            <v>-26910</v>
          </cell>
          <cell r="D1150">
            <v>-26491</v>
          </cell>
        </row>
        <row r="1151">
          <cell r="A1151">
            <v>23208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23209</v>
          </cell>
          <cell r="B1152">
            <v>-1932447</v>
          </cell>
          <cell r="C1152">
            <v>-6626792</v>
          </cell>
          <cell r="D1152">
            <v>-6232783</v>
          </cell>
        </row>
        <row r="1153">
          <cell r="A1153">
            <v>23210</v>
          </cell>
          <cell r="B1153">
            <v>-3531964</v>
          </cell>
          <cell r="C1153">
            <v>-3352907</v>
          </cell>
          <cell r="D1153">
            <v>-2130019</v>
          </cell>
        </row>
        <row r="1154">
          <cell r="A1154">
            <v>23211</v>
          </cell>
          <cell r="B1154">
            <v>-2319935</v>
          </cell>
          <cell r="C1154">
            <v>-2224293</v>
          </cell>
          <cell r="D1154">
            <v>-3491096</v>
          </cell>
        </row>
        <row r="1155">
          <cell r="A1155">
            <v>23212</v>
          </cell>
          <cell r="B1155">
            <v>-132992</v>
          </cell>
          <cell r="C1155">
            <v>-145009</v>
          </cell>
          <cell r="D1155">
            <v>-114059</v>
          </cell>
        </row>
        <row r="1156">
          <cell r="A1156">
            <v>23213</v>
          </cell>
          <cell r="B1156">
            <v>-216823</v>
          </cell>
          <cell r="C1156">
            <v>-223861</v>
          </cell>
          <cell r="D1156">
            <v>-229259</v>
          </cell>
        </row>
        <row r="1157">
          <cell r="A1157">
            <v>23214</v>
          </cell>
          <cell r="B1157">
            <v>22093</v>
          </cell>
          <cell r="C1157">
            <v>21931</v>
          </cell>
          <cell r="D1157">
            <v>18145</v>
          </cell>
        </row>
        <row r="1158">
          <cell r="A1158">
            <v>23215</v>
          </cell>
          <cell r="B1158">
            <v>-33934403</v>
          </cell>
          <cell r="C1158">
            <v>-35922792</v>
          </cell>
          <cell r="D1158">
            <v>-30594872</v>
          </cell>
        </row>
        <row r="1159">
          <cell r="A1159">
            <v>23216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23217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23218</v>
          </cell>
          <cell r="B1161">
            <v>-54969</v>
          </cell>
          <cell r="C1161">
            <v>-52832</v>
          </cell>
          <cell r="D1161">
            <v>-64481</v>
          </cell>
        </row>
        <row r="1162">
          <cell r="A1162">
            <v>23219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23220</v>
          </cell>
          <cell r="B1163">
            <v>386</v>
          </cell>
          <cell r="C1163">
            <v>348</v>
          </cell>
          <cell r="D1163">
            <v>-199</v>
          </cell>
        </row>
        <row r="1164">
          <cell r="A1164">
            <v>23221</v>
          </cell>
          <cell r="B1164">
            <v>-32106</v>
          </cell>
          <cell r="C1164">
            <v>-429972</v>
          </cell>
          <cell r="D1164">
            <v>-129830</v>
          </cell>
        </row>
        <row r="1165">
          <cell r="A1165">
            <v>23222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23223</v>
          </cell>
          <cell r="B1166">
            <v>27648</v>
          </cell>
          <cell r="C1166">
            <v>26963</v>
          </cell>
          <cell r="D1166">
            <v>25796</v>
          </cell>
        </row>
        <row r="1167">
          <cell r="A1167">
            <v>23224</v>
          </cell>
          <cell r="B1167">
            <v>0</v>
          </cell>
          <cell r="C1167">
            <v>0</v>
          </cell>
          <cell r="D1167">
            <v>0</v>
          </cell>
        </row>
        <row r="1168">
          <cell r="A1168">
            <v>23225</v>
          </cell>
          <cell r="B1168">
            <v>0</v>
          </cell>
          <cell r="C1168">
            <v>-100156</v>
          </cell>
          <cell r="D1168">
            <v>-2039247</v>
          </cell>
        </row>
        <row r="1169">
          <cell r="A1169">
            <v>23229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23230</v>
          </cell>
          <cell r="B1170">
            <v>0</v>
          </cell>
          <cell r="C1170">
            <v>0</v>
          </cell>
          <cell r="D1170">
            <v>-295</v>
          </cell>
        </row>
        <row r="1171">
          <cell r="A1171">
            <v>23231</v>
          </cell>
          <cell r="B1171">
            <v>0</v>
          </cell>
          <cell r="C1171">
            <v>-2839</v>
          </cell>
          <cell r="D1171">
            <v>-437</v>
          </cell>
        </row>
        <row r="1172">
          <cell r="A1172">
            <v>23232</v>
          </cell>
          <cell r="B1172">
            <v>0</v>
          </cell>
          <cell r="C1172">
            <v>0</v>
          </cell>
          <cell r="D1172">
            <v>-1359</v>
          </cell>
        </row>
        <row r="1173">
          <cell r="A1173">
            <v>23233</v>
          </cell>
          <cell r="B1173">
            <v>16392</v>
          </cell>
          <cell r="C1173">
            <v>16382</v>
          </cell>
          <cell r="D1173">
            <v>16254</v>
          </cell>
        </row>
        <row r="1174">
          <cell r="A1174">
            <v>23234</v>
          </cell>
          <cell r="B1174">
            <v>-2712774</v>
          </cell>
          <cell r="C1174">
            <v>-1989921</v>
          </cell>
          <cell r="D1174">
            <v>-2621950</v>
          </cell>
        </row>
        <row r="1175">
          <cell r="A1175">
            <v>23235</v>
          </cell>
          <cell r="B1175">
            <v>0</v>
          </cell>
          <cell r="C1175">
            <v>0</v>
          </cell>
          <cell r="D1175">
            <v>280</v>
          </cell>
        </row>
        <row r="1176">
          <cell r="A1176">
            <v>23236</v>
          </cell>
          <cell r="B1176">
            <v>33</v>
          </cell>
          <cell r="C1176">
            <v>-370067</v>
          </cell>
          <cell r="D1176">
            <v>-55484</v>
          </cell>
        </row>
        <row r="1177">
          <cell r="A1177">
            <v>23237</v>
          </cell>
          <cell r="B1177">
            <v>0</v>
          </cell>
          <cell r="C1177">
            <v>0</v>
          </cell>
          <cell r="D1177">
            <v>0</v>
          </cell>
        </row>
        <row r="1178">
          <cell r="A1178">
            <v>23238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23239</v>
          </cell>
          <cell r="B1179">
            <v>0</v>
          </cell>
          <cell r="C1179">
            <v>0</v>
          </cell>
          <cell r="D1179">
            <v>0</v>
          </cell>
        </row>
        <row r="1180">
          <cell r="A1180">
            <v>23240</v>
          </cell>
          <cell r="B1180">
            <v>39</v>
          </cell>
          <cell r="C1180">
            <v>-29165</v>
          </cell>
          <cell r="D1180">
            <v>-4475</v>
          </cell>
        </row>
        <row r="1181">
          <cell r="A1181">
            <v>23241</v>
          </cell>
          <cell r="B1181">
            <v>0</v>
          </cell>
          <cell r="C1181">
            <v>-654</v>
          </cell>
          <cell r="D1181">
            <v>-101</v>
          </cell>
        </row>
        <row r="1182">
          <cell r="A1182">
            <v>23242</v>
          </cell>
          <cell r="B1182">
            <v>0</v>
          </cell>
          <cell r="C1182">
            <v>-12765</v>
          </cell>
          <cell r="D1182">
            <v>-1964</v>
          </cell>
        </row>
        <row r="1183">
          <cell r="A1183">
            <v>23243</v>
          </cell>
          <cell r="B1183">
            <v>-7840</v>
          </cell>
          <cell r="C1183">
            <v>-7819</v>
          </cell>
          <cell r="D1183">
            <v>-8352</v>
          </cell>
        </row>
        <row r="1184">
          <cell r="A1184">
            <v>23244</v>
          </cell>
          <cell r="B1184">
            <v>1402</v>
          </cell>
          <cell r="C1184">
            <v>1281</v>
          </cell>
          <cell r="D1184">
            <v>-647</v>
          </cell>
        </row>
        <row r="1185">
          <cell r="A1185">
            <v>23245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23246</v>
          </cell>
          <cell r="B1186">
            <v>-1</v>
          </cell>
          <cell r="C1186">
            <v>-103</v>
          </cell>
          <cell r="D1186">
            <v>-16</v>
          </cell>
        </row>
        <row r="1187">
          <cell r="A1187">
            <v>23247</v>
          </cell>
          <cell r="B1187">
            <v>-5980</v>
          </cell>
          <cell r="C1187">
            <v>-6182</v>
          </cell>
          <cell r="D1187">
            <v>-6559</v>
          </cell>
        </row>
        <row r="1188">
          <cell r="A1188">
            <v>23248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23250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23251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23252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23253</v>
          </cell>
          <cell r="B1192">
            <v>12593</v>
          </cell>
          <cell r="C1192">
            <v>12593</v>
          </cell>
          <cell r="D1192">
            <v>12593</v>
          </cell>
        </row>
        <row r="1193">
          <cell r="A1193">
            <v>23255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23256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23266</v>
          </cell>
          <cell r="B1195">
            <v>-4099437</v>
          </cell>
          <cell r="C1195">
            <v>-4265808</v>
          </cell>
          <cell r="D1195">
            <v>-3988733</v>
          </cell>
        </row>
        <row r="1196">
          <cell r="A1196">
            <v>23271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23272</v>
          </cell>
          <cell r="B1197">
            <v>0</v>
          </cell>
          <cell r="C1197">
            <v>0</v>
          </cell>
          <cell r="D1197">
            <v>-21264</v>
          </cell>
        </row>
        <row r="1198">
          <cell r="A1198">
            <v>23273</v>
          </cell>
          <cell r="B1198">
            <v>0</v>
          </cell>
          <cell r="C1198">
            <v>0</v>
          </cell>
          <cell r="D1198">
            <v>-6154</v>
          </cell>
        </row>
        <row r="1199">
          <cell r="A1199">
            <v>23274</v>
          </cell>
          <cell r="B1199">
            <v>0</v>
          </cell>
          <cell r="C1199">
            <v>0</v>
          </cell>
          <cell r="D1199">
            <v>-32647</v>
          </cell>
        </row>
        <row r="1200">
          <cell r="A1200">
            <v>23275</v>
          </cell>
          <cell r="B1200">
            <v>0</v>
          </cell>
          <cell r="C1200">
            <v>0</v>
          </cell>
          <cell r="D1200">
            <v>-15165</v>
          </cell>
        </row>
        <row r="1201">
          <cell r="A1201">
            <v>23280</v>
          </cell>
          <cell r="B1201">
            <v>-1269477</v>
          </cell>
          <cell r="C1201">
            <v>-871077</v>
          </cell>
          <cell r="D1201">
            <v>-410836</v>
          </cell>
        </row>
        <row r="1202">
          <cell r="A1202">
            <v>23281</v>
          </cell>
          <cell r="B1202">
            <v>-4601198</v>
          </cell>
          <cell r="C1202">
            <v>-4009232</v>
          </cell>
          <cell r="D1202">
            <v>-2921605</v>
          </cell>
        </row>
        <row r="1203">
          <cell r="A1203">
            <v>23309</v>
          </cell>
          <cell r="B1203">
            <v>0</v>
          </cell>
          <cell r="C1203">
            <v>0</v>
          </cell>
          <cell r="D1203">
            <v>0</v>
          </cell>
        </row>
        <row r="1204">
          <cell r="A1204">
            <v>23401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23402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23403</v>
          </cell>
          <cell r="B1206">
            <v>0</v>
          </cell>
          <cell r="C1206">
            <v>0</v>
          </cell>
          <cell r="D1206">
            <v>0</v>
          </cell>
        </row>
        <row r="1207">
          <cell r="A1207">
            <v>23404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23405</v>
          </cell>
          <cell r="B1208">
            <v>0</v>
          </cell>
          <cell r="C1208">
            <v>0</v>
          </cell>
          <cell r="D1208">
            <v>0</v>
          </cell>
        </row>
        <row r="1209">
          <cell r="A1209">
            <v>23407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23409</v>
          </cell>
          <cell r="B1210">
            <v>-4248586</v>
          </cell>
          <cell r="C1210">
            <v>-4516235</v>
          </cell>
          <cell r="D1210">
            <v>-6238199</v>
          </cell>
        </row>
        <row r="1211">
          <cell r="A1211">
            <v>23410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23411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23412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23416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23421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23422</v>
          </cell>
          <cell r="B1216">
            <v>-1486274</v>
          </cell>
          <cell r="C1216">
            <v>-5322089</v>
          </cell>
          <cell r="D1216">
            <v>-1737194</v>
          </cell>
        </row>
        <row r="1217">
          <cell r="A1217">
            <v>23423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23424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23425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23426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23427</v>
          </cell>
          <cell r="B1221">
            <v>0</v>
          </cell>
          <cell r="C1221">
            <v>0</v>
          </cell>
          <cell r="D1221">
            <v>0</v>
          </cell>
        </row>
        <row r="1222">
          <cell r="A1222">
            <v>23450</v>
          </cell>
          <cell r="B1222">
            <v>-298253</v>
          </cell>
          <cell r="C1222">
            <v>-302237</v>
          </cell>
          <cell r="D1222">
            <v>-3364575</v>
          </cell>
        </row>
        <row r="1223">
          <cell r="A1223">
            <v>23452</v>
          </cell>
          <cell r="B1223">
            <v>35</v>
          </cell>
          <cell r="C1223">
            <v>-38</v>
          </cell>
          <cell r="D1223">
            <v>-2742</v>
          </cell>
        </row>
        <row r="1224">
          <cell r="A1224">
            <v>23455</v>
          </cell>
          <cell r="B1224">
            <v>0</v>
          </cell>
          <cell r="C1224">
            <v>0</v>
          </cell>
          <cell r="D1224">
            <v>0</v>
          </cell>
        </row>
        <row r="1225">
          <cell r="A1225">
            <v>23500</v>
          </cell>
          <cell r="B1225">
            <v>-115029258</v>
          </cell>
          <cell r="C1225">
            <v>-114777783</v>
          </cell>
          <cell r="D1225">
            <v>-112773516</v>
          </cell>
        </row>
        <row r="1226">
          <cell r="A1226">
            <v>23501</v>
          </cell>
          <cell r="B1226">
            <v>0</v>
          </cell>
          <cell r="C1226">
            <v>0</v>
          </cell>
          <cell r="D1226">
            <v>0</v>
          </cell>
        </row>
        <row r="1227">
          <cell r="A1227">
            <v>23502</v>
          </cell>
          <cell r="B1227">
            <v>0</v>
          </cell>
          <cell r="C1227">
            <v>0</v>
          </cell>
          <cell r="D1227">
            <v>0</v>
          </cell>
        </row>
        <row r="1228">
          <cell r="A1228">
            <v>23600</v>
          </cell>
          <cell r="B1228">
            <v>0</v>
          </cell>
          <cell r="C1228">
            <v>0</v>
          </cell>
          <cell r="D1228">
            <v>0</v>
          </cell>
        </row>
        <row r="1229">
          <cell r="A1229">
            <v>23601</v>
          </cell>
          <cell r="B1229">
            <v>9516824</v>
          </cell>
          <cell r="C1229">
            <v>9516824</v>
          </cell>
          <cell r="D1229">
            <v>173463</v>
          </cell>
        </row>
        <row r="1230">
          <cell r="A1230">
            <v>23602</v>
          </cell>
          <cell r="B1230">
            <v>-11792221</v>
          </cell>
          <cell r="C1230">
            <v>-10181663</v>
          </cell>
          <cell r="D1230">
            <v>-6898353</v>
          </cell>
        </row>
        <row r="1231">
          <cell r="A1231">
            <v>23603</v>
          </cell>
          <cell r="B1231">
            <v>-131783</v>
          </cell>
          <cell r="C1231">
            <v>-113425</v>
          </cell>
          <cell r="D1231">
            <v>-39590</v>
          </cell>
        </row>
        <row r="1232">
          <cell r="A1232">
            <v>23604</v>
          </cell>
          <cell r="B1232">
            <v>-107425</v>
          </cell>
          <cell r="C1232">
            <v>-462107</v>
          </cell>
          <cell r="D1232">
            <v>-600139</v>
          </cell>
        </row>
        <row r="1233">
          <cell r="A1233">
            <v>23605</v>
          </cell>
          <cell r="B1233">
            <v>0</v>
          </cell>
          <cell r="C1233">
            <v>0</v>
          </cell>
          <cell r="D1233">
            <v>0</v>
          </cell>
        </row>
        <row r="1234">
          <cell r="A1234">
            <v>23606</v>
          </cell>
          <cell r="B1234">
            <v>-2834470</v>
          </cell>
          <cell r="C1234">
            <v>-2412041</v>
          </cell>
          <cell r="D1234">
            <v>-1959872</v>
          </cell>
        </row>
        <row r="1235">
          <cell r="A1235">
            <v>23607</v>
          </cell>
          <cell r="B1235">
            <v>-87936</v>
          </cell>
          <cell r="C1235">
            <v>-87936</v>
          </cell>
          <cell r="D1235">
            <v>-87936</v>
          </cell>
        </row>
        <row r="1236">
          <cell r="A1236">
            <v>23608</v>
          </cell>
          <cell r="B1236">
            <v>-1</v>
          </cell>
          <cell r="C1236">
            <v>-1</v>
          </cell>
          <cell r="D1236">
            <v>-1</v>
          </cell>
        </row>
        <row r="1237">
          <cell r="A1237">
            <v>23609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23610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23611</v>
          </cell>
          <cell r="B1239">
            <v>-7666666</v>
          </cell>
          <cell r="C1239">
            <v>-5750000</v>
          </cell>
          <cell r="D1239">
            <v>-15716954</v>
          </cell>
        </row>
        <row r="1240">
          <cell r="A1240">
            <v>23612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23613</v>
          </cell>
          <cell r="B1241">
            <v>-612613</v>
          </cell>
          <cell r="C1241">
            <v>-612613</v>
          </cell>
          <cell r="D1241">
            <v>-141372</v>
          </cell>
        </row>
        <row r="1242">
          <cell r="A1242">
            <v>23614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23615</v>
          </cell>
          <cell r="B1243">
            <v>-101871</v>
          </cell>
          <cell r="C1243">
            <v>-101871</v>
          </cell>
          <cell r="D1243">
            <v>-23509</v>
          </cell>
        </row>
        <row r="1244">
          <cell r="A1244">
            <v>23616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23617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23618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23619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23620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23621</v>
          </cell>
          <cell r="B1249">
            <v>0</v>
          </cell>
          <cell r="C1249">
            <v>0</v>
          </cell>
          <cell r="D1249">
            <v>0</v>
          </cell>
        </row>
        <row r="1250">
          <cell r="A1250">
            <v>23622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23623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23624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23625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23626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23627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23628</v>
          </cell>
          <cell r="B1256">
            <v>0</v>
          </cell>
          <cell r="C1256">
            <v>0</v>
          </cell>
          <cell r="D1256">
            <v>0</v>
          </cell>
        </row>
        <row r="1257">
          <cell r="A1257">
            <v>23629</v>
          </cell>
          <cell r="B1257">
            <v>0</v>
          </cell>
          <cell r="C1257">
            <v>0</v>
          </cell>
          <cell r="D1257">
            <v>0</v>
          </cell>
        </row>
        <row r="1258">
          <cell r="A1258">
            <v>23630</v>
          </cell>
          <cell r="B1258">
            <v>-3933564</v>
          </cell>
          <cell r="C1258">
            <v>-4177529</v>
          </cell>
          <cell r="D1258">
            <v>-4358398</v>
          </cell>
        </row>
        <row r="1259">
          <cell r="A1259">
            <v>23631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23632</v>
          </cell>
          <cell r="B1260">
            <v>0</v>
          </cell>
          <cell r="C1260">
            <v>0</v>
          </cell>
          <cell r="D1260">
            <v>0</v>
          </cell>
        </row>
        <row r="1261">
          <cell r="A1261">
            <v>23635</v>
          </cell>
          <cell r="B1261">
            <v>23961</v>
          </cell>
          <cell r="C1261">
            <v>25661</v>
          </cell>
          <cell r="D1261">
            <v>13993</v>
          </cell>
        </row>
        <row r="1262">
          <cell r="A1262">
            <v>23636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23640</v>
          </cell>
          <cell r="B1263">
            <v>-523380</v>
          </cell>
          <cell r="C1263">
            <v>-426079</v>
          </cell>
          <cell r="D1263">
            <v>-88556</v>
          </cell>
        </row>
        <row r="1264">
          <cell r="A1264">
            <v>23645</v>
          </cell>
          <cell r="B1264">
            <v>0</v>
          </cell>
          <cell r="C1264">
            <v>0</v>
          </cell>
          <cell r="D1264">
            <v>0</v>
          </cell>
        </row>
        <row r="1265">
          <cell r="A1265">
            <v>23647</v>
          </cell>
          <cell r="B1265">
            <v>-243539</v>
          </cell>
          <cell r="C1265">
            <v>-177539</v>
          </cell>
          <cell r="D1265">
            <v>-433364</v>
          </cell>
        </row>
        <row r="1266">
          <cell r="A1266">
            <v>23650</v>
          </cell>
          <cell r="B1266">
            <v>0</v>
          </cell>
          <cell r="C1266">
            <v>0</v>
          </cell>
          <cell r="D1266">
            <v>0</v>
          </cell>
        </row>
        <row r="1267">
          <cell r="A1267">
            <v>23653</v>
          </cell>
          <cell r="B1267">
            <v>0</v>
          </cell>
          <cell r="C1267">
            <v>0</v>
          </cell>
          <cell r="D1267">
            <v>0</v>
          </cell>
        </row>
        <row r="1268">
          <cell r="A1268">
            <v>23654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23655</v>
          </cell>
          <cell r="B1269">
            <v>0</v>
          </cell>
          <cell r="C1269">
            <v>0</v>
          </cell>
          <cell r="D1269">
            <v>0</v>
          </cell>
        </row>
        <row r="1270">
          <cell r="A1270">
            <v>23656</v>
          </cell>
          <cell r="B1270">
            <v>0</v>
          </cell>
          <cell r="C1270">
            <v>0</v>
          </cell>
          <cell r="D1270">
            <v>0</v>
          </cell>
        </row>
        <row r="1271">
          <cell r="A1271">
            <v>23657</v>
          </cell>
          <cell r="B1271">
            <v>0</v>
          </cell>
          <cell r="C1271">
            <v>0</v>
          </cell>
          <cell r="D1271">
            <v>0</v>
          </cell>
        </row>
        <row r="1272">
          <cell r="A1272">
            <v>23658</v>
          </cell>
          <cell r="B1272">
            <v>0</v>
          </cell>
          <cell r="C1272">
            <v>0</v>
          </cell>
          <cell r="D1272">
            <v>0</v>
          </cell>
        </row>
        <row r="1273">
          <cell r="A1273">
            <v>23659</v>
          </cell>
          <cell r="B1273">
            <v>0</v>
          </cell>
          <cell r="C1273">
            <v>0</v>
          </cell>
          <cell r="D1273">
            <v>0</v>
          </cell>
        </row>
        <row r="1274">
          <cell r="A1274">
            <v>23663</v>
          </cell>
          <cell r="B1274">
            <v>0</v>
          </cell>
          <cell r="C1274">
            <v>0</v>
          </cell>
          <cell r="D1274">
            <v>0</v>
          </cell>
        </row>
        <row r="1275">
          <cell r="A1275">
            <v>23664</v>
          </cell>
          <cell r="B1275">
            <v>0</v>
          </cell>
          <cell r="C1275">
            <v>0</v>
          </cell>
          <cell r="D1275">
            <v>0</v>
          </cell>
        </row>
        <row r="1276">
          <cell r="A1276">
            <v>23670</v>
          </cell>
          <cell r="B1276">
            <v>-11227</v>
          </cell>
          <cell r="C1276">
            <v>-11271</v>
          </cell>
          <cell r="D1276">
            <v>-12131</v>
          </cell>
        </row>
        <row r="1277">
          <cell r="A1277">
            <v>23671</v>
          </cell>
          <cell r="B1277">
            <v>-155590</v>
          </cell>
          <cell r="C1277">
            <v>-158820</v>
          </cell>
          <cell r="D1277">
            <v>-165131</v>
          </cell>
        </row>
        <row r="1278">
          <cell r="A1278">
            <v>23672</v>
          </cell>
          <cell r="B1278">
            <v>-193512</v>
          </cell>
          <cell r="C1278">
            <v>-190208</v>
          </cell>
          <cell r="D1278">
            <v>-205533</v>
          </cell>
        </row>
        <row r="1279">
          <cell r="A1279">
            <v>23673</v>
          </cell>
          <cell r="B1279">
            <v>-74787</v>
          </cell>
          <cell r="C1279">
            <v>-80293</v>
          </cell>
          <cell r="D1279">
            <v>-84364</v>
          </cell>
        </row>
        <row r="1280">
          <cell r="A1280">
            <v>23674</v>
          </cell>
          <cell r="B1280">
            <v>-22090</v>
          </cell>
          <cell r="C1280">
            <v>-24758</v>
          </cell>
          <cell r="D1280">
            <v>-24469</v>
          </cell>
        </row>
        <row r="1281">
          <cell r="A1281">
            <v>23675</v>
          </cell>
          <cell r="B1281">
            <v>-58496</v>
          </cell>
          <cell r="C1281">
            <v>-56561</v>
          </cell>
          <cell r="D1281">
            <v>-41503</v>
          </cell>
        </row>
        <row r="1282">
          <cell r="A1282">
            <v>23676</v>
          </cell>
          <cell r="B1282">
            <v>-240344</v>
          </cell>
          <cell r="C1282">
            <v>-260261</v>
          </cell>
          <cell r="D1282">
            <v>-273757</v>
          </cell>
        </row>
        <row r="1283">
          <cell r="A1283">
            <v>23677</v>
          </cell>
          <cell r="B1283">
            <v>-37183</v>
          </cell>
          <cell r="C1283">
            <v>-36021</v>
          </cell>
          <cell r="D1283">
            <v>-29836</v>
          </cell>
        </row>
        <row r="1284">
          <cell r="A1284">
            <v>23678</v>
          </cell>
          <cell r="B1284">
            <v>-5947</v>
          </cell>
          <cell r="C1284">
            <v>-6512</v>
          </cell>
          <cell r="D1284">
            <v>-5986</v>
          </cell>
        </row>
        <row r="1285">
          <cell r="A1285">
            <v>23679</v>
          </cell>
          <cell r="B1285">
            <v>-110079</v>
          </cell>
          <cell r="C1285">
            <v>-117778</v>
          </cell>
          <cell r="D1285">
            <v>-124662</v>
          </cell>
        </row>
        <row r="1286">
          <cell r="A1286">
            <v>23680</v>
          </cell>
          <cell r="B1286">
            <v>-2036187</v>
          </cell>
          <cell r="C1286">
            <v>-2182698</v>
          </cell>
          <cell r="D1286">
            <v>-2284621</v>
          </cell>
        </row>
        <row r="1287">
          <cell r="A1287">
            <v>23681</v>
          </cell>
          <cell r="B1287">
            <v>-9093</v>
          </cell>
          <cell r="C1287">
            <v>-8522</v>
          </cell>
          <cell r="D1287">
            <v>-7470</v>
          </cell>
        </row>
        <row r="1288">
          <cell r="A1288">
            <v>23682</v>
          </cell>
          <cell r="B1288">
            <v>-6765</v>
          </cell>
          <cell r="C1288">
            <v>-7554</v>
          </cell>
          <cell r="D1288">
            <v>-7704</v>
          </cell>
        </row>
        <row r="1289">
          <cell r="A1289">
            <v>23690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23704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23705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23706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23707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23708</v>
          </cell>
          <cell r="B1294">
            <v>-2604</v>
          </cell>
          <cell r="C1294">
            <v>-4427</v>
          </cell>
          <cell r="D1294">
            <v>-8974</v>
          </cell>
        </row>
        <row r="1295">
          <cell r="A1295">
            <v>23709</v>
          </cell>
          <cell r="B1295">
            <v>0</v>
          </cell>
          <cell r="C1295">
            <v>0</v>
          </cell>
          <cell r="D1295">
            <v>0</v>
          </cell>
        </row>
        <row r="1296">
          <cell r="A1296">
            <v>23710</v>
          </cell>
          <cell r="B1296">
            <v>0</v>
          </cell>
          <cell r="C1296">
            <v>0</v>
          </cell>
          <cell r="D1296">
            <v>0</v>
          </cell>
        </row>
        <row r="1297">
          <cell r="A1297">
            <v>23711</v>
          </cell>
          <cell r="B1297">
            <v>0</v>
          </cell>
          <cell r="C1297">
            <v>0</v>
          </cell>
          <cell r="D1297">
            <v>0</v>
          </cell>
        </row>
        <row r="1298">
          <cell r="A1298">
            <v>23712</v>
          </cell>
          <cell r="B1298">
            <v>0</v>
          </cell>
          <cell r="C1298">
            <v>0</v>
          </cell>
          <cell r="D1298">
            <v>0</v>
          </cell>
        </row>
        <row r="1299">
          <cell r="A1299">
            <v>23713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23714</v>
          </cell>
          <cell r="B1300">
            <v>0</v>
          </cell>
          <cell r="C1300">
            <v>0</v>
          </cell>
          <cell r="D1300">
            <v>0</v>
          </cell>
        </row>
        <row r="1301">
          <cell r="A1301">
            <v>23715</v>
          </cell>
          <cell r="B1301">
            <v>0</v>
          </cell>
          <cell r="C1301">
            <v>0</v>
          </cell>
          <cell r="D1301">
            <v>0</v>
          </cell>
        </row>
        <row r="1302">
          <cell r="A1302">
            <v>23716</v>
          </cell>
          <cell r="B1302">
            <v>0</v>
          </cell>
          <cell r="C1302">
            <v>0</v>
          </cell>
          <cell r="D1302">
            <v>0</v>
          </cell>
        </row>
        <row r="1303">
          <cell r="A1303">
            <v>23717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23718</v>
          </cell>
          <cell r="B1304">
            <v>-2476791</v>
          </cell>
          <cell r="C1304">
            <v>-2204470</v>
          </cell>
          <cell r="D1304">
            <v>-4089053</v>
          </cell>
        </row>
        <row r="1305">
          <cell r="A1305">
            <v>23720</v>
          </cell>
          <cell r="B1305">
            <v>0</v>
          </cell>
          <cell r="C1305">
            <v>0</v>
          </cell>
          <cell r="D1305">
            <v>0</v>
          </cell>
        </row>
        <row r="1306">
          <cell r="A1306">
            <v>23721</v>
          </cell>
          <cell r="B1306">
            <v>0</v>
          </cell>
          <cell r="C1306">
            <v>0</v>
          </cell>
          <cell r="D1306">
            <v>0</v>
          </cell>
        </row>
        <row r="1307">
          <cell r="A1307">
            <v>23722</v>
          </cell>
          <cell r="B1307">
            <v>0</v>
          </cell>
          <cell r="C1307">
            <v>0</v>
          </cell>
          <cell r="D1307">
            <v>0</v>
          </cell>
        </row>
        <row r="1308">
          <cell r="A1308">
            <v>23723</v>
          </cell>
          <cell r="B1308">
            <v>0</v>
          </cell>
          <cell r="C1308">
            <v>0</v>
          </cell>
          <cell r="D1308">
            <v>0</v>
          </cell>
        </row>
        <row r="1309">
          <cell r="A1309">
            <v>23724</v>
          </cell>
          <cell r="B1309">
            <v>0</v>
          </cell>
          <cell r="C1309">
            <v>0</v>
          </cell>
          <cell r="D1309">
            <v>0</v>
          </cell>
        </row>
        <row r="1310">
          <cell r="A1310">
            <v>23725</v>
          </cell>
          <cell r="B1310">
            <v>0</v>
          </cell>
          <cell r="C1310">
            <v>0</v>
          </cell>
          <cell r="D1310">
            <v>0</v>
          </cell>
        </row>
        <row r="1311">
          <cell r="A1311">
            <v>23726</v>
          </cell>
          <cell r="B1311">
            <v>0</v>
          </cell>
          <cell r="C1311">
            <v>0</v>
          </cell>
          <cell r="D1311">
            <v>0</v>
          </cell>
        </row>
        <row r="1312">
          <cell r="A1312">
            <v>23728</v>
          </cell>
          <cell r="B1312">
            <v>-4776042</v>
          </cell>
          <cell r="C1312">
            <v>-4093750</v>
          </cell>
          <cell r="D1312">
            <v>-4146234</v>
          </cell>
        </row>
        <row r="1313">
          <cell r="A1313">
            <v>23729</v>
          </cell>
          <cell r="B1313">
            <v>0</v>
          </cell>
          <cell r="C1313">
            <v>0</v>
          </cell>
          <cell r="D1313">
            <v>0</v>
          </cell>
        </row>
        <row r="1314">
          <cell r="A1314">
            <v>23730</v>
          </cell>
          <cell r="B1314">
            <v>0</v>
          </cell>
          <cell r="C1314">
            <v>0</v>
          </cell>
          <cell r="D1314">
            <v>0</v>
          </cell>
        </row>
        <row r="1315">
          <cell r="A1315">
            <v>23731</v>
          </cell>
          <cell r="B1315">
            <v>0</v>
          </cell>
          <cell r="C1315">
            <v>0</v>
          </cell>
          <cell r="D1315">
            <v>0</v>
          </cell>
        </row>
        <row r="1316">
          <cell r="A1316">
            <v>23733</v>
          </cell>
          <cell r="B1316">
            <v>0</v>
          </cell>
          <cell r="C1316">
            <v>0</v>
          </cell>
          <cell r="D1316">
            <v>0</v>
          </cell>
        </row>
        <row r="1317">
          <cell r="A1317">
            <v>23734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23735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23736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23737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23739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23740</v>
          </cell>
          <cell r="B1322">
            <v>-32208</v>
          </cell>
          <cell r="C1322">
            <v>-32208</v>
          </cell>
          <cell r="D1322">
            <v>-32208</v>
          </cell>
        </row>
        <row r="1323">
          <cell r="A1323">
            <v>23744</v>
          </cell>
          <cell r="B1323">
            <v>-3408125</v>
          </cell>
          <cell r="C1323">
            <v>-2921250</v>
          </cell>
          <cell r="D1323">
            <v>-2958702</v>
          </cell>
        </row>
        <row r="1324">
          <cell r="A1324">
            <v>23745</v>
          </cell>
          <cell r="B1324">
            <v>-2148750</v>
          </cell>
          <cell r="C1324">
            <v>-1969688</v>
          </cell>
          <cell r="D1324">
            <v>-1322308</v>
          </cell>
        </row>
        <row r="1325">
          <cell r="A1325">
            <v>23746</v>
          </cell>
          <cell r="B1325">
            <v>-3007813</v>
          </cell>
          <cell r="C1325">
            <v>-2406250</v>
          </cell>
          <cell r="D1325">
            <v>-3563101</v>
          </cell>
        </row>
        <row r="1326">
          <cell r="A1326">
            <v>23747</v>
          </cell>
          <cell r="B1326">
            <v>-1289556</v>
          </cell>
          <cell r="C1326">
            <v>-1160601</v>
          </cell>
          <cell r="D1326">
            <v>-932448</v>
          </cell>
        </row>
        <row r="1327">
          <cell r="A1327">
            <v>23748</v>
          </cell>
          <cell r="B1327">
            <v>-1980000</v>
          </cell>
          <cell r="C1327">
            <v>-1782000</v>
          </cell>
          <cell r="D1327">
            <v>-1431692</v>
          </cell>
        </row>
        <row r="1328">
          <cell r="A1328">
            <v>23749</v>
          </cell>
          <cell r="B1328">
            <v>-876563</v>
          </cell>
          <cell r="C1328">
            <v>-5259375</v>
          </cell>
          <cell r="D1328">
            <v>-4922236</v>
          </cell>
        </row>
        <row r="1329">
          <cell r="A1329">
            <v>23750</v>
          </cell>
          <cell r="B1329">
            <v>0</v>
          </cell>
          <cell r="C1329">
            <v>0</v>
          </cell>
          <cell r="D1329">
            <v>0</v>
          </cell>
        </row>
        <row r="1330">
          <cell r="A1330">
            <v>23751</v>
          </cell>
          <cell r="B1330">
            <v>-5859375</v>
          </cell>
          <cell r="C1330">
            <v>-5208333</v>
          </cell>
          <cell r="D1330">
            <v>-4056490</v>
          </cell>
        </row>
        <row r="1331">
          <cell r="A1331">
            <v>23754</v>
          </cell>
          <cell r="B1331">
            <v>-1531150</v>
          </cell>
          <cell r="C1331">
            <v>-1403554</v>
          </cell>
          <cell r="D1331">
            <v>-942246</v>
          </cell>
        </row>
        <row r="1332">
          <cell r="A1332">
            <v>23755</v>
          </cell>
          <cell r="B1332">
            <v>-1328700</v>
          </cell>
          <cell r="C1332">
            <v>-1217975</v>
          </cell>
          <cell r="D1332">
            <v>-817662</v>
          </cell>
        </row>
        <row r="1333">
          <cell r="A1333">
            <v>23756</v>
          </cell>
          <cell r="B1333">
            <v>-694</v>
          </cell>
          <cell r="C1333">
            <v>-1181</v>
          </cell>
          <cell r="D1333">
            <v>-2393</v>
          </cell>
        </row>
        <row r="1334">
          <cell r="A1334">
            <v>23757</v>
          </cell>
          <cell r="B1334">
            <v>-3558333</v>
          </cell>
          <cell r="C1334">
            <v>-3050000</v>
          </cell>
          <cell r="D1334">
            <v>-2483013</v>
          </cell>
        </row>
        <row r="1335">
          <cell r="A1335">
            <v>23758</v>
          </cell>
          <cell r="B1335">
            <v>0</v>
          </cell>
          <cell r="C1335">
            <v>0</v>
          </cell>
          <cell r="D1335">
            <v>-17</v>
          </cell>
        </row>
        <row r="1336">
          <cell r="A1336">
            <v>23778</v>
          </cell>
          <cell r="B1336">
            <v>0</v>
          </cell>
          <cell r="C1336">
            <v>0</v>
          </cell>
          <cell r="D1336">
            <v>0</v>
          </cell>
        </row>
        <row r="1337">
          <cell r="A1337">
            <v>23788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23789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23790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23791</v>
          </cell>
          <cell r="B1340">
            <v>-1667</v>
          </cell>
          <cell r="C1340">
            <v>-3208</v>
          </cell>
          <cell r="D1340">
            <v>-3682</v>
          </cell>
        </row>
        <row r="1341">
          <cell r="A1341">
            <v>23793</v>
          </cell>
          <cell r="B1341">
            <v>-3958</v>
          </cell>
          <cell r="C1341">
            <v>-5563</v>
          </cell>
          <cell r="D1341">
            <v>-42826</v>
          </cell>
        </row>
        <row r="1342">
          <cell r="A1342">
            <v>23795</v>
          </cell>
          <cell r="B1342">
            <v>-907</v>
          </cell>
          <cell r="C1342">
            <v>-453</v>
          </cell>
          <cell r="D1342">
            <v>-559</v>
          </cell>
        </row>
        <row r="1343">
          <cell r="A1343">
            <v>23796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23797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23798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23799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23801</v>
          </cell>
          <cell r="B1347">
            <v>0</v>
          </cell>
          <cell r="C1347">
            <v>0</v>
          </cell>
          <cell r="D1347">
            <v>-8529680</v>
          </cell>
        </row>
        <row r="1348">
          <cell r="A1348">
            <v>23802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23803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23804</v>
          </cell>
          <cell r="B1350">
            <v>0</v>
          </cell>
          <cell r="C1350">
            <v>0</v>
          </cell>
          <cell r="D1350">
            <v>0</v>
          </cell>
        </row>
        <row r="1351">
          <cell r="A1351">
            <v>23805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23806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23807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24101</v>
          </cell>
          <cell r="B1354">
            <v>-101112</v>
          </cell>
          <cell r="C1354">
            <v>-103500</v>
          </cell>
          <cell r="D1354">
            <v>-95173</v>
          </cell>
        </row>
        <row r="1355">
          <cell r="A1355">
            <v>24102</v>
          </cell>
          <cell r="B1355">
            <v>-3303</v>
          </cell>
          <cell r="C1355">
            <v>-3298</v>
          </cell>
          <cell r="D1355">
            <v>-3257</v>
          </cell>
        </row>
        <row r="1356">
          <cell r="A1356">
            <v>24103</v>
          </cell>
          <cell r="B1356">
            <v>-1737</v>
          </cell>
          <cell r="C1356">
            <v>-1730</v>
          </cell>
          <cell r="D1356">
            <v>-1701</v>
          </cell>
        </row>
        <row r="1357">
          <cell r="A1357">
            <v>24104</v>
          </cell>
          <cell r="B1357">
            <v>-13051</v>
          </cell>
          <cell r="C1357">
            <v>-13038</v>
          </cell>
          <cell r="D1357">
            <v>-12957</v>
          </cell>
        </row>
        <row r="1358">
          <cell r="A1358">
            <v>24105</v>
          </cell>
          <cell r="B1358">
            <v>0</v>
          </cell>
          <cell r="C1358">
            <v>0</v>
          </cell>
          <cell r="D1358">
            <v>0</v>
          </cell>
        </row>
        <row r="1359">
          <cell r="A1359">
            <v>24106</v>
          </cell>
          <cell r="B1359">
            <v>-374395</v>
          </cell>
          <cell r="C1359">
            <v>-418666</v>
          </cell>
          <cell r="D1359">
            <v>-640793</v>
          </cell>
        </row>
        <row r="1360">
          <cell r="A1360">
            <v>24107</v>
          </cell>
          <cell r="B1360">
            <v>-43</v>
          </cell>
          <cell r="C1360">
            <v>-41</v>
          </cell>
          <cell r="D1360">
            <v>-40</v>
          </cell>
        </row>
        <row r="1361">
          <cell r="A1361">
            <v>24108</v>
          </cell>
          <cell r="B1361">
            <v>-4485</v>
          </cell>
          <cell r="C1361">
            <v>-4426</v>
          </cell>
          <cell r="D1361">
            <v>-3241</v>
          </cell>
        </row>
        <row r="1362">
          <cell r="A1362">
            <v>24109</v>
          </cell>
          <cell r="B1362">
            <v>0</v>
          </cell>
          <cell r="C1362">
            <v>0</v>
          </cell>
          <cell r="D1362">
            <v>-625</v>
          </cell>
        </row>
        <row r="1363">
          <cell r="A1363">
            <v>24110</v>
          </cell>
          <cell r="B1363">
            <v>-1207</v>
          </cell>
          <cell r="C1363">
            <v>-1553</v>
          </cell>
          <cell r="D1363">
            <v>-1242</v>
          </cell>
        </row>
        <row r="1364">
          <cell r="A1364">
            <v>24111</v>
          </cell>
          <cell r="B1364">
            <v>-2500917</v>
          </cell>
          <cell r="C1364">
            <v>-2686125</v>
          </cell>
          <cell r="D1364">
            <v>-2497340</v>
          </cell>
        </row>
        <row r="1365">
          <cell r="A1365">
            <v>24112</v>
          </cell>
          <cell r="B1365">
            <v>-172877</v>
          </cell>
          <cell r="C1365">
            <v>-176895</v>
          </cell>
          <cell r="D1365">
            <v>-163740</v>
          </cell>
        </row>
        <row r="1366">
          <cell r="A1366">
            <v>24113</v>
          </cell>
          <cell r="B1366">
            <v>-239727</v>
          </cell>
          <cell r="C1366">
            <v>-260253</v>
          </cell>
          <cell r="D1366">
            <v>-244216</v>
          </cell>
        </row>
        <row r="1367">
          <cell r="A1367">
            <v>24114</v>
          </cell>
          <cell r="B1367">
            <v>-9640</v>
          </cell>
          <cell r="C1367">
            <v>-9666</v>
          </cell>
          <cell r="D1367">
            <v>-9273</v>
          </cell>
        </row>
        <row r="1368">
          <cell r="A1368">
            <v>24115</v>
          </cell>
          <cell r="B1368">
            <v>-122798</v>
          </cell>
          <cell r="C1368">
            <v>-129288</v>
          </cell>
          <cell r="D1368">
            <v>-121342</v>
          </cell>
        </row>
        <row r="1369">
          <cell r="A1369">
            <v>24116</v>
          </cell>
          <cell r="B1369">
            <v>-258069</v>
          </cell>
          <cell r="C1369">
            <v>-250798</v>
          </cell>
          <cell r="D1369">
            <v>-243353</v>
          </cell>
        </row>
        <row r="1370">
          <cell r="A1370">
            <v>24117</v>
          </cell>
          <cell r="B1370">
            <v>-36068</v>
          </cell>
          <cell r="C1370">
            <v>-35023</v>
          </cell>
          <cell r="D1370">
            <v>-31755</v>
          </cell>
        </row>
        <row r="1371">
          <cell r="A1371">
            <v>24118</v>
          </cell>
          <cell r="B1371">
            <v>-51639</v>
          </cell>
          <cell r="C1371">
            <v>-50123</v>
          </cell>
          <cell r="D1371">
            <v>-42710</v>
          </cell>
        </row>
        <row r="1372">
          <cell r="A1372">
            <v>24119</v>
          </cell>
          <cell r="B1372">
            <v>-25647</v>
          </cell>
          <cell r="C1372">
            <v>-28462</v>
          </cell>
          <cell r="D1372">
            <v>-24876</v>
          </cell>
        </row>
        <row r="1373">
          <cell r="A1373">
            <v>24120</v>
          </cell>
          <cell r="B1373">
            <v>-105276</v>
          </cell>
          <cell r="C1373">
            <v>-112602</v>
          </cell>
          <cell r="D1373">
            <v>-105363</v>
          </cell>
        </row>
        <row r="1374">
          <cell r="A1374">
            <v>24121</v>
          </cell>
          <cell r="B1374">
            <v>-579993</v>
          </cell>
          <cell r="C1374">
            <v>-622571</v>
          </cell>
          <cell r="D1374">
            <v>-563002</v>
          </cell>
        </row>
        <row r="1375">
          <cell r="A1375">
            <v>24122</v>
          </cell>
          <cell r="B1375">
            <v>-8095</v>
          </cell>
          <cell r="C1375">
            <v>-7946</v>
          </cell>
          <cell r="D1375">
            <v>-7150</v>
          </cell>
        </row>
        <row r="1376">
          <cell r="A1376">
            <v>24123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24124</v>
          </cell>
          <cell r="B1377">
            <v>-2987</v>
          </cell>
          <cell r="C1377">
            <v>-3383</v>
          </cell>
          <cell r="D1377">
            <v>-2981</v>
          </cell>
        </row>
        <row r="1378">
          <cell r="A1378">
            <v>24125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24126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24127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24128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24129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24130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24131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24132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24133</v>
          </cell>
          <cell r="B1386">
            <v>-80</v>
          </cell>
          <cell r="C1386">
            <v>-79</v>
          </cell>
          <cell r="D1386">
            <v>-80</v>
          </cell>
        </row>
        <row r="1387">
          <cell r="A1387">
            <v>24134</v>
          </cell>
          <cell r="B1387">
            <v>-281</v>
          </cell>
          <cell r="C1387">
            <v>-278</v>
          </cell>
          <cell r="D1387">
            <v>-279</v>
          </cell>
        </row>
        <row r="1388">
          <cell r="A1388">
            <v>24135</v>
          </cell>
          <cell r="B1388">
            <v>704</v>
          </cell>
          <cell r="C1388">
            <v>704</v>
          </cell>
          <cell r="D1388">
            <v>557</v>
          </cell>
        </row>
        <row r="1389">
          <cell r="A1389">
            <v>24136</v>
          </cell>
          <cell r="B1389">
            <v>266</v>
          </cell>
          <cell r="C1389">
            <v>266</v>
          </cell>
          <cell r="D1389">
            <v>-973</v>
          </cell>
        </row>
        <row r="1390">
          <cell r="A1390">
            <v>24137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24138</v>
          </cell>
          <cell r="B1391">
            <v>7388</v>
          </cell>
          <cell r="C1391">
            <v>7388</v>
          </cell>
          <cell r="D1391">
            <v>7388</v>
          </cell>
        </row>
        <row r="1392">
          <cell r="A1392">
            <v>24141</v>
          </cell>
          <cell r="B1392">
            <v>-302630</v>
          </cell>
          <cell r="C1392">
            <v>-394293</v>
          </cell>
          <cell r="D1392">
            <v>-1096113</v>
          </cell>
        </row>
        <row r="1393">
          <cell r="A1393">
            <v>24142</v>
          </cell>
          <cell r="B1393">
            <v>-56610</v>
          </cell>
          <cell r="C1393">
            <v>-57665</v>
          </cell>
          <cell r="D1393">
            <v>179422</v>
          </cell>
        </row>
        <row r="1394">
          <cell r="A1394">
            <v>24143</v>
          </cell>
          <cell r="B1394">
            <v>-64109</v>
          </cell>
          <cell r="C1394">
            <v>-66390</v>
          </cell>
          <cell r="D1394">
            <v>-76885</v>
          </cell>
        </row>
        <row r="1395">
          <cell r="A1395">
            <v>24144</v>
          </cell>
          <cell r="B1395">
            <v>-247859</v>
          </cell>
          <cell r="C1395">
            <v>-256462</v>
          </cell>
          <cell r="D1395">
            <v>-285352</v>
          </cell>
        </row>
        <row r="1396">
          <cell r="A1396">
            <v>24145</v>
          </cell>
          <cell r="B1396">
            <v>171</v>
          </cell>
          <cell r="C1396">
            <v>138</v>
          </cell>
          <cell r="D1396">
            <v>374</v>
          </cell>
        </row>
        <row r="1397">
          <cell r="A1397">
            <v>24151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24152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24154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24161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24162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24163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24164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24171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24172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24174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24199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24201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24202</v>
          </cell>
          <cell r="B1409">
            <v>-13798489</v>
          </cell>
          <cell r="C1409">
            <v>-13775018</v>
          </cell>
          <cell r="D1409">
            <v>-14525143</v>
          </cell>
        </row>
        <row r="1410">
          <cell r="A1410">
            <v>24203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24204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24237</v>
          </cell>
          <cell r="B1412">
            <v>-9918247</v>
          </cell>
          <cell r="C1412">
            <v>-9918247</v>
          </cell>
          <cell r="D1412">
            <v>-9897999</v>
          </cell>
        </row>
        <row r="1413">
          <cell r="A1413">
            <v>24238</v>
          </cell>
          <cell r="B1413">
            <v>-214403</v>
          </cell>
          <cell r="C1413">
            <v>-214403</v>
          </cell>
          <cell r="D1413">
            <v>-215088</v>
          </cell>
        </row>
        <row r="1414">
          <cell r="A1414">
            <v>24240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24241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24296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24299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24501</v>
          </cell>
          <cell r="B1418">
            <v>-35453520</v>
          </cell>
          <cell r="C1418">
            <v>-33813390</v>
          </cell>
          <cell r="D1418">
            <v>-77058728</v>
          </cell>
        </row>
        <row r="1419">
          <cell r="A1419">
            <v>24502</v>
          </cell>
          <cell r="B1419">
            <v>0</v>
          </cell>
          <cell r="C1419">
            <v>-53960</v>
          </cell>
          <cell r="D1419">
            <v>-236339</v>
          </cell>
        </row>
        <row r="1420">
          <cell r="A1420">
            <v>24503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24504</v>
          </cell>
          <cell r="B1421">
            <v>-4553000</v>
          </cell>
          <cell r="C1421">
            <v>-4013550</v>
          </cell>
          <cell r="D1421">
            <v>-6824195</v>
          </cell>
        </row>
        <row r="1422">
          <cell r="A1422">
            <v>24505</v>
          </cell>
          <cell r="B1422">
            <v>-2000</v>
          </cell>
          <cell r="C1422">
            <v>-1000</v>
          </cell>
          <cell r="D1422">
            <v>-116069</v>
          </cell>
        </row>
        <row r="1423">
          <cell r="A1423">
            <v>24506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24507</v>
          </cell>
          <cell r="B1424">
            <v>-412500</v>
          </cell>
          <cell r="C1424">
            <v>-389475</v>
          </cell>
          <cell r="D1424">
            <v>-84138</v>
          </cell>
        </row>
        <row r="1425">
          <cell r="A1425">
            <v>24508</v>
          </cell>
          <cell r="B1425">
            <v>0</v>
          </cell>
          <cell r="C1425">
            <v>0</v>
          </cell>
          <cell r="D1425">
            <v>-192762</v>
          </cell>
        </row>
        <row r="1426">
          <cell r="A1426">
            <v>24601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24602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24603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24604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24605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24606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24613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24616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24617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24619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24622</v>
          </cell>
          <cell r="B1436">
            <v>0</v>
          </cell>
          <cell r="C1436">
            <v>0</v>
          </cell>
          <cell r="D1436">
            <v>0</v>
          </cell>
        </row>
        <row r="1437">
          <cell r="A1437">
            <v>24625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24627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24628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24629</v>
          </cell>
          <cell r="B1440">
            <v>0</v>
          </cell>
          <cell r="C1440">
            <v>0</v>
          </cell>
          <cell r="D1440">
            <v>0</v>
          </cell>
        </row>
        <row r="1441">
          <cell r="A1441">
            <v>24632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24633</v>
          </cell>
          <cell r="B1442">
            <v>0</v>
          </cell>
          <cell r="C1442">
            <v>0</v>
          </cell>
          <cell r="D1442">
            <v>0</v>
          </cell>
        </row>
        <row r="1443">
          <cell r="A1443">
            <v>24635</v>
          </cell>
          <cell r="B1443">
            <v>0</v>
          </cell>
          <cell r="C1443">
            <v>0</v>
          </cell>
          <cell r="D1443">
            <v>0</v>
          </cell>
        </row>
        <row r="1444">
          <cell r="A1444">
            <v>24636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24637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24639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24641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24642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24643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24645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24648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24649</v>
          </cell>
          <cell r="B1452">
            <v>0</v>
          </cell>
          <cell r="C1452">
            <v>0</v>
          </cell>
          <cell r="D1452">
            <v>0</v>
          </cell>
        </row>
        <row r="1453">
          <cell r="A1453">
            <v>24650</v>
          </cell>
          <cell r="B1453">
            <v>0</v>
          </cell>
          <cell r="C1453">
            <v>0</v>
          </cell>
          <cell r="D1453">
            <v>0</v>
          </cell>
        </row>
        <row r="1454">
          <cell r="A1454">
            <v>24651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24652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24653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24656</v>
          </cell>
          <cell r="B1457">
            <v>0</v>
          </cell>
          <cell r="C1457">
            <v>0</v>
          </cell>
          <cell r="D1457">
            <v>0</v>
          </cell>
        </row>
        <row r="1458">
          <cell r="A1458">
            <v>24658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24659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24660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24662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24664</v>
          </cell>
          <cell r="B1462">
            <v>0</v>
          </cell>
          <cell r="C1462">
            <v>0</v>
          </cell>
          <cell r="D1462">
            <v>0</v>
          </cell>
        </row>
        <row r="1463">
          <cell r="A1463">
            <v>24701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24706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24710</v>
          </cell>
          <cell r="B1465">
            <v>0</v>
          </cell>
          <cell r="C1465">
            <v>0</v>
          </cell>
          <cell r="D1465">
            <v>0</v>
          </cell>
        </row>
        <row r="1466">
          <cell r="A1466">
            <v>24711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24713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24716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24715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24717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24719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24725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24726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24727</v>
          </cell>
          <cell r="B1474">
            <v>0</v>
          </cell>
          <cell r="C1474">
            <v>0</v>
          </cell>
          <cell r="D1474">
            <v>0</v>
          </cell>
        </row>
        <row r="1475">
          <cell r="A1475">
            <v>24729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24731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24737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24745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24748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24750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24751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24752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24753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24758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24759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24760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24764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24813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24829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24852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24853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24913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24916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24919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24929</v>
          </cell>
          <cell r="B1495">
            <v>0</v>
          </cell>
          <cell r="C1495">
            <v>0</v>
          </cell>
          <cell r="D1495">
            <v>0</v>
          </cell>
        </row>
        <row r="1496">
          <cell r="A1496">
            <v>24951</v>
          </cell>
          <cell r="B1496">
            <v>0</v>
          </cell>
          <cell r="C1496">
            <v>0</v>
          </cell>
          <cell r="D1496">
            <v>0</v>
          </cell>
        </row>
        <row r="1497">
          <cell r="A1497">
            <v>24952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24953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24958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25301</v>
          </cell>
          <cell r="B1500">
            <v>-1924169</v>
          </cell>
          <cell r="C1500">
            <v>-1935657</v>
          </cell>
          <cell r="D1500">
            <v>-2182707</v>
          </cell>
        </row>
        <row r="1501">
          <cell r="A1501">
            <v>25302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25303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25305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25306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25307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25309</v>
          </cell>
          <cell r="B1506">
            <v>-375</v>
          </cell>
          <cell r="C1506">
            <v>-375</v>
          </cell>
          <cell r="D1506">
            <v>-178</v>
          </cell>
        </row>
        <row r="1507">
          <cell r="A1507">
            <v>25310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25311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25312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25313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25314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25315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25316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25317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25318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25319</v>
          </cell>
          <cell r="B1516">
            <v>-468704</v>
          </cell>
          <cell r="C1516">
            <v>-464986</v>
          </cell>
          <cell r="D1516">
            <v>-422832</v>
          </cell>
        </row>
        <row r="1517">
          <cell r="A1517">
            <v>25320</v>
          </cell>
          <cell r="B1517">
            <v>-277327</v>
          </cell>
          <cell r="C1517">
            <v>-275443</v>
          </cell>
          <cell r="D1517">
            <v>-258343</v>
          </cell>
        </row>
        <row r="1518">
          <cell r="A1518">
            <v>25321</v>
          </cell>
          <cell r="B1518">
            <v>0</v>
          </cell>
          <cell r="C1518">
            <v>0</v>
          </cell>
          <cell r="D1518">
            <v>0</v>
          </cell>
        </row>
        <row r="1519">
          <cell r="A1519">
            <v>25322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25323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25324</v>
          </cell>
          <cell r="B1521">
            <v>-5779121</v>
          </cell>
          <cell r="C1521">
            <v>-5702635</v>
          </cell>
          <cell r="D1521">
            <v>-4421535</v>
          </cell>
        </row>
        <row r="1522">
          <cell r="A1522">
            <v>25325</v>
          </cell>
          <cell r="B1522">
            <v>0</v>
          </cell>
          <cell r="C1522">
            <v>0</v>
          </cell>
          <cell r="D1522">
            <v>0</v>
          </cell>
        </row>
        <row r="1523">
          <cell r="A1523">
            <v>25326</v>
          </cell>
          <cell r="B1523">
            <v>0</v>
          </cell>
          <cell r="C1523">
            <v>0</v>
          </cell>
          <cell r="D1523">
            <v>0</v>
          </cell>
        </row>
        <row r="1524">
          <cell r="A1524">
            <v>25327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25328</v>
          </cell>
          <cell r="B1525">
            <v>0</v>
          </cell>
          <cell r="C1525">
            <v>0</v>
          </cell>
          <cell r="D1525">
            <v>0</v>
          </cell>
        </row>
        <row r="1526">
          <cell r="A1526">
            <v>25330</v>
          </cell>
          <cell r="B1526">
            <v>-453114</v>
          </cell>
          <cell r="C1526">
            <v>-453114</v>
          </cell>
          <cell r="D1526">
            <v>-295724</v>
          </cell>
        </row>
        <row r="1527">
          <cell r="A1527">
            <v>25331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25332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25333</v>
          </cell>
          <cell r="B1529">
            <v>-1155418</v>
          </cell>
          <cell r="C1529">
            <v>-1183688</v>
          </cell>
          <cell r="D1529">
            <v>-945710</v>
          </cell>
        </row>
        <row r="1530">
          <cell r="A1530">
            <v>25334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25335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25336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25337</v>
          </cell>
          <cell r="B1533">
            <v>0</v>
          </cell>
          <cell r="C1533">
            <v>0</v>
          </cell>
          <cell r="D1533">
            <v>0</v>
          </cell>
        </row>
        <row r="1534">
          <cell r="A1534">
            <v>25338</v>
          </cell>
          <cell r="B1534">
            <v>0</v>
          </cell>
          <cell r="C1534">
            <v>0</v>
          </cell>
          <cell r="D1534">
            <v>0</v>
          </cell>
        </row>
        <row r="1535">
          <cell r="A1535">
            <v>25339</v>
          </cell>
          <cell r="B1535">
            <v>0</v>
          </cell>
          <cell r="C1535">
            <v>0</v>
          </cell>
          <cell r="D1535">
            <v>0</v>
          </cell>
        </row>
        <row r="1536">
          <cell r="A1536">
            <v>25340</v>
          </cell>
          <cell r="B1536">
            <v>0</v>
          </cell>
          <cell r="C1536">
            <v>0</v>
          </cell>
          <cell r="D1536">
            <v>0</v>
          </cell>
        </row>
        <row r="1537">
          <cell r="A1537">
            <v>25341</v>
          </cell>
          <cell r="B1537">
            <v>0</v>
          </cell>
          <cell r="C1537">
            <v>0</v>
          </cell>
          <cell r="D1537">
            <v>0</v>
          </cell>
        </row>
        <row r="1538">
          <cell r="A1538">
            <v>25342</v>
          </cell>
          <cell r="B1538">
            <v>-8145</v>
          </cell>
          <cell r="C1538">
            <v>-8145</v>
          </cell>
          <cell r="D1538">
            <v>-8145</v>
          </cell>
        </row>
        <row r="1539">
          <cell r="A1539">
            <v>25343</v>
          </cell>
          <cell r="B1539">
            <v>0</v>
          </cell>
          <cell r="C1539">
            <v>0</v>
          </cell>
          <cell r="D1539">
            <v>0</v>
          </cell>
        </row>
        <row r="1540">
          <cell r="A1540">
            <v>25344</v>
          </cell>
          <cell r="B1540">
            <v>0</v>
          </cell>
          <cell r="C1540">
            <v>0</v>
          </cell>
          <cell r="D1540">
            <v>0</v>
          </cell>
        </row>
        <row r="1541">
          <cell r="A1541">
            <v>25345</v>
          </cell>
          <cell r="B1541">
            <v>0</v>
          </cell>
          <cell r="C1541">
            <v>0</v>
          </cell>
          <cell r="D1541">
            <v>0</v>
          </cell>
        </row>
        <row r="1542">
          <cell r="A1542">
            <v>25346</v>
          </cell>
          <cell r="B1542">
            <v>0</v>
          </cell>
          <cell r="C1542">
            <v>0</v>
          </cell>
          <cell r="D1542">
            <v>0</v>
          </cell>
        </row>
        <row r="1543">
          <cell r="A1543">
            <v>25347</v>
          </cell>
          <cell r="B1543">
            <v>0</v>
          </cell>
          <cell r="C1543">
            <v>0</v>
          </cell>
          <cell r="D1543">
            <v>0</v>
          </cell>
        </row>
        <row r="1544">
          <cell r="A1544">
            <v>25348</v>
          </cell>
          <cell r="B1544">
            <v>0</v>
          </cell>
          <cell r="C1544">
            <v>0</v>
          </cell>
          <cell r="D1544">
            <v>0</v>
          </cell>
        </row>
        <row r="1545">
          <cell r="A1545">
            <v>25349</v>
          </cell>
          <cell r="B1545">
            <v>0</v>
          </cell>
          <cell r="C1545">
            <v>0</v>
          </cell>
          <cell r="D1545">
            <v>0</v>
          </cell>
        </row>
        <row r="1546">
          <cell r="A1546">
            <v>25350</v>
          </cell>
          <cell r="B1546">
            <v>0</v>
          </cell>
          <cell r="C1546">
            <v>0</v>
          </cell>
          <cell r="D1546">
            <v>0</v>
          </cell>
        </row>
        <row r="1547">
          <cell r="A1547">
            <v>25351</v>
          </cell>
          <cell r="B1547">
            <v>0</v>
          </cell>
          <cell r="C1547">
            <v>0</v>
          </cell>
          <cell r="D1547">
            <v>0</v>
          </cell>
        </row>
        <row r="1548">
          <cell r="A1548">
            <v>25352</v>
          </cell>
          <cell r="B1548">
            <v>0</v>
          </cell>
          <cell r="C1548">
            <v>0</v>
          </cell>
          <cell r="D1548">
            <v>0</v>
          </cell>
        </row>
        <row r="1549">
          <cell r="A1549">
            <v>25353</v>
          </cell>
          <cell r="B1549">
            <v>0</v>
          </cell>
          <cell r="C1549">
            <v>0</v>
          </cell>
          <cell r="D1549">
            <v>0</v>
          </cell>
        </row>
        <row r="1550">
          <cell r="A1550">
            <v>25354</v>
          </cell>
          <cell r="B1550">
            <v>0</v>
          </cell>
          <cell r="C1550">
            <v>0</v>
          </cell>
          <cell r="D1550">
            <v>0</v>
          </cell>
        </row>
        <row r="1551">
          <cell r="A1551">
            <v>25355</v>
          </cell>
          <cell r="B1551">
            <v>0</v>
          </cell>
          <cell r="C1551">
            <v>-27</v>
          </cell>
          <cell r="D1551">
            <v>-124</v>
          </cell>
        </row>
        <row r="1552">
          <cell r="A1552">
            <v>25356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25358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25359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25360</v>
          </cell>
          <cell r="B1555">
            <v>0</v>
          </cell>
          <cell r="C1555">
            <v>0</v>
          </cell>
          <cell r="D1555">
            <v>0</v>
          </cell>
        </row>
        <row r="1556">
          <cell r="A1556">
            <v>25361</v>
          </cell>
          <cell r="B1556">
            <v>0</v>
          </cell>
          <cell r="C1556">
            <v>0</v>
          </cell>
          <cell r="D1556">
            <v>0</v>
          </cell>
        </row>
        <row r="1557">
          <cell r="A1557">
            <v>25362</v>
          </cell>
          <cell r="B1557">
            <v>0</v>
          </cell>
          <cell r="C1557">
            <v>0</v>
          </cell>
          <cell r="D1557">
            <v>0</v>
          </cell>
        </row>
        <row r="1558">
          <cell r="A1558">
            <v>25363</v>
          </cell>
          <cell r="B1558">
            <v>0</v>
          </cell>
          <cell r="C1558">
            <v>0</v>
          </cell>
          <cell r="D1558">
            <v>0</v>
          </cell>
        </row>
        <row r="1559">
          <cell r="A1559">
            <v>25364</v>
          </cell>
          <cell r="B1559">
            <v>-69260</v>
          </cell>
          <cell r="C1559">
            <v>-69174</v>
          </cell>
          <cell r="D1559">
            <v>-68144</v>
          </cell>
        </row>
        <row r="1560">
          <cell r="A1560">
            <v>25365</v>
          </cell>
          <cell r="B1560">
            <v>-203633</v>
          </cell>
          <cell r="C1560">
            <v>-195239</v>
          </cell>
          <cell r="D1560">
            <v>-222670</v>
          </cell>
        </row>
        <row r="1561">
          <cell r="A1561">
            <v>25370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25371</v>
          </cell>
          <cell r="B1562">
            <v>0</v>
          </cell>
          <cell r="C1562">
            <v>0</v>
          </cell>
          <cell r="D1562">
            <v>0</v>
          </cell>
        </row>
        <row r="1563">
          <cell r="A1563">
            <v>25372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25373</v>
          </cell>
          <cell r="B1564">
            <v>0</v>
          </cell>
          <cell r="C1564">
            <v>0</v>
          </cell>
          <cell r="D1564">
            <v>0</v>
          </cell>
        </row>
        <row r="1565">
          <cell r="A1565">
            <v>25374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25375</v>
          </cell>
          <cell r="B1566">
            <v>0</v>
          </cell>
          <cell r="C1566">
            <v>0</v>
          </cell>
          <cell r="D1566">
            <v>0</v>
          </cell>
        </row>
        <row r="1567">
          <cell r="A1567">
            <v>25377</v>
          </cell>
          <cell r="B1567">
            <v>0</v>
          </cell>
          <cell r="C1567">
            <v>0</v>
          </cell>
          <cell r="D1567">
            <v>0</v>
          </cell>
        </row>
        <row r="1568">
          <cell r="A1568">
            <v>25378</v>
          </cell>
          <cell r="B1568">
            <v>0</v>
          </cell>
          <cell r="C1568">
            <v>0</v>
          </cell>
          <cell r="D1568">
            <v>0</v>
          </cell>
        </row>
        <row r="1569">
          <cell r="A1569">
            <v>25379</v>
          </cell>
          <cell r="B1569">
            <v>0</v>
          </cell>
          <cell r="C1569">
            <v>0</v>
          </cell>
          <cell r="D1569">
            <v>0</v>
          </cell>
        </row>
        <row r="1570">
          <cell r="A1570">
            <v>25380</v>
          </cell>
          <cell r="B1570">
            <v>0</v>
          </cell>
          <cell r="C1570">
            <v>0</v>
          </cell>
          <cell r="D1570">
            <v>-115385</v>
          </cell>
        </row>
        <row r="1571">
          <cell r="A1571">
            <v>25381</v>
          </cell>
          <cell r="B1571">
            <v>0</v>
          </cell>
          <cell r="C1571">
            <v>0</v>
          </cell>
          <cell r="D1571">
            <v>0</v>
          </cell>
        </row>
        <row r="1572">
          <cell r="A1572">
            <v>25382</v>
          </cell>
          <cell r="B1572">
            <v>0</v>
          </cell>
          <cell r="C1572">
            <v>0</v>
          </cell>
          <cell r="D1572">
            <v>0</v>
          </cell>
        </row>
        <row r="1573">
          <cell r="A1573">
            <v>25383</v>
          </cell>
          <cell r="B1573">
            <v>0</v>
          </cell>
          <cell r="C1573">
            <v>0</v>
          </cell>
          <cell r="D1573">
            <v>0</v>
          </cell>
        </row>
        <row r="1574">
          <cell r="A1574">
            <v>25384</v>
          </cell>
          <cell r="B1574">
            <v>0</v>
          </cell>
          <cell r="C1574">
            <v>0</v>
          </cell>
          <cell r="D1574">
            <v>0</v>
          </cell>
        </row>
        <row r="1575">
          <cell r="A1575">
            <v>25385</v>
          </cell>
          <cell r="B1575">
            <v>0</v>
          </cell>
          <cell r="C1575">
            <v>0</v>
          </cell>
          <cell r="D1575">
            <v>0</v>
          </cell>
        </row>
        <row r="1576">
          <cell r="A1576">
            <v>25386</v>
          </cell>
          <cell r="B1576">
            <v>0</v>
          </cell>
          <cell r="C1576">
            <v>0</v>
          </cell>
          <cell r="D1576">
            <v>0</v>
          </cell>
        </row>
        <row r="1577">
          <cell r="A1577">
            <v>25387</v>
          </cell>
          <cell r="B1577">
            <v>0</v>
          </cell>
          <cell r="C1577">
            <v>0</v>
          </cell>
          <cell r="D1577">
            <v>0</v>
          </cell>
        </row>
        <row r="1578">
          <cell r="A1578">
            <v>25388</v>
          </cell>
          <cell r="B1578">
            <v>0</v>
          </cell>
          <cell r="C1578">
            <v>0</v>
          </cell>
          <cell r="D1578">
            <v>0</v>
          </cell>
        </row>
        <row r="1579">
          <cell r="A1579">
            <v>25389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25390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25391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25392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25393</v>
          </cell>
          <cell r="B1583">
            <v>-875940</v>
          </cell>
          <cell r="C1583">
            <v>-831532</v>
          </cell>
          <cell r="D1583">
            <v>-852952</v>
          </cell>
        </row>
        <row r="1584">
          <cell r="A1584">
            <v>25395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25396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25398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25400</v>
          </cell>
          <cell r="B1587">
            <v>-18910608</v>
          </cell>
          <cell r="C1587">
            <v>-19068082</v>
          </cell>
          <cell r="D1587">
            <v>-17307719</v>
          </cell>
        </row>
        <row r="1588">
          <cell r="A1588">
            <v>25401</v>
          </cell>
          <cell r="B1588">
            <v>-41542</v>
          </cell>
          <cell r="C1588">
            <v>-41613</v>
          </cell>
          <cell r="D1588">
            <v>-43004</v>
          </cell>
        </row>
        <row r="1589">
          <cell r="A1589">
            <v>25431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25432</v>
          </cell>
          <cell r="B1590">
            <v>0</v>
          </cell>
          <cell r="C1590">
            <v>0</v>
          </cell>
          <cell r="D1590">
            <v>-16514</v>
          </cell>
        </row>
        <row r="1591">
          <cell r="A1591">
            <v>25433</v>
          </cell>
          <cell r="B1591">
            <v>-37895797</v>
          </cell>
          <cell r="C1591">
            <v>-38046667</v>
          </cell>
          <cell r="D1591">
            <v>-19802237</v>
          </cell>
        </row>
        <row r="1592">
          <cell r="A1592">
            <v>25434</v>
          </cell>
          <cell r="B1592">
            <v>0</v>
          </cell>
          <cell r="C1592">
            <v>0</v>
          </cell>
          <cell r="D1592">
            <v>0</v>
          </cell>
        </row>
        <row r="1593">
          <cell r="A1593">
            <v>25435</v>
          </cell>
          <cell r="B1593">
            <v>-555487</v>
          </cell>
          <cell r="C1593">
            <v>-574676</v>
          </cell>
          <cell r="D1593">
            <v>-252763</v>
          </cell>
        </row>
        <row r="1594">
          <cell r="A1594">
            <v>25438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25441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25442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25446</v>
          </cell>
          <cell r="B1597">
            <v>804690</v>
          </cell>
          <cell r="C1597">
            <v>869324</v>
          </cell>
          <cell r="D1597">
            <v>1417345</v>
          </cell>
        </row>
        <row r="1598">
          <cell r="A1598">
            <v>25447</v>
          </cell>
          <cell r="B1598">
            <v>-804690</v>
          </cell>
          <cell r="C1598">
            <v>-869324</v>
          </cell>
          <cell r="D1598">
            <v>-1417345</v>
          </cell>
        </row>
        <row r="1599">
          <cell r="A1599">
            <v>25448</v>
          </cell>
          <cell r="B1599">
            <v>800234</v>
          </cell>
          <cell r="C1599">
            <v>813218</v>
          </cell>
          <cell r="D1599">
            <v>951102</v>
          </cell>
        </row>
        <row r="1600">
          <cell r="A1600">
            <v>25449</v>
          </cell>
          <cell r="B1600">
            <v>-800234</v>
          </cell>
          <cell r="C1600">
            <v>-813218</v>
          </cell>
          <cell r="D1600">
            <v>-951102</v>
          </cell>
        </row>
        <row r="1601">
          <cell r="A1601">
            <v>25451</v>
          </cell>
          <cell r="B1601">
            <v>0</v>
          </cell>
          <cell r="C1601">
            <v>0</v>
          </cell>
          <cell r="D1601">
            <v>0</v>
          </cell>
        </row>
        <row r="1602">
          <cell r="A1602">
            <v>25452</v>
          </cell>
          <cell r="B1602">
            <v>0</v>
          </cell>
          <cell r="C1602">
            <v>0</v>
          </cell>
          <cell r="D1602">
            <v>0</v>
          </cell>
        </row>
        <row r="1603">
          <cell r="A1603">
            <v>25453</v>
          </cell>
          <cell r="B1603">
            <v>0</v>
          </cell>
          <cell r="C1603">
            <v>0</v>
          </cell>
          <cell r="D1603">
            <v>-365</v>
          </cell>
        </row>
        <row r="1604">
          <cell r="A1604">
            <v>25454</v>
          </cell>
          <cell r="B1604">
            <v>-123115</v>
          </cell>
          <cell r="C1604">
            <v>-135427</v>
          </cell>
          <cell r="D1604">
            <v>-270853</v>
          </cell>
        </row>
        <row r="1605">
          <cell r="A1605">
            <v>25455</v>
          </cell>
          <cell r="B1605">
            <v>-32369</v>
          </cell>
          <cell r="C1605">
            <v>-35066</v>
          </cell>
          <cell r="D1605">
            <v>-64737</v>
          </cell>
        </row>
        <row r="1606">
          <cell r="A1606">
            <v>25456</v>
          </cell>
          <cell r="B1606">
            <v>-284017</v>
          </cell>
          <cell r="C1606">
            <v>-307685</v>
          </cell>
          <cell r="D1606">
            <v>-51557</v>
          </cell>
        </row>
        <row r="1607">
          <cell r="A1607">
            <v>25457</v>
          </cell>
          <cell r="B1607">
            <v>-3150</v>
          </cell>
          <cell r="C1607">
            <v>-3282</v>
          </cell>
          <cell r="D1607">
            <v>-521202</v>
          </cell>
        </row>
        <row r="1608">
          <cell r="A1608">
            <v>25458</v>
          </cell>
          <cell r="B1608">
            <v>-18287</v>
          </cell>
          <cell r="C1608">
            <v>-19302</v>
          </cell>
          <cell r="D1608">
            <v>-26084</v>
          </cell>
        </row>
        <row r="1609">
          <cell r="A1609">
            <v>25459</v>
          </cell>
          <cell r="B1609">
            <v>-6409</v>
          </cell>
          <cell r="C1609">
            <v>-6577</v>
          </cell>
          <cell r="D1609">
            <v>-8432</v>
          </cell>
        </row>
        <row r="1610">
          <cell r="A1610">
            <v>25460</v>
          </cell>
          <cell r="B1610">
            <v>-5734</v>
          </cell>
          <cell r="C1610">
            <v>-5885</v>
          </cell>
          <cell r="D1610">
            <v>-7544</v>
          </cell>
        </row>
        <row r="1611">
          <cell r="A1611">
            <v>25461</v>
          </cell>
          <cell r="B1611">
            <v>-20275</v>
          </cell>
          <cell r="C1611">
            <v>-20573</v>
          </cell>
          <cell r="D1611">
            <v>-23853</v>
          </cell>
        </row>
        <row r="1612">
          <cell r="A1612">
            <v>25462</v>
          </cell>
          <cell r="B1612">
            <v>-19827</v>
          </cell>
          <cell r="C1612">
            <v>-20181</v>
          </cell>
          <cell r="D1612">
            <v>-24076</v>
          </cell>
        </row>
        <row r="1613">
          <cell r="A1613">
            <v>25463</v>
          </cell>
          <cell r="B1613">
            <v>-23162</v>
          </cell>
          <cell r="C1613">
            <v>-23438</v>
          </cell>
          <cell r="D1613">
            <v>-26471</v>
          </cell>
        </row>
        <row r="1614">
          <cell r="A1614">
            <v>25464</v>
          </cell>
          <cell r="B1614">
            <v>-46687</v>
          </cell>
          <cell r="C1614">
            <v>-47492</v>
          </cell>
          <cell r="D1614">
            <v>-56347</v>
          </cell>
        </row>
        <row r="1615">
          <cell r="A1615">
            <v>25465</v>
          </cell>
          <cell r="B1615">
            <v>-669681</v>
          </cell>
          <cell r="C1615">
            <v>-677468</v>
          </cell>
          <cell r="D1615">
            <v>-777750</v>
          </cell>
        </row>
        <row r="1616">
          <cell r="A1616">
            <v>25466</v>
          </cell>
          <cell r="B1616">
            <v>-42652</v>
          </cell>
          <cell r="C1616">
            <v>-43126</v>
          </cell>
          <cell r="D1616">
            <v>-40100</v>
          </cell>
        </row>
        <row r="1617">
          <cell r="A1617">
            <v>25467</v>
          </cell>
          <cell r="B1617">
            <v>-274278</v>
          </cell>
          <cell r="C1617">
            <v>-276818</v>
          </cell>
          <cell r="D1617">
            <v>-132451</v>
          </cell>
        </row>
        <row r="1618">
          <cell r="A1618">
            <v>25468</v>
          </cell>
          <cell r="B1618">
            <v>-14189</v>
          </cell>
          <cell r="C1618">
            <v>-15075</v>
          </cell>
          <cell r="D1618">
            <v>-24830</v>
          </cell>
        </row>
        <row r="1619">
          <cell r="A1619">
            <v>25469</v>
          </cell>
          <cell r="B1619">
            <v>-20754</v>
          </cell>
          <cell r="C1619">
            <v>-22236</v>
          </cell>
          <cell r="D1619">
            <v>-38542</v>
          </cell>
        </row>
        <row r="1620">
          <cell r="A1620">
            <v>25470</v>
          </cell>
          <cell r="B1620">
            <v>0</v>
          </cell>
          <cell r="C1620">
            <v>0</v>
          </cell>
          <cell r="D1620">
            <v>0</v>
          </cell>
        </row>
        <row r="1621">
          <cell r="A1621">
            <v>25471</v>
          </cell>
          <cell r="B1621">
            <v>0</v>
          </cell>
          <cell r="C1621">
            <v>0</v>
          </cell>
          <cell r="D1621">
            <v>0</v>
          </cell>
        </row>
        <row r="1622">
          <cell r="A1622">
            <v>25472</v>
          </cell>
          <cell r="B1622">
            <v>0</v>
          </cell>
          <cell r="C1622">
            <v>0</v>
          </cell>
          <cell r="D1622">
            <v>0</v>
          </cell>
        </row>
        <row r="1623">
          <cell r="A1623">
            <v>25473</v>
          </cell>
          <cell r="B1623">
            <v>0</v>
          </cell>
          <cell r="C1623">
            <v>0</v>
          </cell>
          <cell r="D1623">
            <v>0</v>
          </cell>
        </row>
        <row r="1624">
          <cell r="A1624">
            <v>25474</v>
          </cell>
          <cell r="B1624">
            <v>0</v>
          </cell>
          <cell r="C1624">
            <v>0</v>
          </cell>
          <cell r="D1624">
            <v>0</v>
          </cell>
        </row>
        <row r="1625">
          <cell r="A1625">
            <v>25475</v>
          </cell>
          <cell r="B1625">
            <v>0</v>
          </cell>
          <cell r="C1625">
            <v>0</v>
          </cell>
          <cell r="D1625">
            <v>0</v>
          </cell>
        </row>
        <row r="1626">
          <cell r="A1626">
            <v>25476</v>
          </cell>
          <cell r="B1626">
            <v>0</v>
          </cell>
          <cell r="C1626">
            <v>0</v>
          </cell>
          <cell r="D1626">
            <v>0</v>
          </cell>
        </row>
        <row r="1627">
          <cell r="A1627">
            <v>25477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25478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25479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25480</v>
          </cell>
          <cell r="B1630">
            <v>0</v>
          </cell>
          <cell r="C1630">
            <v>0</v>
          </cell>
          <cell r="D1630">
            <v>0</v>
          </cell>
        </row>
        <row r="1631">
          <cell r="A1631">
            <v>25481</v>
          </cell>
          <cell r="B1631">
            <v>0</v>
          </cell>
          <cell r="C1631">
            <v>0</v>
          </cell>
          <cell r="D1631">
            <v>-1920</v>
          </cell>
        </row>
        <row r="1632">
          <cell r="A1632">
            <v>25482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25483</v>
          </cell>
          <cell r="B1633">
            <v>0</v>
          </cell>
          <cell r="C1633">
            <v>0</v>
          </cell>
          <cell r="D1633">
            <v>0</v>
          </cell>
        </row>
        <row r="1634">
          <cell r="A1634">
            <v>25484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25485</v>
          </cell>
          <cell r="B1635">
            <v>0</v>
          </cell>
          <cell r="C1635">
            <v>0</v>
          </cell>
          <cell r="D1635">
            <v>-47</v>
          </cell>
        </row>
        <row r="1636">
          <cell r="A1636">
            <v>25486</v>
          </cell>
          <cell r="B1636">
            <v>0</v>
          </cell>
          <cell r="C1636">
            <v>0</v>
          </cell>
          <cell r="D1636">
            <v>0</v>
          </cell>
        </row>
        <row r="1637">
          <cell r="A1637">
            <v>25487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25488</v>
          </cell>
          <cell r="B1638">
            <v>0</v>
          </cell>
          <cell r="C1638">
            <v>0</v>
          </cell>
          <cell r="D1638">
            <v>-87</v>
          </cell>
        </row>
        <row r="1639">
          <cell r="A1639">
            <v>25489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25490</v>
          </cell>
          <cell r="B1640">
            <v>0</v>
          </cell>
          <cell r="C1640">
            <v>0</v>
          </cell>
          <cell r="D1640">
            <v>0</v>
          </cell>
        </row>
        <row r="1641">
          <cell r="A1641">
            <v>25491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25492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25493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25494</v>
          </cell>
          <cell r="B1644">
            <v>0</v>
          </cell>
          <cell r="C1644">
            <v>-22402</v>
          </cell>
          <cell r="D1644">
            <v>-268821</v>
          </cell>
        </row>
        <row r="1645">
          <cell r="A1645">
            <v>25495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25496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25497</v>
          </cell>
          <cell r="B1647">
            <v>0</v>
          </cell>
          <cell r="C1647">
            <v>0</v>
          </cell>
          <cell r="D1647">
            <v>0</v>
          </cell>
        </row>
        <row r="1648">
          <cell r="A1648">
            <v>25498</v>
          </cell>
          <cell r="B1648">
            <v>0</v>
          </cell>
          <cell r="C1648">
            <v>0</v>
          </cell>
          <cell r="D1648">
            <v>0</v>
          </cell>
        </row>
        <row r="1649">
          <cell r="A1649">
            <v>25499</v>
          </cell>
          <cell r="B1649">
            <v>-340</v>
          </cell>
          <cell r="C1649">
            <v>-510</v>
          </cell>
          <cell r="D1649">
            <v>-2380</v>
          </cell>
        </row>
        <row r="1650">
          <cell r="A1650">
            <v>25501</v>
          </cell>
          <cell r="B1650">
            <v>8</v>
          </cell>
          <cell r="C1650">
            <v>8</v>
          </cell>
          <cell r="D1650">
            <v>8</v>
          </cell>
        </row>
        <row r="1651">
          <cell r="A1651">
            <v>25503</v>
          </cell>
          <cell r="B1651">
            <v>-3108</v>
          </cell>
          <cell r="C1651">
            <v>-3112</v>
          </cell>
          <cell r="D1651">
            <v>-3163</v>
          </cell>
        </row>
        <row r="1652">
          <cell r="A1652">
            <v>25504</v>
          </cell>
          <cell r="B1652">
            <v>-24153</v>
          </cell>
          <cell r="C1652">
            <v>-24189</v>
          </cell>
          <cell r="D1652">
            <v>-24579</v>
          </cell>
        </row>
        <row r="1653">
          <cell r="A1653">
            <v>25505</v>
          </cell>
          <cell r="B1653">
            <v>-6716</v>
          </cell>
          <cell r="C1653">
            <v>-6726</v>
          </cell>
          <cell r="D1653">
            <v>-6831</v>
          </cell>
        </row>
        <row r="1654">
          <cell r="A1654">
            <v>25506</v>
          </cell>
          <cell r="B1654">
            <v>-543</v>
          </cell>
          <cell r="C1654">
            <v>-544</v>
          </cell>
          <cell r="D1654">
            <v>-553</v>
          </cell>
        </row>
        <row r="1655">
          <cell r="A1655">
            <v>25512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25513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25514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25515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25516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25517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25518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25519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25520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25521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25522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25523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25524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25525</v>
          </cell>
          <cell r="B1668">
            <v>-1</v>
          </cell>
          <cell r="C1668">
            <v>-1</v>
          </cell>
          <cell r="D1668">
            <v>-1</v>
          </cell>
        </row>
        <row r="1669">
          <cell r="A1669">
            <v>25526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25527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25528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25529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25530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25531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25532</v>
          </cell>
          <cell r="B1675">
            <v>0</v>
          </cell>
          <cell r="C1675">
            <v>0</v>
          </cell>
          <cell r="D1675">
            <v>0</v>
          </cell>
        </row>
        <row r="1676">
          <cell r="A1676">
            <v>25533</v>
          </cell>
          <cell r="B1676">
            <v>0</v>
          </cell>
          <cell r="C1676">
            <v>0</v>
          </cell>
          <cell r="D1676">
            <v>0</v>
          </cell>
        </row>
        <row r="1677">
          <cell r="A1677">
            <v>25534</v>
          </cell>
          <cell r="B1677">
            <v>0</v>
          </cell>
          <cell r="C1677">
            <v>0</v>
          </cell>
          <cell r="D1677">
            <v>0</v>
          </cell>
        </row>
        <row r="1678">
          <cell r="A1678">
            <v>25535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25536</v>
          </cell>
          <cell r="B1679">
            <v>-14981</v>
          </cell>
          <cell r="C1679">
            <v>-14998</v>
          </cell>
          <cell r="D1679">
            <v>-15185</v>
          </cell>
        </row>
        <row r="1680">
          <cell r="A1680">
            <v>25539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25540</v>
          </cell>
          <cell r="B1681">
            <v>-320939</v>
          </cell>
          <cell r="C1681">
            <v>-321438</v>
          </cell>
          <cell r="D1681">
            <v>-326923</v>
          </cell>
        </row>
        <row r="1682">
          <cell r="A1682">
            <v>25541</v>
          </cell>
          <cell r="B1682">
            <v>-177471</v>
          </cell>
          <cell r="C1682">
            <v>-177740</v>
          </cell>
          <cell r="D1682">
            <v>-180697</v>
          </cell>
        </row>
        <row r="1683">
          <cell r="A1683">
            <v>25542</v>
          </cell>
          <cell r="B1683">
            <v>-1497625</v>
          </cell>
          <cell r="C1683">
            <v>-1499827</v>
          </cell>
          <cell r="D1683">
            <v>-1524044</v>
          </cell>
        </row>
        <row r="1684">
          <cell r="A1684">
            <v>25543</v>
          </cell>
          <cell r="B1684">
            <v>-942785</v>
          </cell>
          <cell r="C1684">
            <v>-944128</v>
          </cell>
          <cell r="D1684">
            <v>-958903</v>
          </cell>
        </row>
        <row r="1685">
          <cell r="A1685">
            <v>25544</v>
          </cell>
          <cell r="B1685">
            <v>-201042</v>
          </cell>
          <cell r="C1685">
            <v>-201338</v>
          </cell>
          <cell r="D1685">
            <v>-204589</v>
          </cell>
        </row>
        <row r="1686">
          <cell r="A1686">
            <v>25545</v>
          </cell>
          <cell r="B1686">
            <v>-397802</v>
          </cell>
          <cell r="C1686">
            <v>-398351</v>
          </cell>
          <cell r="D1686">
            <v>-404392</v>
          </cell>
        </row>
        <row r="1687">
          <cell r="A1687">
            <v>25550</v>
          </cell>
          <cell r="B1687">
            <v>-226390</v>
          </cell>
          <cell r="C1687">
            <v>-226713</v>
          </cell>
          <cell r="D1687">
            <v>-230261</v>
          </cell>
        </row>
        <row r="1688">
          <cell r="A1688">
            <v>25551</v>
          </cell>
          <cell r="B1688">
            <v>-1725514</v>
          </cell>
          <cell r="C1688">
            <v>-1727972</v>
          </cell>
          <cell r="D1688">
            <v>-1755015</v>
          </cell>
        </row>
        <row r="1689">
          <cell r="A1689">
            <v>25552</v>
          </cell>
          <cell r="B1689">
            <v>-2693928</v>
          </cell>
          <cell r="C1689">
            <v>-2697766</v>
          </cell>
          <cell r="D1689">
            <v>-2739985</v>
          </cell>
        </row>
        <row r="1690">
          <cell r="A1690">
            <v>25553</v>
          </cell>
          <cell r="B1690">
            <v>-723753</v>
          </cell>
          <cell r="C1690">
            <v>-724784</v>
          </cell>
          <cell r="D1690">
            <v>-736127</v>
          </cell>
        </row>
        <row r="1691">
          <cell r="A1691">
            <v>25554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25555</v>
          </cell>
          <cell r="B1692">
            <v>-988520</v>
          </cell>
          <cell r="C1692">
            <v>-989929</v>
          </cell>
          <cell r="D1692">
            <v>-1005422</v>
          </cell>
        </row>
        <row r="1693">
          <cell r="A1693">
            <v>25556</v>
          </cell>
          <cell r="B1693">
            <v>-348778</v>
          </cell>
          <cell r="C1693">
            <v>-349275</v>
          </cell>
          <cell r="D1693">
            <v>-354741</v>
          </cell>
        </row>
        <row r="1694">
          <cell r="A1694">
            <v>25557</v>
          </cell>
          <cell r="B1694">
            <v>-37402</v>
          </cell>
          <cell r="C1694">
            <v>-37454</v>
          </cell>
          <cell r="D1694">
            <v>-38021</v>
          </cell>
        </row>
        <row r="1695">
          <cell r="A1695">
            <v>25558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25570</v>
          </cell>
          <cell r="B1696">
            <v>-498</v>
          </cell>
          <cell r="C1696">
            <v>-499</v>
          </cell>
          <cell r="D1696">
            <v>-509</v>
          </cell>
        </row>
        <row r="1697">
          <cell r="A1697">
            <v>25571</v>
          </cell>
          <cell r="B1697">
            <v>-1015</v>
          </cell>
          <cell r="C1697">
            <v>-1017</v>
          </cell>
          <cell r="D1697">
            <v>-1034</v>
          </cell>
        </row>
        <row r="1698">
          <cell r="A1698">
            <v>25573</v>
          </cell>
          <cell r="B1698">
            <v>-34741</v>
          </cell>
          <cell r="C1698">
            <v>-34787</v>
          </cell>
          <cell r="D1698">
            <v>-35299</v>
          </cell>
        </row>
        <row r="1699">
          <cell r="A1699">
            <v>25574</v>
          </cell>
          <cell r="B1699">
            <v>-164954</v>
          </cell>
          <cell r="C1699">
            <v>-165175</v>
          </cell>
          <cell r="D1699">
            <v>-167604</v>
          </cell>
        </row>
        <row r="1700">
          <cell r="A1700">
            <v>25575</v>
          </cell>
          <cell r="B1700">
            <v>-155173</v>
          </cell>
          <cell r="C1700">
            <v>-155375</v>
          </cell>
          <cell r="D1700">
            <v>-157591</v>
          </cell>
        </row>
        <row r="1701">
          <cell r="A1701">
            <v>25576</v>
          </cell>
          <cell r="B1701">
            <v>-27621</v>
          </cell>
          <cell r="C1701">
            <v>-27656</v>
          </cell>
          <cell r="D1701">
            <v>-28039</v>
          </cell>
        </row>
        <row r="1702">
          <cell r="A1702">
            <v>25577</v>
          </cell>
          <cell r="B1702">
            <v>-2700</v>
          </cell>
          <cell r="C1702">
            <v>-2704</v>
          </cell>
          <cell r="D1702">
            <v>-2741</v>
          </cell>
        </row>
        <row r="1703">
          <cell r="A1703">
            <v>25601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25602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25603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25604</v>
          </cell>
          <cell r="B1706">
            <v>55</v>
          </cell>
          <cell r="C1706">
            <v>55</v>
          </cell>
          <cell r="D1706">
            <v>55</v>
          </cell>
        </row>
        <row r="1707">
          <cell r="A1707">
            <v>25605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25606</v>
          </cell>
          <cell r="B1708">
            <v>0</v>
          </cell>
          <cell r="C1708">
            <v>0</v>
          </cell>
          <cell r="D1708">
            <v>0</v>
          </cell>
        </row>
        <row r="1709">
          <cell r="A1709">
            <v>25607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25608</v>
          </cell>
          <cell r="B1710">
            <v>2750</v>
          </cell>
          <cell r="C1710">
            <v>2750</v>
          </cell>
          <cell r="D1710">
            <v>2750</v>
          </cell>
        </row>
        <row r="1711">
          <cell r="A1711">
            <v>25609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25610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25611</v>
          </cell>
          <cell r="B1713">
            <v>275</v>
          </cell>
          <cell r="C1713">
            <v>275</v>
          </cell>
          <cell r="D1713">
            <v>275</v>
          </cell>
        </row>
        <row r="1714">
          <cell r="A1714">
            <v>25612</v>
          </cell>
          <cell r="B1714">
            <v>-156</v>
          </cell>
          <cell r="C1714">
            <v>-156</v>
          </cell>
          <cell r="D1714">
            <v>-156</v>
          </cell>
        </row>
        <row r="1715">
          <cell r="A1715">
            <v>25613</v>
          </cell>
          <cell r="B1715">
            <v>0</v>
          </cell>
          <cell r="C1715">
            <v>0</v>
          </cell>
          <cell r="D1715">
            <v>0</v>
          </cell>
        </row>
        <row r="1716">
          <cell r="A1716">
            <v>25614</v>
          </cell>
          <cell r="B1716">
            <v>0</v>
          </cell>
          <cell r="C1716">
            <v>0</v>
          </cell>
          <cell r="D1716">
            <v>-102364</v>
          </cell>
        </row>
        <row r="1717">
          <cell r="A1717">
            <v>25615</v>
          </cell>
          <cell r="B1717">
            <v>37360</v>
          </cell>
          <cell r="C1717">
            <v>35755</v>
          </cell>
          <cell r="D1717">
            <v>5501</v>
          </cell>
        </row>
        <row r="1718">
          <cell r="A1718">
            <v>25616</v>
          </cell>
          <cell r="B1718">
            <v>0</v>
          </cell>
          <cell r="C1718">
            <v>0</v>
          </cell>
          <cell r="D1718">
            <v>0</v>
          </cell>
        </row>
        <row r="1719">
          <cell r="A1719">
            <v>25618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25619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25620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25621</v>
          </cell>
          <cell r="B1722">
            <v>0</v>
          </cell>
          <cell r="C1722">
            <v>0</v>
          </cell>
          <cell r="D1722">
            <v>0</v>
          </cell>
        </row>
        <row r="1723">
          <cell r="A1723">
            <v>25622</v>
          </cell>
          <cell r="B1723">
            <v>0</v>
          </cell>
          <cell r="C1723">
            <v>0</v>
          </cell>
          <cell r="D1723">
            <v>0</v>
          </cell>
        </row>
        <row r="1724">
          <cell r="A1724">
            <v>25623</v>
          </cell>
          <cell r="B1724">
            <v>0</v>
          </cell>
          <cell r="C1724">
            <v>0</v>
          </cell>
          <cell r="D1724">
            <v>0</v>
          </cell>
        </row>
        <row r="1725">
          <cell r="A1725">
            <v>25624</v>
          </cell>
          <cell r="B1725">
            <v>179</v>
          </cell>
          <cell r="C1725">
            <v>179</v>
          </cell>
          <cell r="D1725">
            <v>41</v>
          </cell>
        </row>
        <row r="1726">
          <cell r="A1726">
            <v>25625</v>
          </cell>
          <cell r="B1726">
            <v>117</v>
          </cell>
          <cell r="C1726">
            <v>117</v>
          </cell>
          <cell r="D1726">
            <v>117</v>
          </cell>
        </row>
        <row r="1727">
          <cell r="A1727">
            <v>25626</v>
          </cell>
          <cell r="B1727">
            <v>0</v>
          </cell>
          <cell r="C1727">
            <v>0</v>
          </cell>
          <cell r="D1727">
            <v>0</v>
          </cell>
        </row>
        <row r="1728">
          <cell r="A1728">
            <v>25627</v>
          </cell>
          <cell r="B1728">
            <v>10360</v>
          </cell>
          <cell r="C1728">
            <v>9180</v>
          </cell>
          <cell r="D1728">
            <v>8182</v>
          </cell>
        </row>
        <row r="1729">
          <cell r="A1729">
            <v>25630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25631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25632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25633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25635</v>
          </cell>
          <cell r="B1733">
            <v>0</v>
          </cell>
          <cell r="C1733">
            <v>0</v>
          </cell>
          <cell r="D1733">
            <v>0</v>
          </cell>
        </row>
        <row r="1734">
          <cell r="A1734">
            <v>25637</v>
          </cell>
          <cell r="B1734">
            <v>0</v>
          </cell>
          <cell r="C1734">
            <v>0</v>
          </cell>
          <cell r="D1734">
            <v>0</v>
          </cell>
        </row>
        <row r="1735">
          <cell r="A1735">
            <v>25638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25639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25640</v>
          </cell>
          <cell r="B1737">
            <v>0</v>
          </cell>
          <cell r="C1737">
            <v>0</v>
          </cell>
          <cell r="D1737">
            <v>0</v>
          </cell>
        </row>
        <row r="1738">
          <cell r="A1738">
            <v>25643</v>
          </cell>
          <cell r="B1738">
            <v>0</v>
          </cell>
          <cell r="C1738">
            <v>0</v>
          </cell>
          <cell r="D1738">
            <v>0</v>
          </cell>
        </row>
        <row r="1739">
          <cell r="A1739">
            <v>25645</v>
          </cell>
          <cell r="B1739">
            <v>0</v>
          </cell>
          <cell r="C1739">
            <v>0</v>
          </cell>
          <cell r="D1739">
            <v>0</v>
          </cell>
        </row>
        <row r="1740">
          <cell r="A1740">
            <v>25648</v>
          </cell>
          <cell r="B1740">
            <v>0</v>
          </cell>
          <cell r="C1740">
            <v>0</v>
          </cell>
          <cell r="D1740">
            <v>0</v>
          </cell>
        </row>
        <row r="1741">
          <cell r="A1741">
            <v>25649</v>
          </cell>
          <cell r="B1741">
            <v>0</v>
          </cell>
          <cell r="C1741">
            <v>0</v>
          </cell>
          <cell r="D1741">
            <v>0</v>
          </cell>
        </row>
        <row r="1742">
          <cell r="A1742">
            <v>25651</v>
          </cell>
          <cell r="B1742">
            <v>0</v>
          </cell>
          <cell r="C1742">
            <v>0</v>
          </cell>
          <cell r="D1742">
            <v>0</v>
          </cell>
        </row>
        <row r="1743">
          <cell r="A1743">
            <v>25653</v>
          </cell>
          <cell r="B1743">
            <v>0</v>
          </cell>
          <cell r="C1743">
            <v>0</v>
          </cell>
          <cell r="D1743">
            <v>0</v>
          </cell>
        </row>
        <row r="1744">
          <cell r="A1744">
            <v>25655</v>
          </cell>
          <cell r="B1744">
            <v>0</v>
          </cell>
          <cell r="C1744">
            <v>0</v>
          </cell>
          <cell r="D1744">
            <v>0</v>
          </cell>
        </row>
        <row r="1745">
          <cell r="A1745">
            <v>25657</v>
          </cell>
          <cell r="B1745">
            <v>0</v>
          </cell>
          <cell r="C1745">
            <v>0</v>
          </cell>
          <cell r="D1745">
            <v>0</v>
          </cell>
        </row>
        <row r="1746">
          <cell r="A1746">
            <v>25658</v>
          </cell>
          <cell r="B1746">
            <v>0</v>
          </cell>
          <cell r="C1746">
            <v>0</v>
          </cell>
          <cell r="D1746">
            <v>0</v>
          </cell>
        </row>
        <row r="1747">
          <cell r="A1747">
            <v>25659</v>
          </cell>
          <cell r="B1747">
            <v>0</v>
          </cell>
          <cell r="C1747">
            <v>0</v>
          </cell>
          <cell r="D1747">
            <v>0</v>
          </cell>
        </row>
        <row r="1748">
          <cell r="A1748">
            <v>25662</v>
          </cell>
          <cell r="B1748">
            <v>0</v>
          </cell>
          <cell r="C1748">
            <v>0</v>
          </cell>
          <cell r="D1748">
            <v>0</v>
          </cell>
        </row>
        <row r="1749">
          <cell r="A1749">
            <v>25663</v>
          </cell>
          <cell r="B1749">
            <v>0</v>
          </cell>
          <cell r="C1749">
            <v>0</v>
          </cell>
          <cell r="D1749">
            <v>0</v>
          </cell>
        </row>
        <row r="1750">
          <cell r="A1750">
            <v>25664</v>
          </cell>
          <cell r="B1750">
            <v>0</v>
          </cell>
          <cell r="C1750">
            <v>0</v>
          </cell>
          <cell r="D1750">
            <v>0</v>
          </cell>
        </row>
        <row r="1751">
          <cell r="A1751">
            <v>25665</v>
          </cell>
          <cell r="B1751">
            <v>0</v>
          </cell>
          <cell r="C1751">
            <v>0</v>
          </cell>
          <cell r="D1751">
            <v>0</v>
          </cell>
        </row>
        <row r="1752">
          <cell r="A1752">
            <v>25666</v>
          </cell>
          <cell r="B1752">
            <v>-3643</v>
          </cell>
          <cell r="C1752">
            <v>-3643</v>
          </cell>
          <cell r="D1752">
            <v>-95697</v>
          </cell>
        </row>
        <row r="1753">
          <cell r="A1753">
            <v>25667</v>
          </cell>
          <cell r="B1753">
            <v>-7292</v>
          </cell>
          <cell r="C1753">
            <v>-7292</v>
          </cell>
          <cell r="D1753">
            <v>-6585</v>
          </cell>
        </row>
        <row r="1754">
          <cell r="A1754">
            <v>25668</v>
          </cell>
          <cell r="B1754">
            <v>-24578</v>
          </cell>
          <cell r="C1754">
            <v>-24578</v>
          </cell>
          <cell r="D1754">
            <v>-24578</v>
          </cell>
        </row>
        <row r="1755">
          <cell r="A1755">
            <v>25669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25671</v>
          </cell>
          <cell r="B1756">
            <v>0</v>
          </cell>
          <cell r="C1756">
            <v>0</v>
          </cell>
          <cell r="D1756">
            <v>0</v>
          </cell>
        </row>
        <row r="1757">
          <cell r="A1757">
            <v>25672</v>
          </cell>
          <cell r="B1757">
            <v>0</v>
          </cell>
          <cell r="C1757">
            <v>0</v>
          </cell>
          <cell r="D1757">
            <v>0</v>
          </cell>
        </row>
        <row r="1758">
          <cell r="A1758">
            <v>25673</v>
          </cell>
          <cell r="B1758">
            <v>0</v>
          </cell>
          <cell r="C1758">
            <v>0</v>
          </cell>
          <cell r="D1758">
            <v>0</v>
          </cell>
        </row>
        <row r="1759">
          <cell r="A1759">
            <v>25674</v>
          </cell>
          <cell r="B1759">
            <v>0</v>
          </cell>
          <cell r="C1759">
            <v>0</v>
          </cell>
          <cell r="D1759">
            <v>0</v>
          </cell>
        </row>
        <row r="1760">
          <cell r="A1760">
            <v>25701</v>
          </cell>
          <cell r="B1760">
            <v>0</v>
          </cell>
          <cell r="C1760">
            <v>0</v>
          </cell>
          <cell r="D1760">
            <v>0</v>
          </cell>
        </row>
        <row r="1761">
          <cell r="A1761">
            <v>26225</v>
          </cell>
          <cell r="B1761">
            <v>0</v>
          </cell>
          <cell r="C1761">
            <v>0</v>
          </cell>
          <cell r="D1761">
            <v>0</v>
          </cell>
        </row>
        <row r="1762">
          <cell r="A1762">
            <v>26235</v>
          </cell>
          <cell r="B1762">
            <v>0</v>
          </cell>
          <cell r="C1762">
            <v>0</v>
          </cell>
          <cell r="D1762">
            <v>0</v>
          </cell>
        </row>
        <row r="1763">
          <cell r="A1763">
            <v>26236</v>
          </cell>
          <cell r="B1763">
            <v>0</v>
          </cell>
          <cell r="C1763">
            <v>0</v>
          </cell>
          <cell r="D1763">
            <v>0</v>
          </cell>
        </row>
        <row r="1764">
          <cell r="A1764">
            <v>26245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26255</v>
          </cell>
          <cell r="B1765">
            <v>0</v>
          </cell>
          <cell r="C1765">
            <v>0</v>
          </cell>
          <cell r="D1765">
            <v>0</v>
          </cell>
        </row>
        <row r="1766">
          <cell r="A1766">
            <v>28110</v>
          </cell>
          <cell r="B1766">
            <v>-1959165</v>
          </cell>
          <cell r="C1766">
            <v>-1959165</v>
          </cell>
          <cell r="D1766">
            <v>-1531117</v>
          </cell>
        </row>
        <row r="1767">
          <cell r="A1767">
            <v>28120</v>
          </cell>
          <cell r="B1767">
            <v>-12190600</v>
          </cell>
          <cell r="C1767">
            <v>-12190600</v>
          </cell>
          <cell r="D1767">
            <v>-9631381</v>
          </cell>
        </row>
        <row r="1768">
          <cell r="A1768">
            <v>28201</v>
          </cell>
          <cell r="B1768">
            <v>0</v>
          </cell>
          <cell r="C1768">
            <v>0</v>
          </cell>
          <cell r="D1768">
            <v>0</v>
          </cell>
        </row>
        <row r="1769">
          <cell r="A1769">
            <v>28202</v>
          </cell>
          <cell r="B1769">
            <v>0</v>
          </cell>
          <cell r="C1769">
            <v>0</v>
          </cell>
          <cell r="D1769">
            <v>0</v>
          </cell>
        </row>
        <row r="1770">
          <cell r="A1770">
            <v>28203</v>
          </cell>
          <cell r="B1770">
            <v>0</v>
          </cell>
          <cell r="C1770">
            <v>0</v>
          </cell>
          <cell r="D1770">
            <v>0</v>
          </cell>
        </row>
        <row r="1771">
          <cell r="A1771">
            <v>28204</v>
          </cell>
          <cell r="B1771">
            <v>0</v>
          </cell>
          <cell r="C1771">
            <v>0</v>
          </cell>
          <cell r="D1771">
            <v>0</v>
          </cell>
        </row>
        <row r="1772">
          <cell r="A1772">
            <v>28205</v>
          </cell>
          <cell r="B1772">
            <v>0</v>
          </cell>
          <cell r="C1772">
            <v>0</v>
          </cell>
          <cell r="D1772">
            <v>0</v>
          </cell>
        </row>
        <row r="1773">
          <cell r="A1773">
            <v>28206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28207</v>
          </cell>
          <cell r="B1774">
            <v>0</v>
          </cell>
          <cell r="C1774">
            <v>0</v>
          </cell>
          <cell r="D1774">
            <v>0</v>
          </cell>
        </row>
        <row r="1775">
          <cell r="A1775">
            <v>28208</v>
          </cell>
          <cell r="B1775">
            <v>0</v>
          </cell>
          <cell r="C1775">
            <v>0</v>
          </cell>
          <cell r="D1775">
            <v>0</v>
          </cell>
        </row>
        <row r="1776">
          <cell r="A1776">
            <v>28210</v>
          </cell>
          <cell r="B1776">
            <v>-76721598</v>
          </cell>
          <cell r="C1776">
            <v>-76421411</v>
          </cell>
          <cell r="D1776">
            <v>-71524795</v>
          </cell>
        </row>
        <row r="1777">
          <cell r="A1777">
            <v>28211</v>
          </cell>
          <cell r="B1777">
            <v>0</v>
          </cell>
          <cell r="C1777">
            <v>0</v>
          </cell>
          <cell r="D1777">
            <v>0</v>
          </cell>
        </row>
        <row r="1778">
          <cell r="A1778">
            <v>28212</v>
          </cell>
          <cell r="B1778">
            <v>0</v>
          </cell>
          <cell r="C1778">
            <v>0</v>
          </cell>
          <cell r="D1778">
            <v>0</v>
          </cell>
        </row>
        <row r="1779">
          <cell r="A1779">
            <v>28215</v>
          </cell>
          <cell r="B1779">
            <v>0</v>
          </cell>
          <cell r="C1779">
            <v>0</v>
          </cell>
          <cell r="D1779">
            <v>0</v>
          </cell>
        </row>
        <row r="1780">
          <cell r="A1780">
            <v>28216</v>
          </cell>
          <cell r="B1780">
            <v>0</v>
          </cell>
          <cell r="C1780">
            <v>0</v>
          </cell>
          <cell r="D1780">
            <v>0</v>
          </cell>
        </row>
        <row r="1781">
          <cell r="A1781">
            <v>28217</v>
          </cell>
          <cell r="B1781">
            <v>0</v>
          </cell>
          <cell r="C1781">
            <v>0</v>
          </cell>
          <cell r="D1781">
            <v>0</v>
          </cell>
        </row>
        <row r="1782">
          <cell r="A1782">
            <v>28218</v>
          </cell>
          <cell r="B1782">
            <v>0</v>
          </cell>
          <cell r="C1782">
            <v>0</v>
          </cell>
          <cell r="D1782">
            <v>0</v>
          </cell>
        </row>
        <row r="1783">
          <cell r="A1783">
            <v>28220</v>
          </cell>
          <cell r="B1783">
            <v>-575342400</v>
          </cell>
          <cell r="C1783">
            <v>-572676390</v>
          </cell>
          <cell r="D1783">
            <v>-524800728</v>
          </cell>
        </row>
        <row r="1784">
          <cell r="A1784">
            <v>28221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28225</v>
          </cell>
          <cell r="B1785">
            <v>-34464689</v>
          </cell>
          <cell r="C1785">
            <v>-34382523</v>
          </cell>
          <cell r="D1785">
            <v>-38399145</v>
          </cell>
        </row>
        <row r="1786">
          <cell r="A1786">
            <v>28229</v>
          </cell>
          <cell r="B1786">
            <v>0</v>
          </cell>
          <cell r="C1786">
            <v>0</v>
          </cell>
          <cell r="D1786">
            <v>0</v>
          </cell>
        </row>
        <row r="1787">
          <cell r="A1787">
            <v>28230</v>
          </cell>
          <cell r="B1787">
            <v>0</v>
          </cell>
          <cell r="C1787">
            <v>0</v>
          </cell>
          <cell r="D1787">
            <v>0</v>
          </cell>
        </row>
        <row r="1788">
          <cell r="A1788">
            <v>28231</v>
          </cell>
          <cell r="B1788">
            <v>0</v>
          </cell>
          <cell r="C1788">
            <v>0</v>
          </cell>
          <cell r="D1788">
            <v>0</v>
          </cell>
        </row>
        <row r="1789">
          <cell r="A1789">
            <v>28310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28311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28312</v>
          </cell>
          <cell r="B1791">
            <v>0</v>
          </cell>
          <cell r="C1791">
            <v>0</v>
          </cell>
          <cell r="D1791">
            <v>0</v>
          </cell>
        </row>
        <row r="1792">
          <cell r="A1792">
            <v>28313</v>
          </cell>
          <cell r="B1792">
            <v>4099699</v>
          </cell>
          <cell r="C1792">
            <v>4114229</v>
          </cell>
          <cell r="D1792">
            <v>4854015</v>
          </cell>
        </row>
        <row r="1793">
          <cell r="A1793">
            <v>28314</v>
          </cell>
          <cell r="B1793">
            <v>154251</v>
          </cell>
          <cell r="C1793">
            <v>153104</v>
          </cell>
          <cell r="D1793">
            <v>177041</v>
          </cell>
        </row>
        <row r="1794">
          <cell r="A1794">
            <v>28315</v>
          </cell>
          <cell r="B1794">
            <v>-2177970</v>
          </cell>
          <cell r="C1794">
            <v>-2257669</v>
          </cell>
          <cell r="D1794">
            <v>-2877234</v>
          </cell>
        </row>
        <row r="1795">
          <cell r="A1795">
            <v>28316</v>
          </cell>
          <cell r="B1795">
            <v>2553160</v>
          </cell>
          <cell r="C1795">
            <v>2556994</v>
          </cell>
          <cell r="D1795">
            <v>2372246</v>
          </cell>
        </row>
        <row r="1796">
          <cell r="A1796">
            <v>28320</v>
          </cell>
          <cell r="B1796">
            <v>0</v>
          </cell>
          <cell r="C1796">
            <v>0</v>
          </cell>
          <cell r="D1796">
            <v>0</v>
          </cell>
        </row>
        <row r="1797">
          <cell r="A1797">
            <v>28321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28322</v>
          </cell>
          <cell r="B1798">
            <v>0</v>
          </cell>
          <cell r="C1798">
            <v>0</v>
          </cell>
          <cell r="D1798">
            <v>0</v>
          </cell>
        </row>
        <row r="1799">
          <cell r="A1799">
            <v>28323</v>
          </cell>
          <cell r="B1799">
            <v>28837477</v>
          </cell>
          <cell r="C1799">
            <v>28924856</v>
          </cell>
          <cell r="D1799">
            <v>33535509</v>
          </cell>
        </row>
        <row r="1800">
          <cell r="A1800">
            <v>28324</v>
          </cell>
          <cell r="B1800">
            <v>875268</v>
          </cell>
          <cell r="C1800">
            <v>868370</v>
          </cell>
          <cell r="D1800">
            <v>995176</v>
          </cell>
        </row>
        <row r="1801">
          <cell r="A1801">
            <v>28325</v>
          </cell>
          <cell r="B1801">
            <v>-13690873</v>
          </cell>
          <cell r="C1801">
            <v>-14191867</v>
          </cell>
          <cell r="D1801">
            <v>-18107289</v>
          </cell>
        </row>
        <row r="1802">
          <cell r="A1802">
            <v>28326</v>
          </cell>
          <cell r="B1802">
            <v>15322909</v>
          </cell>
          <cell r="C1802">
            <v>15345964</v>
          </cell>
          <cell r="D1802">
            <v>14234955</v>
          </cell>
        </row>
        <row r="1803">
          <cell r="A1803">
            <v>28329</v>
          </cell>
          <cell r="B1803">
            <v>0</v>
          </cell>
          <cell r="C1803">
            <v>0</v>
          </cell>
          <cell r="D1803">
            <v>0</v>
          </cell>
        </row>
        <row r="1804">
          <cell r="A1804">
            <v>28330</v>
          </cell>
          <cell r="B1804">
            <v>-1008537</v>
          </cell>
          <cell r="C1804">
            <v>-1017662</v>
          </cell>
          <cell r="D1804">
            <v>-1112135</v>
          </cell>
        </row>
        <row r="1805">
          <cell r="A1805">
            <v>28331</v>
          </cell>
          <cell r="B1805">
            <v>-5953054</v>
          </cell>
          <cell r="C1805">
            <v>-6006945</v>
          </cell>
          <cell r="D1805">
            <v>-6557653</v>
          </cell>
        </row>
        <row r="1806">
          <cell r="A1806">
            <v>28332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28333</v>
          </cell>
          <cell r="B1807">
            <v>0</v>
          </cell>
          <cell r="C1807">
            <v>0</v>
          </cell>
          <cell r="D1807">
            <v>0</v>
          </cell>
        </row>
        <row r="1808">
          <cell r="A1808">
            <v>28334</v>
          </cell>
          <cell r="B1808">
            <v>0</v>
          </cell>
          <cell r="C1808">
            <v>0</v>
          </cell>
          <cell r="D1808">
            <v>0</v>
          </cell>
        </row>
        <row r="1809">
          <cell r="A1809">
            <v>28335</v>
          </cell>
          <cell r="B1809">
            <v>0</v>
          </cell>
          <cell r="C1809">
            <v>0</v>
          </cell>
          <cell r="D1809">
            <v>0</v>
          </cell>
        </row>
        <row r="1810">
          <cell r="A1810">
            <v>28336</v>
          </cell>
          <cell r="B1810">
            <v>-1</v>
          </cell>
          <cell r="C1810">
            <v>-1</v>
          </cell>
          <cell r="D1810">
            <v>-1</v>
          </cell>
        </row>
        <row r="1811">
          <cell r="A1811">
            <v>28337</v>
          </cell>
          <cell r="B1811">
            <v>-7</v>
          </cell>
          <cell r="C1811">
            <v>-7</v>
          </cell>
          <cell r="D1811">
            <v>-7</v>
          </cell>
        </row>
        <row r="1812">
          <cell r="A1812">
            <v>28338</v>
          </cell>
          <cell r="B1812">
            <v>0</v>
          </cell>
          <cell r="C1812">
            <v>0</v>
          </cell>
          <cell r="D1812">
            <v>0</v>
          </cell>
        </row>
        <row r="1813">
          <cell r="A1813">
            <v>28339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28340</v>
          </cell>
          <cell r="B1814">
            <v>-21643881</v>
          </cell>
          <cell r="C1814">
            <v>-21592280</v>
          </cell>
          <cell r="D1814">
            <v>-18835112</v>
          </cell>
        </row>
        <row r="1815">
          <cell r="A1815">
            <v>28341</v>
          </cell>
          <cell r="B1815">
            <v>-2200469</v>
          </cell>
          <cell r="C1815">
            <v>-2083505</v>
          </cell>
          <cell r="D1815">
            <v>-4632943</v>
          </cell>
        </row>
        <row r="1816">
          <cell r="A1816">
            <v>28342</v>
          </cell>
          <cell r="B1816">
            <v>-13232818</v>
          </cell>
          <cell r="C1816">
            <v>-12529438</v>
          </cell>
          <cell r="D1816">
            <v>-27860836</v>
          </cell>
        </row>
        <row r="1817">
          <cell r="A1817">
            <v>28343</v>
          </cell>
          <cell r="B1817">
            <v>-66740404</v>
          </cell>
          <cell r="C1817">
            <v>-66740404</v>
          </cell>
          <cell r="D1817">
            <v>-62853340</v>
          </cell>
        </row>
        <row r="1818">
          <cell r="A1818">
            <v>28344</v>
          </cell>
          <cell r="B1818">
            <v>-11098177</v>
          </cell>
          <cell r="C1818">
            <v>-11098177</v>
          </cell>
          <cell r="D1818">
            <v>-10451802</v>
          </cell>
        </row>
        <row r="1819">
          <cell r="A1819">
            <v>28345</v>
          </cell>
          <cell r="B1819">
            <v>0</v>
          </cell>
          <cell r="C1819">
            <v>0</v>
          </cell>
          <cell r="D1819">
            <v>0</v>
          </cell>
        </row>
        <row r="1820">
          <cell r="A1820">
            <v>28346</v>
          </cell>
          <cell r="B1820">
            <v>0</v>
          </cell>
          <cell r="C1820">
            <v>0</v>
          </cell>
          <cell r="D1820">
            <v>0</v>
          </cell>
        </row>
        <row r="1821">
          <cell r="A1821">
            <v>28347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28348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29999</v>
          </cell>
          <cell r="B1823">
            <v>-37561102</v>
          </cell>
          <cell r="C1823">
            <v>-30779203</v>
          </cell>
          <cell r="D1823">
            <v>-76493929</v>
          </cell>
        </row>
        <row r="1824">
          <cell r="A1824">
            <v>401</v>
          </cell>
          <cell r="B1824">
            <v>90022621</v>
          </cell>
          <cell r="C1824">
            <v>1293431880</v>
          </cell>
          <cell r="D1824">
            <v>1293431880</v>
          </cell>
        </row>
        <row r="1825">
          <cell r="A1825">
            <v>402</v>
          </cell>
          <cell r="B1825">
            <v>9770775</v>
          </cell>
          <cell r="C1825">
            <v>117234156</v>
          </cell>
          <cell r="D1825">
            <v>117234156</v>
          </cell>
        </row>
        <row r="1826">
          <cell r="A1826">
            <v>403</v>
          </cell>
          <cell r="B1826">
            <v>17200928</v>
          </cell>
          <cell r="C1826">
            <v>200081441</v>
          </cell>
          <cell r="D1826">
            <v>200081441</v>
          </cell>
        </row>
        <row r="1827">
          <cell r="A1827">
            <v>404</v>
          </cell>
          <cell r="B1827">
            <v>505278</v>
          </cell>
          <cell r="C1827">
            <v>5454852</v>
          </cell>
          <cell r="D1827">
            <v>5454852</v>
          </cell>
        </row>
        <row r="1828">
          <cell r="A1828">
            <v>406</v>
          </cell>
          <cell r="B1828">
            <v>-19805</v>
          </cell>
          <cell r="C1828">
            <v>-237659</v>
          </cell>
          <cell r="D1828">
            <v>-237659</v>
          </cell>
        </row>
        <row r="1829">
          <cell r="A1829">
            <v>407</v>
          </cell>
          <cell r="B1829">
            <v>7203724</v>
          </cell>
          <cell r="C1829">
            <v>77662990</v>
          </cell>
          <cell r="D1829">
            <v>77662990</v>
          </cell>
        </row>
        <row r="1830">
          <cell r="A1830">
            <v>408</v>
          </cell>
          <cell r="B1830">
            <v>11664288</v>
          </cell>
          <cell r="C1830">
            <v>145515105</v>
          </cell>
          <cell r="D1830">
            <v>145515105</v>
          </cell>
        </row>
        <row r="1831">
          <cell r="A1831">
            <v>409</v>
          </cell>
          <cell r="B1831">
            <v>1041783</v>
          </cell>
          <cell r="C1831">
            <v>39378131</v>
          </cell>
          <cell r="D1831">
            <v>39378131</v>
          </cell>
        </row>
        <row r="1832">
          <cell r="A1832">
            <v>410</v>
          </cell>
          <cell r="B1832">
            <v>7545997</v>
          </cell>
          <cell r="C1832">
            <v>144351957</v>
          </cell>
          <cell r="D1832">
            <v>144351957</v>
          </cell>
        </row>
        <row r="1833">
          <cell r="A1833">
            <v>411</v>
          </cell>
          <cell r="B1833">
            <v>-2822054</v>
          </cell>
          <cell r="C1833">
            <v>-68172627</v>
          </cell>
          <cell r="D1833">
            <v>-68172627</v>
          </cell>
        </row>
        <row r="1834">
          <cell r="A1834">
            <v>415</v>
          </cell>
          <cell r="B1834">
            <v>-250583</v>
          </cell>
          <cell r="C1834">
            <v>-3013122</v>
          </cell>
          <cell r="D1834">
            <v>-3013122</v>
          </cell>
        </row>
        <row r="1835">
          <cell r="A1835">
            <v>416</v>
          </cell>
          <cell r="B1835">
            <v>71413</v>
          </cell>
          <cell r="C1835">
            <v>933739</v>
          </cell>
          <cell r="D1835">
            <v>933739</v>
          </cell>
        </row>
        <row r="1836">
          <cell r="A1836">
            <v>417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418</v>
          </cell>
          <cell r="B1837">
            <v>3688</v>
          </cell>
          <cell r="C1837">
            <v>38517</v>
          </cell>
          <cell r="D1837">
            <v>38517</v>
          </cell>
        </row>
        <row r="1838">
          <cell r="A1838">
            <v>419</v>
          </cell>
          <cell r="B1838">
            <v>-358362</v>
          </cell>
          <cell r="C1838">
            <v>-6993752</v>
          </cell>
          <cell r="D1838">
            <v>-6993752</v>
          </cell>
        </row>
        <row r="1839">
          <cell r="A1839">
            <v>421</v>
          </cell>
          <cell r="B1839">
            <v>-42459</v>
          </cell>
          <cell r="C1839">
            <v>-965270</v>
          </cell>
          <cell r="D1839">
            <v>-965270</v>
          </cell>
        </row>
        <row r="1840">
          <cell r="A1840">
            <v>425</v>
          </cell>
          <cell r="B1840">
            <v>4247</v>
          </cell>
          <cell r="C1840">
            <v>47185</v>
          </cell>
          <cell r="D1840">
            <v>47185</v>
          </cell>
        </row>
        <row r="1841">
          <cell r="A1841">
            <v>426</v>
          </cell>
          <cell r="B1841">
            <v>47422</v>
          </cell>
          <cell r="C1841">
            <v>690792</v>
          </cell>
          <cell r="D1841">
            <v>690792</v>
          </cell>
        </row>
        <row r="1842">
          <cell r="A1842">
            <v>427</v>
          </cell>
          <cell r="B1842">
            <v>9156934</v>
          </cell>
          <cell r="C1842">
            <v>108244455</v>
          </cell>
          <cell r="D1842">
            <v>108244455</v>
          </cell>
        </row>
        <row r="1843">
          <cell r="A1843">
            <v>428</v>
          </cell>
          <cell r="B1843">
            <v>555532</v>
          </cell>
          <cell r="C1843">
            <v>6643631</v>
          </cell>
          <cell r="D1843">
            <v>6643631</v>
          </cell>
        </row>
        <row r="1844">
          <cell r="A1844">
            <v>429</v>
          </cell>
          <cell r="B1844">
            <v>-35968</v>
          </cell>
          <cell r="C1844">
            <v>-341671</v>
          </cell>
          <cell r="D1844">
            <v>-341671</v>
          </cell>
        </row>
        <row r="1845">
          <cell r="A1845">
            <v>430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431</v>
          </cell>
          <cell r="B1846">
            <v>681794</v>
          </cell>
          <cell r="C1846">
            <v>7608900</v>
          </cell>
          <cell r="D1846">
            <v>7608900</v>
          </cell>
        </row>
        <row r="1847">
          <cell r="A1847">
            <v>432</v>
          </cell>
          <cell r="B1847">
            <v>-205883</v>
          </cell>
          <cell r="C1847">
            <v>-3816380</v>
          </cell>
          <cell r="D1847">
            <v>-3816380</v>
          </cell>
        </row>
        <row r="1848">
          <cell r="A1848">
            <v>439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440</v>
          </cell>
          <cell r="B1849">
            <v>-81538925</v>
          </cell>
          <cell r="C1849">
            <v>-1098591472</v>
          </cell>
          <cell r="D1849">
            <v>-1098591472</v>
          </cell>
        </row>
        <row r="1850">
          <cell r="A1850">
            <v>442</v>
          </cell>
          <cell r="B1850">
            <v>-63250747</v>
          </cell>
          <cell r="C1850">
            <v>-857321493</v>
          </cell>
          <cell r="D1850">
            <v>-857321493</v>
          </cell>
        </row>
        <row r="1851">
          <cell r="A1851">
            <v>444</v>
          </cell>
          <cell r="B1851">
            <v>-1510146</v>
          </cell>
          <cell r="C1851">
            <v>-16847580</v>
          </cell>
          <cell r="D1851">
            <v>-16847580</v>
          </cell>
        </row>
        <row r="1852">
          <cell r="A1852">
            <v>445</v>
          </cell>
          <cell r="B1852">
            <v>-13112400</v>
          </cell>
          <cell r="C1852">
            <v>-183707253</v>
          </cell>
          <cell r="D1852">
            <v>-183707253</v>
          </cell>
        </row>
        <row r="1853">
          <cell r="A1853">
            <v>447</v>
          </cell>
          <cell r="B1853">
            <v>-2208255</v>
          </cell>
          <cell r="C1853">
            <v>-40734099</v>
          </cell>
          <cell r="D1853">
            <v>-40734099</v>
          </cell>
        </row>
        <row r="1854">
          <cell r="A1854">
            <v>449</v>
          </cell>
          <cell r="B1854">
            <v>0</v>
          </cell>
          <cell r="C1854">
            <v>0</v>
          </cell>
          <cell r="D1854">
            <v>0</v>
          </cell>
        </row>
        <row r="1855">
          <cell r="A1855">
            <v>451</v>
          </cell>
          <cell r="B1855">
            <v>-1610857</v>
          </cell>
          <cell r="C1855">
            <v>-19861241</v>
          </cell>
          <cell r="D1855">
            <v>-19861241</v>
          </cell>
        </row>
        <row r="1856">
          <cell r="A1856">
            <v>454</v>
          </cell>
          <cell r="B1856">
            <v>-783920</v>
          </cell>
          <cell r="C1856">
            <v>-12242120</v>
          </cell>
          <cell r="D1856">
            <v>-12242120</v>
          </cell>
        </row>
        <row r="1857">
          <cell r="A1857">
            <v>455</v>
          </cell>
          <cell r="B1857">
            <v>-27178</v>
          </cell>
          <cell r="C1857">
            <v>-346773</v>
          </cell>
          <cell r="D1857">
            <v>-346773</v>
          </cell>
        </row>
        <row r="1858">
          <cell r="A1858">
            <v>456</v>
          </cell>
          <cell r="B1858">
            <v>1743967</v>
          </cell>
          <cell r="C1858">
            <v>-24152763</v>
          </cell>
          <cell r="D1858">
            <v>-24152763</v>
          </cell>
        </row>
        <row r="1859">
          <cell r="A1859">
            <v>555</v>
          </cell>
          <cell r="B1859">
            <v>12411625</v>
          </cell>
          <cell r="C1859">
            <v>192695691</v>
          </cell>
          <cell r="D1859">
            <v>192695691</v>
          </cell>
        </row>
        <row r="1860">
          <cell r="A1860">
            <v>55539</v>
          </cell>
          <cell r="B1860">
            <v>0</v>
          </cell>
          <cell r="C1860">
            <v>12026</v>
          </cell>
          <cell r="D1860">
            <v>12026</v>
          </cell>
        </row>
        <row r="1861">
          <cell r="A1861">
            <v>40101</v>
          </cell>
          <cell r="B1861">
            <v>53624107</v>
          </cell>
          <cell r="C1861">
            <v>822869425</v>
          </cell>
          <cell r="D1861">
            <v>822869425</v>
          </cell>
        </row>
        <row r="1862">
          <cell r="A1862">
            <v>40102</v>
          </cell>
          <cell r="B1862">
            <v>36398514</v>
          </cell>
          <cell r="C1862">
            <v>470562455</v>
          </cell>
          <cell r="D1862">
            <v>470562455</v>
          </cell>
        </row>
        <row r="1863">
          <cell r="A1863">
            <v>40200</v>
          </cell>
          <cell r="B1863">
            <v>9770775</v>
          </cell>
          <cell r="C1863">
            <v>117234156</v>
          </cell>
          <cell r="D1863">
            <v>117234156</v>
          </cell>
        </row>
        <row r="1864">
          <cell r="A1864">
            <v>40300</v>
          </cell>
          <cell r="B1864">
            <v>16210869</v>
          </cell>
          <cell r="C1864">
            <v>189600375</v>
          </cell>
          <cell r="D1864">
            <v>189600375</v>
          </cell>
        </row>
        <row r="1865">
          <cell r="A1865">
            <v>40303</v>
          </cell>
          <cell r="B1865">
            <v>111416</v>
          </cell>
          <cell r="C1865">
            <v>1336986</v>
          </cell>
          <cell r="D1865">
            <v>1336986</v>
          </cell>
        </row>
        <row r="1866">
          <cell r="A1866">
            <v>40320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40330</v>
          </cell>
          <cell r="B1867">
            <v>878644</v>
          </cell>
          <cell r="C1867">
            <v>9144079</v>
          </cell>
          <cell r="D1867">
            <v>9144079</v>
          </cell>
        </row>
        <row r="1868">
          <cell r="A1868">
            <v>40400</v>
          </cell>
          <cell r="B1868">
            <v>505278</v>
          </cell>
          <cell r="C1868">
            <v>5454852</v>
          </cell>
          <cell r="D1868">
            <v>5454852</v>
          </cell>
        </row>
        <row r="1869">
          <cell r="A1869">
            <v>40601</v>
          </cell>
          <cell r="B1869">
            <v>15479</v>
          </cell>
          <cell r="C1869">
            <v>185749</v>
          </cell>
          <cell r="D1869">
            <v>185749</v>
          </cell>
        </row>
        <row r="1870">
          <cell r="A1870">
            <v>40604</v>
          </cell>
          <cell r="B1870">
            <v>-35284</v>
          </cell>
          <cell r="C1870">
            <v>-423408</v>
          </cell>
          <cell r="D1870">
            <v>-423408</v>
          </cell>
        </row>
        <row r="1871">
          <cell r="A1871">
            <v>40701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40702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40730</v>
          </cell>
          <cell r="B1873">
            <v>0</v>
          </cell>
          <cell r="C1873">
            <v>64259677</v>
          </cell>
          <cell r="D1873">
            <v>64259677</v>
          </cell>
        </row>
        <row r="1874">
          <cell r="A1874">
            <v>40731</v>
          </cell>
          <cell r="B1874">
            <v>8229752</v>
          </cell>
          <cell r="C1874">
            <v>52303456</v>
          </cell>
          <cell r="D1874">
            <v>52303456</v>
          </cell>
        </row>
        <row r="1875">
          <cell r="A1875">
            <v>40732</v>
          </cell>
          <cell r="B1875">
            <v>2384842</v>
          </cell>
          <cell r="C1875">
            <v>21855610</v>
          </cell>
          <cell r="D1875">
            <v>21855610</v>
          </cell>
        </row>
        <row r="1876">
          <cell r="A1876">
            <v>40733</v>
          </cell>
          <cell r="B1876">
            <v>0</v>
          </cell>
          <cell r="C1876">
            <v>555268</v>
          </cell>
          <cell r="D1876">
            <v>555268</v>
          </cell>
        </row>
        <row r="1877">
          <cell r="A1877">
            <v>40734</v>
          </cell>
          <cell r="B1877">
            <v>0</v>
          </cell>
          <cell r="C1877">
            <v>2334070</v>
          </cell>
          <cell r="D1877">
            <v>2334070</v>
          </cell>
        </row>
        <row r="1878">
          <cell r="A1878">
            <v>40735</v>
          </cell>
          <cell r="B1878">
            <v>100004</v>
          </cell>
          <cell r="C1878">
            <v>781918</v>
          </cell>
          <cell r="D1878">
            <v>781918</v>
          </cell>
        </row>
        <row r="1879">
          <cell r="A1879">
            <v>40736</v>
          </cell>
          <cell r="B1879">
            <v>1449344</v>
          </cell>
          <cell r="C1879">
            <v>4348032</v>
          </cell>
          <cell r="D1879">
            <v>4348032</v>
          </cell>
        </row>
        <row r="1880">
          <cell r="A1880">
            <v>40737</v>
          </cell>
          <cell r="B1880">
            <v>-22614</v>
          </cell>
          <cell r="C1880">
            <v>2025798</v>
          </cell>
          <cell r="D1880">
            <v>2025798</v>
          </cell>
        </row>
        <row r="1881">
          <cell r="A1881">
            <v>40738</v>
          </cell>
          <cell r="B1881">
            <v>119502</v>
          </cell>
          <cell r="C1881">
            <v>358506</v>
          </cell>
          <cell r="D1881">
            <v>358506</v>
          </cell>
        </row>
        <row r="1882">
          <cell r="A1882">
            <v>40739</v>
          </cell>
          <cell r="B1882">
            <v>0</v>
          </cell>
          <cell r="C1882">
            <v>1343271</v>
          </cell>
          <cell r="D1882">
            <v>1343271</v>
          </cell>
        </row>
        <row r="1883">
          <cell r="A1883">
            <v>40740</v>
          </cell>
          <cell r="B1883">
            <v>0</v>
          </cell>
          <cell r="C1883">
            <v>-32867039</v>
          </cell>
          <cell r="D1883">
            <v>-32867039</v>
          </cell>
        </row>
        <row r="1884">
          <cell r="A1884">
            <v>40741</v>
          </cell>
          <cell r="B1884">
            <v>-3751391</v>
          </cell>
          <cell r="C1884">
            <v>-11254173</v>
          </cell>
          <cell r="D1884">
            <v>-11254173</v>
          </cell>
        </row>
        <row r="1885">
          <cell r="A1885">
            <v>40742</v>
          </cell>
          <cell r="B1885">
            <v>-522612</v>
          </cell>
          <cell r="C1885">
            <v>-14414434</v>
          </cell>
          <cell r="D1885">
            <v>-14414434</v>
          </cell>
        </row>
        <row r="1886">
          <cell r="A1886">
            <v>40743</v>
          </cell>
          <cell r="B1886">
            <v>0</v>
          </cell>
          <cell r="C1886">
            <v>170622</v>
          </cell>
          <cell r="D1886">
            <v>170622</v>
          </cell>
        </row>
        <row r="1887">
          <cell r="A1887">
            <v>40744</v>
          </cell>
          <cell r="B1887">
            <v>0</v>
          </cell>
          <cell r="C1887">
            <v>-358105</v>
          </cell>
          <cell r="D1887">
            <v>-358105</v>
          </cell>
        </row>
        <row r="1888">
          <cell r="A1888">
            <v>40745</v>
          </cell>
          <cell r="B1888">
            <v>-85170</v>
          </cell>
          <cell r="C1888">
            <v>-255510</v>
          </cell>
          <cell r="D1888">
            <v>-255510</v>
          </cell>
        </row>
        <row r="1889">
          <cell r="A1889">
            <v>40746</v>
          </cell>
          <cell r="B1889">
            <v>-99256</v>
          </cell>
          <cell r="C1889">
            <v>-7027361</v>
          </cell>
          <cell r="D1889">
            <v>-7027361</v>
          </cell>
        </row>
        <row r="1890">
          <cell r="A1890">
            <v>40747</v>
          </cell>
          <cell r="B1890">
            <v>0</v>
          </cell>
          <cell r="C1890">
            <v>-3533377</v>
          </cell>
          <cell r="D1890">
            <v>-3533377</v>
          </cell>
        </row>
        <row r="1891">
          <cell r="A1891">
            <v>40748</v>
          </cell>
          <cell r="B1891">
            <v>-598677</v>
          </cell>
          <cell r="C1891">
            <v>-2671019</v>
          </cell>
          <cell r="D1891">
            <v>-2671019</v>
          </cell>
        </row>
        <row r="1892">
          <cell r="A1892">
            <v>40749</v>
          </cell>
          <cell r="B1892">
            <v>0</v>
          </cell>
          <cell r="C1892">
            <v>-292220</v>
          </cell>
          <cell r="D1892">
            <v>-292220</v>
          </cell>
        </row>
        <row r="1893">
          <cell r="A1893">
            <v>40800</v>
          </cell>
          <cell r="B1893">
            <v>-284026</v>
          </cell>
          <cell r="C1893">
            <v>-3960788</v>
          </cell>
          <cell r="D1893">
            <v>-3960788</v>
          </cell>
        </row>
        <row r="1894">
          <cell r="A1894">
            <v>40810</v>
          </cell>
          <cell r="B1894">
            <v>130680</v>
          </cell>
          <cell r="C1894">
            <v>1802738</v>
          </cell>
          <cell r="D1894">
            <v>1802738</v>
          </cell>
        </row>
        <row r="1895">
          <cell r="A1895">
            <v>40811</v>
          </cell>
          <cell r="B1895">
            <v>0</v>
          </cell>
          <cell r="C1895">
            <v>0</v>
          </cell>
          <cell r="D1895">
            <v>0</v>
          </cell>
        </row>
        <row r="1896">
          <cell r="A1896">
            <v>40812</v>
          </cell>
          <cell r="B1896">
            <v>1280624</v>
          </cell>
          <cell r="C1896">
            <v>14863375</v>
          </cell>
          <cell r="D1896">
            <v>14863375</v>
          </cell>
        </row>
        <row r="1897">
          <cell r="A1897">
            <v>40813</v>
          </cell>
          <cell r="B1897">
            <v>3825334</v>
          </cell>
          <cell r="C1897">
            <v>41337875</v>
          </cell>
          <cell r="D1897">
            <v>41337875</v>
          </cell>
        </row>
        <row r="1898">
          <cell r="A1898">
            <v>40814</v>
          </cell>
          <cell r="B1898">
            <v>2873399</v>
          </cell>
          <cell r="C1898">
            <v>39171064</v>
          </cell>
          <cell r="D1898">
            <v>39171064</v>
          </cell>
        </row>
        <row r="1899">
          <cell r="A1899">
            <v>40815</v>
          </cell>
          <cell r="B1899">
            <v>3830278</v>
          </cell>
          <cell r="C1899">
            <v>52204840</v>
          </cell>
          <cell r="D1899">
            <v>52204840</v>
          </cell>
        </row>
        <row r="1900">
          <cell r="A1900">
            <v>40820</v>
          </cell>
          <cell r="B1900">
            <v>8000</v>
          </cell>
          <cell r="C1900">
            <v>96000</v>
          </cell>
          <cell r="D1900">
            <v>96000</v>
          </cell>
        </row>
        <row r="1901">
          <cell r="A1901">
            <v>40910</v>
          </cell>
          <cell r="B1901">
            <v>986368</v>
          </cell>
          <cell r="C1901">
            <v>38828323</v>
          </cell>
          <cell r="D1901">
            <v>38828323</v>
          </cell>
        </row>
        <row r="1902">
          <cell r="A1902">
            <v>40920</v>
          </cell>
          <cell r="B1902">
            <v>55415</v>
          </cell>
          <cell r="C1902">
            <v>549808</v>
          </cell>
          <cell r="D1902">
            <v>549808</v>
          </cell>
        </row>
        <row r="1903">
          <cell r="A1903">
            <v>41001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41002</v>
          </cell>
          <cell r="B1904">
            <v>143</v>
          </cell>
          <cell r="C1904">
            <v>1733</v>
          </cell>
          <cell r="D1904">
            <v>1733</v>
          </cell>
        </row>
        <row r="1905">
          <cell r="A1905">
            <v>41003</v>
          </cell>
          <cell r="B1905">
            <v>21983</v>
          </cell>
          <cell r="C1905">
            <v>178885</v>
          </cell>
          <cell r="D1905">
            <v>178885</v>
          </cell>
        </row>
        <row r="1906">
          <cell r="A1906">
            <v>41004</v>
          </cell>
          <cell r="B1906">
            <v>142719</v>
          </cell>
          <cell r="C1906">
            <v>1314988</v>
          </cell>
          <cell r="D1906">
            <v>1314988</v>
          </cell>
        </row>
        <row r="1907">
          <cell r="A1907">
            <v>41005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41006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41007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41008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41009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41010</v>
          </cell>
          <cell r="B1912">
            <v>0</v>
          </cell>
          <cell r="C1912">
            <v>0</v>
          </cell>
          <cell r="D1912">
            <v>0</v>
          </cell>
        </row>
        <row r="1913">
          <cell r="A1913">
            <v>41011</v>
          </cell>
          <cell r="B1913">
            <v>0</v>
          </cell>
          <cell r="C1913">
            <v>261983</v>
          </cell>
          <cell r="D1913">
            <v>261983</v>
          </cell>
        </row>
        <row r="1914">
          <cell r="A1914">
            <v>41012</v>
          </cell>
          <cell r="B1914">
            <v>29987</v>
          </cell>
          <cell r="C1914">
            <v>2542106</v>
          </cell>
          <cell r="D1914">
            <v>2542106</v>
          </cell>
        </row>
        <row r="1915">
          <cell r="A1915">
            <v>41013</v>
          </cell>
          <cell r="B1915">
            <v>0</v>
          </cell>
          <cell r="C1915">
            <v>0</v>
          </cell>
          <cell r="D1915">
            <v>0</v>
          </cell>
        </row>
        <row r="1916">
          <cell r="A1916">
            <v>41014</v>
          </cell>
          <cell r="B1916">
            <v>5038</v>
          </cell>
          <cell r="C1916">
            <v>327491</v>
          </cell>
          <cell r="D1916">
            <v>327491</v>
          </cell>
        </row>
        <row r="1917">
          <cell r="A1917">
            <v>41015</v>
          </cell>
          <cell r="B1917">
            <v>0</v>
          </cell>
          <cell r="C1917">
            <v>0</v>
          </cell>
          <cell r="D1917">
            <v>0</v>
          </cell>
        </row>
        <row r="1918">
          <cell r="A1918">
            <v>41016</v>
          </cell>
          <cell r="B1918">
            <v>0</v>
          </cell>
          <cell r="C1918">
            <v>0</v>
          </cell>
          <cell r="D1918">
            <v>0</v>
          </cell>
        </row>
        <row r="1919">
          <cell r="A1919">
            <v>41017</v>
          </cell>
          <cell r="B1919">
            <v>0</v>
          </cell>
          <cell r="C1919">
            <v>741550</v>
          </cell>
          <cell r="D1919">
            <v>741550</v>
          </cell>
        </row>
        <row r="1920">
          <cell r="A1920">
            <v>41018</v>
          </cell>
          <cell r="B1920">
            <v>0</v>
          </cell>
          <cell r="C1920">
            <v>4687203</v>
          </cell>
          <cell r="D1920">
            <v>4687203</v>
          </cell>
        </row>
        <row r="1921">
          <cell r="A1921">
            <v>41019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41020</v>
          </cell>
          <cell r="B1922">
            <v>0</v>
          </cell>
          <cell r="C1922">
            <v>0</v>
          </cell>
          <cell r="D1922">
            <v>0</v>
          </cell>
        </row>
        <row r="1923">
          <cell r="A1923">
            <v>41021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41022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41023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41024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41025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41026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41027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41028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41029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41031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41032</v>
          </cell>
          <cell r="B1933">
            <v>70963</v>
          </cell>
          <cell r="C1933">
            <v>1956304</v>
          </cell>
          <cell r="D1933">
            <v>1956304</v>
          </cell>
        </row>
        <row r="1934">
          <cell r="A1934">
            <v>41033</v>
          </cell>
          <cell r="B1934">
            <v>459267</v>
          </cell>
          <cell r="C1934">
            <v>12891466</v>
          </cell>
          <cell r="D1934">
            <v>12891466</v>
          </cell>
        </row>
        <row r="1935">
          <cell r="A1935">
            <v>41034</v>
          </cell>
          <cell r="B1935">
            <v>3069</v>
          </cell>
          <cell r="C1935">
            <v>82962</v>
          </cell>
          <cell r="D1935">
            <v>82962</v>
          </cell>
        </row>
        <row r="1936">
          <cell r="A1936">
            <v>41035</v>
          </cell>
          <cell r="B1936">
            <v>18645</v>
          </cell>
          <cell r="C1936">
            <v>523252</v>
          </cell>
          <cell r="D1936">
            <v>523252</v>
          </cell>
        </row>
        <row r="1937">
          <cell r="A1937">
            <v>41036</v>
          </cell>
          <cell r="B1937">
            <v>0</v>
          </cell>
          <cell r="C1937">
            <v>159977</v>
          </cell>
          <cell r="D1937">
            <v>159977</v>
          </cell>
        </row>
        <row r="1938">
          <cell r="A1938">
            <v>41037</v>
          </cell>
          <cell r="B1938">
            <v>51589</v>
          </cell>
          <cell r="C1938">
            <v>1757844</v>
          </cell>
          <cell r="D1938">
            <v>1757844</v>
          </cell>
        </row>
        <row r="1939">
          <cell r="A1939">
            <v>41038</v>
          </cell>
          <cell r="B1939">
            <v>7667</v>
          </cell>
          <cell r="C1939">
            <v>448768</v>
          </cell>
          <cell r="D1939">
            <v>448768</v>
          </cell>
        </row>
        <row r="1940">
          <cell r="A1940">
            <v>41039</v>
          </cell>
          <cell r="B1940">
            <v>48793</v>
          </cell>
          <cell r="C1940">
            <v>3161764</v>
          </cell>
          <cell r="D1940">
            <v>3161764</v>
          </cell>
        </row>
        <row r="1941">
          <cell r="A1941">
            <v>41041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41042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41043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41044</v>
          </cell>
          <cell r="B1944">
            <v>668272</v>
          </cell>
          <cell r="C1944">
            <v>9218996</v>
          </cell>
          <cell r="D1944">
            <v>9218996</v>
          </cell>
        </row>
        <row r="1945">
          <cell r="A1945">
            <v>41045</v>
          </cell>
          <cell r="B1945">
            <v>5985757</v>
          </cell>
          <cell r="C1945">
            <v>102436973</v>
          </cell>
          <cell r="D1945">
            <v>102436973</v>
          </cell>
        </row>
        <row r="1946">
          <cell r="A1946">
            <v>41046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41047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41048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41050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41051</v>
          </cell>
          <cell r="B1950">
            <v>2145</v>
          </cell>
          <cell r="C1950">
            <v>25739</v>
          </cell>
          <cell r="D1950">
            <v>25739</v>
          </cell>
        </row>
        <row r="1951">
          <cell r="A1951">
            <v>41052</v>
          </cell>
          <cell r="B1951">
            <v>4187</v>
          </cell>
          <cell r="C1951">
            <v>57137</v>
          </cell>
          <cell r="D1951">
            <v>57137</v>
          </cell>
        </row>
        <row r="1952">
          <cell r="A1952">
            <v>41053</v>
          </cell>
          <cell r="B1952">
            <v>19313</v>
          </cell>
          <cell r="C1952">
            <v>263523</v>
          </cell>
          <cell r="D1952">
            <v>263523</v>
          </cell>
        </row>
        <row r="1953">
          <cell r="A1953">
            <v>41059</v>
          </cell>
          <cell r="B1953">
            <v>0</v>
          </cell>
          <cell r="C1953">
            <v>106</v>
          </cell>
          <cell r="D1953">
            <v>106</v>
          </cell>
        </row>
        <row r="1954">
          <cell r="A1954">
            <v>41069</v>
          </cell>
          <cell r="B1954">
            <v>73</v>
          </cell>
          <cell r="C1954">
            <v>6526</v>
          </cell>
          <cell r="D1954">
            <v>6526</v>
          </cell>
        </row>
        <row r="1955">
          <cell r="A1955">
            <v>41071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41072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41080</v>
          </cell>
          <cell r="B1957">
            <v>0</v>
          </cell>
          <cell r="C1957">
            <v>159367</v>
          </cell>
          <cell r="D1957">
            <v>159367</v>
          </cell>
        </row>
        <row r="1958">
          <cell r="A1958">
            <v>41081</v>
          </cell>
          <cell r="B1958">
            <v>6388</v>
          </cell>
          <cell r="C1958">
            <v>1145313</v>
          </cell>
          <cell r="D1958">
            <v>1145313</v>
          </cell>
        </row>
        <row r="1959">
          <cell r="A1959">
            <v>41082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41083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41084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41085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41086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41101</v>
          </cell>
          <cell r="B1964">
            <v>-409</v>
          </cell>
          <cell r="C1964">
            <v>-4952</v>
          </cell>
          <cell r="D1964">
            <v>-4952</v>
          </cell>
        </row>
        <row r="1965">
          <cell r="A1965">
            <v>41102</v>
          </cell>
          <cell r="B1965">
            <v>-2603</v>
          </cell>
          <cell r="C1965">
            <v>-31515</v>
          </cell>
          <cell r="D1965">
            <v>-31515</v>
          </cell>
        </row>
        <row r="1966">
          <cell r="A1966">
            <v>41103</v>
          </cell>
          <cell r="B1966">
            <v>0</v>
          </cell>
          <cell r="C1966">
            <v>-436387</v>
          </cell>
          <cell r="D1966">
            <v>-436387</v>
          </cell>
        </row>
        <row r="1967">
          <cell r="A1967">
            <v>41104</v>
          </cell>
          <cell r="B1967">
            <v>-7692</v>
          </cell>
          <cell r="C1967">
            <v>-2839606</v>
          </cell>
          <cell r="D1967">
            <v>-2839606</v>
          </cell>
        </row>
        <row r="1968">
          <cell r="A1968">
            <v>41105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41106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41107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41108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41109</v>
          </cell>
          <cell r="B1972">
            <v>0</v>
          </cell>
          <cell r="C1972">
            <v>0</v>
          </cell>
          <cell r="D1972">
            <v>0</v>
          </cell>
        </row>
        <row r="1973">
          <cell r="A1973">
            <v>41110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41111</v>
          </cell>
          <cell r="B1974">
            <v>-85678</v>
          </cell>
          <cell r="C1974">
            <v>-2501272</v>
          </cell>
          <cell r="D1974">
            <v>-2501272</v>
          </cell>
        </row>
        <row r="1975">
          <cell r="A1975">
            <v>41112</v>
          </cell>
          <cell r="B1975">
            <v>-545224</v>
          </cell>
          <cell r="C1975">
            <v>-16010644</v>
          </cell>
          <cell r="D1975">
            <v>-16010644</v>
          </cell>
        </row>
        <row r="1976">
          <cell r="A1976">
            <v>41113</v>
          </cell>
          <cell r="B1976">
            <v>-14395</v>
          </cell>
          <cell r="C1976">
            <v>-935690</v>
          </cell>
          <cell r="D1976">
            <v>-935690</v>
          </cell>
        </row>
        <row r="1977">
          <cell r="A1977">
            <v>41114</v>
          </cell>
          <cell r="B1977">
            <v>-91606</v>
          </cell>
          <cell r="C1977">
            <v>-5958536</v>
          </cell>
          <cell r="D1977">
            <v>-5958536</v>
          </cell>
        </row>
        <row r="1978">
          <cell r="A1978">
            <v>41115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41116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41117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41118</v>
          </cell>
          <cell r="B1981">
            <v>0</v>
          </cell>
          <cell r="C1981">
            <v>-259543</v>
          </cell>
          <cell r="D1981">
            <v>-259543</v>
          </cell>
        </row>
        <row r="1982">
          <cell r="A1982">
            <v>41119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41120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41121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41122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41123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41124</v>
          </cell>
          <cell r="B1987">
            <v>0</v>
          </cell>
          <cell r="C1987">
            <v>0</v>
          </cell>
          <cell r="D1987">
            <v>0</v>
          </cell>
        </row>
        <row r="1988">
          <cell r="A1988">
            <v>41125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41126</v>
          </cell>
          <cell r="B1989">
            <v>0</v>
          </cell>
          <cell r="C1989">
            <v>0</v>
          </cell>
          <cell r="D1989">
            <v>0</v>
          </cell>
        </row>
        <row r="1990">
          <cell r="A1990">
            <v>41127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41128</v>
          </cell>
          <cell r="B1991">
            <v>0</v>
          </cell>
          <cell r="C1991">
            <v>0</v>
          </cell>
          <cell r="D1991">
            <v>0</v>
          </cell>
        </row>
        <row r="1992">
          <cell r="A1992">
            <v>41129</v>
          </cell>
          <cell r="B1992">
            <v>0</v>
          </cell>
          <cell r="C1992">
            <v>0</v>
          </cell>
          <cell r="D1992">
            <v>0</v>
          </cell>
        </row>
        <row r="1993">
          <cell r="A1993">
            <v>41130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41131</v>
          </cell>
          <cell r="B1994">
            <v>-30677</v>
          </cell>
          <cell r="C1994">
            <v>-368133</v>
          </cell>
          <cell r="D1994">
            <v>-368133</v>
          </cell>
        </row>
        <row r="1995">
          <cell r="A1995">
            <v>41132</v>
          </cell>
          <cell r="B1995">
            <v>-21916</v>
          </cell>
          <cell r="C1995">
            <v>-757126</v>
          </cell>
          <cell r="D1995">
            <v>-757126</v>
          </cell>
        </row>
        <row r="1996">
          <cell r="A1996">
            <v>41133</v>
          </cell>
          <cell r="B1996">
            <v>-164301</v>
          </cell>
          <cell r="C1996">
            <v>-5446212</v>
          </cell>
          <cell r="D1996">
            <v>-5446212</v>
          </cell>
        </row>
        <row r="1997">
          <cell r="A1997">
            <v>41134</v>
          </cell>
          <cell r="B1997">
            <v>0</v>
          </cell>
          <cell r="C1997">
            <v>-59581</v>
          </cell>
          <cell r="D1997">
            <v>-59581</v>
          </cell>
        </row>
        <row r="1998">
          <cell r="A1998">
            <v>41135</v>
          </cell>
          <cell r="B1998">
            <v>-1231</v>
          </cell>
          <cell r="C1998">
            <v>-412730</v>
          </cell>
          <cell r="D1998">
            <v>-412730</v>
          </cell>
        </row>
        <row r="1999">
          <cell r="A1999">
            <v>41136</v>
          </cell>
          <cell r="B1999">
            <v>-146874</v>
          </cell>
          <cell r="C1999">
            <v>-2105881</v>
          </cell>
          <cell r="D1999">
            <v>-2105881</v>
          </cell>
        </row>
        <row r="2000">
          <cell r="A2000">
            <v>41137</v>
          </cell>
          <cell r="B2000">
            <v>-974846</v>
          </cell>
          <cell r="C2000">
            <v>-14061348</v>
          </cell>
          <cell r="D2000">
            <v>-14061348</v>
          </cell>
        </row>
        <row r="2001">
          <cell r="A2001">
            <v>41138</v>
          </cell>
          <cell r="B2001">
            <v>0</v>
          </cell>
          <cell r="C2001">
            <v>-874197</v>
          </cell>
          <cell r="D2001">
            <v>-874197</v>
          </cell>
        </row>
        <row r="2002">
          <cell r="A2002">
            <v>41139</v>
          </cell>
          <cell r="B2002">
            <v>-2684</v>
          </cell>
          <cell r="C2002">
            <v>-5720141</v>
          </cell>
          <cell r="D2002">
            <v>-5720141</v>
          </cell>
        </row>
        <row r="2003">
          <cell r="A2003">
            <v>41140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41141</v>
          </cell>
          <cell r="B2004">
            <v>-5</v>
          </cell>
          <cell r="C2004">
            <v>-58</v>
          </cell>
          <cell r="D2004">
            <v>-58</v>
          </cell>
        </row>
        <row r="2005">
          <cell r="A2005">
            <v>41142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41143</v>
          </cell>
          <cell r="B2006">
            <v>0</v>
          </cell>
          <cell r="C2006">
            <v>0</v>
          </cell>
          <cell r="D2006">
            <v>0</v>
          </cell>
        </row>
        <row r="2007">
          <cell r="A2007">
            <v>41144</v>
          </cell>
          <cell r="B2007">
            <v>-32950</v>
          </cell>
          <cell r="C2007">
            <v>-217835</v>
          </cell>
          <cell r="D2007">
            <v>-217835</v>
          </cell>
        </row>
        <row r="2008">
          <cell r="A2008">
            <v>41145</v>
          </cell>
          <cell r="B2008">
            <v>-443574</v>
          </cell>
          <cell r="C2008">
            <v>-4612784</v>
          </cell>
          <cell r="D2008">
            <v>-4612784</v>
          </cell>
        </row>
        <row r="2009">
          <cell r="A2009">
            <v>41146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41147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41148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41149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41150</v>
          </cell>
          <cell r="B2013">
            <v>-6128</v>
          </cell>
          <cell r="C2013">
            <v>-73534</v>
          </cell>
          <cell r="D2013">
            <v>-73534</v>
          </cell>
        </row>
        <row r="2014">
          <cell r="A2014">
            <v>41151</v>
          </cell>
          <cell r="B2014">
            <v>-38995</v>
          </cell>
          <cell r="C2014">
            <v>-467945</v>
          </cell>
          <cell r="D2014">
            <v>-467945</v>
          </cell>
        </row>
        <row r="2015">
          <cell r="A2015">
            <v>41152</v>
          </cell>
          <cell r="B2015">
            <v>0</v>
          </cell>
          <cell r="C2015">
            <v>0</v>
          </cell>
          <cell r="D2015">
            <v>0</v>
          </cell>
        </row>
        <row r="2016">
          <cell r="A2016">
            <v>41153</v>
          </cell>
          <cell r="B2016">
            <v>-1463</v>
          </cell>
          <cell r="C2016">
            <v>-19967</v>
          </cell>
          <cell r="D2016">
            <v>-19967</v>
          </cell>
        </row>
        <row r="2017">
          <cell r="A2017">
            <v>41159</v>
          </cell>
          <cell r="B2017">
            <v>-207</v>
          </cell>
          <cell r="C2017">
            <v>-2487</v>
          </cell>
          <cell r="D2017">
            <v>-2487</v>
          </cell>
        </row>
        <row r="2018">
          <cell r="A2018">
            <v>41160</v>
          </cell>
          <cell r="B2018">
            <v>-74858</v>
          </cell>
          <cell r="C2018">
            <v>-898668</v>
          </cell>
          <cell r="D2018">
            <v>-898668</v>
          </cell>
        </row>
        <row r="2019">
          <cell r="A2019">
            <v>41169</v>
          </cell>
          <cell r="B2019">
            <v>-1319</v>
          </cell>
          <cell r="C2019">
            <v>-15889</v>
          </cell>
          <cell r="D2019">
            <v>-15889</v>
          </cell>
        </row>
        <row r="2020">
          <cell r="A2020">
            <v>41170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41171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41172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41180</v>
          </cell>
          <cell r="B2023">
            <v>-18251</v>
          </cell>
          <cell r="C2023">
            <v>-374739</v>
          </cell>
          <cell r="D2023">
            <v>-374739</v>
          </cell>
        </row>
        <row r="2024">
          <cell r="A2024">
            <v>41181</v>
          </cell>
          <cell r="B2024">
            <v>-114169</v>
          </cell>
          <cell r="C2024">
            <v>-2406334</v>
          </cell>
          <cell r="D2024">
            <v>-2406334</v>
          </cell>
        </row>
        <row r="2025">
          <cell r="A2025">
            <v>41182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41183</v>
          </cell>
          <cell r="B2026">
            <v>0</v>
          </cell>
          <cell r="C2026">
            <v>0</v>
          </cell>
          <cell r="D2026">
            <v>0</v>
          </cell>
        </row>
        <row r="2027">
          <cell r="A2027">
            <v>41184</v>
          </cell>
          <cell r="B2027">
            <v>0</v>
          </cell>
          <cell r="C2027">
            <v>0</v>
          </cell>
          <cell r="D2027">
            <v>0</v>
          </cell>
        </row>
        <row r="2028">
          <cell r="A2028">
            <v>41185</v>
          </cell>
          <cell r="B2028">
            <v>0</v>
          </cell>
          <cell r="C2028">
            <v>0</v>
          </cell>
          <cell r="D2028">
            <v>0</v>
          </cell>
        </row>
        <row r="2029">
          <cell r="A2029">
            <v>41186</v>
          </cell>
          <cell r="B2029">
            <v>0</v>
          </cell>
          <cell r="C2029">
            <v>-203552</v>
          </cell>
          <cell r="D2029">
            <v>-203552</v>
          </cell>
        </row>
        <row r="2030">
          <cell r="A2030">
            <v>41187</v>
          </cell>
          <cell r="B2030">
            <v>0</v>
          </cell>
          <cell r="C2030">
            <v>-2648</v>
          </cell>
          <cell r="D2030">
            <v>-2648</v>
          </cell>
        </row>
        <row r="2031">
          <cell r="A2031">
            <v>41188</v>
          </cell>
          <cell r="B2031">
            <v>0</v>
          </cell>
          <cell r="C2031">
            <v>-91404</v>
          </cell>
          <cell r="D2031">
            <v>-91404</v>
          </cell>
        </row>
        <row r="2032">
          <cell r="A2032">
            <v>41189</v>
          </cell>
          <cell r="B2032">
            <v>0</v>
          </cell>
          <cell r="C2032">
            <v>-1287</v>
          </cell>
          <cell r="D2032">
            <v>-1287</v>
          </cell>
        </row>
        <row r="2033">
          <cell r="A2033">
            <v>41510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41511</v>
          </cell>
          <cell r="B2034">
            <v>-60234</v>
          </cell>
          <cell r="C2034">
            <v>-753816</v>
          </cell>
          <cell r="D2034">
            <v>-753816</v>
          </cell>
        </row>
        <row r="2035">
          <cell r="A2035">
            <v>41512</v>
          </cell>
          <cell r="B2035">
            <v>-190349</v>
          </cell>
          <cell r="C2035">
            <v>-2259306</v>
          </cell>
          <cell r="D2035">
            <v>-2259306</v>
          </cell>
        </row>
        <row r="2036">
          <cell r="A2036">
            <v>41520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41530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41531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41532</v>
          </cell>
          <cell r="B2039">
            <v>0</v>
          </cell>
          <cell r="C2039">
            <v>0</v>
          </cell>
          <cell r="D2039">
            <v>0</v>
          </cell>
        </row>
        <row r="2040">
          <cell r="A2040">
            <v>41541</v>
          </cell>
          <cell r="B2040">
            <v>0</v>
          </cell>
          <cell r="C2040">
            <v>0</v>
          </cell>
          <cell r="D2040">
            <v>0</v>
          </cell>
        </row>
        <row r="2041">
          <cell r="A2041">
            <v>41550</v>
          </cell>
          <cell r="B2041">
            <v>0</v>
          </cell>
          <cell r="C2041">
            <v>0</v>
          </cell>
          <cell r="D2041">
            <v>0</v>
          </cell>
        </row>
        <row r="2042">
          <cell r="A2042">
            <v>41567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41568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41571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41580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41581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41610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41611</v>
          </cell>
          <cell r="B2048">
            <v>7164</v>
          </cell>
          <cell r="C2048">
            <v>104981</v>
          </cell>
          <cell r="D2048">
            <v>104981</v>
          </cell>
        </row>
        <row r="2049">
          <cell r="A2049">
            <v>41612</v>
          </cell>
          <cell r="B2049">
            <v>64249</v>
          </cell>
          <cell r="C2049">
            <v>828552</v>
          </cell>
          <cell r="D2049">
            <v>828552</v>
          </cell>
        </row>
        <row r="2050">
          <cell r="A2050">
            <v>41614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41620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41630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41631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41632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41641</v>
          </cell>
          <cell r="B2055">
            <v>0</v>
          </cell>
          <cell r="C2055">
            <v>206</v>
          </cell>
          <cell r="D2055">
            <v>206</v>
          </cell>
        </row>
        <row r="2056">
          <cell r="A2056">
            <v>41650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41668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41671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41680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41681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41701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41710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41711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41712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41713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41721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41730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41740</v>
          </cell>
          <cell r="B2068">
            <v>0</v>
          </cell>
          <cell r="C2068">
            <v>0</v>
          </cell>
          <cell r="D2068">
            <v>0</v>
          </cell>
        </row>
        <row r="2069">
          <cell r="A2069">
            <v>41741</v>
          </cell>
          <cell r="B2069">
            <v>0</v>
          </cell>
          <cell r="C2069">
            <v>0</v>
          </cell>
          <cell r="D2069">
            <v>0</v>
          </cell>
        </row>
        <row r="2070">
          <cell r="A2070">
            <v>41802</v>
          </cell>
          <cell r="B2070">
            <v>-8794</v>
          </cell>
          <cell r="C2070">
            <v>-104062</v>
          </cell>
          <cell r="D2070">
            <v>-104062</v>
          </cell>
        </row>
        <row r="2071">
          <cell r="A2071">
            <v>41805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41806</v>
          </cell>
          <cell r="B2072">
            <v>-745</v>
          </cell>
          <cell r="C2072">
            <v>-8709</v>
          </cell>
          <cell r="D2072">
            <v>-8709</v>
          </cell>
        </row>
        <row r="2073">
          <cell r="A2073">
            <v>41807</v>
          </cell>
          <cell r="B2073">
            <v>0</v>
          </cell>
          <cell r="C2073">
            <v>0</v>
          </cell>
          <cell r="D2073">
            <v>0</v>
          </cell>
        </row>
        <row r="2074">
          <cell r="A2074">
            <v>41808</v>
          </cell>
          <cell r="B2074">
            <v>-2324</v>
          </cell>
          <cell r="C2074">
            <v>-28289</v>
          </cell>
          <cell r="D2074">
            <v>-28289</v>
          </cell>
        </row>
        <row r="2075">
          <cell r="A2075">
            <v>41810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41811</v>
          </cell>
          <cell r="B2076">
            <v>0</v>
          </cell>
          <cell r="C2076">
            <v>0</v>
          </cell>
          <cell r="D2076">
            <v>0</v>
          </cell>
        </row>
        <row r="2077">
          <cell r="A2077">
            <v>41812</v>
          </cell>
          <cell r="B2077">
            <v>500</v>
          </cell>
          <cell r="C2077">
            <v>6000</v>
          </cell>
          <cell r="D2077">
            <v>6000</v>
          </cell>
        </row>
        <row r="2078">
          <cell r="A2078">
            <v>41813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41814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41815</v>
          </cell>
          <cell r="B2080">
            <v>0</v>
          </cell>
          <cell r="C2080">
            <v>0</v>
          </cell>
          <cell r="D2080">
            <v>0</v>
          </cell>
        </row>
        <row r="2081">
          <cell r="A2081">
            <v>41816</v>
          </cell>
          <cell r="B2081">
            <v>7797</v>
          </cell>
          <cell r="C2081">
            <v>84310</v>
          </cell>
          <cell r="D2081">
            <v>84310</v>
          </cell>
        </row>
        <row r="2082">
          <cell r="A2082">
            <v>41817</v>
          </cell>
          <cell r="B2082">
            <v>0</v>
          </cell>
          <cell r="C2082">
            <v>0</v>
          </cell>
          <cell r="D2082">
            <v>0</v>
          </cell>
        </row>
        <row r="2083">
          <cell r="A2083">
            <v>41819</v>
          </cell>
          <cell r="B2083">
            <v>0</v>
          </cell>
          <cell r="C2083">
            <v>0</v>
          </cell>
          <cell r="D2083">
            <v>0</v>
          </cell>
        </row>
        <row r="2084">
          <cell r="A2084">
            <v>41822</v>
          </cell>
          <cell r="B2084">
            <v>7254</v>
          </cell>
          <cell r="C2084">
            <v>89377</v>
          </cell>
          <cell r="D2084">
            <v>89377</v>
          </cell>
        </row>
        <row r="2085">
          <cell r="A2085">
            <v>41825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41827</v>
          </cell>
          <cell r="B2086">
            <v>0</v>
          </cell>
          <cell r="C2086">
            <v>-109</v>
          </cell>
          <cell r="D2086">
            <v>-109</v>
          </cell>
        </row>
        <row r="2087">
          <cell r="A2087">
            <v>41832</v>
          </cell>
          <cell r="B2087">
            <v>0</v>
          </cell>
          <cell r="C2087">
            <v>0</v>
          </cell>
          <cell r="D2087">
            <v>0</v>
          </cell>
        </row>
        <row r="2088">
          <cell r="A2088">
            <v>41901</v>
          </cell>
          <cell r="B2088">
            <v>0</v>
          </cell>
          <cell r="C2088">
            <v>0</v>
          </cell>
          <cell r="D2088">
            <v>0</v>
          </cell>
        </row>
        <row r="2089">
          <cell r="A2089">
            <v>41908</v>
          </cell>
          <cell r="B2089">
            <v>0</v>
          </cell>
          <cell r="C2089">
            <v>0</v>
          </cell>
          <cell r="D2089">
            <v>0</v>
          </cell>
        </row>
        <row r="2090">
          <cell r="A2090">
            <v>41910</v>
          </cell>
          <cell r="B2090">
            <v>-354667</v>
          </cell>
          <cell r="C2090">
            <v>-6976193</v>
          </cell>
          <cell r="D2090">
            <v>-6976193</v>
          </cell>
        </row>
        <row r="2091">
          <cell r="A2091">
            <v>41911</v>
          </cell>
          <cell r="B2091">
            <v>0</v>
          </cell>
          <cell r="C2091">
            <v>0</v>
          </cell>
          <cell r="D2091">
            <v>0</v>
          </cell>
        </row>
        <row r="2092">
          <cell r="A2092">
            <v>41912</v>
          </cell>
          <cell r="B2092">
            <v>-3694</v>
          </cell>
          <cell r="C2092">
            <v>-17613</v>
          </cell>
          <cell r="D2092">
            <v>-17613</v>
          </cell>
        </row>
        <row r="2093">
          <cell r="A2093">
            <v>41913</v>
          </cell>
          <cell r="B2093">
            <v>0</v>
          </cell>
          <cell r="C2093">
            <v>-20</v>
          </cell>
          <cell r="D2093">
            <v>-20</v>
          </cell>
        </row>
        <row r="2094">
          <cell r="A2094">
            <v>41914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41919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41920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41921</v>
          </cell>
          <cell r="B2097">
            <v>0</v>
          </cell>
          <cell r="C2097">
            <v>0</v>
          </cell>
          <cell r="D2097">
            <v>0</v>
          </cell>
        </row>
        <row r="2098">
          <cell r="A2098">
            <v>41923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41926</v>
          </cell>
          <cell r="B2099">
            <v>0</v>
          </cell>
          <cell r="C2099">
            <v>74</v>
          </cell>
          <cell r="D2099">
            <v>74</v>
          </cell>
        </row>
        <row r="2100">
          <cell r="A2100">
            <v>42101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42110</v>
          </cell>
          <cell r="B2101">
            <v>-35624</v>
          </cell>
          <cell r="C2101">
            <v>-853333</v>
          </cell>
          <cell r="D2101">
            <v>-853333</v>
          </cell>
        </row>
        <row r="2102">
          <cell r="A2102">
            <v>42111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42113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42120</v>
          </cell>
          <cell r="B2104">
            <v>0</v>
          </cell>
          <cell r="C2104">
            <v>18164</v>
          </cell>
          <cell r="D2104">
            <v>18164</v>
          </cell>
        </row>
        <row r="2105">
          <cell r="A2105">
            <v>42121</v>
          </cell>
          <cell r="B2105">
            <v>0</v>
          </cell>
          <cell r="C2105">
            <v>0</v>
          </cell>
          <cell r="D2105">
            <v>0</v>
          </cell>
        </row>
        <row r="2106">
          <cell r="A2106">
            <v>42125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42126</v>
          </cell>
          <cell r="B2107">
            <v>0</v>
          </cell>
          <cell r="C2107">
            <v>0</v>
          </cell>
          <cell r="D2107">
            <v>0</v>
          </cell>
        </row>
        <row r="2108">
          <cell r="A2108">
            <v>42128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42130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42131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42132</v>
          </cell>
          <cell r="B2111">
            <v>0</v>
          </cell>
          <cell r="C2111">
            <v>0</v>
          </cell>
          <cell r="D2111">
            <v>0</v>
          </cell>
        </row>
        <row r="2112">
          <cell r="A2112">
            <v>42140</v>
          </cell>
          <cell r="B2112">
            <v>0</v>
          </cell>
          <cell r="C2112">
            <v>-14623</v>
          </cell>
          <cell r="D2112">
            <v>-14623</v>
          </cell>
        </row>
        <row r="2113">
          <cell r="A2113">
            <v>42142</v>
          </cell>
          <cell r="B2113">
            <v>-4464</v>
          </cell>
          <cell r="C2113">
            <v>-85250</v>
          </cell>
          <cell r="D2113">
            <v>-85250</v>
          </cell>
        </row>
        <row r="2114">
          <cell r="A2114">
            <v>42144</v>
          </cell>
          <cell r="B2114">
            <v>-44</v>
          </cell>
          <cell r="C2114">
            <v>-128</v>
          </cell>
          <cell r="D2114">
            <v>-128</v>
          </cell>
        </row>
        <row r="2115">
          <cell r="A2115">
            <v>42146</v>
          </cell>
          <cell r="B2115">
            <v>-2057</v>
          </cell>
          <cell r="C2115">
            <v>-27898</v>
          </cell>
          <cell r="D2115">
            <v>-27898</v>
          </cell>
        </row>
        <row r="2116">
          <cell r="A2116">
            <v>42148</v>
          </cell>
          <cell r="B2116">
            <v>-270</v>
          </cell>
          <cell r="C2116">
            <v>-2201</v>
          </cell>
          <cell r="D2116">
            <v>-2201</v>
          </cell>
        </row>
        <row r="2117">
          <cell r="A2117">
            <v>42501</v>
          </cell>
          <cell r="B2117">
            <v>0</v>
          </cell>
          <cell r="C2117">
            <v>0</v>
          </cell>
          <cell r="D2117">
            <v>0</v>
          </cell>
        </row>
        <row r="2118">
          <cell r="A2118">
            <v>42502</v>
          </cell>
          <cell r="B2118">
            <v>3492</v>
          </cell>
          <cell r="C2118">
            <v>41901</v>
          </cell>
          <cell r="D2118">
            <v>41901</v>
          </cell>
        </row>
        <row r="2119">
          <cell r="A2119">
            <v>42503</v>
          </cell>
          <cell r="B2119">
            <v>755</v>
          </cell>
          <cell r="C2119">
            <v>5284</v>
          </cell>
          <cell r="D2119">
            <v>5284</v>
          </cell>
        </row>
        <row r="2120">
          <cell r="A2120">
            <v>42601</v>
          </cell>
          <cell r="B2120">
            <v>2492</v>
          </cell>
          <cell r="C2120">
            <v>37164</v>
          </cell>
          <cell r="D2120">
            <v>37164</v>
          </cell>
        </row>
        <row r="2121">
          <cell r="A2121">
            <v>42602</v>
          </cell>
          <cell r="B2121">
            <v>0</v>
          </cell>
          <cell r="C2121">
            <v>0</v>
          </cell>
          <cell r="D2121">
            <v>0</v>
          </cell>
        </row>
        <row r="2122">
          <cell r="A2122">
            <v>42603</v>
          </cell>
          <cell r="B2122">
            <v>1289</v>
          </cell>
          <cell r="C2122">
            <v>145749</v>
          </cell>
          <cell r="D2122">
            <v>145749</v>
          </cell>
        </row>
        <row r="2123">
          <cell r="A2123">
            <v>42604</v>
          </cell>
          <cell r="B2123">
            <v>0</v>
          </cell>
          <cell r="C2123">
            <v>0</v>
          </cell>
          <cell r="D2123">
            <v>0</v>
          </cell>
        </row>
        <row r="2124">
          <cell r="A2124">
            <v>42605</v>
          </cell>
          <cell r="B2124">
            <v>0</v>
          </cell>
          <cell r="C2124">
            <v>0</v>
          </cell>
          <cell r="D2124">
            <v>0</v>
          </cell>
        </row>
        <row r="2125">
          <cell r="A2125">
            <v>42606</v>
          </cell>
          <cell r="B2125">
            <v>0</v>
          </cell>
          <cell r="C2125">
            <v>0</v>
          </cell>
          <cell r="D2125">
            <v>0</v>
          </cell>
        </row>
        <row r="2126">
          <cell r="A2126">
            <v>42607</v>
          </cell>
          <cell r="B2126">
            <v>4713</v>
          </cell>
          <cell r="C2126">
            <v>57225</v>
          </cell>
          <cell r="D2126">
            <v>57225</v>
          </cell>
        </row>
        <row r="2127">
          <cell r="A2127">
            <v>42610</v>
          </cell>
          <cell r="B2127">
            <v>12919</v>
          </cell>
          <cell r="C2127">
            <v>179436</v>
          </cell>
          <cell r="D2127">
            <v>179436</v>
          </cell>
        </row>
        <row r="2128">
          <cell r="A2128">
            <v>42611</v>
          </cell>
          <cell r="B2128">
            <v>17891</v>
          </cell>
          <cell r="C2128">
            <v>150958</v>
          </cell>
          <cell r="D2128">
            <v>150958</v>
          </cell>
        </row>
        <row r="2129">
          <cell r="A2129">
            <v>42612</v>
          </cell>
          <cell r="B2129">
            <v>8178</v>
          </cell>
          <cell r="C2129">
            <v>31614</v>
          </cell>
          <cell r="D2129">
            <v>31614</v>
          </cell>
        </row>
        <row r="2130">
          <cell r="A2130">
            <v>42615</v>
          </cell>
          <cell r="B2130">
            <v>-59</v>
          </cell>
          <cell r="C2130">
            <v>6136</v>
          </cell>
          <cell r="D2130">
            <v>6136</v>
          </cell>
        </row>
        <row r="2131">
          <cell r="A2131">
            <v>42630</v>
          </cell>
          <cell r="B2131">
            <v>0</v>
          </cell>
          <cell r="C2131">
            <v>0</v>
          </cell>
          <cell r="D2131">
            <v>0</v>
          </cell>
        </row>
        <row r="2132">
          <cell r="A2132">
            <v>42631</v>
          </cell>
          <cell r="B2132">
            <v>0</v>
          </cell>
          <cell r="C2132">
            <v>82511</v>
          </cell>
          <cell r="D2132">
            <v>82511</v>
          </cell>
        </row>
        <row r="2133">
          <cell r="A2133">
            <v>42640</v>
          </cell>
          <cell r="B2133">
            <v>0</v>
          </cell>
          <cell r="C2133">
            <v>0</v>
          </cell>
          <cell r="D2133">
            <v>0</v>
          </cell>
        </row>
        <row r="2134">
          <cell r="A2134">
            <v>42641</v>
          </cell>
          <cell r="B2134">
            <v>0</v>
          </cell>
          <cell r="C2134">
            <v>0</v>
          </cell>
          <cell r="D2134">
            <v>0</v>
          </cell>
        </row>
        <row r="2135">
          <cell r="A2135">
            <v>42650</v>
          </cell>
          <cell r="B2135">
            <v>0</v>
          </cell>
          <cell r="C2135">
            <v>0</v>
          </cell>
          <cell r="D2135">
            <v>0</v>
          </cell>
        </row>
        <row r="2136">
          <cell r="A2136">
            <v>42651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42652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42660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42661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42704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42705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42706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42707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42708</v>
          </cell>
          <cell r="B2144">
            <v>0</v>
          </cell>
          <cell r="C2144">
            <v>0</v>
          </cell>
          <cell r="D2144">
            <v>0</v>
          </cell>
        </row>
        <row r="2145">
          <cell r="A2145">
            <v>42709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42710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42711</v>
          </cell>
          <cell r="B2147">
            <v>0</v>
          </cell>
          <cell r="C2147">
            <v>0</v>
          </cell>
          <cell r="D2147">
            <v>0</v>
          </cell>
        </row>
        <row r="2148">
          <cell r="A2148">
            <v>42712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42713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42714</v>
          </cell>
          <cell r="B2150">
            <v>0</v>
          </cell>
          <cell r="C2150">
            <v>0</v>
          </cell>
          <cell r="D2150">
            <v>0</v>
          </cell>
        </row>
        <row r="2151">
          <cell r="A2151">
            <v>42716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42717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42718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42719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42721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42722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42723</v>
          </cell>
          <cell r="B2157">
            <v>1364583</v>
          </cell>
          <cell r="C2157">
            <v>16375000</v>
          </cell>
          <cell r="D2157">
            <v>16375000</v>
          </cell>
        </row>
        <row r="2158">
          <cell r="A2158">
            <v>42724</v>
          </cell>
          <cell r="B2158">
            <v>5153</v>
          </cell>
          <cell r="C2158">
            <v>65374</v>
          </cell>
          <cell r="D2158">
            <v>65374</v>
          </cell>
        </row>
        <row r="2159">
          <cell r="A2159">
            <v>42725</v>
          </cell>
          <cell r="B2159">
            <v>30340</v>
          </cell>
          <cell r="C2159">
            <v>365397</v>
          </cell>
          <cell r="D2159">
            <v>365397</v>
          </cell>
        </row>
        <row r="2160">
          <cell r="A2160">
            <v>42726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42727</v>
          </cell>
          <cell r="B2161">
            <v>0</v>
          </cell>
          <cell r="C2161">
            <v>0</v>
          </cell>
          <cell r="D2161">
            <v>0</v>
          </cell>
        </row>
        <row r="2162">
          <cell r="A2162">
            <v>42728</v>
          </cell>
          <cell r="B2162">
            <v>0</v>
          </cell>
          <cell r="C2162">
            <v>0</v>
          </cell>
          <cell r="D2162">
            <v>0</v>
          </cell>
        </row>
        <row r="2163">
          <cell r="A2163">
            <v>42729</v>
          </cell>
          <cell r="B2163">
            <v>0</v>
          </cell>
          <cell r="C2163">
            <v>0</v>
          </cell>
          <cell r="D2163">
            <v>0</v>
          </cell>
        </row>
        <row r="2164">
          <cell r="A2164">
            <v>42730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42731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42733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42734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42735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42736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42737</v>
          </cell>
          <cell r="B2170">
            <v>19430</v>
          </cell>
          <cell r="C2170">
            <v>233160</v>
          </cell>
          <cell r="D2170">
            <v>233160</v>
          </cell>
        </row>
        <row r="2171">
          <cell r="A2171">
            <v>42738</v>
          </cell>
          <cell r="B2171">
            <v>0</v>
          </cell>
          <cell r="C2171">
            <v>0</v>
          </cell>
          <cell r="D2171">
            <v>0</v>
          </cell>
        </row>
        <row r="2172">
          <cell r="A2172">
            <v>42739</v>
          </cell>
          <cell r="B2172">
            <v>0</v>
          </cell>
          <cell r="C2172">
            <v>0</v>
          </cell>
          <cell r="D2172">
            <v>0</v>
          </cell>
        </row>
        <row r="2173">
          <cell r="A2173">
            <v>42741</v>
          </cell>
          <cell r="B2173">
            <v>0</v>
          </cell>
          <cell r="C2173">
            <v>0</v>
          </cell>
          <cell r="D2173">
            <v>0</v>
          </cell>
        </row>
        <row r="2174">
          <cell r="A2174">
            <v>42744</v>
          </cell>
          <cell r="B2174">
            <v>973750</v>
          </cell>
          <cell r="C2174">
            <v>11685000</v>
          </cell>
          <cell r="D2174">
            <v>11685000</v>
          </cell>
        </row>
        <row r="2175">
          <cell r="A2175">
            <v>42745</v>
          </cell>
          <cell r="B2175">
            <v>358125</v>
          </cell>
          <cell r="C2175">
            <v>4297500</v>
          </cell>
          <cell r="D2175">
            <v>4297500</v>
          </cell>
        </row>
        <row r="2176">
          <cell r="A2176">
            <v>42746</v>
          </cell>
          <cell r="B2176">
            <v>1203125</v>
          </cell>
          <cell r="C2176">
            <v>14437500</v>
          </cell>
          <cell r="D2176">
            <v>14437500</v>
          </cell>
        </row>
        <row r="2177">
          <cell r="A2177">
            <v>42747</v>
          </cell>
          <cell r="B2177">
            <v>257911</v>
          </cell>
          <cell r="C2177">
            <v>3094935</v>
          </cell>
          <cell r="D2177">
            <v>3094935</v>
          </cell>
        </row>
        <row r="2178">
          <cell r="A2178">
            <v>42748</v>
          </cell>
          <cell r="B2178">
            <v>396000</v>
          </cell>
          <cell r="C2178">
            <v>4752000</v>
          </cell>
          <cell r="D2178">
            <v>4752000</v>
          </cell>
        </row>
        <row r="2179">
          <cell r="A2179">
            <v>42749</v>
          </cell>
          <cell r="B2179">
            <v>1753125</v>
          </cell>
          <cell r="C2179">
            <v>21037500</v>
          </cell>
          <cell r="D2179">
            <v>21037500</v>
          </cell>
        </row>
        <row r="2180">
          <cell r="A2180">
            <v>42750</v>
          </cell>
          <cell r="B2180">
            <v>0</v>
          </cell>
          <cell r="C2180">
            <v>0</v>
          </cell>
          <cell r="D2180">
            <v>0</v>
          </cell>
        </row>
        <row r="2181">
          <cell r="A2181">
            <v>42751</v>
          </cell>
          <cell r="B2181">
            <v>1302083</v>
          </cell>
          <cell r="C2181">
            <v>15625000</v>
          </cell>
          <cell r="D2181">
            <v>15625000</v>
          </cell>
        </row>
        <row r="2182">
          <cell r="A2182">
            <v>42754</v>
          </cell>
          <cell r="B2182">
            <v>255192</v>
          </cell>
          <cell r="C2182">
            <v>3062300</v>
          </cell>
          <cell r="D2182">
            <v>3062300</v>
          </cell>
        </row>
        <row r="2183">
          <cell r="A2183">
            <v>42755</v>
          </cell>
          <cell r="B2183">
            <v>221450</v>
          </cell>
          <cell r="C2183">
            <v>2657400</v>
          </cell>
          <cell r="D2183">
            <v>2657400</v>
          </cell>
        </row>
        <row r="2184">
          <cell r="A2184">
            <v>42756</v>
          </cell>
          <cell r="B2184">
            <v>0</v>
          </cell>
          <cell r="C2184">
            <v>0</v>
          </cell>
          <cell r="D2184">
            <v>0</v>
          </cell>
        </row>
        <row r="2185">
          <cell r="A2185">
            <v>42757</v>
          </cell>
          <cell r="B2185">
            <v>1016667</v>
          </cell>
          <cell r="C2185">
            <v>10556389</v>
          </cell>
          <cell r="D2185">
            <v>10556389</v>
          </cell>
        </row>
        <row r="2186">
          <cell r="A2186">
            <v>42804</v>
          </cell>
          <cell r="B2186">
            <v>0</v>
          </cell>
          <cell r="C2186">
            <v>0</v>
          </cell>
          <cell r="D2186">
            <v>0</v>
          </cell>
        </row>
        <row r="2187">
          <cell r="A2187">
            <v>42805</v>
          </cell>
          <cell r="B2187">
            <v>0</v>
          </cell>
          <cell r="C2187">
            <v>0</v>
          </cell>
          <cell r="D2187">
            <v>0</v>
          </cell>
        </row>
        <row r="2188">
          <cell r="A2188">
            <v>42807</v>
          </cell>
          <cell r="B2188">
            <v>0</v>
          </cell>
          <cell r="C2188">
            <v>0</v>
          </cell>
          <cell r="D2188">
            <v>0</v>
          </cell>
        </row>
        <row r="2189">
          <cell r="A2189">
            <v>42808</v>
          </cell>
          <cell r="B2189">
            <v>6531</v>
          </cell>
          <cell r="C2189">
            <v>78384</v>
          </cell>
          <cell r="D2189">
            <v>78384</v>
          </cell>
        </row>
        <row r="2190">
          <cell r="A2190">
            <v>42809</v>
          </cell>
          <cell r="B2190">
            <v>0</v>
          </cell>
          <cell r="C2190">
            <v>0</v>
          </cell>
          <cell r="D2190">
            <v>0</v>
          </cell>
        </row>
        <row r="2191">
          <cell r="A2191">
            <v>42810</v>
          </cell>
          <cell r="B2191">
            <v>0</v>
          </cell>
          <cell r="C2191">
            <v>0</v>
          </cell>
          <cell r="D2191">
            <v>0</v>
          </cell>
        </row>
        <row r="2192">
          <cell r="A2192">
            <v>42811</v>
          </cell>
          <cell r="B2192">
            <v>0</v>
          </cell>
          <cell r="C2192">
            <v>0</v>
          </cell>
          <cell r="D2192">
            <v>0</v>
          </cell>
        </row>
        <row r="2193">
          <cell r="A2193">
            <v>42812</v>
          </cell>
          <cell r="B2193">
            <v>0</v>
          </cell>
          <cell r="C2193">
            <v>0</v>
          </cell>
          <cell r="D2193">
            <v>0</v>
          </cell>
        </row>
        <row r="2194">
          <cell r="A2194">
            <v>42813</v>
          </cell>
          <cell r="B2194">
            <v>0</v>
          </cell>
          <cell r="C2194">
            <v>0</v>
          </cell>
          <cell r="D2194">
            <v>0</v>
          </cell>
        </row>
        <row r="2195">
          <cell r="A2195">
            <v>42814</v>
          </cell>
          <cell r="B2195">
            <v>0</v>
          </cell>
          <cell r="C2195">
            <v>0</v>
          </cell>
          <cell r="D2195">
            <v>0</v>
          </cell>
        </row>
        <row r="2196">
          <cell r="A2196">
            <v>42815</v>
          </cell>
          <cell r="B2196">
            <v>0</v>
          </cell>
          <cell r="C2196">
            <v>0</v>
          </cell>
          <cell r="D2196">
            <v>0</v>
          </cell>
        </row>
        <row r="2197">
          <cell r="A2197">
            <v>42816</v>
          </cell>
          <cell r="B2197">
            <v>2191</v>
          </cell>
          <cell r="C2197">
            <v>26292</v>
          </cell>
          <cell r="D2197">
            <v>26292</v>
          </cell>
        </row>
        <row r="2198">
          <cell r="A2198">
            <v>42817</v>
          </cell>
          <cell r="B2198">
            <v>5038</v>
          </cell>
          <cell r="C2198">
            <v>60678</v>
          </cell>
          <cell r="D2198">
            <v>60678</v>
          </cell>
        </row>
        <row r="2199">
          <cell r="A2199">
            <v>42818</v>
          </cell>
          <cell r="B2199">
            <v>0</v>
          </cell>
          <cell r="C2199">
            <v>0</v>
          </cell>
          <cell r="D2199">
            <v>0</v>
          </cell>
        </row>
        <row r="2200">
          <cell r="A2200">
            <v>42819</v>
          </cell>
          <cell r="B2200">
            <v>7091</v>
          </cell>
          <cell r="C2200">
            <v>85093</v>
          </cell>
          <cell r="D2200">
            <v>85093</v>
          </cell>
        </row>
        <row r="2201">
          <cell r="A2201">
            <v>42820</v>
          </cell>
          <cell r="B2201">
            <v>0</v>
          </cell>
          <cell r="C2201">
            <v>0</v>
          </cell>
          <cell r="D2201">
            <v>0</v>
          </cell>
        </row>
        <row r="2202">
          <cell r="A2202">
            <v>42821</v>
          </cell>
          <cell r="B2202">
            <v>0</v>
          </cell>
          <cell r="C2202">
            <v>0</v>
          </cell>
          <cell r="D2202">
            <v>0</v>
          </cell>
        </row>
        <row r="2203">
          <cell r="A2203">
            <v>42822</v>
          </cell>
          <cell r="B2203">
            <v>0</v>
          </cell>
          <cell r="C2203">
            <v>0</v>
          </cell>
          <cell r="D2203">
            <v>0</v>
          </cell>
        </row>
        <row r="2204">
          <cell r="A2204">
            <v>42823</v>
          </cell>
          <cell r="B2204">
            <v>15842</v>
          </cell>
          <cell r="C2204">
            <v>190100</v>
          </cell>
          <cell r="D2204">
            <v>190100</v>
          </cell>
        </row>
        <row r="2205">
          <cell r="A2205">
            <v>42824</v>
          </cell>
          <cell r="B2205">
            <v>2106</v>
          </cell>
          <cell r="C2205">
            <v>25940</v>
          </cell>
          <cell r="D2205">
            <v>25940</v>
          </cell>
        </row>
        <row r="2206">
          <cell r="A2206">
            <v>42825</v>
          </cell>
          <cell r="B2206">
            <v>7226</v>
          </cell>
          <cell r="C2206">
            <v>87027</v>
          </cell>
          <cell r="D2206">
            <v>87027</v>
          </cell>
        </row>
        <row r="2207">
          <cell r="A2207">
            <v>42826</v>
          </cell>
          <cell r="B2207">
            <v>2490</v>
          </cell>
          <cell r="C2207">
            <v>29884</v>
          </cell>
          <cell r="D2207">
            <v>29884</v>
          </cell>
        </row>
        <row r="2208">
          <cell r="A2208">
            <v>42827</v>
          </cell>
          <cell r="B2208">
            <v>468</v>
          </cell>
          <cell r="C2208">
            <v>5614</v>
          </cell>
          <cell r="D2208">
            <v>5614</v>
          </cell>
        </row>
        <row r="2209">
          <cell r="A2209">
            <v>42828</v>
          </cell>
          <cell r="B2209">
            <v>3267</v>
          </cell>
          <cell r="C2209">
            <v>39202</v>
          </cell>
          <cell r="D2209">
            <v>39202</v>
          </cell>
        </row>
        <row r="2210">
          <cell r="A2210">
            <v>42829</v>
          </cell>
          <cell r="B2210">
            <v>15689</v>
          </cell>
          <cell r="C2210">
            <v>188270</v>
          </cell>
          <cell r="D2210">
            <v>188270</v>
          </cell>
        </row>
        <row r="2211">
          <cell r="A2211">
            <v>42830</v>
          </cell>
          <cell r="B2211">
            <v>3932</v>
          </cell>
          <cell r="C2211">
            <v>47186</v>
          </cell>
          <cell r="D2211">
            <v>47186</v>
          </cell>
        </row>
        <row r="2212">
          <cell r="A2212">
            <v>42831</v>
          </cell>
          <cell r="B2212">
            <v>1019</v>
          </cell>
          <cell r="C2212">
            <v>12232</v>
          </cell>
          <cell r="D2212">
            <v>12232</v>
          </cell>
        </row>
        <row r="2213">
          <cell r="A2213">
            <v>42833</v>
          </cell>
          <cell r="B2213">
            <v>7577</v>
          </cell>
          <cell r="C2213">
            <v>90927</v>
          </cell>
          <cell r="D2213">
            <v>90927</v>
          </cell>
        </row>
        <row r="2214">
          <cell r="A2214">
            <v>42836</v>
          </cell>
          <cell r="B2214">
            <v>858</v>
          </cell>
          <cell r="C2214">
            <v>10291</v>
          </cell>
          <cell r="D2214">
            <v>10291</v>
          </cell>
        </row>
        <row r="2215">
          <cell r="A2215">
            <v>42837</v>
          </cell>
          <cell r="B2215">
            <v>7117</v>
          </cell>
          <cell r="C2215">
            <v>85403</v>
          </cell>
          <cell r="D2215">
            <v>85403</v>
          </cell>
        </row>
        <row r="2216">
          <cell r="A2216">
            <v>42838</v>
          </cell>
          <cell r="B2216">
            <v>10077</v>
          </cell>
          <cell r="C2216">
            <v>120925</v>
          </cell>
          <cell r="D2216">
            <v>120925</v>
          </cell>
        </row>
        <row r="2217">
          <cell r="A2217">
            <v>42839</v>
          </cell>
          <cell r="B2217">
            <v>1179</v>
          </cell>
          <cell r="C2217">
            <v>14151</v>
          </cell>
          <cell r="D2217">
            <v>14151</v>
          </cell>
        </row>
        <row r="2218">
          <cell r="A2218">
            <v>42841</v>
          </cell>
          <cell r="B2218">
            <v>11160</v>
          </cell>
          <cell r="C2218">
            <v>133922</v>
          </cell>
          <cell r="D2218">
            <v>133922</v>
          </cell>
        </row>
        <row r="2219">
          <cell r="A2219">
            <v>42842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42843</v>
          </cell>
          <cell r="B2220">
            <v>0</v>
          </cell>
          <cell r="C2220">
            <v>0</v>
          </cell>
          <cell r="D2220">
            <v>0</v>
          </cell>
        </row>
        <row r="2221">
          <cell r="A2221">
            <v>42844</v>
          </cell>
          <cell r="B2221">
            <v>9835</v>
          </cell>
          <cell r="C2221">
            <v>118021</v>
          </cell>
          <cell r="D2221">
            <v>118021</v>
          </cell>
        </row>
        <row r="2222">
          <cell r="A2222">
            <v>42845</v>
          </cell>
          <cell r="B2222">
            <v>21621</v>
          </cell>
          <cell r="C2222">
            <v>259676</v>
          </cell>
          <cell r="D2222">
            <v>259676</v>
          </cell>
        </row>
        <row r="2223">
          <cell r="A2223">
            <v>42846</v>
          </cell>
          <cell r="B2223">
            <v>18119</v>
          </cell>
          <cell r="C2223">
            <v>217430</v>
          </cell>
          <cell r="D2223">
            <v>217430</v>
          </cell>
        </row>
        <row r="2224">
          <cell r="A2224">
            <v>42847</v>
          </cell>
          <cell r="B2224">
            <v>4422</v>
          </cell>
          <cell r="C2224">
            <v>53065</v>
          </cell>
          <cell r="D2224">
            <v>53065</v>
          </cell>
        </row>
        <row r="2225">
          <cell r="A2225">
            <v>42848</v>
          </cell>
          <cell r="B2225">
            <v>7548</v>
          </cell>
          <cell r="C2225">
            <v>90578</v>
          </cell>
          <cell r="D2225">
            <v>90578</v>
          </cell>
        </row>
        <row r="2226">
          <cell r="A2226">
            <v>42849</v>
          </cell>
          <cell r="B2226">
            <v>267086</v>
          </cell>
          <cell r="C2226">
            <v>3205037</v>
          </cell>
          <cell r="D2226">
            <v>3205037</v>
          </cell>
        </row>
        <row r="2227">
          <cell r="A2227">
            <v>42850</v>
          </cell>
          <cell r="B2227">
            <v>0</v>
          </cell>
          <cell r="C2227">
            <v>0</v>
          </cell>
          <cell r="D2227">
            <v>0</v>
          </cell>
        </row>
        <row r="2228">
          <cell r="A2228">
            <v>42851</v>
          </cell>
          <cell r="B2228">
            <v>12468</v>
          </cell>
          <cell r="C2228">
            <v>149615</v>
          </cell>
          <cell r="D2228">
            <v>149615</v>
          </cell>
        </row>
        <row r="2229">
          <cell r="A2229">
            <v>42854</v>
          </cell>
          <cell r="B2229">
            <v>11327</v>
          </cell>
          <cell r="C2229">
            <v>136067</v>
          </cell>
          <cell r="D2229">
            <v>136067</v>
          </cell>
        </row>
        <row r="2230">
          <cell r="A2230">
            <v>42855</v>
          </cell>
          <cell r="B2230">
            <v>10134</v>
          </cell>
          <cell r="C2230">
            <v>121869</v>
          </cell>
          <cell r="D2230">
            <v>121869</v>
          </cell>
        </row>
        <row r="2231">
          <cell r="A2231">
            <v>42856</v>
          </cell>
          <cell r="B2231">
            <v>2414</v>
          </cell>
          <cell r="C2231">
            <v>29012</v>
          </cell>
          <cell r="D2231">
            <v>29012</v>
          </cell>
        </row>
        <row r="2232">
          <cell r="A2232">
            <v>42857</v>
          </cell>
          <cell r="B2232">
            <v>79697</v>
          </cell>
          <cell r="C2232">
            <v>931743</v>
          </cell>
          <cell r="D2232">
            <v>931743</v>
          </cell>
        </row>
        <row r="2233">
          <cell r="A2233">
            <v>42903</v>
          </cell>
          <cell r="B2233">
            <v>0</v>
          </cell>
          <cell r="C2233">
            <v>0</v>
          </cell>
          <cell r="D2233">
            <v>0</v>
          </cell>
        </row>
        <row r="2234">
          <cell r="A2234">
            <v>42904</v>
          </cell>
          <cell r="B2234">
            <v>0</v>
          </cell>
          <cell r="C2234">
            <v>0</v>
          </cell>
          <cell r="D2234">
            <v>0</v>
          </cell>
        </row>
        <row r="2235">
          <cell r="A2235">
            <v>42905</v>
          </cell>
          <cell r="B2235">
            <v>0</v>
          </cell>
          <cell r="C2235">
            <v>0</v>
          </cell>
          <cell r="D2235">
            <v>0</v>
          </cell>
        </row>
        <row r="2236">
          <cell r="A2236">
            <v>42906</v>
          </cell>
          <cell r="B2236">
            <v>0</v>
          </cell>
          <cell r="C2236">
            <v>0</v>
          </cell>
          <cell r="D2236">
            <v>0</v>
          </cell>
        </row>
        <row r="2237">
          <cell r="A2237">
            <v>42907</v>
          </cell>
          <cell r="B2237">
            <v>0</v>
          </cell>
          <cell r="C2237">
            <v>0</v>
          </cell>
          <cell r="D2237">
            <v>0</v>
          </cell>
        </row>
        <row r="2238">
          <cell r="A2238">
            <v>42908</v>
          </cell>
          <cell r="B2238">
            <v>0</v>
          </cell>
          <cell r="C2238">
            <v>0</v>
          </cell>
          <cell r="D2238">
            <v>0</v>
          </cell>
        </row>
        <row r="2239">
          <cell r="A2239">
            <v>42909</v>
          </cell>
          <cell r="B2239">
            <v>0</v>
          </cell>
          <cell r="C2239">
            <v>0</v>
          </cell>
          <cell r="D2239">
            <v>0</v>
          </cell>
        </row>
        <row r="2240">
          <cell r="A2240">
            <v>42910</v>
          </cell>
          <cell r="B2240">
            <v>0</v>
          </cell>
          <cell r="C2240">
            <v>0</v>
          </cell>
          <cell r="D2240">
            <v>0</v>
          </cell>
        </row>
        <row r="2241">
          <cell r="A2241">
            <v>42911</v>
          </cell>
          <cell r="B2241">
            <v>0</v>
          </cell>
          <cell r="C2241">
            <v>0</v>
          </cell>
          <cell r="D2241">
            <v>0</v>
          </cell>
        </row>
        <row r="2242">
          <cell r="A2242">
            <v>42944</v>
          </cell>
          <cell r="B2242">
            <v>0</v>
          </cell>
          <cell r="C2242">
            <v>0</v>
          </cell>
          <cell r="D2242">
            <v>0</v>
          </cell>
        </row>
        <row r="2243">
          <cell r="A2243">
            <v>42945</v>
          </cell>
          <cell r="B2243">
            <v>0</v>
          </cell>
          <cell r="C2243">
            <v>0</v>
          </cell>
          <cell r="D2243">
            <v>0</v>
          </cell>
        </row>
        <row r="2244">
          <cell r="A2244">
            <v>42946</v>
          </cell>
          <cell r="B2244">
            <v>-7859</v>
          </cell>
          <cell r="C2244">
            <v>-94311</v>
          </cell>
          <cell r="D2244">
            <v>-94311</v>
          </cell>
        </row>
        <row r="2245">
          <cell r="A2245">
            <v>42957</v>
          </cell>
          <cell r="B2245">
            <v>-28109</v>
          </cell>
          <cell r="C2245">
            <v>-247360</v>
          </cell>
          <cell r="D2245">
            <v>-247360</v>
          </cell>
        </row>
        <row r="2246">
          <cell r="A2246">
            <v>43002</v>
          </cell>
          <cell r="B2246">
            <v>0</v>
          </cell>
          <cell r="C2246">
            <v>0</v>
          </cell>
          <cell r="D2246">
            <v>0</v>
          </cell>
        </row>
        <row r="2247">
          <cell r="A2247">
            <v>43009</v>
          </cell>
          <cell r="B2247">
            <v>0</v>
          </cell>
          <cell r="C2247">
            <v>0</v>
          </cell>
          <cell r="D2247">
            <v>0</v>
          </cell>
        </row>
        <row r="2248">
          <cell r="A2248">
            <v>43101</v>
          </cell>
          <cell r="B2248">
            <v>638467</v>
          </cell>
          <cell r="C2248">
            <v>6936170</v>
          </cell>
          <cell r="D2248">
            <v>6936170</v>
          </cell>
        </row>
        <row r="2249">
          <cell r="A2249">
            <v>43102</v>
          </cell>
          <cell r="B2249">
            <v>0</v>
          </cell>
          <cell r="C2249">
            <v>0</v>
          </cell>
          <cell r="D2249">
            <v>0</v>
          </cell>
        </row>
        <row r="2250">
          <cell r="A2250">
            <v>43103</v>
          </cell>
          <cell r="B2250">
            <v>0</v>
          </cell>
          <cell r="C2250">
            <v>0</v>
          </cell>
          <cell r="D2250">
            <v>0</v>
          </cell>
        </row>
        <row r="2251">
          <cell r="A2251">
            <v>43104</v>
          </cell>
          <cell r="B2251">
            <v>0</v>
          </cell>
          <cell r="C2251">
            <v>0</v>
          </cell>
          <cell r="D2251">
            <v>0</v>
          </cell>
        </row>
        <row r="2252">
          <cell r="A2252">
            <v>43105</v>
          </cell>
          <cell r="B2252">
            <v>0</v>
          </cell>
          <cell r="C2252">
            <v>0</v>
          </cell>
          <cell r="D2252">
            <v>0</v>
          </cell>
        </row>
        <row r="2253">
          <cell r="A2253">
            <v>43106</v>
          </cell>
          <cell r="B2253">
            <v>0</v>
          </cell>
          <cell r="C2253">
            <v>0</v>
          </cell>
          <cell r="D2253">
            <v>0</v>
          </cell>
        </row>
        <row r="2254">
          <cell r="A2254">
            <v>43107</v>
          </cell>
          <cell r="B2254">
            <v>0</v>
          </cell>
          <cell r="C2254">
            <v>0</v>
          </cell>
          <cell r="D2254">
            <v>0</v>
          </cell>
        </row>
        <row r="2255">
          <cell r="A2255">
            <v>43108</v>
          </cell>
          <cell r="B2255">
            <v>0</v>
          </cell>
          <cell r="C2255">
            <v>0</v>
          </cell>
          <cell r="D2255">
            <v>0</v>
          </cell>
        </row>
        <row r="2256">
          <cell r="A2256">
            <v>43110</v>
          </cell>
          <cell r="B2256">
            <v>0</v>
          </cell>
          <cell r="C2256">
            <v>0</v>
          </cell>
          <cell r="D2256">
            <v>0</v>
          </cell>
        </row>
        <row r="2257">
          <cell r="A2257">
            <v>43113</v>
          </cell>
          <cell r="B2257">
            <v>3012</v>
          </cell>
          <cell r="C2257">
            <v>40131</v>
          </cell>
          <cell r="D2257">
            <v>40131</v>
          </cell>
        </row>
        <row r="2258">
          <cell r="A2258">
            <v>43131</v>
          </cell>
          <cell r="B2258">
            <v>7224</v>
          </cell>
          <cell r="C2258">
            <v>49047</v>
          </cell>
          <cell r="D2258">
            <v>49047</v>
          </cell>
        </row>
        <row r="2259">
          <cell r="A2259">
            <v>43133</v>
          </cell>
          <cell r="B2259">
            <v>0</v>
          </cell>
          <cell r="C2259">
            <v>1</v>
          </cell>
          <cell r="D2259">
            <v>1</v>
          </cell>
        </row>
        <row r="2260">
          <cell r="A2260">
            <v>43135</v>
          </cell>
          <cell r="B2260">
            <v>0</v>
          </cell>
          <cell r="C2260">
            <v>1353</v>
          </cell>
          <cell r="D2260">
            <v>1353</v>
          </cell>
        </row>
        <row r="2261">
          <cell r="A2261">
            <v>43137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43139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43140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43141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43142</v>
          </cell>
          <cell r="B2265">
            <v>0</v>
          </cell>
          <cell r="C2265">
            <v>0</v>
          </cell>
          <cell r="D2265">
            <v>0</v>
          </cell>
        </row>
        <row r="2266">
          <cell r="A2266">
            <v>43150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43186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43189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43190</v>
          </cell>
          <cell r="B2269">
            <v>0</v>
          </cell>
          <cell r="C2269">
            <v>1515</v>
          </cell>
          <cell r="D2269">
            <v>1515</v>
          </cell>
        </row>
        <row r="2270">
          <cell r="A2270">
            <v>43191</v>
          </cell>
          <cell r="B2270">
            <v>9979</v>
          </cell>
          <cell r="C2270">
            <v>102587</v>
          </cell>
          <cell r="D2270">
            <v>102587</v>
          </cell>
        </row>
        <row r="2271">
          <cell r="A2271">
            <v>43192</v>
          </cell>
          <cell r="B2271">
            <v>0</v>
          </cell>
          <cell r="C2271">
            <v>0</v>
          </cell>
          <cell r="D2271">
            <v>0</v>
          </cell>
        </row>
        <row r="2272">
          <cell r="A2272">
            <v>43193</v>
          </cell>
          <cell r="B2272">
            <v>17933</v>
          </cell>
          <cell r="C2272">
            <v>412393</v>
          </cell>
          <cell r="D2272">
            <v>412393</v>
          </cell>
        </row>
        <row r="2273">
          <cell r="A2273">
            <v>43194</v>
          </cell>
          <cell r="B2273">
            <v>0</v>
          </cell>
          <cell r="C2273">
            <v>0</v>
          </cell>
          <cell r="D2273">
            <v>0</v>
          </cell>
        </row>
        <row r="2274">
          <cell r="A2274">
            <v>43195</v>
          </cell>
          <cell r="B2274">
            <v>2143</v>
          </cell>
          <cell r="C2274">
            <v>29312</v>
          </cell>
          <cell r="D2274">
            <v>29312</v>
          </cell>
        </row>
        <row r="2275">
          <cell r="A2275">
            <v>43196</v>
          </cell>
          <cell r="B2275">
            <v>0</v>
          </cell>
          <cell r="C2275">
            <v>0</v>
          </cell>
          <cell r="D2275">
            <v>0</v>
          </cell>
        </row>
        <row r="2276">
          <cell r="A2276">
            <v>43197</v>
          </cell>
          <cell r="B2276">
            <v>0</v>
          </cell>
          <cell r="C2276">
            <v>0</v>
          </cell>
          <cell r="D2276">
            <v>0</v>
          </cell>
        </row>
        <row r="2277">
          <cell r="A2277">
            <v>43198</v>
          </cell>
          <cell r="B2277">
            <v>0</v>
          </cell>
          <cell r="C2277">
            <v>0</v>
          </cell>
          <cell r="D2277">
            <v>0</v>
          </cell>
        </row>
        <row r="2278">
          <cell r="A2278">
            <v>43199</v>
          </cell>
          <cell r="B2278">
            <v>3035</v>
          </cell>
          <cell r="C2278">
            <v>36391</v>
          </cell>
          <cell r="D2278">
            <v>36391</v>
          </cell>
        </row>
        <row r="2279">
          <cell r="A2279">
            <v>43201</v>
          </cell>
          <cell r="B2279">
            <v>-205883</v>
          </cell>
          <cell r="C2279">
            <v>-3816380</v>
          </cell>
          <cell r="D2279">
            <v>-3816380</v>
          </cell>
        </row>
        <row r="2280">
          <cell r="A2280">
            <v>43901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44002</v>
          </cell>
          <cell r="B2281">
            <v>-39104738</v>
          </cell>
          <cell r="C2281">
            <v>-498802758</v>
          </cell>
          <cell r="D2281">
            <v>-498802758</v>
          </cell>
        </row>
        <row r="2282">
          <cell r="A2282">
            <v>44004</v>
          </cell>
          <cell r="B2282">
            <v>-30452952</v>
          </cell>
          <cell r="C2282">
            <v>-461320926</v>
          </cell>
          <cell r="D2282">
            <v>-461320926</v>
          </cell>
        </row>
        <row r="2283">
          <cell r="A2283">
            <v>44005</v>
          </cell>
          <cell r="B2283">
            <v>-3666004</v>
          </cell>
          <cell r="C2283">
            <v>-48890876</v>
          </cell>
          <cell r="D2283">
            <v>-48890876</v>
          </cell>
        </row>
        <row r="2284">
          <cell r="A2284">
            <v>44006</v>
          </cell>
          <cell r="B2284">
            <v>-1724614</v>
          </cell>
          <cell r="C2284">
            <v>-19787329</v>
          </cell>
          <cell r="D2284">
            <v>-19787329</v>
          </cell>
        </row>
        <row r="2285">
          <cell r="A2285">
            <v>44007</v>
          </cell>
          <cell r="B2285">
            <v>-3309989</v>
          </cell>
          <cell r="C2285">
            <v>-25990818</v>
          </cell>
          <cell r="D2285">
            <v>-25990818</v>
          </cell>
        </row>
        <row r="2286">
          <cell r="A2286">
            <v>44008</v>
          </cell>
          <cell r="B2286">
            <v>-1293907</v>
          </cell>
          <cell r="C2286">
            <v>-16968048</v>
          </cell>
          <cell r="D2286">
            <v>-16968048</v>
          </cell>
        </row>
        <row r="2287">
          <cell r="A2287">
            <v>44009</v>
          </cell>
          <cell r="B2287">
            <v>-1986721</v>
          </cell>
          <cell r="C2287">
            <v>-26830716</v>
          </cell>
          <cell r="D2287">
            <v>-26830716</v>
          </cell>
        </row>
        <row r="2288">
          <cell r="A2288">
            <v>44200</v>
          </cell>
          <cell r="B2288">
            <v>0</v>
          </cell>
          <cell r="C2288">
            <v>0</v>
          </cell>
          <cell r="D2288">
            <v>0</v>
          </cell>
        </row>
        <row r="2289">
          <cell r="A2289">
            <v>44202</v>
          </cell>
          <cell r="B2289">
            <v>-5689040</v>
          </cell>
          <cell r="C2289">
            <v>-71588750</v>
          </cell>
          <cell r="D2289">
            <v>-71588750</v>
          </cell>
        </row>
        <row r="2290">
          <cell r="A2290">
            <v>44204</v>
          </cell>
          <cell r="B2290">
            <v>-3526518</v>
          </cell>
          <cell r="C2290">
            <v>-53773750</v>
          </cell>
          <cell r="D2290">
            <v>-53773750</v>
          </cell>
        </row>
        <row r="2291">
          <cell r="A2291">
            <v>44205</v>
          </cell>
          <cell r="B2291">
            <v>-379811</v>
          </cell>
          <cell r="C2291">
            <v>-5074986</v>
          </cell>
          <cell r="D2291">
            <v>-5074986</v>
          </cell>
        </row>
        <row r="2292">
          <cell r="A2292">
            <v>44206</v>
          </cell>
          <cell r="B2292">
            <v>-183015</v>
          </cell>
          <cell r="C2292">
            <v>-2078227</v>
          </cell>
          <cell r="D2292">
            <v>-2078227</v>
          </cell>
        </row>
        <row r="2293">
          <cell r="A2293">
            <v>44207</v>
          </cell>
          <cell r="B2293">
            <v>-380683</v>
          </cell>
          <cell r="C2293">
            <v>-2978431</v>
          </cell>
          <cell r="D2293">
            <v>-2978431</v>
          </cell>
        </row>
        <row r="2294">
          <cell r="A2294">
            <v>44208</v>
          </cell>
          <cell r="B2294">
            <v>-209710</v>
          </cell>
          <cell r="C2294">
            <v>-2810650</v>
          </cell>
          <cell r="D2294">
            <v>-2810650</v>
          </cell>
        </row>
        <row r="2295">
          <cell r="A2295">
            <v>44209</v>
          </cell>
          <cell r="B2295">
            <v>-222102</v>
          </cell>
          <cell r="C2295">
            <v>-3013269</v>
          </cell>
          <cell r="D2295">
            <v>-3013269</v>
          </cell>
        </row>
        <row r="2296">
          <cell r="A2296">
            <v>44210</v>
          </cell>
          <cell r="B2296">
            <v>0</v>
          </cell>
          <cell r="C2296">
            <v>-25775</v>
          </cell>
          <cell r="D2296">
            <v>-25775</v>
          </cell>
        </row>
        <row r="2297">
          <cell r="A2297">
            <v>44212</v>
          </cell>
          <cell r="B2297">
            <v>-14237387</v>
          </cell>
          <cell r="C2297">
            <v>-188656806</v>
          </cell>
          <cell r="D2297">
            <v>-188656806</v>
          </cell>
        </row>
        <row r="2298">
          <cell r="A2298">
            <v>44214</v>
          </cell>
          <cell r="B2298">
            <v>-16385659</v>
          </cell>
          <cell r="C2298">
            <v>-268834834</v>
          </cell>
          <cell r="D2298">
            <v>-268834834</v>
          </cell>
        </row>
        <row r="2299">
          <cell r="A2299">
            <v>44215</v>
          </cell>
          <cell r="B2299">
            <v>-1589857</v>
          </cell>
          <cell r="C2299">
            <v>-21263449</v>
          </cell>
          <cell r="D2299">
            <v>-21263449</v>
          </cell>
        </row>
        <row r="2300">
          <cell r="A2300">
            <v>44216</v>
          </cell>
          <cell r="B2300">
            <v>-800254</v>
          </cell>
          <cell r="C2300">
            <v>-8901227</v>
          </cell>
          <cell r="D2300">
            <v>-8901227</v>
          </cell>
        </row>
        <row r="2301">
          <cell r="A2301">
            <v>44217</v>
          </cell>
          <cell r="B2301">
            <v>-1764680</v>
          </cell>
          <cell r="C2301">
            <v>-14623079</v>
          </cell>
          <cell r="D2301">
            <v>-14623079</v>
          </cell>
        </row>
        <row r="2302">
          <cell r="A2302">
            <v>44218</v>
          </cell>
          <cell r="B2302">
            <v>-936806</v>
          </cell>
          <cell r="C2302">
            <v>-13456509</v>
          </cell>
          <cell r="D2302">
            <v>-13456509</v>
          </cell>
        </row>
        <row r="2303">
          <cell r="A2303">
            <v>44219</v>
          </cell>
          <cell r="B2303">
            <v>-886130</v>
          </cell>
          <cell r="C2303">
            <v>-12818578</v>
          </cell>
          <cell r="D2303">
            <v>-12818578</v>
          </cell>
        </row>
        <row r="2304">
          <cell r="A2304">
            <v>44220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44222</v>
          </cell>
          <cell r="B2305">
            <v>-845</v>
          </cell>
          <cell r="C2305">
            <v>-10384</v>
          </cell>
          <cell r="D2305">
            <v>-10384</v>
          </cell>
        </row>
        <row r="2306">
          <cell r="A2306">
            <v>44224</v>
          </cell>
          <cell r="B2306">
            <v>-364</v>
          </cell>
          <cell r="C2306">
            <v>-5045</v>
          </cell>
          <cell r="D2306">
            <v>-5045</v>
          </cell>
        </row>
        <row r="2307">
          <cell r="A2307">
            <v>44225</v>
          </cell>
          <cell r="B2307">
            <v>-13</v>
          </cell>
          <cell r="C2307">
            <v>-157</v>
          </cell>
          <cell r="D2307">
            <v>-157</v>
          </cell>
        </row>
        <row r="2308">
          <cell r="A2308">
            <v>44226</v>
          </cell>
          <cell r="B2308">
            <v>-9</v>
          </cell>
          <cell r="C2308">
            <v>-90</v>
          </cell>
          <cell r="D2308">
            <v>-90</v>
          </cell>
        </row>
        <row r="2309">
          <cell r="A2309">
            <v>44227</v>
          </cell>
          <cell r="B2309">
            <v>-40</v>
          </cell>
          <cell r="C2309">
            <v>-292</v>
          </cell>
          <cell r="D2309">
            <v>-292</v>
          </cell>
        </row>
        <row r="2310">
          <cell r="A2310">
            <v>44228</v>
          </cell>
          <cell r="B2310">
            <v>0</v>
          </cell>
          <cell r="C2310">
            <v>0</v>
          </cell>
          <cell r="D2310">
            <v>0</v>
          </cell>
        </row>
        <row r="2311">
          <cell r="A2311">
            <v>44229</v>
          </cell>
          <cell r="B2311">
            <v>-16</v>
          </cell>
          <cell r="C2311">
            <v>-208</v>
          </cell>
          <cell r="D2311">
            <v>-208</v>
          </cell>
        </row>
        <row r="2312">
          <cell r="A2312">
            <v>44230</v>
          </cell>
          <cell r="B2312">
            <v>0</v>
          </cell>
          <cell r="C2312">
            <v>-287054</v>
          </cell>
          <cell r="D2312">
            <v>-287054</v>
          </cell>
        </row>
        <row r="2313">
          <cell r="A2313">
            <v>44232</v>
          </cell>
          <cell r="B2313">
            <v>-2980567</v>
          </cell>
          <cell r="C2313">
            <v>-28532379</v>
          </cell>
          <cell r="D2313">
            <v>-28532379</v>
          </cell>
        </row>
        <row r="2314">
          <cell r="A2314">
            <v>44234</v>
          </cell>
          <cell r="B2314">
            <v>-4083777</v>
          </cell>
          <cell r="C2314">
            <v>-44463108</v>
          </cell>
          <cell r="D2314">
            <v>-44463108</v>
          </cell>
        </row>
        <row r="2315">
          <cell r="A2315">
            <v>44235</v>
          </cell>
          <cell r="B2315">
            <v>-291333</v>
          </cell>
          <cell r="C2315">
            <v>-2854012</v>
          </cell>
          <cell r="D2315">
            <v>-2854012</v>
          </cell>
        </row>
        <row r="2316">
          <cell r="A2316">
            <v>44236</v>
          </cell>
          <cell r="B2316">
            <v>-151373</v>
          </cell>
          <cell r="C2316">
            <v>-1332435</v>
          </cell>
          <cell r="D2316">
            <v>-1332435</v>
          </cell>
        </row>
        <row r="2317">
          <cell r="A2317">
            <v>44237</v>
          </cell>
          <cell r="B2317">
            <v>-437465</v>
          </cell>
          <cell r="C2317">
            <v>-2578080</v>
          </cell>
          <cell r="D2317">
            <v>-2578080</v>
          </cell>
        </row>
        <row r="2318">
          <cell r="A2318">
            <v>44238</v>
          </cell>
          <cell r="B2318">
            <v>0</v>
          </cell>
          <cell r="C2318">
            <v>0</v>
          </cell>
          <cell r="D2318">
            <v>0</v>
          </cell>
        </row>
        <row r="2319">
          <cell r="A2319">
            <v>44239</v>
          </cell>
          <cell r="B2319">
            <v>-162747</v>
          </cell>
          <cell r="C2319">
            <v>-1678078</v>
          </cell>
          <cell r="D2319">
            <v>-1678078</v>
          </cell>
        </row>
        <row r="2320">
          <cell r="A2320">
            <v>44240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44242</v>
          </cell>
          <cell r="B2321">
            <v>-113750</v>
          </cell>
          <cell r="C2321">
            <v>-1354306</v>
          </cell>
          <cell r="D2321">
            <v>-1354306</v>
          </cell>
        </row>
        <row r="2322">
          <cell r="A2322">
            <v>44244</v>
          </cell>
          <cell r="B2322">
            <v>-82291</v>
          </cell>
          <cell r="C2322">
            <v>-1153513</v>
          </cell>
          <cell r="D2322">
            <v>-1153513</v>
          </cell>
        </row>
        <row r="2323">
          <cell r="A2323">
            <v>44245</v>
          </cell>
          <cell r="B2323">
            <v>-8321</v>
          </cell>
          <cell r="C2323">
            <v>-101218</v>
          </cell>
          <cell r="D2323">
            <v>-101218</v>
          </cell>
        </row>
        <row r="2324">
          <cell r="A2324">
            <v>44246</v>
          </cell>
          <cell r="B2324">
            <v>-4069</v>
          </cell>
          <cell r="C2324">
            <v>-41878</v>
          </cell>
          <cell r="D2324">
            <v>-41878</v>
          </cell>
        </row>
        <row r="2325">
          <cell r="A2325">
            <v>44247</v>
          </cell>
          <cell r="B2325">
            <v>-8902</v>
          </cell>
          <cell r="C2325">
            <v>-64545</v>
          </cell>
          <cell r="D2325">
            <v>-64545</v>
          </cell>
        </row>
        <row r="2326">
          <cell r="A2326">
            <v>44248</v>
          </cell>
          <cell r="B2326">
            <v>-4954</v>
          </cell>
          <cell r="C2326">
            <v>-61639</v>
          </cell>
          <cell r="D2326">
            <v>-61639</v>
          </cell>
        </row>
        <row r="2327">
          <cell r="A2327">
            <v>44249</v>
          </cell>
          <cell r="B2327">
            <v>-4898</v>
          </cell>
          <cell r="C2327">
            <v>-61335</v>
          </cell>
          <cell r="D2327">
            <v>-61335</v>
          </cell>
        </row>
        <row r="2328">
          <cell r="A2328">
            <v>44250</v>
          </cell>
          <cell r="B2328">
            <v>0</v>
          </cell>
          <cell r="C2328">
            <v>-78669</v>
          </cell>
          <cell r="D2328">
            <v>-78669</v>
          </cell>
        </row>
        <row r="2329">
          <cell r="A2329">
            <v>44252</v>
          </cell>
          <cell r="B2329">
            <v>-2927004</v>
          </cell>
          <cell r="C2329">
            <v>-35385429</v>
          </cell>
          <cell r="D2329">
            <v>-35385429</v>
          </cell>
        </row>
        <row r="2330">
          <cell r="A2330">
            <v>44254</v>
          </cell>
          <cell r="B2330">
            <v>-3527957</v>
          </cell>
          <cell r="C2330">
            <v>-53163185</v>
          </cell>
          <cell r="D2330">
            <v>-53163185</v>
          </cell>
        </row>
        <row r="2331">
          <cell r="A2331">
            <v>44255</v>
          </cell>
          <cell r="B2331">
            <v>-334166</v>
          </cell>
          <cell r="C2331">
            <v>-4270595</v>
          </cell>
          <cell r="D2331">
            <v>-4270595</v>
          </cell>
        </row>
        <row r="2332">
          <cell r="A2332">
            <v>44256</v>
          </cell>
          <cell r="B2332">
            <v>-166971</v>
          </cell>
          <cell r="C2332">
            <v>-1813398</v>
          </cell>
          <cell r="D2332">
            <v>-1813398</v>
          </cell>
        </row>
        <row r="2333">
          <cell r="A2333">
            <v>44257</v>
          </cell>
          <cell r="B2333">
            <v>-379409</v>
          </cell>
          <cell r="C2333">
            <v>-2929381</v>
          </cell>
          <cell r="D2333">
            <v>-2929381</v>
          </cell>
        </row>
        <row r="2334">
          <cell r="A2334">
            <v>44258</v>
          </cell>
          <cell r="B2334">
            <v>-207538</v>
          </cell>
          <cell r="C2334">
            <v>-2770675</v>
          </cell>
          <cell r="D2334">
            <v>-2770675</v>
          </cell>
        </row>
        <row r="2335">
          <cell r="A2335">
            <v>44259</v>
          </cell>
          <cell r="B2335">
            <v>-180314</v>
          </cell>
          <cell r="C2335">
            <v>-2432085</v>
          </cell>
          <cell r="D2335">
            <v>-2432085</v>
          </cell>
        </row>
        <row r="2336">
          <cell r="A2336">
            <v>44401</v>
          </cell>
          <cell r="B2336">
            <v>-1159635</v>
          </cell>
          <cell r="C2336">
            <v>-12641263</v>
          </cell>
          <cell r="D2336">
            <v>-12641263</v>
          </cell>
        </row>
        <row r="2337">
          <cell r="A2337">
            <v>44403</v>
          </cell>
          <cell r="B2337">
            <v>-264349</v>
          </cell>
          <cell r="C2337">
            <v>-3366398</v>
          </cell>
          <cell r="D2337">
            <v>-3366398</v>
          </cell>
        </row>
        <row r="2338">
          <cell r="A2338">
            <v>44405</v>
          </cell>
          <cell r="B2338">
            <v>-9591</v>
          </cell>
          <cell r="C2338">
            <v>-104891</v>
          </cell>
          <cell r="D2338">
            <v>-104891</v>
          </cell>
        </row>
        <row r="2339">
          <cell r="A2339">
            <v>44406</v>
          </cell>
          <cell r="B2339">
            <v>-6798</v>
          </cell>
          <cell r="C2339">
            <v>-61999</v>
          </cell>
          <cell r="D2339">
            <v>-61999</v>
          </cell>
        </row>
        <row r="2340">
          <cell r="A2340">
            <v>44407</v>
          </cell>
          <cell r="B2340">
            <v>-29035</v>
          </cell>
          <cell r="C2340">
            <v>-200699</v>
          </cell>
          <cell r="D2340">
            <v>-200699</v>
          </cell>
        </row>
        <row r="2341">
          <cell r="A2341">
            <v>44408</v>
          </cell>
          <cell r="B2341">
            <v>-28698</v>
          </cell>
          <cell r="C2341">
            <v>-332506</v>
          </cell>
          <cell r="D2341">
            <v>-332506</v>
          </cell>
        </row>
        <row r="2342">
          <cell r="A2342">
            <v>44409</v>
          </cell>
          <cell r="B2342">
            <v>-12039</v>
          </cell>
          <cell r="C2342">
            <v>-139824</v>
          </cell>
          <cell r="D2342">
            <v>-139824</v>
          </cell>
        </row>
        <row r="2343">
          <cell r="A2343">
            <v>44500</v>
          </cell>
          <cell r="B2343">
            <v>0</v>
          </cell>
          <cell r="C2343">
            <v>-1336</v>
          </cell>
          <cell r="D2343">
            <v>-1336</v>
          </cell>
        </row>
        <row r="2344">
          <cell r="A2344">
            <v>44501</v>
          </cell>
          <cell r="B2344">
            <v>-5310950</v>
          </cell>
          <cell r="C2344">
            <v>-68627086</v>
          </cell>
          <cell r="D2344">
            <v>-68627086</v>
          </cell>
        </row>
        <row r="2345">
          <cell r="A2345">
            <v>44503</v>
          </cell>
          <cell r="B2345">
            <v>-5718057</v>
          </cell>
          <cell r="C2345">
            <v>-91179168</v>
          </cell>
          <cell r="D2345">
            <v>-91179168</v>
          </cell>
        </row>
        <row r="2346">
          <cell r="A2346">
            <v>44505</v>
          </cell>
          <cell r="B2346">
            <v>-582987</v>
          </cell>
          <cell r="C2346">
            <v>-7527021</v>
          </cell>
          <cell r="D2346">
            <v>-7527021</v>
          </cell>
        </row>
        <row r="2347">
          <cell r="A2347">
            <v>44506</v>
          </cell>
          <cell r="B2347">
            <v>-290420</v>
          </cell>
          <cell r="C2347">
            <v>-3177452</v>
          </cell>
          <cell r="D2347">
            <v>-3177452</v>
          </cell>
        </row>
        <row r="2348">
          <cell r="A2348">
            <v>44507</v>
          </cell>
          <cell r="B2348">
            <v>-616543</v>
          </cell>
          <cell r="C2348">
            <v>-5053046</v>
          </cell>
          <cell r="D2348">
            <v>-5053046</v>
          </cell>
        </row>
        <row r="2349">
          <cell r="A2349">
            <v>44508</v>
          </cell>
          <cell r="B2349">
            <v>-276997</v>
          </cell>
          <cell r="C2349">
            <v>-3718154</v>
          </cell>
          <cell r="D2349">
            <v>-3718154</v>
          </cell>
        </row>
        <row r="2350">
          <cell r="A2350">
            <v>44509</v>
          </cell>
          <cell r="B2350">
            <v>-316445</v>
          </cell>
          <cell r="C2350">
            <v>-4423990</v>
          </cell>
          <cell r="D2350">
            <v>-4423990</v>
          </cell>
        </row>
        <row r="2351">
          <cell r="A2351">
            <v>44701</v>
          </cell>
          <cell r="B2351">
            <v>-259940</v>
          </cell>
          <cell r="C2351">
            <v>-10548007</v>
          </cell>
          <cell r="D2351">
            <v>-10548007</v>
          </cell>
        </row>
        <row r="2352">
          <cell r="A2352">
            <v>44702</v>
          </cell>
          <cell r="B2352">
            <v>-26675</v>
          </cell>
          <cell r="C2352">
            <v>-1066289</v>
          </cell>
          <cell r="D2352">
            <v>-1066289</v>
          </cell>
        </row>
        <row r="2353">
          <cell r="A2353">
            <v>44703</v>
          </cell>
          <cell r="B2353">
            <v>-2358</v>
          </cell>
          <cell r="C2353">
            <v>-92837</v>
          </cell>
          <cell r="D2353">
            <v>-92837</v>
          </cell>
        </row>
        <row r="2354">
          <cell r="A2354">
            <v>44704</v>
          </cell>
          <cell r="B2354">
            <v>-2104</v>
          </cell>
          <cell r="C2354">
            <v>-67875</v>
          </cell>
          <cell r="D2354">
            <v>-67875</v>
          </cell>
        </row>
        <row r="2355">
          <cell r="A2355">
            <v>44705</v>
          </cell>
          <cell r="B2355">
            <v>-16904</v>
          </cell>
          <cell r="C2355">
            <v>-479481</v>
          </cell>
          <cell r="D2355">
            <v>-479481</v>
          </cell>
        </row>
        <row r="2356">
          <cell r="A2356">
            <v>44706</v>
          </cell>
          <cell r="B2356">
            <v>-322</v>
          </cell>
          <cell r="C2356">
            <v>-8930</v>
          </cell>
          <cell r="D2356">
            <v>-8930</v>
          </cell>
        </row>
        <row r="2357">
          <cell r="A2357">
            <v>44707</v>
          </cell>
          <cell r="B2357">
            <v>0</v>
          </cell>
          <cell r="C2357">
            <v>-24588</v>
          </cell>
          <cell r="D2357">
            <v>-24588</v>
          </cell>
        </row>
        <row r="2358">
          <cell r="A2358">
            <v>44708</v>
          </cell>
          <cell r="B2358">
            <v>15134</v>
          </cell>
          <cell r="C2358">
            <v>26326</v>
          </cell>
          <cell r="D2358">
            <v>26326</v>
          </cell>
        </row>
        <row r="2359">
          <cell r="A2359">
            <v>44709</v>
          </cell>
          <cell r="B2359">
            <v>566</v>
          </cell>
          <cell r="C2359">
            <v>984</v>
          </cell>
          <cell r="D2359">
            <v>984</v>
          </cell>
        </row>
        <row r="2360">
          <cell r="A2360">
            <v>44710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44711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44712</v>
          </cell>
          <cell r="B2362">
            <v>0</v>
          </cell>
          <cell r="C2362">
            <v>0</v>
          </cell>
          <cell r="D2362">
            <v>0</v>
          </cell>
        </row>
        <row r="2363">
          <cell r="A2363">
            <v>44713</v>
          </cell>
          <cell r="B2363">
            <v>0</v>
          </cell>
          <cell r="C2363">
            <v>0</v>
          </cell>
          <cell r="D2363">
            <v>0</v>
          </cell>
        </row>
        <row r="2364">
          <cell r="A2364">
            <v>44714</v>
          </cell>
          <cell r="B2364">
            <v>-15700</v>
          </cell>
          <cell r="C2364">
            <v>-27309</v>
          </cell>
          <cell r="D2364">
            <v>-27309</v>
          </cell>
        </row>
        <row r="2365">
          <cell r="A2365">
            <v>44715</v>
          </cell>
          <cell r="B2365">
            <v>1473</v>
          </cell>
          <cell r="C2365">
            <v>2016</v>
          </cell>
          <cell r="D2365">
            <v>2016</v>
          </cell>
        </row>
        <row r="2366">
          <cell r="A2366">
            <v>44716</v>
          </cell>
          <cell r="B2366">
            <v>52</v>
          </cell>
          <cell r="C2366">
            <v>67</v>
          </cell>
          <cell r="D2366">
            <v>67</v>
          </cell>
        </row>
        <row r="2367">
          <cell r="A2367">
            <v>44717</v>
          </cell>
          <cell r="B2367">
            <v>0</v>
          </cell>
          <cell r="C2367">
            <v>0</v>
          </cell>
          <cell r="D2367">
            <v>0</v>
          </cell>
        </row>
        <row r="2368">
          <cell r="A2368">
            <v>44720</v>
          </cell>
          <cell r="B2368">
            <v>-1901478</v>
          </cell>
          <cell r="C2368">
            <v>-28431854</v>
          </cell>
          <cell r="D2368">
            <v>-28431854</v>
          </cell>
        </row>
        <row r="2369">
          <cell r="A2369">
            <v>44721</v>
          </cell>
          <cell r="B2369">
            <v>1183901</v>
          </cell>
          <cell r="C2369">
            <v>3685631</v>
          </cell>
          <cell r="D2369">
            <v>3685631</v>
          </cell>
        </row>
        <row r="2370">
          <cell r="A2370">
            <v>44722</v>
          </cell>
          <cell r="B2370">
            <v>-1183901</v>
          </cell>
          <cell r="C2370">
            <v>-3685631</v>
          </cell>
          <cell r="D2370">
            <v>-3685631</v>
          </cell>
        </row>
        <row r="2371">
          <cell r="A2371">
            <v>44731</v>
          </cell>
          <cell r="B2371">
            <v>0</v>
          </cell>
          <cell r="C2371">
            <v>0</v>
          </cell>
          <cell r="D2371">
            <v>0</v>
          </cell>
        </row>
        <row r="2372">
          <cell r="A2372">
            <v>44732</v>
          </cell>
          <cell r="B2372">
            <v>0</v>
          </cell>
          <cell r="C2372">
            <v>0</v>
          </cell>
          <cell r="D2372">
            <v>0</v>
          </cell>
        </row>
        <row r="2373">
          <cell r="A2373">
            <v>44733</v>
          </cell>
          <cell r="B2373">
            <v>0</v>
          </cell>
          <cell r="C2373">
            <v>0</v>
          </cell>
          <cell r="D2373">
            <v>0</v>
          </cell>
        </row>
        <row r="2374">
          <cell r="A2374">
            <v>44734</v>
          </cell>
          <cell r="B2374">
            <v>0</v>
          </cell>
          <cell r="C2374">
            <v>0</v>
          </cell>
          <cell r="D2374">
            <v>0</v>
          </cell>
        </row>
        <row r="2375">
          <cell r="A2375">
            <v>44739</v>
          </cell>
          <cell r="B2375">
            <v>0</v>
          </cell>
          <cell r="C2375">
            <v>-16321</v>
          </cell>
          <cell r="D2375">
            <v>-16321</v>
          </cell>
        </row>
        <row r="2376">
          <cell r="A2376">
            <v>44741</v>
          </cell>
          <cell r="B2376">
            <v>0</v>
          </cell>
          <cell r="C2376">
            <v>0</v>
          </cell>
          <cell r="D2376">
            <v>0</v>
          </cell>
        </row>
        <row r="2377">
          <cell r="A2377">
            <v>44742</v>
          </cell>
          <cell r="B2377">
            <v>0</v>
          </cell>
          <cell r="C2377">
            <v>0</v>
          </cell>
          <cell r="D2377">
            <v>0</v>
          </cell>
        </row>
        <row r="2378">
          <cell r="A2378">
            <v>44743</v>
          </cell>
          <cell r="B2378">
            <v>0</v>
          </cell>
          <cell r="C2378">
            <v>0</v>
          </cell>
          <cell r="D2378">
            <v>0</v>
          </cell>
        </row>
        <row r="2379">
          <cell r="A2379">
            <v>44744</v>
          </cell>
          <cell r="B2379">
            <v>0</v>
          </cell>
          <cell r="C2379">
            <v>0</v>
          </cell>
          <cell r="D2379">
            <v>0</v>
          </cell>
        </row>
        <row r="2380">
          <cell r="A2380">
            <v>44745</v>
          </cell>
          <cell r="B2380">
            <v>0</v>
          </cell>
          <cell r="C2380">
            <v>0</v>
          </cell>
          <cell r="D2380">
            <v>0</v>
          </cell>
        </row>
        <row r="2381">
          <cell r="A2381">
            <v>44746</v>
          </cell>
          <cell r="B2381">
            <v>0</v>
          </cell>
          <cell r="C2381">
            <v>0</v>
          </cell>
          <cell r="D2381">
            <v>0</v>
          </cell>
        </row>
        <row r="2382">
          <cell r="A2382">
            <v>44747</v>
          </cell>
          <cell r="B2382">
            <v>0</v>
          </cell>
          <cell r="C2382">
            <v>0</v>
          </cell>
          <cell r="D2382">
            <v>0</v>
          </cell>
        </row>
        <row r="2383">
          <cell r="A2383">
            <v>44753</v>
          </cell>
          <cell r="B2383">
            <v>0</v>
          </cell>
          <cell r="C2383">
            <v>0</v>
          </cell>
          <cell r="D2383">
            <v>0</v>
          </cell>
        </row>
        <row r="2384">
          <cell r="A2384">
            <v>44755</v>
          </cell>
          <cell r="B2384">
            <v>0</v>
          </cell>
          <cell r="C2384">
            <v>0</v>
          </cell>
          <cell r="D2384">
            <v>0</v>
          </cell>
        </row>
        <row r="2385">
          <cell r="A2385">
            <v>44756</v>
          </cell>
          <cell r="B2385">
            <v>0</v>
          </cell>
          <cell r="C2385">
            <v>0</v>
          </cell>
          <cell r="D2385">
            <v>0</v>
          </cell>
        </row>
        <row r="2386">
          <cell r="A2386">
            <v>44757</v>
          </cell>
          <cell r="B2386">
            <v>0</v>
          </cell>
          <cell r="C2386">
            <v>0</v>
          </cell>
          <cell r="D2386">
            <v>0</v>
          </cell>
        </row>
        <row r="2387">
          <cell r="A2387">
            <v>44901</v>
          </cell>
          <cell r="B2387">
            <v>0</v>
          </cell>
          <cell r="C2387">
            <v>0</v>
          </cell>
          <cell r="D2387">
            <v>0</v>
          </cell>
        </row>
        <row r="2388">
          <cell r="A2388">
            <v>44902</v>
          </cell>
          <cell r="B2388">
            <v>0</v>
          </cell>
          <cell r="C2388">
            <v>0</v>
          </cell>
          <cell r="D2388">
            <v>0</v>
          </cell>
        </row>
        <row r="2389">
          <cell r="A2389">
            <v>44903</v>
          </cell>
          <cell r="B2389">
            <v>0</v>
          </cell>
          <cell r="C2389">
            <v>0</v>
          </cell>
          <cell r="D2389">
            <v>0</v>
          </cell>
        </row>
        <row r="2390">
          <cell r="A2390">
            <v>45100</v>
          </cell>
          <cell r="B2390">
            <v>-1610857</v>
          </cell>
          <cell r="C2390">
            <v>-19861241</v>
          </cell>
          <cell r="D2390">
            <v>-19861241</v>
          </cell>
        </row>
        <row r="2391">
          <cell r="A2391">
            <v>45400</v>
          </cell>
          <cell r="B2391">
            <v>-34480</v>
          </cell>
          <cell r="C2391">
            <v>-569976</v>
          </cell>
          <cell r="D2391">
            <v>-569976</v>
          </cell>
        </row>
        <row r="2392">
          <cell r="A2392">
            <v>45401</v>
          </cell>
          <cell r="B2392">
            <v>-10547</v>
          </cell>
          <cell r="C2392">
            <v>-138287</v>
          </cell>
          <cell r="D2392">
            <v>-138287</v>
          </cell>
        </row>
        <row r="2393">
          <cell r="A2393">
            <v>45402</v>
          </cell>
          <cell r="B2393">
            <v>-170</v>
          </cell>
          <cell r="C2393">
            <v>-36456</v>
          </cell>
          <cell r="D2393">
            <v>-36456</v>
          </cell>
        </row>
        <row r="2394">
          <cell r="A2394">
            <v>45403</v>
          </cell>
          <cell r="B2394">
            <v>-423932</v>
          </cell>
          <cell r="C2394">
            <v>-7886825</v>
          </cell>
          <cell r="D2394">
            <v>-7886825</v>
          </cell>
        </row>
        <row r="2395">
          <cell r="A2395">
            <v>45404</v>
          </cell>
          <cell r="B2395">
            <v>0</v>
          </cell>
          <cell r="C2395">
            <v>0</v>
          </cell>
          <cell r="D2395">
            <v>0</v>
          </cell>
        </row>
        <row r="2396">
          <cell r="A2396">
            <v>45405</v>
          </cell>
          <cell r="B2396">
            <v>-238175</v>
          </cell>
          <cell r="C2396">
            <v>-2695270</v>
          </cell>
          <cell r="D2396">
            <v>-2695270</v>
          </cell>
        </row>
        <row r="2397">
          <cell r="A2397">
            <v>45406</v>
          </cell>
          <cell r="B2397">
            <v>-716</v>
          </cell>
          <cell r="C2397">
            <v>-14408</v>
          </cell>
          <cell r="D2397">
            <v>-14408</v>
          </cell>
        </row>
        <row r="2398">
          <cell r="A2398">
            <v>45407</v>
          </cell>
          <cell r="B2398">
            <v>-18000</v>
          </cell>
          <cell r="C2398">
            <v>-229634</v>
          </cell>
          <cell r="D2398">
            <v>-229634</v>
          </cell>
        </row>
        <row r="2399">
          <cell r="A2399">
            <v>45410</v>
          </cell>
          <cell r="B2399">
            <v>-57900</v>
          </cell>
          <cell r="C2399">
            <v>-671265</v>
          </cell>
          <cell r="D2399">
            <v>-671265</v>
          </cell>
        </row>
        <row r="2400">
          <cell r="A2400">
            <v>45510</v>
          </cell>
          <cell r="B2400">
            <v>-27178</v>
          </cell>
          <cell r="C2400">
            <v>-346773</v>
          </cell>
          <cell r="D2400">
            <v>-346773</v>
          </cell>
        </row>
        <row r="2401">
          <cell r="A2401">
            <v>45601</v>
          </cell>
          <cell r="B2401">
            <v>-62056</v>
          </cell>
          <cell r="C2401">
            <v>-217324</v>
          </cell>
          <cell r="D2401">
            <v>-217324</v>
          </cell>
        </row>
        <row r="2402">
          <cell r="A2402">
            <v>45602</v>
          </cell>
          <cell r="B2402">
            <v>0</v>
          </cell>
          <cell r="C2402">
            <v>0</v>
          </cell>
          <cell r="D2402">
            <v>0</v>
          </cell>
        </row>
        <row r="2403">
          <cell r="A2403">
            <v>45603</v>
          </cell>
          <cell r="B2403">
            <v>0</v>
          </cell>
          <cell r="C2403">
            <v>-55991</v>
          </cell>
          <cell r="D2403">
            <v>-55991</v>
          </cell>
        </row>
        <row r="2404">
          <cell r="A2404">
            <v>45604</v>
          </cell>
          <cell r="B2404">
            <v>-5890</v>
          </cell>
          <cell r="C2404">
            <v>-69027</v>
          </cell>
          <cell r="D2404">
            <v>-69027</v>
          </cell>
        </row>
        <row r="2405">
          <cell r="A2405">
            <v>45605</v>
          </cell>
          <cell r="B2405">
            <v>-15717</v>
          </cell>
          <cell r="C2405">
            <v>-188600</v>
          </cell>
          <cell r="D2405">
            <v>-188600</v>
          </cell>
        </row>
        <row r="2406">
          <cell r="A2406">
            <v>45606</v>
          </cell>
          <cell r="B2406">
            <v>-9317</v>
          </cell>
          <cell r="C2406">
            <v>-111800</v>
          </cell>
          <cell r="D2406">
            <v>-111800</v>
          </cell>
        </row>
        <row r="2407">
          <cell r="A2407">
            <v>45607</v>
          </cell>
          <cell r="B2407">
            <v>0</v>
          </cell>
          <cell r="C2407">
            <v>-19886</v>
          </cell>
          <cell r="D2407">
            <v>-19886</v>
          </cell>
        </row>
        <row r="2408">
          <cell r="A2408">
            <v>45608</v>
          </cell>
          <cell r="B2408">
            <v>0</v>
          </cell>
          <cell r="C2408">
            <v>0</v>
          </cell>
          <cell r="D2408">
            <v>0</v>
          </cell>
        </row>
        <row r="2409">
          <cell r="A2409">
            <v>45609</v>
          </cell>
          <cell r="B2409">
            <v>0</v>
          </cell>
          <cell r="C2409">
            <v>0</v>
          </cell>
          <cell r="D2409">
            <v>0</v>
          </cell>
        </row>
        <row r="2410">
          <cell r="A2410">
            <v>45610</v>
          </cell>
          <cell r="B2410">
            <v>-3865</v>
          </cell>
          <cell r="C2410">
            <v>-54443</v>
          </cell>
          <cell r="D2410">
            <v>-54443</v>
          </cell>
        </row>
        <row r="2411">
          <cell r="A2411">
            <v>45611</v>
          </cell>
          <cell r="B2411">
            <v>0</v>
          </cell>
          <cell r="C2411">
            <v>-105387</v>
          </cell>
          <cell r="D2411">
            <v>-105387</v>
          </cell>
        </row>
        <row r="2412">
          <cell r="A2412">
            <v>45612</v>
          </cell>
          <cell r="B2412">
            <v>0</v>
          </cell>
          <cell r="C2412">
            <v>-380</v>
          </cell>
          <cell r="D2412">
            <v>-380</v>
          </cell>
        </row>
        <row r="2413">
          <cell r="A2413">
            <v>45613</v>
          </cell>
          <cell r="B2413">
            <v>0</v>
          </cell>
          <cell r="C2413">
            <v>0</v>
          </cell>
          <cell r="D2413">
            <v>0</v>
          </cell>
        </row>
        <row r="2414">
          <cell r="A2414">
            <v>45614</v>
          </cell>
          <cell r="B2414">
            <v>-215646</v>
          </cell>
          <cell r="C2414">
            <v>-2518098</v>
          </cell>
          <cell r="D2414">
            <v>-2518098</v>
          </cell>
        </row>
        <row r="2415">
          <cell r="A2415">
            <v>45615</v>
          </cell>
          <cell r="B2415">
            <v>-54748</v>
          </cell>
          <cell r="C2415">
            <v>-646078</v>
          </cell>
          <cell r="D2415">
            <v>-646078</v>
          </cell>
        </row>
        <row r="2416">
          <cell r="A2416">
            <v>45616</v>
          </cell>
          <cell r="B2416">
            <v>0</v>
          </cell>
          <cell r="C2416">
            <v>0</v>
          </cell>
          <cell r="D2416">
            <v>0</v>
          </cell>
        </row>
        <row r="2417">
          <cell r="A2417">
            <v>45617</v>
          </cell>
          <cell r="B2417">
            <v>0</v>
          </cell>
          <cell r="C2417">
            <v>0</v>
          </cell>
          <cell r="D2417">
            <v>0</v>
          </cell>
        </row>
        <row r="2418">
          <cell r="A2418">
            <v>45620</v>
          </cell>
          <cell r="B2418">
            <v>0</v>
          </cell>
          <cell r="C2418">
            <v>0</v>
          </cell>
          <cell r="D2418">
            <v>0</v>
          </cell>
        </row>
        <row r="2419">
          <cell r="A2419">
            <v>45621</v>
          </cell>
          <cell r="B2419">
            <v>-21857</v>
          </cell>
          <cell r="C2419">
            <v>-18434</v>
          </cell>
          <cell r="D2419">
            <v>-18434</v>
          </cell>
        </row>
        <row r="2420">
          <cell r="A2420">
            <v>45622</v>
          </cell>
          <cell r="B2420">
            <v>0</v>
          </cell>
          <cell r="C2420">
            <v>0</v>
          </cell>
          <cell r="D2420">
            <v>0</v>
          </cell>
        </row>
        <row r="2421">
          <cell r="A2421">
            <v>45623</v>
          </cell>
          <cell r="B2421">
            <v>-86461</v>
          </cell>
          <cell r="C2421">
            <v>-1429263</v>
          </cell>
          <cell r="D2421">
            <v>-1429263</v>
          </cell>
        </row>
        <row r="2422">
          <cell r="A2422">
            <v>45624</v>
          </cell>
          <cell r="B2422">
            <v>-272282</v>
          </cell>
          <cell r="C2422">
            <v>-3140413</v>
          </cell>
          <cell r="D2422">
            <v>-3140413</v>
          </cell>
        </row>
        <row r="2423">
          <cell r="A2423">
            <v>45625</v>
          </cell>
          <cell r="B2423">
            <v>-6505</v>
          </cell>
          <cell r="C2423">
            <v>-181175</v>
          </cell>
          <cell r="D2423">
            <v>-181175</v>
          </cell>
        </row>
        <row r="2424">
          <cell r="A2424">
            <v>45626</v>
          </cell>
          <cell r="B2424">
            <v>0</v>
          </cell>
          <cell r="C2424">
            <v>0</v>
          </cell>
          <cell r="D2424">
            <v>0</v>
          </cell>
        </row>
        <row r="2425">
          <cell r="A2425">
            <v>45627</v>
          </cell>
          <cell r="B2425">
            <v>0</v>
          </cell>
          <cell r="C2425">
            <v>0</v>
          </cell>
          <cell r="D2425">
            <v>0</v>
          </cell>
        </row>
        <row r="2426">
          <cell r="A2426">
            <v>45628</v>
          </cell>
          <cell r="B2426">
            <v>0</v>
          </cell>
          <cell r="C2426">
            <v>0</v>
          </cell>
          <cell r="D2426">
            <v>0</v>
          </cell>
        </row>
        <row r="2427">
          <cell r="A2427">
            <v>45629</v>
          </cell>
          <cell r="B2427">
            <v>-267981</v>
          </cell>
          <cell r="C2427">
            <v>-1431638</v>
          </cell>
          <cell r="D2427">
            <v>-1431638</v>
          </cell>
        </row>
        <row r="2428">
          <cell r="A2428">
            <v>45630</v>
          </cell>
          <cell r="B2428">
            <v>-609460</v>
          </cell>
          <cell r="C2428">
            <v>-6908039</v>
          </cell>
          <cell r="D2428">
            <v>-6908039</v>
          </cell>
        </row>
        <row r="2429">
          <cell r="A2429">
            <v>45631</v>
          </cell>
          <cell r="B2429">
            <v>-21016</v>
          </cell>
          <cell r="C2429">
            <v>-237646</v>
          </cell>
          <cell r="D2429">
            <v>-237646</v>
          </cell>
        </row>
        <row r="2430">
          <cell r="A2430">
            <v>45632</v>
          </cell>
          <cell r="B2430">
            <v>0</v>
          </cell>
          <cell r="C2430">
            <v>-278196</v>
          </cell>
          <cell r="D2430">
            <v>-278196</v>
          </cell>
        </row>
        <row r="2431">
          <cell r="A2431">
            <v>45641</v>
          </cell>
          <cell r="B2431">
            <v>0</v>
          </cell>
          <cell r="C2431">
            <v>-214</v>
          </cell>
          <cell r="D2431">
            <v>-214</v>
          </cell>
        </row>
        <row r="2432">
          <cell r="A2432">
            <v>45642</v>
          </cell>
          <cell r="B2432">
            <v>0</v>
          </cell>
          <cell r="C2432">
            <v>214</v>
          </cell>
          <cell r="D2432">
            <v>214</v>
          </cell>
        </row>
        <row r="2433">
          <cell r="A2433">
            <v>45643</v>
          </cell>
          <cell r="B2433">
            <v>0</v>
          </cell>
          <cell r="C2433">
            <v>0</v>
          </cell>
          <cell r="D2433">
            <v>0</v>
          </cell>
        </row>
        <row r="2434">
          <cell r="A2434">
            <v>45644</v>
          </cell>
          <cell r="B2434">
            <v>0</v>
          </cell>
          <cell r="C2434">
            <v>0</v>
          </cell>
          <cell r="D2434">
            <v>0</v>
          </cell>
        </row>
        <row r="2435">
          <cell r="A2435">
            <v>45645</v>
          </cell>
          <cell r="B2435">
            <v>0</v>
          </cell>
          <cell r="C2435">
            <v>0</v>
          </cell>
          <cell r="D2435">
            <v>0</v>
          </cell>
        </row>
        <row r="2436">
          <cell r="A2436">
            <v>45647</v>
          </cell>
          <cell r="B2436">
            <v>0</v>
          </cell>
          <cell r="C2436">
            <v>0</v>
          </cell>
          <cell r="D2436">
            <v>0</v>
          </cell>
        </row>
        <row r="2437">
          <cell r="A2437">
            <v>45651</v>
          </cell>
          <cell r="B2437">
            <v>0</v>
          </cell>
          <cell r="C2437">
            <v>-6</v>
          </cell>
          <cell r="D2437">
            <v>-6</v>
          </cell>
        </row>
        <row r="2438">
          <cell r="A2438">
            <v>45652</v>
          </cell>
          <cell r="B2438">
            <v>0</v>
          </cell>
          <cell r="C2438">
            <v>0</v>
          </cell>
          <cell r="D2438">
            <v>0</v>
          </cell>
        </row>
        <row r="2439">
          <cell r="A2439">
            <v>45653</v>
          </cell>
          <cell r="B2439">
            <v>0</v>
          </cell>
          <cell r="C2439">
            <v>0</v>
          </cell>
          <cell r="D2439">
            <v>0</v>
          </cell>
        </row>
        <row r="2440">
          <cell r="A2440">
            <v>45654</v>
          </cell>
          <cell r="B2440">
            <v>0</v>
          </cell>
          <cell r="C2440">
            <v>0</v>
          </cell>
          <cell r="D2440">
            <v>0</v>
          </cell>
        </row>
        <row r="2441">
          <cell r="A2441">
            <v>45655</v>
          </cell>
          <cell r="B2441">
            <v>0</v>
          </cell>
          <cell r="C2441">
            <v>0</v>
          </cell>
          <cell r="D2441">
            <v>0</v>
          </cell>
        </row>
        <row r="2442">
          <cell r="A2442">
            <v>45661</v>
          </cell>
          <cell r="B2442">
            <v>0</v>
          </cell>
          <cell r="C2442">
            <v>0</v>
          </cell>
          <cell r="D2442">
            <v>0</v>
          </cell>
        </row>
        <row r="2443">
          <cell r="A2443">
            <v>45662</v>
          </cell>
          <cell r="B2443">
            <v>0</v>
          </cell>
          <cell r="C2443">
            <v>0</v>
          </cell>
          <cell r="D2443">
            <v>0</v>
          </cell>
        </row>
        <row r="2444">
          <cell r="A2444">
            <v>45663</v>
          </cell>
          <cell r="B2444">
            <v>0</v>
          </cell>
          <cell r="C2444">
            <v>0</v>
          </cell>
          <cell r="D2444">
            <v>0</v>
          </cell>
        </row>
        <row r="2445">
          <cell r="A2445">
            <v>45664</v>
          </cell>
          <cell r="B2445">
            <v>0</v>
          </cell>
          <cell r="C2445">
            <v>0</v>
          </cell>
          <cell r="D2445">
            <v>0</v>
          </cell>
        </row>
        <row r="2446">
          <cell r="A2446">
            <v>45665</v>
          </cell>
          <cell r="B2446">
            <v>0</v>
          </cell>
          <cell r="C2446">
            <v>0</v>
          </cell>
          <cell r="D2446">
            <v>0</v>
          </cell>
        </row>
        <row r="2447">
          <cell r="A2447">
            <v>45671</v>
          </cell>
          <cell r="B2447">
            <v>3396769</v>
          </cell>
          <cell r="C2447">
            <v>-6540937</v>
          </cell>
          <cell r="D2447">
            <v>-6540937</v>
          </cell>
        </row>
        <row r="2448">
          <cell r="A2448">
            <v>45674</v>
          </cell>
          <cell r="B2448">
            <v>0</v>
          </cell>
          <cell r="C2448">
            <v>0</v>
          </cell>
          <cell r="D2448">
            <v>0</v>
          </cell>
        </row>
        <row r="2449">
          <cell r="A2449">
            <v>45675</v>
          </cell>
          <cell r="B2449">
            <v>0</v>
          </cell>
          <cell r="C2449">
            <v>0</v>
          </cell>
          <cell r="D2449">
            <v>0</v>
          </cell>
        </row>
        <row r="2450">
          <cell r="A2450">
            <v>45676</v>
          </cell>
          <cell r="B2450">
            <v>0</v>
          </cell>
          <cell r="C2450">
            <v>0</v>
          </cell>
          <cell r="D2450">
            <v>0</v>
          </cell>
        </row>
        <row r="2451">
          <cell r="A2451">
            <v>45677</v>
          </cell>
          <cell r="B2451">
            <v>0</v>
          </cell>
          <cell r="C2451">
            <v>0</v>
          </cell>
          <cell r="D2451">
            <v>0</v>
          </cell>
        </row>
        <row r="2452">
          <cell r="A2452">
            <v>45678</v>
          </cell>
          <cell r="B2452">
            <v>0</v>
          </cell>
          <cell r="C2452">
            <v>0</v>
          </cell>
          <cell r="D2452">
            <v>0</v>
          </cell>
        </row>
        <row r="2453">
          <cell r="A2453">
            <v>45679</v>
          </cell>
          <cell r="B2453">
            <v>0</v>
          </cell>
          <cell r="C2453">
            <v>0</v>
          </cell>
          <cell r="D2453">
            <v>0</v>
          </cell>
        </row>
        <row r="2454">
          <cell r="A2454">
            <v>45680</v>
          </cell>
          <cell r="B2454">
            <v>0</v>
          </cell>
          <cell r="C2454">
            <v>0</v>
          </cell>
          <cell r="D2454">
            <v>0</v>
          </cell>
        </row>
        <row r="2455">
          <cell r="A2455">
            <v>45681</v>
          </cell>
          <cell r="B2455">
            <v>0</v>
          </cell>
          <cell r="C2455">
            <v>0</v>
          </cell>
          <cell r="D2455">
            <v>0</v>
          </cell>
        </row>
        <row r="2456">
          <cell r="A2456">
            <v>45682</v>
          </cell>
          <cell r="B2456">
            <v>0</v>
          </cell>
          <cell r="C2456">
            <v>0</v>
          </cell>
          <cell r="D2456">
            <v>0</v>
          </cell>
        </row>
        <row r="2457">
          <cell r="A2457">
            <v>45683</v>
          </cell>
          <cell r="B2457">
            <v>0</v>
          </cell>
          <cell r="C2457">
            <v>0</v>
          </cell>
          <cell r="D2457">
            <v>0</v>
          </cell>
        </row>
        <row r="2458">
          <cell r="A2458">
            <v>45684</v>
          </cell>
          <cell r="B2458">
            <v>0</v>
          </cell>
          <cell r="C2458">
            <v>0</v>
          </cell>
          <cell r="D2458">
            <v>0</v>
          </cell>
        </row>
        <row r="2459">
          <cell r="A2459">
            <v>45685</v>
          </cell>
          <cell r="B2459">
            <v>0</v>
          </cell>
          <cell r="C2459">
            <v>0</v>
          </cell>
          <cell r="D2459">
            <v>0</v>
          </cell>
        </row>
        <row r="2460">
          <cell r="A2460">
            <v>45690</v>
          </cell>
          <cell r="B2460">
            <v>0</v>
          </cell>
          <cell r="C2460">
            <v>0</v>
          </cell>
          <cell r="D2460">
            <v>0</v>
          </cell>
        </row>
        <row r="2461">
          <cell r="A2461">
            <v>45691</v>
          </cell>
          <cell r="B2461">
            <v>0</v>
          </cell>
          <cell r="C2461">
            <v>0</v>
          </cell>
          <cell r="D2461">
            <v>0</v>
          </cell>
        </row>
        <row r="2462">
          <cell r="A2462">
            <v>45692</v>
          </cell>
          <cell r="B2462">
            <v>0</v>
          </cell>
          <cell r="C2462">
            <v>0</v>
          </cell>
          <cell r="D2462">
            <v>0</v>
          </cell>
        </row>
        <row r="2463">
          <cell r="A2463">
            <v>45695</v>
          </cell>
          <cell r="B2463">
            <v>0</v>
          </cell>
          <cell r="C2463">
            <v>0</v>
          </cell>
          <cell r="D2463">
            <v>0</v>
          </cell>
        </row>
        <row r="2464">
          <cell r="A2464">
            <v>45696</v>
          </cell>
          <cell r="B2464">
            <v>0</v>
          </cell>
          <cell r="C2464">
            <v>0</v>
          </cell>
          <cell r="D2464">
            <v>0</v>
          </cell>
        </row>
        <row r="2465">
          <cell r="A2465">
            <v>45697</v>
          </cell>
          <cell r="B2465">
            <v>0</v>
          </cell>
          <cell r="C2465">
            <v>0</v>
          </cell>
          <cell r="D2465">
            <v>0</v>
          </cell>
        </row>
        <row r="2466">
          <cell r="A2466">
            <v>45698</v>
          </cell>
          <cell r="B2466">
            <v>0</v>
          </cell>
          <cell r="C2466">
            <v>0</v>
          </cell>
          <cell r="D2466">
            <v>0</v>
          </cell>
        </row>
        <row r="2467">
          <cell r="A2467">
            <v>45699</v>
          </cell>
          <cell r="B2467">
            <v>0</v>
          </cell>
          <cell r="C2467">
            <v>0</v>
          </cell>
          <cell r="D2467">
            <v>0</v>
          </cell>
        </row>
        <row r="2468">
          <cell r="A2468">
            <v>49999</v>
          </cell>
          <cell r="B2468">
            <v>0</v>
          </cell>
          <cell r="C2468">
            <v>0</v>
          </cell>
          <cell r="D2468">
            <v>0</v>
          </cell>
        </row>
      </sheetData>
      <sheetData sheetId="1" refreshError="1">
        <row r="6">
          <cell r="E6">
            <v>7.2000000000000005E-4</v>
          </cell>
        </row>
        <row r="7">
          <cell r="E7">
            <v>1.0007200000000001</v>
          </cell>
        </row>
      </sheetData>
      <sheetData sheetId="2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5558563985</v>
          </cell>
          <cell r="C3">
            <v>5395588967</v>
          </cell>
        </row>
        <row r="4">
          <cell r="A4">
            <v>102</v>
          </cell>
          <cell r="B4">
            <v>0</v>
          </cell>
          <cell r="C4">
            <v>117212</v>
          </cell>
        </row>
        <row r="5">
          <cell r="A5">
            <v>105</v>
          </cell>
          <cell r="B5">
            <v>37741860</v>
          </cell>
          <cell r="C5">
            <v>37741860</v>
          </cell>
        </row>
        <row r="6">
          <cell r="A6">
            <v>106</v>
          </cell>
          <cell r="B6">
            <v>526690665</v>
          </cell>
          <cell r="C6">
            <v>449906292</v>
          </cell>
        </row>
        <row r="7">
          <cell r="A7">
            <v>107</v>
          </cell>
          <cell r="B7">
            <v>254578109</v>
          </cell>
          <cell r="C7">
            <v>336029662</v>
          </cell>
        </row>
        <row r="8">
          <cell r="A8">
            <v>108</v>
          </cell>
          <cell r="B8">
            <v>-2095908805</v>
          </cell>
          <cell r="C8">
            <v>-2055706252</v>
          </cell>
        </row>
        <row r="9">
          <cell r="A9">
            <v>109</v>
          </cell>
        </row>
        <row r="10">
          <cell r="A10">
            <v>111</v>
          </cell>
          <cell r="B10">
            <v>-7293492</v>
          </cell>
          <cell r="C10">
            <v>-7783908</v>
          </cell>
        </row>
        <row r="11">
          <cell r="A11">
            <v>114</v>
          </cell>
          <cell r="B11">
            <v>4112635</v>
          </cell>
          <cell r="C11">
            <v>4098242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6257256</v>
          </cell>
          <cell r="C13">
            <v>6522574</v>
          </cell>
        </row>
        <row r="14">
          <cell r="A14">
            <v>122</v>
          </cell>
          <cell r="B14">
            <v>-2992761</v>
          </cell>
          <cell r="C14">
            <v>-3235061</v>
          </cell>
        </row>
        <row r="15">
          <cell r="A15">
            <v>123</v>
          </cell>
          <cell r="B15">
            <v>273668</v>
          </cell>
          <cell r="C15">
            <v>273668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6876873</v>
          </cell>
          <cell r="C18">
            <v>5666610</v>
          </cell>
        </row>
        <row r="19">
          <cell r="A19">
            <v>134</v>
          </cell>
          <cell r="B19">
            <v>123563</v>
          </cell>
          <cell r="C19">
            <v>90140</v>
          </cell>
        </row>
        <row r="20">
          <cell r="A20">
            <v>135</v>
          </cell>
          <cell r="B20">
            <v>54315</v>
          </cell>
          <cell r="C20">
            <v>55746</v>
          </cell>
        </row>
        <row r="21">
          <cell r="A21">
            <v>136</v>
          </cell>
          <cell r="B21">
            <v>0</v>
          </cell>
          <cell r="C21">
            <v>0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156415479</v>
          </cell>
          <cell r="C23">
            <v>156955422</v>
          </cell>
        </row>
        <row r="24">
          <cell r="A24">
            <v>143</v>
          </cell>
          <cell r="B24">
            <v>15469133</v>
          </cell>
          <cell r="C24">
            <v>12165791</v>
          </cell>
        </row>
        <row r="25">
          <cell r="A25">
            <v>144</v>
          </cell>
          <cell r="B25">
            <v>-947505</v>
          </cell>
          <cell r="C25">
            <v>-1496123</v>
          </cell>
        </row>
        <row r="26">
          <cell r="A26">
            <v>146</v>
          </cell>
          <cell r="B26">
            <v>8642062</v>
          </cell>
          <cell r="C26">
            <v>8066966</v>
          </cell>
        </row>
        <row r="27">
          <cell r="A27">
            <v>151</v>
          </cell>
          <cell r="B27">
            <v>96004644</v>
          </cell>
          <cell r="C27">
            <v>96834727</v>
          </cell>
        </row>
        <row r="28">
          <cell r="A28">
            <v>152</v>
          </cell>
          <cell r="B28">
            <v>0</v>
          </cell>
          <cell r="C28">
            <v>501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52821695</v>
          </cell>
          <cell r="C30">
            <v>55457762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9285510</v>
          </cell>
          <cell r="C33">
            <v>11842575</v>
          </cell>
        </row>
        <row r="34">
          <cell r="A34">
            <v>171</v>
          </cell>
          <cell r="B34">
            <v>0</v>
          </cell>
          <cell r="C34">
            <v>36</v>
          </cell>
        </row>
        <row r="35">
          <cell r="A35">
            <v>173</v>
          </cell>
          <cell r="B35">
            <v>40577132</v>
          </cell>
          <cell r="C35">
            <v>39832889</v>
          </cell>
        </row>
        <row r="36">
          <cell r="A36">
            <v>176</v>
          </cell>
          <cell r="B36">
            <v>40423270</v>
          </cell>
          <cell r="C36">
            <v>84514481</v>
          </cell>
        </row>
        <row r="37">
          <cell r="A37">
            <v>181</v>
          </cell>
          <cell r="B37">
            <v>18174677</v>
          </cell>
          <cell r="C37">
            <v>19116430</v>
          </cell>
        </row>
        <row r="38">
          <cell r="A38">
            <v>182</v>
          </cell>
          <cell r="B38">
            <v>340965670</v>
          </cell>
          <cell r="C38">
            <v>339705415</v>
          </cell>
        </row>
        <row r="39">
          <cell r="A39">
            <v>183</v>
          </cell>
          <cell r="B39">
            <v>426387</v>
          </cell>
          <cell r="C39">
            <v>6788067</v>
          </cell>
        </row>
        <row r="40">
          <cell r="A40">
            <v>184</v>
          </cell>
          <cell r="B40">
            <v>-172055</v>
          </cell>
          <cell r="C40">
            <v>-351451</v>
          </cell>
        </row>
        <row r="41">
          <cell r="A41">
            <v>186</v>
          </cell>
          <cell r="B41">
            <v>1136453</v>
          </cell>
          <cell r="C41">
            <v>2472947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253166252</v>
          </cell>
          <cell r="C44">
            <v>252754672</v>
          </cell>
        </row>
        <row r="45">
          <cell r="A45">
            <v>201</v>
          </cell>
          <cell r="B45">
            <v>-119696788</v>
          </cell>
          <cell r="C45">
            <v>-119696788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-1527840249</v>
          </cell>
          <cell r="C49">
            <v>-1527840249</v>
          </cell>
        </row>
        <row r="50">
          <cell r="A50">
            <v>214</v>
          </cell>
          <cell r="B50">
            <v>700921</v>
          </cell>
          <cell r="C50">
            <v>700921</v>
          </cell>
        </row>
        <row r="51">
          <cell r="A51">
            <v>216</v>
          </cell>
          <cell r="B51">
            <v>-143039405</v>
          </cell>
          <cell r="C51">
            <v>-102871906</v>
          </cell>
        </row>
        <row r="52">
          <cell r="A52">
            <v>219</v>
          </cell>
          <cell r="B52">
            <v>3974728</v>
          </cell>
          <cell r="C52">
            <v>4216844</v>
          </cell>
        </row>
        <row r="53">
          <cell r="A53">
            <v>221</v>
          </cell>
          <cell r="B53">
            <v>-1768835000</v>
          </cell>
          <cell r="C53">
            <v>-1730373462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-3106696</v>
          </cell>
          <cell r="C55">
            <v>-2149490</v>
          </cell>
        </row>
        <row r="56">
          <cell r="A56">
            <v>226</v>
          </cell>
          <cell r="B56">
            <v>3867632</v>
          </cell>
          <cell r="C56">
            <v>4110064</v>
          </cell>
        </row>
        <row r="57">
          <cell r="A57">
            <v>227</v>
          </cell>
        </row>
        <row r="58">
          <cell r="A58">
            <v>228</v>
          </cell>
          <cell r="B58">
            <v>-334836327</v>
          </cell>
          <cell r="C58">
            <v>-317398917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-31749516</v>
          </cell>
          <cell r="C60">
            <v>-30995998</v>
          </cell>
        </row>
        <row r="61">
          <cell r="A61">
            <v>231</v>
          </cell>
          <cell r="B61">
            <v>-97900000</v>
          </cell>
          <cell r="C61">
            <v>-74290385</v>
          </cell>
        </row>
        <row r="62">
          <cell r="A62">
            <v>232</v>
          </cell>
          <cell r="B62">
            <v>-153506893</v>
          </cell>
          <cell r="C62">
            <v>-164169120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-6033078</v>
          </cell>
          <cell r="C64">
            <v>-11342709</v>
          </cell>
        </row>
        <row r="65">
          <cell r="A65">
            <v>235</v>
          </cell>
          <cell r="B65">
            <v>-115029258</v>
          </cell>
          <cell r="C65">
            <v>-112773516</v>
          </cell>
        </row>
        <row r="66">
          <cell r="A66">
            <v>236</v>
          </cell>
          <cell r="B66">
            <v>-21455983</v>
          </cell>
          <cell r="C66">
            <v>-33427754</v>
          </cell>
        </row>
        <row r="67">
          <cell r="A67">
            <v>237</v>
          </cell>
          <cell r="B67">
            <v>-32283235</v>
          </cell>
          <cell r="C67">
            <v>-31755843</v>
          </cell>
        </row>
        <row r="68">
          <cell r="A68">
            <v>238</v>
          </cell>
          <cell r="B68">
            <v>0</v>
          </cell>
          <cell r="C68">
            <v>-8529680</v>
          </cell>
        </row>
        <row r="69">
          <cell r="A69">
            <v>241</v>
          </cell>
          <cell r="B69">
            <v>-5276105</v>
          </cell>
          <cell r="C69">
            <v>-6088071</v>
          </cell>
        </row>
        <row r="70">
          <cell r="A70">
            <v>242</v>
          </cell>
          <cell r="B70">
            <v>-23931139</v>
          </cell>
          <cell r="C70">
            <v>-24638231</v>
          </cell>
        </row>
        <row r="71">
          <cell r="A71">
            <v>243</v>
          </cell>
        </row>
        <row r="72">
          <cell r="A72">
            <v>245</v>
          </cell>
          <cell r="B72">
            <v>-40421020</v>
          </cell>
          <cell r="C72">
            <v>-84512231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-11215206</v>
          </cell>
          <cell r="C74">
            <v>-9794449</v>
          </cell>
        </row>
        <row r="75">
          <cell r="A75">
            <v>254</v>
          </cell>
          <cell r="B75">
            <v>-59008359</v>
          </cell>
          <cell r="C75">
            <v>-39790683</v>
          </cell>
        </row>
        <row r="76">
          <cell r="A76">
            <v>255</v>
          </cell>
          <cell r="B76">
            <v>-10718146</v>
          </cell>
          <cell r="C76">
            <v>-10902241</v>
          </cell>
        </row>
        <row r="77">
          <cell r="A77">
            <v>256</v>
          </cell>
          <cell r="B77">
            <v>15427</v>
          </cell>
          <cell r="C77">
            <v>-212460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-14149765</v>
          </cell>
          <cell r="C79">
            <v>-11162498</v>
          </cell>
        </row>
        <row r="80">
          <cell r="A80">
            <v>282</v>
          </cell>
          <cell r="B80">
            <v>-686528688</v>
          </cell>
          <cell r="C80">
            <v>-634724668</v>
          </cell>
        </row>
        <row r="81">
          <cell r="A81">
            <v>283</v>
          </cell>
          <cell r="B81">
            <v>-85903427</v>
          </cell>
          <cell r="C81">
            <v>-97119410</v>
          </cell>
        </row>
        <row r="82">
          <cell r="A82">
            <v>299</v>
          </cell>
          <cell r="B82">
            <v>-37561102</v>
          </cell>
          <cell r="C82">
            <v>-76493929</v>
          </cell>
        </row>
        <row r="83">
          <cell r="A83">
            <v>401</v>
          </cell>
          <cell r="B83">
            <v>90022621</v>
          </cell>
          <cell r="C83">
            <v>1293431880</v>
          </cell>
        </row>
        <row r="84">
          <cell r="A84">
            <v>401</v>
          </cell>
          <cell r="B84">
            <v>90022621</v>
          </cell>
          <cell r="C84">
            <v>1293431880</v>
          </cell>
        </row>
        <row r="85">
          <cell r="A85">
            <v>402</v>
          </cell>
          <cell r="B85">
            <v>9770775</v>
          </cell>
          <cell r="C85">
            <v>117234156</v>
          </cell>
        </row>
        <row r="86">
          <cell r="A86">
            <v>403</v>
          </cell>
          <cell r="B86">
            <v>17200928</v>
          </cell>
          <cell r="C86">
            <v>200081441</v>
          </cell>
        </row>
        <row r="87">
          <cell r="A87">
            <v>404</v>
          </cell>
          <cell r="B87">
            <v>505278</v>
          </cell>
          <cell r="C87">
            <v>5454852</v>
          </cell>
        </row>
        <row r="88">
          <cell r="A88">
            <v>406</v>
          </cell>
          <cell r="B88">
            <v>-19805</v>
          </cell>
          <cell r="C88">
            <v>-237659</v>
          </cell>
        </row>
        <row r="89">
          <cell r="A89">
            <v>407</v>
          </cell>
          <cell r="B89">
            <v>7203724</v>
          </cell>
          <cell r="C89">
            <v>77662990</v>
          </cell>
        </row>
        <row r="90">
          <cell r="A90">
            <v>408</v>
          </cell>
          <cell r="B90">
            <v>11664288</v>
          </cell>
          <cell r="C90">
            <v>145515105</v>
          </cell>
        </row>
        <row r="91">
          <cell r="A91">
            <v>409</v>
          </cell>
          <cell r="B91">
            <v>1041783</v>
          </cell>
          <cell r="C91">
            <v>39378131</v>
          </cell>
        </row>
        <row r="92">
          <cell r="A92">
            <v>410</v>
          </cell>
          <cell r="B92">
            <v>7545997</v>
          </cell>
          <cell r="C92">
            <v>144351957</v>
          </cell>
        </row>
        <row r="93">
          <cell r="A93">
            <v>411</v>
          </cell>
          <cell r="B93">
            <v>-2822054</v>
          </cell>
          <cell r="C93">
            <v>-68172627</v>
          </cell>
        </row>
        <row r="94">
          <cell r="A94">
            <v>415</v>
          </cell>
          <cell r="B94">
            <v>-250583</v>
          </cell>
          <cell r="C94">
            <v>-3013122</v>
          </cell>
        </row>
        <row r="95">
          <cell r="A95">
            <v>416</v>
          </cell>
          <cell r="B95">
            <v>71413</v>
          </cell>
          <cell r="C95">
            <v>933739</v>
          </cell>
        </row>
        <row r="96">
          <cell r="A96">
            <v>417</v>
          </cell>
          <cell r="B96">
            <v>0</v>
          </cell>
          <cell r="C96">
            <v>0</v>
          </cell>
        </row>
        <row r="97">
          <cell r="A97">
            <v>418</v>
          </cell>
          <cell r="B97">
            <v>3688</v>
          </cell>
          <cell r="C97">
            <v>38517</v>
          </cell>
        </row>
        <row r="98">
          <cell r="A98">
            <v>419</v>
          </cell>
          <cell r="B98">
            <v>-358362</v>
          </cell>
          <cell r="C98">
            <v>-6993752</v>
          </cell>
        </row>
        <row r="99">
          <cell r="A99">
            <v>421</v>
          </cell>
          <cell r="B99">
            <v>-42459</v>
          </cell>
          <cell r="C99">
            <v>-965270</v>
          </cell>
        </row>
        <row r="100">
          <cell r="A100">
            <v>425</v>
          </cell>
          <cell r="B100">
            <v>4247</v>
          </cell>
          <cell r="C100">
            <v>47185</v>
          </cell>
        </row>
        <row r="101">
          <cell r="A101">
            <v>426</v>
          </cell>
          <cell r="B101">
            <v>47422</v>
          </cell>
          <cell r="C101">
            <v>690792</v>
          </cell>
        </row>
        <row r="102">
          <cell r="A102">
            <v>427</v>
          </cell>
          <cell r="B102">
            <v>9156934</v>
          </cell>
          <cell r="C102">
            <v>108244455</v>
          </cell>
        </row>
        <row r="103">
          <cell r="A103">
            <v>428</v>
          </cell>
          <cell r="B103">
            <v>555532</v>
          </cell>
          <cell r="C103">
            <v>6643631</v>
          </cell>
        </row>
        <row r="104">
          <cell r="A104">
            <v>429</v>
          </cell>
          <cell r="B104">
            <v>-35968</v>
          </cell>
          <cell r="C104">
            <v>-341671</v>
          </cell>
        </row>
        <row r="105">
          <cell r="A105">
            <v>430</v>
          </cell>
          <cell r="B105">
            <v>0</v>
          </cell>
          <cell r="C105">
            <v>0</v>
          </cell>
        </row>
        <row r="106">
          <cell r="A106">
            <v>431</v>
          </cell>
          <cell r="B106">
            <v>681794</v>
          </cell>
          <cell r="C106">
            <v>7608900</v>
          </cell>
        </row>
        <row r="107">
          <cell r="A107">
            <v>432</v>
          </cell>
          <cell r="B107">
            <v>-205883</v>
          </cell>
          <cell r="C107">
            <v>-3816380</v>
          </cell>
        </row>
        <row r="108">
          <cell r="A108">
            <v>439</v>
          </cell>
          <cell r="B108">
            <v>0</v>
          </cell>
          <cell r="C108">
            <v>0</v>
          </cell>
        </row>
        <row r="109">
          <cell r="A109">
            <v>440</v>
          </cell>
          <cell r="B109">
            <v>-81538925</v>
          </cell>
          <cell r="C109">
            <v>-1098591472</v>
          </cell>
        </row>
        <row r="110">
          <cell r="A110">
            <v>442</v>
          </cell>
          <cell r="B110">
            <v>-63250747</v>
          </cell>
          <cell r="C110">
            <v>-857321493</v>
          </cell>
        </row>
        <row r="111">
          <cell r="A111">
            <v>444</v>
          </cell>
          <cell r="B111">
            <v>-1510146</v>
          </cell>
          <cell r="C111">
            <v>-16847580</v>
          </cell>
        </row>
        <row r="112">
          <cell r="A112">
            <v>445</v>
          </cell>
          <cell r="B112">
            <v>-13112400</v>
          </cell>
          <cell r="C112">
            <v>-183707253</v>
          </cell>
        </row>
        <row r="113">
          <cell r="A113">
            <v>447</v>
          </cell>
          <cell r="B113">
            <v>-2208255</v>
          </cell>
          <cell r="C113">
            <v>-40734099</v>
          </cell>
        </row>
        <row r="114">
          <cell r="A114">
            <v>449</v>
          </cell>
          <cell r="B114">
            <v>0</v>
          </cell>
          <cell r="C114">
            <v>0</v>
          </cell>
        </row>
        <row r="115">
          <cell r="A115">
            <v>451</v>
          </cell>
          <cell r="B115">
            <v>-1610857</v>
          </cell>
          <cell r="C115">
            <v>-19861241</v>
          </cell>
        </row>
        <row r="116">
          <cell r="A116">
            <v>454</v>
          </cell>
          <cell r="B116">
            <v>-783920</v>
          </cell>
          <cell r="C116">
            <v>-12242120</v>
          </cell>
        </row>
        <row r="117">
          <cell r="A117">
            <v>455</v>
          </cell>
          <cell r="B117">
            <v>-27178</v>
          </cell>
          <cell r="C117">
            <v>-346773</v>
          </cell>
        </row>
        <row r="118">
          <cell r="A118">
            <v>456</v>
          </cell>
          <cell r="B118">
            <v>1743967</v>
          </cell>
          <cell r="C118">
            <v>-24152763</v>
          </cell>
        </row>
        <row r="119">
          <cell r="A119">
            <v>555</v>
          </cell>
          <cell r="B119">
            <v>12411625</v>
          </cell>
          <cell r="C119">
            <v>192695691</v>
          </cell>
        </row>
        <row r="120">
          <cell r="A120">
            <v>55539</v>
          </cell>
          <cell r="B120">
            <v>0</v>
          </cell>
          <cell r="C120">
            <v>12026</v>
          </cell>
        </row>
        <row r="121">
          <cell r="A121">
            <v>10102</v>
          </cell>
          <cell r="B121">
            <v>7100117</v>
          </cell>
          <cell r="C121">
            <v>7100117</v>
          </cell>
        </row>
        <row r="122">
          <cell r="A122">
            <v>10120</v>
          </cell>
          <cell r="B122">
            <v>0</v>
          </cell>
          <cell r="C122">
            <v>0</v>
          </cell>
        </row>
        <row r="123">
          <cell r="A123">
            <v>10502</v>
          </cell>
          <cell r="B123">
            <v>592868</v>
          </cell>
          <cell r="C123">
            <v>592868</v>
          </cell>
        </row>
        <row r="124">
          <cell r="A124">
            <v>10503</v>
          </cell>
          <cell r="B124">
            <v>23648445</v>
          </cell>
          <cell r="C124">
            <v>23648445</v>
          </cell>
        </row>
        <row r="125">
          <cell r="A125">
            <v>10504</v>
          </cell>
          <cell r="B125">
            <v>968745</v>
          </cell>
          <cell r="C125">
            <v>968745</v>
          </cell>
        </row>
        <row r="126">
          <cell r="A126">
            <v>10505</v>
          </cell>
          <cell r="B126">
            <v>368967</v>
          </cell>
          <cell r="C126">
            <v>368967</v>
          </cell>
        </row>
        <row r="127">
          <cell r="A127">
            <v>10523</v>
          </cell>
          <cell r="B127">
            <v>69144</v>
          </cell>
          <cell r="C127">
            <v>69144</v>
          </cell>
        </row>
        <row r="128">
          <cell r="A128">
            <v>10524</v>
          </cell>
          <cell r="B128">
            <v>52400</v>
          </cell>
          <cell r="C128">
            <v>52400</v>
          </cell>
        </row>
        <row r="129">
          <cell r="A129">
            <v>10525</v>
          </cell>
          <cell r="B129">
            <v>1438076</v>
          </cell>
          <cell r="C129">
            <v>1438076</v>
          </cell>
        </row>
        <row r="130">
          <cell r="A130">
            <v>10530</v>
          </cell>
          <cell r="B130">
            <v>368097</v>
          </cell>
          <cell r="C130">
            <v>368097</v>
          </cell>
        </row>
        <row r="131">
          <cell r="A131">
            <v>10561</v>
          </cell>
          <cell r="B131">
            <v>83185</v>
          </cell>
          <cell r="C131">
            <v>83185</v>
          </cell>
        </row>
        <row r="132">
          <cell r="A132">
            <v>10562</v>
          </cell>
          <cell r="B132">
            <v>0</v>
          </cell>
          <cell r="C132">
            <v>0</v>
          </cell>
        </row>
        <row r="133">
          <cell r="A133">
            <v>10563</v>
          </cell>
          <cell r="B133">
            <v>0</v>
          </cell>
          <cell r="C133">
            <v>0</v>
          </cell>
        </row>
        <row r="134">
          <cell r="A134">
            <v>10805</v>
          </cell>
          <cell r="B134">
            <v>-851814</v>
          </cell>
          <cell r="C134">
            <v>-810134</v>
          </cell>
        </row>
        <row r="135">
          <cell r="A135">
            <v>10820</v>
          </cell>
          <cell r="B135">
            <v>0</v>
          </cell>
          <cell r="C135">
            <v>0</v>
          </cell>
        </row>
        <row r="136">
          <cell r="A136">
            <v>14302</v>
          </cell>
          <cell r="B136">
            <v>0</v>
          </cell>
          <cell r="C136">
            <v>732063</v>
          </cell>
        </row>
        <row r="137">
          <cell r="A137">
            <v>14303</v>
          </cell>
          <cell r="B137">
            <v>0</v>
          </cell>
          <cell r="C137">
            <v>0</v>
          </cell>
        </row>
        <row r="138">
          <cell r="A138">
            <v>14304</v>
          </cell>
          <cell r="B138">
            <v>0</v>
          </cell>
          <cell r="C138">
            <v>14903</v>
          </cell>
        </row>
        <row r="139">
          <cell r="A139">
            <v>14305</v>
          </cell>
          <cell r="B139">
            <v>9621</v>
          </cell>
          <cell r="C139">
            <v>9984</v>
          </cell>
        </row>
        <row r="140">
          <cell r="A140">
            <v>14309</v>
          </cell>
          <cell r="B140">
            <v>0</v>
          </cell>
          <cell r="C140">
            <v>0</v>
          </cell>
        </row>
        <row r="141">
          <cell r="A141">
            <v>14310</v>
          </cell>
          <cell r="B141">
            <v>0</v>
          </cell>
          <cell r="C141">
            <v>0</v>
          </cell>
        </row>
        <row r="142">
          <cell r="A142">
            <v>14340</v>
          </cell>
          <cell r="B142">
            <v>0</v>
          </cell>
          <cell r="C142">
            <v>81</v>
          </cell>
        </row>
        <row r="143">
          <cell r="A143">
            <v>14353</v>
          </cell>
          <cell r="B143">
            <v>0</v>
          </cell>
          <cell r="C143">
            <v>0</v>
          </cell>
        </row>
        <row r="144">
          <cell r="A144">
            <v>14355</v>
          </cell>
          <cell r="B144">
            <v>0</v>
          </cell>
          <cell r="C144">
            <v>0</v>
          </cell>
        </row>
        <row r="145">
          <cell r="A145">
            <v>14375</v>
          </cell>
          <cell r="B145">
            <v>0</v>
          </cell>
          <cell r="C145">
            <v>0</v>
          </cell>
        </row>
        <row r="146">
          <cell r="A146">
            <v>16516</v>
          </cell>
          <cell r="B146">
            <v>0</v>
          </cell>
          <cell r="C146">
            <v>0</v>
          </cell>
        </row>
        <row r="147">
          <cell r="A147">
            <v>16553</v>
          </cell>
          <cell r="B147">
            <v>397005</v>
          </cell>
          <cell r="C147">
            <v>488621</v>
          </cell>
        </row>
        <row r="148">
          <cell r="A148">
            <v>16554</v>
          </cell>
          <cell r="B148">
            <v>0</v>
          </cell>
          <cell r="C148">
            <v>0</v>
          </cell>
        </row>
        <row r="149">
          <cell r="A149">
            <v>16560</v>
          </cell>
          <cell r="B149">
            <v>0</v>
          </cell>
          <cell r="C149">
            <v>0</v>
          </cell>
        </row>
        <row r="150">
          <cell r="A150">
            <v>17601</v>
          </cell>
          <cell r="B150">
            <v>0</v>
          </cell>
          <cell r="C150">
            <v>236339</v>
          </cell>
        </row>
        <row r="151">
          <cell r="A151">
            <v>17602</v>
          </cell>
          <cell r="B151">
            <v>35453520</v>
          </cell>
          <cell r="C151">
            <v>77058728</v>
          </cell>
        </row>
        <row r="152">
          <cell r="A152">
            <v>17603</v>
          </cell>
          <cell r="B152">
            <v>0</v>
          </cell>
          <cell r="C152">
            <v>0</v>
          </cell>
        </row>
        <row r="153">
          <cell r="A153">
            <v>18138</v>
          </cell>
          <cell r="B153">
            <v>0</v>
          </cell>
          <cell r="C153">
            <v>0</v>
          </cell>
        </row>
        <row r="154">
          <cell r="A154">
            <v>18139</v>
          </cell>
          <cell r="B154">
            <v>0</v>
          </cell>
          <cell r="C154">
            <v>0</v>
          </cell>
        </row>
        <row r="155">
          <cell r="A155">
            <v>18140</v>
          </cell>
          <cell r="B155">
            <v>0</v>
          </cell>
          <cell r="C155">
            <v>0</v>
          </cell>
        </row>
        <row r="156">
          <cell r="A156">
            <v>18141</v>
          </cell>
          <cell r="B156">
            <v>0</v>
          </cell>
          <cell r="C156">
            <v>0</v>
          </cell>
        </row>
        <row r="157">
          <cell r="A157">
            <v>18142</v>
          </cell>
          <cell r="B157">
            <v>0</v>
          </cell>
          <cell r="C157">
            <v>0</v>
          </cell>
        </row>
        <row r="158">
          <cell r="A158">
            <v>18143</v>
          </cell>
          <cell r="B158">
            <v>0</v>
          </cell>
          <cell r="C158">
            <v>0</v>
          </cell>
        </row>
        <row r="159">
          <cell r="A159">
            <v>18145</v>
          </cell>
          <cell r="B159">
            <v>2670914</v>
          </cell>
          <cell r="C159">
            <v>2786824</v>
          </cell>
        </row>
        <row r="160">
          <cell r="A160">
            <v>18152</v>
          </cell>
          <cell r="B160">
            <v>0</v>
          </cell>
          <cell r="C160">
            <v>0</v>
          </cell>
        </row>
        <row r="161">
          <cell r="A161">
            <v>18222</v>
          </cell>
          <cell r="B161">
            <v>0</v>
          </cell>
          <cell r="C161">
            <v>0</v>
          </cell>
        </row>
        <row r="162">
          <cell r="A162">
            <v>18230</v>
          </cell>
          <cell r="B162">
            <v>68911974</v>
          </cell>
          <cell r="C162">
            <v>67924685</v>
          </cell>
        </row>
        <row r="163">
          <cell r="A163">
            <v>18236</v>
          </cell>
          <cell r="B163">
            <v>0</v>
          </cell>
          <cell r="C163">
            <v>68679</v>
          </cell>
        </row>
        <row r="164">
          <cell r="A164">
            <v>18238</v>
          </cell>
          <cell r="B164">
            <v>12033782</v>
          </cell>
          <cell r="C164">
            <v>10320027</v>
          </cell>
        </row>
        <row r="165">
          <cell r="A165">
            <v>18280</v>
          </cell>
          <cell r="B165">
            <v>62247</v>
          </cell>
          <cell r="C165">
            <v>84928</v>
          </cell>
        </row>
        <row r="166">
          <cell r="A166">
            <v>18281</v>
          </cell>
          <cell r="B166">
            <v>416105</v>
          </cell>
          <cell r="C166">
            <v>434441</v>
          </cell>
        </row>
        <row r="167">
          <cell r="A167">
            <v>18282</v>
          </cell>
        </row>
        <row r="168">
          <cell r="A168">
            <v>18283</v>
          </cell>
          <cell r="B168">
            <v>2683461</v>
          </cell>
          <cell r="C168">
            <v>2789387</v>
          </cell>
        </row>
        <row r="169">
          <cell r="A169">
            <v>18284</v>
          </cell>
          <cell r="B169">
            <v>2290612</v>
          </cell>
          <cell r="C169">
            <v>2384747</v>
          </cell>
        </row>
        <row r="170">
          <cell r="A170">
            <v>18285</v>
          </cell>
          <cell r="B170">
            <v>574090</v>
          </cell>
          <cell r="C170">
            <v>597683</v>
          </cell>
        </row>
        <row r="171">
          <cell r="A171">
            <v>18286</v>
          </cell>
          <cell r="B171">
            <v>0</v>
          </cell>
          <cell r="C171">
            <v>0</v>
          </cell>
        </row>
        <row r="172">
          <cell r="A172">
            <v>18287</v>
          </cell>
          <cell r="B172">
            <v>64097</v>
          </cell>
          <cell r="C172">
            <v>66904</v>
          </cell>
        </row>
        <row r="173">
          <cell r="A173">
            <v>18288</v>
          </cell>
          <cell r="B173">
            <v>447553</v>
          </cell>
          <cell r="C173">
            <v>467154</v>
          </cell>
        </row>
        <row r="174">
          <cell r="A174">
            <v>18289</v>
          </cell>
          <cell r="B174">
            <v>0</v>
          </cell>
          <cell r="C174">
            <v>0</v>
          </cell>
        </row>
        <row r="175">
          <cell r="A175">
            <v>18290</v>
          </cell>
          <cell r="B175">
            <v>22906</v>
          </cell>
          <cell r="C175">
            <v>36052</v>
          </cell>
        </row>
        <row r="176">
          <cell r="A176">
            <v>18291</v>
          </cell>
          <cell r="B176">
            <v>123114</v>
          </cell>
          <cell r="C176">
            <v>153394</v>
          </cell>
        </row>
        <row r="177">
          <cell r="A177">
            <v>18292</v>
          </cell>
          <cell r="B177">
            <v>0</v>
          </cell>
          <cell r="C177">
            <v>0</v>
          </cell>
        </row>
        <row r="178">
          <cell r="A178">
            <v>18293</v>
          </cell>
          <cell r="B178">
            <v>1773008</v>
          </cell>
          <cell r="C178">
            <v>1815710</v>
          </cell>
        </row>
        <row r="179">
          <cell r="A179">
            <v>18294</v>
          </cell>
          <cell r="B179">
            <v>33538</v>
          </cell>
          <cell r="C179">
            <v>46366</v>
          </cell>
        </row>
        <row r="180">
          <cell r="A180">
            <v>18295</v>
          </cell>
          <cell r="B180">
            <v>176592</v>
          </cell>
          <cell r="C180">
            <v>220021</v>
          </cell>
        </row>
        <row r="181">
          <cell r="A181">
            <v>18296</v>
          </cell>
          <cell r="B181">
            <v>1402154</v>
          </cell>
          <cell r="C181">
            <v>1430480</v>
          </cell>
        </row>
        <row r="182">
          <cell r="A182">
            <v>18297</v>
          </cell>
          <cell r="B182">
            <v>3893235</v>
          </cell>
          <cell r="C182">
            <v>4685979</v>
          </cell>
        </row>
        <row r="183">
          <cell r="A183">
            <v>18298</v>
          </cell>
          <cell r="B183">
            <v>0</v>
          </cell>
          <cell r="C183">
            <v>0</v>
          </cell>
        </row>
        <row r="184">
          <cell r="A184">
            <v>18299</v>
          </cell>
          <cell r="B184">
            <v>845199</v>
          </cell>
          <cell r="C184">
            <v>954706</v>
          </cell>
        </row>
        <row r="185">
          <cell r="A185">
            <v>18822</v>
          </cell>
          <cell r="B185">
            <v>0</v>
          </cell>
          <cell r="C185">
            <v>0</v>
          </cell>
        </row>
        <row r="186">
          <cell r="A186">
            <v>18910</v>
          </cell>
          <cell r="B186">
            <v>0</v>
          </cell>
          <cell r="C186">
            <v>0</v>
          </cell>
        </row>
        <row r="187">
          <cell r="A187">
            <v>18915</v>
          </cell>
          <cell r="B187">
            <v>0</v>
          </cell>
          <cell r="C187">
            <v>0</v>
          </cell>
        </row>
        <row r="188">
          <cell r="A188">
            <v>18916</v>
          </cell>
          <cell r="B188">
            <v>0</v>
          </cell>
          <cell r="C188">
            <v>0</v>
          </cell>
        </row>
        <row r="189">
          <cell r="A189">
            <v>18921</v>
          </cell>
          <cell r="B189">
            <v>0</v>
          </cell>
          <cell r="C189">
            <v>0</v>
          </cell>
        </row>
        <row r="190">
          <cell r="A190">
            <v>18923</v>
          </cell>
          <cell r="B190">
            <v>0</v>
          </cell>
          <cell r="C190">
            <v>0</v>
          </cell>
        </row>
        <row r="191">
          <cell r="A191">
            <v>18924</v>
          </cell>
          <cell r="B191">
            <v>0</v>
          </cell>
          <cell r="C191">
            <v>0</v>
          </cell>
        </row>
        <row r="192">
          <cell r="A192">
            <v>18925</v>
          </cell>
          <cell r="B192">
            <v>0</v>
          </cell>
          <cell r="C192">
            <v>0</v>
          </cell>
        </row>
        <row r="193">
          <cell r="A193">
            <v>18926</v>
          </cell>
          <cell r="B193">
            <v>0</v>
          </cell>
          <cell r="C193">
            <v>0</v>
          </cell>
        </row>
        <row r="194">
          <cell r="A194">
            <v>18942</v>
          </cell>
          <cell r="B194">
            <v>0</v>
          </cell>
          <cell r="C194">
            <v>0</v>
          </cell>
        </row>
        <row r="195">
          <cell r="A195">
            <v>18943</v>
          </cell>
          <cell r="B195">
            <v>0</v>
          </cell>
          <cell r="C195">
            <v>0</v>
          </cell>
        </row>
        <row r="196">
          <cell r="A196">
            <v>19021</v>
          </cell>
          <cell r="B196">
            <v>8723</v>
          </cell>
          <cell r="C196">
            <v>7625</v>
          </cell>
        </row>
        <row r="197">
          <cell r="A197">
            <v>19022</v>
          </cell>
          <cell r="B197">
            <v>445713</v>
          </cell>
          <cell r="C197">
            <v>442921</v>
          </cell>
        </row>
        <row r="198">
          <cell r="A198">
            <v>19023</v>
          </cell>
          <cell r="B198">
            <v>41899</v>
          </cell>
          <cell r="C198">
            <v>70260</v>
          </cell>
        </row>
        <row r="199">
          <cell r="A199">
            <v>19024</v>
          </cell>
          <cell r="B199">
            <v>178604</v>
          </cell>
          <cell r="C199">
            <v>300167</v>
          </cell>
        </row>
        <row r="200">
          <cell r="A200">
            <v>19025</v>
          </cell>
          <cell r="B200">
            <v>6107205</v>
          </cell>
          <cell r="C200">
            <v>6617291</v>
          </cell>
        </row>
        <row r="201">
          <cell r="A201">
            <v>20401</v>
          </cell>
          <cell r="B201">
            <v>0</v>
          </cell>
          <cell r="C201">
            <v>0</v>
          </cell>
        </row>
        <row r="202">
          <cell r="A202">
            <v>20402</v>
          </cell>
          <cell r="B202">
            <v>0</v>
          </cell>
          <cell r="C202">
            <v>0</v>
          </cell>
        </row>
        <row r="203">
          <cell r="A203">
            <v>20403</v>
          </cell>
          <cell r="B203">
            <v>0</v>
          </cell>
          <cell r="C203">
            <v>0</v>
          </cell>
        </row>
        <row r="204">
          <cell r="A204">
            <v>20404</v>
          </cell>
          <cell r="B204">
            <v>0</v>
          </cell>
          <cell r="C204">
            <v>0</v>
          </cell>
        </row>
        <row r="205">
          <cell r="A205">
            <v>20405</v>
          </cell>
          <cell r="B205">
            <v>0</v>
          </cell>
          <cell r="C205">
            <v>0</v>
          </cell>
        </row>
        <row r="206">
          <cell r="A206">
            <v>20406</v>
          </cell>
          <cell r="B206">
            <v>0</v>
          </cell>
          <cell r="C206">
            <v>0</v>
          </cell>
        </row>
        <row r="207">
          <cell r="A207">
            <v>21901</v>
          </cell>
          <cell r="B207">
            <v>24572776</v>
          </cell>
          <cell r="C207">
            <v>51308618</v>
          </cell>
        </row>
        <row r="208">
          <cell r="A208">
            <v>21902</v>
          </cell>
          <cell r="B208">
            <v>-24572776</v>
          </cell>
          <cell r="C208">
            <v>-51308618</v>
          </cell>
        </row>
        <row r="209">
          <cell r="A209">
            <v>22107</v>
          </cell>
          <cell r="B209">
            <v>0</v>
          </cell>
          <cell r="C209">
            <v>0</v>
          </cell>
        </row>
        <row r="210">
          <cell r="A210">
            <v>22108</v>
          </cell>
          <cell r="B210">
            <v>0</v>
          </cell>
          <cell r="C210">
            <v>0</v>
          </cell>
        </row>
        <row r="211">
          <cell r="A211">
            <v>22109</v>
          </cell>
          <cell r="B211">
            <v>0</v>
          </cell>
          <cell r="C211">
            <v>0</v>
          </cell>
        </row>
        <row r="212">
          <cell r="A212">
            <v>22110</v>
          </cell>
          <cell r="B212">
            <v>0</v>
          </cell>
          <cell r="C212">
            <v>0</v>
          </cell>
        </row>
        <row r="213">
          <cell r="A213">
            <v>22111</v>
          </cell>
          <cell r="B213">
            <v>0</v>
          </cell>
          <cell r="C213">
            <v>0</v>
          </cell>
        </row>
        <row r="214">
          <cell r="A214">
            <v>22112</v>
          </cell>
          <cell r="B214">
            <v>0</v>
          </cell>
          <cell r="C214">
            <v>0</v>
          </cell>
        </row>
        <row r="215">
          <cell r="A215">
            <v>22113</v>
          </cell>
          <cell r="B215">
            <v>0</v>
          </cell>
          <cell r="C215">
            <v>0</v>
          </cell>
        </row>
        <row r="216">
          <cell r="A216">
            <v>22117</v>
          </cell>
          <cell r="B216">
            <v>0</v>
          </cell>
          <cell r="C216">
            <v>0</v>
          </cell>
        </row>
        <row r="217">
          <cell r="A217">
            <v>22121</v>
          </cell>
          <cell r="B217">
            <v>0</v>
          </cell>
          <cell r="C217">
            <v>0</v>
          </cell>
        </row>
        <row r="218">
          <cell r="A218">
            <v>22124</v>
          </cell>
          <cell r="B218">
            <v>0</v>
          </cell>
          <cell r="C218">
            <v>0</v>
          </cell>
        </row>
        <row r="219">
          <cell r="A219">
            <v>22125</v>
          </cell>
          <cell r="B219">
            <v>0</v>
          </cell>
          <cell r="C219">
            <v>0</v>
          </cell>
        </row>
        <row r="220">
          <cell r="A220">
            <v>22126</v>
          </cell>
          <cell r="B220">
            <v>0</v>
          </cell>
          <cell r="C220">
            <v>0</v>
          </cell>
        </row>
        <row r="221">
          <cell r="A221">
            <v>22128</v>
          </cell>
          <cell r="B221">
            <v>-250000000</v>
          </cell>
          <cell r="C221">
            <v>-250000000</v>
          </cell>
        </row>
        <row r="222">
          <cell r="A222">
            <v>22129</v>
          </cell>
          <cell r="B222">
            <v>0</v>
          </cell>
          <cell r="C222">
            <v>0</v>
          </cell>
        </row>
        <row r="223">
          <cell r="A223">
            <v>22130</v>
          </cell>
          <cell r="B223">
            <v>0</v>
          </cell>
          <cell r="C223">
            <v>0</v>
          </cell>
        </row>
        <row r="224">
          <cell r="A224">
            <v>22131</v>
          </cell>
          <cell r="B224">
            <v>0</v>
          </cell>
          <cell r="C224">
            <v>0</v>
          </cell>
        </row>
        <row r="225">
          <cell r="A225">
            <v>22132</v>
          </cell>
          <cell r="B225">
            <v>0</v>
          </cell>
          <cell r="C225">
            <v>0</v>
          </cell>
        </row>
        <row r="226">
          <cell r="A226">
            <v>22133</v>
          </cell>
          <cell r="B226">
            <v>0</v>
          </cell>
          <cell r="C226">
            <v>0</v>
          </cell>
        </row>
        <row r="227">
          <cell r="A227">
            <v>22134</v>
          </cell>
          <cell r="B227">
            <v>0</v>
          </cell>
          <cell r="C227">
            <v>0</v>
          </cell>
        </row>
        <row r="228">
          <cell r="A228">
            <v>22137</v>
          </cell>
          <cell r="B228">
            <v>0</v>
          </cell>
          <cell r="C228">
            <v>0</v>
          </cell>
        </row>
        <row r="229">
          <cell r="A229">
            <v>22144</v>
          </cell>
          <cell r="B229">
            <v>-190000000</v>
          </cell>
          <cell r="C229">
            <v>-190000000</v>
          </cell>
        </row>
        <row r="230">
          <cell r="A230">
            <v>22145</v>
          </cell>
          <cell r="B230">
            <v>-85950000</v>
          </cell>
          <cell r="C230">
            <v>-85950000</v>
          </cell>
        </row>
        <row r="231">
          <cell r="A231">
            <v>22146</v>
          </cell>
          <cell r="B231">
            <v>-210000000</v>
          </cell>
          <cell r="C231">
            <v>-210000000</v>
          </cell>
        </row>
        <row r="232">
          <cell r="A232">
            <v>22147</v>
          </cell>
          <cell r="B232">
            <v>-60685000</v>
          </cell>
          <cell r="C232">
            <v>-60685000</v>
          </cell>
        </row>
        <row r="233">
          <cell r="A233">
            <v>22148</v>
          </cell>
          <cell r="B233">
            <v>-86400000</v>
          </cell>
          <cell r="C233">
            <v>-86400000</v>
          </cell>
        </row>
        <row r="234">
          <cell r="A234">
            <v>22149</v>
          </cell>
          <cell r="B234">
            <v>-330000000</v>
          </cell>
          <cell r="C234">
            <v>-330000000</v>
          </cell>
        </row>
        <row r="235">
          <cell r="A235">
            <v>22150</v>
          </cell>
          <cell r="B235">
            <v>0</v>
          </cell>
          <cell r="C235">
            <v>0</v>
          </cell>
        </row>
        <row r="236">
          <cell r="A236">
            <v>22151</v>
          </cell>
          <cell r="B236">
            <v>-250000000</v>
          </cell>
          <cell r="C236">
            <v>-250000000</v>
          </cell>
        </row>
        <row r="237">
          <cell r="A237">
            <v>22154</v>
          </cell>
          <cell r="B237">
            <v>-54200000</v>
          </cell>
          <cell r="C237">
            <v>-54200000</v>
          </cell>
        </row>
        <row r="238">
          <cell r="A238">
            <v>22155</v>
          </cell>
          <cell r="B238">
            <v>-51600000</v>
          </cell>
          <cell r="C238">
            <v>-51600000</v>
          </cell>
        </row>
        <row r="239">
          <cell r="A239">
            <v>22156</v>
          </cell>
          <cell r="B239">
            <v>0</v>
          </cell>
          <cell r="C239">
            <v>0</v>
          </cell>
        </row>
        <row r="240">
          <cell r="A240">
            <v>22157</v>
          </cell>
          <cell r="B240">
            <v>-200000000</v>
          </cell>
          <cell r="C240">
            <v>-161538462</v>
          </cell>
        </row>
        <row r="241">
          <cell r="A241">
            <v>22158</v>
          </cell>
          <cell r="B241">
            <v>0</v>
          </cell>
          <cell r="C241">
            <v>0</v>
          </cell>
        </row>
        <row r="242">
          <cell r="A242">
            <v>22159</v>
          </cell>
          <cell r="B242">
            <v>0</v>
          </cell>
          <cell r="C242">
            <v>0</v>
          </cell>
        </row>
        <row r="243">
          <cell r="A243">
            <v>22160</v>
          </cell>
          <cell r="B243">
            <v>0</v>
          </cell>
          <cell r="C243">
            <v>0</v>
          </cell>
        </row>
        <row r="244">
          <cell r="A244">
            <v>22161</v>
          </cell>
          <cell r="B244">
            <v>0</v>
          </cell>
          <cell r="C244">
            <v>0</v>
          </cell>
        </row>
        <row r="245">
          <cell r="A245">
            <v>22162</v>
          </cell>
          <cell r="B245">
            <v>0</v>
          </cell>
          <cell r="C245">
            <v>0</v>
          </cell>
        </row>
        <row r="246">
          <cell r="A246">
            <v>22163</v>
          </cell>
          <cell r="B246">
            <v>0</v>
          </cell>
          <cell r="C246">
            <v>0</v>
          </cell>
        </row>
        <row r="247">
          <cell r="A247">
            <v>22164</v>
          </cell>
          <cell r="B247">
            <v>0</v>
          </cell>
          <cell r="C247">
            <v>0</v>
          </cell>
        </row>
        <row r="248">
          <cell r="A248">
            <v>22168</v>
          </cell>
          <cell r="B248">
            <v>0</v>
          </cell>
          <cell r="C248">
            <v>0</v>
          </cell>
        </row>
        <row r="249">
          <cell r="A249">
            <v>22601</v>
          </cell>
          <cell r="B249">
            <v>0</v>
          </cell>
          <cell r="C249">
            <v>0</v>
          </cell>
        </row>
        <row r="250">
          <cell r="A250">
            <v>22602</v>
          </cell>
          <cell r="B250">
            <v>0</v>
          </cell>
          <cell r="C250">
            <v>0</v>
          </cell>
        </row>
        <row r="251">
          <cell r="A251">
            <v>22603</v>
          </cell>
          <cell r="B251">
            <v>0</v>
          </cell>
          <cell r="C251">
            <v>0</v>
          </cell>
        </row>
        <row r="252">
          <cell r="A252">
            <v>23004</v>
          </cell>
          <cell r="B252">
            <v>0</v>
          </cell>
          <cell r="C252">
            <v>0</v>
          </cell>
        </row>
        <row r="253">
          <cell r="A253">
            <v>23005</v>
          </cell>
          <cell r="B253">
            <v>0</v>
          </cell>
          <cell r="C253">
            <v>0</v>
          </cell>
        </row>
        <row r="254">
          <cell r="A254">
            <v>23190</v>
          </cell>
          <cell r="B254">
            <v>0</v>
          </cell>
          <cell r="C254">
            <v>0</v>
          </cell>
        </row>
        <row r="255">
          <cell r="A255">
            <v>23176</v>
          </cell>
          <cell r="B255">
            <v>0</v>
          </cell>
          <cell r="C255">
            <v>0</v>
          </cell>
        </row>
        <row r="256">
          <cell r="A256">
            <v>23177</v>
          </cell>
          <cell r="B256">
            <v>-23995100</v>
          </cell>
          <cell r="C256">
            <v>-14217969</v>
          </cell>
        </row>
        <row r="257">
          <cell r="A257">
            <v>23178</v>
          </cell>
          <cell r="B257">
            <v>-57588200</v>
          </cell>
          <cell r="C257">
            <v>-48957759</v>
          </cell>
        </row>
        <row r="258">
          <cell r="A258">
            <v>23179</v>
          </cell>
          <cell r="B258">
            <v>-16316700</v>
          </cell>
          <cell r="C258">
            <v>-11114656</v>
          </cell>
        </row>
        <row r="259">
          <cell r="A259">
            <v>23266</v>
          </cell>
          <cell r="B259">
            <v>-4099437</v>
          </cell>
          <cell r="C259">
            <v>-3988733</v>
          </cell>
        </row>
        <row r="260">
          <cell r="A260">
            <v>23500</v>
          </cell>
          <cell r="B260">
            <v>-115029258</v>
          </cell>
          <cell r="C260">
            <v>-112773516</v>
          </cell>
        </row>
        <row r="261">
          <cell r="A261">
            <v>23501</v>
          </cell>
          <cell r="B261">
            <v>0</v>
          </cell>
          <cell r="C261">
            <v>0</v>
          </cell>
        </row>
        <row r="262">
          <cell r="A262">
            <v>23601</v>
          </cell>
          <cell r="B262">
            <v>9516824</v>
          </cell>
          <cell r="C262">
            <v>173463</v>
          </cell>
        </row>
        <row r="263">
          <cell r="A263">
            <v>23607</v>
          </cell>
          <cell r="B263">
            <v>-87936</v>
          </cell>
          <cell r="C263">
            <v>-87936</v>
          </cell>
        </row>
        <row r="264">
          <cell r="A264">
            <v>23744</v>
          </cell>
          <cell r="B264">
            <v>-3408125</v>
          </cell>
          <cell r="C264">
            <v>-2958702</v>
          </cell>
        </row>
        <row r="265">
          <cell r="A265">
            <v>23751</v>
          </cell>
          <cell r="B265">
            <v>-5859375</v>
          </cell>
          <cell r="C265">
            <v>-4056490</v>
          </cell>
        </row>
        <row r="266">
          <cell r="A266">
            <v>23788</v>
          </cell>
          <cell r="B266">
            <v>0</v>
          </cell>
          <cell r="C266">
            <v>0</v>
          </cell>
        </row>
        <row r="267">
          <cell r="A267">
            <v>23795</v>
          </cell>
          <cell r="B267">
            <v>-907</v>
          </cell>
          <cell r="C267">
            <v>-559</v>
          </cell>
        </row>
        <row r="268">
          <cell r="A268">
            <v>23796</v>
          </cell>
          <cell r="B268">
            <v>0</v>
          </cell>
          <cell r="C268">
            <v>0</v>
          </cell>
        </row>
        <row r="269">
          <cell r="A269">
            <v>23797</v>
          </cell>
          <cell r="B269">
            <v>0</v>
          </cell>
          <cell r="C269">
            <v>0</v>
          </cell>
        </row>
        <row r="270">
          <cell r="A270">
            <v>23798</v>
          </cell>
          <cell r="B270">
            <v>0</v>
          </cell>
          <cell r="C270">
            <v>0</v>
          </cell>
        </row>
        <row r="271">
          <cell r="A271">
            <v>23799</v>
          </cell>
          <cell r="B271">
            <v>0</v>
          </cell>
          <cell r="C271">
            <v>0</v>
          </cell>
        </row>
        <row r="272">
          <cell r="A272">
            <v>23801</v>
          </cell>
          <cell r="B272">
            <v>0</v>
          </cell>
          <cell r="C272">
            <v>-8529680</v>
          </cell>
        </row>
        <row r="273">
          <cell r="A273">
            <v>24296</v>
          </cell>
          <cell r="B273">
            <v>0</v>
          </cell>
          <cell r="C273">
            <v>0</v>
          </cell>
        </row>
        <row r="274">
          <cell r="A274">
            <v>24299</v>
          </cell>
          <cell r="B274">
            <v>0</v>
          </cell>
          <cell r="C274">
            <v>0</v>
          </cell>
        </row>
        <row r="275">
          <cell r="A275">
            <v>24501</v>
          </cell>
          <cell r="B275">
            <v>-35453520</v>
          </cell>
          <cell r="C275">
            <v>-77058728</v>
          </cell>
        </row>
        <row r="276">
          <cell r="A276">
            <v>24502</v>
          </cell>
          <cell r="B276">
            <v>0</v>
          </cell>
          <cell r="C276">
            <v>-236339</v>
          </cell>
        </row>
        <row r="277">
          <cell r="A277">
            <v>24503</v>
          </cell>
          <cell r="B277">
            <v>0</v>
          </cell>
          <cell r="C277">
            <v>0</v>
          </cell>
        </row>
        <row r="278">
          <cell r="A278">
            <v>25325</v>
          </cell>
          <cell r="B278">
            <v>0</v>
          </cell>
          <cell r="C278">
            <v>0</v>
          </cell>
        </row>
        <row r="279">
          <cell r="A279">
            <v>25395</v>
          </cell>
          <cell r="B279">
            <v>0</v>
          </cell>
          <cell r="C279">
            <v>0</v>
          </cell>
        </row>
        <row r="280">
          <cell r="A280">
            <v>25396</v>
          </cell>
          <cell r="B280">
            <v>0</v>
          </cell>
          <cell r="C280">
            <v>0</v>
          </cell>
        </row>
        <row r="281">
          <cell r="A281">
            <v>25400</v>
          </cell>
          <cell r="B281">
            <v>-18910608</v>
          </cell>
          <cell r="C281">
            <v>-17307719</v>
          </cell>
        </row>
        <row r="282">
          <cell r="A282">
            <v>25401</v>
          </cell>
          <cell r="B282">
            <v>-41542</v>
          </cell>
          <cell r="C282">
            <v>-43004</v>
          </cell>
        </row>
        <row r="283">
          <cell r="A283">
            <v>25461</v>
          </cell>
          <cell r="B283">
            <v>-20275</v>
          </cell>
          <cell r="C283">
            <v>-23853</v>
          </cell>
        </row>
        <row r="284">
          <cell r="A284">
            <v>25495</v>
          </cell>
          <cell r="B284">
            <v>0</v>
          </cell>
          <cell r="C284">
            <v>0</v>
          </cell>
        </row>
        <row r="285">
          <cell r="A285">
            <v>25496</v>
          </cell>
          <cell r="B285">
            <v>0</v>
          </cell>
          <cell r="C285">
            <v>0</v>
          </cell>
        </row>
        <row r="286">
          <cell r="A286">
            <v>25497</v>
          </cell>
          <cell r="B286">
            <v>0</v>
          </cell>
          <cell r="C286">
            <v>0</v>
          </cell>
        </row>
        <row r="287">
          <cell r="A287">
            <v>25498</v>
          </cell>
          <cell r="B287">
            <v>0</v>
          </cell>
          <cell r="C287">
            <v>0</v>
          </cell>
        </row>
        <row r="288">
          <cell r="A288">
            <v>25499</v>
          </cell>
          <cell r="B288">
            <v>-340</v>
          </cell>
          <cell r="C288">
            <v>-2380</v>
          </cell>
        </row>
        <row r="289">
          <cell r="A289">
            <v>25512</v>
          </cell>
          <cell r="B289">
            <v>0</v>
          </cell>
          <cell r="C289">
            <v>0</v>
          </cell>
        </row>
        <row r="290">
          <cell r="A290">
            <v>25513</v>
          </cell>
          <cell r="B290">
            <v>0</v>
          </cell>
          <cell r="C290">
            <v>0</v>
          </cell>
        </row>
        <row r="291">
          <cell r="A291">
            <v>25514</v>
          </cell>
          <cell r="B291">
            <v>0</v>
          </cell>
          <cell r="C291">
            <v>0</v>
          </cell>
        </row>
        <row r="292">
          <cell r="A292">
            <v>25515</v>
          </cell>
          <cell r="B292">
            <v>0</v>
          </cell>
          <cell r="C292">
            <v>0</v>
          </cell>
        </row>
        <row r="293">
          <cell r="A293">
            <v>25516</v>
          </cell>
          <cell r="B293">
            <v>0</v>
          </cell>
          <cell r="C293">
            <v>0</v>
          </cell>
        </row>
        <row r="294">
          <cell r="A294">
            <v>25517</v>
          </cell>
          <cell r="B294">
            <v>0</v>
          </cell>
          <cell r="C294">
            <v>0</v>
          </cell>
        </row>
        <row r="295">
          <cell r="A295">
            <v>25518</v>
          </cell>
          <cell r="B295">
            <v>0</v>
          </cell>
          <cell r="C295">
            <v>0</v>
          </cell>
        </row>
        <row r="296">
          <cell r="A296">
            <v>25519</v>
          </cell>
          <cell r="B296">
            <v>0</v>
          </cell>
          <cell r="C296">
            <v>0</v>
          </cell>
        </row>
        <row r="297">
          <cell r="A297">
            <v>25520</v>
          </cell>
          <cell r="B297">
            <v>0</v>
          </cell>
          <cell r="C297">
            <v>0</v>
          </cell>
        </row>
        <row r="298">
          <cell r="A298">
            <v>25521</v>
          </cell>
          <cell r="B298">
            <v>0</v>
          </cell>
          <cell r="C298">
            <v>0</v>
          </cell>
        </row>
        <row r="299">
          <cell r="A299">
            <v>25570</v>
          </cell>
          <cell r="B299">
            <v>-498</v>
          </cell>
          <cell r="C299">
            <v>-509</v>
          </cell>
        </row>
        <row r="300">
          <cell r="A300">
            <v>25571</v>
          </cell>
          <cell r="B300">
            <v>-1015</v>
          </cell>
          <cell r="C300">
            <v>-1034</v>
          </cell>
        </row>
        <row r="301">
          <cell r="A301">
            <v>25630</v>
          </cell>
          <cell r="B301">
            <v>0</v>
          </cell>
          <cell r="C301">
            <v>0</v>
          </cell>
        </row>
        <row r="302">
          <cell r="A302">
            <v>25701</v>
          </cell>
          <cell r="B302">
            <v>0</v>
          </cell>
          <cell r="C302">
            <v>0</v>
          </cell>
        </row>
        <row r="303">
          <cell r="A303">
            <v>28212</v>
          </cell>
          <cell r="B303">
            <v>0</v>
          </cell>
          <cell r="C303">
            <v>0</v>
          </cell>
        </row>
        <row r="304">
          <cell r="A304">
            <v>28215</v>
          </cell>
          <cell r="B304">
            <v>0</v>
          </cell>
          <cell r="C304">
            <v>0</v>
          </cell>
        </row>
        <row r="305">
          <cell r="A305">
            <v>28216</v>
          </cell>
          <cell r="B305">
            <v>0</v>
          </cell>
          <cell r="C305">
            <v>0</v>
          </cell>
        </row>
        <row r="306">
          <cell r="A306">
            <v>28217</v>
          </cell>
          <cell r="B306">
            <v>0</v>
          </cell>
          <cell r="C306">
            <v>0</v>
          </cell>
        </row>
        <row r="307">
          <cell r="A307">
            <v>28218</v>
          </cell>
          <cell r="B307">
            <v>0</v>
          </cell>
          <cell r="C307">
            <v>0</v>
          </cell>
        </row>
        <row r="308">
          <cell r="A308">
            <v>28225</v>
          </cell>
          <cell r="B308">
            <v>-34464689</v>
          </cell>
          <cell r="C308">
            <v>-38399145</v>
          </cell>
        </row>
        <row r="309">
          <cell r="A309">
            <v>28340</v>
          </cell>
          <cell r="B309">
            <v>-21643881</v>
          </cell>
          <cell r="C309">
            <v>-18835112</v>
          </cell>
        </row>
        <row r="310">
          <cell r="A310">
            <v>40100</v>
          </cell>
        </row>
        <row r="311">
          <cell r="A311">
            <v>40101</v>
          </cell>
          <cell r="B311">
            <v>53624107</v>
          </cell>
          <cell r="C311">
            <v>822869425</v>
          </cell>
        </row>
        <row r="312">
          <cell r="A312">
            <v>40102</v>
          </cell>
          <cell r="B312">
            <v>36398514</v>
          </cell>
          <cell r="C312">
            <v>470562455</v>
          </cell>
        </row>
        <row r="313">
          <cell r="A313">
            <v>40201</v>
          </cell>
        </row>
        <row r="314">
          <cell r="A314">
            <v>40202</v>
          </cell>
        </row>
        <row r="315">
          <cell r="A315">
            <v>40203</v>
          </cell>
        </row>
        <row r="316">
          <cell r="A316">
            <v>40204</v>
          </cell>
        </row>
        <row r="317">
          <cell r="A317">
            <v>40330</v>
          </cell>
          <cell r="B317">
            <v>878644</v>
          </cell>
          <cell r="C317">
            <v>9144079</v>
          </cell>
        </row>
        <row r="318">
          <cell r="A318">
            <v>40701</v>
          </cell>
          <cell r="B318">
            <v>0</v>
          </cell>
          <cell r="C318">
            <v>0</v>
          </cell>
        </row>
        <row r="319">
          <cell r="A319">
            <v>40702</v>
          </cell>
          <cell r="B319">
            <v>0</v>
          </cell>
          <cell r="C319">
            <v>0</v>
          </cell>
        </row>
        <row r="320">
          <cell r="A320">
            <v>40730</v>
          </cell>
          <cell r="B320">
            <v>0</v>
          </cell>
          <cell r="C320">
            <v>64259677</v>
          </cell>
        </row>
        <row r="321">
          <cell r="A321">
            <v>40731</v>
          </cell>
          <cell r="B321">
            <v>8229752</v>
          </cell>
          <cell r="C321">
            <v>52303456</v>
          </cell>
        </row>
        <row r="322">
          <cell r="A322">
            <v>40732</v>
          </cell>
          <cell r="B322">
            <v>2384842</v>
          </cell>
          <cell r="C322">
            <v>21855610</v>
          </cell>
        </row>
        <row r="323">
          <cell r="A323">
            <v>40733</v>
          </cell>
          <cell r="B323">
            <v>0</v>
          </cell>
          <cell r="C323">
            <v>555268</v>
          </cell>
        </row>
        <row r="324">
          <cell r="A324">
            <v>40734</v>
          </cell>
          <cell r="B324">
            <v>0</v>
          </cell>
          <cell r="C324">
            <v>2334070</v>
          </cell>
        </row>
        <row r="325">
          <cell r="A325">
            <v>40735</v>
          </cell>
          <cell r="B325">
            <v>100004</v>
          </cell>
          <cell r="C325">
            <v>781918</v>
          </cell>
        </row>
        <row r="326">
          <cell r="A326">
            <v>40736</v>
          </cell>
          <cell r="B326">
            <v>1449344</v>
          </cell>
          <cell r="C326">
            <v>4348032</v>
          </cell>
        </row>
        <row r="327">
          <cell r="A327">
            <v>40737</v>
          </cell>
          <cell r="B327">
            <v>-22614</v>
          </cell>
          <cell r="C327">
            <v>2025798</v>
          </cell>
        </row>
        <row r="328">
          <cell r="A328">
            <v>40738</v>
          </cell>
          <cell r="B328">
            <v>119502</v>
          </cell>
          <cell r="C328">
            <v>358506</v>
          </cell>
        </row>
        <row r="329">
          <cell r="A329">
            <v>40739</v>
          </cell>
          <cell r="B329">
            <v>0</v>
          </cell>
          <cell r="C329">
            <v>1343271</v>
          </cell>
        </row>
        <row r="330">
          <cell r="A330">
            <v>40740</v>
          </cell>
          <cell r="B330">
            <v>0</v>
          </cell>
          <cell r="C330">
            <v>-32867039</v>
          </cell>
        </row>
        <row r="331">
          <cell r="A331">
            <v>40741</v>
          </cell>
          <cell r="B331">
            <v>-3751391</v>
          </cell>
          <cell r="C331">
            <v>-11254173</v>
          </cell>
        </row>
        <row r="332">
          <cell r="A332">
            <v>40742</v>
          </cell>
          <cell r="B332">
            <v>-522612</v>
          </cell>
          <cell r="C332">
            <v>-14414434</v>
          </cell>
        </row>
        <row r="333">
          <cell r="A333">
            <v>40743</v>
          </cell>
          <cell r="B333">
            <v>0</v>
          </cell>
          <cell r="C333">
            <v>170622</v>
          </cell>
        </row>
        <row r="334">
          <cell r="A334">
            <v>40744</v>
          </cell>
          <cell r="B334">
            <v>0</v>
          </cell>
          <cell r="C334">
            <v>-358105</v>
          </cell>
        </row>
        <row r="335">
          <cell r="A335">
            <v>40745</v>
          </cell>
          <cell r="B335">
            <v>-85170</v>
          </cell>
          <cell r="C335">
            <v>-255510</v>
          </cell>
        </row>
        <row r="336">
          <cell r="A336">
            <v>40746</v>
          </cell>
          <cell r="B336">
            <v>-99256</v>
          </cell>
          <cell r="C336">
            <v>-7027361</v>
          </cell>
        </row>
        <row r="337">
          <cell r="A337">
            <v>40747</v>
          </cell>
          <cell r="B337">
            <v>0</v>
          </cell>
          <cell r="C337">
            <v>-3533377</v>
          </cell>
        </row>
        <row r="338">
          <cell r="A338">
            <v>40748</v>
          </cell>
          <cell r="B338">
            <v>-598677</v>
          </cell>
          <cell r="C338">
            <v>-2671019</v>
          </cell>
        </row>
        <row r="339">
          <cell r="A339">
            <v>40749</v>
          </cell>
          <cell r="B339">
            <v>0</v>
          </cell>
          <cell r="C339">
            <v>-292220</v>
          </cell>
        </row>
        <row r="340">
          <cell r="A340">
            <v>40800</v>
          </cell>
          <cell r="B340">
            <v>-284026</v>
          </cell>
          <cell r="C340">
            <v>-3960788</v>
          </cell>
        </row>
        <row r="341">
          <cell r="A341">
            <v>40810</v>
          </cell>
          <cell r="B341">
            <v>130680</v>
          </cell>
          <cell r="C341">
            <v>1802738</v>
          </cell>
        </row>
        <row r="342">
          <cell r="A342">
            <v>40811</v>
          </cell>
          <cell r="B342">
            <v>0</v>
          </cell>
          <cell r="C342">
            <v>0</v>
          </cell>
        </row>
        <row r="343">
          <cell r="A343">
            <v>40812</v>
          </cell>
          <cell r="B343">
            <v>1280624</v>
          </cell>
          <cell r="C343">
            <v>14863375</v>
          </cell>
        </row>
        <row r="344">
          <cell r="A344">
            <v>40813</v>
          </cell>
          <cell r="B344">
            <v>3825334</v>
          </cell>
          <cell r="C344">
            <v>41337875</v>
          </cell>
        </row>
        <row r="345">
          <cell r="A345">
            <v>40814</v>
          </cell>
          <cell r="B345">
            <v>2873399</v>
          </cell>
          <cell r="C345">
            <v>39171064</v>
          </cell>
        </row>
        <row r="346">
          <cell r="A346">
            <v>40815</v>
          </cell>
          <cell r="B346">
            <v>3830278</v>
          </cell>
          <cell r="C346">
            <v>52204840</v>
          </cell>
        </row>
        <row r="347">
          <cell r="A347">
            <v>40910</v>
          </cell>
          <cell r="B347">
            <v>986368</v>
          </cell>
          <cell r="C347">
            <v>38828323</v>
          </cell>
        </row>
        <row r="348">
          <cell r="A348">
            <v>40911</v>
          </cell>
        </row>
        <row r="349">
          <cell r="A349">
            <v>40920</v>
          </cell>
          <cell r="B349">
            <v>55415</v>
          </cell>
          <cell r="C349">
            <v>549808</v>
          </cell>
        </row>
        <row r="350">
          <cell r="A350">
            <v>40921</v>
          </cell>
        </row>
        <row r="351">
          <cell r="A351">
            <v>41048</v>
          </cell>
          <cell r="B351">
            <v>0</v>
          </cell>
          <cell r="C351">
            <v>0</v>
          </cell>
        </row>
        <row r="352">
          <cell r="A352">
            <v>41059</v>
          </cell>
          <cell r="B352">
            <v>0</v>
          </cell>
          <cell r="C352">
            <v>106</v>
          </cell>
        </row>
        <row r="353">
          <cell r="A353">
            <v>41069</v>
          </cell>
          <cell r="B353">
            <v>73</v>
          </cell>
          <cell r="C353">
            <v>6526</v>
          </cell>
        </row>
        <row r="354">
          <cell r="A354">
            <v>41080</v>
          </cell>
          <cell r="B354">
            <v>0</v>
          </cell>
          <cell r="C354">
            <v>159367</v>
          </cell>
        </row>
        <row r="355">
          <cell r="A355">
            <v>41081</v>
          </cell>
          <cell r="B355">
            <v>6388</v>
          </cell>
          <cell r="C355">
            <v>1145313</v>
          </cell>
        </row>
        <row r="356">
          <cell r="A356">
            <v>41082</v>
          </cell>
          <cell r="B356">
            <v>0</v>
          </cell>
          <cell r="C356">
            <v>0</v>
          </cell>
        </row>
        <row r="357">
          <cell r="A357">
            <v>41083</v>
          </cell>
          <cell r="B357">
            <v>0</v>
          </cell>
          <cell r="C357">
            <v>0</v>
          </cell>
        </row>
        <row r="358">
          <cell r="A358">
            <v>41084</v>
          </cell>
          <cell r="B358">
            <v>0</v>
          </cell>
          <cell r="C358">
            <v>0</v>
          </cell>
        </row>
        <row r="359">
          <cell r="A359">
            <v>41085</v>
          </cell>
          <cell r="B359">
            <v>0</v>
          </cell>
          <cell r="C359">
            <v>0</v>
          </cell>
        </row>
        <row r="360">
          <cell r="A360">
            <v>41086</v>
          </cell>
          <cell r="B360">
            <v>0</v>
          </cell>
          <cell r="C360">
            <v>0</v>
          </cell>
        </row>
        <row r="361">
          <cell r="A361">
            <v>41101</v>
          </cell>
          <cell r="B361">
            <v>-409</v>
          </cell>
          <cell r="C361">
            <v>-4952</v>
          </cell>
        </row>
        <row r="362">
          <cell r="A362">
            <v>41102</v>
          </cell>
          <cell r="B362">
            <v>-2603</v>
          </cell>
          <cell r="C362">
            <v>-31515</v>
          </cell>
        </row>
        <row r="363">
          <cell r="A363">
            <v>41103</v>
          </cell>
          <cell r="B363">
            <v>0</v>
          </cell>
          <cell r="C363">
            <v>-436387</v>
          </cell>
        </row>
        <row r="364">
          <cell r="A364">
            <v>41104</v>
          </cell>
          <cell r="B364">
            <v>-7692</v>
          </cell>
          <cell r="C364">
            <v>-2839606</v>
          </cell>
        </row>
        <row r="365">
          <cell r="A365">
            <v>41105</v>
          </cell>
          <cell r="B365">
            <v>0</v>
          </cell>
          <cell r="C365">
            <v>0</v>
          </cell>
        </row>
        <row r="366">
          <cell r="A366">
            <v>41106</v>
          </cell>
          <cell r="B366">
            <v>0</v>
          </cell>
          <cell r="C366">
            <v>0</v>
          </cell>
        </row>
        <row r="367">
          <cell r="A367">
            <v>41107</v>
          </cell>
          <cell r="B367">
            <v>0</v>
          </cell>
          <cell r="C367">
            <v>0</v>
          </cell>
        </row>
        <row r="368">
          <cell r="A368">
            <v>41108</v>
          </cell>
          <cell r="B368">
            <v>0</v>
          </cell>
          <cell r="C368">
            <v>0</v>
          </cell>
        </row>
        <row r="369">
          <cell r="A369">
            <v>41109</v>
          </cell>
          <cell r="B369">
            <v>0</v>
          </cell>
          <cell r="C369">
            <v>0</v>
          </cell>
        </row>
        <row r="370">
          <cell r="A370">
            <v>41110</v>
          </cell>
          <cell r="B370">
            <v>0</v>
          </cell>
          <cell r="C370">
            <v>0</v>
          </cell>
        </row>
        <row r="371">
          <cell r="A371">
            <v>41111</v>
          </cell>
          <cell r="B371">
            <v>-85678</v>
          </cell>
          <cell r="C371">
            <v>-2501272</v>
          </cell>
        </row>
        <row r="372">
          <cell r="A372">
            <v>41112</v>
          </cell>
          <cell r="B372">
            <v>-545224</v>
          </cell>
          <cell r="C372">
            <v>-16010644</v>
          </cell>
        </row>
        <row r="373">
          <cell r="A373">
            <v>41113</v>
          </cell>
          <cell r="B373">
            <v>-14395</v>
          </cell>
          <cell r="C373">
            <v>-935690</v>
          </cell>
        </row>
        <row r="374">
          <cell r="A374">
            <v>41114</v>
          </cell>
          <cell r="B374">
            <v>-91606</v>
          </cell>
          <cell r="C374">
            <v>-5958536</v>
          </cell>
        </row>
        <row r="375">
          <cell r="A375">
            <v>41115</v>
          </cell>
          <cell r="B375">
            <v>0</v>
          </cell>
          <cell r="C375">
            <v>0</v>
          </cell>
        </row>
        <row r="376">
          <cell r="A376">
            <v>41116</v>
          </cell>
          <cell r="B376">
            <v>0</v>
          </cell>
          <cell r="C376">
            <v>0</v>
          </cell>
        </row>
        <row r="377">
          <cell r="A377">
            <v>41117</v>
          </cell>
          <cell r="B377">
            <v>0</v>
          </cell>
          <cell r="C377">
            <v>0</v>
          </cell>
        </row>
        <row r="378">
          <cell r="A378">
            <v>41118</v>
          </cell>
          <cell r="B378">
            <v>0</v>
          </cell>
          <cell r="C378">
            <v>-259543</v>
          </cell>
        </row>
        <row r="379">
          <cell r="A379">
            <v>41119</v>
          </cell>
          <cell r="B379">
            <v>0</v>
          </cell>
          <cell r="C379">
            <v>0</v>
          </cell>
        </row>
        <row r="380">
          <cell r="A380">
            <v>41120</v>
          </cell>
          <cell r="B380">
            <v>0</v>
          </cell>
          <cell r="C380">
            <v>0</v>
          </cell>
        </row>
        <row r="381">
          <cell r="A381">
            <v>41121</v>
          </cell>
          <cell r="B381">
            <v>0</v>
          </cell>
          <cell r="C381">
            <v>0</v>
          </cell>
        </row>
        <row r="382">
          <cell r="A382">
            <v>41122</v>
          </cell>
          <cell r="B382">
            <v>0</v>
          </cell>
          <cell r="C382">
            <v>0</v>
          </cell>
        </row>
        <row r="383">
          <cell r="A383">
            <v>41123</v>
          </cell>
          <cell r="B383">
            <v>0</v>
          </cell>
          <cell r="C383">
            <v>0</v>
          </cell>
        </row>
        <row r="384">
          <cell r="A384">
            <v>41124</v>
          </cell>
          <cell r="B384">
            <v>0</v>
          </cell>
          <cell r="C384">
            <v>0</v>
          </cell>
        </row>
        <row r="385">
          <cell r="A385">
            <v>41125</v>
          </cell>
          <cell r="B385">
            <v>0</v>
          </cell>
          <cell r="C385">
            <v>0</v>
          </cell>
        </row>
        <row r="386">
          <cell r="A386">
            <v>41126</v>
          </cell>
          <cell r="B386">
            <v>0</v>
          </cell>
          <cell r="C386">
            <v>0</v>
          </cell>
        </row>
        <row r="387">
          <cell r="A387">
            <v>41127</v>
          </cell>
          <cell r="B387">
            <v>0</v>
          </cell>
          <cell r="C387">
            <v>0</v>
          </cell>
        </row>
        <row r="388">
          <cell r="A388">
            <v>41128</v>
          </cell>
          <cell r="B388">
            <v>0</v>
          </cell>
          <cell r="C388">
            <v>0</v>
          </cell>
        </row>
        <row r="389">
          <cell r="A389">
            <v>41129</v>
          </cell>
          <cell r="B389">
            <v>0</v>
          </cell>
          <cell r="C389">
            <v>0</v>
          </cell>
        </row>
        <row r="390">
          <cell r="A390">
            <v>41130</v>
          </cell>
          <cell r="B390">
            <v>0</v>
          </cell>
          <cell r="C390">
            <v>0</v>
          </cell>
        </row>
        <row r="391">
          <cell r="A391">
            <v>41131</v>
          </cell>
          <cell r="B391">
            <v>-30677</v>
          </cell>
          <cell r="C391">
            <v>-368133</v>
          </cell>
        </row>
        <row r="392">
          <cell r="A392">
            <v>41132</v>
          </cell>
          <cell r="B392">
            <v>-21916</v>
          </cell>
          <cell r="C392">
            <v>-757126</v>
          </cell>
        </row>
        <row r="393">
          <cell r="A393">
            <v>41133</v>
          </cell>
          <cell r="B393">
            <v>-164301</v>
          </cell>
          <cell r="C393">
            <v>-5446212</v>
          </cell>
        </row>
        <row r="394">
          <cell r="A394">
            <v>41134</v>
          </cell>
          <cell r="B394">
            <v>0</v>
          </cell>
          <cell r="C394">
            <v>-59581</v>
          </cell>
        </row>
        <row r="395">
          <cell r="A395">
            <v>41135</v>
          </cell>
          <cell r="B395">
            <v>-1231</v>
          </cell>
          <cell r="C395">
            <v>-412730</v>
          </cell>
        </row>
        <row r="396">
          <cell r="A396">
            <v>41136</v>
          </cell>
          <cell r="B396">
            <v>-146874</v>
          </cell>
          <cell r="C396">
            <v>-2105881</v>
          </cell>
        </row>
        <row r="397">
          <cell r="A397">
            <v>41137</v>
          </cell>
          <cell r="B397">
            <v>-974846</v>
          </cell>
          <cell r="C397">
            <v>-14061348</v>
          </cell>
        </row>
        <row r="398">
          <cell r="A398">
            <v>41138</v>
          </cell>
          <cell r="B398">
            <v>0</v>
          </cell>
          <cell r="C398">
            <v>-874197</v>
          </cell>
        </row>
        <row r="399">
          <cell r="A399">
            <v>41139</v>
          </cell>
          <cell r="B399">
            <v>-2684</v>
          </cell>
          <cell r="C399">
            <v>-5720141</v>
          </cell>
        </row>
        <row r="400">
          <cell r="A400">
            <v>41140</v>
          </cell>
          <cell r="B400">
            <v>0</v>
          </cell>
          <cell r="C400">
            <v>0</v>
          </cell>
        </row>
        <row r="401">
          <cell r="A401">
            <v>41141</v>
          </cell>
          <cell r="B401">
            <v>-5</v>
          </cell>
          <cell r="C401">
            <v>-58</v>
          </cell>
        </row>
        <row r="402">
          <cell r="A402">
            <v>41142</v>
          </cell>
          <cell r="B402">
            <v>0</v>
          </cell>
          <cell r="C402">
            <v>0</v>
          </cell>
        </row>
        <row r="403">
          <cell r="A403">
            <v>41143</v>
          </cell>
          <cell r="B403">
            <v>0</v>
          </cell>
          <cell r="C403">
            <v>0</v>
          </cell>
        </row>
        <row r="404">
          <cell r="A404">
            <v>41144</v>
          </cell>
          <cell r="B404">
            <v>-32950</v>
          </cell>
          <cell r="C404">
            <v>-217835</v>
          </cell>
        </row>
        <row r="405">
          <cell r="A405">
            <v>41145</v>
          </cell>
          <cell r="B405">
            <v>-443574</v>
          </cell>
          <cell r="C405">
            <v>-4612784</v>
          </cell>
        </row>
        <row r="406">
          <cell r="A406">
            <v>41146</v>
          </cell>
          <cell r="B406">
            <v>0</v>
          </cell>
          <cell r="C406">
            <v>0</v>
          </cell>
        </row>
        <row r="407">
          <cell r="A407">
            <v>41147</v>
          </cell>
          <cell r="B407">
            <v>0</v>
          </cell>
          <cell r="C407">
            <v>0</v>
          </cell>
        </row>
        <row r="408">
          <cell r="A408">
            <v>41148</v>
          </cell>
          <cell r="B408">
            <v>0</v>
          </cell>
          <cell r="C408">
            <v>0</v>
          </cell>
        </row>
        <row r="409">
          <cell r="A409">
            <v>41149</v>
          </cell>
          <cell r="B409">
            <v>0</v>
          </cell>
          <cell r="C409">
            <v>0</v>
          </cell>
        </row>
        <row r="410">
          <cell r="A410">
            <v>41150</v>
          </cell>
          <cell r="B410">
            <v>-6128</v>
          </cell>
          <cell r="C410">
            <v>-73534</v>
          </cell>
        </row>
        <row r="411">
          <cell r="A411">
            <v>41151</v>
          </cell>
          <cell r="B411">
            <v>-38995</v>
          </cell>
          <cell r="C411">
            <v>-467945</v>
          </cell>
        </row>
        <row r="412">
          <cell r="A412">
            <v>41152</v>
          </cell>
          <cell r="B412">
            <v>0</v>
          </cell>
          <cell r="C412">
            <v>0</v>
          </cell>
        </row>
        <row r="413">
          <cell r="A413">
            <v>41153</v>
          </cell>
          <cell r="B413">
            <v>-1463</v>
          </cell>
          <cell r="C413">
            <v>-19967</v>
          </cell>
        </row>
        <row r="414">
          <cell r="A414">
            <v>41159</v>
          </cell>
          <cell r="B414">
            <v>-207</v>
          </cell>
          <cell r="C414">
            <v>-2487</v>
          </cell>
        </row>
        <row r="415">
          <cell r="A415">
            <v>41160</v>
          </cell>
          <cell r="B415">
            <v>-74858</v>
          </cell>
          <cell r="C415">
            <v>-898668</v>
          </cell>
        </row>
        <row r="416">
          <cell r="A416">
            <v>41169</v>
          </cell>
          <cell r="B416">
            <v>-1319</v>
          </cell>
          <cell r="C416">
            <v>-15889</v>
          </cell>
        </row>
        <row r="417">
          <cell r="A417">
            <v>41170</v>
          </cell>
          <cell r="B417">
            <v>0</v>
          </cell>
          <cell r="C417">
            <v>0</v>
          </cell>
        </row>
        <row r="418">
          <cell r="A418">
            <v>41171</v>
          </cell>
          <cell r="B418">
            <v>0</v>
          </cell>
          <cell r="C418">
            <v>0</v>
          </cell>
        </row>
        <row r="419">
          <cell r="A419">
            <v>41172</v>
          </cell>
          <cell r="B419">
            <v>0</v>
          </cell>
          <cell r="C419">
            <v>0</v>
          </cell>
        </row>
        <row r="420">
          <cell r="A420">
            <v>41180</v>
          </cell>
          <cell r="B420">
            <v>-18251</v>
          </cell>
          <cell r="C420">
            <v>-374739</v>
          </cell>
        </row>
        <row r="421">
          <cell r="A421">
            <v>41181</v>
          </cell>
          <cell r="B421">
            <v>-114169</v>
          </cell>
          <cell r="C421">
            <v>-2406334</v>
          </cell>
        </row>
        <row r="422">
          <cell r="A422">
            <v>41182</v>
          </cell>
          <cell r="B422">
            <v>0</v>
          </cell>
          <cell r="C422">
            <v>0</v>
          </cell>
        </row>
        <row r="423">
          <cell r="A423">
            <v>41183</v>
          </cell>
          <cell r="B423">
            <v>0</v>
          </cell>
          <cell r="C423">
            <v>0</v>
          </cell>
        </row>
        <row r="424">
          <cell r="A424">
            <v>41184</v>
          </cell>
          <cell r="B424">
            <v>0</v>
          </cell>
          <cell r="C424">
            <v>0</v>
          </cell>
        </row>
        <row r="425">
          <cell r="A425">
            <v>41185</v>
          </cell>
          <cell r="B425">
            <v>0</v>
          </cell>
          <cell r="C425">
            <v>0</v>
          </cell>
        </row>
        <row r="426">
          <cell r="A426">
            <v>41186</v>
          </cell>
          <cell r="B426">
            <v>0</v>
          </cell>
          <cell r="C426">
            <v>-203552</v>
          </cell>
        </row>
        <row r="427">
          <cell r="A427">
            <v>41187</v>
          </cell>
          <cell r="B427">
            <v>0</v>
          </cell>
          <cell r="C427">
            <v>-2648</v>
          </cell>
        </row>
        <row r="428">
          <cell r="A428">
            <v>41188</v>
          </cell>
          <cell r="B428">
            <v>0</v>
          </cell>
          <cell r="C428">
            <v>-91404</v>
          </cell>
        </row>
        <row r="429">
          <cell r="A429">
            <v>41189</v>
          </cell>
          <cell r="B429">
            <v>0</v>
          </cell>
          <cell r="C429">
            <v>-1287</v>
          </cell>
        </row>
        <row r="430">
          <cell r="A430">
            <v>41819</v>
          </cell>
          <cell r="B430">
            <v>0</v>
          </cell>
          <cell r="C430">
            <v>0</v>
          </cell>
        </row>
        <row r="431">
          <cell r="A431">
            <v>41910</v>
          </cell>
          <cell r="B431">
            <v>-354667</v>
          </cell>
          <cell r="C431">
            <v>-6976193</v>
          </cell>
        </row>
        <row r="432">
          <cell r="A432">
            <v>41913</v>
          </cell>
          <cell r="B432">
            <v>0</v>
          </cell>
          <cell r="C432">
            <v>-20</v>
          </cell>
        </row>
        <row r="433">
          <cell r="A433">
            <v>42110</v>
          </cell>
          <cell r="B433">
            <v>-35624</v>
          </cell>
          <cell r="C433">
            <v>-853333</v>
          </cell>
        </row>
        <row r="434">
          <cell r="A434">
            <v>42111</v>
          </cell>
          <cell r="B434">
            <v>0</v>
          </cell>
          <cell r="C434">
            <v>0</v>
          </cell>
        </row>
        <row r="435">
          <cell r="A435">
            <v>42120</v>
          </cell>
          <cell r="B435">
            <v>0</v>
          </cell>
          <cell r="C435">
            <v>18164</v>
          </cell>
        </row>
        <row r="436">
          <cell r="A436">
            <v>42121</v>
          </cell>
          <cell r="B436">
            <v>0</v>
          </cell>
          <cell r="C436">
            <v>0</v>
          </cell>
        </row>
        <row r="437">
          <cell r="A437">
            <v>42140</v>
          </cell>
          <cell r="B437">
            <v>0</v>
          </cell>
          <cell r="C437">
            <v>-14623</v>
          </cell>
        </row>
        <row r="438">
          <cell r="A438">
            <v>42142</v>
          </cell>
          <cell r="B438">
            <v>-4464</v>
          </cell>
          <cell r="C438">
            <v>-85250</v>
          </cell>
        </row>
        <row r="439">
          <cell r="A439">
            <v>42144</v>
          </cell>
          <cell r="B439">
            <v>-44</v>
          </cell>
          <cell r="C439">
            <v>-128</v>
          </cell>
        </row>
        <row r="440">
          <cell r="A440">
            <v>42146</v>
          </cell>
          <cell r="B440">
            <v>-2057</v>
          </cell>
          <cell r="C440">
            <v>-27898</v>
          </cell>
        </row>
        <row r="441">
          <cell r="A441">
            <v>42148</v>
          </cell>
          <cell r="B441">
            <v>-270</v>
          </cell>
          <cell r="C441">
            <v>-2201</v>
          </cell>
        </row>
        <row r="442">
          <cell r="A442">
            <v>42660</v>
          </cell>
          <cell r="B442">
            <v>0</v>
          </cell>
          <cell r="C442">
            <v>0</v>
          </cell>
        </row>
        <row r="443">
          <cell r="A443">
            <v>42661</v>
          </cell>
          <cell r="B443">
            <v>0</v>
          </cell>
          <cell r="C443">
            <v>0</v>
          </cell>
        </row>
        <row r="444">
          <cell r="A444">
            <v>42724</v>
          </cell>
          <cell r="B444">
            <v>5153</v>
          </cell>
          <cell r="C444">
            <v>65374</v>
          </cell>
        </row>
        <row r="445">
          <cell r="A445">
            <v>42725</v>
          </cell>
          <cell r="B445">
            <v>30340</v>
          </cell>
          <cell r="C445">
            <v>365397</v>
          </cell>
        </row>
        <row r="446">
          <cell r="A446">
            <v>42731</v>
          </cell>
          <cell r="B446">
            <v>0</v>
          </cell>
          <cell r="C446">
            <v>0</v>
          </cell>
        </row>
        <row r="447">
          <cell r="A447">
            <v>42733</v>
          </cell>
          <cell r="B447">
            <v>0</v>
          </cell>
          <cell r="C447">
            <v>0</v>
          </cell>
        </row>
        <row r="448">
          <cell r="A448">
            <v>42734</v>
          </cell>
          <cell r="B448">
            <v>0</v>
          </cell>
          <cell r="C448">
            <v>0</v>
          </cell>
        </row>
        <row r="449">
          <cell r="A449">
            <v>42735</v>
          </cell>
          <cell r="B449">
            <v>0</v>
          </cell>
          <cell r="C449">
            <v>0</v>
          </cell>
        </row>
        <row r="450">
          <cell r="A450">
            <v>42736</v>
          </cell>
          <cell r="B450">
            <v>0</v>
          </cell>
          <cell r="C450">
            <v>0</v>
          </cell>
        </row>
        <row r="451">
          <cell r="A451">
            <v>42737</v>
          </cell>
          <cell r="B451">
            <v>19430</v>
          </cell>
          <cell r="C451">
            <v>233160</v>
          </cell>
        </row>
        <row r="452">
          <cell r="A452">
            <v>42738</v>
          </cell>
          <cell r="B452">
            <v>0</v>
          </cell>
          <cell r="C452">
            <v>0</v>
          </cell>
        </row>
        <row r="453">
          <cell r="A453">
            <v>42744</v>
          </cell>
          <cell r="B453">
            <v>973750</v>
          </cell>
          <cell r="C453">
            <v>11685000</v>
          </cell>
        </row>
        <row r="454">
          <cell r="A454">
            <v>42751</v>
          </cell>
          <cell r="B454">
            <v>1302083</v>
          </cell>
          <cell r="C454">
            <v>15625000</v>
          </cell>
        </row>
        <row r="455">
          <cell r="A455">
            <v>42833</v>
          </cell>
          <cell r="B455">
            <v>7577</v>
          </cell>
          <cell r="C455">
            <v>90927</v>
          </cell>
        </row>
        <row r="456">
          <cell r="A456">
            <v>42836</v>
          </cell>
          <cell r="B456">
            <v>858</v>
          </cell>
          <cell r="C456">
            <v>10291</v>
          </cell>
        </row>
        <row r="457">
          <cell r="A457">
            <v>42838</v>
          </cell>
          <cell r="B457">
            <v>10077</v>
          </cell>
          <cell r="C457">
            <v>120925</v>
          </cell>
        </row>
        <row r="458">
          <cell r="A458">
            <v>42839</v>
          </cell>
          <cell r="B458">
            <v>1179</v>
          </cell>
          <cell r="C458">
            <v>14151</v>
          </cell>
        </row>
        <row r="459">
          <cell r="A459">
            <v>42841</v>
          </cell>
          <cell r="B459">
            <v>11160</v>
          </cell>
          <cell r="C459">
            <v>133922</v>
          </cell>
        </row>
        <row r="460">
          <cell r="A460">
            <v>42842</v>
          </cell>
          <cell r="B460">
            <v>0</v>
          </cell>
          <cell r="C460">
            <v>0</v>
          </cell>
        </row>
        <row r="461">
          <cell r="A461">
            <v>42843</v>
          </cell>
          <cell r="B461">
            <v>0</v>
          </cell>
          <cell r="C461">
            <v>0</v>
          </cell>
        </row>
        <row r="462">
          <cell r="A462">
            <v>42844</v>
          </cell>
          <cell r="B462">
            <v>9835</v>
          </cell>
          <cell r="C462">
            <v>118021</v>
          </cell>
        </row>
        <row r="463">
          <cell r="A463">
            <v>42846</v>
          </cell>
          <cell r="B463">
            <v>18119</v>
          </cell>
          <cell r="C463">
            <v>217430</v>
          </cell>
        </row>
        <row r="464">
          <cell r="A464">
            <v>42848</v>
          </cell>
          <cell r="B464">
            <v>7548</v>
          </cell>
          <cell r="C464">
            <v>90578</v>
          </cell>
        </row>
        <row r="465">
          <cell r="A465">
            <v>42849</v>
          </cell>
          <cell r="B465">
            <v>267086</v>
          </cell>
          <cell r="C465">
            <v>3205037</v>
          </cell>
        </row>
        <row r="466">
          <cell r="A466">
            <v>42850</v>
          </cell>
          <cell r="B466">
            <v>0</v>
          </cell>
          <cell r="C466">
            <v>0</v>
          </cell>
        </row>
        <row r="467">
          <cell r="A467">
            <v>42851</v>
          </cell>
          <cell r="B467">
            <v>12468</v>
          </cell>
          <cell r="C467">
            <v>149615</v>
          </cell>
        </row>
        <row r="468">
          <cell r="A468">
            <v>42911</v>
          </cell>
          <cell r="B468">
            <v>0</v>
          </cell>
          <cell r="C468">
            <v>0</v>
          </cell>
        </row>
        <row r="469">
          <cell r="A469">
            <v>42944</v>
          </cell>
          <cell r="B469">
            <v>0</v>
          </cell>
          <cell r="C469">
            <v>0</v>
          </cell>
        </row>
        <row r="470">
          <cell r="A470">
            <v>42946</v>
          </cell>
          <cell r="B470">
            <v>-7859</v>
          </cell>
          <cell r="C470">
            <v>-94311</v>
          </cell>
        </row>
        <row r="471">
          <cell r="A471">
            <v>43101</v>
          </cell>
          <cell r="B471">
            <v>638467</v>
          </cell>
          <cell r="C471">
            <v>6936170</v>
          </cell>
        </row>
        <row r="472">
          <cell r="A472">
            <v>43102</v>
          </cell>
          <cell r="B472">
            <v>0</v>
          </cell>
          <cell r="C472">
            <v>0</v>
          </cell>
        </row>
        <row r="473">
          <cell r="A473">
            <v>43103</v>
          </cell>
          <cell r="B473">
            <v>0</v>
          </cell>
          <cell r="C473">
            <v>0</v>
          </cell>
        </row>
        <row r="474">
          <cell r="A474">
            <v>43104</v>
          </cell>
          <cell r="B474">
            <v>0</v>
          </cell>
          <cell r="C474">
            <v>0</v>
          </cell>
        </row>
        <row r="475">
          <cell r="A475">
            <v>43105</v>
          </cell>
          <cell r="B475">
            <v>0</v>
          </cell>
          <cell r="C475">
            <v>0</v>
          </cell>
        </row>
        <row r="476">
          <cell r="A476">
            <v>43107</v>
          </cell>
          <cell r="B476">
            <v>0</v>
          </cell>
          <cell r="C476">
            <v>0</v>
          </cell>
        </row>
        <row r="477">
          <cell r="A477">
            <v>43110</v>
          </cell>
          <cell r="B477">
            <v>0</v>
          </cell>
          <cell r="C477">
            <v>0</v>
          </cell>
        </row>
        <row r="478">
          <cell r="A478">
            <v>43130</v>
          </cell>
        </row>
        <row r="479">
          <cell r="A479">
            <v>43131</v>
          </cell>
          <cell r="B479">
            <v>7224</v>
          </cell>
          <cell r="C479">
            <v>49047</v>
          </cell>
        </row>
        <row r="480">
          <cell r="A480">
            <v>43133</v>
          </cell>
          <cell r="B480">
            <v>0</v>
          </cell>
          <cell r="C480">
            <v>1</v>
          </cell>
        </row>
        <row r="481">
          <cell r="A481">
            <v>43135</v>
          </cell>
          <cell r="B481">
            <v>0</v>
          </cell>
          <cell r="C481">
            <v>1353</v>
          </cell>
        </row>
        <row r="482">
          <cell r="A482">
            <v>43137</v>
          </cell>
          <cell r="B482">
            <v>0</v>
          </cell>
          <cell r="C482">
            <v>0</v>
          </cell>
        </row>
        <row r="483">
          <cell r="A483">
            <v>43139</v>
          </cell>
          <cell r="B483">
            <v>0</v>
          </cell>
          <cell r="C483">
            <v>0</v>
          </cell>
        </row>
        <row r="484">
          <cell r="A484">
            <v>43186</v>
          </cell>
          <cell r="B484">
            <v>0</v>
          </cell>
          <cell r="C484">
            <v>0</v>
          </cell>
        </row>
        <row r="485">
          <cell r="A485">
            <v>43189</v>
          </cell>
          <cell r="B485">
            <v>0</v>
          </cell>
          <cell r="C485">
            <v>0</v>
          </cell>
        </row>
        <row r="486">
          <cell r="A486">
            <v>43190</v>
          </cell>
          <cell r="B486">
            <v>0</v>
          </cell>
          <cell r="C486">
            <v>1515</v>
          </cell>
        </row>
        <row r="487">
          <cell r="A487">
            <v>43191</v>
          </cell>
          <cell r="B487">
            <v>9979</v>
          </cell>
          <cell r="C487">
            <v>102587</v>
          </cell>
        </row>
        <row r="488">
          <cell r="A488">
            <v>43192</v>
          </cell>
          <cell r="B488">
            <v>0</v>
          </cell>
          <cell r="C488">
            <v>0</v>
          </cell>
        </row>
        <row r="489">
          <cell r="A489">
            <v>43193</v>
          </cell>
          <cell r="B489">
            <v>17933</v>
          </cell>
          <cell r="C489">
            <v>412393</v>
          </cell>
        </row>
        <row r="490">
          <cell r="A490">
            <v>43194</v>
          </cell>
          <cell r="B490">
            <v>0</v>
          </cell>
          <cell r="C490">
            <v>0</v>
          </cell>
        </row>
        <row r="491">
          <cell r="A491">
            <v>43195</v>
          </cell>
          <cell r="B491">
            <v>2143</v>
          </cell>
          <cell r="C491">
            <v>29312</v>
          </cell>
        </row>
        <row r="492">
          <cell r="A492">
            <v>43196</v>
          </cell>
          <cell r="B492">
            <v>0</v>
          </cell>
          <cell r="C492">
            <v>0</v>
          </cell>
        </row>
        <row r="493">
          <cell r="A493">
            <v>43197</v>
          </cell>
          <cell r="B493">
            <v>0</v>
          </cell>
          <cell r="C493">
            <v>0</v>
          </cell>
        </row>
        <row r="494">
          <cell r="A494">
            <v>43198</v>
          </cell>
          <cell r="B494">
            <v>0</v>
          </cell>
          <cell r="C494">
            <v>0</v>
          </cell>
        </row>
        <row r="495">
          <cell r="A495">
            <v>43199</v>
          </cell>
          <cell r="B495">
            <v>3035</v>
          </cell>
          <cell r="C495">
            <v>36391</v>
          </cell>
        </row>
        <row r="496">
          <cell r="A496">
            <v>44739</v>
          </cell>
          <cell r="B496">
            <v>0</v>
          </cell>
          <cell r="C496">
            <v>-16321</v>
          </cell>
        </row>
        <row r="497">
          <cell r="A497">
            <v>45614</v>
          </cell>
          <cell r="B497">
            <v>-215646</v>
          </cell>
          <cell r="C497">
            <v>-2518098</v>
          </cell>
        </row>
        <row r="498">
          <cell r="A498">
            <v>45622</v>
          </cell>
          <cell r="B498">
            <v>0</v>
          </cell>
          <cell r="C498">
            <v>0</v>
          </cell>
        </row>
        <row r="499">
          <cell r="A499">
            <v>45630</v>
          </cell>
          <cell r="B499">
            <v>-609460</v>
          </cell>
          <cell r="C499">
            <v>-6908039</v>
          </cell>
        </row>
        <row r="500">
          <cell r="A500">
            <v>45631</v>
          </cell>
          <cell r="B500">
            <v>-21016</v>
          </cell>
          <cell r="C500">
            <v>-237646</v>
          </cell>
        </row>
        <row r="501">
          <cell r="A501">
            <v>45632</v>
          </cell>
          <cell r="B501">
            <v>0</v>
          </cell>
          <cell r="C501">
            <v>-278196</v>
          </cell>
        </row>
        <row r="502">
          <cell r="A502">
            <v>45695</v>
          </cell>
          <cell r="B502">
            <v>0</v>
          </cell>
          <cell r="C502">
            <v>0</v>
          </cell>
        </row>
        <row r="503">
          <cell r="A503">
            <v>45696</v>
          </cell>
          <cell r="B503">
            <v>0</v>
          </cell>
          <cell r="C503">
            <v>0</v>
          </cell>
        </row>
        <row r="504">
          <cell r="A504">
            <v>45697</v>
          </cell>
          <cell r="B504">
            <v>0</v>
          </cell>
          <cell r="C504">
            <v>0</v>
          </cell>
        </row>
        <row r="505">
          <cell r="A505">
            <v>45698</v>
          </cell>
          <cell r="B505">
            <v>0</v>
          </cell>
          <cell r="C505">
            <v>0</v>
          </cell>
        </row>
        <row r="506">
          <cell r="A506">
            <v>45699</v>
          </cell>
          <cell r="B506">
            <v>0</v>
          </cell>
          <cell r="C506">
            <v>0</v>
          </cell>
        </row>
        <row r="507">
          <cell r="A507">
            <v>49999</v>
          </cell>
          <cell r="B507">
            <v>0</v>
          </cell>
          <cell r="C507">
            <v>0</v>
          </cell>
        </row>
        <row r="509">
          <cell r="B509">
            <v>-805808</v>
          </cell>
          <cell r="C509">
            <v>-9325701</v>
          </cell>
        </row>
      </sheetData>
      <sheetData sheetId="3" refreshError="1"/>
      <sheetData sheetId="4" refreshError="1">
        <row r="3">
          <cell r="A3">
            <v>4</v>
          </cell>
        </row>
        <row r="4">
          <cell r="A4">
            <v>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2003 ACTUAL 0 + 12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Objective"/>
      <sheetName val="Historical Data"/>
      <sheetName val="Weibull Analysis Results "/>
      <sheetName val="Cost Analysis"/>
      <sheetName val="2003 Weibull Analysis Results"/>
      <sheetName val="2003 Analyzed Data"/>
      <sheetName val="2003 Random Sample Generator "/>
      <sheetName val="2004 Random Sample Generator "/>
      <sheetName val="2004 Analyzed Data"/>
      <sheetName val="2004 Weibull Analysis Results "/>
      <sheetName val="2005 Random Sample Generator "/>
      <sheetName val="2005 Analyzed Data"/>
      <sheetName val="2005 Weibull Analysis Results"/>
      <sheetName val="2006 Random Sample Generator "/>
      <sheetName val="2006 Analyzed Data"/>
      <sheetName val="2006 Weibull Analysis Results"/>
      <sheetName val="2007 Random Sample Generator"/>
      <sheetName val="2007 Data Analyzed"/>
      <sheetName val="2007 Weibull Analysis Results"/>
      <sheetName val="2008 Random Sample Generator"/>
      <sheetName val="2008 Analyzed Data"/>
      <sheetName val="2008 Weibull Analysis Results "/>
      <sheetName val="2009 Random Sample Generator"/>
      <sheetName val="2009 Analyzed Data"/>
      <sheetName val="2009 Weibull Anaylsis Results"/>
      <sheetName val="2010 Random Sample Generator"/>
      <sheetName val="2010 Analyzed Data "/>
      <sheetName val="2010 Weibull Analysis Results"/>
      <sheetName val="2011 Random Sample Generator "/>
      <sheetName val="2011 Analyzed Data"/>
      <sheetName val="2011 Weibull Analysis Results"/>
      <sheetName val="Sheet1"/>
    </sheetNames>
    <sheetDataSet>
      <sheetData sheetId="0"/>
      <sheetData sheetId="1"/>
      <sheetData sheetId="2"/>
      <sheetData sheetId="3">
        <row r="5">
          <cell r="AX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A4">
            <v>1</v>
          </cell>
          <cell r="B4">
            <v>0.54189615448091089</v>
          </cell>
          <cell r="C4" t="str">
            <v>H50547</v>
          </cell>
          <cell r="D4" t="str">
            <v>C1SR</v>
          </cell>
          <cell r="E4">
            <v>40598</v>
          </cell>
          <cell r="F4">
            <v>40737</v>
          </cell>
        </row>
        <row r="5">
          <cell r="A5">
            <v>2</v>
          </cell>
          <cell r="B5">
            <v>0.46340027330272116</v>
          </cell>
          <cell r="C5" t="str">
            <v>H54716</v>
          </cell>
          <cell r="D5" t="str">
            <v>C1SR</v>
          </cell>
          <cell r="E5">
            <v>40631</v>
          </cell>
          <cell r="F5">
            <v>40745</v>
          </cell>
        </row>
        <row r="6">
          <cell r="A6">
            <v>3</v>
          </cell>
          <cell r="B6">
            <v>0.85849412115481027</v>
          </cell>
          <cell r="C6" t="str">
            <v>G94436</v>
          </cell>
          <cell r="D6" t="str">
            <v>C1SR</v>
          </cell>
          <cell r="E6">
            <v>40568</v>
          </cell>
          <cell r="F6">
            <v>40749</v>
          </cell>
        </row>
        <row r="7">
          <cell r="A7">
            <v>4</v>
          </cell>
          <cell r="B7">
            <v>0.38168495080342035</v>
          </cell>
          <cell r="C7" t="str">
            <v>H50650</v>
          </cell>
          <cell r="D7" t="str">
            <v>C1SR</v>
          </cell>
          <cell r="E7">
            <v>40598</v>
          </cell>
          <cell r="F7">
            <v>40780</v>
          </cell>
        </row>
        <row r="8">
          <cell r="A8">
            <v>5</v>
          </cell>
          <cell r="B8">
            <v>0.90388140618074508</v>
          </cell>
          <cell r="C8" t="str">
            <v>H49931</v>
          </cell>
          <cell r="D8" t="str">
            <v>C1SR</v>
          </cell>
          <cell r="E8">
            <v>40598</v>
          </cell>
          <cell r="F8">
            <v>40786</v>
          </cell>
        </row>
        <row r="9">
          <cell r="A9">
            <v>6</v>
          </cell>
          <cell r="B9">
            <v>0.97414114822630493</v>
          </cell>
          <cell r="C9" t="str">
            <v>G95021</v>
          </cell>
          <cell r="D9" t="str">
            <v>C1SR</v>
          </cell>
          <cell r="E9">
            <v>40568</v>
          </cell>
          <cell r="F9">
            <v>40817</v>
          </cell>
        </row>
        <row r="10">
          <cell r="A10">
            <v>7</v>
          </cell>
          <cell r="B10">
            <v>0.63507379956419518</v>
          </cell>
          <cell r="C10" t="str">
            <v>H49469</v>
          </cell>
          <cell r="D10" t="str">
            <v>C1SR</v>
          </cell>
          <cell r="E10">
            <v>40598</v>
          </cell>
          <cell r="F10">
            <v>40817</v>
          </cell>
        </row>
        <row r="11">
          <cell r="A11">
            <v>8</v>
          </cell>
          <cell r="B11">
            <v>0.85848151063065048</v>
          </cell>
          <cell r="C11" t="str">
            <v>H49821</v>
          </cell>
          <cell r="D11" t="str">
            <v>C1SR</v>
          </cell>
          <cell r="E11">
            <v>40598</v>
          </cell>
          <cell r="F11">
            <v>40817</v>
          </cell>
        </row>
        <row r="12">
          <cell r="A12">
            <v>9</v>
          </cell>
          <cell r="B12">
            <v>8.9561376891977962E-2</v>
          </cell>
          <cell r="C12" t="str">
            <v>H57732</v>
          </cell>
          <cell r="D12" t="str">
            <v>C1SR</v>
          </cell>
          <cell r="E12">
            <v>40631</v>
          </cell>
          <cell r="F12">
            <v>40817</v>
          </cell>
        </row>
        <row r="13">
          <cell r="A13">
            <v>10</v>
          </cell>
          <cell r="B13">
            <v>0.74753558714507917</v>
          </cell>
          <cell r="C13" t="str">
            <v>H60932</v>
          </cell>
          <cell r="D13" t="str">
            <v>C1SR</v>
          </cell>
          <cell r="E13">
            <v>40638</v>
          </cell>
          <cell r="F13">
            <v>40817</v>
          </cell>
        </row>
        <row r="14">
          <cell r="A14">
            <v>11</v>
          </cell>
          <cell r="B14">
            <v>0.65953064914522141</v>
          </cell>
          <cell r="C14" t="str">
            <v>H64119</v>
          </cell>
          <cell r="D14" t="str">
            <v>C1SR</v>
          </cell>
          <cell r="E14">
            <v>40638</v>
          </cell>
          <cell r="F14">
            <v>40817</v>
          </cell>
        </row>
        <row r="15">
          <cell r="A15">
            <v>12</v>
          </cell>
          <cell r="B15">
            <v>0.49714050822113665</v>
          </cell>
          <cell r="C15" t="str">
            <v>H68964</v>
          </cell>
          <cell r="D15" t="str">
            <v>C1SR</v>
          </cell>
          <cell r="E15">
            <v>40682</v>
          </cell>
          <cell r="F15">
            <v>40817</v>
          </cell>
        </row>
        <row r="16">
          <cell r="A16">
            <v>13</v>
          </cell>
          <cell r="B16">
            <v>0.8145355135377772</v>
          </cell>
          <cell r="C16" t="str">
            <v>H71970</v>
          </cell>
          <cell r="D16" t="str">
            <v>C1SR</v>
          </cell>
          <cell r="E16">
            <v>40682</v>
          </cell>
          <cell r="F16">
            <v>40817</v>
          </cell>
        </row>
        <row r="17">
          <cell r="A17">
            <v>14</v>
          </cell>
          <cell r="B17">
            <v>7.9016429470866179E-2</v>
          </cell>
          <cell r="C17" t="str">
            <v>H71971</v>
          </cell>
          <cell r="D17" t="str">
            <v>C1SR</v>
          </cell>
          <cell r="E17">
            <v>40682</v>
          </cell>
          <cell r="F17">
            <v>40817</v>
          </cell>
        </row>
        <row r="18">
          <cell r="A18">
            <v>15</v>
          </cell>
          <cell r="B18">
            <v>0.64333878465611827</v>
          </cell>
          <cell r="C18" t="str">
            <v>H50842</v>
          </cell>
          <cell r="D18" t="str">
            <v>C1SR</v>
          </cell>
          <cell r="E18">
            <v>40598</v>
          </cell>
          <cell r="F18">
            <v>40830</v>
          </cell>
        </row>
        <row r="19">
          <cell r="A19">
            <v>16</v>
          </cell>
          <cell r="B19">
            <v>0.85298197790607122</v>
          </cell>
          <cell r="C19" t="str">
            <v>H62750</v>
          </cell>
          <cell r="D19" t="str">
            <v>C1SR</v>
          </cell>
          <cell r="E19">
            <v>40638</v>
          </cell>
          <cell r="F19">
            <v>40830</v>
          </cell>
        </row>
        <row r="20">
          <cell r="A20">
            <v>17</v>
          </cell>
          <cell r="B20">
            <v>0.64487830321297002</v>
          </cell>
          <cell r="C20" t="str">
            <v>H62751</v>
          </cell>
          <cell r="D20" t="str">
            <v>C1SR</v>
          </cell>
          <cell r="E20">
            <v>40638</v>
          </cell>
          <cell r="F20">
            <v>40830</v>
          </cell>
        </row>
        <row r="21">
          <cell r="A21">
            <v>18</v>
          </cell>
          <cell r="B21">
            <v>0.26058146332853627</v>
          </cell>
          <cell r="C21" t="str">
            <v>H62752</v>
          </cell>
          <cell r="D21" t="str">
            <v>C1SR</v>
          </cell>
          <cell r="E21">
            <v>40638</v>
          </cell>
          <cell r="F21">
            <v>40830</v>
          </cell>
        </row>
        <row r="22">
          <cell r="A22">
            <v>19</v>
          </cell>
          <cell r="B22">
            <v>0.45696090112826893</v>
          </cell>
          <cell r="C22" t="str">
            <v>H64923</v>
          </cell>
          <cell r="D22" t="str">
            <v>C1SR</v>
          </cell>
          <cell r="E22">
            <v>40683</v>
          </cell>
          <cell r="F22">
            <v>40830</v>
          </cell>
        </row>
        <row r="23">
          <cell r="A23">
            <v>20</v>
          </cell>
          <cell r="B23">
            <v>0.60359227191940257</v>
          </cell>
          <cell r="C23" t="str">
            <v>J08046</v>
          </cell>
          <cell r="D23" t="str">
            <v>C1SR</v>
          </cell>
          <cell r="E23">
            <v>40798</v>
          </cell>
          <cell r="F23">
            <v>40830</v>
          </cell>
        </row>
        <row r="24">
          <cell r="A24">
            <v>21</v>
          </cell>
          <cell r="B24">
            <v>0.9307772480933868</v>
          </cell>
          <cell r="C24" t="str">
            <v>J16374</v>
          </cell>
          <cell r="D24" t="str">
            <v>C1SR</v>
          </cell>
          <cell r="E24">
            <v>40812</v>
          </cell>
          <cell r="F24">
            <v>40830</v>
          </cell>
        </row>
        <row r="25">
          <cell r="A25">
            <v>22</v>
          </cell>
          <cell r="B25">
            <v>0.20583482036055334</v>
          </cell>
          <cell r="C25" t="str">
            <v>H50713</v>
          </cell>
          <cell r="D25" t="str">
            <v>C1SR</v>
          </cell>
          <cell r="E25">
            <v>40598</v>
          </cell>
          <cell r="F25">
            <v>40840</v>
          </cell>
        </row>
        <row r="26">
          <cell r="A26">
            <v>23</v>
          </cell>
          <cell r="B26">
            <v>0.233755927795397</v>
          </cell>
          <cell r="C26" t="str">
            <v>G92650</v>
          </cell>
          <cell r="D26" t="str">
            <v>C1SR</v>
          </cell>
          <cell r="E26">
            <v>40568</v>
          </cell>
          <cell r="F26">
            <v>40843</v>
          </cell>
        </row>
        <row r="27">
          <cell r="A27">
            <v>24</v>
          </cell>
          <cell r="B27">
            <v>7.4431433964238458E-2</v>
          </cell>
          <cell r="C27" t="str">
            <v>J18247</v>
          </cell>
          <cell r="D27" t="str">
            <v>C1SR</v>
          </cell>
          <cell r="E27">
            <v>40812</v>
          </cell>
          <cell r="F27">
            <v>40843</v>
          </cell>
        </row>
        <row r="28">
          <cell r="A28">
            <v>25</v>
          </cell>
          <cell r="B28">
            <v>0.51398906913937148</v>
          </cell>
          <cell r="C28" t="str">
            <v>H56476</v>
          </cell>
          <cell r="D28" t="str">
            <v>C1SR</v>
          </cell>
          <cell r="E28">
            <v>40631</v>
          </cell>
          <cell r="F28">
            <v>40854</v>
          </cell>
        </row>
        <row r="29">
          <cell r="A29">
            <v>26</v>
          </cell>
          <cell r="B29">
            <v>0.74235995337455662</v>
          </cell>
          <cell r="C29" t="str">
            <v>H49564</v>
          </cell>
          <cell r="D29" t="str">
            <v>C1SR</v>
          </cell>
          <cell r="E29">
            <v>40598</v>
          </cell>
          <cell r="F29">
            <v>40863</v>
          </cell>
        </row>
        <row r="30">
          <cell r="A30">
            <v>27</v>
          </cell>
          <cell r="B30">
            <v>8.06067376179469E-2</v>
          </cell>
          <cell r="C30" t="str">
            <v>H53881</v>
          </cell>
          <cell r="D30" t="str">
            <v>C1SR</v>
          </cell>
          <cell r="E30">
            <v>40631</v>
          </cell>
          <cell r="F30">
            <v>40863</v>
          </cell>
        </row>
        <row r="31">
          <cell r="A31">
            <v>28</v>
          </cell>
          <cell r="B31">
            <v>0.44981310709342637</v>
          </cell>
          <cell r="C31" t="str">
            <v>H60930</v>
          </cell>
          <cell r="D31" t="str">
            <v>C1SR</v>
          </cell>
          <cell r="E31">
            <v>40638</v>
          </cell>
          <cell r="F31">
            <v>40863</v>
          </cell>
        </row>
        <row r="32">
          <cell r="A32">
            <v>29</v>
          </cell>
          <cell r="B32">
            <v>0.12440001280577273</v>
          </cell>
          <cell r="C32" t="str">
            <v>H62936</v>
          </cell>
          <cell r="D32" t="str">
            <v>C1SR</v>
          </cell>
          <cell r="E32">
            <v>40638</v>
          </cell>
          <cell r="F32">
            <v>40863</v>
          </cell>
        </row>
        <row r="33">
          <cell r="A33">
            <v>30</v>
          </cell>
          <cell r="B33">
            <v>0.72206609738947913</v>
          </cell>
          <cell r="C33" t="str">
            <v>J09027</v>
          </cell>
          <cell r="D33" t="str">
            <v>C1SR</v>
          </cell>
          <cell r="E33">
            <v>40798</v>
          </cell>
          <cell r="F33">
            <v>40863</v>
          </cell>
        </row>
        <row r="34">
          <cell r="A34">
            <v>31</v>
          </cell>
          <cell r="B34">
            <v>4.8254893961590439E-2</v>
          </cell>
          <cell r="C34" t="str">
            <v>J51113</v>
          </cell>
          <cell r="D34" t="str">
            <v>C1SR</v>
          </cell>
          <cell r="E34">
            <v>40840</v>
          </cell>
          <cell r="F34">
            <v>40863</v>
          </cell>
        </row>
        <row r="35">
          <cell r="A35">
            <v>32</v>
          </cell>
          <cell r="B35">
            <v>0.51291711808494678</v>
          </cell>
          <cell r="C35" t="str">
            <v>H51699</v>
          </cell>
          <cell r="D35" t="str">
            <v>C1SR</v>
          </cell>
          <cell r="E35">
            <v>40598</v>
          </cell>
          <cell r="F35">
            <v>40870</v>
          </cell>
        </row>
        <row r="36">
          <cell r="A36">
            <v>33</v>
          </cell>
          <cell r="B36">
            <v>0.75077176263822076</v>
          </cell>
          <cell r="C36" t="str">
            <v>H58328</v>
          </cell>
          <cell r="D36" t="str">
            <v>C1SR</v>
          </cell>
          <cell r="E36">
            <v>40631</v>
          </cell>
          <cell r="F36">
            <v>40870</v>
          </cell>
        </row>
        <row r="37">
          <cell r="A37">
            <v>34</v>
          </cell>
          <cell r="B37">
            <v>0.59569597089536686</v>
          </cell>
          <cell r="C37" t="str">
            <v>J37713</v>
          </cell>
          <cell r="D37" t="str">
            <v>C1SR</v>
          </cell>
          <cell r="E37">
            <v>40834</v>
          </cell>
          <cell r="F37">
            <v>40870</v>
          </cell>
        </row>
        <row r="38">
          <cell r="A38">
            <v>35</v>
          </cell>
          <cell r="B38">
            <v>0.3216887882185494</v>
          </cell>
          <cell r="C38" t="str">
            <v>J41728</v>
          </cell>
          <cell r="D38" t="str">
            <v>C1SR</v>
          </cell>
          <cell r="E38">
            <v>40834</v>
          </cell>
          <cell r="F38">
            <v>40870</v>
          </cell>
        </row>
        <row r="39">
          <cell r="A39">
            <v>36</v>
          </cell>
          <cell r="B39">
            <v>0.90353417214302101</v>
          </cell>
          <cell r="C39" t="str">
            <v>H68221</v>
          </cell>
          <cell r="D39" t="str">
            <v>C1SR</v>
          </cell>
          <cell r="E39">
            <v>40682</v>
          </cell>
          <cell r="F39">
            <v>40882</v>
          </cell>
        </row>
        <row r="40">
          <cell r="A40">
            <v>37</v>
          </cell>
          <cell r="B40">
            <v>0.485849170043537</v>
          </cell>
          <cell r="C40" t="str">
            <v>J53753</v>
          </cell>
          <cell r="D40" t="str">
            <v>C1SR</v>
          </cell>
          <cell r="E40">
            <v>40855</v>
          </cell>
          <cell r="F40">
            <v>40882</v>
          </cell>
        </row>
        <row r="41">
          <cell r="A41">
            <v>38</v>
          </cell>
          <cell r="B41">
            <v>0.81106082767927745</v>
          </cell>
          <cell r="C41" t="str">
            <v>H65180</v>
          </cell>
          <cell r="D41" t="str">
            <v>C1SR</v>
          </cell>
          <cell r="E41">
            <v>40683</v>
          </cell>
          <cell r="F41">
            <v>40883</v>
          </cell>
        </row>
        <row r="42">
          <cell r="A42">
            <v>39</v>
          </cell>
          <cell r="B42">
            <v>0.56948450698404707</v>
          </cell>
          <cell r="C42" t="str">
            <v>H59802</v>
          </cell>
          <cell r="D42" t="str">
            <v>C1SR</v>
          </cell>
          <cell r="E42">
            <v>40638</v>
          </cell>
          <cell r="F42">
            <v>40885</v>
          </cell>
        </row>
        <row r="43">
          <cell r="A43">
            <v>40</v>
          </cell>
          <cell r="B43">
            <v>0.28929332024948551</v>
          </cell>
          <cell r="C43" t="str">
            <v>H59835</v>
          </cell>
          <cell r="D43" t="str">
            <v>C1SR</v>
          </cell>
          <cell r="E43">
            <v>40638</v>
          </cell>
          <cell r="F43">
            <v>40885</v>
          </cell>
        </row>
        <row r="44">
          <cell r="A44">
            <v>41</v>
          </cell>
          <cell r="B44">
            <v>0.72171197412217991</v>
          </cell>
          <cell r="C44" t="str">
            <v>H65126</v>
          </cell>
          <cell r="D44" t="str">
            <v>C1SR</v>
          </cell>
          <cell r="E44">
            <v>40683</v>
          </cell>
          <cell r="F44">
            <v>40896</v>
          </cell>
        </row>
        <row r="45">
          <cell r="A45">
            <v>42</v>
          </cell>
          <cell r="B45">
            <v>0.50762125698993144</v>
          </cell>
          <cell r="C45" t="str">
            <v>H65277</v>
          </cell>
          <cell r="D45" t="str">
            <v>C1SR</v>
          </cell>
          <cell r="E45">
            <v>40683</v>
          </cell>
          <cell r="F45">
            <v>40896</v>
          </cell>
        </row>
        <row r="46">
          <cell r="A46">
            <v>43</v>
          </cell>
          <cell r="B46">
            <v>0.83083380432937382</v>
          </cell>
          <cell r="C46" t="str">
            <v>J72125</v>
          </cell>
          <cell r="D46" t="str">
            <v>C1SR</v>
          </cell>
          <cell r="E46">
            <v>40822</v>
          </cell>
          <cell r="F46">
            <v>40896</v>
          </cell>
        </row>
        <row r="47">
          <cell r="A47">
            <v>44</v>
          </cell>
          <cell r="B47">
            <v>0.50731345747418921</v>
          </cell>
          <cell r="C47" t="str">
            <v>H50613</v>
          </cell>
          <cell r="D47" t="str">
            <v>C1SR</v>
          </cell>
          <cell r="E47">
            <v>40598</v>
          </cell>
          <cell r="F47">
            <v>40906</v>
          </cell>
        </row>
        <row r="48">
          <cell r="A48">
            <v>45</v>
          </cell>
          <cell r="B48">
            <v>0.52291125567419727</v>
          </cell>
          <cell r="C48" t="str">
            <v>H59471</v>
          </cell>
          <cell r="D48" t="str">
            <v>C1SR</v>
          </cell>
          <cell r="E48">
            <v>40638</v>
          </cell>
          <cell r="F48">
            <v>40906</v>
          </cell>
        </row>
        <row r="49">
          <cell r="A49">
            <v>46</v>
          </cell>
          <cell r="B49">
            <v>0.12178076858410902</v>
          </cell>
          <cell r="C49" t="str">
            <v>H69466</v>
          </cell>
          <cell r="D49" t="str">
            <v>C1SR</v>
          </cell>
          <cell r="E49">
            <v>40682</v>
          </cell>
          <cell r="F49">
            <v>40906</v>
          </cell>
        </row>
        <row r="50">
          <cell r="A50">
            <v>47</v>
          </cell>
          <cell r="B50">
            <v>0.69795933609977912</v>
          </cell>
          <cell r="C50" t="str">
            <v>H76070</v>
          </cell>
          <cell r="D50" t="str">
            <v>C1SR</v>
          </cell>
          <cell r="E50">
            <v>40744</v>
          </cell>
          <cell r="F50">
            <v>40906</v>
          </cell>
        </row>
        <row r="51">
          <cell r="A51">
            <v>48</v>
          </cell>
          <cell r="B51">
            <v>0.68986249668551669</v>
          </cell>
          <cell r="C51" t="str">
            <v>J45043</v>
          </cell>
          <cell r="D51" t="str">
            <v>C1SR</v>
          </cell>
          <cell r="E51">
            <v>40840</v>
          </cell>
          <cell r="F51">
            <v>40906</v>
          </cell>
        </row>
        <row r="52">
          <cell r="A52">
            <v>49</v>
          </cell>
          <cell r="B52">
            <v>7.9919287968093888E-2</v>
          </cell>
          <cell r="C52" t="str">
            <v>J91582</v>
          </cell>
          <cell r="D52" t="str">
            <v>C1SR</v>
          </cell>
          <cell r="E52">
            <v>40848</v>
          </cell>
          <cell r="F52">
            <v>40906</v>
          </cell>
        </row>
        <row r="53">
          <cell r="A53">
            <v>50</v>
          </cell>
          <cell r="B53">
            <v>0.12723469176509727</v>
          </cell>
          <cell r="C53" t="str">
            <v>G94477</v>
          </cell>
          <cell r="D53" t="str">
            <v>C1SR</v>
          </cell>
          <cell r="E53">
            <v>40568</v>
          </cell>
          <cell r="F53">
            <v>40908</v>
          </cell>
        </row>
        <row r="54">
          <cell r="A54">
            <v>51</v>
          </cell>
          <cell r="B54">
            <v>6.4800439870098536E-2</v>
          </cell>
          <cell r="C54" t="str">
            <v>H72536</v>
          </cell>
          <cell r="D54" t="str">
            <v>C1SR</v>
          </cell>
          <cell r="E54">
            <v>40682</v>
          </cell>
          <cell r="F54">
            <v>40912</v>
          </cell>
        </row>
        <row r="55">
          <cell r="A55">
            <v>52</v>
          </cell>
          <cell r="B55">
            <v>0.30451848930702485</v>
          </cell>
          <cell r="C55" t="str">
            <v>J90165</v>
          </cell>
          <cell r="D55" t="str">
            <v>C1SR</v>
          </cell>
          <cell r="E55">
            <v>40848</v>
          </cell>
          <cell r="F55">
            <v>40912</v>
          </cell>
        </row>
        <row r="56">
          <cell r="A56">
            <v>53</v>
          </cell>
          <cell r="B56">
            <v>3.6733344487113517E-2</v>
          </cell>
          <cell r="C56" t="str">
            <v>H49680</v>
          </cell>
          <cell r="D56" t="str">
            <v>C1SR</v>
          </cell>
          <cell r="E56">
            <v>40598</v>
          </cell>
          <cell r="F56">
            <v>40931</v>
          </cell>
        </row>
        <row r="57">
          <cell r="A57">
            <v>54</v>
          </cell>
          <cell r="B57">
            <v>0.20029238472284994</v>
          </cell>
          <cell r="C57" t="str">
            <v>H55203</v>
          </cell>
          <cell r="D57" t="str">
            <v>C1SR</v>
          </cell>
          <cell r="E57">
            <v>40631</v>
          </cell>
          <cell r="F57">
            <v>40931</v>
          </cell>
        </row>
        <row r="58">
          <cell r="A58">
            <v>55</v>
          </cell>
          <cell r="B58">
            <v>0.40565657658157162</v>
          </cell>
          <cell r="C58" t="str">
            <v>H58811</v>
          </cell>
          <cell r="D58" t="str">
            <v>C1SR</v>
          </cell>
          <cell r="E58">
            <v>40631</v>
          </cell>
          <cell r="F58">
            <v>40931</v>
          </cell>
        </row>
        <row r="59">
          <cell r="A59">
            <v>56</v>
          </cell>
          <cell r="B59">
            <v>0.60874013124044779</v>
          </cell>
          <cell r="C59" t="str">
            <v>H63195</v>
          </cell>
          <cell r="D59" t="str">
            <v>C1SR</v>
          </cell>
          <cell r="E59">
            <v>40638</v>
          </cell>
          <cell r="F59">
            <v>40931</v>
          </cell>
        </row>
        <row r="60">
          <cell r="A60">
            <v>57</v>
          </cell>
          <cell r="B60">
            <v>1.9231317043683638E-2</v>
          </cell>
          <cell r="C60" t="str">
            <v>H64721</v>
          </cell>
          <cell r="D60" t="str">
            <v>C1SR</v>
          </cell>
          <cell r="E60">
            <v>40683</v>
          </cell>
          <cell r="F60">
            <v>40931</v>
          </cell>
        </row>
        <row r="61">
          <cell r="A61">
            <v>58</v>
          </cell>
          <cell r="B61">
            <v>0.96097722969168187</v>
          </cell>
          <cell r="C61" t="str">
            <v>J11245</v>
          </cell>
          <cell r="D61" t="str">
            <v>C1SR</v>
          </cell>
          <cell r="E61">
            <v>40800</v>
          </cell>
          <cell r="F61">
            <v>40931</v>
          </cell>
        </row>
        <row r="62">
          <cell r="A62">
            <v>59</v>
          </cell>
          <cell r="B62">
            <v>0.11882280131918188</v>
          </cell>
          <cell r="C62" t="str">
            <v>J18720</v>
          </cell>
          <cell r="D62" t="str">
            <v>C1SR</v>
          </cell>
          <cell r="E62">
            <v>40800</v>
          </cell>
          <cell r="F62">
            <v>40931</v>
          </cell>
        </row>
        <row r="63">
          <cell r="A63">
            <v>60</v>
          </cell>
          <cell r="B63">
            <v>0.56720656630692856</v>
          </cell>
          <cell r="C63" t="str">
            <v>J57482</v>
          </cell>
          <cell r="D63" t="str">
            <v>C1SR</v>
          </cell>
          <cell r="E63">
            <v>40855</v>
          </cell>
          <cell r="F63">
            <v>40931</v>
          </cell>
        </row>
        <row r="64">
          <cell r="A64">
            <v>61</v>
          </cell>
          <cell r="B64">
            <v>0.16717070716864746</v>
          </cell>
          <cell r="C64" t="str">
            <v>J83707</v>
          </cell>
          <cell r="D64" t="str">
            <v>C1SR</v>
          </cell>
          <cell r="E64">
            <v>40812</v>
          </cell>
          <cell r="F64">
            <v>40931</v>
          </cell>
        </row>
        <row r="65">
          <cell r="A65">
            <v>62</v>
          </cell>
          <cell r="B65">
            <v>8.8148006134792567E-2</v>
          </cell>
          <cell r="C65" t="str">
            <v>H49944</v>
          </cell>
          <cell r="D65" t="str">
            <v>C1SR</v>
          </cell>
          <cell r="E65">
            <v>40598</v>
          </cell>
          <cell r="F65">
            <v>40933</v>
          </cell>
        </row>
        <row r="66">
          <cell r="A66">
            <v>63</v>
          </cell>
          <cell r="B66">
            <v>7.7087048602900943E-2</v>
          </cell>
          <cell r="C66" t="str">
            <v>H50856</v>
          </cell>
          <cell r="D66" t="str">
            <v>C1SR</v>
          </cell>
          <cell r="E66">
            <v>40598</v>
          </cell>
          <cell r="F66">
            <v>40933</v>
          </cell>
        </row>
        <row r="67">
          <cell r="A67">
            <v>64</v>
          </cell>
          <cell r="B67">
            <v>0.84898129332453842</v>
          </cell>
          <cell r="C67" t="str">
            <v>H58287</v>
          </cell>
          <cell r="D67" t="str">
            <v>C1SR</v>
          </cell>
          <cell r="E67">
            <v>40631</v>
          </cell>
          <cell r="F67">
            <v>40933</v>
          </cell>
        </row>
        <row r="68">
          <cell r="A68">
            <v>65</v>
          </cell>
          <cell r="B68">
            <v>0.60309394855965126</v>
          </cell>
          <cell r="C68" t="str">
            <v>H61074</v>
          </cell>
          <cell r="D68" t="str">
            <v>C1SR</v>
          </cell>
          <cell r="E68">
            <v>40638</v>
          </cell>
          <cell r="F68">
            <v>40933</v>
          </cell>
        </row>
        <row r="69">
          <cell r="A69">
            <v>66</v>
          </cell>
          <cell r="B69">
            <v>0.85814365697532957</v>
          </cell>
          <cell r="C69" t="str">
            <v>H64979</v>
          </cell>
          <cell r="D69" t="str">
            <v>C1SR</v>
          </cell>
          <cell r="E69">
            <v>40683</v>
          </cell>
          <cell r="F69">
            <v>40933</v>
          </cell>
        </row>
        <row r="70">
          <cell r="A70">
            <v>67</v>
          </cell>
          <cell r="B70">
            <v>0.30019905598883512</v>
          </cell>
          <cell r="C70" t="str">
            <v>H74590</v>
          </cell>
          <cell r="D70" t="str">
            <v>C1SR</v>
          </cell>
          <cell r="E70">
            <v>40744</v>
          </cell>
          <cell r="F70">
            <v>40933</v>
          </cell>
        </row>
        <row r="71">
          <cell r="A71">
            <v>68</v>
          </cell>
          <cell r="B71">
            <v>0.61798070070793543</v>
          </cell>
          <cell r="C71" t="str">
            <v>J06402</v>
          </cell>
          <cell r="D71" t="str">
            <v>C1SR</v>
          </cell>
          <cell r="E71">
            <v>40798</v>
          </cell>
          <cell r="F71">
            <v>40933</v>
          </cell>
        </row>
        <row r="72">
          <cell r="A72">
            <v>69</v>
          </cell>
          <cell r="B72">
            <v>0.63613040723697822</v>
          </cell>
          <cell r="C72" t="str">
            <v>J20334</v>
          </cell>
          <cell r="D72" t="str">
            <v>C1SR</v>
          </cell>
          <cell r="E72">
            <v>40800</v>
          </cell>
          <cell r="F72">
            <v>40933</v>
          </cell>
        </row>
        <row r="73">
          <cell r="A73">
            <v>70</v>
          </cell>
          <cell r="B73">
            <v>0.48744495532021492</v>
          </cell>
          <cell r="C73" t="str">
            <v>J23734</v>
          </cell>
          <cell r="D73" t="str">
            <v>C1SR</v>
          </cell>
          <cell r="E73">
            <v>40828</v>
          </cell>
          <cell r="F73">
            <v>40933</v>
          </cell>
        </row>
        <row r="74">
          <cell r="A74">
            <v>71</v>
          </cell>
          <cell r="B74">
            <v>0.34252266754450533</v>
          </cell>
          <cell r="C74" t="str">
            <v>J49266</v>
          </cell>
          <cell r="D74" t="str">
            <v>C1SR</v>
          </cell>
          <cell r="E74">
            <v>40840</v>
          </cell>
          <cell r="F74">
            <v>40933</v>
          </cell>
        </row>
        <row r="75">
          <cell r="A75">
            <v>72</v>
          </cell>
          <cell r="B75">
            <v>4.7539320986309197E-2</v>
          </cell>
          <cell r="C75" t="str">
            <v>J61136</v>
          </cell>
          <cell r="D75" t="str">
            <v>C1SR</v>
          </cell>
          <cell r="E75">
            <v>40855</v>
          </cell>
          <cell r="F75">
            <v>40933</v>
          </cell>
        </row>
        <row r="76">
          <cell r="A76">
            <v>73</v>
          </cell>
          <cell r="B76">
            <v>5.7156893748403714E-2</v>
          </cell>
          <cell r="C76" t="str">
            <v>J87820</v>
          </cell>
          <cell r="D76" t="str">
            <v>C1SR</v>
          </cell>
          <cell r="E76">
            <v>40822</v>
          </cell>
          <cell r="F76">
            <v>40933</v>
          </cell>
        </row>
        <row r="77">
          <cell r="A77">
            <v>74</v>
          </cell>
          <cell r="B77">
            <v>0.21112457251370376</v>
          </cell>
          <cell r="C77" t="str">
            <v>J03468</v>
          </cell>
          <cell r="D77" t="str">
            <v>C1SR</v>
          </cell>
          <cell r="E77">
            <v>40798</v>
          </cell>
          <cell r="F77">
            <v>40938</v>
          </cell>
        </row>
        <row r="78">
          <cell r="A78">
            <v>75</v>
          </cell>
          <cell r="B78">
            <v>0.38964003624671006</v>
          </cell>
          <cell r="C78" t="str">
            <v>J20980</v>
          </cell>
          <cell r="D78" t="str">
            <v>C1SR</v>
          </cell>
          <cell r="E78">
            <v>40800</v>
          </cell>
          <cell r="F78">
            <v>40938</v>
          </cell>
        </row>
        <row r="79">
          <cell r="A79">
            <v>76</v>
          </cell>
          <cell r="B79">
            <v>0.11705305848246328</v>
          </cell>
          <cell r="C79" t="str">
            <v>J82318</v>
          </cell>
          <cell r="D79" t="str">
            <v>C1SR</v>
          </cell>
          <cell r="E79">
            <v>40812</v>
          </cell>
          <cell r="F79">
            <v>40938</v>
          </cell>
        </row>
        <row r="80">
          <cell r="A80">
            <v>77</v>
          </cell>
          <cell r="B80">
            <v>0.56867387580069351</v>
          </cell>
          <cell r="C80" t="str">
            <v>G92651</v>
          </cell>
          <cell r="D80" t="str">
            <v>C1SR</v>
          </cell>
          <cell r="E80">
            <v>40568</v>
          </cell>
          <cell r="F80">
            <v>40953</v>
          </cell>
        </row>
        <row r="81">
          <cell r="A81">
            <v>78</v>
          </cell>
          <cell r="B81">
            <v>0.85025553987222557</v>
          </cell>
          <cell r="C81" t="str">
            <v>H52089</v>
          </cell>
          <cell r="D81" t="str">
            <v>C1SR</v>
          </cell>
          <cell r="E81">
            <v>40598</v>
          </cell>
          <cell r="F81">
            <v>40953</v>
          </cell>
        </row>
        <row r="82">
          <cell r="A82">
            <v>79</v>
          </cell>
          <cell r="B82">
            <v>0.39598517072783845</v>
          </cell>
          <cell r="C82" t="str">
            <v>H75204</v>
          </cell>
          <cell r="D82" t="str">
            <v>C1SR</v>
          </cell>
          <cell r="E82">
            <v>40744</v>
          </cell>
          <cell r="F82">
            <v>40953</v>
          </cell>
        </row>
        <row r="83">
          <cell r="A83">
            <v>80</v>
          </cell>
          <cell r="B83">
            <v>0.96520474831126957</v>
          </cell>
          <cell r="C83" t="str">
            <v>J06143</v>
          </cell>
          <cell r="D83" t="str">
            <v>C1SR</v>
          </cell>
          <cell r="E83">
            <v>40798</v>
          </cell>
          <cell r="F83">
            <v>40953</v>
          </cell>
        </row>
        <row r="84">
          <cell r="A84">
            <v>81</v>
          </cell>
          <cell r="B84">
            <v>0.82381064635728729</v>
          </cell>
          <cell r="C84" t="str">
            <v>J28651</v>
          </cell>
          <cell r="D84" t="str">
            <v>C1SR</v>
          </cell>
          <cell r="E84">
            <v>40828</v>
          </cell>
          <cell r="F84">
            <v>40953</v>
          </cell>
        </row>
        <row r="85">
          <cell r="A85">
            <v>82</v>
          </cell>
          <cell r="B85">
            <v>0.98405172407091757</v>
          </cell>
          <cell r="C85" t="str">
            <v>J95417</v>
          </cell>
          <cell r="D85" t="str">
            <v>C1SR</v>
          </cell>
          <cell r="E85">
            <v>40875</v>
          </cell>
          <cell r="F85">
            <v>40953</v>
          </cell>
        </row>
        <row r="86">
          <cell r="A86">
            <v>83</v>
          </cell>
          <cell r="B86">
            <v>0.48223019052949234</v>
          </cell>
          <cell r="C86" t="str">
            <v>H58310</v>
          </cell>
          <cell r="D86" t="str">
            <v>C1SR</v>
          </cell>
          <cell r="E86">
            <v>40631</v>
          </cell>
          <cell r="F86">
            <v>40960</v>
          </cell>
        </row>
        <row r="87">
          <cell r="A87">
            <v>84</v>
          </cell>
          <cell r="B87">
            <v>0.4250380014752787</v>
          </cell>
          <cell r="C87" t="str">
            <v>J73399</v>
          </cell>
          <cell r="D87" t="str">
            <v>C1SR</v>
          </cell>
          <cell r="E87">
            <v>40822</v>
          </cell>
          <cell r="F87">
            <v>40960</v>
          </cell>
        </row>
        <row r="88">
          <cell r="A88">
            <v>85</v>
          </cell>
          <cell r="B88">
            <v>0.19805211966529424</v>
          </cell>
          <cell r="C88" t="str">
            <v>G95164</v>
          </cell>
          <cell r="D88" t="str">
            <v>C1SR</v>
          </cell>
          <cell r="E88">
            <v>40626</v>
          </cell>
          <cell r="F88">
            <v>40962</v>
          </cell>
        </row>
        <row r="89">
          <cell r="A89">
            <v>86</v>
          </cell>
          <cell r="B89">
            <v>9.3531026701374254E-2</v>
          </cell>
          <cell r="C89" t="str">
            <v>J07573</v>
          </cell>
          <cell r="D89" t="str">
            <v>C1SR</v>
          </cell>
          <cell r="E89">
            <v>40798</v>
          </cell>
          <cell r="F89">
            <v>40962</v>
          </cell>
        </row>
        <row r="90">
          <cell r="A90">
            <v>87</v>
          </cell>
          <cell r="B90">
            <v>0.96978335600395793</v>
          </cell>
          <cell r="C90" t="str">
            <v>J09426</v>
          </cell>
          <cell r="D90" t="str">
            <v>C1SR</v>
          </cell>
          <cell r="E90">
            <v>40798</v>
          </cell>
          <cell r="F90">
            <v>40962</v>
          </cell>
        </row>
        <row r="91">
          <cell r="A91">
            <v>88</v>
          </cell>
          <cell r="B91">
            <v>0.85734454324183151</v>
          </cell>
          <cell r="C91" t="str">
            <v>J36917</v>
          </cell>
          <cell r="D91" t="str">
            <v>C1SR</v>
          </cell>
          <cell r="E91">
            <v>40834</v>
          </cell>
          <cell r="F91">
            <v>40962</v>
          </cell>
        </row>
        <row r="92">
          <cell r="A92">
            <v>89</v>
          </cell>
          <cell r="B92">
            <v>0.86024196811024345</v>
          </cell>
          <cell r="C92" t="str">
            <v>J62735</v>
          </cell>
          <cell r="D92" t="str">
            <v>C1SR</v>
          </cell>
          <cell r="E92">
            <v>40862</v>
          </cell>
          <cell r="F92">
            <v>40962</v>
          </cell>
        </row>
        <row r="93">
          <cell r="A93">
            <v>90</v>
          </cell>
          <cell r="B93">
            <v>0.51843741244685393</v>
          </cell>
          <cell r="C93" t="str">
            <v>J63882</v>
          </cell>
          <cell r="D93" t="str">
            <v>C1SR</v>
          </cell>
          <cell r="E93">
            <v>40862</v>
          </cell>
          <cell r="F93">
            <v>40962</v>
          </cell>
        </row>
        <row r="94">
          <cell r="A94">
            <v>91</v>
          </cell>
          <cell r="B94">
            <v>0.78906274570048307</v>
          </cell>
          <cell r="C94" t="str">
            <v>J95492</v>
          </cell>
          <cell r="D94" t="str">
            <v>C1SR</v>
          </cell>
          <cell r="E94">
            <v>40875</v>
          </cell>
          <cell r="F94">
            <v>40962</v>
          </cell>
        </row>
        <row r="95">
          <cell r="A95">
            <v>92</v>
          </cell>
          <cell r="B95">
            <v>0.49495221874077566</v>
          </cell>
          <cell r="C95" t="str">
            <v>J24116</v>
          </cell>
          <cell r="D95" t="str">
            <v>C1SR</v>
          </cell>
          <cell r="E95">
            <v>40828</v>
          </cell>
          <cell r="F95">
            <v>40966</v>
          </cell>
        </row>
        <row r="96">
          <cell r="A96">
            <v>93</v>
          </cell>
          <cell r="B96">
            <v>0.36320265673149632</v>
          </cell>
          <cell r="C96" t="str">
            <v>H53765</v>
          </cell>
          <cell r="D96" t="str">
            <v>C1SR</v>
          </cell>
          <cell r="E96">
            <v>40631</v>
          </cell>
          <cell r="F96">
            <v>40968</v>
          </cell>
        </row>
        <row r="97">
          <cell r="A97">
            <v>94</v>
          </cell>
          <cell r="B97">
            <v>0.75385361796852757</v>
          </cell>
          <cell r="C97" t="str">
            <v>H54547</v>
          </cell>
          <cell r="D97" t="str">
            <v>C1SR</v>
          </cell>
          <cell r="E97">
            <v>40631</v>
          </cell>
          <cell r="F97">
            <v>40968</v>
          </cell>
        </row>
        <row r="98">
          <cell r="A98">
            <v>95</v>
          </cell>
          <cell r="B98">
            <v>0.23399780074742571</v>
          </cell>
          <cell r="C98" t="str">
            <v>H62608</v>
          </cell>
          <cell r="D98" t="str">
            <v>C1SR</v>
          </cell>
          <cell r="E98">
            <v>40638</v>
          </cell>
          <cell r="F98">
            <v>40968</v>
          </cell>
        </row>
        <row r="99">
          <cell r="A99">
            <v>96</v>
          </cell>
          <cell r="B99">
            <v>0.31387143453381905</v>
          </cell>
          <cell r="C99" t="str">
            <v>H62765</v>
          </cell>
          <cell r="D99" t="str">
            <v>C1SR</v>
          </cell>
          <cell r="E99">
            <v>40638</v>
          </cell>
          <cell r="F99">
            <v>40968</v>
          </cell>
        </row>
        <row r="100">
          <cell r="A100">
            <v>97</v>
          </cell>
          <cell r="B100">
            <v>0.56048895816410738</v>
          </cell>
          <cell r="C100" t="str">
            <v>H75198</v>
          </cell>
          <cell r="D100" t="str">
            <v>C1SR</v>
          </cell>
          <cell r="E100">
            <v>40744</v>
          </cell>
          <cell r="F100">
            <v>40968</v>
          </cell>
        </row>
        <row r="101">
          <cell r="A101">
            <v>98</v>
          </cell>
          <cell r="B101">
            <v>0.14287867808190846</v>
          </cell>
          <cell r="C101" t="str">
            <v>H76791</v>
          </cell>
          <cell r="D101" t="str">
            <v>C1SR</v>
          </cell>
          <cell r="E101">
            <v>40764</v>
          </cell>
          <cell r="F101">
            <v>40968</v>
          </cell>
        </row>
        <row r="102">
          <cell r="A102">
            <v>99</v>
          </cell>
          <cell r="B102">
            <v>0.17717737628916563</v>
          </cell>
          <cell r="C102" t="str">
            <v>J20278</v>
          </cell>
          <cell r="D102" t="str">
            <v>C1SR</v>
          </cell>
          <cell r="E102">
            <v>40800</v>
          </cell>
          <cell r="F102">
            <v>40968</v>
          </cell>
        </row>
        <row r="103">
          <cell r="A103">
            <v>100</v>
          </cell>
          <cell r="B103">
            <v>0.4753590707441635</v>
          </cell>
          <cell r="C103" t="str">
            <v>J49762</v>
          </cell>
          <cell r="D103" t="str">
            <v>C1SR</v>
          </cell>
          <cell r="E103">
            <v>40840</v>
          </cell>
          <cell r="F103">
            <v>40968</v>
          </cell>
        </row>
        <row r="104">
          <cell r="A104">
            <v>101</v>
          </cell>
          <cell r="B104">
            <v>0.23714952285562696</v>
          </cell>
          <cell r="C104" t="str">
            <v>J60717</v>
          </cell>
          <cell r="D104" t="str">
            <v>C1SR</v>
          </cell>
          <cell r="E104">
            <v>40855</v>
          </cell>
          <cell r="F104">
            <v>40968</v>
          </cell>
        </row>
        <row r="105">
          <cell r="A105">
            <v>102</v>
          </cell>
          <cell r="B105">
            <v>0.44634218871185005</v>
          </cell>
          <cell r="C105" t="str">
            <v>J87782</v>
          </cell>
          <cell r="D105" t="str">
            <v>C1SR</v>
          </cell>
          <cell r="E105">
            <v>40822</v>
          </cell>
          <cell r="F105">
            <v>40968</v>
          </cell>
        </row>
        <row r="106">
          <cell r="A106">
            <v>103</v>
          </cell>
          <cell r="B106">
            <v>0.45838725092207533</v>
          </cell>
          <cell r="C106" t="str">
            <v>J66597</v>
          </cell>
          <cell r="D106" t="str">
            <v>C1SR</v>
          </cell>
          <cell r="E106">
            <v>40862</v>
          </cell>
          <cell r="F106">
            <v>40970</v>
          </cell>
        </row>
        <row r="107">
          <cell r="A107">
            <v>104</v>
          </cell>
          <cell r="B107">
            <v>0.2122167259470531</v>
          </cell>
          <cell r="C107" t="str">
            <v>J49787</v>
          </cell>
          <cell r="D107" t="str">
            <v>C1SR</v>
          </cell>
          <cell r="E107">
            <v>40840</v>
          </cell>
          <cell r="F107">
            <v>40976</v>
          </cell>
        </row>
        <row r="108">
          <cell r="A108">
            <v>105</v>
          </cell>
          <cell r="B108">
            <v>8.7395127676795914E-2</v>
          </cell>
          <cell r="C108" t="str">
            <v>J82970</v>
          </cell>
          <cell r="D108" t="str">
            <v>C1SR</v>
          </cell>
          <cell r="E108">
            <v>40812</v>
          </cell>
          <cell r="F108">
            <v>40987</v>
          </cell>
        </row>
        <row r="109">
          <cell r="A109">
            <v>106</v>
          </cell>
          <cell r="B109">
            <v>0.7229442133517191</v>
          </cell>
          <cell r="C109" t="str">
            <v>G94469</v>
          </cell>
          <cell r="D109" t="str">
            <v>C1SR</v>
          </cell>
          <cell r="E109">
            <v>40568</v>
          </cell>
          <cell r="F109">
            <v>40990</v>
          </cell>
        </row>
        <row r="110">
          <cell r="A110">
            <v>107</v>
          </cell>
          <cell r="B110">
            <v>0.8886571750168939</v>
          </cell>
          <cell r="C110" t="str">
            <v>G94993</v>
          </cell>
          <cell r="D110" t="str">
            <v>C1SR</v>
          </cell>
          <cell r="E110">
            <v>40568</v>
          </cell>
          <cell r="F110">
            <v>40990</v>
          </cell>
        </row>
        <row r="111">
          <cell r="A111">
            <v>108</v>
          </cell>
          <cell r="B111">
            <v>0.37521938666760379</v>
          </cell>
          <cell r="C111" t="str">
            <v>H52624</v>
          </cell>
          <cell r="D111" t="str">
            <v>C1SR</v>
          </cell>
          <cell r="E111">
            <v>40598</v>
          </cell>
          <cell r="F111">
            <v>40990</v>
          </cell>
        </row>
        <row r="112">
          <cell r="A112">
            <v>109</v>
          </cell>
          <cell r="B112">
            <v>0.70845367941992288</v>
          </cell>
          <cell r="C112" t="str">
            <v>H62602</v>
          </cell>
          <cell r="D112" t="str">
            <v>C1SR</v>
          </cell>
          <cell r="E112">
            <v>40638</v>
          </cell>
          <cell r="F112">
            <v>40990</v>
          </cell>
        </row>
        <row r="113">
          <cell r="A113">
            <v>110</v>
          </cell>
          <cell r="B113">
            <v>0.51721179326053246</v>
          </cell>
          <cell r="C113" t="str">
            <v>H72025</v>
          </cell>
          <cell r="D113" t="str">
            <v>C1SR</v>
          </cell>
          <cell r="E113">
            <v>40682</v>
          </cell>
          <cell r="F113">
            <v>40990</v>
          </cell>
        </row>
        <row r="114">
          <cell r="A114">
            <v>111</v>
          </cell>
          <cell r="B114">
            <v>0.77891721232294864</v>
          </cell>
          <cell r="C114" t="str">
            <v>H75170</v>
          </cell>
          <cell r="D114" t="str">
            <v>C1SR</v>
          </cell>
          <cell r="E114">
            <v>40744</v>
          </cell>
          <cell r="F114">
            <v>40990</v>
          </cell>
        </row>
        <row r="115">
          <cell r="A115">
            <v>112</v>
          </cell>
          <cell r="B115">
            <v>0.99675121291748048</v>
          </cell>
          <cell r="C115" t="str">
            <v>J05697</v>
          </cell>
          <cell r="D115" t="str">
            <v>C1SR</v>
          </cell>
          <cell r="E115">
            <v>40798</v>
          </cell>
          <cell r="F115">
            <v>40990</v>
          </cell>
        </row>
        <row r="116">
          <cell r="A116">
            <v>113</v>
          </cell>
          <cell r="B116">
            <v>0.80098340761594455</v>
          </cell>
          <cell r="C116" t="str">
            <v>J23288</v>
          </cell>
          <cell r="D116" t="str">
            <v>C1SR</v>
          </cell>
          <cell r="E116">
            <v>40800</v>
          </cell>
          <cell r="F116">
            <v>40990</v>
          </cell>
        </row>
        <row r="117">
          <cell r="A117">
            <v>114</v>
          </cell>
          <cell r="B117">
            <v>0.97985009913655141</v>
          </cell>
          <cell r="C117" t="str">
            <v>J41268</v>
          </cell>
          <cell r="D117" t="str">
            <v>C1SR</v>
          </cell>
          <cell r="E117">
            <v>40834</v>
          </cell>
          <cell r="F117">
            <v>40990</v>
          </cell>
        </row>
        <row r="118">
          <cell r="A118">
            <v>115</v>
          </cell>
          <cell r="B118">
            <v>0.92159720159884739</v>
          </cell>
          <cell r="C118" t="str">
            <v>J48714</v>
          </cell>
          <cell r="D118" t="str">
            <v>C1SR</v>
          </cell>
          <cell r="E118">
            <v>40840</v>
          </cell>
          <cell r="F118">
            <v>40990</v>
          </cell>
        </row>
        <row r="119">
          <cell r="A119">
            <v>116</v>
          </cell>
          <cell r="B119">
            <v>0.71603011309447095</v>
          </cell>
          <cell r="C119" t="str">
            <v>J48867</v>
          </cell>
          <cell r="D119" t="str">
            <v>C1SR</v>
          </cell>
          <cell r="E119">
            <v>40840</v>
          </cell>
          <cell r="F119">
            <v>40990</v>
          </cell>
        </row>
        <row r="120">
          <cell r="A120">
            <v>117</v>
          </cell>
          <cell r="B120">
            <v>0.29235433353760765</v>
          </cell>
          <cell r="C120" t="str">
            <v>J67506</v>
          </cell>
          <cell r="D120" t="str">
            <v>C1SR</v>
          </cell>
          <cell r="E120">
            <v>40862</v>
          </cell>
          <cell r="F120">
            <v>40990</v>
          </cell>
        </row>
        <row r="121">
          <cell r="A121">
            <v>118</v>
          </cell>
          <cell r="B121">
            <v>0.19654749797757121</v>
          </cell>
          <cell r="C121" t="str">
            <v>H50046</v>
          </cell>
          <cell r="D121" t="str">
            <v>C1SR</v>
          </cell>
          <cell r="E121">
            <v>40598</v>
          </cell>
          <cell r="F121">
            <v>40991</v>
          </cell>
        </row>
        <row r="122">
          <cell r="A122">
            <v>119</v>
          </cell>
          <cell r="B122">
            <v>0.80667376071413255</v>
          </cell>
          <cell r="C122" t="str">
            <v>H70694</v>
          </cell>
          <cell r="D122" t="str">
            <v>C1SR</v>
          </cell>
          <cell r="E122">
            <v>40682</v>
          </cell>
          <cell r="F122">
            <v>40991</v>
          </cell>
        </row>
        <row r="123">
          <cell r="A123">
            <v>120</v>
          </cell>
          <cell r="B123">
            <v>0.72350395935851042</v>
          </cell>
          <cell r="C123" t="str">
            <v>H74361</v>
          </cell>
          <cell r="D123" t="str">
            <v>C1SR</v>
          </cell>
          <cell r="E123">
            <v>40744</v>
          </cell>
          <cell r="F123">
            <v>40991</v>
          </cell>
        </row>
        <row r="124">
          <cell r="A124">
            <v>121</v>
          </cell>
          <cell r="B124">
            <v>0.52983649684324685</v>
          </cell>
          <cell r="C124" t="str">
            <v>J46552</v>
          </cell>
          <cell r="D124" t="str">
            <v>C1SR</v>
          </cell>
          <cell r="E124">
            <v>40840</v>
          </cell>
          <cell r="F124">
            <v>40991</v>
          </cell>
        </row>
        <row r="125">
          <cell r="A125">
            <v>122</v>
          </cell>
          <cell r="B125">
            <v>0.4763135987797934</v>
          </cell>
          <cell r="C125" t="str">
            <v>J46657</v>
          </cell>
          <cell r="D125" t="str">
            <v>C1SR</v>
          </cell>
          <cell r="E125">
            <v>40840</v>
          </cell>
          <cell r="F125">
            <v>40991</v>
          </cell>
        </row>
        <row r="126">
          <cell r="A126">
            <v>123</v>
          </cell>
          <cell r="B126">
            <v>5.2509474736201489E-2</v>
          </cell>
          <cell r="C126" t="str">
            <v>J58808</v>
          </cell>
          <cell r="D126" t="str">
            <v>C1SR</v>
          </cell>
          <cell r="E126">
            <v>40855</v>
          </cell>
          <cell r="F126">
            <v>40991</v>
          </cell>
        </row>
        <row r="127">
          <cell r="A127">
            <v>124</v>
          </cell>
          <cell r="B127">
            <v>0.1569707206052926</v>
          </cell>
          <cell r="C127" t="str">
            <v>J92220</v>
          </cell>
          <cell r="D127" t="str">
            <v>C1SR</v>
          </cell>
          <cell r="E127">
            <v>40862</v>
          </cell>
          <cell r="F127">
            <v>40991</v>
          </cell>
        </row>
        <row r="128">
          <cell r="A128">
            <v>125</v>
          </cell>
          <cell r="B128">
            <v>0.9301406555120435</v>
          </cell>
          <cell r="C128" t="str">
            <v>J20335</v>
          </cell>
          <cell r="D128" t="str">
            <v>C1SR</v>
          </cell>
          <cell r="E128">
            <v>40800</v>
          </cell>
          <cell r="F128">
            <v>40998</v>
          </cell>
        </row>
        <row r="129">
          <cell r="A129">
            <v>126</v>
          </cell>
          <cell r="B129">
            <v>0.90834742444812988</v>
          </cell>
          <cell r="C129" t="str">
            <v>G93584</v>
          </cell>
          <cell r="D129" t="str">
            <v>C1SR</v>
          </cell>
          <cell r="E129">
            <v>40568</v>
          </cell>
          <cell r="F129">
            <v>41004</v>
          </cell>
        </row>
        <row r="130">
          <cell r="A130">
            <v>127</v>
          </cell>
          <cell r="B130">
            <v>5.4661404108585443E-2</v>
          </cell>
          <cell r="C130" t="str">
            <v>H49483</v>
          </cell>
          <cell r="D130" t="str">
            <v>C1SR</v>
          </cell>
          <cell r="E130">
            <v>40598</v>
          </cell>
          <cell r="F130">
            <v>41004</v>
          </cell>
        </row>
        <row r="131">
          <cell r="A131">
            <v>128</v>
          </cell>
          <cell r="B131">
            <v>0.10002819921845685</v>
          </cell>
          <cell r="C131" t="str">
            <v>H50194</v>
          </cell>
          <cell r="D131" t="str">
            <v>C1SR</v>
          </cell>
          <cell r="E131">
            <v>40598</v>
          </cell>
          <cell r="F131">
            <v>41004</v>
          </cell>
        </row>
        <row r="132">
          <cell r="A132">
            <v>129</v>
          </cell>
          <cell r="B132">
            <v>0.46556654077103465</v>
          </cell>
          <cell r="C132" t="str">
            <v>H61347</v>
          </cell>
          <cell r="D132" t="str">
            <v>C1SR</v>
          </cell>
          <cell r="E132">
            <v>40638</v>
          </cell>
          <cell r="F132">
            <v>41004</v>
          </cell>
        </row>
        <row r="133">
          <cell r="A133">
            <v>130</v>
          </cell>
          <cell r="B133">
            <v>0.78244061844441237</v>
          </cell>
          <cell r="C133" t="str">
            <v>H74909</v>
          </cell>
          <cell r="D133" t="str">
            <v>C1SR</v>
          </cell>
          <cell r="E133">
            <v>40744</v>
          </cell>
          <cell r="F133">
            <v>41004</v>
          </cell>
        </row>
        <row r="134">
          <cell r="A134">
            <v>131</v>
          </cell>
          <cell r="B134">
            <v>0.92617518783535324</v>
          </cell>
          <cell r="C134" t="str">
            <v>J05356</v>
          </cell>
          <cell r="D134" t="str">
            <v>C1SR</v>
          </cell>
          <cell r="E134">
            <v>40798</v>
          </cell>
          <cell r="F134">
            <v>41004</v>
          </cell>
        </row>
        <row r="135">
          <cell r="A135">
            <v>132</v>
          </cell>
          <cell r="B135">
            <v>0.72643040841406958</v>
          </cell>
          <cell r="C135" t="str">
            <v>J23778</v>
          </cell>
          <cell r="D135" t="str">
            <v>C1SR</v>
          </cell>
          <cell r="E135">
            <v>40828</v>
          </cell>
          <cell r="F135">
            <v>41004</v>
          </cell>
        </row>
        <row r="136">
          <cell r="A136">
            <v>133</v>
          </cell>
          <cell r="B136">
            <v>0.83122648981463132</v>
          </cell>
          <cell r="C136" t="str">
            <v>J46164</v>
          </cell>
          <cell r="D136" t="str">
            <v>C1SR</v>
          </cell>
          <cell r="E136">
            <v>40840</v>
          </cell>
          <cell r="F136">
            <v>41004</v>
          </cell>
        </row>
        <row r="137">
          <cell r="A137">
            <v>134</v>
          </cell>
          <cell r="B137">
            <v>0.14337135960093905</v>
          </cell>
          <cell r="C137" t="str">
            <v>J71674</v>
          </cell>
          <cell r="D137" t="str">
            <v>C1SR</v>
          </cell>
          <cell r="E137">
            <v>40862</v>
          </cell>
          <cell r="F137">
            <v>41004</v>
          </cell>
        </row>
        <row r="138">
          <cell r="A138">
            <v>135</v>
          </cell>
          <cell r="B138">
            <v>0.9887670696607701</v>
          </cell>
          <cell r="C138" t="str">
            <v>J46641</v>
          </cell>
          <cell r="D138" t="str">
            <v>C1SR</v>
          </cell>
          <cell r="E138">
            <v>40840</v>
          </cell>
          <cell r="F138">
            <v>41008</v>
          </cell>
        </row>
        <row r="139">
          <cell r="A139">
            <v>136</v>
          </cell>
          <cell r="B139">
            <v>0.33297768982834819</v>
          </cell>
          <cell r="C139" t="str">
            <v>H50876</v>
          </cell>
          <cell r="D139" t="str">
            <v>C1SR</v>
          </cell>
          <cell r="E139">
            <v>40598</v>
          </cell>
          <cell r="F139">
            <v>41010</v>
          </cell>
        </row>
        <row r="140">
          <cell r="A140">
            <v>137</v>
          </cell>
          <cell r="B140">
            <v>0.15566006140561117</v>
          </cell>
          <cell r="C140" t="str">
            <v>H50584</v>
          </cell>
          <cell r="D140" t="str">
            <v>C1SR</v>
          </cell>
          <cell r="E140">
            <v>40598</v>
          </cell>
          <cell r="F140">
            <v>41015</v>
          </cell>
        </row>
        <row r="141">
          <cell r="A141">
            <v>138</v>
          </cell>
          <cell r="B141">
            <v>0.10325122765380235</v>
          </cell>
          <cell r="C141" t="str">
            <v>H52114</v>
          </cell>
          <cell r="D141" t="str">
            <v>C1SR</v>
          </cell>
          <cell r="E141">
            <v>40598</v>
          </cell>
          <cell r="F141">
            <v>41015</v>
          </cell>
        </row>
        <row r="142">
          <cell r="A142">
            <v>139</v>
          </cell>
          <cell r="B142">
            <v>0.75661771292088598</v>
          </cell>
          <cell r="C142" t="str">
            <v>H76001</v>
          </cell>
          <cell r="D142" t="str">
            <v>C1SR</v>
          </cell>
          <cell r="E142">
            <v>40744</v>
          </cell>
          <cell r="F142">
            <v>41015</v>
          </cell>
        </row>
        <row r="143">
          <cell r="A143">
            <v>140</v>
          </cell>
          <cell r="B143">
            <v>0.63291641406984633</v>
          </cell>
          <cell r="C143" t="str">
            <v>J17999</v>
          </cell>
          <cell r="D143" t="str">
            <v>C1SR</v>
          </cell>
          <cell r="E143">
            <v>40812</v>
          </cell>
          <cell r="F143">
            <v>41015</v>
          </cell>
        </row>
        <row r="144">
          <cell r="A144">
            <v>141</v>
          </cell>
          <cell r="B144">
            <v>0.3219272631529273</v>
          </cell>
          <cell r="C144" t="str">
            <v>J42338</v>
          </cell>
          <cell r="D144" t="str">
            <v>C1SR</v>
          </cell>
          <cell r="E144">
            <v>40834</v>
          </cell>
          <cell r="F144">
            <v>41015</v>
          </cell>
        </row>
        <row r="145">
          <cell r="A145">
            <v>142</v>
          </cell>
          <cell r="B145">
            <v>0.20876291206087161</v>
          </cell>
          <cell r="C145" t="str">
            <v>J93426</v>
          </cell>
          <cell r="D145" t="str">
            <v>C1SR</v>
          </cell>
          <cell r="E145">
            <v>40875</v>
          </cell>
          <cell r="F145">
            <v>41015</v>
          </cell>
        </row>
        <row r="146">
          <cell r="A146">
            <v>143</v>
          </cell>
          <cell r="B146">
            <v>0.23674519824223306</v>
          </cell>
          <cell r="C146" t="str">
            <v>H62781</v>
          </cell>
          <cell r="D146" t="str">
            <v>C1SR</v>
          </cell>
          <cell r="E146">
            <v>40638</v>
          </cell>
          <cell r="F146">
            <v>41018</v>
          </cell>
        </row>
        <row r="147">
          <cell r="A147">
            <v>144</v>
          </cell>
          <cell r="B147">
            <v>0.41483555153595231</v>
          </cell>
          <cell r="C147" t="str">
            <v>H64974</v>
          </cell>
          <cell r="D147" t="str">
            <v>C1SR</v>
          </cell>
          <cell r="E147">
            <v>40683</v>
          </cell>
          <cell r="F147">
            <v>41018</v>
          </cell>
        </row>
        <row r="148">
          <cell r="A148">
            <v>145</v>
          </cell>
          <cell r="B148">
            <v>0.49216563126418356</v>
          </cell>
          <cell r="C148" t="str">
            <v>H70960</v>
          </cell>
          <cell r="D148" t="str">
            <v>C1SR</v>
          </cell>
          <cell r="E148">
            <v>40682</v>
          </cell>
          <cell r="F148">
            <v>41018</v>
          </cell>
        </row>
        <row r="149">
          <cell r="A149">
            <v>146</v>
          </cell>
          <cell r="B149">
            <v>0.77062639191953741</v>
          </cell>
          <cell r="C149" t="str">
            <v>H74419</v>
          </cell>
          <cell r="D149" t="str">
            <v>C1SR</v>
          </cell>
          <cell r="E149">
            <v>40744</v>
          </cell>
          <cell r="F149">
            <v>41018</v>
          </cell>
        </row>
        <row r="150">
          <cell r="A150">
            <v>147</v>
          </cell>
          <cell r="B150">
            <v>0.60949548598734926</v>
          </cell>
          <cell r="C150" t="str">
            <v>H74598</v>
          </cell>
          <cell r="D150" t="str">
            <v>C1SR</v>
          </cell>
          <cell r="E150">
            <v>40744</v>
          </cell>
          <cell r="F150">
            <v>41018</v>
          </cell>
        </row>
        <row r="151">
          <cell r="A151">
            <v>148</v>
          </cell>
          <cell r="B151">
            <v>0.12031927141789145</v>
          </cell>
          <cell r="C151" t="str">
            <v>H75852</v>
          </cell>
          <cell r="D151" t="str">
            <v>C1SR</v>
          </cell>
          <cell r="E151">
            <v>40744</v>
          </cell>
          <cell r="F151">
            <v>41018</v>
          </cell>
        </row>
        <row r="152">
          <cell r="A152">
            <v>149</v>
          </cell>
          <cell r="B152">
            <v>0.60309652953473425</v>
          </cell>
          <cell r="C152" t="str">
            <v>J05386</v>
          </cell>
          <cell r="D152" t="str">
            <v>C1SR</v>
          </cell>
          <cell r="E152">
            <v>40798</v>
          </cell>
          <cell r="F152">
            <v>41018</v>
          </cell>
        </row>
        <row r="153">
          <cell r="A153">
            <v>150</v>
          </cell>
          <cell r="B153">
            <v>0.12909428654785293</v>
          </cell>
          <cell r="C153" t="str">
            <v>J05474</v>
          </cell>
          <cell r="D153" t="str">
            <v>C1SR</v>
          </cell>
          <cell r="E153">
            <v>40798</v>
          </cell>
          <cell r="F153">
            <v>41018</v>
          </cell>
        </row>
        <row r="154">
          <cell r="A154">
            <v>151</v>
          </cell>
          <cell r="B154">
            <v>0.61208678094641944</v>
          </cell>
          <cell r="C154" t="str">
            <v>J05488</v>
          </cell>
          <cell r="D154" t="str">
            <v>C1SR</v>
          </cell>
          <cell r="E154">
            <v>40798</v>
          </cell>
          <cell r="F154">
            <v>41018</v>
          </cell>
        </row>
        <row r="155">
          <cell r="A155">
            <v>152</v>
          </cell>
          <cell r="B155">
            <v>0.5615277365978868</v>
          </cell>
          <cell r="C155" t="str">
            <v>J06499</v>
          </cell>
          <cell r="D155" t="str">
            <v>C1SR</v>
          </cell>
          <cell r="E155">
            <v>40798</v>
          </cell>
          <cell r="F155">
            <v>41018</v>
          </cell>
        </row>
        <row r="156">
          <cell r="A156">
            <v>153</v>
          </cell>
          <cell r="B156">
            <v>0.23266711327454137</v>
          </cell>
          <cell r="C156" t="str">
            <v>J09397</v>
          </cell>
          <cell r="D156" t="str">
            <v>C1SR</v>
          </cell>
          <cell r="E156">
            <v>40798</v>
          </cell>
          <cell r="F156">
            <v>41018</v>
          </cell>
        </row>
        <row r="157">
          <cell r="A157">
            <v>154</v>
          </cell>
          <cell r="B157">
            <v>0.65784848213247182</v>
          </cell>
          <cell r="C157" t="str">
            <v>J14729</v>
          </cell>
          <cell r="D157" t="str">
            <v>C1SR</v>
          </cell>
          <cell r="E157">
            <v>40800</v>
          </cell>
          <cell r="F157">
            <v>41018</v>
          </cell>
        </row>
        <row r="158">
          <cell r="A158">
            <v>155</v>
          </cell>
          <cell r="B158">
            <v>0.53273168317232145</v>
          </cell>
          <cell r="C158" t="str">
            <v>J18652</v>
          </cell>
          <cell r="D158" t="str">
            <v>C1SR</v>
          </cell>
          <cell r="E158">
            <v>40800</v>
          </cell>
          <cell r="F158">
            <v>41018</v>
          </cell>
        </row>
        <row r="159">
          <cell r="A159">
            <v>156</v>
          </cell>
          <cell r="B159">
            <v>0.79698056371796056</v>
          </cell>
          <cell r="C159" t="str">
            <v>J31014</v>
          </cell>
          <cell r="D159" t="str">
            <v>C1SR</v>
          </cell>
          <cell r="E159">
            <v>40828</v>
          </cell>
          <cell r="F159">
            <v>41018</v>
          </cell>
        </row>
        <row r="160">
          <cell r="A160">
            <v>157</v>
          </cell>
          <cell r="B160">
            <v>0.26464317783969182</v>
          </cell>
          <cell r="C160" t="str">
            <v>J41829</v>
          </cell>
          <cell r="D160" t="str">
            <v>C1SR</v>
          </cell>
          <cell r="E160">
            <v>40834</v>
          </cell>
          <cell r="F160">
            <v>41018</v>
          </cell>
        </row>
        <row r="161">
          <cell r="A161">
            <v>158</v>
          </cell>
          <cell r="B161">
            <v>9.5340892135690636E-2</v>
          </cell>
          <cell r="C161" t="str">
            <v>J43133</v>
          </cell>
          <cell r="D161" t="str">
            <v>C1SR</v>
          </cell>
          <cell r="E161">
            <v>40840</v>
          </cell>
          <cell r="F161">
            <v>41018</v>
          </cell>
        </row>
        <row r="162">
          <cell r="A162">
            <v>159</v>
          </cell>
          <cell r="B162">
            <v>0.1291414156594558</v>
          </cell>
          <cell r="C162" t="str">
            <v>J54342</v>
          </cell>
          <cell r="D162" t="str">
            <v>C1SR</v>
          </cell>
          <cell r="E162">
            <v>40855</v>
          </cell>
          <cell r="F162">
            <v>41018</v>
          </cell>
        </row>
        <row r="163">
          <cell r="A163">
            <v>160</v>
          </cell>
          <cell r="B163">
            <v>1.881929839712293E-2</v>
          </cell>
          <cell r="C163" t="str">
            <v>J55725</v>
          </cell>
          <cell r="D163" t="str">
            <v>C1SR</v>
          </cell>
          <cell r="E163">
            <v>40855</v>
          </cell>
          <cell r="F163">
            <v>41018</v>
          </cell>
        </row>
        <row r="164">
          <cell r="A164">
            <v>161</v>
          </cell>
          <cell r="B164">
            <v>0.28924410582544391</v>
          </cell>
          <cell r="C164" t="str">
            <v>J62022</v>
          </cell>
          <cell r="D164" t="str">
            <v>C1SR</v>
          </cell>
          <cell r="E164">
            <v>40862</v>
          </cell>
          <cell r="F164">
            <v>41018</v>
          </cell>
        </row>
        <row r="165">
          <cell r="A165">
            <v>162</v>
          </cell>
          <cell r="B165">
            <v>0.44120555924304583</v>
          </cell>
          <cell r="C165" t="str">
            <v>J62652</v>
          </cell>
          <cell r="D165" t="str">
            <v>C1SR</v>
          </cell>
          <cell r="E165">
            <v>40862</v>
          </cell>
          <cell r="F165">
            <v>41018</v>
          </cell>
        </row>
        <row r="166">
          <cell r="A166">
            <v>163</v>
          </cell>
          <cell r="B166">
            <v>0.4640764245647413</v>
          </cell>
          <cell r="C166" t="str">
            <v>J67490</v>
          </cell>
          <cell r="D166" t="str">
            <v>C1SR</v>
          </cell>
          <cell r="E166">
            <v>40862</v>
          </cell>
          <cell r="F166">
            <v>41018</v>
          </cell>
        </row>
        <row r="167">
          <cell r="A167">
            <v>164</v>
          </cell>
          <cell r="B167">
            <v>0.29953139408439544</v>
          </cell>
          <cell r="C167" t="str">
            <v>J87280</v>
          </cell>
          <cell r="D167" t="str">
            <v>C1SR</v>
          </cell>
          <cell r="E167">
            <v>40822</v>
          </cell>
          <cell r="F167">
            <v>41018</v>
          </cell>
        </row>
        <row r="168">
          <cell r="A168">
            <v>165</v>
          </cell>
          <cell r="B168">
            <v>3.4073533506154274E-2</v>
          </cell>
          <cell r="C168" t="str">
            <v>J93437</v>
          </cell>
          <cell r="D168" t="str">
            <v>C1SR</v>
          </cell>
          <cell r="E168">
            <v>40875</v>
          </cell>
          <cell r="F168">
            <v>41018</v>
          </cell>
        </row>
        <row r="169">
          <cell r="A169">
            <v>166</v>
          </cell>
          <cell r="B169">
            <v>0.12433807171945754</v>
          </cell>
          <cell r="C169" t="str">
            <v>J95657</v>
          </cell>
          <cell r="D169" t="str">
            <v>C1SR</v>
          </cell>
          <cell r="E169">
            <v>40875</v>
          </cell>
          <cell r="F169">
            <v>41018</v>
          </cell>
        </row>
        <row r="170">
          <cell r="A170">
            <v>167</v>
          </cell>
          <cell r="B170">
            <v>0.36294520257309526</v>
          </cell>
          <cell r="C170" t="str">
            <v>G95172</v>
          </cell>
          <cell r="D170" t="str">
            <v>C1SR</v>
          </cell>
          <cell r="E170">
            <v>40626</v>
          </cell>
          <cell r="F170">
            <v>41025</v>
          </cell>
        </row>
        <row r="171">
          <cell r="A171">
            <v>168</v>
          </cell>
          <cell r="B171">
            <v>0.81737571681113463</v>
          </cell>
          <cell r="C171" t="str">
            <v>H61335</v>
          </cell>
          <cell r="D171" t="str">
            <v>C1SR</v>
          </cell>
          <cell r="E171">
            <v>40638</v>
          </cell>
          <cell r="F171">
            <v>41025</v>
          </cell>
        </row>
        <row r="172">
          <cell r="A172">
            <v>169</v>
          </cell>
          <cell r="B172">
            <v>0.27936001506291996</v>
          </cell>
          <cell r="C172" t="str">
            <v>H63573</v>
          </cell>
          <cell r="D172" t="str">
            <v>C1SR</v>
          </cell>
          <cell r="E172">
            <v>40638</v>
          </cell>
          <cell r="F172">
            <v>41025</v>
          </cell>
        </row>
        <row r="173">
          <cell r="A173">
            <v>170</v>
          </cell>
          <cell r="B173">
            <v>0.23568754649332757</v>
          </cell>
          <cell r="C173" t="str">
            <v>H71547</v>
          </cell>
          <cell r="D173" t="str">
            <v>C1SR</v>
          </cell>
          <cell r="E173">
            <v>40682</v>
          </cell>
          <cell r="F173">
            <v>41025</v>
          </cell>
        </row>
        <row r="174">
          <cell r="A174">
            <v>171</v>
          </cell>
          <cell r="B174">
            <v>1.0883476856962226E-2</v>
          </cell>
          <cell r="C174" t="str">
            <v>H77124</v>
          </cell>
          <cell r="D174" t="str">
            <v>C1SR</v>
          </cell>
          <cell r="E174">
            <v>40767</v>
          </cell>
          <cell r="F174">
            <v>41025</v>
          </cell>
        </row>
        <row r="175">
          <cell r="A175">
            <v>172</v>
          </cell>
          <cell r="B175">
            <v>0.69318986807380356</v>
          </cell>
          <cell r="C175" t="str">
            <v>J13713</v>
          </cell>
          <cell r="D175" t="str">
            <v>C1SR</v>
          </cell>
          <cell r="E175">
            <v>40800</v>
          </cell>
          <cell r="F175">
            <v>41025</v>
          </cell>
        </row>
        <row r="176">
          <cell r="A176">
            <v>173</v>
          </cell>
          <cell r="B176">
            <v>0.29339592368329159</v>
          </cell>
          <cell r="C176" t="str">
            <v>J71617</v>
          </cell>
          <cell r="D176" t="str">
            <v>C1SR</v>
          </cell>
          <cell r="E176">
            <v>40862</v>
          </cell>
          <cell r="F176">
            <v>41025</v>
          </cell>
        </row>
        <row r="177">
          <cell r="A177">
            <v>174</v>
          </cell>
          <cell r="B177">
            <v>0.71493025189819581</v>
          </cell>
          <cell r="C177" t="str">
            <v>H70095</v>
          </cell>
          <cell r="D177" t="str">
            <v>C1SR</v>
          </cell>
          <cell r="E177">
            <v>40682</v>
          </cell>
          <cell r="F177">
            <v>41026</v>
          </cell>
        </row>
        <row r="178">
          <cell r="A178">
            <v>175</v>
          </cell>
          <cell r="B178">
            <v>0.88843885480336371</v>
          </cell>
          <cell r="C178" t="str">
            <v>G93889</v>
          </cell>
          <cell r="D178" t="str">
            <v>C1SR</v>
          </cell>
          <cell r="E178">
            <v>40568</v>
          </cell>
          <cell r="F178">
            <v>41029</v>
          </cell>
        </row>
        <row r="179">
          <cell r="A179">
            <v>176</v>
          </cell>
          <cell r="B179">
            <v>0.93883663594319544</v>
          </cell>
          <cell r="C179" t="str">
            <v>H74192</v>
          </cell>
          <cell r="D179" t="str">
            <v>C1SR</v>
          </cell>
          <cell r="E179">
            <v>40744</v>
          </cell>
          <cell r="F179">
            <v>41029</v>
          </cell>
        </row>
        <row r="180">
          <cell r="A180">
            <v>177</v>
          </cell>
          <cell r="B180">
            <v>0.81079890888666917</v>
          </cell>
          <cell r="C180" t="str">
            <v>J29135</v>
          </cell>
          <cell r="D180" t="str">
            <v>C1SR</v>
          </cell>
          <cell r="E180">
            <v>40828</v>
          </cell>
          <cell r="F180">
            <v>41029</v>
          </cell>
        </row>
        <row r="181">
          <cell r="A181">
            <v>178</v>
          </cell>
          <cell r="B181">
            <v>0.35484017183970051</v>
          </cell>
          <cell r="C181" t="str">
            <v>J37391</v>
          </cell>
          <cell r="D181" t="str">
            <v>C1SR</v>
          </cell>
          <cell r="E181">
            <v>40834</v>
          </cell>
          <cell r="F181">
            <v>41029</v>
          </cell>
        </row>
        <row r="182">
          <cell r="A182">
            <v>179</v>
          </cell>
          <cell r="B182">
            <v>0.58215240482692088</v>
          </cell>
          <cell r="C182" t="str">
            <v>J41597</v>
          </cell>
          <cell r="D182" t="str">
            <v>C1SR</v>
          </cell>
          <cell r="E182">
            <v>40834</v>
          </cell>
          <cell r="F182">
            <v>41029</v>
          </cell>
        </row>
        <row r="183">
          <cell r="A183">
            <v>180</v>
          </cell>
          <cell r="B183">
            <v>0.98573685418121892</v>
          </cell>
          <cell r="C183" t="str">
            <v>J46652</v>
          </cell>
          <cell r="D183" t="str">
            <v>C1SR</v>
          </cell>
          <cell r="E183">
            <v>40840</v>
          </cell>
          <cell r="F183">
            <v>41029</v>
          </cell>
        </row>
        <row r="184">
          <cell r="A184">
            <v>181</v>
          </cell>
          <cell r="B184">
            <v>0.88630075875752423</v>
          </cell>
          <cell r="C184" t="str">
            <v>J61751</v>
          </cell>
          <cell r="D184" t="str">
            <v>C1SR</v>
          </cell>
          <cell r="E184">
            <v>40855</v>
          </cell>
          <cell r="F184">
            <v>41029</v>
          </cell>
        </row>
        <row r="185">
          <cell r="A185">
            <v>182</v>
          </cell>
          <cell r="B185">
            <v>0.60060225429394976</v>
          </cell>
          <cell r="C185" t="str">
            <v>J65431</v>
          </cell>
          <cell r="D185" t="str">
            <v>C1SR</v>
          </cell>
          <cell r="E185">
            <v>40862</v>
          </cell>
          <cell r="F185">
            <v>41029</v>
          </cell>
        </row>
        <row r="186">
          <cell r="A186">
            <v>183</v>
          </cell>
          <cell r="B186">
            <v>0.20286545579730186</v>
          </cell>
          <cell r="C186" t="str">
            <v>J65495</v>
          </cell>
          <cell r="D186" t="str">
            <v>C1SR</v>
          </cell>
          <cell r="E186">
            <v>40862</v>
          </cell>
          <cell r="F186">
            <v>41029</v>
          </cell>
        </row>
        <row r="187">
          <cell r="A187">
            <v>184</v>
          </cell>
          <cell r="B187">
            <v>0.39203924390176703</v>
          </cell>
          <cell r="C187" t="str">
            <v>J65539</v>
          </cell>
          <cell r="D187" t="str">
            <v>C1SR</v>
          </cell>
          <cell r="E187">
            <v>40862</v>
          </cell>
          <cell r="F187">
            <v>41029</v>
          </cell>
        </row>
        <row r="188">
          <cell r="A188">
            <v>185</v>
          </cell>
          <cell r="B188">
            <v>0.94401044449690374</v>
          </cell>
          <cell r="C188" t="str">
            <v>J67110</v>
          </cell>
          <cell r="D188" t="str">
            <v>C1SR</v>
          </cell>
          <cell r="E188">
            <v>40862</v>
          </cell>
          <cell r="F188">
            <v>41029</v>
          </cell>
        </row>
        <row r="189">
          <cell r="A189">
            <v>186</v>
          </cell>
          <cell r="B189">
            <v>0.78824195163587418</v>
          </cell>
          <cell r="C189" t="str">
            <v>J71542</v>
          </cell>
          <cell r="D189" t="str">
            <v>C1SR</v>
          </cell>
          <cell r="E189">
            <v>40862</v>
          </cell>
          <cell r="F189">
            <v>41029</v>
          </cell>
        </row>
        <row r="190">
          <cell r="A190">
            <v>187</v>
          </cell>
          <cell r="B190">
            <v>0.94601633726367051</v>
          </cell>
          <cell r="C190" t="str">
            <v>J93770</v>
          </cell>
          <cell r="D190" t="str">
            <v>C1SR</v>
          </cell>
          <cell r="E190">
            <v>40875</v>
          </cell>
          <cell r="F190">
            <v>41029</v>
          </cell>
        </row>
        <row r="191">
          <cell r="A191">
            <v>188</v>
          </cell>
          <cell r="B191">
            <v>0.62362175094007499</v>
          </cell>
          <cell r="C191" t="str">
            <v>H49825</v>
          </cell>
          <cell r="D191" t="str">
            <v>C1SR</v>
          </cell>
          <cell r="E191">
            <v>40598</v>
          </cell>
          <cell r="F191">
            <v>41030</v>
          </cell>
        </row>
        <row r="192">
          <cell r="A192">
            <v>189</v>
          </cell>
          <cell r="B192">
            <v>0.22325765885055782</v>
          </cell>
          <cell r="C192" t="str">
            <v>J05829</v>
          </cell>
          <cell r="D192" t="str">
            <v>C1SR</v>
          </cell>
          <cell r="E192">
            <v>40798</v>
          </cell>
          <cell r="F192">
            <v>41030</v>
          </cell>
        </row>
        <row r="193">
          <cell r="A193">
            <v>190</v>
          </cell>
          <cell r="B193">
            <v>0.18484255771248048</v>
          </cell>
          <cell r="C193" t="str">
            <v>J06039</v>
          </cell>
          <cell r="D193" t="str">
            <v>C1SR</v>
          </cell>
          <cell r="E193">
            <v>40798</v>
          </cell>
          <cell r="F193">
            <v>41030</v>
          </cell>
        </row>
        <row r="194">
          <cell r="A194">
            <v>191</v>
          </cell>
          <cell r="B194">
            <v>0.60403296077683</v>
          </cell>
          <cell r="C194" t="str">
            <v>J06668</v>
          </cell>
          <cell r="D194" t="str">
            <v>C1SR</v>
          </cell>
          <cell r="E194">
            <v>40798</v>
          </cell>
          <cell r="F194">
            <v>41030</v>
          </cell>
        </row>
        <row r="195">
          <cell r="A195">
            <v>192</v>
          </cell>
          <cell r="B195">
            <v>0.53065419001833847</v>
          </cell>
          <cell r="C195" t="str">
            <v>J36376</v>
          </cell>
          <cell r="D195" t="str">
            <v>C1SR</v>
          </cell>
          <cell r="E195">
            <v>40834</v>
          </cell>
          <cell r="F195">
            <v>41030</v>
          </cell>
        </row>
        <row r="196">
          <cell r="A196">
            <v>193</v>
          </cell>
          <cell r="B196">
            <v>0.19605831059673762</v>
          </cell>
          <cell r="C196" t="str">
            <v>J48814</v>
          </cell>
          <cell r="D196" t="str">
            <v>C1SR</v>
          </cell>
          <cell r="E196">
            <v>40840</v>
          </cell>
          <cell r="F196">
            <v>41030</v>
          </cell>
        </row>
        <row r="197">
          <cell r="A197">
            <v>194</v>
          </cell>
          <cell r="B197">
            <v>0.67027421382740582</v>
          </cell>
          <cell r="C197" t="str">
            <v>J66343</v>
          </cell>
          <cell r="D197" t="str">
            <v>C1SR</v>
          </cell>
          <cell r="E197">
            <v>40862</v>
          </cell>
          <cell r="F197">
            <v>41030</v>
          </cell>
        </row>
        <row r="198">
          <cell r="A198">
            <v>195</v>
          </cell>
          <cell r="B198">
            <v>2.4324538286518482E-2</v>
          </cell>
          <cell r="C198" t="str">
            <v>J70256</v>
          </cell>
          <cell r="D198" t="str">
            <v>C1SR</v>
          </cell>
          <cell r="E198">
            <v>40862</v>
          </cell>
          <cell r="F198">
            <v>41030</v>
          </cell>
        </row>
        <row r="199">
          <cell r="A199">
            <v>196</v>
          </cell>
          <cell r="B199">
            <v>0.44566428921962009</v>
          </cell>
          <cell r="C199" t="str">
            <v>J70731</v>
          </cell>
          <cell r="D199" t="str">
            <v>C1SR</v>
          </cell>
          <cell r="E199">
            <v>40862</v>
          </cell>
          <cell r="F199">
            <v>41030</v>
          </cell>
        </row>
        <row r="200">
          <cell r="A200">
            <v>197</v>
          </cell>
          <cell r="B200">
            <v>0.22032072327623364</v>
          </cell>
          <cell r="C200" t="str">
            <v>J93595</v>
          </cell>
          <cell r="D200" t="str">
            <v>C1SR</v>
          </cell>
          <cell r="E200">
            <v>40875</v>
          </cell>
          <cell r="F200">
            <v>41030</v>
          </cell>
        </row>
        <row r="201">
          <cell r="A201">
            <v>198</v>
          </cell>
          <cell r="B201">
            <v>0.10209537221349352</v>
          </cell>
          <cell r="C201" t="str">
            <v>J31044</v>
          </cell>
          <cell r="D201" t="str">
            <v>C1SR</v>
          </cell>
          <cell r="E201">
            <v>40828</v>
          </cell>
          <cell r="F201">
            <v>41031</v>
          </cell>
        </row>
        <row r="202">
          <cell r="A202">
            <v>199</v>
          </cell>
          <cell r="B202">
            <v>0.19146887019753445</v>
          </cell>
          <cell r="C202" t="str">
            <v>H57853</v>
          </cell>
          <cell r="D202" t="str">
            <v>C1SR</v>
          </cell>
          <cell r="E202">
            <v>40631</v>
          </cell>
          <cell r="F202">
            <v>41032</v>
          </cell>
        </row>
        <row r="203">
          <cell r="A203">
            <v>200</v>
          </cell>
          <cell r="B203">
            <v>0.95369544042782017</v>
          </cell>
          <cell r="C203" t="str">
            <v>J65476</v>
          </cell>
          <cell r="D203" t="str">
            <v>C1SR</v>
          </cell>
          <cell r="E203">
            <v>40862</v>
          </cell>
          <cell r="F203">
            <v>41032</v>
          </cell>
        </row>
        <row r="204">
          <cell r="A204">
            <v>201</v>
          </cell>
          <cell r="B204">
            <v>0.48870629299821022</v>
          </cell>
          <cell r="C204" t="str">
            <v>H56398</v>
          </cell>
          <cell r="D204" t="str">
            <v>C1SR</v>
          </cell>
          <cell r="E204">
            <v>40631</v>
          </cell>
          <cell r="F204">
            <v>41039</v>
          </cell>
        </row>
        <row r="205">
          <cell r="A205">
            <v>202</v>
          </cell>
          <cell r="B205">
            <v>0.44540516586462264</v>
          </cell>
          <cell r="C205" t="str">
            <v>H57756</v>
          </cell>
          <cell r="D205" t="str">
            <v>C1SR</v>
          </cell>
          <cell r="E205">
            <v>40631</v>
          </cell>
          <cell r="F205">
            <v>41039</v>
          </cell>
        </row>
        <row r="206">
          <cell r="A206">
            <v>203</v>
          </cell>
          <cell r="B206">
            <v>0.32259085164766366</v>
          </cell>
          <cell r="C206" t="str">
            <v>H59728</v>
          </cell>
          <cell r="D206" t="str">
            <v>C1SR</v>
          </cell>
          <cell r="E206">
            <v>40638</v>
          </cell>
          <cell r="F206">
            <v>41039</v>
          </cell>
        </row>
        <row r="207">
          <cell r="A207">
            <v>204</v>
          </cell>
          <cell r="B207">
            <v>0.24876289875005664</v>
          </cell>
          <cell r="C207" t="str">
            <v>J03279</v>
          </cell>
          <cell r="D207" t="str">
            <v>C1SR</v>
          </cell>
          <cell r="E207">
            <v>40798</v>
          </cell>
          <cell r="F207">
            <v>41039</v>
          </cell>
        </row>
        <row r="208">
          <cell r="A208">
            <v>205</v>
          </cell>
          <cell r="B208">
            <v>0.99691559424884557</v>
          </cell>
          <cell r="C208" t="str">
            <v>J11355</v>
          </cell>
          <cell r="D208" t="str">
            <v>C1SR</v>
          </cell>
          <cell r="E208">
            <v>40800</v>
          </cell>
          <cell r="F208">
            <v>41039</v>
          </cell>
        </row>
        <row r="209">
          <cell r="A209">
            <v>206</v>
          </cell>
          <cell r="B209">
            <v>0.70430566436856312</v>
          </cell>
          <cell r="C209" t="str">
            <v>J11425</v>
          </cell>
          <cell r="D209" t="str">
            <v>C1SR</v>
          </cell>
          <cell r="E209">
            <v>40800</v>
          </cell>
          <cell r="F209">
            <v>41039</v>
          </cell>
        </row>
        <row r="210">
          <cell r="A210">
            <v>207</v>
          </cell>
          <cell r="B210">
            <v>0.41530361855074083</v>
          </cell>
          <cell r="C210" t="str">
            <v>J11428</v>
          </cell>
          <cell r="D210" t="str">
            <v>C1SR</v>
          </cell>
          <cell r="E210">
            <v>40800</v>
          </cell>
          <cell r="F210">
            <v>41039</v>
          </cell>
        </row>
        <row r="211">
          <cell r="A211">
            <v>208</v>
          </cell>
          <cell r="B211">
            <v>0.91666095889645738</v>
          </cell>
          <cell r="C211" t="str">
            <v>J20251</v>
          </cell>
          <cell r="D211" t="str">
            <v>C1SR</v>
          </cell>
          <cell r="E211">
            <v>40800</v>
          </cell>
          <cell r="F211">
            <v>41039</v>
          </cell>
        </row>
        <row r="212">
          <cell r="A212">
            <v>209</v>
          </cell>
          <cell r="B212">
            <v>0.60632845653765599</v>
          </cell>
          <cell r="C212" t="str">
            <v>J28991</v>
          </cell>
          <cell r="D212" t="str">
            <v>C1SR</v>
          </cell>
          <cell r="E212">
            <v>40828</v>
          </cell>
          <cell r="F212">
            <v>41039</v>
          </cell>
        </row>
        <row r="213">
          <cell r="A213">
            <v>210</v>
          </cell>
          <cell r="B213">
            <v>0.11723435366395296</v>
          </cell>
          <cell r="C213" t="str">
            <v>J30539</v>
          </cell>
          <cell r="D213" t="str">
            <v>C1SR</v>
          </cell>
          <cell r="E213">
            <v>40828</v>
          </cell>
          <cell r="F213">
            <v>41039</v>
          </cell>
        </row>
        <row r="214">
          <cell r="A214">
            <v>211</v>
          </cell>
          <cell r="B214">
            <v>0.54421454807994785</v>
          </cell>
          <cell r="C214" t="str">
            <v>J63843</v>
          </cell>
          <cell r="D214" t="str">
            <v>C1SR</v>
          </cell>
          <cell r="E214">
            <v>40862</v>
          </cell>
          <cell r="F214">
            <v>41039</v>
          </cell>
        </row>
        <row r="215">
          <cell r="A215">
            <v>212</v>
          </cell>
          <cell r="B215">
            <v>0.75618382587803534</v>
          </cell>
          <cell r="C215" t="str">
            <v>J76571</v>
          </cell>
          <cell r="D215" t="str">
            <v>C1SR</v>
          </cell>
          <cell r="E215">
            <v>40865</v>
          </cell>
          <cell r="F215">
            <v>41039</v>
          </cell>
        </row>
        <row r="216">
          <cell r="A216">
            <v>213</v>
          </cell>
          <cell r="B216">
            <v>0.87748038805654127</v>
          </cell>
          <cell r="C216" t="str">
            <v>J79664</v>
          </cell>
          <cell r="D216" t="str">
            <v>C1SR</v>
          </cell>
          <cell r="E216">
            <v>40865</v>
          </cell>
          <cell r="F216">
            <v>41039</v>
          </cell>
        </row>
        <row r="217">
          <cell r="A217">
            <v>214</v>
          </cell>
          <cell r="B217">
            <v>0.44422810492348286</v>
          </cell>
          <cell r="C217" t="str">
            <v>J55527</v>
          </cell>
          <cell r="D217" t="str">
            <v>C1SR</v>
          </cell>
          <cell r="E217">
            <v>40855</v>
          </cell>
          <cell r="F217">
            <v>41040</v>
          </cell>
        </row>
        <row r="218">
          <cell r="A218">
            <v>215</v>
          </cell>
          <cell r="B218">
            <v>0.80643231144679239</v>
          </cell>
          <cell r="C218" t="str">
            <v>J68224</v>
          </cell>
          <cell r="D218" t="str">
            <v>C1SR</v>
          </cell>
          <cell r="E218">
            <v>40862</v>
          </cell>
          <cell r="F218">
            <v>41040</v>
          </cell>
        </row>
        <row r="219">
          <cell r="A219">
            <v>216</v>
          </cell>
          <cell r="B219">
            <v>0.33893682379432999</v>
          </cell>
          <cell r="C219" t="str">
            <v>J23306</v>
          </cell>
          <cell r="D219" t="str">
            <v>C1SR</v>
          </cell>
          <cell r="E219">
            <v>40800</v>
          </cell>
          <cell r="F219">
            <v>41044</v>
          </cell>
        </row>
        <row r="220">
          <cell r="A220">
            <v>217</v>
          </cell>
          <cell r="B220">
            <v>1.7889509602360909E-2</v>
          </cell>
          <cell r="C220" t="str">
            <v>J92303</v>
          </cell>
          <cell r="D220" t="str">
            <v>C1SR</v>
          </cell>
          <cell r="E220">
            <v>40862</v>
          </cell>
          <cell r="F220">
            <v>41044</v>
          </cell>
        </row>
        <row r="221">
          <cell r="A221">
            <v>218</v>
          </cell>
          <cell r="B221">
            <v>0.24482016000094797</v>
          </cell>
          <cell r="C221" t="str">
            <v>J20246</v>
          </cell>
          <cell r="D221" t="str">
            <v>C1SR</v>
          </cell>
          <cell r="E221">
            <v>40800</v>
          </cell>
          <cell r="F221">
            <v>41045</v>
          </cell>
        </row>
        <row r="222">
          <cell r="A222">
            <v>219</v>
          </cell>
          <cell r="B222">
            <v>0.32092045604353503</v>
          </cell>
          <cell r="C222" t="str">
            <v>G95175</v>
          </cell>
          <cell r="D222" t="str">
            <v>C1SR</v>
          </cell>
          <cell r="E222">
            <v>40626</v>
          </cell>
          <cell r="F222">
            <v>41046</v>
          </cell>
        </row>
        <row r="223">
          <cell r="A223">
            <v>220</v>
          </cell>
          <cell r="B223">
            <v>0.80773669352744382</v>
          </cell>
          <cell r="C223" t="str">
            <v>H56384</v>
          </cell>
          <cell r="D223" t="str">
            <v>C1SR</v>
          </cell>
          <cell r="E223">
            <v>40631</v>
          </cell>
          <cell r="F223">
            <v>41046</v>
          </cell>
        </row>
        <row r="224">
          <cell r="A224">
            <v>221</v>
          </cell>
          <cell r="B224">
            <v>0.67757233498399594</v>
          </cell>
          <cell r="C224" t="str">
            <v>H75155</v>
          </cell>
          <cell r="D224" t="str">
            <v>C1SR</v>
          </cell>
          <cell r="E224">
            <v>40744</v>
          </cell>
          <cell r="F224">
            <v>41046</v>
          </cell>
        </row>
        <row r="225">
          <cell r="A225">
            <v>222</v>
          </cell>
          <cell r="B225">
            <v>0.32670991338977995</v>
          </cell>
          <cell r="C225" t="str">
            <v>J23819</v>
          </cell>
          <cell r="D225" t="str">
            <v>C1SR</v>
          </cell>
          <cell r="E225">
            <v>40828</v>
          </cell>
          <cell r="F225">
            <v>41046</v>
          </cell>
        </row>
        <row r="226">
          <cell r="A226">
            <v>223</v>
          </cell>
          <cell r="B226">
            <v>0.25654140960005367</v>
          </cell>
          <cell r="C226" t="str">
            <v>J71508</v>
          </cell>
          <cell r="D226" t="str">
            <v>C1SR</v>
          </cell>
          <cell r="E226">
            <v>40862</v>
          </cell>
          <cell r="F226">
            <v>41046</v>
          </cell>
        </row>
        <row r="227">
          <cell r="A227">
            <v>224</v>
          </cell>
          <cell r="B227">
            <v>0.61119660544438825</v>
          </cell>
          <cell r="C227" t="str">
            <v>H62699</v>
          </cell>
          <cell r="D227" t="str">
            <v>C1SR</v>
          </cell>
          <cell r="E227">
            <v>40638</v>
          </cell>
          <cell r="F227">
            <v>41047</v>
          </cell>
        </row>
        <row r="228">
          <cell r="A228">
            <v>225</v>
          </cell>
          <cell r="B228">
            <v>0.28142697499165736</v>
          </cell>
          <cell r="C228" t="str">
            <v>H52101</v>
          </cell>
          <cell r="D228" t="str">
            <v>C1SR</v>
          </cell>
          <cell r="E228">
            <v>40598</v>
          </cell>
          <cell r="F228">
            <v>41050</v>
          </cell>
        </row>
        <row r="229">
          <cell r="A229">
            <v>226</v>
          </cell>
          <cell r="B229">
            <v>0.43440680523385167</v>
          </cell>
          <cell r="C229" t="str">
            <v>H61312</v>
          </cell>
          <cell r="D229" t="str">
            <v>C1SR</v>
          </cell>
          <cell r="E229">
            <v>40638</v>
          </cell>
          <cell r="F229">
            <v>41050</v>
          </cell>
        </row>
        <row r="230">
          <cell r="A230">
            <v>227</v>
          </cell>
          <cell r="B230">
            <v>0.76243000513050807</v>
          </cell>
          <cell r="C230" t="str">
            <v>H76093</v>
          </cell>
          <cell r="D230" t="str">
            <v>C1SR</v>
          </cell>
          <cell r="E230">
            <v>40744</v>
          </cell>
          <cell r="F230">
            <v>41050</v>
          </cell>
        </row>
        <row r="231">
          <cell r="A231">
            <v>228</v>
          </cell>
          <cell r="B231">
            <v>0.46445255627903004</v>
          </cell>
          <cell r="C231" t="str">
            <v>J02639</v>
          </cell>
          <cell r="D231" t="str">
            <v>C1SR</v>
          </cell>
          <cell r="E231">
            <v>40798</v>
          </cell>
          <cell r="F231">
            <v>41050</v>
          </cell>
        </row>
        <row r="232">
          <cell r="A232">
            <v>229</v>
          </cell>
          <cell r="B232">
            <v>0.71743518780747662</v>
          </cell>
          <cell r="C232" t="str">
            <v>J06226</v>
          </cell>
          <cell r="D232" t="str">
            <v>C1SR</v>
          </cell>
          <cell r="E232">
            <v>40798</v>
          </cell>
          <cell r="F232">
            <v>41050</v>
          </cell>
        </row>
        <row r="233">
          <cell r="A233">
            <v>230</v>
          </cell>
          <cell r="B233">
            <v>7.6818272692811829E-2</v>
          </cell>
          <cell r="C233" t="str">
            <v>J30965</v>
          </cell>
          <cell r="D233" t="str">
            <v>C1SR</v>
          </cell>
          <cell r="E233">
            <v>40828</v>
          </cell>
          <cell r="F233">
            <v>41050</v>
          </cell>
        </row>
        <row r="234">
          <cell r="A234">
            <v>231</v>
          </cell>
          <cell r="B234">
            <v>0.78704200331650898</v>
          </cell>
          <cell r="C234" t="str">
            <v>J54351</v>
          </cell>
          <cell r="D234" t="str">
            <v>C1SR</v>
          </cell>
          <cell r="E234">
            <v>40855</v>
          </cell>
          <cell r="F234">
            <v>41050</v>
          </cell>
        </row>
        <row r="235">
          <cell r="A235">
            <v>232</v>
          </cell>
          <cell r="B235">
            <v>0.29380057392819947</v>
          </cell>
          <cell r="C235" t="str">
            <v>J63153</v>
          </cell>
          <cell r="D235" t="str">
            <v>C1SR</v>
          </cell>
          <cell r="E235">
            <v>40862</v>
          </cell>
          <cell r="F235">
            <v>41050</v>
          </cell>
        </row>
        <row r="236">
          <cell r="A236">
            <v>233</v>
          </cell>
          <cell r="B236">
            <v>0.97712646726277252</v>
          </cell>
          <cell r="C236" t="str">
            <v>J68116</v>
          </cell>
          <cell r="D236" t="str">
            <v>C1SR</v>
          </cell>
          <cell r="E236">
            <v>40862</v>
          </cell>
          <cell r="F236">
            <v>41050</v>
          </cell>
        </row>
        <row r="237">
          <cell r="A237">
            <v>234</v>
          </cell>
          <cell r="B237">
            <v>0.89794369800717533</v>
          </cell>
          <cell r="C237" t="str">
            <v>H65486</v>
          </cell>
          <cell r="D237" t="str">
            <v>C1SR</v>
          </cell>
          <cell r="E237">
            <v>40683</v>
          </cell>
          <cell r="F237">
            <v>41051</v>
          </cell>
        </row>
        <row r="238">
          <cell r="A238">
            <v>235</v>
          </cell>
          <cell r="B238">
            <v>0.52649747326112173</v>
          </cell>
          <cell r="C238" t="str">
            <v>J17510</v>
          </cell>
          <cell r="D238" t="str">
            <v>C1SR</v>
          </cell>
          <cell r="E238">
            <v>40812</v>
          </cell>
          <cell r="F238">
            <v>41051</v>
          </cell>
        </row>
        <row r="239">
          <cell r="A239">
            <v>236</v>
          </cell>
          <cell r="B239">
            <v>0.95580355919935012</v>
          </cell>
          <cell r="C239" t="str">
            <v>J29420</v>
          </cell>
          <cell r="D239" t="str">
            <v>C1SR</v>
          </cell>
          <cell r="E239">
            <v>40828</v>
          </cell>
          <cell r="F239">
            <v>41051</v>
          </cell>
        </row>
        <row r="240">
          <cell r="A240">
            <v>237</v>
          </cell>
          <cell r="B240">
            <v>0.30052091041366091</v>
          </cell>
          <cell r="C240" t="str">
            <v>J61783</v>
          </cell>
          <cell r="D240" t="str">
            <v>C1SR</v>
          </cell>
          <cell r="E240">
            <v>40855</v>
          </cell>
          <cell r="F240">
            <v>41051</v>
          </cell>
        </row>
        <row r="241">
          <cell r="A241">
            <v>238</v>
          </cell>
          <cell r="B241">
            <v>0.24080904415360294</v>
          </cell>
          <cell r="C241" t="str">
            <v>J62552</v>
          </cell>
          <cell r="D241" t="str">
            <v>C1SR</v>
          </cell>
          <cell r="E241">
            <v>40862</v>
          </cell>
          <cell r="F241">
            <v>41051</v>
          </cell>
        </row>
        <row r="242">
          <cell r="A242">
            <v>239</v>
          </cell>
          <cell r="B242">
            <v>0.99216112003964585</v>
          </cell>
          <cell r="C242" t="str">
            <v>J92700</v>
          </cell>
          <cell r="D242" t="str">
            <v>C1SR</v>
          </cell>
          <cell r="E242">
            <v>40875</v>
          </cell>
          <cell r="F242">
            <v>41051</v>
          </cell>
        </row>
        <row r="243">
          <cell r="A243">
            <v>240</v>
          </cell>
          <cell r="B243">
            <v>0.47698027983363567</v>
          </cell>
          <cell r="C243" t="str">
            <v>J68279</v>
          </cell>
          <cell r="D243" t="str">
            <v>C1SR</v>
          </cell>
          <cell r="E243">
            <v>40862</v>
          </cell>
          <cell r="F243">
            <v>41054</v>
          </cell>
        </row>
        <row r="244">
          <cell r="A244">
            <v>241</v>
          </cell>
          <cell r="B244">
            <v>0.6777096949427428</v>
          </cell>
          <cell r="C244" t="str">
            <v>G94200</v>
          </cell>
          <cell r="D244" t="str">
            <v>C1SR</v>
          </cell>
          <cell r="E244">
            <v>40568</v>
          </cell>
          <cell r="F244">
            <v>41060</v>
          </cell>
        </row>
        <row r="245">
          <cell r="A245">
            <v>242</v>
          </cell>
          <cell r="B245">
            <v>0.37582611625128748</v>
          </cell>
          <cell r="C245" t="str">
            <v>H78380</v>
          </cell>
          <cell r="D245" t="str">
            <v>C1SR</v>
          </cell>
          <cell r="E245">
            <v>40767</v>
          </cell>
          <cell r="F245">
            <v>41060</v>
          </cell>
        </row>
        <row r="246">
          <cell r="A246">
            <v>243</v>
          </cell>
          <cell r="B246">
            <v>2.1181790082150265E-2</v>
          </cell>
          <cell r="C246" t="str">
            <v>J12901</v>
          </cell>
          <cell r="D246" t="str">
            <v>C1SR</v>
          </cell>
          <cell r="E246">
            <v>40800</v>
          </cell>
          <cell r="F246">
            <v>41060</v>
          </cell>
        </row>
        <row r="247">
          <cell r="A247">
            <v>244</v>
          </cell>
          <cell r="B247">
            <v>0.17979611355243896</v>
          </cell>
          <cell r="C247" t="str">
            <v>J30456</v>
          </cell>
          <cell r="D247" t="str">
            <v>C1SR</v>
          </cell>
          <cell r="E247">
            <v>40828</v>
          </cell>
          <cell r="F247">
            <v>41060</v>
          </cell>
        </row>
        <row r="248">
          <cell r="A248">
            <v>245</v>
          </cell>
          <cell r="B248">
            <v>4.9423377012189462E-2</v>
          </cell>
          <cell r="C248" t="str">
            <v>J50863</v>
          </cell>
          <cell r="D248" t="str">
            <v>C1SR</v>
          </cell>
          <cell r="E248">
            <v>40840</v>
          </cell>
          <cell r="F248">
            <v>41060</v>
          </cell>
        </row>
        <row r="249">
          <cell r="A249">
            <v>246</v>
          </cell>
          <cell r="B249">
            <v>0.9446344558279085</v>
          </cell>
          <cell r="C249" t="str">
            <v>J79005</v>
          </cell>
          <cell r="D249" t="str">
            <v>C1SR</v>
          </cell>
          <cell r="E249">
            <v>40865</v>
          </cell>
          <cell r="F249">
            <v>41060</v>
          </cell>
        </row>
        <row r="250">
          <cell r="A250">
            <v>247</v>
          </cell>
          <cell r="B250">
            <v>0.22960120103304404</v>
          </cell>
          <cell r="C250" t="str">
            <v>H58431</v>
          </cell>
          <cell r="D250" t="str">
            <v>C1SR</v>
          </cell>
          <cell r="E250">
            <v>40631</v>
          </cell>
          <cell r="F250">
            <v>41065</v>
          </cell>
        </row>
        <row r="251">
          <cell r="A251">
            <v>248</v>
          </cell>
          <cell r="B251">
            <v>0.48342822654565831</v>
          </cell>
          <cell r="C251" t="str">
            <v>H74602</v>
          </cell>
          <cell r="D251" t="str">
            <v>C1SR</v>
          </cell>
          <cell r="E251">
            <v>40744</v>
          </cell>
          <cell r="F251">
            <v>41065</v>
          </cell>
        </row>
        <row r="252">
          <cell r="A252">
            <v>249</v>
          </cell>
          <cell r="B252">
            <v>0.73519406087370398</v>
          </cell>
          <cell r="C252" t="str">
            <v>J26645</v>
          </cell>
          <cell r="D252" t="str">
            <v>C1SR</v>
          </cell>
          <cell r="E252">
            <v>40828</v>
          </cell>
          <cell r="F252">
            <v>41065</v>
          </cell>
        </row>
        <row r="253">
          <cell r="A253">
            <v>250</v>
          </cell>
          <cell r="B253">
            <v>0.79329591285189816</v>
          </cell>
          <cell r="C253" t="str">
            <v>J71673</v>
          </cell>
          <cell r="D253" t="str">
            <v>C1SR</v>
          </cell>
          <cell r="E253">
            <v>40862</v>
          </cell>
          <cell r="F253">
            <v>41065</v>
          </cell>
        </row>
        <row r="254">
          <cell r="A254">
            <v>251</v>
          </cell>
          <cell r="B254">
            <v>2.8876453244168432E-2</v>
          </cell>
          <cell r="C254" t="str">
            <v>J71771</v>
          </cell>
          <cell r="D254" t="str">
            <v>C1SR</v>
          </cell>
          <cell r="E254">
            <v>40862</v>
          </cell>
          <cell r="F254">
            <v>41065</v>
          </cell>
        </row>
        <row r="255">
          <cell r="A255">
            <v>252</v>
          </cell>
          <cell r="B255">
            <v>0.18647469027715713</v>
          </cell>
          <cell r="C255" t="str">
            <v>J78062</v>
          </cell>
          <cell r="D255" t="str">
            <v>C1SR</v>
          </cell>
          <cell r="E255">
            <v>40865</v>
          </cell>
          <cell r="F255">
            <v>41065</v>
          </cell>
        </row>
        <row r="256">
          <cell r="A256">
            <v>253</v>
          </cell>
          <cell r="B256">
            <v>0.11475391850469829</v>
          </cell>
          <cell r="C256" t="str">
            <v>H50768</v>
          </cell>
          <cell r="D256" t="str">
            <v>C1SR</v>
          </cell>
          <cell r="E256">
            <v>40598</v>
          </cell>
          <cell r="F256">
            <v>41071</v>
          </cell>
        </row>
        <row r="257">
          <cell r="A257">
            <v>254</v>
          </cell>
          <cell r="B257">
            <v>0.14541758454160647</v>
          </cell>
          <cell r="C257" t="str">
            <v>H68278</v>
          </cell>
          <cell r="D257" t="str">
            <v>C1SR</v>
          </cell>
          <cell r="E257">
            <v>40682</v>
          </cell>
          <cell r="F257">
            <v>41071</v>
          </cell>
        </row>
        <row r="258">
          <cell r="A258">
            <v>255</v>
          </cell>
          <cell r="B258">
            <v>4.7065375515421559E-3</v>
          </cell>
          <cell r="C258" t="str">
            <v>H73460</v>
          </cell>
          <cell r="D258" t="str">
            <v>C1SR</v>
          </cell>
          <cell r="E258">
            <v>40742</v>
          </cell>
          <cell r="F258">
            <v>41071</v>
          </cell>
        </row>
        <row r="259">
          <cell r="A259">
            <v>256</v>
          </cell>
          <cell r="B259">
            <v>0.4504521243238917</v>
          </cell>
          <cell r="C259" t="str">
            <v>J09473</v>
          </cell>
          <cell r="D259" t="str">
            <v>C1SR</v>
          </cell>
          <cell r="E259">
            <v>40798</v>
          </cell>
          <cell r="F259">
            <v>41071</v>
          </cell>
        </row>
        <row r="260">
          <cell r="A260">
            <v>257</v>
          </cell>
          <cell r="B260">
            <v>0.47789305733109955</v>
          </cell>
          <cell r="C260" t="str">
            <v>J12885</v>
          </cell>
          <cell r="D260" t="str">
            <v>C1SR</v>
          </cell>
          <cell r="E260">
            <v>40800</v>
          </cell>
          <cell r="F260">
            <v>41071</v>
          </cell>
        </row>
        <row r="261">
          <cell r="A261">
            <v>258</v>
          </cell>
          <cell r="B261">
            <v>0.50065123258693356</v>
          </cell>
          <cell r="C261" t="str">
            <v>J38218</v>
          </cell>
          <cell r="D261" t="str">
            <v>C1SR</v>
          </cell>
          <cell r="E261">
            <v>40834</v>
          </cell>
          <cell r="F261">
            <v>41071</v>
          </cell>
        </row>
        <row r="262">
          <cell r="A262">
            <v>259</v>
          </cell>
          <cell r="B262">
            <v>0.10981774606582806</v>
          </cell>
          <cell r="C262" t="str">
            <v>J56750</v>
          </cell>
          <cell r="D262" t="str">
            <v>C1SR</v>
          </cell>
          <cell r="E262">
            <v>40855</v>
          </cell>
          <cell r="F262">
            <v>41071</v>
          </cell>
        </row>
        <row r="263">
          <cell r="A263">
            <v>260</v>
          </cell>
          <cell r="B263">
            <v>0.4758314656374848</v>
          </cell>
          <cell r="C263" t="str">
            <v>J67049</v>
          </cell>
          <cell r="D263" t="str">
            <v>C1SR</v>
          </cell>
          <cell r="E263">
            <v>40862</v>
          </cell>
          <cell r="F263">
            <v>41071</v>
          </cell>
        </row>
        <row r="264">
          <cell r="A264">
            <v>261</v>
          </cell>
          <cell r="B264">
            <v>4.0353730877395244E-2</v>
          </cell>
          <cell r="C264" t="str">
            <v>J19131</v>
          </cell>
          <cell r="D264" t="str">
            <v>C1SR</v>
          </cell>
          <cell r="E264">
            <v>40800</v>
          </cell>
          <cell r="F264">
            <v>41073</v>
          </cell>
        </row>
        <row r="265">
          <cell r="A265">
            <v>262</v>
          </cell>
          <cell r="B265">
            <v>0.45007250922015096</v>
          </cell>
          <cell r="C265" t="str">
            <v>J66460</v>
          </cell>
          <cell r="D265" t="str">
            <v>C1SR</v>
          </cell>
          <cell r="E265">
            <v>40862</v>
          </cell>
          <cell r="F265">
            <v>41073</v>
          </cell>
        </row>
        <row r="266">
          <cell r="A266">
            <v>263</v>
          </cell>
          <cell r="B266">
            <v>0.56800861513824752</v>
          </cell>
          <cell r="C266" t="str">
            <v>J68306</v>
          </cell>
          <cell r="D266" t="str">
            <v>C1SR</v>
          </cell>
          <cell r="E266">
            <v>40862</v>
          </cell>
          <cell r="F266">
            <v>41073</v>
          </cell>
        </row>
        <row r="267">
          <cell r="A267">
            <v>264</v>
          </cell>
          <cell r="B267">
            <v>0.44619716934160658</v>
          </cell>
          <cell r="C267" t="str">
            <v>J73016</v>
          </cell>
          <cell r="D267" t="str">
            <v>C1SR</v>
          </cell>
          <cell r="E267">
            <v>40822</v>
          </cell>
          <cell r="F267">
            <v>41073</v>
          </cell>
        </row>
        <row r="268">
          <cell r="A268">
            <v>265</v>
          </cell>
          <cell r="B268">
            <v>7.8453903868749064E-2</v>
          </cell>
          <cell r="C268" t="str">
            <v>H68251</v>
          </cell>
          <cell r="D268" t="str">
            <v>C1SR</v>
          </cell>
          <cell r="E268">
            <v>40682</v>
          </cell>
          <cell r="F268">
            <v>41085</v>
          </cell>
        </row>
        <row r="269">
          <cell r="A269">
            <v>266</v>
          </cell>
          <cell r="B269">
            <v>0.2850207260885671</v>
          </cell>
          <cell r="C269" t="str">
            <v>J45662</v>
          </cell>
          <cell r="D269" t="str">
            <v>C1SR</v>
          </cell>
          <cell r="E269">
            <v>40840</v>
          </cell>
          <cell r="F269">
            <v>41085</v>
          </cell>
        </row>
        <row r="270">
          <cell r="A270">
            <v>267</v>
          </cell>
          <cell r="B270">
            <v>0.96632451507911665</v>
          </cell>
          <cell r="C270" t="str">
            <v>J49267</v>
          </cell>
          <cell r="D270" t="str">
            <v>C1SR</v>
          </cell>
          <cell r="E270">
            <v>40840</v>
          </cell>
          <cell r="F270">
            <v>41085</v>
          </cell>
        </row>
        <row r="271">
          <cell r="A271">
            <v>268</v>
          </cell>
          <cell r="B271">
            <v>0.85480920882042177</v>
          </cell>
          <cell r="C271" t="str">
            <v>J55464</v>
          </cell>
          <cell r="D271" t="str">
            <v>C1SR</v>
          </cell>
          <cell r="E271">
            <v>40855</v>
          </cell>
          <cell r="F271">
            <v>41085</v>
          </cell>
        </row>
        <row r="272">
          <cell r="A272">
            <v>269</v>
          </cell>
          <cell r="B272">
            <v>0.32986476051756508</v>
          </cell>
          <cell r="C272" t="str">
            <v>J67001</v>
          </cell>
          <cell r="D272" t="str">
            <v>C1SR</v>
          </cell>
          <cell r="E272">
            <v>40862</v>
          </cell>
          <cell r="F272">
            <v>41085</v>
          </cell>
        </row>
        <row r="273">
          <cell r="A273">
            <v>270</v>
          </cell>
          <cell r="B273">
            <v>3.7724500140970507E-2</v>
          </cell>
          <cell r="C273" t="str">
            <v>H50980</v>
          </cell>
          <cell r="D273" t="str">
            <v>C1SR</v>
          </cell>
          <cell r="E273">
            <v>40598</v>
          </cell>
          <cell r="F273">
            <v>41088</v>
          </cell>
        </row>
        <row r="274">
          <cell r="A274">
            <v>271</v>
          </cell>
          <cell r="B274">
            <v>0.26777536583292527</v>
          </cell>
          <cell r="C274" t="str">
            <v>H64880</v>
          </cell>
          <cell r="D274" t="str">
            <v>C1SR</v>
          </cell>
          <cell r="E274">
            <v>40683</v>
          </cell>
          <cell r="F274">
            <v>41088</v>
          </cell>
        </row>
        <row r="275">
          <cell r="A275">
            <v>272</v>
          </cell>
          <cell r="B275">
            <v>0.64097799913083731</v>
          </cell>
          <cell r="C275" t="str">
            <v>H70534</v>
          </cell>
          <cell r="D275" t="str">
            <v>C1SR</v>
          </cell>
          <cell r="E275">
            <v>40682</v>
          </cell>
          <cell r="F275">
            <v>41088</v>
          </cell>
        </row>
        <row r="276">
          <cell r="A276">
            <v>273</v>
          </cell>
          <cell r="B276">
            <v>0.2938552022417863</v>
          </cell>
          <cell r="C276" t="str">
            <v>J37154</v>
          </cell>
          <cell r="D276" t="str">
            <v>C1SR</v>
          </cell>
          <cell r="E276">
            <v>40834</v>
          </cell>
          <cell r="F276">
            <v>41088</v>
          </cell>
        </row>
        <row r="277">
          <cell r="A277">
            <v>274</v>
          </cell>
          <cell r="B277">
            <v>1.4379953861241912E-2</v>
          </cell>
          <cell r="C277" t="str">
            <v>J43225</v>
          </cell>
          <cell r="D277" t="str">
            <v>C1SR</v>
          </cell>
          <cell r="E277">
            <v>40840</v>
          </cell>
          <cell r="F277">
            <v>41088</v>
          </cell>
        </row>
        <row r="278">
          <cell r="A278">
            <v>275</v>
          </cell>
          <cell r="B278">
            <v>0.14083232644344235</v>
          </cell>
          <cell r="C278" t="str">
            <v>J48902</v>
          </cell>
          <cell r="D278" t="str">
            <v>C1SR</v>
          </cell>
          <cell r="E278">
            <v>40840</v>
          </cell>
          <cell r="F278">
            <v>41088</v>
          </cell>
        </row>
        <row r="279">
          <cell r="A279">
            <v>276</v>
          </cell>
          <cell r="B279">
            <v>0.25791674050951363</v>
          </cell>
          <cell r="C279" t="str">
            <v>J62527</v>
          </cell>
          <cell r="D279" t="str">
            <v>C1SR</v>
          </cell>
          <cell r="E279">
            <v>40862</v>
          </cell>
          <cell r="F279">
            <v>41088</v>
          </cell>
        </row>
        <row r="280">
          <cell r="A280">
            <v>277</v>
          </cell>
          <cell r="B280">
            <v>0.18756219097505444</v>
          </cell>
          <cell r="C280" t="str">
            <v>H53907</v>
          </cell>
          <cell r="D280" t="str">
            <v>C1SR</v>
          </cell>
          <cell r="E280">
            <v>40631</v>
          </cell>
          <cell r="F280">
            <v>41089</v>
          </cell>
        </row>
        <row r="281">
          <cell r="A281">
            <v>278</v>
          </cell>
          <cell r="B281">
            <v>0.42182346909079893</v>
          </cell>
          <cell r="C281" t="str">
            <v>H58341</v>
          </cell>
          <cell r="D281" t="str">
            <v>C1SR</v>
          </cell>
          <cell r="E281">
            <v>40631</v>
          </cell>
          <cell r="F281">
            <v>41089</v>
          </cell>
        </row>
        <row r="282">
          <cell r="A282">
            <v>279</v>
          </cell>
          <cell r="B282">
            <v>0.2253037607631353</v>
          </cell>
          <cell r="C282" t="str">
            <v>H69978</v>
          </cell>
          <cell r="D282" t="str">
            <v>C1SR</v>
          </cell>
          <cell r="E282">
            <v>40682</v>
          </cell>
          <cell r="F282">
            <v>41089</v>
          </cell>
        </row>
        <row r="283">
          <cell r="A283">
            <v>280</v>
          </cell>
          <cell r="B283">
            <v>0.91072975854046845</v>
          </cell>
          <cell r="C283" t="str">
            <v>H74573</v>
          </cell>
          <cell r="D283" t="str">
            <v>C1SR</v>
          </cell>
          <cell r="E283">
            <v>40744</v>
          </cell>
          <cell r="F283">
            <v>41089</v>
          </cell>
        </row>
        <row r="284">
          <cell r="A284">
            <v>281</v>
          </cell>
          <cell r="B284">
            <v>0.77147534355855218</v>
          </cell>
          <cell r="C284" t="str">
            <v>J01686</v>
          </cell>
          <cell r="D284" t="str">
            <v>C1SR</v>
          </cell>
          <cell r="E284">
            <v>40798</v>
          </cell>
          <cell r="F284">
            <v>41089</v>
          </cell>
        </row>
        <row r="285">
          <cell r="A285">
            <v>282</v>
          </cell>
          <cell r="B285">
            <v>0.14700355479623783</v>
          </cell>
          <cell r="C285" t="str">
            <v>J03997</v>
          </cell>
          <cell r="D285" t="str">
            <v>C1SR</v>
          </cell>
          <cell r="E285">
            <v>40798</v>
          </cell>
          <cell r="F285">
            <v>41089</v>
          </cell>
        </row>
        <row r="286">
          <cell r="A286">
            <v>283</v>
          </cell>
          <cell r="B286">
            <v>0.40015336633122789</v>
          </cell>
          <cell r="C286" t="str">
            <v>J04379</v>
          </cell>
          <cell r="D286" t="str">
            <v>C1SR</v>
          </cell>
          <cell r="E286">
            <v>40798</v>
          </cell>
          <cell r="F286">
            <v>41089</v>
          </cell>
        </row>
        <row r="287">
          <cell r="A287">
            <v>284</v>
          </cell>
          <cell r="B287">
            <v>0.64394179183479827</v>
          </cell>
          <cell r="C287" t="str">
            <v>J09249</v>
          </cell>
          <cell r="D287" t="str">
            <v>C1SR</v>
          </cell>
          <cell r="E287">
            <v>40798</v>
          </cell>
          <cell r="F287">
            <v>41089</v>
          </cell>
        </row>
        <row r="288">
          <cell r="A288">
            <v>285</v>
          </cell>
          <cell r="B288">
            <v>0.6879085722463254</v>
          </cell>
          <cell r="C288" t="str">
            <v>J19149</v>
          </cell>
          <cell r="D288" t="str">
            <v>C1SR</v>
          </cell>
          <cell r="E288">
            <v>40800</v>
          </cell>
          <cell r="F288">
            <v>41089</v>
          </cell>
        </row>
        <row r="289">
          <cell r="A289">
            <v>286</v>
          </cell>
          <cell r="B289">
            <v>0.64558015848562511</v>
          </cell>
          <cell r="C289" t="str">
            <v>J24155</v>
          </cell>
          <cell r="D289" t="str">
            <v>C1SR</v>
          </cell>
          <cell r="E289">
            <v>40828</v>
          </cell>
          <cell r="F289">
            <v>41089</v>
          </cell>
        </row>
        <row r="290">
          <cell r="A290">
            <v>287</v>
          </cell>
          <cell r="B290">
            <v>0.3366522110966661</v>
          </cell>
          <cell r="C290" t="str">
            <v>J36231</v>
          </cell>
          <cell r="D290" t="str">
            <v>C1SR</v>
          </cell>
          <cell r="E290">
            <v>40834</v>
          </cell>
          <cell r="F290">
            <v>41089</v>
          </cell>
        </row>
        <row r="291">
          <cell r="A291">
            <v>288</v>
          </cell>
          <cell r="B291">
            <v>0.21980728030900043</v>
          </cell>
          <cell r="C291" t="str">
            <v>J44754</v>
          </cell>
          <cell r="D291" t="str">
            <v>C1SR</v>
          </cell>
          <cell r="E291">
            <v>40840</v>
          </cell>
          <cell r="F291">
            <v>41089</v>
          </cell>
        </row>
        <row r="292">
          <cell r="A292">
            <v>289</v>
          </cell>
          <cell r="B292">
            <v>0.63954145315323629</v>
          </cell>
          <cell r="C292" t="str">
            <v>J45303</v>
          </cell>
          <cell r="D292" t="str">
            <v>C1SR</v>
          </cell>
          <cell r="E292">
            <v>40840</v>
          </cell>
          <cell r="F292">
            <v>41089</v>
          </cell>
        </row>
        <row r="293">
          <cell r="A293">
            <v>290</v>
          </cell>
          <cell r="B293">
            <v>0.94318475309446992</v>
          </cell>
          <cell r="C293" t="str">
            <v>J51972</v>
          </cell>
          <cell r="D293" t="str">
            <v>C1SR</v>
          </cell>
          <cell r="E293">
            <v>40840</v>
          </cell>
          <cell r="F293">
            <v>41089</v>
          </cell>
        </row>
        <row r="294">
          <cell r="A294">
            <v>291</v>
          </cell>
          <cell r="B294">
            <v>0.10108592095306712</v>
          </cell>
          <cell r="C294" t="str">
            <v>J68685</v>
          </cell>
          <cell r="D294" t="str">
            <v>C1SR</v>
          </cell>
          <cell r="E294">
            <v>40862</v>
          </cell>
          <cell r="F294">
            <v>41089</v>
          </cell>
        </row>
        <row r="295">
          <cell r="A295">
            <v>292</v>
          </cell>
          <cell r="B295">
            <v>0.88052318334787538</v>
          </cell>
          <cell r="C295" t="str">
            <v>J71284</v>
          </cell>
          <cell r="D295" t="str">
            <v>C1SR</v>
          </cell>
          <cell r="E295">
            <v>40862</v>
          </cell>
          <cell r="F295">
            <v>41089</v>
          </cell>
        </row>
        <row r="296">
          <cell r="A296">
            <v>293</v>
          </cell>
          <cell r="B296">
            <v>0.93362135183950923</v>
          </cell>
          <cell r="C296" t="str">
            <v>J71704</v>
          </cell>
          <cell r="D296" t="str">
            <v>C1SR</v>
          </cell>
          <cell r="E296">
            <v>40862</v>
          </cell>
          <cell r="F296">
            <v>41089</v>
          </cell>
        </row>
        <row r="297">
          <cell r="A297">
            <v>294</v>
          </cell>
          <cell r="B297">
            <v>0.80461832773710584</v>
          </cell>
          <cell r="C297" t="str">
            <v>J77416</v>
          </cell>
          <cell r="D297" t="str">
            <v>C1SR</v>
          </cell>
          <cell r="E297">
            <v>40865</v>
          </cell>
          <cell r="F297">
            <v>41089</v>
          </cell>
        </row>
        <row r="298">
          <cell r="A298">
            <v>295</v>
          </cell>
          <cell r="B298">
            <v>0.19330522313245802</v>
          </cell>
          <cell r="C298" t="str">
            <v>G92507</v>
          </cell>
          <cell r="D298" t="str">
            <v>C1SR</v>
          </cell>
          <cell r="E298">
            <v>40568</v>
          </cell>
          <cell r="F298">
            <v>41092</v>
          </cell>
        </row>
        <row r="299">
          <cell r="A299">
            <v>296</v>
          </cell>
          <cell r="B299">
            <v>0.42257338583159765</v>
          </cell>
          <cell r="C299" t="str">
            <v>G94031</v>
          </cell>
          <cell r="D299" t="str">
            <v>C1SR</v>
          </cell>
          <cell r="E299">
            <v>40568</v>
          </cell>
          <cell r="F299">
            <v>41092</v>
          </cell>
        </row>
        <row r="300">
          <cell r="A300">
            <v>297</v>
          </cell>
          <cell r="B300">
            <v>5.5633114174985954E-2</v>
          </cell>
          <cell r="C300" t="str">
            <v>H61296</v>
          </cell>
          <cell r="D300" t="str">
            <v>C1SR</v>
          </cell>
          <cell r="E300">
            <v>40638</v>
          </cell>
          <cell r="F300">
            <v>41092</v>
          </cell>
        </row>
        <row r="301">
          <cell r="A301">
            <v>298</v>
          </cell>
          <cell r="B301">
            <v>0.3465276339189326</v>
          </cell>
          <cell r="C301" t="str">
            <v>H65271</v>
          </cell>
          <cell r="D301" t="str">
            <v>C1SR</v>
          </cell>
          <cell r="E301">
            <v>40683</v>
          </cell>
          <cell r="F301">
            <v>41092</v>
          </cell>
        </row>
        <row r="302">
          <cell r="A302">
            <v>299</v>
          </cell>
          <cell r="B302">
            <v>0.56071659747869362</v>
          </cell>
          <cell r="C302" t="str">
            <v>J03228</v>
          </cell>
          <cell r="D302" t="str">
            <v>C1SR</v>
          </cell>
          <cell r="E302">
            <v>40798</v>
          </cell>
          <cell r="F302">
            <v>41092</v>
          </cell>
        </row>
        <row r="303">
          <cell r="A303">
            <v>300</v>
          </cell>
          <cell r="B303">
            <v>0.90136946201335832</v>
          </cell>
          <cell r="C303" t="str">
            <v>J20494</v>
          </cell>
          <cell r="D303" t="str">
            <v>C1SR</v>
          </cell>
          <cell r="E303">
            <v>40800</v>
          </cell>
          <cell r="F303">
            <v>41092</v>
          </cell>
        </row>
        <row r="304">
          <cell r="A304">
            <v>301</v>
          </cell>
          <cell r="B304">
            <v>0.11663335242529616</v>
          </cell>
          <cell r="C304" t="str">
            <v>J22601</v>
          </cell>
          <cell r="D304" t="str">
            <v>C1SR</v>
          </cell>
          <cell r="E304">
            <v>40800</v>
          </cell>
          <cell r="F304">
            <v>41092</v>
          </cell>
        </row>
        <row r="305">
          <cell r="A305">
            <v>302</v>
          </cell>
          <cell r="B305">
            <v>0.2045310930429054</v>
          </cell>
          <cell r="C305" t="str">
            <v>J25619</v>
          </cell>
          <cell r="D305" t="str">
            <v>C1SR</v>
          </cell>
          <cell r="E305">
            <v>40828</v>
          </cell>
          <cell r="F305">
            <v>41092</v>
          </cell>
        </row>
        <row r="306">
          <cell r="A306">
            <v>303</v>
          </cell>
          <cell r="B306">
            <v>0.60571846474763913</v>
          </cell>
          <cell r="C306" t="str">
            <v>J38194</v>
          </cell>
          <cell r="D306" t="str">
            <v>C1SR</v>
          </cell>
          <cell r="E306">
            <v>40834</v>
          </cell>
          <cell r="F306">
            <v>41092</v>
          </cell>
        </row>
        <row r="307">
          <cell r="A307">
            <v>304</v>
          </cell>
          <cell r="B307">
            <v>0.91819624924033161</v>
          </cell>
          <cell r="C307" t="str">
            <v>J50902</v>
          </cell>
          <cell r="D307" t="str">
            <v>C1SR</v>
          </cell>
          <cell r="E307">
            <v>40840</v>
          </cell>
          <cell r="F307">
            <v>41092</v>
          </cell>
        </row>
        <row r="308">
          <cell r="A308">
            <v>305</v>
          </cell>
          <cell r="B308">
            <v>0.66350298298112897</v>
          </cell>
          <cell r="C308" t="str">
            <v>J55049</v>
          </cell>
          <cell r="D308" t="str">
            <v>C1SR</v>
          </cell>
          <cell r="E308">
            <v>40855</v>
          </cell>
          <cell r="F308">
            <v>41092</v>
          </cell>
        </row>
        <row r="309">
          <cell r="A309">
            <v>306</v>
          </cell>
          <cell r="B309">
            <v>0.59398924282313648</v>
          </cell>
          <cell r="C309" t="str">
            <v>J61776</v>
          </cell>
          <cell r="D309" t="str">
            <v>C1SR</v>
          </cell>
          <cell r="E309">
            <v>40855</v>
          </cell>
          <cell r="F309">
            <v>41092</v>
          </cell>
        </row>
        <row r="310">
          <cell r="A310">
            <v>307</v>
          </cell>
          <cell r="B310">
            <v>1.9378908369346304E-2</v>
          </cell>
          <cell r="C310" t="str">
            <v>J68352</v>
          </cell>
          <cell r="D310" t="str">
            <v>C1SR</v>
          </cell>
          <cell r="E310">
            <v>40862</v>
          </cell>
          <cell r="F310">
            <v>41092</v>
          </cell>
        </row>
        <row r="311">
          <cell r="A311">
            <v>308</v>
          </cell>
          <cell r="B311">
            <v>4.3177325275464584E-2</v>
          </cell>
          <cell r="C311" t="str">
            <v>J69032</v>
          </cell>
          <cell r="D311" t="str">
            <v>C1SR</v>
          </cell>
          <cell r="E311">
            <v>40862</v>
          </cell>
          <cell r="F311">
            <v>41092</v>
          </cell>
        </row>
        <row r="312">
          <cell r="A312">
            <v>309</v>
          </cell>
          <cell r="B312">
            <v>7.8289114985542141E-2</v>
          </cell>
          <cell r="C312" t="str">
            <v>J71036</v>
          </cell>
          <cell r="D312" t="str">
            <v>C1SR</v>
          </cell>
          <cell r="E312">
            <v>40862</v>
          </cell>
          <cell r="F312">
            <v>41092</v>
          </cell>
        </row>
        <row r="313">
          <cell r="A313">
            <v>310</v>
          </cell>
          <cell r="B313">
            <v>0.37008707239918093</v>
          </cell>
          <cell r="C313" t="str">
            <v>J71629</v>
          </cell>
          <cell r="D313" t="str">
            <v>C1SR</v>
          </cell>
          <cell r="E313">
            <v>40862</v>
          </cell>
          <cell r="F313">
            <v>41092</v>
          </cell>
        </row>
        <row r="314">
          <cell r="A314">
            <v>311</v>
          </cell>
          <cell r="B314">
            <v>0.39228917995554402</v>
          </cell>
          <cell r="C314" t="str">
            <v>J75937</v>
          </cell>
          <cell r="D314" t="str">
            <v>C1SR</v>
          </cell>
          <cell r="E314">
            <v>40865</v>
          </cell>
          <cell r="F314">
            <v>41092</v>
          </cell>
        </row>
        <row r="315">
          <cell r="A315">
            <v>312</v>
          </cell>
          <cell r="B315">
            <v>0.81044651842113835</v>
          </cell>
          <cell r="C315" t="str">
            <v>J76379</v>
          </cell>
          <cell r="D315" t="str">
            <v>C1SR</v>
          </cell>
          <cell r="E315">
            <v>40865</v>
          </cell>
          <cell r="F315">
            <v>41092</v>
          </cell>
        </row>
        <row r="316">
          <cell r="A316">
            <v>313</v>
          </cell>
          <cell r="B316">
            <v>6.2023286973553637E-2</v>
          </cell>
          <cell r="C316" t="str">
            <v>J77468</v>
          </cell>
          <cell r="D316" t="str">
            <v>C1SR</v>
          </cell>
          <cell r="E316">
            <v>40865</v>
          </cell>
          <cell r="F316">
            <v>41092</v>
          </cell>
        </row>
        <row r="317">
          <cell r="A317">
            <v>314</v>
          </cell>
          <cell r="B317">
            <v>0.3800916151262933</v>
          </cell>
          <cell r="C317" t="str">
            <v>J79046</v>
          </cell>
          <cell r="D317" t="str">
            <v>C1SR</v>
          </cell>
          <cell r="E317">
            <v>40865</v>
          </cell>
          <cell r="F317">
            <v>41092</v>
          </cell>
        </row>
        <row r="318">
          <cell r="A318">
            <v>315</v>
          </cell>
          <cell r="B318">
            <v>0.90850046241785365</v>
          </cell>
          <cell r="C318" t="str">
            <v>G92703</v>
          </cell>
          <cell r="D318" t="str">
            <v>C1SR</v>
          </cell>
          <cell r="E318">
            <v>40568</v>
          </cell>
          <cell r="F318">
            <v>41096</v>
          </cell>
        </row>
        <row r="319">
          <cell r="A319">
            <v>316</v>
          </cell>
          <cell r="B319">
            <v>8.6526336815035298E-2</v>
          </cell>
          <cell r="C319" t="str">
            <v>H52139</v>
          </cell>
          <cell r="D319" t="str">
            <v>C1SR</v>
          </cell>
          <cell r="E319">
            <v>40598</v>
          </cell>
          <cell r="F319">
            <v>41096</v>
          </cell>
        </row>
        <row r="320">
          <cell r="A320">
            <v>317</v>
          </cell>
          <cell r="B320">
            <v>4.9529773161668067E-2</v>
          </cell>
          <cell r="C320" t="str">
            <v>J63215</v>
          </cell>
          <cell r="D320" t="str">
            <v>C1SR</v>
          </cell>
          <cell r="E320">
            <v>40862</v>
          </cell>
          <cell r="F320">
            <v>41096</v>
          </cell>
        </row>
        <row r="321">
          <cell r="A321">
            <v>318</v>
          </cell>
          <cell r="B321">
            <v>0.88365940970433943</v>
          </cell>
          <cell r="C321" t="str">
            <v>J76074</v>
          </cell>
          <cell r="D321" t="str">
            <v>C1SR</v>
          </cell>
          <cell r="E321">
            <v>40865</v>
          </cell>
          <cell r="F321">
            <v>41096</v>
          </cell>
        </row>
        <row r="322">
          <cell r="A322">
            <v>319</v>
          </cell>
          <cell r="B322">
            <v>0.99023283079399038</v>
          </cell>
          <cell r="C322" t="str">
            <v>H75071</v>
          </cell>
          <cell r="D322" t="str">
            <v>C1SR</v>
          </cell>
          <cell r="E322">
            <v>40744</v>
          </cell>
          <cell r="F322">
            <v>41099</v>
          </cell>
        </row>
        <row r="323">
          <cell r="A323">
            <v>320</v>
          </cell>
          <cell r="B323">
            <v>0.79208799671343078</v>
          </cell>
          <cell r="C323" t="str">
            <v>J47933</v>
          </cell>
          <cell r="D323" t="str">
            <v>C1SR</v>
          </cell>
          <cell r="E323">
            <v>40840</v>
          </cell>
          <cell r="F323">
            <v>41099</v>
          </cell>
        </row>
        <row r="324">
          <cell r="A324">
            <v>321</v>
          </cell>
          <cell r="B324">
            <v>0.11455624189273828</v>
          </cell>
          <cell r="C324" t="str">
            <v>J55773</v>
          </cell>
          <cell r="D324" t="str">
            <v>C1SR</v>
          </cell>
          <cell r="E324">
            <v>40855</v>
          </cell>
          <cell r="F324">
            <v>41099</v>
          </cell>
        </row>
        <row r="325">
          <cell r="A325">
            <v>322</v>
          </cell>
          <cell r="B325">
            <v>0.13523331209522371</v>
          </cell>
          <cell r="C325" t="str">
            <v>J77930</v>
          </cell>
          <cell r="D325" t="str">
            <v>C1SR</v>
          </cell>
          <cell r="E325">
            <v>40865</v>
          </cell>
          <cell r="F325">
            <v>41099</v>
          </cell>
        </row>
        <row r="326">
          <cell r="A326">
            <v>323</v>
          </cell>
          <cell r="B326">
            <v>8.6164723555044676E-2</v>
          </cell>
          <cell r="C326" t="str">
            <v>J92542</v>
          </cell>
          <cell r="D326" t="str">
            <v>C1SR</v>
          </cell>
          <cell r="E326">
            <v>40862</v>
          </cell>
          <cell r="F326">
            <v>41099</v>
          </cell>
        </row>
        <row r="327">
          <cell r="A327">
            <v>324</v>
          </cell>
          <cell r="B327">
            <v>0.46149272292092647</v>
          </cell>
          <cell r="C327" t="str">
            <v>J94591</v>
          </cell>
          <cell r="D327" t="str">
            <v>C1SR</v>
          </cell>
          <cell r="E327">
            <v>40875</v>
          </cell>
          <cell r="F327">
            <v>41099</v>
          </cell>
        </row>
        <row r="328">
          <cell r="A328">
            <v>325</v>
          </cell>
          <cell r="B328">
            <v>0.99263390538359908</v>
          </cell>
          <cell r="C328" t="str">
            <v>J95143</v>
          </cell>
          <cell r="D328" t="str">
            <v>C1SR</v>
          </cell>
          <cell r="E328">
            <v>40875</v>
          </cell>
          <cell r="F328">
            <v>41099</v>
          </cell>
        </row>
        <row r="329">
          <cell r="A329">
            <v>326</v>
          </cell>
          <cell r="B329">
            <v>0.61748623581924689</v>
          </cell>
          <cell r="C329" t="str">
            <v>J96337</v>
          </cell>
          <cell r="D329" t="str">
            <v>C1SR</v>
          </cell>
          <cell r="E329">
            <v>40875</v>
          </cell>
          <cell r="F329">
            <v>41099</v>
          </cell>
        </row>
        <row r="330">
          <cell r="A330">
            <v>327</v>
          </cell>
          <cell r="B330">
            <v>0.65063032075205729</v>
          </cell>
          <cell r="C330" t="str">
            <v>J96351</v>
          </cell>
          <cell r="D330" t="str">
            <v>C1SR</v>
          </cell>
          <cell r="E330">
            <v>40875</v>
          </cell>
          <cell r="F330">
            <v>41099</v>
          </cell>
        </row>
        <row r="331">
          <cell r="A331">
            <v>328</v>
          </cell>
          <cell r="B331">
            <v>0.41839606128540119</v>
          </cell>
          <cell r="C331" t="str">
            <v>G93255</v>
          </cell>
          <cell r="D331" t="str">
            <v>C1SR</v>
          </cell>
          <cell r="E331">
            <v>40568</v>
          </cell>
          <cell r="F331">
            <v>41100</v>
          </cell>
        </row>
        <row r="332">
          <cell r="A332">
            <v>329</v>
          </cell>
          <cell r="B332">
            <v>0.65057210850246894</v>
          </cell>
          <cell r="C332" t="str">
            <v>H53848</v>
          </cell>
          <cell r="D332" t="str">
            <v>C1SR</v>
          </cell>
          <cell r="E332">
            <v>40631</v>
          </cell>
          <cell r="F332">
            <v>41100</v>
          </cell>
        </row>
        <row r="333">
          <cell r="A333">
            <v>330</v>
          </cell>
          <cell r="B333">
            <v>0.36118638872775022</v>
          </cell>
          <cell r="C333" t="str">
            <v>H57912</v>
          </cell>
          <cell r="D333" t="str">
            <v>C1SR</v>
          </cell>
          <cell r="E333">
            <v>40631</v>
          </cell>
          <cell r="F333">
            <v>41100</v>
          </cell>
        </row>
        <row r="334">
          <cell r="A334">
            <v>331</v>
          </cell>
          <cell r="B334">
            <v>0.9171645264051218</v>
          </cell>
          <cell r="C334" t="str">
            <v>H58482</v>
          </cell>
          <cell r="D334" t="str">
            <v>C1SR</v>
          </cell>
          <cell r="E334">
            <v>40631</v>
          </cell>
          <cell r="F334">
            <v>41100</v>
          </cell>
        </row>
        <row r="335">
          <cell r="A335">
            <v>332</v>
          </cell>
          <cell r="B335">
            <v>0.20679172886530184</v>
          </cell>
          <cell r="C335" t="str">
            <v>H59644</v>
          </cell>
          <cell r="D335" t="str">
            <v>C1SR</v>
          </cell>
          <cell r="E335">
            <v>40638</v>
          </cell>
          <cell r="F335">
            <v>41100</v>
          </cell>
        </row>
        <row r="336">
          <cell r="A336">
            <v>333</v>
          </cell>
          <cell r="B336">
            <v>0.93948093943947752</v>
          </cell>
          <cell r="C336" t="str">
            <v>H61583</v>
          </cell>
          <cell r="D336" t="str">
            <v>C1SR</v>
          </cell>
          <cell r="E336">
            <v>40638</v>
          </cell>
          <cell r="F336">
            <v>41100</v>
          </cell>
        </row>
        <row r="337">
          <cell r="A337">
            <v>334</v>
          </cell>
          <cell r="B337">
            <v>0.98393079953909945</v>
          </cell>
          <cell r="C337" t="str">
            <v>H66648</v>
          </cell>
          <cell r="D337" t="str">
            <v>C1SR</v>
          </cell>
          <cell r="E337">
            <v>40682</v>
          </cell>
          <cell r="F337">
            <v>41100</v>
          </cell>
        </row>
        <row r="338">
          <cell r="A338">
            <v>335</v>
          </cell>
          <cell r="B338">
            <v>0.1241738157167791</v>
          </cell>
          <cell r="C338" t="str">
            <v>H74676</v>
          </cell>
          <cell r="D338" t="str">
            <v>C1SR</v>
          </cell>
          <cell r="E338">
            <v>40744</v>
          </cell>
          <cell r="F338">
            <v>41100</v>
          </cell>
        </row>
        <row r="339">
          <cell r="A339">
            <v>336</v>
          </cell>
          <cell r="B339">
            <v>0.40365842816725173</v>
          </cell>
          <cell r="C339" t="str">
            <v>H75144</v>
          </cell>
          <cell r="D339" t="str">
            <v>C1SR</v>
          </cell>
          <cell r="E339">
            <v>40744</v>
          </cell>
          <cell r="F339">
            <v>41100</v>
          </cell>
        </row>
        <row r="340">
          <cell r="A340">
            <v>337</v>
          </cell>
          <cell r="B340">
            <v>0.37799959378303716</v>
          </cell>
          <cell r="C340" t="str">
            <v>H75172</v>
          </cell>
          <cell r="D340" t="str">
            <v>C1SR</v>
          </cell>
          <cell r="E340">
            <v>40744</v>
          </cell>
          <cell r="F340">
            <v>41100</v>
          </cell>
        </row>
        <row r="341">
          <cell r="A341">
            <v>338</v>
          </cell>
          <cell r="B341">
            <v>0.69568269076626355</v>
          </cell>
          <cell r="C341" t="str">
            <v>J12959</v>
          </cell>
          <cell r="D341" t="str">
            <v>C1SR</v>
          </cell>
          <cell r="E341">
            <v>40800</v>
          </cell>
          <cell r="F341">
            <v>41100</v>
          </cell>
        </row>
        <row r="342">
          <cell r="A342">
            <v>339</v>
          </cell>
          <cell r="B342">
            <v>0.31063143498918844</v>
          </cell>
          <cell r="C342" t="str">
            <v>J30493</v>
          </cell>
          <cell r="D342" t="str">
            <v>C1SR</v>
          </cell>
          <cell r="E342">
            <v>40828</v>
          </cell>
          <cell r="F342">
            <v>41100</v>
          </cell>
        </row>
        <row r="343">
          <cell r="A343">
            <v>340</v>
          </cell>
          <cell r="B343">
            <v>0.19989307860913019</v>
          </cell>
          <cell r="C343" t="str">
            <v>J40596</v>
          </cell>
          <cell r="D343" t="str">
            <v>C1SR</v>
          </cell>
          <cell r="E343">
            <v>40834</v>
          </cell>
          <cell r="F343">
            <v>41100</v>
          </cell>
        </row>
        <row r="344">
          <cell r="A344">
            <v>341</v>
          </cell>
          <cell r="B344">
            <v>0.33254085995868554</v>
          </cell>
          <cell r="C344" t="str">
            <v>J41613</v>
          </cell>
          <cell r="D344" t="str">
            <v>C1SR</v>
          </cell>
          <cell r="E344">
            <v>40834</v>
          </cell>
          <cell r="F344">
            <v>41100</v>
          </cell>
        </row>
        <row r="345">
          <cell r="A345">
            <v>342</v>
          </cell>
          <cell r="B345">
            <v>0.74225118540627322</v>
          </cell>
          <cell r="C345" t="str">
            <v>J43806</v>
          </cell>
          <cell r="D345" t="str">
            <v>C1SR</v>
          </cell>
          <cell r="E345">
            <v>40840</v>
          </cell>
          <cell r="F345">
            <v>41100</v>
          </cell>
        </row>
        <row r="346">
          <cell r="A346">
            <v>343</v>
          </cell>
          <cell r="B346">
            <v>0.71560718344717067</v>
          </cell>
          <cell r="C346" t="str">
            <v>J48882</v>
          </cell>
          <cell r="D346" t="str">
            <v>C1SR</v>
          </cell>
          <cell r="E346">
            <v>40840</v>
          </cell>
          <cell r="F346">
            <v>41100</v>
          </cell>
        </row>
        <row r="347">
          <cell r="A347">
            <v>344</v>
          </cell>
          <cell r="B347">
            <v>0.10609569983184419</v>
          </cell>
          <cell r="C347" t="str">
            <v>J51991</v>
          </cell>
          <cell r="D347" t="str">
            <v>C1SR</v>
          </cell>
          <cell r="E347">
            <v>40840</v>
          </cell>
          <cell r="F347">
            <v>41100</v>
          </cell>
        </row>
        <row r="348">
          <cell r="A348">
            <v>345</v>
          </cell>
          <cell r="B348">
            <v>0.75138000897761825</v>
          </cell>
          <cell r="C348" t="str">
            <v>J61621</v>
          </cell>
          <cell r="D348" t="str">
            <v>C1SR</v>
          </cell>
          <cell r="E348">
            <v>40855</v>
          </cell>
          <cell r="F348">
            <v>41100</v>
          </cell>
        </row>
        <row r="349">
          <cell r="A349">
            <v>346</v>
          </cell>
          <cell r="B349">
            <v>0.73065253736070668</v>
          </cell>
          <cell r="C349" t="str">
            <v>J67244</v>
          </cell>
          <cell r="D349" t="str">
            <v>C1SR</v>
          </cell>
          <cell r="E349">
            <v>40862</v>
          </cell>
          <cell r="F349">
            <v>41100</v>
          </cell>
        </row>
        <row r="350">
          <cell r="A350">
            <v>347</v>
          </cell>
          <cell r="B350">
            <v>3.3522413544537999E-2</v>
          </cell>
          <cell r="C350" t="str">
            <v>J67273</v>
          </cell>
          <cell r="D350" t="str">
            <v>C1SR</v>
          </cell>
          <cell r="E350">
            <v>40862</v>
          </cell>
          <cell r="F350">
            <v>41100</v>
          </cell>
        </row>
        <row r="351">
          <cell r="A351">
            <v>348</v>
          </cell>
          <cell r="B351">
            <v>0.76638746234047361</v>
          </cell>
          <cell r="C351" t="str">
            <v>J68623</v>
          </cell>
          <cell r="D351" t="str">
            <v>C1SR</v>
          </cell>
          <cell r="E351">
            <v>40862</v>
          </cell>
          <cell r="F351">
            <v>41100</v>
          </cell>
        </row>
        <row r="352">
          <cell r="A352">
            <v>349</v>
          </cell>
          <cell r="B352">
            <v>0.12820512147933194</v>
          </cell>
          <cell r="C352" t="str">
            <v>J69051</v>
          </cell>
          <cell r="D352" t="str">
            <v>C1SR</v>
          </cell>
          <cell r="E352">
            <v>40862</v>
          </cell>
          <cell r="F352">
            <v>41100</v>
          </cell>
        </row>
        <row r="353">
          <cell r="A353">
            <v>350</v>
          </cell>
          <cell r="B353">
            <v>0.4261636469762633</v>
          </cell>
          <cell r="C353" t="str">
            <v>J69052</v>
          </cell>
          <cell r="D353" t="str">
            <v>C1SR</v>
          </cell>
          <cell r="E353">
            <v>40862</v>
          </cell>
          <cell r="F353">
            <v>41100</v>
          </cell>
        </row>
        <row r="354">
          <cell r="A354">
            <v>351</v>
          </cell>
          <cell r="B354">
            <v>8.0032141593795791E-2</v>
          </cell>
          <cell r="C354" t="str">
            <v>J76303</v>
          </cell>
          <cell r="D354" t="str">
            <v>C1SR</v>
          </cell>
          <cell r="E354">
            <v>40865</v>
          </cell>
          <cell r="F354">
            <v>41100</v>
          </cell>
        </row>
        <row r="355">
          <cell r="A355">
            <v>352</v>
          </cell>
          <cell r="B355">
            <v>0.70840527011640864</v>
          </cell>
          <cell r="C355" t="str">
            <v>J86329</v>
          </cell>
          <cell r="D355" t="str">
            <v>C1SR</v>
          </cell>
          <cell r="E355">
            <v>40822</v>
          </cell>
          <cell r="F355">
            <v>41100</v>
          </cell>
        </row>
        <row r="356">
          <cell r="A356">
            <v>353</v>
          </cell>
          <cell r="B356">
            <v>0.14961041317750712</v>
          </cell>
          <cell r="C356" t="str">
            <v>J95809</v>
          </cell>
          <cell r="D356" t="str">
            <v>C1SR</v>
          </cell>
          <cell r="E356">
            <v>40875</v>
          </cell>
          <cell r="F356">
            <v>41100</v>
          </cell>
        </row>
        <row r="357">
          <cell r="A357">
            <v>354</v>
          </cell>
          <cell r="B357">
            <v>0.95252488313925832</v>
          </cell>
          <cell r="C357" t="str">
            <v>J96157</v>
          </cell>
          <cell r="D357" t="str">
            <v>C1SR</v>
          </cell>
          <cell r="E357">
            <v>40875</v>
          </cell>
          <cell r="F357">
            <v>41100</v>
          </cell>
        </row>
        <row r="358">
          <cell r="A358">
            <v>355</v>
          </cell>
          <cell r="B358">
            <v>0.27818954265515983</v>
          </cell>
          <cell r="C358" t="str">
            <v>H75101</v>
          </cell>
          <cell r="D358" t="str">
            <v>C1SR</v>
          </cell>
          <cell r="E358">
            <v>40744</v>
          </cell>
          <cell r="F358">
            <v>41101</v>
          </cell>
        </row>
        <row r="359">
          <cell r="A359">
            <v>356</v>
          </cell>
          <cell r="B359">
            <v>0.92319925932225488</v>
          </cell>
          <cell r="C359" t="str">
            <v>J88869</v>
          </cell>
          <cell r="D359" t="str">
            <v>C1SR</v>
          </cell>
          <cell r="E359">
            <v>40844</v>
          </cell>
          <cell r="F359">
            <v>41101</v>
          </cell>
        </row>
        <row r="360">
          <cell r="A360">
            <v>357</v>
          </cell>
          <cell r="B360">
            <v>0.60321167742876058</v>
          </cell>
          <cell r="C360" t="str">
            <v>J53117</v>
          </cell>
          <cell r="D360" t="str">
            <v>C1SR</v>
          </cell>
          <cell r="E360">
            <v>40855</v>
          </cell>
          <cell r="F360">
            <v>41102</v>
          </cell>
        </row>
        <row r="361">
          <cell r="A361">
            <v>358</v>
          </cell>
          <cell r="B361">
            <v>0.38563842936205295</v>
          </cell>
          <cell r="C361" t="str">
            <v>J96342</v>
          </cell>
          <cell r="D361" t="str">
            <v>C1SR</v>
          </cell>
          <cell r="E361">
            <v>40875</v>
          </cell>
          <cell r="F361">
            <v>41102</v>
          </cell>
        </row>
        <row r="362">
          <cell r="A362">
            <v>359</v>
          </cell>
          <cell r="B362">
            <v>6.5769571825139539E-2</v>
          </cell>
          <cell r="C362" t="str">
            <v>J96350</v>
          </cell>
          <cell r="D362" t="str">
            <v>C1SR</v>
          </cell>
          <cell r="E362">
            <v>40875</v>
          </cell>
          <cell r="F362">
            <v>41102</v>
          </cell>
        </row>
        <row r="363">
          <cell r="A363">
            <v>360</v>
          </cell>
          <cell r="B363">
            <v>0.22800988496987262</v>
          </cell>
          <cell r="C363" t="str">
            <v>H54589</v>
          </cell>
          <cell r="D363" t="str">
            <v>C1SR</v>
          </cell>
          <cell r="E363">
            <v>40631</v>
          </cell>
          <cell r="F363">
            <v>41103</v>
          </cell>
        </row>
        <row r="364">
          <cell r="A364">
            <v>361</v>
          </cell>
          <cell r="B364">
            <v>0.8427319842696902</v>
          </cell>
          <cell r="C364" t="str">
            <v>H57694</v>
          </cell>
          <cell r="D364" t="str">
            <v>C1SR</v>
          </cell>
          <cell r="E364">
            <v>40631</v>
          </cell>
          <cell r="F364">
            <v>41103</v>
          </cell>
        </row>
        <row r="365">
          <cell r="A365">
            <v>362</v>
          </cell>
          <cell r="B365">
            <v>0.89942714482929631</v>
          </cell>
          <cell r="C365" t="str">
            <v>J11022</v>
          </cell>
          <cell r="D365" t="str">
            <v>C1SR</v>
          </cell>
          <cell r="E365">
            <v>40800</v>
          </cell>
          <cell r="F365">
            <v>41103</v>
          </cell>
        </row>
        <row r="366">
          <cell r="A366">
            <v>363</v>
          </cell>
          <cell r="B366">
            <v>8.2720380654992876E-2</v>
          </cell>
          <cell r="C366" t="str">
            <v>J19113</v>
          </cell>
          <cell r="D366" t="str">
            <v>C1SR</v>
          </cell>
          <cell r="E366">
            <v>40800</v>
          </cell>
          <cell r="F366">
            <v>41103</v>
          </cell>
        </row>
        <row r="367">
          <cell r="A367">
            <v>364</v>
          </cell>
          <cell r="B367">
            <v>0.95247398364737268</v>
          </cell>
          <cell r="C367" t="str">
            <v>J46673</v>
          </cell>
          <cell r="D367" t="str">
            <v>C1SR</v>
          </cell>
          <cell r="E367">
            <v>40840</v>
          </cell>
          <cell r="F367">
            <v>41103</v>
          </cell>
        </row>
        <row r="368">
          <cell r="A368">
            <v>365</v>
          </cell>
          <cell r="B368">
            <v>0.32087844261921905</v>
          </cell>
          <cell r="C368" t="str">
            <v>J46890</v>
          </cell>
          <cell r="D368" t="str">
            <v>C1SR</v>
          </cell>
          <cell r="E368">
            <v>40840</v>
          </cell>
          <cell r="F368">
            <v>41103</v>
          </cell>
        </row>
        <row r="369">
          <cell r="A369">
            <v>366</v>
          </cell>
          <cell r="B369">
            <v>0.98634466809147214</v>
          </cell>
          <cell r="C369" t="str">
            <v>J55103</v>
          </cell>
          <cell r="D369" t="str">
            <v>C1SR</v>
          </cell>
          <cell r="E369">
            <v>40855</v>
          </cell>
          <cell r="F369">
            <v>41103</v>
          </cell>
        </row>
        <row r="370">
          <cell r="A370">
            <v>367</v>
          </cell>
          <cell r="B370">
            <v>1.572719262679978E-2</v>
          </cell>
          <cell r="C370" t="str">
            <v>J55781</v>
          </cell>
          <cell r="D370" t="str">
            <v>C1SR</v>
          </cell>
          <cell r="E370">
            <v>40855</v>
          </cell>
          <cell r="F370">
            <v>41103</v>
          </cell>
        </row>
        <row r="371">
          <cell r="A371">
            <v>368</v>
          </cell>
          <cell r="B371">
            <v>0.42219276789042726</v>
          </cell>
          <cell r="C371" t="str">
            <v>J61611</v>
          </cell>
          <cell r="D371" t="str">
            <v>C1SR</v>
          </cell>
          <cell r="E371">
            <v>40855</v>
          </cell>
          <cell r="F371">
            <v>41103</v>
          </cell>
        </row>
        <row r="372">
          <cell r="A372">
            <v>369</v>
          </cell>
          <cell r="B372">
            <v>0.38372695643237198</v>
          </cell>
          <cell r="C372" t="str">
            <v>J95113</v>
          </cell>
          <cell r="D372" t="str">
            <v>C1SR</v>
          </cell>
          <cell r="E372">
            <v>40875</v>
          </cell>
          <cell r="F372">
            <v>41103</v>
          </cell>
        </row>
        <row r="373">
          <cell r="A373">
            <v>370</v>
          </cell>
          <cell r="B373">
            <v>0.58785758780716413</v>
          </cell>
          <cell r="C373" t="str">
            <v>H56418</v>
          </cell>
          <cell r="D373" t="str">
            <v>C1SR</v>
          </cell>
          <cell r="E373">
            <v>40631</v>
          </cell>
          <cell r="F373">
            <v>41109</v>
          </cell>
        </row>
        <row r="374">
          <cell r="A374">
            <v>371</v>
          </cell>
          <cell r="B374">
            <v>7.2939629157586228E-2</v>
          </cell>
          <cell r="C374" t="str">
            <v>J02637</v>
          </cell>
          <cell r="D374" t="str">
            <v>C1SR</v>
          </cell>
          <cell r="E374">
            <v>40798</v>
          </cell>
          <cell r="F374">
            <v>41109</v>
          </cell>
        </row>
        <row r="375">
          <cell r="A375">
            <v>372</v>
          </cell>
          <cell r="B375">
            <v>0.77801433493540684</v>
          </cell>
          <cell r="C375" t="str">
            <v>J12922</v>
          </cell>
          <cell r="D375" t="str">
            <v>C1SR</v>
          </cell>
          <cell r="E375">
            <v>40800</v>
          </cell>
          <cell r="F375">
            <v>41109</v>
          </cell>
        </row>
        <row r="376">
          <cell r="A376">
            <v>373</v>
          </cell>
          <cell r="B376">
            <v>0.63644189299003484</v>
          </cell>
          <cell r="C376" t="str">
            <v>J15326</v>
          </cell>
          <cell r="D376" t="str">
            <v>C1SR</v>
          </cell>
          <cell r="E376">
            <v>40806</v>
          </cell>
          <cell r="F376">
            <v>41109</v>
          </cell>
        </row>
        <row r="377">
          <cell r="A377">
            <v>374</v>
          </cell>
          <cell r="B377">
            <v>0.17710810321691195</v>
          </cell>
          <cell r="C377" t="str">
            <v>J96192</v>
          </cell>
          <cell r="D377" t="str">
            <v>C1SR</v>
          </cell>
          <cell r="E377">
            <v>40875</v>
          </cell>
          <cell r="F377">
            <v>41109</v>
          </cell>
        </row>
        <row r="378">
          <cell r="A378">
            <v>375</v>
          </cell>
          <cell r="B378">
            <v>0.24078045830066286</v>
          </cell>
          <cell r="C378" t="str">
            <v>G95168</v>
          </cell>
          <cell r="D378" t="str">
            <v>C1SR</v>
          </cell>
          <cell r="E378">
            <v>40626</v>
          </cell>
          <cell r="F378">
            <v>41110</v>
          </cell>
        </row>
        <row r="379">
          <cell r="A379">
            <v>376</v>
          </cell>
          <cell r="B379">
            <v>0.47409570796858469</v>
          </cell>
          <cell r="C379" t="str">
            <v>H54174</v>
          </cell>
          <cell r="D379" t="str">
            <v>C1SR</v>
          </cell>
          <cell r="E379">
            <v>40631</v>
          </cell>
          <cell r="F379">
            <v>41110</v>
          </cell>
        </row>
        <row r="380">
          <cell r="A380">
            <v>377</v>
          </cell>
          <cell r="B380">
            <v>0.23093429572528124</v>
          </cell>
          <cell r="C380" t="str">
            <v>H62154</v>
          </cell>
          <cell r="D380" t="str">
            <v>C1SR</v>
          </cell>
          <cell r="E380">
            <v>40638</v>
          </cell>
          <cell r="F380">
            <v>41110</v>
          </cell>
        </row>
        <row r="381">
          <cell r="A381">
            <v>378</v>
          </cell>
          <cell r="B381">
            <v>0.69737224584863455</v>
          </cell>
          <cell r="C381" t="str">
            <v>H64210</v>
          </cell>
          <cell r="D381" t="str">
            <v>C1SR</v>
          </cell>
          <cell r="E381">
            <v>40638</v>
          </cell>
          <cell r="F381">
            <v>41110</v>
          </cell>
        </row>
        <row r="382">
          <cell r="A382">
            <v>379</v>
          </cell>
          <cell r="B382">
            <v>0.43199543522363693</v>
          </cell>
          <cell r="C382" t="str">
            <v>H72459</v>
          </cell>
          <cell r="D382" t="str">
            <v>C1SR</v>
          </cell>
          <cell r="E382">
            <v>40682</v>
          </cell>
          <cell r="F382">
            <v>41110</v>
          </cell>
        </row>
        <row r="383">
          <cell r="A383">
            <v>380</v>
          </cell>
          <cell r="B383">
            <v>0.73192857580799087</v>
          </cell>
          <cell r="C383" t="str">
            <v>H74783</v>
          </cell>
          <cell r="D383" t="str">
            <v>C1SR</v>
          </cell>
          <cell r="E383">
            <v>40744</v>
          </cell>
          <cell r="F383">
            <v>41110</v>
          </cell>
        </row>
        <row r="384">
          <cell r="A384">
            <v>381</v>
          </cell>
          <cell r="B384">
            <v>0.11190788354495551</v>
          </cell>
          <cell r="C384" t="str">
            <v>H76048</v>
          </cell>
          <cell r="D384" t="str">
            <v>C1SR</v>
          </cell>
          <cell r="E384">
            <v>40744</v>
          </cell>
          <cell r="F384">
            <v>41110</v>
          </cell>
        </row>
        <row r="385">
          <cell r="A385">
            <v>382</v>
          </cell>
          <cell r="B385">
            <v>0.41894759341381971</v>
          </cell>
          <cell r="C385" t="str">
            <v>H76074</v>
          </cell>
          <cell r="D385" t="str">
            <v>C1SR</v>
          </cell>
          <cell r="E385">
            <v>40744</v>
          </cell>
          <cell r="F385">
            <v>41110</v>
          </cell>
        </row>
        <row r="386">
          <cell r="A386">
            <v>383</v>
          </cell>
          <cell r="B386">
            <v>0.66239138110736373</v>
          </cell>
          <cell r="C386" t="str">
            <v>J09263</v>
          </cell>
          <cell r="D386" t="str">
            <v>C1SR</v>
          </cell>
          <cell r="E386">
            <v>40798</v>
          </cell>
          <cell r="F386">
            <v>41110</v>
          </cell>
        </row>
        <row r="387">
          <cell r="A387">
            <v>384</v>
          </cell>
          <cell r="B387">
            <v>0.9016064875468327</v>
          </cell>
          <cell r="C387" t="str">
            <v>J48838</v>
          </cell>
          <cell r="D387" t="str">
            <v>C1SR</v>
          </cell>
          <cell r="E387">
            <v>40840</v>
          </cell>
          <cell r="F387">
            <v>41110</v>
          </cell>
        </row>
        <row r="388">
          <cell r="A388">
            <v>385</v>
          </cell>
          <cell r="B388">
            <v>0.61155203629122501</v>
          </cell>
          <cell r="C388" t="str">
            <v>J55809</v>
          </cell>
          <cell r="D388" t="str">
            <v>C1SR</v>
          </cell>
          <cell r="E388">
            <v>40855</v>
          </cell>
          <cell r="F388">
            <v>41110</v>
          </cell>
        </row>
        <row r="389">
          <cell r="A389">
            <v>386</v>
          </cell>
          <cell r="B389">
            <v>0.69498240978284509</v>
          </cell>
          <cell r="C389" t="str">
            <v>J62101</v>
          </cell>
          <cell r="D389" t="str">
            <v>C1SR</v>
          </cell>
          <cell r="E389">
            <v>40862</v>
          </cell>
          <cell r="F389">
            <v>41110</v>
          </cell>
        </row>
        <row r="390">
          <cell r="A390">
            <v>387</v>
          </cell>
          <cell r="B390">
            <v>6.4021672445394584E-2</v>
          </cell>
          <cell r="C390" t="str">
            <v>J62559</v>
          </cell>
          <cell r="D390" t="str">
            <v>C1SR</v>
          </cell>
          <cell r="E390">
            <v>40862</v>
          </cell>
          <cell r="F390">
            <v>41110</v>
          </cell>
        </row>
        <row r="391">
          <cell r="A391">
            <v>388</v>
          </cell>
          <cell r="B391">
            <v>0.73094786034196746</v>
          </cell>
          <cell r="C391" t="str">
            <v>J62795</v>
          </cell>
          <cell r="D391" t="str">
            <v>C1SR</v>
          </cell>
          <cell r="E391">
            <v>40862</v>
          </cell>
          <cell r="F391">
            <v>41110</v>
          </cell>
        </row>
        <row r="392">
          <cell r="A392">
            <v>389</v>
          </cell>
          <cell r="B392">
            <v>0.97968834589338549</v>
          </cell>
          <cell r="C392" t="str">
            <v>J62857</v>
          </cell>
          <cell r="D392" t="str">
            <v>C1SR</v>
          </cell>
          <cell r="E392">
            <v>40862</v>
          </cell>
          <cell r="F392">
            <v>41110</v>
          </cell>
        </row>
        <row r="393">
          <cell r="A393">
            <v>390</v>
          </cell>
          <cell r="B393">
            <v>6.6314429108719652E-2</v>
          </cell>
          <cell r="C393" t="str">
            <v>J66419</v>
          </cell>
          <cell r="D393" t="str">
            <v>C1SR</v>
          </cell>
          <cell r="E393">
            <v>40862</v>
          </cell>
          <cell r="F393">
            <v>41110</v>
          </cell>
        </row>
        <row r="394">
          <cell r="A394">
            <v>391</v>
          </cell>
          <cell r="B394">
            <v>0.75738509928216269</v>
          </cell>
          <cell r="C394" t="str">
            <v>J69818</v>
          </cell>
          <cell r="D394" t="str">
            <v>C1SR</v>
          </cell>
          <cell r="E394">
            <v>40862</v>
          </cell>
          <cell r="F394">
            <v>41110</v>
          </cell>
        </row>
        <row r="395">
          <cell r="A395">
            <v>392</v>
          </cell>
          <cell r="B395">
            <v>0.36291382742539047</v>
          </cell>
          <cell r="C395" t="str">
            <v>J70876</v>
          </cell>
          <cell r="D395" t="str">
            <v>C1SR</v>
          </cell>
          <cell r="E395">
            <v>40862</v>
          </cell>
          <cell r="F395">
            <v>41110</v>
          </cell>
        </row>
        <row r="396">
          <cell r="A396">
            <v>393</v>
          </cell>
          <cell r="B396">
            <v>0.49678374274507198</v>
          </cell>
          <cell r="C396" t="str">
            <v>J77913</v>
          </cell>
          <cell r="D396" t="str">
            <v>C1SR</v>
          </cell>
          <cell r="E396">
            <v>40865</v>
          </cell>
          <cell r="F396">
            <v>41110</v>
          </cell>
        </row>
        <row r="397">
          <cell r="A397">
            <v>394</v>
          </cell>
          <cell r="B397">
            <v>0.93749261684760354</v>
          </cell>
          <cell r="C397" t="str">
            <v>J79739</v>
          </cell>
          <cell r="D397" t="str">
            <v>C1SR</v>
          </cell>
          <cell r="E397">
            <v>40865</v>
          </cell>
          <cell r="F397">
            <v>41110</v>
          </cell>
        </row>
        <row r="398">
          <cell r="A398">
            <v>395</v>
          </cell>
          <cell r="B398">
            <v>0.61749363134605761</v>
          </cell>
          <cell r="C398" t="str">
            <v>J83677</v>
          </cell>
          <cell r="D398" t="str">
            <v>C1SR</v>
          </cell>
          <cell r="E398">
            <v>40812</v>
          </cell>
          <cell r="F398">
            <v>41110</v>
          </cell>
        </row>
        <row r="399">
          <cell r="A399">
            <v>396</v>
          </cell>
          <cell r="B399">
            <v>0.53323633120178227</v>
          </cell>
          <cell r="C399" t="str">
            <v>J86958</v>
          </cell>
          <cell r="D399" t="str">
            <v>C1SR</v>
          </cell>
          <cell r="E399">
            <v>40822</v>
          </cell>
          <cell r="F399">
            <v>41110</v>
          </cell>
        </row>
        <row r="400">
          <cell r="A400">
            <v>397</v>
          </cell>
          <cell r="B400">
            <v>0.79202116901356379</v>
          </cell>
          <cell r="C400" t="str">
            <v>J88567</v>
          </cell>
          <cell r="D400" t="str">
            <v>C1SR</v>
          </cell>
          <cell r="E400">
            <v>40848</v>
          </cell>
          <cell r="F400">
            <v>41110</v>
          </cell>
        </row>
        <row r="401">
          <cell r="A401">
            <v>398</v>
          </cell>
          <cell r="B401">
            <v>0.4189247482409636</v>
          </cell>
          <cell r="C401" t="str">
            <v>J92202</v>
          </cell>
          <cell r="D401" t="str">
            <v>C1SR</v>
          </cell>
          <cell r="E401">
            <v>40862</v>
          </cell>
          <cell r="F401">
            <v>41110</v>
          </cell>
        </row>
        <row r="402">
          <cell r="A402">
            <v>399</v>
          </cell>
          <cell r="B402">
            <v>0.130056229160322</v>
          </cell>
          <cell r="C402" t="str">
            <v>J96142</v>
          </cell>
          <cell r="D402" t="str">
            <v>C1SR</v>
          </cell>
          <cell r="E402">
            <v>40875</v>
          </cell>
          <cell r="F402">
            <v>41110</v>
          </cell>
        </row>
        <row r="403">
          <cell r="A403">
            <v>400</v>
          </cell>
          <cell r="B403">
            <v>0.22962471653111516</v>
          </cell>
          <cell r="C403" t="str">
            <v>J96634</v>
          </cell>
          <cell r="D403" t="str">
            <v>C1SR</v>
          </cell>
          <cell r="E403">
            <v>40875</v>
          </cell>
          <cell r="F403">
            <v>41110</v>
          </cell>
        </row>
        <row r="404">
          <cell r="A404">
            <v>401</v>
          </cell>
          <cell r="B404">
            <v>0.51303372070210207</v>
          </cell>
          <cell r="C404" t="str">
            <v>H59823</v>
          </cell>
          <cell r="D404" t="str">
            <v>C1SR</v>
          </cell>
          <cell r="E404">
            <v>40638</v>
          </cell>
          <cell r="F404">
            <v>41113</v>
          </cell>
        </row>
        <row r="405">
          <cell r="A405">
            <v>402</v>
          </cell>
          <cell r="B405">
            <v>0.84507456400097614</v>
          </cell>
          <cell r="C405" t="str">
            <v>J20209</v>
          </cell>
          <cell r="D405" t="str">
            <v>C1SR</v>
          </cell>
          <cell r="E405">
            <v>40800</v>
          </cell>
          <cell r="F405">
            <v>41113</v>
          </cell>
        </row>
        <row r="406">
          <cell r="A406">
            <v>403</v>
          </cell>
          <cell r="B406">
            <v>0.24330323338172388</v>
          </cell>
          <cell r="C406" t="str">
            <v>J48123</v>
          </cell>
          <cell r="D406" t="str">
            <v>C1SR</v>
          </cell>
          <cell r="E406">
            <v>40840</v>
          </cell>
          <cell r="F406">
            <v>41113</v>
          </cell>
        </row>
        <row r="407">
          <cell r="A407">
            <v>404</v>
          </cell>
          <cell r="B407">
            <v>0.29696010902009817</v>
          </cell>
          <cell r="C407" t="str">
            <v>J79729</v>
          </cell>
          <cell r="D407" t="str">
            <v>C1SR</v>
          </cell>
          <cell r="E407">
            <v>40865</v>
          </cell>
          <cell r="F407">
            <v>41113</v>
          </cell>
        </row>
        <row r="408">
          <cell r="A408">
            <v>405</v>
          </cell>
          <cell r="B408">
            <v>0.25403717025115335</v>
          </cell>
          <cell r="C408" t="str">
            <v>J81423</v>
          </cell>
          <cell r="D408" t="str">
            <v>C1SR</v>
          </cell>
          <cell r="E408">
            <v>40865</v>
          </cell>
          <cell r="F408">
            <v>41113</v>
          </cell>
        </row>
        <row r="409">
          <cell r="A409">
            <v>406</v>
          </cell>
          <cell r="B409">
            <v>0.73884041321274807</v>
          </cell>
          <cell r="C409" t="str">
            <v>J82945</v>
          </cell>
          <cell r="D409" t="str">
            <v>C1SR</v>
          </cell>
          <cell r="E409">
            <v>40812</v>
          </cell>
          <cell r="F409">
            <v>41113</v>
          </cell>
        </row>
        <row r="410">
          <cell r="A410">
            <v>407</v>
          </cell>
          <cell r="B410">
            <v>8.9524710608452018E-2</v>
          </cell>
          <cell r="C410" t="str">
            <v>H51912</v>
          </cell>
          <cell r="D410" t="str">
            <v>C1SR</v>
          </cell>
          <cell r="E410">
            <v>40598</v>
          </cell>
          <cell r="F410">
            <v>41116</v>
          </cell>
        </row>
        <row r="411">
          <cell r="A411">
            <v>408</v>
          </cell>
          <cell r="B411">
            <v>0.51580825771105898</v>
          </cell>
          <cell r="C411" t="str">
            <v>H64187</v>
          </cell>
          <cell r="D411" t="str">
            <v>C1SR</v>
          </cell>
          <cell r="E411">
            <v>40638</v>
          </cell>
          <cell r="F411">
            <v>41116</v>
          </cell>
        </row>
        <row r="412">
          <cell r="A412">
            <v>409</v>
          </cell>
          <cell r="B412">
            <v>0.9401367928955584</v>
          </cell>
          <cell r="C412" t="str">
            <v>J23608</v>
          </cell>
          <cell r="D412" t="str">
            <v>C1SR</v>
          </cell>
          <cell r="E412">
            <v>40828</v>
          </cell>
          <cell r="F412">
            <v>41116</v>
          </cell>
        </row>
        <row r="413">
          <cell r="A413">
            <v>410</v>
          </cell>
          <cell r="B413">
            <v>0.54567225624366378</v>
          </cell>
          <cell r="C413" t="str">
            <v>J52545</v>
          </cell>
          <cell r="D413" t="str">
            <v>C1SR</v>
          </cell>
          <cell r="E413">
            <v>40840</v>
          </cell>
          <cell r="F413">
            <v>41116</v>
          </cell>
        </row>
        <row r="414">
          <cell r="A414">
            <v>411</v>
          </cell>
          <cell r="B414">
            <v>0.97631756786889368</v>
          </cell>
          <cell r="C414" t="str">
            <v>J61806</v>
          </cell>
          <cell r="D414" t="str">
            <v>C1SR</v>
          </cell>
          <cell r="E414">
            <v>40855</v>
          </cell>
          <cell r="F414">
            <v>41116</v>
          </cell>
        </row>
        <row r="415">
          <cell r="A415">
            <v>412</v>
          </cell>
          <cell r="B415">
            <v>0.64968596583965232</v>
          </cell>
          <cell r="C415" t="str">
            <v>J61948</v>
          </cell>
          <cell r="D415" t="str">
            <v>C1SR</v>
          </cell>
          <cell r="E415">
            <v>40862</v>
          </cell>
          <cell r="F415">
            <v>41116</v>
          </cell>
        </row>
        <row r="416">
          <cell r="A416">
            <v>413</v>
          </cell>
          <cell r="B416">
            <v>0.76609524059247758</v>
          </cell>
          <cell r="C416" t="str">
            <v>J62649</v>
          </cell>
          <cell r="D416" t="str">
            <v>C1SR</v>
          </cell>
          <cell r="E416">
            <v>40862</v>
          </cell>
          <cell r="F416">
            <v>41116</v>
          </cell>
        </row>
        <row r="417">
          <cell r="A417">
            <v>414</v>
          </cell>
          <cell r="B417">
            <v>0.56109036736045703</v>
          </cell>
          <cell r="C417" t="str">
            <v>J62679</v>
          </cell>
          <cell r="D417" t="str">
            <v>C1SR</v>
          </cell>
          <cell r="E417">
            <v>40862</v>
          </cell>
          <cell r="F417">
            <v>41116</v>
          </cell>
        </row>
        <row r="418">
          <cell r="A418">
            <v>415</v>
          </cell>
          <cell r="B418">
            <v>0.78314060203114932</v>
          </cell>
          <cell r="C418" t="str">
            <v>J68250</v>
          </cell>
          <cell r="D418" t="str">
            <v>C1SR</v>
          </cell>
          <cell r="E418">
            <v>40862</v>
          </cell>
          <cell r="F418">
            <v>41116</v>
          </cell>
        </row>
        <row r="419">
          <cell r="A419">
            <v>416</v>
          </cell>
          <cell r="B419">
            <v>0.44721822912085796</v>
          </cell>
          <cell r="C419" t="str">
            <v>J68370</v>
          </cell>
          <cell r="D419" t="str">
            <v>C1SR</v>
          </cell>
          <cell r="E419">
            <v>40862</v>
          </cell>
          <cell r="F419">
            <v>41116</v>
          </cell>
        </row>
        <row r="420">
          <cell r="A420">
            <v>417</v>
          </cell>
          <cell r="B420">
            <v>9.9345951468521543E-2</v>
          </cell>
          <cell r="C420" t="str">
            <v>J82055</v>
          </cell>
          <cell r="D420" t="str">
            <v>C1SR</v>
          </cell>
          <cell r="E420">
            <v>40812</v>
          </cell>
          <cell r="F420">
            <v>41116</v>
          </cell>
        </row>
        <row r="421">
          <cell r="A421">
            <v>418</v>
          </cell>
          <cell r="B421">
            <v>0.21291941917134571</v>
          </cell>
          <cell r="C421" t="str">
            <v>J84956</v>
          </cell>
          <cell r="D421" t="str">
            <v>C1SR</v>
          </cell>
          <cell r="E421">
            <v>40822</v>
          </cell>
          <cell r="F421">
            <v>41116</v>
          </cell>
        </row>
        <row r="422">
          <cell r="A422">
            <v>419</v>
          </cell>
          <cell r="B422">
            <v>0.98721962283224673</v>
          </cell>
          <cell r="C422" t="str">
            <v>J86209</v>
          </cell>
          <cell r="D422" t="str">
            <v>C1SR</v>
          </cell>
          <cell r="E422">
            <v>40822</v>
          </cell>
          <cell r="F422">
            <v>41116</v>
          </cell>
        </row>
        <row r="423">
          <cell r="A423">
            <v>420</v>
          </cell>
          <cell r="B423">
            <v>0.64020351395805464</v>
          </cell>
          <cell r="C423" t="str">
            <v>J53056</v>
          </cell>
          <cell r="D423" t="str">
            <v>C1SR</v>
          </cell>
          <cell r="E423">
            <v>40855</v>
          </cell>
          <cell r="F423">
            <v>41117</v>
          </cell>
        </row>
        <row r="424">
          <cell r="A424">
            <v>421</v>
          </cell>
          <cell r="B424">
            <v>0.83100934943554194</v>
          </cell>
          <cell r="C424" t="str">
            <v>J68343</v>
          </cell>
          <cell r="D424" t="str">
            <v>C1SR</v>
          </cell>
          <cell r="E424">
            <v>40862</v>
          </cell>
          <cell r="F424">
            <v>41117</v>
          </cell>
        </row>
        <row r="425">
          <cell r="A425">
            <v>422</v>
          </cell>
          <cell r="B425">
            <v>0.54161141267489377</v>
          </cell>
          <cell r="C425" t="str">
            <v>J68624</v>
          </cell>
          <cell r="D425" t="str">
            <v>C1SR</v>
          </cell>
          <cell r="E425">
            <v>40862</v>
          </cell>
          <cell r="F425">
            <v>41117</v>
          </cell>
        </row>
        <row r="426">
          <cell r="A426">
            <v>423</v>
          </cell>
          <cell r="B426">
            <v>0.49296012744223894</v>
          </cell>
          <cell r="C426" t="str">
            <v>H58355</v>
          </cell>
          <cell r="D426" t="str">
            <v>C1SR</v>
          </cell>
          <cell r="E426">
            <v>40631</v>
          </cell>
          <cell r="F426">
            <v>41120</v>
          </cell>
        </row>
        <row r="427">
          <cell r="A427">
            <v>424</v>
          </cell>
          <cell r="B427">
            <v>0.20689602792124795</v>
          </cell>
          <cell r="C427" t="str">
            <v>H68305</v>
          </cell>
          <cell r="D427" t="str">
            <v>C1SR</v>
          </cell>
          <cell r="E427">
            <v>40682</v>
          </cell>
          <cell r="F427">
            <v>41120</v>
          </cell>
        </row>
        <row r="428">
          <cell r="A428">
            <v>425</v>
          </cell>
          <cell r="B428">
            <v>0.43637014249855421</v>
          </cell>
          <cell r="C428" t="str">
            <v>J02907</v>
          </cell>
          <cell r="D428" t="str">
            <v>C1SR</v>
          </cell>
          <cell r="E428">
            <v>40798</v>
          </cell>
          <cell r="F428">
            <v>41120</v>
          </cell>
        </row>
        <row r="429">
          <cell r="A429">
            <v>426</v>
          </cell>
          <cell r="B429">
            <v>0.98502850157787836</v>
          </cell>
          <cell r="C429" t="str">
            <v>J10578</v>
          </cell>
          <cell r="D429" t="str">
            <v>C1SR</v>
          </cell>
          <cell r="E429">
            <v>40800</v>
          </cell>
          <cell r="F429">
            <v>41120</v>
          </cell>
        </row>
        <row r="430">
          <cell r="A430">
            <v>427</v>
          </cell>
          <cell r="B430">
            <v>0.24962244494835806</v>
          </cell>
          <cell r="C430" t="str">
            <v>J10677</v>
          </cell>
          <cell r="D430" t="str">
            <v>C1SR</v>
          </cell>
          <cell r="E430">
            <v>40800</v>
          </cell>
          <cell r="F430">
            <v>41120</v>
          </cell>
        </row>
        <row r="431">
          <cell r="A431">
            <v>428</v>
          </cell>
          <cell r="B431">
            <v>0.26988707498180942</v>
          </cell>
          <cell r="C431" t="str">
            <v>J10679</v>
          </cell>
          <cell r="D431" t="str">
            <v>C1SR</v>
          </cell>
          <cell r="E431">
            <v>40800</v>
          </cell>
          <cell r="F431">
            <v>41120</v>
          </cell>
        </row>
        <row r="432">
          <cell r="A432">
            <v>429</v>
          </cell>
          <cell r="B432">
            <v>9.3593515063053023E-2</v>
          </cell>
          <cell r="C432" t="str">
            <v>J67263</v>
          </cell>
          <cell r="D432" t="str">
            <v>C1SR</v>
          </cell>
          <cell r="E432">
            <v>40862</v>
          </cell>
          <cell r="F432">
            <v>41120</v>
          </cell>
        </row>
        <row r="433">
          <cell r="A433">
            <v>430</v>
          </cell>
          <cell r="B433">
            <v>0.85901043345823969</v>
          </cell>
          <cell r="C433" t="str">
            <v>J68996</v>
          </cell>
          <cell r="D433" t="str">
            <v>C1SR</v>
          </cell>
          <cell r="E433">
            <v>40862</v>
          </cell>
          <cell r="F433">
            <v>41120</v>
          </cell>
        </row>
        <row r="434">
          <cell r="A434">
            <v>431</v>
          </cell>
          <cell r="B434">
            <v>0.13758069541286588</v>
          </cell>
          <cell r="C434" t="str">
            <v>J69754</v>
          </cell>
          <cell r="D434" t="str">
            <v>C1SR</v>
          </cell>
          <cell r="E434">
            <v>40862</v>
          </cell>
          <cell r="F434">
            <v>41120</v>
          </cell>
        </row>
        <row r="435">
          <cell r="A435">
            <v>432</v>
          </cell>
          <cell r="B435">
            <v>1.6269158027170105E-2</v>
          </cell>
          <cell r="C435" t="str">
            <v>G97438</v>
          </cell>
          <cell r="D435" t="str">
            <v>C1SR</v>
          </cell>
          <cell r="E435">
            <v>40800</v>
          </cell>
          <cell r="F435">
            <v>41122</v>
          </cell>
        </row>
        <row r="436">
          <cell r="A436">
            <v>433</v>
          </cell>
          <cell r="B436">
            <v>0.29464338124344136</v>
          </cell>
          <cell r="C436" t="str">
            <v>J52606</v>
          </cell>
          <cell r="D436" t="str">
            <v>C1SR</v>
          </cell>
          <cell r="E436">
            <v>40840</v>
          </cell>
          <cell r="F436">
            <v>41122</v>
          </cell>
        </row>
        <row r="437">
          <cell r="A437">
            <v>434</v>
          </cell>
          <cell r="B437">
            <v>0.95890552252072625</v>
          </cell>
          <cell r="C437" t="str">
            <v>J60973</v>
          </cell>
          <cell r="D437" t="str">
            <v>C1SR</v>
          </cell>
          <cell r="E437">
            <v>40855</v>
          </cell>
          <cell r="F437">
            <v>41122</v>
          </cell>
        </row>
        <row r="438">
          <cell r="A438">
            <v>435</v>
          </cell>
          <cell r="B438">
            <v>0.93336645842523425</v>
          </cell>
          <cell r="C438" t="str">
            <v>J68138</v>
          </cell>
          <cell r="D438" t="str">
            <v>C1SR</v>
          </cell>
          <cell r="E438">
            <v>40862</v>
          </cell>
          <cell r="F438">
            <v>41122</v>
          </cell>
        </row>
        <row r="439">
          <cell r="A439">
            <v>436</v>
          </cell>
          <cell r="B439">
            <v>0.96180891202149488</v>
          </cell>
          <cell r="C439" t="str">
            <v>J71703</v>
          </cell>
          <cell r="D439" t="str">
            <v>C1SR</v>
          </cell>
          <cell r="E439">
            <v>40862</v>
          </cell>
          <cell r="F439">
            <v>41122</v>
          </cell>
        </row>
        <row r="440">
          <cell r="A440">
            <v>437</v>
          </cell>
          <cell r="B440">
            <v>0.8747372920765365</v>
          </cell>
          <cell r="C440" t="str">
            <v>H55392</v>
          </cell>
          <cell r="D440" t="str">
            <v>C1SR</v>
          </cell>
          <cell r="E440">
            <v>40631</v>
          </cell>
          <cell r="F440">
            <v>41127</v>
          </cell>
        </row>
        <row r="441">
          <cell r="A441">
            <v>438</v>
          </cell>
          <cell r="B441">
            <v>0.90291875663189236</v>
          </cell>
          <cell r="C441" t="str">
            <v>H57733</v>
          </cell>
          <cell r="D441" t="str">
            <v>C1SR</v>
          </cell>
          <cell r="E441">
            <v>40631</v>
          </cell>
          <cell r="F441">
            <v>41127</v>
          </cell>
        </row>
        <row r="442">
          <cell r="A442">
            <v>439</v>
          </cell>
          <cell r="B442">
            <v>0.93564234205343344</v>
          </cell>
          <cell r="C442" t="str">
            <v>J86466</v>
          </cell>
          <cell r="D442" t="str">
            <v>C1SR</v>
          </cell>
          <cell r="E442">
            <v>40822</v>
          </cell>
          <cell r="F442">
            <v>41127</v>
          </cell>
        </row>
        <row r="443">
          <cell r="A443">
            <v>440</v>
          </cell>
          <cell r="B443">
            <v>0.93624518434730575</v>
          </cell>
          <cell r="C443" t="str">
            <v>J03884</v>
          </cell>
          <cell r="D443" t="str">
            <v>C1SR</v>
          </cell>
          <cell r="E443">
            <v>40798</v>
          </cell>
          <cell r="F443">
            <v>41149</v>
          </cell>
        </row>
        <row r="444">
          <cell r="A444">
            <v>441</v>
          </cell>
          <cell r="B444">
            <v>0.84388174027125162</v>
          </cell>
          <cell r="C444" t="str">
            <v>J05453</v>
          </cell>
          <cell r="D444" t="str">
            <v>C1SR</v>
          </cell>
          <cell r="E444">
            <v>40798</v>
          </cell>
          <cell r="F444">
            <v>41149</v>
          </cell>
        </row>
        <row r="445">
          <cell r="A445">
            <v>442</v>
          </cell>
          <cell r="B445">
            <v>0.70240884961736205</v>
          </cell>
          <cell r="C445" t="str">
            <v>J23057</v>
          </cell>
          <cell r="D445" t="str">
            <v>C1SR</v>
          </cell>
          <cell r="E445">
            <v>40800</v>
          </cell>
          <cell r="F445">
            <v>41149</v>
          </cell>
        </row>
        <row r="446">
          <cell r="A446">
            <v>443</v>
          </cell>
          <cell r="B446">
            <v>0.34418226569332533</v>
          </cell>
          <cell r="C446" t="str">
            <v>J48499</v>
          </cell>
          <cell r="D446" t="str">
            <v>C1SR</v>
          </cell>
          <cell r="E446">
            <v>40840</v>
          </cell>
          <cell r="F446">
            <v>41149</v>
          </cell>
        </row>
        <row r="447">
          <cell r="A447">
            <v>444</v>
          </cell>
          <cell r="B447">
            <v>0.22128492239780961</v>
          </cell>
          <cell r="C447" t="str">
            <v>J62181</v>
          </cell>
          <cell r="D447" t="str">
            <v>C1SR</v>
          </cell>
          <cell r="E447">
            <v>40862</v>
          </cell>
          <cell r="F447">
            <v>41149</v>
          </cell>
        </row>
        <row r="448">
          <cell r="A448">
            <v>445</v>
          </cell>
          <cell r="B448">
            <v>0.33978266807200808</v>
          </cell>
          <cell r="C448" t="str">
            <v>J66429</v>
          </cell>
          <cell r="D448" t="str">
            <v>C1SR</v>
          </cell>
          <cell r="E448">
            <v>40862</v>
          </cell>
          <cell r="F448">
            <v>41149</v>
          </cell>
        </row>
        <row r="449">
          <cell r="A449">
            <v>446</v>
          </cell>
          <cell r="B449">
            <v>0.83484353012873136</v>
          </cell>
          <cell r="C449" t="str">
            <v>J76116</v>
          </cell>
          <cell r="D449" t="str">
            <v>C1SR</v>
          </cell>
          <cell r="E449">
            <v>40865</v>
          </cell>
          <cell r="F449">
            <v>41149</v>
          </cell>
        </row>
        <row r="450">
          <cell r="A450">
            <v>447</v>
          </cell>
          <cell r="B450">
            <v>0.53649696848117534</v>
          </cell>
          <cell r="C450" t="str">
            <v>J76122</v>
          </cell>
          <cell r="D450" t="str">
            <v>C1SR</v>
          </cell>
          <cell r="E450">
            <v>40865</v>
          </cell>
          <cell r="F450">
            <v>41149</v>
          </cell>
        </row>
        <row r="451">
          <cell r="A451">
            <v>448</v>
          </cell>
          <cell r="B451">
            <v>0.65409883875297736</v>
          </cell>
          <cell r="C451" t="str">
            <v>J96330</v>
          </cell>
          <cell r="D451" t="str">
            <v>C1SR</v>
          </cell>
          <cell r="E451">
            <v>40875</v>
          </cell>
          <cell r="F451">
            <v>41149</v>
          </cell>
        </row>
        <row r="452">
          <cell r="A452">
            <v>449</v>
          </cell>
          <cell r="B452">
            <v>0.45664724802505807</v>
          </cell>
          <cell r="C452" t="str">
            <v>H52480</v>
          </cell>
          <cell r="D452" t="str">
            <v>C1SR</v>
          </cell>
          <cell r="E452">
            <v>40598</v>
          </cell>
          <cell r="F452">
            <v>41150</v>
          </cell>
        </row>
        <row r="453">
          <cell r="A453">
            <v>450</v>
          </cell>
          <cell r="B453">
            <v>0.55131760263680119</v>
          </cell>
          <cell r="C453" t="str">
            <v>H57625</v>
          </cell>
          <cell r="D453" t="str">
            <v>C1SR</v>
          </cell>
          <cell r="E453">
            <v>40631</v>
          </cell>
          <cell r="F453">
            <v>41150</v>
          </cell>
        </row>
        <row r="454">
          <cell r="A454">
            <v>451</v>
          </cell>
          <cell r="B454">
            <v>0.41346657207731208</v>
          </cell>
          <cell r="C454" t="str">
            <v>H57758</v>
          </cell>
          <cell r="D454" t="str">
            <v>C1SR</v>
          </cell>
          <cell r="E454">
            <v>40631</v>
          </cell>
          <cell r="F454">
            <v>41150</v>
          </cell>
        </row>
        <row r="455">
          <cell r="A455">
            <v>452</v>
          </cell>
          <cell r="B455">
            <v>0.36217107719831299</v>
          </cell>
          <cell r="C455" t="str">
            <v>H61578</v>
          </cell>
          <cell r="D455" t="str">
            <v>C1SR</v>
          </cell>
          <cell r="E455">
            <v>40638</v>
          </cell>
          <cell r="F455">
            <v>41150</v>
          </cell>
        </row>
        <row r="456">
          <cell r="A456">
            <v>453</v>
          </cell>
          <cell r="B456">
            <v>0.97553051187957485</v>
          </cell>
          <cell r="C456" t="str">
            <v>H74577</v>
          </cell>
          <cell r="D456" t="str">
            <v>C1SR</v>
          </cell>
          <cell r="E456">
            <v>40744</v>
          </cell>
          <cell r="F456">
            <v>41150</v>
          </cell>
        </row>
        <row r="457">
          <cell r="A457">
            <v>454</v>
          </cell>
          <cell r="B457">
            <v>0.44282964145670967</v>
          </cell>
          <cell r="C457" t="str">
            <v>H74695</v>
          </cell>
          <cell r="D457" t="str">
            <v>C1SR</v>
          </cell>
          <cell r="E457">
            <v>40744</v>
          </cell>
          <cell r="F457">
            <v>41150</v>
          </cell>
        </row>
        <row r="458">
          <cell r="A458">
            <v>455</v>
          </cell>
          <cell r="B458">
            <v>0.85009198282356402</v>
          </cell>
          <cell r="C458" t="str">
            <v>J03289</v>
          </cell>
          <cell r="D458" t="str">
            <v>C1SR</v>
          </cell>
          <cell r="E458">
            <v>40798</v>
          </cell>
          <cell r="F458">
            <v>41150</v>
          </cell>
        </row>
        <row r="459">
          <cell r="A459">
            <v>456</v>
          </cell>
          <cell r="B459">
            <v>0.40457695256066994</v>
          </cell>
          <cell r="C459" t="str">
            <v>J04189</v>
          </cell>
          <cell r="D459" t="str">
            <v>C1SR</v>
          </cell>
          <cell r="E459">
            <v>40798</v>
          </cell>
          <cell r="F459">
            <v>41150</v>
          </cell>
        </row>
        <row r="460">
          <cell r="A460">
            <v>457</v>
          </cell>
          <cell r="B460">
            <v>0.21962998452424698</v>
          </cell>
          <cell r="C460" t="str">
            <v>J04488</v>
          </cell>
          <cell r="D460" t="str">
            <v>C1SR</v>
          </cell>
          <cell r="E460">
            <v>40798</v>
          </cell>
          <cell r="F460">
            <v>41150</v>
          </cell>
        </row>
        <row r="461">
          <cell r="A461">
            <v>458</v>
          </cell>
          <cell r="B461">
            <v>0.38221651182819194</v>
          </cell>
          <cell r="C461" t="str">
            <v>J20425</v>
          </cell>
          <cell r="D461" t="str">
            <v>C1SR</v>
          </cell>
          <cell r="E461">
            <v>40800</v>
          </cell>
          <cell r="F461">
            <v>41150</v>
          </cell>
        </row>
        <row r="462">
          <cell r="A462">
            <v>459</v>
          </cell>
          <cell r="B462">
            <v>0.20177342496598916</v>
          </cell>
          <cell r="C462" t="str">
            <v>J20960</v>
          </cell>
          <cell r="D462" t="str">
            <v>C1SR</v>
          </cell>
          <cell r="E462">
            <v>40800</v>
          </cell>
          <cell r="F462">
            <v>41150</v>
          </cell>
        </row>
        <row r="463">
          <cell r="A463">
            <v>460</v>
          </cell>
          <cell r="B463">
            <v>0.31289002562383128</v>
          </cell>
          <cell r="C463" t="str">
            <v>J41257</v>
          </cell>
          <cell r="D463" t="str">
            <v>C1SR</v>
          </cell>
          <cell r="E463">
            <v>40834</v>
          </cell>
          <cell r="F463">
            <v>41150</v>
          </cell>
        </row>
        <row r="464">
          <cell r="A464">
            <v>461</v>
          </cell>
          <cell r="B464">
            <v>0.4737412420883923</v>
          </cell>
          <cell r="C464" t="str">
            <v>J54377</v>
          </cell>
          <cell r="D464" t="str">
            <v>C1SR</v>
          </cell>
          <cell r="E464">
            <v>40855</v>
          </cell>
          <cell r="F464">
            <v>41150</v>
          </cell>
        </row>
        <row r="465">
          <cell r="A465">
            <v>462</v>
          </cell>
          <cell r="B465">
            <v>0.9987696565438029</v>
          </cell>
          <cell r="C465" t="str">
            <v>J55041</v>
          </cell>
          <cell r="D465" t="str">
            <v>C1SR</v>
          </cell>
          <cell r="E465">
            <v>40855</v>
          </cell>
          <cell r="F465">
            <v>41150</v>
          </cell>
        </row>
        <row r="466">
          <cell r="A466">
            <v>463</v>
          </cell>
          <cell r="B466">
            <v>0.14259543208700765</v>
          </cell>
          <cell r="C466" t="str">
            <v>J60218</v>
          </cell>
          <cell r="D466" t="str">
            <v>C1SR</v>
          </cell>
          <cell r="E466">
            <v>40855</v>
          </cell>
          <cell r="F466">
            <v>41150</v>
          </cell>
        </row>
        <row r="467">
          <cell r="A467">
            <v>464</v>
          </cell>
          <cell r="B467">
            <v>0.72339299432263737</v>
          </cell>
          <cell r="C467" t="str">
            <v>J61840</v>
          </cell>
          <cell r="D467" t="str">
            <v>C1SR</v>
          </cell>
          <cell r="E467">
            <v>40855</v>
          </cell>
          <cell r="F467">
            <v>41150</v>
          </cell>
        </row>
        <row r="468">
          <cell r="A468">
            <v>465</v>
          </cell>
          <cell r="B468">
            <v>0.57885966066707761</v>
          </cell>
          <cell r="C468" t="str">
            <v>J62183</v>
          </cell>
          <cell r="D468" t="str">
            <v>C1SR</v>
          </cell>
          <cell r="E468">
            <v>40862</v>
          </cell>
          <cell r="F468">
            <v>41150</v>
          </cell>
        </row>
        <row r="469">
          <cell r="A469">
            <v>466</v>
          </cell>
          <cell r="B469">
            <v>0.62962250091803773</v>
          </cell>
          <cell r="C469" t="str">
            <v>J62296</v>
          </cell>
          <cell r="D469" t="str">
            <v>C1SR</v>
          </cell>
          <cell r="E469">
            <v>40862</v>
          </cell>
          <cell r="F469">
            <v>41150</v>
          </cell>
        </row>
        <row r="470">
          <cell r="A470">
            <v>467</v>
          </cell>
          <cell r="B470">
            <v>5.7144503987482165E-2</v>
          </cell>
          <cell r="C470" t="str">
            <v>J66294</v>
          </cell>
          <cell r="D470" t="str">
            <v>C1SR</v>
          </cell>
          <cell r="E470">
            <v>40862</v>
          </cell>
          <cell r="F470">
            <v>41150</v>
          </cell>
        </row>
        <row r="471">
          <cell r="A471">
            <v>468</v>
          </cell>
          <cell r="B471">
            <v>0.64252571029330319</v>
          </cell>
          <cell r="C471" t="str">
            <v>J66469</v>
          </cell>
          <cell r="D471" t="str">
            <v>C1SR</v>
          </cell>
          <cell r="E471">
            <v>40862</v>
          </cell>
          <cell r="F471">
            <v>41150</v>
          </cell>
        </row>
        <row r="472">
          <cell r="A472">
            <v>469</v>
          </cell>
          <cell r="B472">
            <v>0.36225361028514425</v>
          </cell>
          <cell r="C472" t="str">
            <v>J67590</v>
          </cell>
          <cell r="D472" t="str">
            <v>C1SR</v>
          </cell>
          <cell r="E472">
            <v>40862</v>
          </cell>
          <cell r="F472">
            <v>41150</v>
          </cell>
        </row>
        <row r="473">
          <cell r="A473">
            <v>470</v>
          </cell>
          <cell r="B473">
            <v>0.89132222107904235</v>
          </cell>
          <cell r="C473" t="str">
            <v>J67627</v>
          </cell>
          <cell r="D473" t="str">
            <v>C1SR</v>
          </cell>
          <cell r="E473">
            <v>40862</v>
          </cell>
          <cell r="F473">
            <v>41150</v>
          </cell>
        </row>
        <row r="474">
          <cell r="A474">
            <v>471</v>
          </cell>
          <cell r="B474">
            <v>0.58264620918442578</v>
          </cell>
          <cell r="C474" t="str">
            <v>J68161</v>
          </cell>
          <cell r="D474" t="str">
            <v>C1SR</v>
          </cell>
          <cell r="E474">
            <v>40862</v>
          </cell>
          <cell r="F474">
            <v>41150</v>
          </cell>
        </row>
        <row r="475">
          <cell r="A475">
            <v>472</v>
          </cell>
          <cell r="B475">
            <v>0.84942810112189804</v>
          </cell>
          <cell r="C475" t="str">
            <v>J69750</v>
          </cell>
          <cell r="D475" t="str">
            <v>C1SR</v>
          </cell>
          <cell r="E475">
            <v>40862</v>
          </cell>
          <cell r="F475">
            <v>41150</v>
          </cell>
        </row>
        <row r="476">
          <cell r="A476">
            <v>473</v>
          </cell>
          <cell r="B476">
            <v>0.84971112877638921</v>
          </cell>
          <cell r="C476" t="str">
            <v>J71524</v>
          </cell>
          <cell r="D476" t="str">
            <v>C1SR</v>
          </cell>
          <cell r="E476">
            <v>40862</v>
          </cell>
          <cell r="F476">
            <v>41150</v>
          </cell>
        </row>
        <row r="477">
          <cell r="A477">
            <v>474</v>
          </cell>
          <cell r="B477">
            <v>0.20456389037050304</v>
          </cell>
          <cell r="C477" t="str">
            <v>J73467</v>
          </cell>
          <cell r="D477" t="str">
            <v>C1SR</v>
          </cell>
          <cell r="E477">
            <v>40822</v>
          </cell>
          <cell r="F477">
            <v>41150</v>
          </cell>
        </row>
        <row r="478">
          <cell r="A478">
            <v>475</v>
          </cell>
          <cell r="B478">
            <v>2.8559582996101285E-2</v>
          </cell>
          <cell r="C478" t="str">
            <v>J77427</v>
          </cell>
          <cell r="D478" t="str">
            <v>C1SR</v>
          </cell>
          <cell r="E478">
            <v>40865</v>
          </cell>
          <cell r="F478">
            <v>41150</v>
          </cell>
        </row>
        <row r="479">
          <cell r="A479">
            <v>476</v>
          </cell>
          <cell r="B479">
            <v>0.36753688029309683</v>
          </cell>
          <cell r="C479" t="str">
            <v>J77615</v>
          </cell>
          <cell r="D479" t="str">
            <v>C1SR</v>
          </cell>
          <cell r="E479">
            <v>40865</v>
          </cell>
          <cell r="F479">
            <v>41150</v>
          </cell>
        </row>
        <row r="480">
          <cell r="A480">
            <v>477</v>
          </cell>
          <cell r="B480">
            <v>0.52174898451236429</v>
          </cell>
          <cell r="C480" t="str">
            <v>J79043</v>
          </cell>
          <cell r="D480" t="str">
            <v>C1SR</v>
          </cell>
          <cell r="E480">
            <v>40865</v>
          </cell>
          <cell r="F480">
            <v>41150</v>
          </cell>
        </row>
        <row r="481">
          <cell r="A481">
            <v>478</v>
          </cell>
          <cell r="B481">
            <v>0.55634784597478093</v>
          </cell>
          <cell r="C481" t="str">
            <v>J79122</v>
          </cell>
          <cell r="D481" t="str">
            <v>C1SR</v>
          </cell>
          <cell r="E481">
            <v>40865</v>
          </cell>
          <cell r="F481">
            <v>41150</v>
          </cell>
        </row>
        <row r="482">
          <cell r="A482">
            <v>479</v>
          </cell>
          <cell r="B482">
            <v>0.58764594378845603</v>
          </cell>
          <cell r="C482" t="str">
            <v>J79123</v>
          </cell>
          <cell r="D482" t="str">
            <v>C1SR</v>
          </cell>
          <cell r="E482">
            <v>40865</v>
          </cell>
          <cell r="F482">
            <v>41150</v>
          </cell>
        </row>
        <row r="483">
          <cell r="A483">
            <v>480</v>
          </cell>
          <cell r="B483">
            <v>0.14340743416064694</v>
          </cell>
          <cell r="C483" t="str">
            <v>J79295</v>
          </cell>
          <cell r="D483" t="str">
            <v>C1SR</v>
          </cell>
          <cell r="E483">
            <v>40865</v>
          </cell>
          <cell r="F483">
            <v>41150</v>
          </cell>
        </row>
        <row r="484">
          <cell r="A484">
            <v>481</v>
          </cell>
          <cell r="B484">
            <v>9.6795915714755432E-2</v>
          </cell>
          <cell r="C484" t="str">
            <v>J81761</v>
          </cell>
          <cell r="D484" t="str">
            <v>C1SR</v>
          </cell>
          <cell r="E484">
            <v>40865</v>
          </cell>
          <cell r="F484">
            <v>41150</v>
          </cell>
        </row>
        <row r="485">
          <cell r="A485">
            <v>482</v>
          </cell>
          <cell r="B485">
            <v>8.7714760438267092E-2</v>
          </cell>
          <cell r="C485" t="str">
            <v>J82643</v>
          </cell>
          <cell r="D485" t="str">
            <v>C1SR</v>
          </cell>
          <cell r="E485">
            <v>40812</v>
          </cell>
          <cell r="F485">
            <v>41150</v>
          </cell>
        </row>
        <row r="486">
          <cell r="A486">
            <v>483</v>
          </cell>
          <cell r="B486">
            <v>0.58807847488434417</v>
          </cell>
          <cell r="C486" t="str">
            <v>J84702</v>
          </cell>
          <cell r="D486" t="str">
            <v>C1SR</v>
          </cell>
          <cell r="E486">
            <v>40812</v>
          </cell>
          <cell r="F486">
            <v>41150</v>
          </cell>
        </row>
        <row r="487">
          <cell r="A487">
            <v>484</v>
          </cell>
          <cell r="B487">
            <v>0.61742978603572396</v>
          </cell>
          <cell r="C487" t="str">
            <v>J86865</v>
          </cell>
          <cell r="D487" t="str">
            <v>C1SR</v>
          </cell>
          <cell r="E487">
            <v>40822</v>
          </cell>
          <cell r="F487">
            <v>41150</v>
          </cell>
        </row>
        <row r="488">
          <cell r="A488">
            <v>485</v>
          </cell>
          <cell r="B488">
            <v>0.43374832182516843</v>
          </cell>
          <cell r="C488" t="str">
            <v>J88479</v>
          </cell>
          <cell r="D488" t="str">
            <v>C1SR</v>
          </cell>
          <cell r="E488">
            <v>40848</v>
          </cell>
          <cell r="F488">
            <v>41150</v>
          </cell>
        </row>
        <row r="489">
          <cell r="A489">
            <v>486</v>
          </cell>
          <cell r="B489">
            <v>0.62472450861401541</v>
          </cell>
          <cell r="C489" t="str">
            <v>J97109</v>
          </cell>
          <cell r="D489" t="str">
            <v>C1SR</v>
          </cell>
          <cell r="E489">
            <v>40875</v>
          </cell>
          <cell r="F489">
            <v>41150</v>
          </cell>
        </row>
        <row r="490">
          <cell r="A490">
            <v>487</v>
          </cell>
          <cell r="B490">
            <v>0.99049695849929964</v>
          </cell>
          <cell r="C490" t="str">
            <v>J82673</v>
          </cell>
          <cell r="D490" t="str">
            <v>C1SR</v>
          </cell>
          <cell r="E490">
            <v>40812</v>
          </cell>
          <cell r="F490">
            <v>41151</v>
          </cell>
        </row>
        <row r="491">
          <cell r="A491">
            <v>488</v>
          </cell>
          <cell r="B491">
            <v>0.61475458256217119</v>
          </cell>
          <cell r="C491" t="str">
            <v>H61950</v>
          </cell>
          <cell r="D491" t="str">
            <v>C1SR</v>
          </cell>
          <cell r="E491">
            <v>40638</v>
          </cell>
          <cell r="F491">
            <v>41162</v>
          </cell>
        </row>
        <row r="492">
          <cell r="A492">
            <v>489</v>
          </cell>
          <cell r="B492">
            <v>0.89570400191989408</v>
          </cell>
          <cell r="C492" t="str">
            <v>H68719</v>
          </cell>
          <cell r="D492" t="str">
            <v>C1SR</v>
          </cell>
          <cell r="E492">
            <v>40682</v>
          </cell>
          <cell r="F492">
            <v>41162</v>
          </cell>
        </row>
        <row r="493">
          <cell r="A493">
            <v>490</v>
          </cell>
          <cell r="B493">
            <v>7.4550815154955319E-2</v>
          </cell>
          <cell r="C493" t="str">
            <v>H74415</v>
          </cell>
          <cell r="D493" t="str">
            <v>C1SR</v>
          </cell>
          <cell r="E493">
            <v>40744</v>
          </cell>
          <cell r="F493">
            <v>41162</v>
          </cell>
        </row>
        <row r="494">
          <cell r="A494">
            <v>491</v>
          </cell>
          <cell r="B494">
            <v>3.6311739709578683E-2</v>
          </cell>
          <cell r="C494" t="str">
            <v>J53541</v>
          </cell>
          <cell r="D494" t="str">
            <v>C1SR</v>
          </cell>
          <cell r="E494">
            <v>40855</v>
          </cell>
          <cell r="F494">
            <v>41162</v>
          </cell>
        </row>
        <row r="495">
          <cell r="A495">
            <v>492</v>
          </cell>
          <cell r="B495">
            <v>0.4365773058268968</v>
          </cell>
          <cell r="C495" t="str">
            <v>J71038</v>
          </cell>
          <cell r="D495" t="str">
            <v>C1SR</v>
          </cell>
          <cell r="E495">
            <v>40862</v>
          </cell>
          <cell r="F495">
            <v>41162</v>
          </cell>
        </row>
        <row r="496">
          <cell r="A496">
            <v>493</v>
          </cell>
          <cell r="B496">
            <v>0.43567619798955937</v>
          </cell>
          <cell r="C496" t="str">
            <v>J71076</v>
          </cell>
          <cell r="D496" t="str">
            <v>C1SR</v>
          </cell>
          <cell r="E496">
            <v>40862</v>
          </cell>
          <cell r="F496">
            <v>41162</v>
          </cell>
        </row>
        <row r="497">
          <cell r="A497">
            <v>494</v>
          </cell>
          <cell r="B497">
            <v>0.76974567379292946</v>
          </cell>
          <cell r="C497" t="str">
            <v>J77548</v>
          </cell>
          <cell r="D497" t="str">
            <v>C1SR</v>
          </cell>
          <cell r="E497">
            <v>40865</v>
          </cell>
          <cell r="F497">
            <v>41162</v>
          </cell>
        </row>
        <row r="498">
          <cell r="A498">
            <v>495</v>
          </cell>
          <cell r="B498">
            <v>0.65869708916337599</v>
          </cell>
          <cell r="C498" t="str">
            <v>J95603</v>
          </cell>
          <cell r="D498" t="str">
            <v>C1SR</v>
          </cell>
          <cell r="E498">
            <v>40875</v>
          </cell>
          <cell r="F498">
            <v>41162</v>
          </cell>
        </row>
        <row r="499">
          <cell r="A499">
            <v>496</v>
          </cell>
          <cell r="B499">
            <v>0.82016666537458693</v>
          </cell>
          <cell r="C499" t="str">
            <v>J95612</v>
          </cell>
          <cell r="D499" t="str">
            <v>C1SR</v>
          </cell>
          <cell r="E499">
            <v>40875</v>
          </cell>
          <cell r="F499">
            <v>41162</v>
          </cell>
        </row>
        <row r="500">
          <cell r="A500">
            <v>497</v>
          </cell>
          <cell r="B500">
            <v>0.94461092795330992</v>
          </cell>
          <cell r="C500" t="str">
            <v>H51741</v>
          </cell>
          <cell r="D500" t="str">
            <v>C1SR</v>
          </cell>
          <cell r="E500">
            <v>40598</v>
          </cell>
          <cell r="F500">
            <v>41163</v>
          </cell>
        </row>
        <row r="501">
          <cell r="A501">
            <v>498</v>
          </cell>
          <cell r="B501">
            <v>0.10074877254325032</v>
          </cell>
          <cell r="C501" t="str">
            <v>H59280</v>
          </cell>
          <cell r="D501" t="str">
            <v>C1SR</v>
          </cell>
          <cell r="E501">
            <v>40631</v>
          </cell>
          <cell r="F501">
            <v>41163</v>
          </cell>
        </row>
        <row r="502">
          <cell r="A502">
            <v>499</v>
          </cell>
          <cell r="B502">
            <v>0.57267423324596078</v>
          </cell>
          <cell r="C502" t="str">
            <v>H68257</v>
          </cell>
          <cell r="D502" t="str">
            <v>C1SR</v>
          </cell>
          <cell r="E502">
            <v>40682</v>
          </cell>
          <cell r="F502">
            <v>41163</v>
          </cell>
        </row>
        <row r="503">
          <cell r="A503">
            <v>500</v>
          </cell>
          <cell r="B503">
            <v>0.14256616304479008</v>
          </cell>
          <cell r="C503" t="str">
            <v>H68258</v>
          </cell>
          <cell r="D503" t="str">
            <v>C1SR</v>
          </cell>
          <cell r="E503">
            <v>40682</v>
          </cell>
          <cell r="F503">
            <v>41163</v>
          </cell>
        </row>
        <row r="504">
          <cell r="A504">
            <v>501</v>
          </cell>
          <cell r="B504">
            <v>0.22714583980223657</v>
          </cell>
          <cell r="C504" t="str">
            <v>H70096</v>
          </cell>
          <cell r="D504" t="str">
            <v>C1SR</v>
          </cell>
          <cell r="E504">
            <v>40682</v>
          </cell>
          <cell r="F504">
            <v>41163</v>
          </cell>
        </row>
        <row r="505">
          <cell r="A505">
            <v>502</v>
          </cell>
          <cell r="B505">
            <v>0.46096619213213552</v>
          </cell>
          <cell r="C505" t="str">
            <v>J15937</v>
          </cell>
          <cell r="D505" t="str">
            <v>C1SR</v>
          </cell>
          <cell r="E505">
            <v>40812</v>
          </cell>
          <cell r="F505">
            <v>41163</v>
          </cell>
        </row>
        <row r="506">
          <cell r="A506">
            <v>503</v>
          </cell>
          <cell r="B506">
            <v>0.34622914084816292</v>
          </cell>
          <cell r="C506" t="str">
            <v>J45312</v>
          </cell>
          <cell r="D506" t="str">
            <v>C1SR</v>
          </cell>
          <cell r="E506">
            <v>40840</v>
          </cell>
          <cell r="F506">
            <v>41163</v>
          </cell>
        </row>
        <row r="507">
          <cell r="A507">
            <v>504</v>
          </cell>
          <cell r="B507">
            <v>8.9820844895008412E-2</v>
          </cell>
          <cell r="C507" t="str">
            <v>J46593</v>
          </cell>
          <cell r="D507" t="str">
            <v>C1SR</v>
          </cell>
          <cell r="E507">
            <v>40840</v>
          </cell>
          <cell r="F507">
            <v>41163</v>
          </cell>
        </row>
        <row r="508">
          <cell r="A508">
            <v>505</v>
          </cell>
          <cell r="B508">
            <v>0.17054713449285619</v>
          </cell>
          <cell r="C508" t="str">
            <v>J46949</v>
          </cell>
          <cell r="D508" t="str">
            <v>C1SR</v>
          </cell>
          <cell r="E508">
            <v>40840</v>
          </cell>
          <cell r="F508">
            <v>41163</v>
          </cell>
        </row>
        <row r="509">
          <cell r="A509">
            <v>506</v>
          </cell>
          <cell r="B509">
            <v>9.1388045784068339E-2</v>
          </cell>
          <cell r="C509" t="str">
            <v>J66277</v>
          </cell>
          <cell r="D509" t="str">
            <v>C1SR</v>
          </cell>
          <cell r="E509">
            <v>40862</v>
          </cell>
          <cell r="F509">
            <v>41163</v>
          </cell>
        </row>
        <row r="510">
          <cell r="A510">
            <v>507</v>
          </cell>
          <cell r="B510">
            <v>0.28465354475200932</v>
          </cell>
          <cell r="C510" t="str">
            <v>J71229</v>
          </cell>
          <cell r="D510" t="str">
            <v>C1SR</v>
          </cell>
          <cell r="E510">
            <v>40862</v>
          </cell>
          <cell r="F510">
            <v>41163</v>
          </cell>
        </row>
        <row r="511">
          <cell r="A511">
            <v>508</v>
          </cell>
          <cell r="B511">
            <v>2.7452186856355532E-2</v>
          </cell>
          <cell r="C511" t="str">
            <v>J79529</v>
          </cell>
          <cell r="D511" t="str">
            <v>C1SR</v>
          </cell>
          <cell r="E511">
            <v>40865</v>
          </cell>
          <cell r="F511">
            <v>41163</v>
          </cell>
        </row>
        <row r="512">
          <cell r="A512">
            <v>509</v>
          </cell>
          <cell r="B512">
            <v>0.73555391538756865</v>
          </cell>
          <cell r="C512" t="str">
            <v>J87784</v>
          </cell>
          <cell r="D512" t="str">
            <v>C1SR</v>
          </cell>
          <cell r="E512">
            <v>40822</v>
          </cell>
          <cell r="F512">
            <v>41163</v>
          </cell>
        </row>
        <row r="513">
          <cell r="A513">
            <v>510</v>
          </cell>
          <cell r="B513">
            <v>0.26443479518168578</v>
          </cell>
          <cell r="C513" t="str">
            <v>G92584</v>
          </cell>
          <cell r="D513" t="str">
            <v>C1SR</v>
          </cell>
          <cell r="E513">
            <v>40568</v>
          </cell>
          <cell r="F513">
            <v>41170</v>
          </cell>
        </row>
        <row r="514">
          <cell r="A514">
            <v>511</v>
          </cell>
          <cell r="B514">
            <v>0.16260195369818664</v>
          </cell>
          <cell r="C514" t="str">
            <v>H68606</v>
          </cell>
          <cell r="D514" t="str">
            <v>C1SR</v>
          </cell>
          <cell r="E514">
            <v>40682</v>
          </cell>
          <cell r="F514">
            <v>41170</v>
          </cell>
        </row>
        <row r="515">
          <cell r="A515">
            <v>512</v>
          </cell>
          <cell r="B515">
            <v>0.56980271744241329</v>
          </cell>
          <cell r="C515" t="str">
            <v>H70123</v>
          </cell>
          <cell r="D515" t="str">
            <v>C1SR</v>
          </cell>
          <cell r="E515">
            <v>40682</v>
          </cell>
          <cell r="F515">
            <v>41170</v>
          </cell>
        </row>
        <row r="516">
          <cell r="A516">
            <v>513</v>
          </cell>
          <cell r="B516">
            <v>0.95138999663411883</v>
          </cell>
          <cell r="C516" t="str">
            <v>J03391</v>
          </cell>
          <cell r="D516" t="str">
            <v>C1SR</v>
          </cell>
          <cell r="E516">
            <v>40798</v>
          </cell>
          <cell r="F516">
            <v>41170</v>
          </cell>
        </row>
        <row r="517">
          <cell r="A517">
            <v>514</v>
          </cell>
          <cell r="B517">
            <v>0.62072373139048831</v>
          </cell>
          <cell r="C517" t="str">
            <v>J06501</v>
          </cell>
          <cell r="D517" t="str">
            <v>C1SR</v>
          </cell>
          <cell r="E517">
            <v>40798</v>
          </cell>
          <cell r="F517">
            <v>41170</v>
          </cell>
        </row>
        <row r="518">
          <cell r="A518">
            <v>515</v>
          </cell>
          <cell r="B518">
            <v>0.7951554366057858</v>
          </cell>
          <cell r="C518" t="str">
            <v>J23286</v>
          </cell>
          <cell r="D518" t="str">
            <v>C1SR</v>
          </cell>
          <cell r="E518">
            <v>40800</v>
          </cell>
          <cell r="F518">
            <v>41170</v>
          </cell>
        </row>
        <row r="519">
          <cell r="A519">
            <v>516</v>
          </cell>
          <cell r="B519">
            <v>0.42147843594507406</v>
          </cell>
          <cell r="C519" t="str">
            <v>J49376</v>
          </cell>
          <cell r="D519" t="str">
            <v>C1SR</v>
          </cell>
          <cell r="E519">
            <v>40840</v>
          </cell>
          <cell r="F519">
            <v>41170</v>
          </cell>
        </row>
        <row r="520">
          <cell r="A520">
            <v>517</v>
          </cell>
          <cell r="B520">
            <v>0.43152324329209946</v>
          </cell>
          <cell r="C520" t="str">
            <v>J59459</v>
          </cell>
          <cell r="D520" t="str">
            <v>C1SR</v>
          </cell>
          <cell r="E520">
            <v>40855</v>
          </cell>
          <cell r="F520">
            <v>41170</v>
          </cell>
        </row>
        <row r="521">
          <cell r="A521">
            <v>518</v>
          </cell>
          <cell r="B521">
            <v>0.40693294003346614</v>
          </cell>
          <cell r="C521" t="str">
            <v>J70089</v>
          </cell>
          <cell r="D521" t="str">
            <v>C1SR</v>
          </cell>
          <cell r="E521">
            <v>40862</v>
          </cell>
          <cell r="F521">
            <v>41170</v>
          </cell>
        </row>
        <row r="522">
          <cell r="A522">
            <v>519</v>
          </cell>
          <cell r="B522">
            <v>0.52791506430574586</v>
          </cell>
          <cell r="C522" t="str">
            <v>J92628</v>
          </cell>
          <cell r="D522" t="str">
            <v>C1SR</v>
          </cell>
          <cell r="E522">
            <v>40875</v>
          </cell>
          <cell r="F522">
            <v>41170</v>
          </cell>
        </row>
        <row r="523">
          <cell r="A523">
            <v>520</v>
          </cell>
          <cell r="B523">
            <v>0.22448584542271022</v>
          </cell>
          <cell r="C523" t="str">
            <v>J95347</v>
          </cell>
          <cell r="D523" t="str">
            <v>C1SR</v>
          </cell>
          <cell r="E523">
            <v>40875</v>
          </cell>
          <cell r="F523">
            <v>41170</v>
          </cell>
        </row>
        <row r="524">
          <cell r="A524">
            <v>521</v>
          </cell>
          <cell r="B524">
            <v>0.31245953549393346</v>
          </cell>
          <cell r="C524" t="str">
            <v>J96816</v>
          </cell>
          <cell r="D524" t="str">
            <v>C1SR</v>
          </cell>
          <cell r="E524">
            <v>40875</v>
          </cell>
          <cell r="F524">
            <v>41170</v>
          </cell>
        </row>
        <row r="525">
          <cell r="A525">
            <v>522</v>
          </cell>
          <cell r="B525">
            <v>0.85311957769046232</v>
          </cell>
          <cell r="C525" t="str">
            <v>J96953</v>
          </cell>
          <cell r="D525" t="str">
            <v>C1SR</v>
          </cell>
          <cell r="E525">
            <v>40875</v>
          </cell>
          <cell r="F525">
            <v>41170</v>
          </cell>
        </row>
        <row r="526">
          <cell r="A526">
            <v>523</v>
          </cell>
          <cell r="B526">
            <v>0.21967706615392879</v>
          </cell>
          <cell r="C526" t="str">
            <v>H55231</v>
          </cell>
          <cell r="D526" t="str">
            <v>C1SR</v>
          </cell>
          <cell r="E526">
            <v>40631</v>
          </cell>
          <cell r="F526">
            <v>41171</v>
          </cell>
        </row>
        <row r="527">
          <cell r="A527">
            <v>524</v>
          </cell>
          <cell r="B527">
            <v>0.54339956319812865</v>
          </cell>
          <cell r="C527" t="str">
            <v>H65268</v>
          </cell>
          <cell r="D527" t="str">
            <v>C1SR</v>
          </cell>
          <cell r="E527">
            <v>40683</v>
          </cell>
          <cell r="F527">
            <v>41171</v>
          </cell>
        </row>
        <row r="528">
          <cell r="A528">
            <v>525</v>
          </cell>
          <cell r="B528">
            <v>0.41339698565783156</v>
          </cell>
          <cell r="C528" t="str">
            <v>J38425</v>
          </cell>
          <cell r="D528" t="str">
            <v>C1SR</v>
          </cell>
          <cell r="E528">
            <v>40834</v>
          </cell>
          <cell r="F528">
            <v>41171</v>
          </cell>
        </row>
        <row r="529">
          <cell r="A529">
            <v>526</v>
          </cell>
          <cell r="B529">
            <v>0.90886725577323035</v>
          </cell>
          <cell r="C529" t="str">
            <v>J42975</v>
          </cell>
          <cell r="D529" t="str">
            <v>C1SR</v>
          </cell>
          <cell r="E529">
            <v>40834</v>
          </cell>
          <cell r="F529">
            <v>41171</v>
          </cell>
        </row>
        <row r="530">
          <cell r="A530">
            <v>527</v>
          </cell>
          <cell r="B530">
            <v>0.77199890366264068</v>
          </cell>
          <cell r="C530" t="str">
            <v>J43829</v>
          </cell>
          <cell r="D530" t="str">
            <v>C1SR</v>
          </cell>
          <cell r="E530">
            <v>40840</v>
          </cell>
          <cell r="F530">
            <v>41171</v>
          </cell>
        </row>
        <row r="531">
          <cell r="A531">
            <v>528</v>
          </cell>
          <cell r="B531">
            <v>0.21728512611945527</v>
          </cell>
          <cell r="C531" t="str">
            <v>J51264</v>
          </cell>
          <cell r="D531" t="str">
            <v>C1SR</v>
          </cell>
          <cell r="E531">
            <v>40840</v>
          </cell>
          <cell r="F531">
            <v>41171</v>
          </cell>
        </row>
        <row r="532">
          <cell r="A532">
            <v>529</v>
          </cell>
          <cell r="B532">
            <v>0.84053950887790685</v>
          </cell>
          <cell r="C532" t="str">
            <v>J63323</v>
          </cell>
          <cell r="D532" t="str">
            <v>C1SR</v>
          </cell>
          <cell r="E532">
            <v>40862</v>
          </cell>
          <cell r="F532">
            <v>41171</v>
          </cell>
        </row>
        <row r="533">
          <cell r="A533">
            <v>530</v>
          </cell>
          <cell r="B533">
            <v>0.50546145550820298</v>
          </cell>
          <cell r="C533" t="str">
            <v>J79395</v>
          </cell>
          <cell r="D533" t="str">
            <v>C1SR</v>
          </cell>
          <cell r="E533">
            <v>40865</v>
          </cell>
          <cell r="F533">
            <v>41171</v>
          </cell>
        </row>
        <row r="534">
          <cell r="A534">
            <v>531</v>
          </cell>
          <cell r="B534">
            <v>9.2524735430425609E-2</v>
          </cell>
          <cell r="C534" t="str">
            <v>J79424</v>
          </cell>
          <cell r="D534" t="str">
            <v>C1SR</v>
          </cell>
          <cell r="E534">
            <v>40865</v>
          </cell>
          <cell r="F534">
            <v>41171</v>
          </cell>
        </row>
        <row r="535">
          <cell r="A535">
            <v>532</v>
          </cell>
          <cell r="B535">
            <v>0.36050145634415343</v>
          </cell>
          <cell r="C535" t="str">
            <v>J92723</v>
          </cell>
          <cell r="D535" t="str">
            <v>C1SR</v>
          </cell>
          <cell r="E535">
            <v>40875</v>
          </cell>
          <cell r="F535">
            <v>41171</v>
          </cell>
        </row>
        <row r="536">
          <cell r="A536">
            <v>533</v>
          </cell>
          <cell r="B536">
            <v>0.64270263983051745</v>
          </cell>
          <cell r="C536" t="str">
            <v>J17413</v>
          </cell>
          <cell r="D536" t="str">
            <v>C1SR</v>
          </cell>
          <cell r="E536">
            <v>40812</v>
          </cell>
          <cell r="F536">
            <v>41173</v>
          </cell>
        </row>
        <row r="537">
          <cell r="A537">
            <v>534</v>
          </cell>
          <cell r="B537">
            <v>6.0950814958725674E-2</v>
          </cell>
          <cell r="C537" t="str">
            <v>J62182</v>
          </cell>
          <cell r="D537" t="str">
            <v>C1SR</v>
          </cell>
          <cell r="E537">
            <v>40862</v>
          </cell>
          <cell r="F537">
            <v>41173</v>
          </cell>
        </row>
        <row r="538">
          <cell r="A538">
            <v>535</v>
          </cell>
          <cell r="B538">
            <v>0.84791718392984816</v>
          </cell>
          <cell r="C538" t="str">
            <v>J72888</v>
          </cell>
          <cell r="D538" t="str">
            <v>C1SR</v>
          </cell>
          <cell r="E538">
            <v>40822</v>
          </cell>
          <cell r="F538">
            <v>41173</v>
          </cell>
        </row>
        <row r="539">
          <cell r="A539">
            <v>536</v>
          </cell>
          <cell r="B539">
            <v>0.2841437334168373</v>
          </cell>
          <cell r="C539" t="str">
            <v>J11140</v>
          </cell>
          <cell r="D539" t="str">
            <v>C1SR</v>
          </cell>
          <cell r="E539">
            <v>40800</v>
          </cell>
          <cell r="F539">
            <v>41176</v>
          </cell>
        </row>
        <row r="540">
          <cell r="A540">
            <v>537</v>
          </cell>
          <cell r="B540">
            <v>0.62249935054090244</v>
          </cell>
          <cell r="C540" t="str">
            <v>J41440</v>
          </cell>
          <cell r="D540" t="str">
            <v>C1SR</v>
          </cell>
          <cell r="E540">
            <v>40834</v>
          </cell>
          <cell r="F540">
            <v>41176</v>
          </cell>
        </row>
        <row r="541">
          <cell r="A541">
            <v>538</v>
          </cell>
          <cell r="B541">
            <v>0.64740014558967895</v>
          </cell>
          <cell r="C541" t="str">
            <v>J55401</v>
          </cell>
          <cell r="D541" t="str">
            <v>C1SR</v>
          </cell>
          <cell r="E541">
            <v>40855</v>
          </cell>
          <cell r="F541">
            <v>41176</v>
          </cell>
        </row>
        <row r="542">
          <cell r="A542">
            <v>539</v>
          </cell>
          <cell r="B542">
            <v>0.89815743706064355</v>
          </cell>
          <cell r="C542" t="str">
            <v>J61709</v>
          </cell>
          <cell r="D542" t="str">
            <v>C1SR</v>
          </cell>
          <cell r="E542">
            <v>40855</v>
          </cell>
          <cell r="F542">
            <v>41176</v>
          </cell>
        </row>
        <row r="543">
          <cell r="A543">
            <v>540</v>
          </cell>
          <cell r="B543">
            <v>0.97482790403549469</v>
          </cell>
          <cell r="C543" t="str">
            <v>J79000</v>
          </cell>
          <cell r="D543" t="str">
            <v>C1SR</v>
          </cell>
          <cell r="E543">
            <v>40865</v>
          </cell>
          <cell r="F543">
            <v>41176</v>
          </cell>
        </row>
        <row r="544">
          <cell r="A544">
            <v>541</v>
          </cell>
          <cell r="B544">
            <v>0.39900420825409411</v>
          </cell>
          <cell r="C544" t="str">
            <v>G94310</v>
          </cell>
          <cell r="D544" t="str">
            <v>C1SR</v>
          </cell>
          <cell r="E544">
            <v>40568</v>
          </cell>
          <cell r="F544">
            <v>41178</v>
          </cell>
        </row>
        <row r="545">
          <cell r="A545">
            <v>542</v>
          </cell>
          <cell r="B545">
            <v>7.2834344484771552E-2</v>
          </cell>
          <cell r="C545" t="str">
            <v>J06876</v>
          </cell>
          <cell r="D545" t="str">
            <v>C1SR</v>
          </cell>
          <cell r="E545">
            <v>40798</v>
          </cell>
          <cell r="F545">
            <v>41178</v>
          </cell>
        </row>
        <row r="546">
          <cell r="A546">
            <v>543</v>
          </cell>
          <cell r="B546">
            <v>0.12789815189203046</v>
          </cell>
          <cell r="C546" t="str">
            <v>J79020</v>
          </cell>
          <cell r="D546" t="str">
            <v>C1SR</v>
          </cell>
          <cell r="E546">
            <v>40865</v>
          </cell>
          <cell r="F546">
            <v>41178</v>
          </cell>
        </row>
        <row r="547">
          <cell r="A547">
            <v>544</v>
          </cell>
          <cell r="B547">
            <v>3.0658872518359082E-2</v>
          </cell>
          <cell r="C547" t="str">
            <v>H73456</v>
          </cell>
          <cell r="D547" t="str">
            <v>C1SR</v>
          </cell>
          <cell r="E547">
            <v>40742</v>
          </cell>
          <cell r="F547">
            <v>41183</v>
          </cell>
        </row>
        <row r="548">
          <cell r="A548">
            <v>545</v>
          </cell>
          <cell r="B548">
            <v>0.59841233760249801</v>
          </cell>
          <cell r="C548" t="str">
            <v>J33981</v>
          </cell>
          <cell r="D548" t="str">
            <v>C1SR</v>
          </cell>
          <cell r="E548">
            <v>40834</v>
          </cell>
          <cell r="F548">
            <v>41183</v>
          </cell>
        </row>
        <row r="549">
          <cell r="A549">
            <v>546</v>
          </cell>
          <cell r="B549">
            <v>0.2851006410123913</v>
          </cell>
          <cell r="C549" t="str">
            <v>J80220</v>
          </cell>
          <cell r="D549" t="str">
            <v>C1SR</v>
          </cell>
          <cell r="E549">
            <v>40865</v>
          </cell>
          <cell r="F549">
            <v>41183</v>
          </cell>
        </row>
        <row r="550">
          <cell r="A550">
            <v>547</v>
          </cell>
          <cell r="B550">
            <v>0.70632723846781242</v>
          </cell>
          <cell r="C550" t="str">
            <v>J18541</v>
          </cell>
          <cell r="D550" t="str">
            <v>C1SR</v>
          </cell>
          <cell r="E550">
            <v>40800</v>
          </cell>
          <cell r="F550">
            <v>41184</v>
          </cell>
        </row>
        <row r="551">
          <cell r="A551">
            <v>548</v>
          </cell>
          <cell r="B551">
            <v>0.57759564093194693</v>
          </cell>
          <cell r="C551" t="str">
            <v>J43760</v>
          </cell>
          <cell r="D551" t="str">
            <v>C1SR</v>
          </cell>
          <cell r="E551">
            <v>40840</v>
          </cell>
          <cell r="F551">
            <v>41184</v>
          </cell>
        </row>
        <row r="552">
          <cell r="A552">
            <v>549</v>
          </cell>
          <cell r="B552">
            <v>0.67023788410358032</v>
          </cell>
          <cell r="C552" t="str">
            <v>J48091</v>
          </cell>
          <cell r="D552" t="str">
            <v>C1SR</v>
          </cell>
          <cell r="E552">
            <v>40840</v>
          </cell>
          <cell r="F552">
            <v>41184</v>
          </cell>
        </row>
        <row r="553">
          <cell r="A553">
            <v>550</v>
          </cell>
          <cell r="B553">
            <v>0.87348379241339413</v>
          </cell>
          <cell r="C553" t="str">
            <v>J64601</v>
          </cell>
          <cell r="D553" t="str">
            <v>C1SR</v>
          </cell>
          <cell r="E553">
            <v>40862</v>
          </cell>
          <cell r="F553">
            <v>41184</v>
          </cell>
        </row>
        <row r="554">
          <cell r="A554">
            <v>551</v>
          </cell>
          <cell r="B554">
            <v>0.43958312742471195</v>
          </cell>
          <cell r="C554" t="str">
            <v>J78932</v>
          </cell>
          <cell r="D554" t="str">
            <v>C1SR</v>
          </cell>
          <cell r="E554">
            <v>40865</v>
          </cell>
          <cell r="F554">
            <v>41184</v>
          </cell>
        </row>
        <row r="555">
          <cell r="A555">
            <v>552</v>
          </cell>
          <cell r="B555">
            <v>0.67874603600059369</v>
          </cell>
          <cell r="C555" t="str">
            <v>H77582</v>
          </cell>
          <cell r="D555" t="str">
            <v>C1SR</v>
          </cell>
          <cell r="E555">
            <v>40767</v>
          </cell>
          <cell r="F555">
            <v>41185</v>
          </cell>
        </row>
        <row r="556">
          <cell r="A556">
            <v>553</v>
          </cell>
          <cell r="B556">
            <v>0.53168475350426458</v>
          </cell>
          <cell r="C556" t="str">
            <v>J35022</v>
          </cell>
          <cell r="D556" t="str">
            <v>C1SR</v>
          </cell>
          <cell r="E556">
            <v>40834</v>
          </cell>
          <cell r="F556">
            <v>41185</v>
          </cell>
        </row>
        <row r="557">
          <cell r="A557">
            <v>554</v>
          </cell>
          <cell r="B557">
            <v>0.3297986288589897</v>
          </cell>
          <cell r="C557" t="str">
            <v>J57325</v>
          </cell>
          <cell r="D557" t="str">
            <v>C1SR</v>
          </cell>
          <cell r="E557">
            <v>40855</v>
          </cell>
          <cell r="F557">
            <v>41185</v>
          </cell>
        </row>
        <row r="558">
          <cell r="A558">
            <v>555</v>
          </cell>
          <cell r="B558">
            <v>0.28746886844620045</v>
          </cell>
          <cell r="C558" t="str">
            <v>H52432</v>
          </cell>
          <cell r="D558" t="str">
            <v>C1SR</v>
          </cell>
          <cell r="E558">
            <v>40598</v>
          </cell>
          <cell r="F558">
            <v>41186</v>
          </cell>
        </row>
        <row r="559">
          <cell r="A559">
            <v>556</v>
          </cell>
          <cell r="B559">
            <v>0.89749369139927038</v>
          </cell>
          <cell r="C559" t="str">
            <v>H61290</v>
          </cell>
          <cell r="D559" t="str">
            <v>C1SR</v>
          </cell>
          <cell r="E559">
            <v>40638</v>
          </cell>
          <cell r="F559">
            <v>41186</v>
          </cell>
        </row>
        <row r="560">
          <cell r="A560">
            <v>557</v>
          </cell>
          <cell r="B560">
            <v>0.72888174944940676</v>
          </cell>
          <cell r="C560" t="str">
            <v>H62027</v>
          </cell>
          <cell r="D560" t="str">
            <v>C1SR</v>
          </cell>
          <cell r="E560">
            <v>40638</v>
          </cell>
          <cell r="F560">
            <v>41186</v>
          </cell>
        </row>
        <row r="561">
          <cell r="A561">
            <v>558</v>
          </cell>
          <cell r="B561">
            <v>0.24937910861020118</v>
          </cell>
          <cell r="C561" t="str">
            <v>J53008</v>
          </cell>
          <cell r="D561" t="str">
            <v>C1SR</v>
          </cell>
          <cell r="E561">
            <v>40855</v>
          </cell>
          <cell r="F561">
            <v>41186</v>
          </cell>
        </row>
        <row r="562">
          <cell r="A562">
            <v>559</v>
          </cell>
          <cell r="B562">
            <v>0.78762359228602608</v>
          </cell>
          <cell r="C562" t="str">
            <v>J62185</v>
          </cell>
          <cell r="D562" t="str">
            <v>C1SR</v>
          </cell>
          <cell r="E562">
            <v>40862</v>
          </cell>
          <cell r="F562">
            <v>41186</v>
          </cell>
        </row>
        <row r="563">
          <cell r="A563">
            <v>560</v>
          </cell>
          <cell r="B563">
            <v>0.36213980902357867</v>
          </cell>
          <cell r="C563" t="str">
            <v>J62555</v>
          </cell>
          <cell r="D563" t="str">
            <v>C1SR</v>
          </cell>
          <cell r="E563">
            <v>40862</v>
          </cell>
          <cell r="F563">
            <v>41186</v>
          </cell>
        </row>
        <row r="564">
          <cell r="A564">
            <v>561</v>
          </cell>
          <cell r="B564">
            <v>0.40790692599902789</v>
          </cell>
          <cell r="C564" t="str">
            <v>J91964</v>
          </cell>
          <cell r="D564" t="str">
            <v>C1SR</v>
          </cell>
          <cell r="E564">
            <v>40848</v>
          </cell>
          <cell r="F564">
            <v>41186</v>
          </cell>
        </row>
        <row r="565">
          <cell r="A565">
            <v>562</v>
          </cell>
          <cell r="B565">
            <v>0.12094964365054006</v>
          </cell>
          <cell r="C565" t="str">
            <v>J96329</v>
          </cell>
          <cell r="D565" t="str">
            <v>C1SR</v>
          </cell>
          <cell r="E565">
            <v>40875</v>
          </cell>
          <cell r="F565">
            <v>41186</v>
          </cell>
        </row>
        <row r="566">
          <cell r="A566">
            <v>563</v>
          </cell>
          <cell r="B566">
            <v>4.666237018195607E-2</v>
          </cell>
          <cell r="C566" t="str">
            <v>H60987</v>
          </cell>
          <cell r="D566" t="str">
            <v>C1SR</v>
          </cell>
          <cell r="E566">
            <v>40638</v>
          </cell>
          <cell r="F566">
            <v>41190</v>
          </cell>
        </row>
        <row r="567">
          <cell r="A567">
            <v>564</v>
          </cell>
          <cell r="B567">
            <v>0.76172711573823471</v>
          </cell>
          <cell r="C567" t="str">
            <v>H61097</v>
          </cell>
          <cell r="D567" t="str">
            <v>C1SR</v>
          </cell>
          <cell r="E567">
            <v>40638</v>
          </cell>
          <cell r="F567">
            <v>41190</v>
          </cell>
        </row>
        <row r="568">
          <cell r="A568">
            <v>565</v>
          </cell>
          <cell r="B568">
            <v>0.62271648364875987</v>
          </cell>
          <cell r="C568" t="str">
            <v>H62575</v>
          </cell>
          <cell r="D568" t="str">
            <v>C1SR</v>
          </cell>
          <cell r="E568">
            <v>40638</v>
          </cell>
          <cell r="F568">
            <v>41190</v>
          </cell>
        </row>
        <row r="569">
          <cell r="A569">
            <v>566</v>
          </cell>
          <cell r="B569">
            <v>0.16219325984664634</v>
          </cell>
          <cell r="C569" t="str">
            <v>H72516</v>
          </cell>
          <cell r="D569" t="str">
            <v>C1SR</v>
          </cell>
          <cell r="E569">
            <v>40682</v>
          </cell>
          <cell r="F569">
            <v>41190</v>
          </cell>
        </row>
        <row r="570">
          <cell r="A570">
            <v>567</v>
          </cell>
          <cell r="B570">
            <v>0.5856559594287527</v>
          </cell>
          <cell r="C570" t="str">
            <v>H74717</v>
          </cell>
          <cell r="D570" t="str">
            <v>C1SR</v>
          </cell>
          <cell r="E570">
            <v>40744</v>
          </cell>
          <cell r="F570">
            <v>41190</v>
          </cell>
        </row>
        <row r="571">
          <cell r="A571">
            <v>568</v>
          </cell>
          <cell r="B571">
            <v>0.22384873104403447</v>
          </cell>
          <cell r="C571" t="str">
            <v>J71868</v>
          </cell>
          <cell r="D571" t="str">
            <v>C1SR</v>
          </cell>
          <cell r="E571">
            <v>40862</v>
          </cell>
          <cell r="F571">
            <v>41190</v>
          </cell>
        </row>
        <row r="572">
          <cell r="A572">
            <v>569</v>
          </cell>
          <cell r="B572">
            <v>0.88508298688412335</v>
          </cell>
          <cell r="C572" t="str">
            <v>J89570</v>
          </cell>
          <cell r="D572" t="str">
            <v>C1SR</v>
          </cell>
          <cell r="E572">
            <v>40844</v>
          </cell>
          <cell r="F572">
            <v>41190</v>
          </cell>
        </row>
        <row r="573">
          <cell r="A573">
            <v>570</v>
          </cell>
          <cell r="B573">
            <v>2.2097679103676549E-2</v>
          </cell>
          <cell r="C573" t="str">
            <v>J96415</v>
          </cell>
          <cell r="D573" t="str">
            <v>C1SR</v>
          </cell>
          <cell r="E573">
            <v>40875</v>
          </cell>
          <cell r="F573">
            <v>41190</v>
          </cell>
        </row>
        <row r="574">
          <cell r="A574">
            <v>571</v>
          </cell>
          <cell r="B574">
            <v>0.17148700282682838</v>
          </cell>
          <cell r="C574" t="str">
            <v>G92539</v>
          </cell>
          <cell r="D574" t="str">
            <v>C1SR</v>
          </cell>
          <cell r="E574">
            <v>40568</v>
          </cell>
          <cell r="F574">
            <v>41191</v>
          </cell>
        </row>
        <row r="575">
          <cell r="A575">
            <v>572</v>
          </cell>
          <cell r="B575">
            <v>0.39294993715756421</v>
          </cell>
          <cell r="C575" t="str">
            <v>H68720</v>
          </cell>
          <cell r="D575" t="str">
            <v>C1SR</v>
          </cell>
          <cell r="E575">
            <v>40682</v>
          </cell>
          <cell r="F575">
            <v>41191</v>
          </cell>
        </row>
        <row r="576">
          <cell r="A576">
            <v>573</v>
          </cell>
          <cell r="B576">
            <v>0.25481569591821651</v>
          </cell>
          <cell r="C576" t="str">
            <v>H77934</v>
          </cell>
          <cell r="D576" t="str">
            <v>C1SR</v>
          </cell>
          <cell r="E576">
            <v>40767</v>
          </cell>
          <cell r="F576">
            <v>41191</v>
          </cell>
        </row>
        <row r="577">
          <cell r="A577">
            <v>574</v>
          </cell>
          <cell r="B577">
            <v>0.7942799067225883</v>
          </cell>
          <cell r="C577" t="str">
            <v>H78111</v>
          </cell>
          <cell r="D577" t="str">
            <v>C1SR</v>
          </cell>
          <cell r="E577">
            <v>40767</v>
          </cell>
          <cell r="F577">
            <v>41191</v>
          </cell>
        </row>
        <row r="578">
          <cell r="A578">
            <v>575</v>
          </cell>
          <cell r="B578">
            <v>0.41482981558572141</v>
          </cell>
          <cell r="C578" t="str">
            <v>J01167</v>
          </cell>
          <cell r="D578" t="str">
            <v>C1SR</v>
          </cell>
          <cell r="E578">
            <v>40798</v>
          </cell>
          <cell r="F578">
            <v>41191</v>
          </cell>
        </row>
        <row r="579">
          <cell r="A579">
            <v>576</v>
          </cell>
          <cell r="B579">
            <v>0.74368521667842946</v>
          </cell>
          <cell r="C579" t="str">
            <v>J26823</v>
          </cell>
          <cell r="D579" t="str">
            <v>C1SR</v>
          </cell>
          <cell r="E579">
            <v>40828</v>
          </cell>
          <cell r="F579">
            <v>41191</v>
          </cell>
        </row>
        <row r="580">
          <cell r="A580">
            <v>577</v>
          </cell>
          <cell r="B580">
            <v>0.8950309454063351</v>
          </cell>
          <cell r="C580" t="str">
            <v>J69995</v>
          </cell>
          <cell r="D580" t="str">
            <v>C1SR</v>
          </cell>
          <cell r="E580">
            <v>40862</v>
          </cell>
          <cell r="F580">
            <v>41191</v>
          </cell>
        </row>
        <row r="581">
          <cell r="A581">
            <v>578</v>
          </cell>
          <cell r="B581">
            <v>0.61805052185279774</v>
          </cell>
          <cell r="C581" t="str">
            <v>J76234</v>
          </cell>
          <cell r="D581" t="str">
            <v>C1SR</v>
          </cell>
          <cell r="E581">
            <v>40865</v>
          </cell>
          <cell r="F581">
            <v>41191</v>
          </cell>
        </row>
        <row r="582">
          <cell r="A582">
            <v>579</v>
          </cell>
          <cell r="B582">
            <v>0.15381743995105446</v>
          </cell>
          <cell r="C582" t="str">
            <v>J77688</v>
          </cell>
          <cell r="D582" t="str">
            <v>C1SR</v>
          </cell>
          <cell r="E582">
            <v>40865</v>
          </cell>
          <cell r="F582">
            <v>41191</v>
          </cell>
        </row>
        <row r="583">
          <cell r="A583">
            <v>580</v>
          </cell>
          <cell r="B583">
            <v>0.22901715038223414</v>
          </cell>
          <cell r="C583" t="str">
            <v>J81699</v>
          </cell>
          <cell r="D583" t="str">
            <v>C1SR</v>
          </cell>
          <cell r="E583">
            <v>40865</v>
          </cell>
          <cell r="F583">
            <v>41191</v>
          </cell>
        </row>
        <row r="584">
          <cell r="A584">
            <v>581</v>
          </cell>
          <cell r="B584">
            <v>0.94242400036392859</v>
          </cell>
          <cell r="C584" t="str">
            <v>J82846</v>
          </cell>
          <cell r="D584" t="str">
            <v>C1SR</v>
          </cell>
          <cell r="E584">
            <v>40812</v>
          </cell>
          <cell r="F584">
            <v>41191</v>
          </cell>
        </row>
        <row r="585">
          <cell r="A585">
            <v>582</v>
          </cell>
          <cell r="B585">
            <v>0.22671684045330931</v>
          </cell>
          <cell r="C585" t="str">
            <v>J92847</v>
          </cell>
          <cell r="D585" t="str">
            <v>C1SR</v>
          </cell>
          <cell r="E585">
            <v>40875</v>
          </cell>
          <cell r="F585">
            <v>41191</v>
          </cell>
        </row>
        <row r="586">
          <cell r="A586">
            <v>583</v>
          </cell>
          <cell r="B586">
            <v>0.92119364003554061</v>
          </cell>
          <cell r="C586" t="str">
            <v>J93060</v>
          </cell>
          <cell r="D586" t="str">
            <v>C1SR</v>
          </cell>
          <cell r="E586">
            <v>40875</v>
          </cell>
          <cell r="F586">
            <v>41191</v>
          </cell>
        </row>
        <row r="587">
          <cell r="A587">
            <v>584</v>
          </cell>
          <cell r="B587">
            <v>0.78566624172410837</v>
          </cell>
          <cell r="C587" t="str">
            <v>J95416</v>
          </cell>
          <cell r="D587" t="str">
            <v>C1SR</v>
          </cell>
          <cell r="E587">
            <v>40875</v>
          </cell>
          <cell r="F587">
            <v>41191</v>
          </cell>
        </row>
        <row r="588">
          <cell r="A588">
            <v>585</v>
          </cell>
          <cell r="B588">
            <v>0.41439834854026547</v>
          </cell>
          <cell r="C588" t="str">
            <v>G93866</v>
          </cell>
          <cell r="D588" t="str">
            <v>C1SR</v>
          </cell>
          <cell r="E588">
            <v>40568</v>
          </cell>
          <cell r="F588">
            <v>41194</v>
          </cell>
        </row>
        <row r="589">
          <cell r="A589">
            <v>586</v>
          </cell>
          <cell r="B589">
            <v>0.60353152645594621</v>
          </cell>
          <cell r="C589" t="str">
            <v>H50602</v>
          </cell>
          <cell r="D589" t="str">
            <v>C1SR</v>
          </cell>
          <cell r="E589">
            <v>40598</v>
          </cell>
          <cell r="F589">
            <v>41194</v>
          </cell>
        </row>
        <row r="590">
          <cell r="A590">
            <v>587</v>
          </cell>
          <cell r="B590">
            <v>0.89912271048984327</v>
          </cell>
          <cell r="C590" t="str">
            <v>H56315</v>
          </cell>
          <cell r="D590" t="str">
            <v>C1SR</v>
          </cell>
          <cell r="E590">
            <v>40631</v>
          </cell>
          <cell r="F590">
            <v>41194</v>
          </cell>
        </row>
        <row r="591">
          <cell r="A591">
            <v>588</v>
          </cell>
          <cell r="B591">
            <v>0.45688342077458588</v>
          </cell>
          <cell r="C591" t="str">
            <v>H59627</v>
          </cell>
          <cell r="D591" t="str">
            <v>C1SR</v>
          </cell>
          <cell r="E591">
            <v>40638</v>
          </cell>
          <cell r="F591">
            <v>41194</v>
          </cell>
        </row>
        <row r="592">
          <cell r="A592">
            <v>589</v>
          </cell>
          <cell r="B592">
            <v>0.60288416628802333</v>
          </cell>
          <cell r="C592" t="str">
            <v>H62269</v>
          </cell>
          <cell r="D592" t="str">
            <v>C1SR</v>
          </cell>
          <cell r="E592">
            <v>40638</v>
          </cell>
          <cell r="F592">
            <v>41194</v>
          </cell>
        </row>
        <row r="593">
          <cell r="A593">
            <v>590</v>
          </cell>
          <cell r="B593">
            <v>0.51982407553544818</v>
          </cell>
          <cell r="C593" t="str">
            <v>H64893</v>
          </cell>
          <cell r="D593" t="str">
            <v>C1SR</v>
          </cell>
          <cell r="E593">
            <v>40683</v>
          </cell>
          <cell r="F593">
            <v>41194</v>
          </cell>
        </row>
        <row r="594">
          <cell r="A594">
            <v>591</v>
          </cell>
          <cell r="B594">
            <v>0.76794257909110886</v>
          </cell>
          <cell r="C594" t="str">
            <v>H74646</v>
          </cell>
          <cell r="D594" t="str">
            <v>C1SR</v>
          </cell>
          <cell r="E594">
            <v>40744</v>
          </cell>
          <cell r="F594">
            <v>41194</v>
          </cell>
        </row>
        <row r="595">
          <cell r="A595">
            <v>592</v>
          </cell>
          <cell r="B595">
            <v>0.60611079591782602</v>
          </cell>
          <cell r="C595" t="str">
            <v>J17265</v>
          </cell>
          <cell r="D595" t="str">
            <v>C1SR</v>
          </cell>
          <cell r="E595">
            <v>40812</v>
          </cell>
          <cell r="F595">
            <v>41194</v>
          </cell>
        </row>
        <row r="596">
          <cell r="A596">
            <v>593</v>
          </cell>
          <cell r="B596">
            <v>0.50677137731475896</v>
          </cell>
          <cell r="C596" t="str">
            <v>J41718</v>
          </cell>
          <cell r="D596" t="str">
            <v>C1SR</v>
          </cell>
          <cell r="E596">
            <v>40834</v>
          </cell>
          <cell r="F596">
            <v>41194</v>
          </cell>
        </row>
        <row r="597">
          <cell r="A597">
            <v>594</v>
          </cell>
          <cell r="B597">
            <v>0.10563076988142639</v>
          </cell>
          <cell r="C597" t="str">
            <v>J55224</v>
          </cell>
          <cell r="D597" t="str">
            <v>C1SR</v>
          </cell>
          <cell r="E597">
            <v>40855</v>
          </cell>
          <cell r="F597">
            <v>41194</v>
          </cell>
        </row>
        <row r="598">
          <cell r="A598">
            <v>595</v>
          </cell>
          <cell r="B598">
            <v>0.51898831800527878</v>
          </cell>
          <cell r="C598" t="str">
            <v>J59954</v>
          </cell>
          <cell r="D598" t="str">
            <v>C1SR</v>
          </cell>
          <cell r="E598">
            <v>40855</v>
          </cell>
          <cell r="F598">
            <v>41194</v>
          </cell>
        </row>
        <row r="599">
          <cell r="A599">
            <v>596</v>
          </cell>
          <cell r="B599">
            <v>0.12446395558011403</v>
          </cell>
          <cell r="C599" t="str">
            <v>J62622</v>
          </cell>
          <cell r="D599" t="str">
            <v>C1SR</v>
          </cell>
          <cell r="E599">
            <v>40862</v>
          </cell>
          <cell r="F599">
            <v>41194</v>
          </cell>
        </row>
        <row r="600">
          <cell r="A600">
            <v>597</v>
          </cell>
          <cell r="B600">
            <v>0.26501212730775037</v>
          </cell>
          <cell r="C600" t="str">
            <v>J68711</v>
          </cell>
          <cell r="D600" t="str">
            <v>C1SR</v>
          </cell>
          <cell r="E600">
            <v>40862</v>
          </cell>
          <cell r="F600">
            <v>41194</v>
          </cell>
        </row>
        <row r="601">
          <cell r="A601">
            <v>598</v>
          </cell>
          <cell r="B601">
            <v>0.54837025326210531</v>
          </cell>
          <cell r="C601" t="str">
            <v>J78804</v>
          </cell>
          <cell r="D601" t="str">
            <v>C1SR</v>
          </cell>
          <cell r="E601">
            <v>40865</v>
          </cell>
          <cell r="F601">
            <v>41194</v>
          </cell>
        </row>
        <row r="602">
          <cell r="A602">
            <v>599</v>
          </cell>
          <cell r="B602">
            <v>0.81841460264010257</v>
          </cell>
          <cell r="C602" t="str">
            <v>J94825</v>
          </cell>
          <cell r="D602" t="str">
            <v>C1SR</v>
          </cell>
          <cell r="E602">
            <v>40875</v>
          </cell>
          <cell r="F602">
            <v>41194</v>
          </cell>
        </row>
        <row r="603">
          <cell r="A603">
            <v>600</v>
          </cell>
          <cell r="B603">
            <v>0.57949033890175006</v>
          </cell>
          <cell r="C603" t="str">
            <v>H58377</v>
          </cell>
          <cell r="D603" t="str">
            <v>C1SR</v>
          </cell>
          <cell r="E603">
            <v>40631</v>
          </cell>
          <cell r="F603">
            <v>41197</v>
          </cell>
        </row>
        <row r="604">
          <cell r="A604">
            <v>601</v>
          </cell>
          <cell r="B604">
            <v>0.67773589314101901</v>
          </cell>
          <cell r="C604" t="str">
            <v>H77845</v>
          </cell>
          <cell r="D604" t="str">
            <v>C1SR</v>
          </cell>
          <cell r="E604">
            <v>40767</v>
          </cell>
          <cell r="F604">
            <v>41197</v>
          </cell>
        </row>
        <row r="605">
          <cell r="A605">
            <v>602</v>
          </cell>
          <cell r="B605">
            <v>0.98337177688362987</v>
          </cell>
          <cell r="C605" t="str">
            <v>J36884</v>
          </cell>
          <cell r="D605" t="str">
            <v>C1SR</v>
          </cell>
          <cell r="E605">
            <v>40834</v>
          </cell>
          <cell r="F605">
            <v>41197</v>
          </cell>
        </row>
        <row r="606">
          <cell r="A606">
            <v>603</v>
          </cell>
          <cell r="B606">
            <v>0.42948733639737902</v>
          </cell>
          <cell r="C606" t="str">
            <v>J62166</v>
          </cell>
          <cell r="D606" t="str">
            <v>C1SR</v>
          </cell>
          <cell r="E606">
            <v>40862</v>
          </cell>
          <cell r="F606">
            <v>41197</v>
          </cell>
        </row>
        <row r="607">
          <cell r="A607">
            <v>604</v>
          </cell>
          <cell r="B607">
            <v>0.10330592911620806</v>
          </cell>
          <cell r="C607" t="str">
            <v>J68299</v>
          </cell>
          <cell r="D607" t="str">
            <v>C1SR</v>
          </cell>
          <cell r="E607">
            <v>40862</v>
          </cell>
          <cell r="F607">
            <v>41197</v>
          </cell>
        </row>
        <row r="608">
          <cell r="A608">
            <v>605</v>
          </cell>
          <cell r="B608">
            <v>0.39106721145010703</v>
          </cell>
          <cell r="C608" t="str">
            <v>J71658</v>
          </cell>
          <cell r="D608" t="str">
            <v>C1SR</v>
          </cell>
          <cell r="E608">
            <v>40862</v>
          </cell>
          <cell r="F608">
            <v>41197</v>
          </cell>
        </row>
        <row r="609">
          <cell r="A609">
            <v>606</v>
          </cell>
          <cell r="B609">
            <v>1.5200466719365147E-2</v>
          </cell>
          <cell r="C609" t="str">
            <v>H56219</v>
          </cell>
          <cell r="D609" t="str">
            <v>C1SR</v>
          </cell>
          <cell r="E609">
            <v>40631</v>
          </cell>
          <cell r="F609">
            <v>41198</v>
          </cell>
        </row>
        <row r="610">
          <cell r="A610">
            <v>607</v>
          </cell>
          <cell r="B610">
            <v>0.3241340351932579</v>
          </cell>
          <cell r="C610" t="str">
            <v>J20362</v>
          </cell>
          <cell r="D610" t="str">
            <v>C1SR</v>
          </cell>
          <cell r="E610">
            <v>40800</v>
          </cell>
          <cell r="F610">
            <v>41198</v>
          </cell>
        </row>
        <row r="611">
          <cell r="A611">
            <v>608</v>
          </cell>
          <cell r="B611">
            <v>0.53009214067932175</v>
          </cell>
          <cell r="C611" t="str">
            <v>J09040</v>
          </cell>
          <cell r="D611" t="str">
            <v>C1SR</v>
          </cell>
          <cell r="E611">
            <v>40798</v>
          </cell>
          <cell r="F611">
            <v>41199</v>
          </cell>
        </row>
        <row r="612">
          <cell r="A612">
            <v>609</v>
          </cell>
          <cell r="B612">
            <v>0.81403381999609903</v>
          </cell>
          <cell r="C612" t="str">
            <v>J13569</v>
          </cell>
          <cell r="D612" t="str">
            <v>C1SR</v>
          </cell>
          <cell r="E612">
            <v>40800</v>
          </cell>
          <cell r="F612">
            <v>41199</v>
          </cell>
        </row>
        <row r="613">
          <cell r="A613">
            <v>610</v>
          </cell>
          <cell r="B613">
            <v>4.0310970006816271E-2</v>
          </cell>
          <cell r="C613" t="str">
            <v>J14443</v>
          </cell>
          <cell r="D613" t="str">
            <v>C1SR</v>
          </cell>
          <cell r="E613">
            <v>40800</v>
          </cell>
          <cell r="F613">
            <v>41199</v>
          </cell>
        </row>
        <row r="614">
          <cell r="A614">
            <v>611</v>
          </cell>
          <cell r="B614">
            <v>0.73769666781435561</v>
          </cell>
          <cell r="C614" t="str">
            <v>J55769</v>
          </cell>
          <cell r="D614" t="str">
            <v>C1SR</v>
          </cell>
          <cell r="E614">
            <v>40855</v>
          </cell>
          <cell r="F614">
            <v>41199</v>
          </cell>
        </row>
        <row r="615">
          <cell r="A615">
            <v>612</v>
          </cell>
          <cell r="B615">
            <v>0.30322825292925482</v>
          </cell>
          <cell r="C615" t="str">
            <v>J64636</v>
          </cell>
          <cell r="D615" t="str">
            <v>C1SR</v>
          </cell>
          <cell r="E615">
            <v>40862</v>
          </cell>
          <cell r="F615">
            <v>41199</v>
          </cell>
        </row>
        <row r="616">
          <cell r="A616">
            <v>613</v>
          </cell>
          <cell r="B616">
            <v>0.51868195253601745</v>
          </cell>
          <cell r="C616" t="str">
            <v>J62600</v>
          </cell>
          <cell r="D616" t="str">
            <v>C1SR</v>
          </cell>
          <cell r="E616">
            <v>40862</v>
          </cell>
          <cell r="F616">
            <v>41200</v>
          </cell>
        </row>
        <row r="617">
          <cell r="A617">
            <v>614</v>
          </cell>
          <cell r="B617">
            <v>0.34265320270652577</v>
          </cell>
          <cell r="C617" t="str">
            <v>J71169</v>
          </cell>
          <cell r="D617" t="str">
            <v>C1SR</v>
          </cell>
          <cell r="E617">
            <v>40862</v>
          </cell>
          <cell r="F617">
            <v>41200</v>
          </cell>
        </row>
        <row r="618">
          <cell r="A618">
            <v>615</v>
          </cell>
          <cell r="B618">
            <v>0.34973958477158229</v>
          </cell>
          <cell r="C618" t="str">
            <v>H57162</v>
          </cell>
          <cell r="D618" t="str">
            <v>C1SR</v>
          </cell>
          <cell r="E618">
            <v>40631</v>
          </cell>
          <cell r="F618">
            <v>41201</v>
          </cell>
        </row>
        <row r="619">
          <cell r="A619">
            <v>616</v>
          </cell>
          <cell r="B619">
            <v>0.50691781108310385</v>
          </cell>
          <cell r="C619" t="str">
            <v>J62261</v>
          </cell>
          <cell r="D619" t="str">
            <v>C1SR</v>
          </cell>
          <cell r="E619">
            <v>40862</v>
          </cell>
          <cell r="F619">
            <v>41201</v>
          </cell>
        </row>
        <row r="620">
          <cell r="A620">
            <v>617</v>
          </cell>
          <cell r="B620">
            <v>0.63869129345039077</v>
          </cell>
          <cell r="C620" t="str">
            <v>H57781</v>
          </cell>
          <cell r="D620" t="str">
            <v>C1SR</v>
          </cell>
          <cell r="E620">
            <v>40631</v>
          </cell>
          <cell r="F620">
            <v>41204</v>
          </cell>
        </row>
        <row r="621">
          <cell r="A621">
            <v>618</v>
          </cell>
          <cell r="B621">
            <v>0.98939499550127119</v>
          </cell>
          <cell r="C621" t="str">
            <v>J11233</v>
          </cell>
          <cell r="D621" t="str">
            <v>C1SR</v>
          </cell>
          <cell r="E621">
            <v>40800</v>
          </cell>
          <cell r="F621">
            <v>41204</v>
          </cell>
        </row>
        <row r="622">
          <cell r="A622">
            <v>619</v>
          </cell>
          <cell r="B622">
            <v>0.81115521298125881</v>
          </cell>
          <cell r="C622" t="str">
            <v>J61786</v>
          </cell>
          <cell r="D622" t="str">
            <v>C1SR</v>
          </cell>
          <cell r="E622">
            <v>40855</v>
          </cell>
          <cell r="F622">
            <v>41204</v>
          </cell>
        </row>
        <row r="623">
          <cell r="A623">
            <v>620</v>
          </cell>
          <cell r="B623">
            <v>0.47331968379713407</v>
          </cell>
          <cell r="C623" t="str">
            <v>J71799</v>
          </cell>
          <cell r="D623" t="str">
            <v>C1SR</v>
          </cell>
          <cell r="E623">
            <v>40862</v>
          </cell>
          <cell r="F623">
            <v>41204</v>
          </cell>
        </row>
        <row r="624">
          <cell r="A624">
            <v>621</v>
          </cell>
          <cell r="B624">
            <v>0.55750981871443417</v>
          </cell>
          <cell r="C624" t="str">
            <v>J80960</v>
          </cell>
          <cell r="D624" t="str">
            <v>C1SR</v>
          </cell>
          <cell r="E624">
            <v>40865</v>
          </cell>
          <cell r="F624">
            <v>41204</v>
          </cell>
        </row>
        <row r="625">
          <cell r="A625">
            <v>622</v>
          </cell>
          <cell r="B625">
            <v>0.2553664739562298</v>
          </cell>
          <cell r="C625" t="str">
            <v>J81666</v>
          </cell>
          <cell r="D625" t="str">
            <v>C1SR</v>
          </cell>
          <cell r="E625">
            <v>40865</v>
          </cell>
          <cell r="F625">
            <v>41204</v>
          </cell>
        </row>
        <row r="626">
          <cell r="A626">
            <v>623</v>
          </cell>
          <cell r="B626">
            <v>0.93320136074134707</v>
          </cell>
          <cell r="C626" t="str">
            <v>J94840</v>
          </cell>
          <cell r="D626" t="str">
            <v>C1SR</v>
          </cell>
          <cell r="E626">
            <v>40875</v>
          </cell>
          <cell r="F626">
            <v>41204</v>
          </cell>
        </row>
        <row r="627">
          <cell r="A627">
            <v>624</v>
          </cell>
          <cell r="B627">
            <v>0.89286828723603151</v>
          </cell>
          <cell r="C627" t="str">
            <v>H50871</v>
          </cell>
          <cell r="D627" t="str">
            <v>C1SR</v>
          </cell>
          <cell r="E627">
            <v>40598</v>
          </cell>
          <cell r="F627">
            <v>41205</v>
          </cell>
        </row>
        <row r="628">
          <cell r="A628">
            <v>625</v>
          </cell>
          <cell r="B628">
            <v>0.71295622606897546</v>
          </cell>
          <cell r="C628" t="str">
            <v>H54413</v>
          </cell>
          <cell r="D628" t="str">
            <v>C1SR</v>
          </cell>
          <cell r="E628">
            <v>40631</v>
          </cell>
          <cell r="F628">
            <v>41205</v>
          </cell>
        </row>
        <row r="629">
          <cell r="A629">
            <v>626</v>
          </cell>
          <cell r="B629">
            <v>2.2056460847566739E-2</v>
          </cell>
          <cell r="C629" t="str">
            <v>H58182</v>
          </cell>
          <cell r="D629" t="str">
            <v>C1SR</v>
          </cell>
          <cell r="E629">
            <v>40631</v>
          </cell>
          <cell r="F629">
            <v>41205</v>
          </cell>
        </row>
        <row r="630">
          <cell r="A630">
            <v>627</v>
          </cell>
          <cell r="B630">
            <v>0.12705670836219118</v>
          </cell>
          <cell r="C630" t="str">
            <v>J12964</v>
          </cell>
          <cell r="D630" t="str">
            <v>C1SR</v>
          </cell>
          <cell r="E630">
            <v>40800</v>
          </cell>
          <cell r="F630">
            <v>41205</v>
          </cell>
        </row>
        <row r="631">
          <cell r="A631">
            <v>628</v>
          </cell>
          <cell r="B631">
            <v>0.18447821285738109</v>
          </cell>
          <cell r="C631" t="str">
            <v>J24152</v>
          </cell>
          <cell r="D631" t="str">
            <v>C1SR</v>
          </cell>
          <cell r="E631">
            <v>40828</v>
          </cell>
          <cell r="F631">
            <v>41205</v>
          </cell>
        </row>
        <row r="632">
          <cell r="A632">
            <v>629</v>
          </cell>
          <cell r="B632">
            <v>0.4016202520881873</v>
          </cell>
          <cell r="C632" t="str">
            <v>J55214</v>
          </cell>
          <cell r="D632" t="str">
            <v>C1SR</v>
          </cell>
          <cell r="E632">
            <v>40855</v>
          </cell>
          <cell r="F632">
            <v>41205</v>
          </cell>
        </row>
        <row r="633">
          <cell r="A633">
            <v>630</v>
          </cell>
          <cell r="B633">
            <v>0.6292262284901039</v>
          </cell>
          <cell r="C633" t="str">
            <v>J78079</v>
          </cell>
          <cell r="D633" t="str">
            <v>C1SR</v>
          </cell>
          <cell r="E633">
            <v>40865</v>
          </cell>
          <cell r="F633">
            <v>41205</v>
          </cell>
        </row>
        <row r="634">
          <cell r="A634">
            <v>631</v>
          </cell>
          <cell r="B634">
            <v>0.45448738615715623</v>
          </cell>
          <cell r="C634" t="str">
            <v>H49972</v>
          </cell>
          <cell r="D634" t="str">
            <v>C1SR</v>
          </cell>
          <cell r="E634">
            <v>40598</v>
          </cell>
          <cell r="F634">
            <v>41206</v>
          </cell>
        </row>
        <row r="635">
          <cell r="A635">
            <v>632</v>
          </cell>
          <cell r="B635">
            <v>0.74695031838511527</v>
          </cell>
          <cell r="C635" t="str">
            <v>H50654</v>
          </cell>
          <cell r="D635" t="str">
            <v>C1SR</v>
          </cell>
          <cell r="E635">
            <v>40598</v>
          </cell>
          <cell r="F635">
            <v>41206</v>
          </cell>
        </row>
        <row r="636">
          <cell r="A636">
            <v>633</v>
          </cell>
          <cell r="B636">
            <v>0.56507311444547115</v>
          </cell>
          <cell r="C636" t="str">
            <v>J20304</v>
          </cell>
          <cell r="D636" t="str">
            <v>C1SR</v>
          </cell>
          <cell r="E636">
            <v>40800</v>
          </cell>
          <cell r="F636">
            <v>41206</v>
          </cell>
        </row>
        <row r="637">
          <cell r="A637">
            <v>634</v>
          </cell>
          <cell r="B637">
            <v>0.22817594632775418</v>
          </cell>
          <cell r="C637" t="str">
            <v>J27315</v>
          </cell>
          <cell r="D637" t="str">
            <v>C1SR</v>
          </cell>
          <cell r="E637">
            <v>40828</v>
          </cell>
          <cell r="F637">
            <v>41206</v>
          </cell>
        </row>
        <row r="638">
          <cell r="A638">
            <v>635</v>
          </cell>
          <cell r="B638">
            <v>0.34446068277455733</v>
          </cell>
          <cell r="C638" t="str">
            <v>J39194</v>
          </cell>
          <cell r="D638" t="str">
            <v>C1SR</v>
          </cell>
          <cell r="E638">
            <v>40834</v>
          </cell>
          <cell r="F638">
            <v>41206</v>
          </cell>
        </row>
        <row r="639">
          <cell r="A639">
            <v>636</v>
          </cell>
          <cell r="B639">
            <v>0.99962641234114746</v>
          </cell>
          <cell r="C639" t="str">
            <v>J55844</v>
          </cell>
          <cell r="D639" t="str">
            <v>C1SR</v>
          </cell>
          <cell r="E639">
            <v>40855</v>
          </cell>
          <cell r="F639">
            <v>41206</v>
          </cell>
        </row>
        <row r="640">
          <cell r="A640">
            <v>637</v>
          </cell>
          <cell r="B640">
            <v>0.88685192638375265</v>
          </cell>
          <cell r="C640" t="str">
            <v>J61970</v>
          </cell>
          <cell r="D640" t="str">
            <v>C1SR</v>
          </cell>
          <cell r="E640">
            <v>40862</v>
          </cell>
          <cell r="F640">
            <v>41206</v>
          </cell>
        </row>
        <row r="641">
          <cell r="A641">
            <v>638</v>
          </cell>
          <cell r="B641">
            <v>0.38587450472645757</v>
          </cell>
          <cell r="C641" t="str">
            <v>J66649</v>
          </cell>
          <cell r="D641" t="str">
            <v>C1SR</v>
          </cell>
          <cell r="E641">
            <v>40862</v>
          </cell>
          <cell r="F641">
            <v>41206</v>
          </cell>
        </row>
        <row r="642">
          <cell r="A642">
            <v>639</v>
          </cell>
          <cell r="B642">
            <v>0.47294577226641688</v>
          </cell>
          <cell r="C642" t="str">
            <v>J68300</v>
          </cell>
          <cell r="D642" t="str">
            <v>C1SR</v>
          </cell>
          <cell r="E642">
            <v>40862</v>
          </cell>
          <cell r="F642">
            <v>41206</v>
          </cell>
        </row>
        <row r="643">
          <cell r="A643">
            <v>640</v>
          </cell>
          <cell r="B643">
            <v>0.5463951720227711</v>
          </cell>
          <cell r="C643" t="str">
            <v>J68333</v>
          </cell>
          <cell r="D643" t="str">
            <v>C1SR</v>
          </cell>
          <cell r="E643">
            <v>40862</v>
          </cell>
          <cell r="F643">
            <v>41206</v>
          </cell>
        </row>
        <row r="644">
          <cell r="A644">
            <v>641</v>
          </cell>
          <cell r="B644">
            <v>8.6006889553192134E-2</v>
          </cell>
          <cell r="C644" t="str">
            <v>J69320</v>
          </cell>
          <cell r="D644" t="str">
            <v>C1SR</v>
          </cell>
          <cell r="E644">
            <v>40862</v>
          </cell>
          <cell r="F644">
            <v>41206</v>
          </cell>
        </row>
        <row r="645">
          <cell r="A645">
            <v>642</v>
          </cell>
          <cell r="B645">
            <v>0.75810907411850137</v>
          </cell>
          <cell r="C645" t="str">
            <v>J93227</v>
          </cell>
          <cell r="D645" t="str">
            <v>C1SR</v>
          </cell>
          <cell r="E645">
            <v>40875</v>
          </cell>
          <cell r="F645">
            <v>41206</v>
          </cell>
        </row>
        <row r="646">
          <cell r="A646">
            <v>643</v>
          </cell>
          <cell r="B646">
            <v>0.3525612229613676</v>
          </cell>
          <cell r="C646" t="str">
            <v>J95805</v>
          </cell>
          <cell r="D646" t="str">
            <v>C1SR</v>
          </cell>
          <cell r="E646">
            <v>40875</v>
          </cell>
          <cell r="F646">
            <v>41206</v>
          </cell>
        </row>
        <row r="647">
          <cell r="A647">
            <v>644</v>
          </cell>
          <cell r="B647">
            <v>0.74835534361384248</v>
          </cell>
          <cell r="C647" t="str">
            <v>H50815</v>
          </cell>
          <cell r="D647" t="str">
            <v>C1SR</v>
          </cell>
          <cell r="E647">
            <v>40598</v>
          </cell>
          <cell r="F647">
            <v>41207</v>
          </cell>
        </row>
        <row r="648">
          <cell r="A648">
            <v>645</v>
          </cell>
          <cell r="B648">
            <v>0.7260105790651169</v>
          </cell>
          <cell r="C648" t="str">
            <v>H62708</v>
          </cell>
          <cell r="D648" t="str">
            <v>C1SR</v>
          </cell>
          <cell r="E648">
            <v>40638</v>
          </cell>
          <cell r="F648">
            <v>41207</v>
          </cell>
        </row>
        <row r="649">
          <cell r="A649">
            <v>646</v>
          </cell>
          <cell r="B649">
            <v>0.42702790809262203</v>
          </cell>
          <cell r="C649" t="str">
            <v>H73980</v>
          </cell>
          <cell r="D649" t="str">
            <v>C1SR</v>
          </cell>
          <cell r="E649">
            <v>40744</v>
          </cell>
          <cell r="F649">
            <v>41207</v>
          </cell>
        </row>
        <row r="650">
          <cell r="A650">
            <v>647</v>
          </cell>
          <cell r="B650">
            <v>0.92735124374502331</v>
          </cell>
          <cell r="C650" t="str">
            <v>H76018</v>
          </cell>
          <cell r="D650" t="str">
            <v>C1SR</v>
          </cell>
          <cell r="E650">
            <v>40744</v>
          </cell>
          <cell r="F650">
            <v>41207</v>
          </cell>
        </row>
        <row r="651">
          <cell r="A651">
            <v>648</v>
          </cell>
          <cell r="B651">
            <v>0.30719175811885824</v>
          </cell>
          <cell r="C651" t="str">
            <v>J01764</v>
          </cell>
          <cell r="D651" t="str">
            <v>C1SR</v>
          </cell>
          <cell r="E651">
            <v>40798</v>
          </cell>
          <cell r="F651">
            <v>41207</v>
          </cell>
        </row>
        <row r="652">
          <cell r="A652">
            <v>649</v>
          </cell>
          <cell r="B652">
            <v>0.97578917574506951</v>
          </cell>
          <cell r="C652" t="str">
            <v>J20252</v>
          </cell>
          <cell r="D652" t="str">
            <v>C1SR</v>
          </cell>
          <cell r="E652">
            <v>40800</v>
          </cell>
          <cell r="F652">
            <v>41207</v>
          </cell>
        </row>
        <row r="653">
          <cell r="A653">
            <v>650</v>
          </cell>
          <cell r="B653">
            <v>0.41601663750368445</v>
          </cell>
          <cell r="C653" t="str">
            <v>J20276</v>
          </cell>
          <cell r="D653" t="str">
            <v>C1SR</v>
          </cell>
          <cell r="E653">
            <v>40800</v>
          </cell>
          <cell r="F653">
            <v>41207</v>
          </cell>
        </row>
        <row r="654">
          <cell r="A654">
            <v>651</v>
          </cell>
          <cell r="B654">
            <v>0.74193429207105566</v>
          </cell>
          <cell r="C654" t="str">
            <v>J55069</v>
          </cell>
          <cell r="D654" t="str">
            <v>C1SR</v>
          </cell>
          <cell r="E654">
            <v>40855</v>
          </cell>
          <cell r="F654">
            <v>41207</v>
          </cell>
        </row>
        <row r="655">
          <cell r="A655">
            <v>652</v>
          </cell>
          <cell r="B655">
            <v>0.20176547624311736</v>
          </cell>
          <cell r="C655" t="str">
            <v>J65192</v>
          </cell>
          <cell r="D655" t="str">
            <v>C1SR</v>
          </cell>
          <cell r="E655">
            <v>40862</v>
          </cell>
          <cell r="F655">
            <v>41207</v>
          </cell>
        </row>
        <row r="656">
          <cell r="A656">
            <v>653</v>
          </cell>
          <cell r="B656">
            <v>0.88478565082836202</v>
          </cell>
          <cell r="C656" t="str">
            <v>J65221</v>
          </cell>
          <cell r="D656" t="str">
            <v>C1SR</v>
          </cell>
          <cell r="E656">
            <v>40862</v>
          </cell>
          <cell r="F656">
            <v>41207</v>
          </cell>
        </row>
        <row r="657">
          <cell r="A657">
            <v>654</v>
          </cell>
          <cell r="B657">
            <v>0.51989862633331474</v>
          </cell>
          <cell r="C657" t="str">
            <v>J77833</v>
          </cell>
          <cell r="D657" t="str">
            <v>C1SR</v>
          </cell>
          <cell r="E657">
            <v>40865</v>
          </cell>
          <cell r="F657">
            <v>41207</v>
          </cell>
        </row>
        <row r="658">
          <cell r="A658">
            <v>655</v>
          </cell>
          <cell r="B658">
            <v>0.92995588139834473</v>
          </cell>
          <cell r="C658" t="str">
            <v>J81811</v>
          </cell>
          <cell r="D658" t="str">
            <v>C1SR</v>
          </cell>
          <cell r="E658">
            <v>40865</v>
          </cell>
          <cell r="F658">
            <v>41207</v>
          </cell>
        </row>
        <row r="659">
          <cell r="A659">
            <v>656</v>
          </cell>
          <cell r="B659">
            <v>0.90682545398162329</v>
          </cell>
          <cell r="C659" t="str">
            <v>J96361</v>
          </cell>
          <cell r="D659" t="str">
            <v>C1SR</v>
          </cell>
          <cell r="E659">
            <v>40875</v>
          </cell>
          <cell r="F659">
            <v>41207</v>
          </cell>
        </row>
        <row r="660">
          <cell r="A660">
            <v>657</v>
          </cell>
          <cell r="B660">
            <v>0.74450463150851431</v>
          </cell>
          <cell r="C660" t="str">
            <v>J96636</v>
          </cell>
          <cell r="D660" t="str">
            <v>C1SR</v>
          </cell>
          <cell r="E660">
            <v>40875</v>
          </cell>
          <cell r="F660">
            <v>41207</v>
          </cell>
        </row>
        <row r="661">
          <cell r="A661">
            <v>658</v>
          </cell>
          <cell r="B661">
            <v>0.80347450767875883</v>
          </cell>
          <cell r="C661" t="str">
            <v>H55444</v>
          </cell>
          <cell r="D661" t="str">
            <v>C1SR</v>
          </cell>
          <cell r="E661">
            <v>40631</v>
          </cell>
          <cell r="F661">
            <v>41208</v>
          </cell>
        </row>
        <row r="662">
          <cell r="A662">
            <v>659</v>
          </cell>
          <cell r="B662">
            <v>0.47597925820599074</v>
          </cell>
          <cell r="C662" t="str">
            <v>H71783</v>
          </cell>
          <cell r="D662" t="str">
            <v>C1SR</v>
          </cell>
          <cell r="E662">
            <v>40682</v>
          </cell>
          <cell r="F662">
            <v>41208</v>
          </cell>
        </row>
        <row r="663">
          <cell r="A663">
            <v>660</v>
          </cell>
          <cell r="B663">
            <v>0.70746382873363778</v>
          </cell>
          <cell r="C663" t="str">
            <v>H77253</v>
          </cell>
          <cell r="D663" t="str">
            <v>C1SR</v>
          </cell>
          <cell r="E663">
            <v>40767</v>
          </cell>
          <cell r="F663">
            <v>41208</v>
          </cell>
        </row>
        <row r="664">
          <cell r="A664">
            <v>661</v>
          </cell>
          <cell r="B664">
            <v>0.58658454937761029</v>
          </cell>
          <cell r="C664" t="str">
            <v>J02297</v>
          </cell>
          <cell r="D664" t="str">
            <v>C1SR</v>
          </cell>
          <cell r="E664">
            <v>40798</v>
          </cell>
          <cell r="F664">
            <v>41208</v>
          </cell>
        </row>
        <row r="665">
          <cell r="A665">
            <v>662</v>
          </cell>
          <cell r="B665">
            <v>0.6309467428907739</v>
          </cell>
          <cell r="C665" t="str">
            <v>J15084</v>
          </cell>
          <cell r="D665" t="str">
            <v>C1SR</v>
          </cell>
          <cell r="E665">
            <v>40806</v>
          </cell>
          <cell r="F665">
            <v>41208</v>
          </cell>
        </row>
        <row r="666">
          <cell r="A666">
            <v>663</v>
          </cell>
          <cell r="B666">
            <v>0.74341792102390569</v>
          </cell>
          <cell r="C666" t="str">
            <v>J46982</v>
          </cell>
          <cell r="D666" t="str">
            <v>C1SR</v>
          </cell>
          <cell r="E666">
            <v>40840</v>
          </cell>
          <cell r="F666">
            <v>41208</v>
          </cell>
        </row>
        <row r="667">
          <cell r="A667">
            <v>664</v>
          </cell>
          <cell r="B667">
            <v>6.8825308628339243E-2</v>
          </cell>
          <cell r="C667" t="str">
            <v>J48973</v>
          </cell>
          <cell r="D667" t="str">
            <v>C1SR</v>
          </cell>
          <cell r="E667">
            <v>40840</v>
          </cell>
          <cell r="F667">
            <v>41208</v>
          </cell>
        </row>
        <row r="668">
          <cell r="A668">
            <v>665</v>
          </cell>
          <cell r="B668">
            <v>1.8322417145010261E-3</v>
          </cell>
          <cell r="C668" t="str">
            <v>J61663</v>
          </cell>
          <cell r="D668" t="str">
            <v>C1SR</v>
          </cell>
          <cell r="E668">
            <v>40855</v>
          </cell>
          <cell r="F668">
            <v>41208</v>
          </cell>
        </row>
        <row r="669">
          <cell r="A669">
            <v>666</v>
          </cell>
          <cell r="B669">
            <v>0.29357422413322942</v>
          </cell>
          <cell r="C669" t="str">
            <v>J63228</v>
          </cell>
          <cell r="D669" t="str">
            <v>C1SR</v>
          </cell>
          <cell r="E669">
            <v>40862</v>
          </cell>
          <cell r="F669">
            <v>41208</v>
          </cell>
        </row>
        <row r="670">
          <cell r="A670">
            <v>667</v>
          </cell>
          <cell r="B670">
            <v>0.12969721684245994</v>
          </cell>
          <cell r="C670" t="str">
            <v>J70392</v>
          </cell>
          <cell r="D670" t="str">
            <v>C1SR</v>
          </cell>
          <cell r="E670">
            <v>40862</v>
          </cell>
          <cell r="F670">
            <v>41208</v>
          </cell>
        </row>
        <row r="671">
          <cell r="A671">
            <v>668</v>
          </cell>
          <cell r="B671">
            <v>0.65960440584287139</v>
          </cell>
          <cell r="C671" t="str">
            <v>J78138</v>
          </cell>
          <cell r="D671" t="str">
            <v>C1SR</v>
          </cell>
          <cell r="E671">
            <v>40865</v>
          </cell>
          <cell r="F671">
            <v>41208</v>
          </cell>
        </row>
        <row r="672">
          <cell r="A672">
            <v>669</v>
          </cell>
          <cell r="B672">
            <v>0.40750724057074017</v>
          </cell>
          <cell r="C672" t="str">
            <v>J79654</v>
          </cell>
          <cell r="D672" t="str">
            <v>C1SR</v>
          </cell>
          <cell r="E672">
            <v>40865</v>
          </cell>
          <cell r="F672">
            <v>41208</v>
          </cell>
        </row>
        <row r="673">
          <cell r="A673">
            <v>670</v>
          </cell>
          <cell r="B673">
            <v>0.40519770676271127</v>
          </cell>
          <cell r="C673" t="str">
            <v>J82979</v>
          </cell>
          <cell r="D673" t="str">
            <v>C1SR</v>
          </cell>
          <cell r="E673">
            <v>40812</v>
          </cell>
          <cell r="F673">
            <v>41208</v>
          </cell>
        </row>
        <row r="674">
          <cell r="A674">
            <v>671</v>
          </cell>
          <cell r="B674">
            <v>0.62781816965073134</v>
          </cell>
          <cell r="C674" t="str">
            <v>H52698</v>
          </cell>
          <cell r="D674" t="str">
            <v>C1SR</v>
          </cell>
          <cell r="E674">
            <v>40598</v>
          </cell>
          <cell r="F674">
            <v>41211</v>
          </cell>
        </row>
        <row r="675">
          <cell r="A675">
            <v>672</v>
          </cell>
          <cell r="B675">
            <v>0.15075935730287437</v>
          </cell>
          <cell r="C675" t="str">
            <v>H56298</v>
          </cell>
          <cell r="D675" t="str">
            <v>C1SR</v>
          </cell>
          <cell r="E675">
            <v>40631</v>
          </cell>
          <cell r="F675">
            <v>41211</v>
          </cell>
        </row>
        <row r="676">
          <cell r="A676">
            <v>673</v>
          </cell>
          <cell r="B676">
            <v>0.11934961823155921</v>
          </cell>
          <cell r="C676" t="str">
            <v>H59609</v>
          </cell>
          <cell r="D676" t="str">
            <v>C1SR</v>
          </cell>
          <cell r="E676">
            <v>40638</v>
          </cell>
          <cell r="F676">
            <v>41211</v>
          </cell>
        </row>
        <row r="677">
          <cell r="A677">
            <v>674</v>
          </cell>
          <cell r="B677">
            <v>0.68552054435862064</v>
          </cell>
          <cell r="C677" t="str">
            <v>H61958</v>
          </cell>
          <cell r="D677" t="str">
            <v>C1SR</v>
          </cell>
          <cell r="E677">
            <v>40638</v>
          </cell>
          <cell r="F677">
            <v>41211</v>
          </cell>
        </row>
        <row r="678">
          <cell r="A678">
            <v>675</v>
          </cell>
          <cell r="B678">
            <v>0.96238307288989289</v>
          </cell>
          <cell r="C678" t="str">
            <v>H74570</v>
          </cell>
          <cell r="D678" t="str">
            <v>C1SR</v>
          </cell>
          <cell r="E678">
            <v>40744</v>
          </cell>
          <cell r="F678">
            <v>41211</v>
          </cell>
        </row>
        <row r="679">
          <cell r="A679">
            <v>676</v>
          </cell>
          <cell r="B679">
            <v>0.33259071750530933</v>
          </cell>
          <cell r="C679" t="str">
            <v>J34014</v>
          </cell>
          <cell r="D679" t="str">
            <v>C1SR</v>
          </cell>
          <cell r="E679">
            <v>40834</v>
          </cell>
          <cell r="F679">
            <v>41211</v>
          </cell>
        </row>
        <row r="680">
          <cell r="A680">
            <v>677</v>
          </cell>
          <cell r="B680">
            <v>0.79025413948453804</v>
          </cell>
          <cell r="C680" t="str">
            <v>J46878</v>
          </cell>
          <cell r="D680" t="str">
            <v>C1SR</v>
          </cell>
          <cell r="E680">
            <v>40840</v>
          </cell>
          <cell r="F680">
            <v>41211</v>
          </cell>
        </row>
        <row r="681">
          <cell r="A681">
            <v>678</v>
          </cell>
          <cell r="B681">
            <v>3.8015993105316337E-2</v>
          </cell>
          <cell r="C681" t="str">
            <v>J48855</v>
          </cell>
          <cell r="D681" t="str">
            <v>C1SR</v>
          </cell>
          <cell r="E681">
            <v>40840</v>
          </cell>
          <cell r="F681">
            <v>41211</v>
          </cell>
        </row>
        <row r="682">
          <cell r="A682">
            <v>679</v>
          </cell>
          <cell r="B682">
            <v>3.0816900265419056E-3</v>
          </cell>
          <cell r="C682" t="str">
            <v>J68850</v>
          </cell>
          <cell r="D682" t="str">
            <v>C1SR</v>
          </cell>
          <cell r="E682">
            <v>40862</v>
          </cell>
          <cell r="F682">
            <v>41211</v>
          </cell>
        </row>
        <row r="683">
          <cell r="A683">
            <v>680</v>
          </cell>
          <cell r="B683">
            <v>6.6246198531389688E-2</v>
          </cell>
          <cell r="C683" t="str">
            <v>J79024</v>
          </cell>
          <cell r="D683" t="str">
            <v>C1SR</v>
          </cell>
          <cell r="E683">
            <v>40865</v>
          </cell>
          <cell r="F683">
            <v>41211</v>
          </cell>
        </row>
        <row r="684">
          <cell r="A684">
            <v>681</v>
          </cell>
          <cell r="B684">
            <v>0.76056997565135365</v>
          </cell>
          <cell r="C684" t="str">
            <v>J80944</v>
          </cell>
          <cell r="D684" t="str">
            <v>C1SR</v>
          </cell>
          <cell r="E684">
            <v>40865</v>
          </cell>
          <cell r="F684">
            <v>41211</v>
          </cell>
        </row>
        <row r="685">
          <cell r="A685">
            <v>682</v>
          </cell>
          <cell r="B685">
            <v>0.8327386155998574</v>
          </cell>
          <cell r="C685" t="str">
            <v>J81815</v>
          </cell>
          <cell r="D685" t="str">
            <v>C1SR</v>
          </cell>
          <cell r="E685">
            <v>40865</v>
          </cell>
          <cell r="F685">
            <v>41211</v>
          </cell>
        </row>
        <row r="686">
          <cell r="A686">
            <v>683</v>
          </cell>
          <cell r="B686">
            <v>0.16004738179569478</v>
          </cell>
          <cell r="C686" t="str">
            <v>J85795</v>
          </cell>
          <cell r="D686" t="str">
            <v>C1SR</v>
          </cell>
          <cell r="E686">
            <v>40822</v>
          </cell>
          <cell r="F686">
            <v>41211</v>
          </cell>
        </row>
        <row r="687">
          <cell r="A687">
            <v>684</v>
          </cell>
          <cell r="B687">
            <v>0.79717340806633308</v>
          </cell>
          <cell r="C687" t="str">
            <v>J93088</v>
          </cell>
          <cell r="D687" t="str">
            <v>C1SR</v>
          </cell>
          <cell r="E687">
            <v>40875</v>
          </cell>
          <cell r="F687">
            <v>41211</v>
          </cell>
        </row>
        <row r="688">
          <cell r="A688">
            <v>685</v>
          </cell>
          <cell r="B688">
            <v>0.52192174113341938</v>
          </cell>
          <cell r="C688" t="str">
            <v>J93137</v>
          </cell>
          <cell r="D688" t="str">
            <v>C1SR</v>
          </cell>
          <cell r="E688">
            <v>40875</v>
          </cell>
          <cell r="F688">
            <v>41211</v>
          </cell>
        </row>
        <row r="689">
          <cell r="A689">
            <v>686</v>
          </cell>
          <cell r="B689">
            <v>0.49586668637072118</v>
          </cell>
          <cell r="C689" t="str">
            <v>J93824</v>
          </cell>
          <cell r="D689" t="str">
            <v>C1SR</v>
          </cell>
          <cell r="E689">
            <v>40875</v>
          </cell>
          <cell r="F689">
            <v>41211</v>
          </cell>
        </row>
        <row r="690">
          <cell r="A690">
            <v>687</v>
          </cell>
          <cell r="B690">
            <v>0.40174751256001739</v>
          </cell>
          <cell r="C690" t="str">
            <v>J22065</v>
          </cell>
          <cell r="D690" t="str">
            <v>C1SR</v>
          </cell>
          <cell r="E690">
            <v>40800</v>
          </cell>
          <cell r="F690">
            <v>41212</v>
          </cell>
        </row>
        <row r="691">
          <cell r="A691">
            <v>688</v>
          </cell>
          <cell r="B691">
            <v>0.26819216645312283</v>
          </cell>
          <cell r="C691" t="str">
            <v>J67095</v>
          </cell>
          <cell r="D691" t="str">
            <v>C1SR</v>
          </cell>
          <cell r="E691">
            <v>40862</v>
          </cell>
          <cell r="F691">
            <v>41212</v>
          </cell>
        </row>
        <row r="692">
          <cell r="A692">
            <v>689</v>
          </cell>
          <cell r="B692">
            <v>0.3636215667313859</v>
          </cell>
          <cell r="C692" t="str">
            <v>J78419</v>
          </cell>
          <cell r="D692" t="str">
            <v>C1SR</v>
          </cell>
          <cell r="E692">
            <v>40865</v>
          </cell>
          <cell r="F692">
            <v>41212</v>
          </cell>
        </row>
        <row r="693">
          <cell r="A693">
            <v>690</v>
          </cell>
          <cell r="B693">
            <v>0.83701519330217033</v>
          </cell>
          <cell r="C693" t="str">
            <v>J16879</v>
          </cell>
          <cell r="D693" t="str">
            <v>C1SR</v>
          </cell>
          <cell r="E693">
            <v>40812</v>
          </cell>
          <cell r="F693">
            <v>41215</v>
          </cell>
        </row>
        <row r="694">
          <cell r="A694">
            <v>691</v>
          </cell>
          <cell r="B694">
            <v>9.2807359981694537E-2</v>
          </cell>
          <cell r="C694" t="str">
            <v>J93350</v>
          </cell>
          <cell r="D694" t="str">
            <v>C1SR</v>
          </cell>
          <cell r="E694">
            <v>40875</v>
          </cell>
          <cell r="F694">
            <v>41215</v>
          </cell>
        </row>
        <row r="695">
          <cell r="A695">
            <v>692</v>
          </cell>
          <cell r="B695">
            <v>0.45247235588318391</v>
          </cell>
          <cell r="C695" t="str">
            <v>J28285</v>
          </cell>
          <cell r="D695" t="str">
            <v>C1SR</v>
          </cell>
          <cell r="E695">
            <v>40828</v>
          </cell>
          <cell r="F695">
            <v>41218</v>
          </cell>
        </row>
        <row r="696">
          <cell r="A696">
            <v>693</v>
          </cell>
          <cell r="B696">
            <v>0.42946989534045332</v>
          </cell>
          <cell r="C696" t="str">
            <v>H53420</v>
          </cell>
          <cell r="D696" t="str">
            <v>C1SR</v>
          </cell>
          <cell r="E696">
            <v>40598</v>
          </cell>
          <cell r="F696">
            <v>41219</v>
          </cell>
        </row>
        <row r="697">
          <cell r="A697">
            <v>694</v>
          </cell>
          <cell r="B697">
            <v>0.30547009118063051</v>
          </cell>
          <cell r="C697" t="str">
            <v>H62547</v>
          </cell>
          <cell r="D697" t="str">
            <v>C1SR</v>
          </cell>
          <cell r="E697">
            <v>40638</v>
          </cell>
          <cell r="F697">
            <v>41219</v>
          </cell>
        </row>
        <row r="698">
          <cell r="A698">
            <v>695</v>
          </cell>
          <cell r="B698">
            <v>0.63112360930024869</v>
          </cell>
          <cell r="C698" t="str">
            <v>H75798</v>
          </cell>
          <cell r="D698" t="str">
            <v>C1SR</v>
          </cell>
          <cell r="E698">
            <v>40744</v>
          </cell>
          <cell r="F698">
            <v>41219</v>
          </cell>
        </row>
        <row r="699">
          <cell r="A699">
            <v>696</v>
          </cell>
          <cell r="B699">
            <v>0.31597887028036586</v>
          </cell>
          <cell r="C699" t="str">
            <v>J42119</v>
          </cell>
          <cell r="D699" t="str">
            <v>C1SR</v>
          </cell>
          <cell r="E699">
            <v>40834</v>
          </cell>
          <cell r="F699">
            <v>41219</v>
          </cell>
        </row>
        <row r="700">
          <cell r="A700">
            <v>697</v>
          </cell>
          <cell r="B700">
            <v>0.13005797763729166</v>
          </cell>
          <cell r="C700" t="str">
            <v>J55512</v>
          </cell>
          <cell r="D700" t="str">
            <v>C1SR</v>
          </cell>
          <cell r="E700">
            <v>40855</v>
          </cell>
          <cell r="F700">
            <v>41219</v>
          </cell>
        </row>
        <row r="701">
          <cell r="A701">
            <v>698</v>
          </cell>
          <cell r="B701">
            <v>0.42096326883460966</v>
          </cell>
          <cell r="C701" t="str">
            <v>J61820</v>
          </cell>
          <cell r="D701" t="str">
            <v>C1SR</v>
          </cell>
          <cell r="E701">
            <v>40855</v>
          </cell>
          <cell r="F701">
            <v>41219</v>
          </cell>
        </row>
        <row r="702">
          <cell r="A702">
            <v>699</v>
          </cell>
          <cell r="B702">
            <v>0.43106397075158753</v>
          </cell>
          <cell r="C702" t="str">
            <v>J65263</v>
          </cell>
          <cell r="D702" t="str">
            <v>C1SR</v>
          </cell>
          <cell r="E702">
            <v>40862</v>
          </cell>
          <cell r="F702">
            <v>41219</v>
          </cell>
        </row>
        <row r="703">
          <cell r="A703">
            <v>700</v>
          </cell>
          <cell r="B703">
            <v>0.81676968915980663</v>
          </cell>
          <cell r="C703" t="str">
            <v>J69201</v>
          </cell>
          <cell r="D703" t="str">
            <v>C1SR</v>
          </cell>
          <cell r="E703">
            <v>40862</v>
          </cell>
          <cell r="F703">
            <v>41219</v>
          </cell>
        </row>
        <row r="704">
          <cell r="A704">
            <v>701</v>
          </cell>
          <cell r="B704">
            <v>0.65570123157853566</v>
          </cell>
          <cell r="C704" t="str">
            <v>J73408</v>
          </cell>
          <cell r="D704" t="str">
            <v>C1SR</v>
          </cell>
          <cell r="E704">
            <v>40822</v>
          </cell>
          <cell r="F704">
            <v>41219</v>
          </cell>
        </row>
        <row r="705">
          <cell r="A705">
            <v>702</v>
          </cell>
          <cell r="B705">
            <v>0.74215892105444226</v>
          </cell>
          <cell r="C705" t="str">
            <v>J81623</v>
          </cell>
          <cell r="D705" t="str">
            <v>C1SR</v>
          </cell>
          <cell r="E705">
            <v>40865</v>
          </cell>
          <cell r="F705">
            <v>41219</v>
          </cell>
        </row>
        <row r="706">
          <cell r="A706">
            <v>703</v>
          </cell>
          <cell r="B706">
            <v>0.69613316790839053</v>
          </cell>
          <cell r="C706" t="str">
            <v>J93911</v>
          </cell>
          <cell r="D706" t="str">
            <v>C1SR</v>
          </cell>
          <cell r="E706">
            <v>40875</v>
          </cell>
          <cell r="F706">
            <v>41219</v>
          </cell>
        </row>
        <row r="707">
          <cell r="A707">
            <v>704</v>
          </cell>
          <cell r="B707">
            <v>0.36678893531022716</v>
          </cell>
          <cell r="C707" t="str">
            <v>J95060</v>
          </cell>
          <cell r="D707" t="str">
            <v>C1SR</v>
          </cell>
          <cell r="E707">
            <v>40875</v>
          </cell>
          <cell r="F707">
            <v>41219</v>
          </cell>
        </row>
        <row r="708">
          <cell r="A708">
            <v>705</v>
          </cell>
          <cell r="B708">
            <v>0.91864888941348855</v>
          </cell>
          <cell r="C708" t="str">
            <v>J95215</v>
          </cell>
          <cell r="D708" t="str">
            <v>C1SR</v>
          </cell>
          <cell r="E708">
            <v>40875</v>
          </cell>
          <cell r="F708">
            <v>41219</v>
          </cell>
        </row>
        <row r="709">
          <cell r="A709">
            <v>706</v>
          </cell>
          <cell r="B709">
            <v>0.26842119242862283</v>
          </cell>
          <cell r="C709" t="str">
            <v>J81153</v>
          </cell>
          <cell r="D709" t="str">
            <v>C1SR</v>
          </cell>
          <cell r="E709">
            <v>40865</v>
          </cell>
          <cell r="F709">
            <v>41220</v>
          </cell>
        </row>
        <row r="710">
          <cell r="A710">
            <v>707</v>
          </cell>
          <cell r="B710">
            <v>0.85842753552727635</v>
          </cell>
          <cell r="C710" t="str">
            <v>J05521</v>
          </cell>
          <cell r="D710" t="str">
            <v>C1SR</v>
          </cell>
          <cell r="E710">
            <v>40798</v>
          </cell>
          <cell r="F710">
            <v>41221</v>
          </cell>
        </row>
        <row r="711">
          <cell r="A711">
            <v>708</v>
          </cell>
          <cell r="B711">
            <v>0.51584593494583053</v>
          </cell>
          <cell r="C711" t="str">
            <v>J16069</v>
          </cell>
          <cell r="D711" t="str">
            <v>C1SR</v>
          </cell>
          <cell r="E711">
            <v>40812</v>
          </cell>
          <cell r="F711">
            <v>41221</v>
          </cell>
        </row>
        <row r="712">
          <cell r="A712">
            <v>709</v>
          </cell>
          <cell r="B712">
            <v>2.6025200860982922E-3</v>
          </cell>
          <cell r="C712" t="str">
            <v>J60840</v>
          </cell>
          <cell r="D712" t="str">
            <v>C1SR</v>
          </cell>
          <cell r="E712">
            <v>40855</v>
          </cell>
          <cell r="F712">
            <v>41221</v>
          </cell>
        </row>
        <row r="713">
          <cell r="A713">
            <v>710</v>
          </cell>
          <cell r="B713">
            <v>7.5968103898283901E-2</v>
          </cell>
          <cell r="C713" t="str">
            <v>H57693</v>
          </cell>
          <cell r="D713" t="str">
            <v>C1SR</v>
          </cell>
          <cell r="E713">
            <v>40631</v>
          </cell>
          <cell r="F713">
            <v>41222</v>
          </cell>
        </row>
        <row r="714">
          <cell r="A714">
            <v>711</v>
          </cell>
          <cell r="B714">
            <v>0.94723317528248885</v>
          </cell>
          <cell r="C714" t="str">
            <v>H70080</v>
          </cell>
          <cell r="D714" t="str">
            <v>C1SR</v>
          </cell>
          <cell r="E714">
            <v>40682</v>
          </cell>
          <cell r="F714">
            <v>41222</v>
          </cell>
        </row>
        <row r="715">
          <cell r="A715">
            <v>712</v>
          </cell>
          <cell r="B715">
            <v>0.98188300100345394</v>
          </cell>
          <cell r="C715" t="str">
            <v>J00272</v>
          </cell>
          <cell r="D715" t="str">
            <v>C1SR</v>
          </cell>
          <cell r="E715">
            <v>40798</v>
          </cell>
          <cell r="F715">
            <v>41222</v>
          </cell>
        </row>
        <row r="716">
          <cell r="A716">
            <v>713</v>
          </cell>
          <cell r="B716">
            <v>0.33975447708944162</v>
          </cell>
          <cell r="C716" t="str">
            <v>J20250</v>
          </cell>
          <cell r="D716" t="str">
            <v>C1SR</v>
          </cell>
          <cell r="E716">
            <v>40800</v>
          </cell>
          <cell r="F716">
            <v>41222</v>
          </cell>
        </row>
        <row r="717">
          <cell r="A717">
            <v>714</v>
          </cell>
          <cell r="B717">
            <v>0.4968536880212191</v>
          </cell>
          <cell r="C717" t="str">
            <v>J46696</v>
          </cell>
          <cell r="D717" t="str">
            <v>C1SR</v>
          </cell>
          <cell r="E717">
            <v>40840</v>
          </cell>
          <cell r="F717">
            <v>41222</v>
          </cell>
        </row>
        <row r="718">
          <cell r="A718">
            <v>715</v>
          </cell>
          <cell r="B718">
            <v>0.46679604575890854</v>
          </cell>
          <cell r="C718" t="str">
            <v>J81493</v>
          </cell>
          <cell r="D718" t="str">
            <v>C1SR</v>
          </cell>
          <cell r="E718">
            <v>40865</v>
          </cell>
          <cell r="F718">
            <v>41222</v>
          </cell>
        </row>
        <row r="719">
          <cell r="A719">
            <v>716</v>
          </cell>
          <cell r="B719">
            <v>0.47655363907314496</v>
          </cell>
          <cell r="C719" t="str">
            <v>J62519</v>
          </cell>
          <cell r="D719" t="str">
            <v>C1SR</v>
          </cell>
          <cell r="E719">
            <v>40862</v>
          </cell>
          <cell r="F719">
            <v>41225</v>
          </cell>
        </row>
        <row r="720">
          <cell r="A720">
            <v>717</v>
          </cell>
          <cell r="B720">
            <v>0.39431482989825228</v>
          </cell>
          <cell r="C720" t="str">
            <v>H54152</v>
          </cell>
          <cell r="D720" t="str">
            <v>C1SR</v>
          </cell>
          <cell r="E720">
            <v>40631</v>
          </cell>
          <cell r="F720">
            <v>41229</v>
          </cell>
        </row>
        <row r="721">
          <cell r="A721">
            <v>718</v>
          </cell>
          <cell r="B721">
            <v>0.52242652450485794</v>
          </cell>
          <cell r="C721" t="str">
            <v>J79751</v>
          </cell>
          <cell r="D721" t="str">
            <v>C1SR</v>
          </cell>
          <cell r="E721">
            <v>40865</v>
          </cell>
          <cell r="F721">
            <v>41229</v>
          </cell>
        </row>
        <row r="722">
          <cell r="A722">
            <v>719</v>
          </cell>
          <cell r="B722">
            <v>0.30690363725525249</v>
          </cell>
          <cell r="C722" t="str">
            <v>H56856</v>
          </cell>
          <cell r="D722" t="str">
            <v>C1SR</v>
          </cell>
          <cell r="E722">
            <v>40631</v>
          </cell>
          <cell r="F722">
            <v>41232</v>
          </cell>
        </row>
        <row r="723">
          <cell r="A723">
            <v>720</v>
          </cell>
          <cell r="B723">
            <v>0.86354720558167597</v>
          </cell>
          <cell r="C723" t="str">
            <v>H60641</v>
          </cell>
          <cell r="D723" t="str">
            <v>C1SR</v>
          </cell>
          <cell r="E723">
            <v>40638</v>
          </cell>
          <cell r="F723">
            <v>41232</v>
          </cell>
        </row>
        <row r="724">
          <cell r="A724">
            <v>721</v>
          </cell>
          <cell r="B724">
            <v>0.79870011343743541</v>
          </cell>
          <cell r="C724" t="str">
            <v>H66479</v>
          </cell>
          <cell r="D724" t="str">
            <v>C1SR</v>
          </cell>
          <cell r="E724">
            <v>40682</v>
          </cell>
          <cell r="F724">
            <v>41232</v>
          </cell>
        </row>
        <row r="725">
          <cell r="A725">
            <v>722</v>
          </cell>
          <cell r="B725">
            <v>0.70131222152667161</v>
          </cell>
          <cell r="C725" t="str">
            <v>H75462</v>
          </cell>
          <cell r="D725" t="str">
            <v>C1SR</v>
          </cell>
          <cell r="E725">
            <v>40744</v>
          </cell>
          <cell r="F725">
            <v>41232</v>
          </cell>
        </row>
        <row r="726">
          <cell r="A726">
            <v>723</v>
          </cell>
          <cell r="B726">
            <v>0.69704816881145215</v>
          </cell>
          <cell r="C726" t="str">
            <v>H76978</v>
          </cell>
          <cell r="D726" t="str">
            <v>C1SR</v>
          </cell>
          <cell r="E726">
            <v>40767</v>
          </cell>
          <cell r="F726">
            <v>41232</v>
          </cell>
        </row>
        <row r="727">
          <cell r="A727">
            <v>724</v>
          </cell>
          <cell r="B727">
            <v>0.25949280557680476</v>
          </cell>
          <cell r="C727" t="str">
            <v>J09306</v>
          </cell>
          <cell r="D727" t="str">
            <v>C1SR</v>
          </cell>
          <cell r="E727">
            <v>40798</v>
          </cell>
          <cell r="F727">
            <v>41232</v>
          </cell>
        </row>
        <row r="728">
          <cell r="A728">
            <v>725</v>
          </cell>
          <cell r="B728">
            <v>0.87012910730465987</v>
          </cell>
          <cell r="C728" t="str">
            <v>J60663</v>
          </cell>
          <cell r="D728" t="str">
            <v>C1SR</v>
          </cell>
          <cell r="E728">
            <v>40855</v>
          </cell>
          <cell r="F728">
            <v>41232</v>
          </cell>
        </row>
        <row r="729">
          <cell r="A729">
            <v>726</v>
          </cell>
          <cell r="B729">
            <v>0.64107759085842575</v>
          </cell>
          <cell r="C729" t="str">
            <v>J68215</v>
          </cell>
          <cell r="D729" t="str">
            <v>C1SR</v>
          </cell>
          <cell r="E729">
            <v>40862</v>
          </cell>
          <cell r="F729">
            <v>41232</v>
          </cell>
        </row>
        <row r="730">
          <cell r="A730">
            <v>727</v>
          </cell>
          <cell r="B730">
            <v>0.27243937533484486</v>
          </cell>
          <cell r="C730" t="str">
            <v>J78897</v>
          </cell>
          <cell r="D730" t="str">
            <v>C1SR</v>
          </cell>
          <cell r="E730">
            <v>40865</v>
          </cell>
          <cell r="F730">
            <v>41232</v>
          </cell>
        </row>
        <row r="731">
          <cell r="A731">
            <v>728</v>
          </cell>
          <cell r="B731">
            <v>9.9041563951832057E-2</v>
          </cell>
          <cell r="C731" t="str">
            <v>J83218</v>
          </cell>
          <cell r="D731" t="str">
            <v>C1SR</v>
          </cell>
          <cell r="E731">
            <v>40812</v>
          </cell>
          <cell r="F731">
            <v>41232</v>
          </cell>
        </row>
        <row r="732">
          <cell r="A732">
            <v>729</v>
          </cell>
          <cell r="B732">
            <v>0.57720913468773727</v>
          </cell>
          <cell r="C732" t="str">
            <v>H71985</v>
          </cell>
          <cell r="D732" t="str">
            <v>C1SR</v>
          </cell>
          <cell r="E732">
            <v>40682</v>
          </cell>
          <cell r="F732">
            <v>41240</v>
          </cell>
        </row>
        <row r="733">
          <cell r="A733">
            <v>730</v>
          </cell>
          <cell r="B733">
            <v>0.71517684239388057</v>
          </cell>
          <cell r="C733" t="str">
            <v>J20466</v>
          </cell>
          <cell r="D733" t="str">
            <v>C1SR</v>
          </cell>
          <cell r="E733">
            <v>40800</v>
          </cell>
          <cell r="F733">
            <v>41240</v>
          </cell>
        </row>
        <row r="734">
          <cell r="A734">
            <v>731</v>
          </cell>
          <cell r="B734">
            <v>0.15745869387106359</v>
          </cell>
          <cell r="C734" t="str">
            <v>J68266</v>
          </cell>
          <cell r="D734" t="str">
            <v>C1SR</v>
          </cell>
          <cell r="E734">
            <v>40862</v>
          </cell>
          <cell r="F734">
            <v>41240</v>
          </cell>
        </row>
        <row r="735">
          <cell r="A735">
            <v>732</v>
          </cell>
          <cell r="B735">
            <v>0.37044824850263725</v>
          </cell>
          <cell r="C735" t="str">
            <v>J92245</v>
          </cell>
          <cell r="D735" t="str">
            <v>C1SR</v>
          </cell>
          <cell r="E735">
            <v>40862</v>
          </cell>
          <cell r="F735">
            <v>41240</v>
          </cell>
        </row>
        <row r="736">
          <cell r="A736">
            <v>733</v>
          </cell>
          <cell r="B736">
            <v>0.64819294687220141</v>
          </cell>
          <cell r="C736" t="str">
            <v>J92261</v>
          </cell>
          <cell r="D736" t="str">
            <v>C1SR</v>
          </cell>
          <cell r="E736">
            <v>40862</v>
          </cell>
          <cell r="F736">
            <v>41240</v>
          </cell>
        </row>
        <row r="737">
          <cell r="A737">
            <v>734</v>
          </cell>
          <cell r="B737">
            <v>0.63440797337790866</v>
          </cell>
          <cell r="C737" t="str">
            <v>J35717</v>
          </cell>
          <cell r="D737" t="str">
            <v>C1SR</v>
          </cell>
          <cell r="E737">
            <v>40834</v>
          </cell>
          <cell r="F737">
            <v>41241</v>
          </cell>
        </row>
        <row r="738">
          <cell r="A738">
            <v>735</v>
          </cell>
          <cell r="B738">
            <v>0.46563141067376568</v>
          </cell>
          <cell r="C738" t="str">
            <v>J71634</v>
          </cell>
          <cell r="D738" t="str">
            <v>C1SR</v>
          </cell>
          <cell r="E738">
            <v>40862</v>
          </cell>
          <cell r="F738">
            <v>41241</v>
          </cell>
        </row>
        <row r="739">
          <cell r="A739">
            <v>736</v>
          </cell>
          <cell r="B739">
            <v>0.52557566802958577</v>
          </cell>
          <cell r="C739" t="str">
            <v>J96977</v>
          </cell>
          <cell r="D739" t="str">
            <v>C1SR</v>
          </cell>
          <cell r="E739">
            <v>40875</v>
          </cell>
          <cell r="F739">
            <v>41241</v>
          </cell>
        </row>
        <row r="740">
          <cell r="A740">
            <v>737</v>
          </cell>
          <cell r="B740">
            <v>0.63398305021689183</v>
          </cell>
          <cell r="C740" t="str">
            <v>J23492</v>
          </cell>
          <cell r="D740" t="str">
            <v>C1SR</v>
          </cell>
          <cell r="E740">
            <v>40828</v>
          </cell>
          <cell r="F740">
            <v>41242</v>
          </cell>
        </row>
        <row r="741">
          <cell r="A741">
            <v>738</v>
          </cell>
          <cell r="B741">
            <v>0.82146437290065777</v>
          </cell>
          <cell r="C741" t="str">
            <v>J81480</v>
          </cell>
          <cell r="D741" t="str">
            <v>C1SR</v>
          </cell>
          <cell r="E741">
            <v>40865</v>
          </cell>
          <cell r="F741">
            <v>41242</v>
          </cell>
        </row>
        <row r="742">
          <cell r="A742">
            <v>739</v>
          </cell>
          <cell r="B742">
            <v>0.40565631093918042</v>
          </cell>
          <cell r="C742" t="str">
            <v>J00572</v>
          </cell>
          <cell r="D742" t="str">
            <v>C1SR</v>
          </cell>
          <cell r="E742">
            <v>40798</v>
          </cell>
          <cell r="F742">
            <v>41243</v>
          </cell>
        </row>
        <row r="743">
          <cell r="A743">
            <v>740</v>
          </cell>
          <cell r="B743">
            <v>0.85727864423977707</v>
          </cell>
          <cell r="C743" t="str">
            <v>J05671</v>
          </cell>
          <cell r="D743" t="str">
            <v>C1SR</v>
          </cell>
          <cell r="E743">
            <v>40798</v>
          </cell>
          <cell r="F743">
            <v>41243</v>
          </cell>
        </row>
        <row r="744">
          <cell r="A744">
            <v>741</v>
          </cell>
          <cell r="B744">
            <v>0.63555247172252727</v>
          </cell>
          <cell r="C744" t="str">
            <v>J46960</v>
          </cell>
          <cell r="D744" t="str">
            <v>C1SR</v>
          </cell>
          <cell r="E744">
            <v>40840</v>
          </cell>
          <cell r="F744">
            <v>41243</v>
          </cell>
        </row>
        <row r="745">
          <cell r="A745">
            <v>742</v>
          </cell>
          <cell r="B745">
            <v>0.61916884545071982</v>
          </cell>
          <cell r="C745" t="str">
            <v>J48904</v>
          </cell>
          <cell r="D745" t="str">
            <v>C1SR</v>
          </cell>
          <cell r="E745">
            <v>40840</v>
          </cell>
          <cell r="F745">
            <v>41243</v>
          </cell>
        </row>
        <row r="746">
          <cell r="A746">
            <v>743</v>
          </cell>
          <cell r="B746">
            <v>0.93137159836467009</v>
          </cell>
          <cell r="C746" t="str">
            <v>J62661</v>
          </cell>
          <cell r="D746" t="str">
            <v>C1SR</v>
          </cell>
          <cell r="E746">
            <v>40862</v>
          </cell>
          <cell r="F746">
            <v>41243</v>
          </cell>
        </row>
        <row r="747">
          <cell r="A747">
            <v>744</v>
          </cell>
          <cell r="B747">
            <v>0.38933465397272771</v>
          </cell>
          <cell r="C747" t="str">
            <v>J81052</v>
          </cell>
          <cell r="D747" t="str">
            <v>C1SR</v>
          </cell>
          <cell r="E747">
            <v>40865</v>
          </cell>
          <cell r="F747">
            <v>41243</v>
          </cell>
        </row>
        <row r="748">
          <cell r="A748">
            <v>745</v>
          </cell>
          <cell r="B748">
            <v>0.15287835690479801</v>
          </cell>
          <cell r="C748" t="str">
            <v>H50628</v>
          </cell>
          <cell r="D748" t="str">
            <v>C1SR</v>
          </cell>
          <cell r="E748">
            <v>40598</v>
          </cell>
          <cell r="F748">
            <v>41246</v>
          </cell>
        </row>
        <row r="749">
          <cell r="A749">
            <v>746</v>
          </cell>
          <cell r="B749">
            <v>0.31736005166425985</v>
          </cell>
          <cell r="C749" t="str">
            <v>H52474</v>
          </cell>
          <cell r="D749" t="str">
            <v>C1SR</v>
          </cell>
          <cell r="E749">
            <v>40598</v>
          </cell>
          <cell r="F749">
            <v>41246</v>
          </cell>
        </row>
        <row r="750">
          <cell r="A750">
            <v>747</v>
          </cell>
          <cell r="B750">
            <v>0.35440853489098634</v>
          </cell>
          <cell r="C750" t="str">
            <v>H74472</v>
          </cell>
          <cell r="D750" t="str">
            <v>C1SR</v>
          </cell>
          <cell r="E750">
            <v>40744</v>
          </cell>
          <cell r="F750">
            <v>41246</v>
          </cell>
        </row>
        <row r="751">
          <cell r="A751">
            <v>748</v>
          </cell>
          <cell r="B751">
            <v>2.4817780215997676E-2</v>
          </cell>
          <cell r="C751" t="str">
            <v>H75166</v>
          </cell>
          <cell r="D751" t="str">
            <v>C1SR</v>
          </cell>
          <cell r="E751">
            <v>40744</v>
          </cell>
          <cell r="F751">
            <v>41246</v>
          </cell>
        </row>
        <row r="752">
          <cell r="A752">
            <v>749</v>
          </cell>
          <cell r="B752">
            <v>0.74173831919960598</v>
          </cell>
          <cell r="C752" t="str">
            <v>H75393</v>
          </cell>
          <cell r="D752" t="str">
            <v>C1SR</v>
          </cell>
          <cell r="E752">
            <v>40744</v>
          </cell>
          <cell r="F752">
            <v>41246</v>
          </cell>
        </row>
        <row r="753">
          <cell r="A753">
            <v>750</v>
          </cell>
          <cell r="B753">
            <v>8.1988855068816258E-2</v>
          </cell>
          <cell r="C753" t="str">
            <v>J20325</v>
          </cell>
          <cell r="D753" t="str">
            <v>C1SR</v>
          </cell>
          <cell r="E753">
            <v>40800</v>
          </cell>
          <cell r="F753">
            <v>41246</v>
          </cell>
        </row>
        <row r="754">
          <cell r="A754">
            <v>751</v>
          </cell>
          <cell r="B754">
            <v>0.69763807373580511</v>
          </cell>
          <cell r="C754" t="str">
            <v>J20420</v>
          </cell>
          <cell r="D754" t="str">
            <v>C1SR</v>
          </cell>
          <cell r="E754">
            <v>40800</v>
          </cell>
          <cell r="F754">
            <v>41246</v>
          </cell>
        </row>
        <row r="755">
          <cell r="A755">
            <v>752</v>
          </cell>
          <cell r="B755">
            <v>0.34994126278160087</v>
          </cell>
          <cell r="C755" t="str">
            <v>J55055</v>
          </cell>
          <cell r="D755" t="str">
            <v>C1SR</v>
          </cell>
          <cell r="E755">
            <v>40855</v>
          </cell>
          <cell r="F755">
            <v>41246</v>
          </cell>
        </row>
        <row r="756">
          <cell r="A756">
            <v>753</v>
          </cell>
          <cell r="B756">
            <v>0.60374212004685046</v>
          </cell>
          <cell r="C756" t="str">
            <v>J68239</v>
          </cell>
          <cell r="D756" t="str">
            <v>C1SR</v>
          </cell>
          <cell r="E756">
            <v>40862</v>
          </cell>
          <cell r="F756">
            <v>41246</v>
          </cell>
        </row>
        <row r="757">
          <cell r="A757">
            <v>754</v>
          </cell>
          <cell r="B757">
            <v>0.13901945312188402</v>
          </cell>
          <cell r="C757" t="str">
            <v>J81580</v>
          </cell>
          <cell r="D757" t="str">
            <v>C1SR</v>
          </cell>
          <cell r="E757">
            <v>40865</v>
          </cell>
          <cell r="F757">
            <v>41246</v>
          </cell>
        </row>
        <row r="758">
          <cell r="A758">
            <v>755</v>
          </cell>
          <cell r="B758">
            <v>0.30290125874954943</v>
          </cell>
          <cell r="C758" t="str">
            <v>H59119</v>
          </cell>
          <cell r="D758" t="str">
            <v>C1SR</v>
          </cell>
          <cell r="E758">
            <v>40631</v>
          </cell>
          <cell r="F758">
            <v>41250</v>
          </cell>
        </row>
        <row r="759">
          <cell r="A759">
            <v>756</v>
          </cell>
          <cell r="B759">
            <v>0.28400342534737033</v>
          </cell>
          <cell r="C759" t="str">
            <v>J51015</v>
          </cell>
          <cell r="D759" t="str">
            <v>C1SR</v>
          </cell>
          <cell r="E759">
            <v>40840</v>
          </cell>
          <cell r="F759">
            <v>41250</v>
          </cell>
        </row>
        <row r="760">
          <cell r="A760">
            <v>757</v>
          </cell>
          <cell r="B760">
            <v>0.84305342823549967</v>
          </cell>
          <cell r="C760" t="str">
            <v>J65588</v>
          </cell>
          <cell r="D760" t="str">
            <v>C1SR</v>
          </cell>
          <cell r="E760">
            <v>40862</v>
          </cell>
          <cell r="F760">
            <v>41250</v>
          </cell>
        </row>
        <row r="761">
          <cell r="A761">
            <v>758</v>
          </cell>
          <cell r="B761">
            <v>0.88529159026527993</v>
          </cell>
          <cell r="C761" t="str">
            <v>J77494</v>
          </cell>
          <cell r="D761" t="str">
            <v>C1SR</v>
          </cell>
          <cell r="E761">
            <v>40865</v>
          </cell>
          <cell r="F761">
            <v>41250</v>
          </cell>
        </row>
        <row r="762">
          <cell r="A762">
            <v>759</v>
          </cell>
          <cell r="B762">
            <v>0.61515638242016812</v>
          </cell>
          <cell r="C762" t="str">
            <v>J96146</v>
          </cell>
          <cell r="D762" t="str">
            <v>C1SR</v>
          </cell>
          <cell r="E762">
            <v>40875</v>
          </cell>
          <cell r="F762">
            <v>41250</v>
          </cell>
        </row>
        <row r="763">
          <cell r="A763">
            <v>760</v>
          </cell>
          <cell r="B763">
            <v>0.96292446343572791</v>
          </cell>
          <cell r="C763" t="str">
            <v>J42911</v>
          </cell>
          <cell r="D763" t="str">
            <v>C1SR</v>
          </cell>
          <cell r="E763">
            <v>40834</v>
          </cell>
          <cell r="F763">
            <v>41253</v>
          </cell>
        </row>
        <row r="764">
          <cell r="A764">
            <v>761</v>
          </cell>
          <cell r="B764">
            <v>0.25437327956140243</v>
          </cell>
          <cell r="C764" t="str">
            <v>J60501</v>
          </cell>
          <cell r="D764" t="str">
            <v>C1SR</v>
          </cell>
          <cell r="E764">
            <v>40855</v>
          </cell>
          <cell r="F764">
            <v>41253</v>
          </cell>
        </row>
        <row r="765">
          <cell r="A765">
            <v>762</v>
          </cell>
          <cell r="B765">
            <v>0.76529313146068068</v>
          </cell>
          <cell r="C765" t="str">
            <v>H49777</v>
          </cell>
          <cell r="D765" t="str">
            <v>C1SR</v>
          </cell>
          <cell r="E765">
            <v>40598</v>
          </cell>
          <cell r="F765">
            <v>41254</v>
          </cell>
        </row>
        <row r="766">
          <cell r="A766">
            <v>763</v>
          </cell>
          <cell r="B766">
            <v>0.3275306414367557</v>
          </cell>
          <cell r="C766" t="str">
            <v>J20927</v>
          </cell>
          <cell r="D766" t="str">
            <v>C1SR</v>
          </cell>
          <cell r="E766">
            <v>40800</v>
          </cell>
          <cell r="F766">
            <v>41254</v>
          </cell>
        </row>
        <row r="767">
          <cell r="A767">
            <v>764</v>
          </cell>
          <cell r="B767">
            <v>0.49941963636543363</v>
          </cell>
          <cell r="C767" t="str">
            <v>J94765</v>
          </cell>
          <cell r="D767" t="str">
            <v>C1SR</v>
          </cell>
          <cell r="E767">
            <v>40875</v>
          </cell>
          <cell r="F767">
            <v>41254</v>
          </cell>
        </row>
        <row r="768">
          <cell r="A768">
            <v>765</v>
          </cell>
          <cell r="B768">
            <v>0.61182348944705423</v>
          </cell>
          <cell r="C768" t="str">
            <v>H56852</v>
          </cell>
          <cell r="D768" t="str">
            <v>C1SR</v>
          </cell>
          <cell r="E768">
            <v>40631</v>
          </cell>
          <cell r="F768">
            <v>41255</v>
          </cell>
        </row>
        <row r="769">
          <cell r="A769">
            <v>766</v>
          </cell>
          <cell r="B769">
            <v>0.23874334721191348</v>
          </cell>
          <cell r="C769" t="str">
            <v>H58389</v>
          </cell>
          <cell r="D769" t="str">
            <v>C1SR</v>
          </cell>
          <cell r="E769">
            <v>40631</v>
          </cell>
          <cell r="F769">
            <v>41255</v>
          </cell>
        </row>
        <row r="770">
          <cell r="A770">
            <v>767</v>
          </cell>
          <cell r="B770">
            <v>0.3038007748105539</v>
          </cell>
          <cell r="C770" t="str">
            <v>J36509</v>
          </cell>
          <cell r="D770" t="str">
            <v>C1SR</v>
          </cell>
          <cell r="E770">
            <v>40834</v>
          </cell>
          <cell r="F770">
            <v>41255</v>
          </cell>
        </row>
        <row r="771">
          <cell r="A771">
            <v>768</v>
          </cell>
          <cell r="B771">
            <v>0.1563204451679695</v>
          </cell>
          <cell r="C771" t="str">
            <v>J37988</v>
          </cell>
          <cell r="D771" t="str">
            <v>C1SR</v>
          </cell>
          <cell r="E771">
            <v>40834</v>
          </cell>
          <cell r="F771">
            <v>41255</v>
          </cell>
        </row>
        <row r="772">
          <cell r="A772">
            <v>769</v>
          </cell>
          <cell r="B772">
            <v>0.85348736688550708</v>
          </cell>
          <cell r="C772" t="str">
            <v>J64839</v>
          </cell>
          <cell r="D772" t="str">
            <v>C1SR</v>
          </cell>
          <cell r="E772">
            <v>40862</v>
          </cell>
          <cell r="F772">
            <v>41255</v>
          </cell>
        </row>
        <row r="773">
          <cell r="A773">
            <v>770</v>
          </cell>
          <cell r="B773">
            <v>0.83413331680210734</v>
          </cell>
          <cell r="C773" t="str">
            <v>J68826</v>
          </cell>
          <cell r="D773" t="str">
            <v>C1SR</v>
          </cell>
          <cell r="E773">
            <v>40862</v>
          </cell>
          <cell r="F773">
            <v>41255</v>
          </cell>
        </row>
        <row r="774">
          <cell r="A774">
            <v>771</v>
          </cell>
          <cell r="B774">
            <v>0.63830469576012028</v>
          </cell>
          <cell r="C774" t="str">
            <v>J69391</v>
          </cell>
          <cell r="D774" t="str">
            <v>C1SR</v>
          </cell>
          <cell r="E774">
            <v>40862</v>
          </cell>
          <cell r="F774">
            <v>41255</v>
          </cell>
        </row>
        <row r="775">
          <cell r="A775">
            <v>772</v>
          </cell>
          <cell r="B775">
            <v>0.84443382286589597</v>
          </cell>
          <cell r="C775" t="str">
            <v>J85193</v>
          </cell>
          <cell r="D775" t="str">
            <v>C1SR</v>
          </cell>
          <cell r="E775">
            <v>40822</v>
          </cell>
          <cell r="F775">
            <v>41255</v>
          </cell>
        </row>
        <row r="776">
          <cell r="A776">
            <v>773</v>
          </cell>
          <cell r="B776">
            <v>0.20315099889350485</v>
          </cell>
          <cell r="C776" t="str">
            <v>J44242</v>
          </cell>
          <cell r="D776" t="str">
            <v>C1SR</v>
          </cell>
          <cell r="E776">
            <v>40840</v>
          </cell>
          <cell r="F776">
            <v>41256</v>
          </cell>
        </row>
        <row r="777">
          <cell r="A777">
            <v>774</v>
          </cell>
          <cell r="B777">
            <v>0.33465756333553065</v>
          </cell>
          <cell r="C777" t="str">
            <v>J55178</v>
          </cell>
          <cell r="D777" t="str">
            <v>C1SR</v>
          </cell>
          <cell r="E777">
            <v>40855</v>
          </cell>
          <cell r="F777">
            <v>41256</v>
          </cell>
        </row>
        <row r="778">
          <cell r="A778">
            <v>775</v>
          </cell>
          <cell r="B778">
            <v>6.964720424698867E-3</v>
          </cell>
          <cell r="C778" t="str">
            <v>H53367</v>
          </cell>
          <cell r="D778" t="str">
            <v>C1SR</v>
          </cell>
          <cell r="E778">
            <v>40598</v>
          </cell>
          <cell r="F778">
            <v>41270</v>
          </cell>
        </row>
      </sheetData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/>
      <sheetData sheetId="1"/>
      <sheetData sheetId="2"/>
      <sheetData sheetId="3">
        <row r="6">
          <cell r="A6" t="str">
            <v>2003 ACTUAL 5 + 7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cap struc adj"/>
      <sheetName val="cap struc adj yr end"/>
      <sheetName val="TRANS SEP"/>
      <sheetName val="WC INPUTS"/>
      <sheetName val="WC"/>
      <sheetName val="PRINTING"/>
      <sheetName val="RB vs CAP"/>
      <sheetName val="COMPARISON to Act"/>
      <sheetName val="COMP to Budget"/>
      <sheetName val="COMP to 3+9"/>
      <sheetName val="ROE Ratios"/>
      <sheetName val="ROR Adjustments"/>
      <sheetName val="Equity Adjustments"/>
      <sheetName val="ROE Recon"/>
      <sheetName val="ROE Recon - Actual"/>
      <sheetName val="ROE Recon (2)"/>
      <sheetName val="OCI"/>
      <sheetName val="NI Summary"/>
      <sheetName val="13moavgcomparison"/>
      <sheetName val="NOTE"/>
    </sheetNames>
    <sheetDataSet>
      <sheetData sheetId="0"/>
      <sheetData sheetId="1" refreshError="1">
        <row r="5">
          <cell r="E5">
            <v>0.38574999999999998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rivers Tabs-&gt;"/>
      <sheetName val="Input"/>
      <sheetName val="Input Plant"/>
      <sheetName val="Input Seg of CWIP"/>
      <sheetName val="Input Tax Rate"/>
      <sheetName val="Input WFNG"/>
      <sheetName val="Model Tabs-&gt;"/>
      <sheetName val="IncomeStmt"/>
      <sheetName val="Bal Sheet"/>
      <sheetName val="Debt &amp; Cust Dep"/>
      <sheetName val="Cap Str 54.7%"/>
      <sheetName val="Int Synch"/>
      <sheetName val="Output Tabs-&gt;"/>
      <sheetName val="i.SR"/>
      <sheetName val="Report"/>
      <sheetName val="Reconcil"/>
      <sheetName val="Report YE"/>
      <sheetName val="Reconcil YE"/>
      <sheetName val="MSEA"/>
      <sheetName val="AFUDC Sch A "/>
      <sheetName val="AFUDC Sch B"/>
      <sheetName val="AFUDC Sch C"/>
      <sheetName val="Comparison Report Tabs-&gt;"/>
      <sheetName val="COMP to Final Bud"/>
      <sheetName val="COMP to Budget Q2"/>
      <sheetName val="Market ROE Working Tab"/>
      <sheetName val="NOT UPDATED -------&gt;"/>
      <sheetName val="COMP Act to Prior"/>
      <sheetName val="COMP to Q1F"/>
      <sheetName val="COMP to Prior 8+4F"/>
      <sheetName val="COMP to Strat"/>
      <sheetName val="Quarterly"/>
      <sheetName val="COMP to 2020 Strat"/>
      <sheetName val="COMP to Q3F"/>
      <sheetName val="Quarterly vs 0+12 vs Q1F"/>
      <sheetName val="Monthly"/>
      <sheetName val="Market ROE Recon - Bud"/>
      <sheetName val="Summary of Mark to Reg"/>
    </sheetNames>
    <sheetDataSet>
      <sheetData sheetId="0"/>
      <sheetData sheetId="1"/>
      <sheetData sheetId="2">
        <row r="4">
          <cell r="A4" t="str">
            <v>December 2022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PGS RECON MQY"/>
      <sheetName val="INPUT"/>
      <sheetName val="PGS RECON MQY BUD"/>
      <sheetName val="PGS RECON 2023"/>
      <sheetName val="PGS RECON Detail"/>
      <sheetName val="PGS RECON 2022 Budget"/>
      <sheetName val="PGS 2&amp;10 RECON 2022"/>
      <sheetName val="PGS 6&amp;6 RECON 2022"/>
      <sheetName val="Balance Sheet 2021"/>
      <sheetName val="PGS Swap JE Values"/>
      <sheetName val="Income Statement 2021"/>
      <sheetName val="Balance Sheet Detail"/>
      <sheetName val="Income Statement Detail"/>
      <sheetName val="Cash Flow 2021"/>
      <sheetName val="Cash Flow 2022"/>
      <sheetName val="Cash Flow 2023"/>
      <sheetName val="Cash Flow Detail"/>
      <sheetName val="New CF Pres"/>
      <sheetName val="PGS CF Impact TE"/>
      <sheetName val="PGS CF Impact TE 2021 Bud"/>
      <sheetName val="Data 2021 ACTUAL DL"/>
      <sheetName val="Data 2022 ACTUAL DL"/>
      <sheetName val="Data 2021 BUDGET DL"/>
      <sheetName val="Data 2022 BUDGET DL"/>
      <sheetName val="Data 2022 FORECAST DL"/>
      <sheetName val="Data 2023 BUDGET DL"/>
      <sheetName val="IS ACCTS"/>
      <sheetName val="BS ACCTS"/>
      <sheetName val="INTERFACE"/>
      <sheetName val="SOP DETAIL"/>
      <sheetName val="Revenue 2021"/>
      <sheetName val="Revenue Detail"/>
      <sheetName val="CAP Structure 2022"/>
      <sheetName val="CAP Structure 2023"/>
      <sheetName val="CAP Structure Detail"/>
      <sheetName val="Review Sheet"/>
      <sheetName val="PEF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DG11">
            <v>2812837.6</v>
          </cell>
          <cell r="DH11">
            <v>2859717.6</v>
          </cell>
          <cell r="DI11">
            <v>2891076.5</v>
          </cell>
          <cell r="DJ11">
            <v>2915823</v>
          </cell>
          <cell r="DK11">
            <v>2969264.5</v>
          </cell>
          <cell r="DL11">
            <v>2992276.5999999996</v>
          </cell>
          <cell r="DM11">
            <v>3010023.1</v>
          </cell>
          <cell r="DN11">
            <v>3026196.6</v>
          </cell>
          <cell r="DO11">
            <v>3043177.8</v>
          </cell>
          <cell r="DP11">
            <v>3058963.5</v>
          </cell>
          <cell r="DQ11">
            <v>3133725.2</v>
          </cell>
          <cell r="DR11">
            <v>3167024.2</v>
          </cell>
        </row>
        <row r="12">
          <cell r="DG12">
            <v>1939.6</v>
          </cell>
          <cell r="DH12">
            <v>1939.6</v>
          </cell>
          <cell r="DI12">
            <v>1939.6</v>
          </cell>
          <cell r="DJ12">
            <v>1939.6</v>
          </cell>
          <cell r="DK12">
            <v>1939.6</v>
          </cell>
          <cell r="DL12">
            <v>1939.6</v>
          </cell>
          <cell r="DM12">
            <v>1939.6</v>
          </cell>
          <cell r="DN12">
            <v>1939.6</v>
          </cell>
          <cell r="DO12">
            <v>1939.6</v>
          </cell>
          <cell r="DP12">
            <v>1939.6</v>
          </cell>
          <cell r="DQ12">
            <v>1939.6</v>
          </cell>
          <cell r="DR12">
            <v>1939.6</v>
          </cell>
        </row>
        <row r="13">
          <cell r="DG13">
            <v>139895.4</v>
          </cell>
          <cell r="DH13">
            <v>119553.9</v>
          </cell>
          <cell r="DI13">
            <v>118095</v>
          </cell>
          <cell r="DJ13">
            <v>138120.20000000001</v>
          </cell>
          <cell r="DK13">
            <v>110979.9</v>
          </cell>
          <cell r="DL13">
            <v>116583.6</v>
          </cell>
          <cell r="DM13">
            <v>127626</v>
          </cell>
          <cell r="DN13">
            <v>138177.9</v>
          </cell>
          <cell r="DO13">
            <v>145799.79999999999</v>
          </cell>
          <cell r="DP13">
            <v>152661.70000000001</v>
          </cell>
          <cell r="DQ13">
            <v>98595.9</v>
          </cell>
          <cell r="DR13">
            <v>85626.4</v>
          </cell>
        </row>
        <row r="14">
          <cell r="DG14">
            <v>5031.8999999999996</v>
          </cell>
          <cell r="DH14">
            <v>5031.8999999999996</v>
          </cell>
          <cell r="DI14">
            <v>5031.8999999999996</v>
          </cell>
          <cell r="DJ14">
            <v>5031.8999999999996</v>
          </cell>
          <cell r="DK14">
            <v>5031.8999999999996</v>
          </cell>
          <cell r="DL14">
            <v>5031.8999999999996</v>
          </cell>
          <cell r="DM14">
            <v>5031.8999999999996</v>
          </cell>
          <cell r="DN14">
            <v>5031.8999999999996</v>
          </cell>
          <cell r="DO14">
            <v>5031.8999999999996</v>
          </cell>
          <cell r="DP14">
            <v>5031.8999999999996</v>
          </cell>
          <cell r="DQ14">
            <v>5031.8999999999996</v>
          </cell>
          <cell r="DR14">
            <v>5031.8999999999996</v>
          </cell>
        </row>
        <row r="16">
          <cell r="DG16">
            <v>-876648.29999999993</v>
          </cell>
          <cell r="DH16">
            <v>-877046.89999999991</v>
          </cell>
          <cell r="DI16">
            <v>-874039.29999999993</v>
          </cell>
          <cell r="DJ16">
            <v>-876818.39999999991</v>
          </cell>
          <cell r="DK16">
            <v>-880142.2</v>
          </cell>
          <cell r="DL16">
            <v>-879739.39999999991</v>
          </cell>
          <cell r="DM16">
            <v>-883597.49999999988</v>
          </cell>
          <cell r="DN16">
            <v>-887511.7</v>
          </cell>
          <cell r="DO16">
            <v>-889019.39999999991</v>
          </cell>
          <cell r="DP16">
            <v>-893045.6</v>
          </cell>
          <cell r="DQ16">
            <v>-897129.1</v>
          </cell>
          <cell r="DR16">
            <v>-893003.69999999984</v>
          </cell>
        </row>
        <row r="20">
          <cell r="DG20">
            <v>1677.2</v>
          </cell>
          <cell r="DH20">
            <v>742.7</v>
          </cell>
          <cell r="DI20">
            <v>965.4</v>
          </cell>
          <cell r="DJ20">
            <v>1317</v>
          </cell>
          <cell r="DK20">
            <v>943</v>
          </cell>
          <cell r="DL20">
            <v>1252.5</v>
          </cell>
          <cell r="DM20">
            <v>1588.8</v>
          </cell>
          <cell r="DN20">
            <v>923.8</v>
          </cell>
          <cell r="DO20">
            <v>1248</v>
          </cell>
          <cell r="DP20">
            <v>1569.6</v>
          </cell>
          <cell r="DQ20">
            <v>958.1</v>
          </cell>
          <cell r="DR20">
            <v>1524.7</v>
          </cell>
        </row>
        <row r="21"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</row>
        <row r="22"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</row>
        <row r="26">
          <cell r="DG26">
            <v>1000</v>
          </cell>
          <cell r="DH26">
            <v>1000</v>
          </cell>
          <cell r="DI26">
            <v>1000</v>
          </cell>
          <cell r="DJ26">
            <v>1000</v>
          </cell>
          <cell r="DK26">
            <v>1000</v>
          </cell>
          <cell r="DL26">
            <v>1000</v>
          </cell>
          <cell r="DM26">
            <v>1000</v>
          </cell>
          <cell r="DN26">
            <v>1000</v>
          </cell>
          <cell r="DO26">
            <v>1000</v>
          </cell>
          <cell r="DP26">
            <v>1000</v>
          </cell>
          <cell r="DQ26">
            <v>1000</v>
          </cell>
          <cell r="DR26">
            <v>1000</v>
          </cell>
        </row>
        <row r="27"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</row>
        <row r="28">
          <cell r="DG28">
            <v>25</v>
          </cell>
          <cell r="DH28">
            <v>25</v>
          </cell>
          <cell r="DI28">
            <v>25</v>
          </cell>
          <cell r="DJ28">
            <v>25</v>
          </cell>
          <cell r="DK28">
            <v>25</v>
          </cell>
          <cell r="DL28">
            <v>25</v>
          </cell>
          <cell r="DM28">
            <v>25</v>
          </cell>
          <cell r="DN28">
            <v>25</v>
          </cell>
          <cell r="DO28">
            <v>25</v>
          </cell>
          <cell r="DP28">
            <v>25</v>
          </cell>
          <cell r="DQ28">
            <v>25</v>
          </cell>
          <cell r="DR28">
            <v>25</v>
          </cell>
        </row>
        <row r="29">
          <cell r="DG29">
            <v>3</v>
          </cell>
          <cell r="DH29">
            <v>3</v>
          </cell>
          <cell r="DI29">
            <v>3</v>
          </cell>
          <cell r="DJ29">
            <v>3</v>
          </cell>
          <cell r="DK29">
            <v>3</v>
          </cell>
          <cell r="DL29">
            <v>3</v>
          </cell>
          <cell r="DM29">
            <v>3</v>
          </cell>
          <cell r="DN29">
            <v>3</v>
          </cell>
          <cell r="DO29">
            <v>3</v>
          </cell>
          <cell r="DP29">
            <v>3</v>
          </cell>
          <cell r="DQ29">
            <v>3</v>
          </cell>
          <cell r="DR29">
            <v>3</v>
          </cell>
        </row>
        <row r="31">
          <cell r="DG31">
            <v>45420</v>
          </cell>
          <cell r="DH31">
            <v>49020</v>
          </cell>
          <cell r="DI31">
            <v>41020</v>
          </cell>
          <cell r="DJ31">
            <v>38320</v>
          </cell>
          <cell r="DK31">
            <v>37720</v>
          </cell>
          <cell r="DL31">
            <v>34220</v>
          </cell>
          <cell r="DM31">
            <v>35720</v>
          </cell>
          <cell r="DN31">
            <v>33020</v>
          </cell>
          <cell r="DO31">
            <v>33520</v>
          </cell>
          <cell r="DP31">
            <v>33820</v>
          </cell>
          <cell r="DQ31">
            <v>32320</v>
          </cell>
          <cell r="DR31">
            <v>37820</v>
          </cell>
        </row>
        <row r="32">
          <cell r="DG32">
            <v>419.7</v>
          </cell>
          <cell r="DH32">
            <v>4645.3</v>
          </cell>
          <cell r="DI32">
            <v>4549</v>
          </cell>
          <cell r="DJ32">
            <v>4678.8</v>
          </cell>
          <cell r="DK32">
            <v>4764</v>
          </cell>
          <cell r="DL32">
            <v>4835.8</v>
          </cell>
          <cell r="DM32">
            <v>6081.6</v>
          </cell>
          <cell r="DN32">
            <v>4769.5</v>
          </cell>
          <cell r="DO32">
            <v>4756.5</v>
          </cell>
          <cell r="DP32">
            <v>4474.7</v>
          </cell>
          <cell r="DQ32">
            <v>4777</v>
          </cell>
          <cell r="DR32">
            <v>4596.4000000000005</v>
          </cell>
        </row>
        <row r="33">
          <cell r="DG33">
            <v>-1100.6999999999998</v>
          </cell>
          <cell r="DH33">
            <v>-1052</v>
          </cell>
          <cell r="DI33">
            <v>-1004.6999999999998</v>
          </cell>
          <cell r="DJ33">
            <v>-958.59999999999991</v>
          </cell>
          <cell r="DK33">
            <v>-913.8</v>
          </cell>
          <cell r="DL33">
            <v>-870.09999999999991</v>
          </cell>
          <cell r="DM33">
            <v>-827.69999999999982</v>
          </cell>
          <cell r="DN33">
            <v>-786.39999999999986</v>
          </cell>
          <cell r="DO33">
            <v>-746.19999999999982</v>
          </cell>
          <cell r="DP33">
            <v>-707</v>
          </cell>
          <cell r="DQ33">
            <v>-668.89999999999986</v>
          </cell>
          <cell r="DR33">
            <v>-631.79999999999995</v>
          </cell>
        </row>
        <row r="34">
          <cell r="DG34">
            <v>10135.299999999999</v>
          </cell>
          <cell r="DH34">
            <v>10135.299999999999</v>
          </cell>
          <cell r="DI34">
            <v>10135.299999999999</v>
          </cell>
          <cell r="DJ34">
            <v>10135.299999999999</v>
          </cell>
          <cell r="DK34">
            <v>10135.299999999999</v>
          </cell>
          <cell r="DL34">
            <v>10135.299999999999</v>
          </cell>
          <cell r="DM34">
            <v>10135.299999999999</v>
          </cell>
          <cell r="DN34">
            <v>10135.299999999999</v>
          </cell>
          <cell r="DO34">
            <v>10135.299999999999</v>
          </cell>
          <cell r="DP34">
            <v>10135.299999999999</v>
          </cell>
          <cell r="DQ34">
            <v>10135.299999999999</v>
          </cell>
          <cell r="DR34">
            <v>10135.299999999999</v>
          </cell>
        </row>
        <row r="35">
          <cell r="DG35">
            <v>3816.8999999999996</v>
          </cell>
          <cell r="DH35">
            <v>3816.8999999999996</v>
          </cell>
          <cell r="DI35">
            <v>3816.8999999999996</v>
          </cell>
          <cell r="DJ35">
            <v>3816.8999999999996</v>
          </cell>
          <cell r="DK35">
            <v>3816.8999999999996</v>
          </cell>
          <cell r="DL35">
            <v>3816.8999999999996</v>
          </cell>
          <cell r="DM35">
            <v>3816.8999999999996</v>
          </cell>
          <cell r="DN35">
            <v>3816.8999999999996</v>
          </cell>
          <cell r="DO35">
            <v>3816.8999999999996</v>
          </cell>
          <cell r="DP35">
            <v>3816.8999999999996</v>
          </cell>
          <cell r="DQ35">
            <v>3816.8999999999996</v>
          </cell>
          <cell r="DR35">
            <v>3816.8999999999996</v>
          </cell>
        </row>
        <row r="36">
          <cell r="DG36">
            <v>413.7</v>
          </cell>
          <cell r="DH36">
            <v>413.7</v>
          </cell>
          <cell r="DI36">
            <v>413.7</v>
          </cell>
          <cell r="DJ36">
            <v>413.7</v>
          </cell>
          <cell r="DK36">
            <v>413.7</v>
          </cell>
          <cell r="DL36">
            <v>413.7</v>
          </cell>
          <cell r="DM36">
            <v>413.7</v>
          </cell>
          <cell r="DN36">
            <v>413.7</v>
          </cell>
          <cell r="DO36">
            <v>413.7</v>
          </cell>
          <cell r="DP36">
            <v>413.7</v>
          </cell>
          <cell r="DQ36">
            <v>413.7</v>
          </cell>
          <cell r="DR36">
            <v>413.7</v>
          </cell>
        </row>
        <row r="37">
          <cell r="DG37">
            <v>4100</v>
          </cell>
          <cell r="DH37">
            <v>4100</v>
          </cell>
          <cell r="DI37">
            <v>4100</v>
          </cell>
          <cell r="DJ37">
            <v>4100</v>
          </cell>
          <cell r="DK37">
            <v>4100</v>
          </cell>
          <cell r="DL37">
            <v>4100</v>
          </cell>
          <cell r="DM37">
            <v>4100</v>
          </cell>
          <cell r="DN37">
            <v>4100</v>
          </cell>
          <cell r="DO37">
            <v>4100</v>
          </cell>
          <cell r="DP37">
            <v>4100</v>
          </cell>
          <cell r="DQ37">
            <v>4100</v>
          </cell>
          <cell r="DR37">
            <v>4100</v>
          </cell>
        </row>
        <row r="39"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</row>
        <row r="42">
          <cell r="DG42">
            <v>4191.3999999999996</v>
          </cell>
          <cell r="DH42">
            <v>4159.2</v>
          </cell>
          <cell r="DI42">
            <v>2924.8</v>
          </cell>
          <cell r="DJ42">
            <v>2590</v>
          </cell>
          <cell r="DK42">
            <v>1666.1</v>
          </cell>
          <cell r="DL42">
            <v>7725.6</v>
          </cell>
          <cell r="DM42">
            <v>7425.2</v>
          </cell>
          <cell r="DN42">
            <v>6763.4</v>
          </cell>
          <cell r="DO42">
            <v>6058.7</v>
          </cell>
          <cell r="DP42">
            <v>5359</v>
          </cell>
          <cell r="DQ42">
            <v>4704.3</v>
          </cell>
          <cell r="DR42">
            <v>3998</v>
          </cell>
        </row>
        <row r="47"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</row>
        <row r="48">
          <cell r="DG48">
            <v>66926.8</v>
          </cell>
          <cell r="DH48">
            <v>67418.799999999988</v>
          </cell>
          <cell r="DI48">
            <v>65678.699999999983</v>
          </cell>
          <cell r="DJ48">
            <v>66023.5</v>
          </cell>
          <cell r="DK48">
            <v>66250.599999999991</v>
          </cell>
          <cell r="DL48">
            <v>66615.099999999991</v>
          </cell>
          <cell r="DM48">
            <v>66778.399999999994</v>
          </cell>
          <cell r="DN48">
            <v>66890.2</v>
          </cell>
          <cell r="DO48">
            <v>67132</v>
          </cell>
          <cell r="DP48">
            <v>67233.099999999991</v>
          </cell>
          <cell r="DQ48">
            <v>67424.5</v>
          </cell>
          <cell r="DR48">
            <v>67943.3</v>
          </cell>
        </row>
        <row r="49"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</row>
        <row r="52">
          <cell r="DG52">
            <v>388.2</v>
          </cell>
          <cell r="DH52">
            <v>352.9</v>
          </cell>
          <cell r="DI52">
            <v>317.60000000000002</v>
          </cell>
          <cell r="DJ52">
            <v>282.3</v>
          </cell>
          <cell r="DK52">
            <v>247</v>
          </cell>
          <cell r="DL52">
            <v>211.7</v>
          </cell>
          <cell r="DM52">
            <v>176.4</v>
          </cell>
          <cell r="DN52">
            <v>141.1</v>
          </cell>
          <cell r="DO52">
            <v>105.8</v>
          </cell>
          <cell r="DP52">
            <v>70.5</v>
          </cell>
          <cell r="DQ52">
            <v>35.200000000000003</v>
          </cell>
          <cell r="DR52">
            <v>1570.5</v>
          </cell>
        </row>
        <row r="53">
          <cell r="DG53">
            <v>2089.5</v>
          </cell>
          <cell r="DH53">
            <v>2097.1999999999971</v>
          </cell>
          <cell r="DI53">
            <v>1353.5</v>
          </cell>
          <cell r="DJ53">
            <v>616.09999999999127</v>
          </cell>
          <cell r="DK53">
            <v>297.79999999998836</v>
          </cell>
          <cell r="DL53">
            <v>0</v>
          </cell>
          <cell r="DM53">
            <v>9.9999999991268851E-2</v>
          </cell>
          <cell r="DN53">
            <v>9.9999999991268851E-2</v>
          </cell>
          <cell r="DO53">
            <v>9.9999999991268851E-2</v>
          </cell>
          <cell r="DP53">
            <v>9.9999999991268851E-2</v>
          </cell>
          <cell r="DQ53">
            <v>0.19999999999708962</v>
          </cell>
          <cell r="DR53">
            <v>0.19999999999708962</v>
          </cell>
        </row>
        <row r="57">
          <cell r="BQ57">
            <v>1300347.3999999999</v>
          </cell>
          <cell r="BR57">
            <v>1319239.9999999998</v>
          </cell>
          <cell r="BS57">
            <v>1342230.4</v>
          </cell>
          <cell r="BT57">
            <v>1358665</v>
          </cell>
          <cell r="BU57">
            <v>1383623.0999999999</v>
          </cell>
          <cell r="BV57">
            <v>1408247.7000000002</v>
          </cell>
          <cell r="BW57">
            <v>1430100.5</v>
          </cell>
          <cell r="BX57">
            <v>1442161.2000000002</v>
          </cell>
          <cell r="BY57">
            <v>1453225.5999999996</v>
          </cell>
          <cell r="BZ57">
            <v>1471552.6</v>
          </cell>
          <cell r="CA57">
            <v>1494766.0999999996</v>
          </cell>
          <cell r="CB57">
            <v>1516746.0999999999</v>
          </cell>
          <cell r="CC57">
            <v>1537467.9</v>
          </cell>
          <cell r="CD57">
            <v>1574439.8000000003</v>
          </cell>
          <cell r="CE57">
            <v>1599775.6999999997</v>
          </cell>
          <cell r="CF57">
            <v>1631708</v>
          </cell>
          <cell r="CG57">
            <v>1666187.6999999997</v>
          </cell>
          <cell r="CH57">
            <v>1713802.7999999998</v>
          </cell>
          <cell r="CI57">
            <v>1744349.9999999998</v>
          </cell>
          <cell r="CJ57">
            <v>1767184.2999999996</v>
          </cell>
          <cell r="CK57">
            <v>1783156.9000000004</v>
          </cell>
          <cell r="CL57">
            <v>1799578.2999999996</v>
          </cell>
          <cell r="CM57">
            <v>1807991.2000000002</v>
          </cell>
          <cell r="CN57">
            <v>1827442.1999999997</v>
          </cell>
          <cell r="CO57">
            <v>1853524.0999999999</v>
          </cell>
          <cell r="CP57">
            <v>1871610.5</v>
          </cell>
          <cell r="CQ57">
            <v>1894780.6999999997</v>
          </cell>
          <cell r="CR57">
            <v>1929460.8999999997</v>
          </cell>
          <cell r="CS57">
            <v>1960889.7999999998</v>
          </cell>
          <cell r="CT57">
            <v>1992226.7</v>
          </cell>
          <cell r="CU57">
            <v>2023947.4000000001</v>
          </cell>
          <cell r="CV57">
            <v>2043153.8000000005</v>
          </cell>
          <cell r="CW57">
            <v>2052420.9000000004</v>
          </cell>
          <cell r="CX57">
            <v>2067951.8000000003</v>
          </cell>
          <cell r="CY57">
            <v>2094493.2000000004</v>
          </cell>
          <cell r="CZ57">
            <v>2120545.1</v>
          </cell>
          <cell r="DA57">
            <v>2136862.6999999997</v>
          </cell>
          <cell r="DB57">
            <v>2152934.8000000003</v>
          </cell>
          <cell r="DC57">
            <v>2168239.3000000003</v>
          </cell>
          <cell r="DD57">
            <v>2180323.2000000007</v>
          </cell>
          <cell r="DE57">
            <v>2206020.3000000007</v>
          </cell>
          <cell r="DF57">
            <v>2267449.7000000002</v>
          </cell>
          <cell r="DG57">
            <v>2302710.4</v>
          </cell>
          <cell r="DH57">
            <v>2364867.7000000002</v>
          </cell>
          <cell r="DI57">
            <v>2384396</v>
          </cell>
          <cell r="DJ57">
            <v>2422812.5000000005</v>
          </cell>
          <cell r="DK57">
            <v>2442148.5000000005</v>
          </cell>
          <cell r="DL57">
            <v>2471208.0999999996</v>
          </cell>
          <cell r="DM57">
            <v>2498529.7999999998</v>
          </cell>
          <cell r="DN57">
            <v>2516952.8999999994</v>
          </cell>
          <cell r="DO57">
            <v>2540552.2999999998</v>
          </cell>
          <cell r="DP57">
            <v>2561363.7000000002</v>
          </cell>
          <cell r="DQ57">
            <v>2576056.6</v>
          </cell>
          <cell r="DR57">
            <v>2615653.5000000005</v>
          </cell>
        </row>
        <row r="62">
          <cell r="DG62">
            <v>870550.10000000009</v>
          </cell>
          <cell r="DH62">
            <v>893050.10000000009</v>
          </cell>
          <cell r="DI62">
            <v>893050.10000000009</v>
          </cell>
          <cell r="DJ62">
            <v>893050.10000000009</v>
          </cell>
          <cell r="DK62">
            <v>918050.10000000009</v>
          </cell>
          <cell r="DL62">
            <v>918050.10000000009</v>
          </cell>
          <cell r="DM62">
            <v>918050.10000000009</v>
          </cell>
          <cell r="DN62">
            <v>948050.10000000009</v>
          </cell>
          <cell r="DO62">
            <v>948050.10000000009</v>
          </cell>
          <cell r="DP62">
            <v>948050.10000000009</v>
          </cell>
          <cell r="DQ62">
            <v>1005550.1000000001</v>
          </cell>
          <cell r="DR62">
            <v>1005550.1000000001</v>
          </cell>
        </row>
        <row r="63">
          <cell r="DG63">
            <v>130628.49999999997</v>
          </cell>
          <cell r="DH63">
            <v>122444.69999999998</v>
          </cell>
          <cell r="DI63">
            <v>133245.09999999998</v>
          </cell>
          <cell r="DJ63">
            <v>140249.19999999995</v>
          </cell>
          <cell r="DK63">
            <v>116529.29999999999</v>
          </cell>
          <cell r="DL63">
            <v>123407.19999999998</v>
          </cell>
          <cell r="DM63">
            <v>127830.19999999997</v>
          </cell>
          <cell r="DN63">
            <v>112854.50000000001</v>
          </cell>
          <cell r="DO63">
            <v>119116.79999999999</v>
          </cell>
          <cell r="DP63">
            <v>122310.39169154299</v>
          </cell>
          <cell r="DQ63">
            <v>113209.22813335656</v>
          </cell>
          <cell r="DR63">
            <v>125794.1504286448</v>
          </cell>
        </row>
        <row r="64"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</row>
        <row r="67"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825000</v>
          </cell>
          <cell r="DQ67">
            <v>825000</v>
          </cell>
          <cell r="DR67">
            <v>825000</v>
          </cell>
        </row>
        <row r="69"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</row>
        <row r="75">
          <cell r="DG75">
            <v>-13.100000000034925</v>
          </cell>
          <cell r="DH75">
            <v>-26.899999999834108</v>
          </cell>
          <cell r="DI75">
            <v>-313.50000000026557</v>
          </cell>
          <cell r="DJ75">
            <v>-331.90000000012515</v>
          </cell>
          <cell r="DK75">
            <v>-53.599999999943975</v>
          </cell>
          <cell r="DL75">
            <v>90.5999999997548</v>
          </cell>
          <cell r="DM75">
            <v>76.899999999910506</v>
          </cell>
          <cell r="DN75">
            <v>-63.399999999961437</v>
          </cell>
          <cell r="DO75">
            <v>-41.200000000178989</v>
          </cell>
          <cell r="DP75">
            <v>112693.70830845693</v>
          </cell>
          <cell r="DQ75">
            <v>91589.771866643408</v>
          </cell>
          <cell r="DR75">
            <v>107765.54957135532</v>
          </cell>
        </row>
        <row r="80">
          <cell r="DG80">
            <v>28692.6</v>
          </cell>
          <cell r="DH80">
            <v>28716</v>
          </cell>
          <cell r="DI80">
            <v>28739.4</v>
          </cell>
          <cell r="DJ80">
            <v>28762.9</v>
          </cell>
          <cell r="DK80">
            <v>28786.3</v>
          </cell>
          <cell r="DL80">
            <v>28809.8</v>
          </cell>
          <cell r="DM80">
            <v>28833.3</v>
          </cell>
          <cell r="DN80">
            <v>28856.799999999999</v>
          </cell>
          <cell r="DO80">
            <v>28880.400000000001</v>
          </cell>
          <cell r="DP80">
            <v>28904</v>
          </cell>
          <cell r="DQ80">
            <v>28927.599999999999</v>
          </cell>
          <cell r="DR80">
            <v>28951.200000000001</v>
          </cell>
        </row>
        <row r="82">
          <cell r="DG82">
            <v>1217.5999999999999</v>
          </cell>
          <cell r="DH82">
            <v>2181.6999999999998</v>
          </cell>
          <cell r="DI82">
            <v>1557</v>
          </cell>
          <cell r="DJ82">
            <v>1835.5</v>
          </cell>
          <cell r="DK82">
            <v>1398</v>
          </cell>
          <cell r="DL82">
            <v>1672.4</v>
          </cell>
          <cell r="DM82">
            <v>849.30000000000007</v>
          </cell>
          <cell r="DN82">
            <v>-111.69999999999999</v>
          </cell>
          <cell r="DO82">
            <v>-163.6</v>
          </cell>
          <cell r="DP82">
            <v>-1563</v>
          </cell>
          <cell r="DQ82">
            <v>-1862.4</v>
          </cell>
          <cell r="DR82">
            <v>0</v>
          </cell>
        </row>
        <row r="83">
          <cell r="DG83">
            <v>69.099999999999994</v>
          </cell>
          <cell r="DH83">
            <v>121.6</v>
          </cell>
          <cell r="DI83">
            <v>174.3</v>
          </cell>
          <cell r="DJ83">
            <v>227</v>
          </cell>
          <cell r="DK83">
            <v>279.7</v>
          </cell>
          <cell r="DL83">
            <v>332.5</v>
          </cell>
          <cell r="DM83">
            <v>385.3</v>
          </cell>
          <cell r="DN83">
            <v>438.2</v>
          </cell>
          <cell r="DO83">
            <v>491.2</v>
          </cell>
          <cell r="DP83">
            <v>817.80000000000007</v>
          </cell>
          <cell r="DQ83">
            <v>4931.5</v>
          </cell>
          <cell r="DR83">
            <v>8206.7000000000007</v>
          </cell>
        </row>
        <row r="84"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</row>
        <row r="85">
          <cell r="DG85">
            <v>2009.7</v>
          </cell>
          <cell r="DH85">
            <v>2238</v>
          </cell>
          <cell r="DI85">
            <v>2163.1999999999998</v>
          </cell>
          <cell r="DJ85">
            <v>2081.9</v>
          </cell>
          <cell r="DK85">
            <v>1659.2</v>
          </cell>
          <cell r="DL85">
            <v>1122.2</v>
          </cell>
          <cell r="DM85">
            <v>525.6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</row>
        <row r="88">
          <cell r="DG88">
            <v>46.5</v>
          </cell>
          <cell r="DH88">
            <v>46.5</v>
          </cell>
          <cell r="DI88">
            <v>46.5</v>
          </cell>
          <cell r="DJ88">
            <v>46.5</v>
          </cell>
          <cell r="DK88">
            <v>46.5</v>
          </cell>
          <cell r="DL88">
            <v>46.5</v>
          </cell>
          <cell r="DM88">
            <v>46.5</v>
          </cell>
          <cell r="DN88">
            <v>46.5</v>
          </cell>
          <cell r="DO88">
            <v>46.5</v>
          </cell>
          <cell r="DP88">
            <v>46.5</v>
          </cell>
          <cell r="DQ88">
            <v>46.5</v>
          </cell>
          <cell r="DR88">
            <v>46.5</v>
          </cell>
        </row>
        <row r="94">
          <cell r="DG94">
            <v>20000</v>
          </cell>
          <cell r="DH94">
            <v>20000</v>
          </cell>
          <cell r="DI94">
            <v>20000</v>
          </cell>
          <cell r="DJ94">
            <v>20000</v>
          </cell>
          <cell r="DK94">
            <v>20000</v>
          </cell>
          <cell r="DL94">
            <v>20000</v>
          </cell>
          <cell r="DM94">
            <v>20000</v>
          </cell>
          <cell r="DN94">
            <v>20000</v>
          </cell>
          <cell r="DO94">
            <v>20000</v>
          </cell>
          <cell r="DP94">
            <v>20000</v>
          </cell>
          <cell r="DQ94">
            <v>20000</v>
          </cell>
          <cell r="DR94">
            <v>20000</v>
          </cell>
        </row>
        <row r="97">
          <cell r="DG97">
            <v>240447.80000000002</v>
          </cell>
          <cell r="DH97">
            <v>242830.49999999991</v>
          </cell>
          <cell r="DI97">
            <v>245322.1</v>
          </cell>
          <cell r="DJ97">
            <v>247594.19999999995</v>
          </cell>
          <cell r="DK97">
            <v>249966.59999999998</v>
          </cell>
          <cell r="DL97">
            <v>252560.69999999998</v>
          </cell>
          <cell r="DM97">
            <v>254945.9</v>
          </cell>
          <cell r="DN97">
            <v>257356.39999999997</v>
          </cell>
          <cell r="DO97">
            <v>259943.49999999994</v>
          </cell>
          <cell r="DP97">
            <v>262430.60000000003</v>
          </cell>
          <cell r="DQ97">
            <v>264779.89999999997</v>
          </cell>
          <cell r="DR97">
            <v>267795.19999999995</v>
          </cell>
        </row>
        <row r="98">
          <cell r="DG98">
            <v>3313.3</v>
          </cell>
          <cell r="DH98">
            <v>3313.3</v>
          </cell>
          <cell r="DI98">
            <v>3313.3</v>
          </cell>
          <cell r="DJ98">
            <v>3313.3</v>
          </cell>
          <cell r="DK98">
            <v>3313.3</v>
          </cell>
          <cell r="DL98">
            <v>3313.3</v>
          </cell>
          <cell r="DM98">
            <v>3313.3</v>
          </cell>
          <cell r="DN98">
            <v>3313.3</v>
          </cell>
          <cell r="DO98">
            <v>3313.3</v>
          </cell>
          <cell r="DP98">
            <v>3313.3</v>
          </cell>
          <cell r="DQ98">
            <v>3313.3</v>
          </cell>
          <cell r="DR98">
            <v>3313.3</v>
          </cell>
        </row>
        <row r="105">
          <cell r="BQ105">
            <v>1300347.8</v>
          </cell>
          <cell r="BR105">
            <v>1319240.2000000002</v>
          </cell>
          <cell r="BS105">
            <v>1342229.9999999998</v>
          </cell>
          <cell r="BT105">
            <v>1358664.3</v>
          </cell>
          <cell r="BU105">
            <v>1383622.7</v>
          </cell>
          <cell r="BV105">
            <v>1408247.4999999998</v>
          </cell>
          <cell r="BW105">
            <v>1430101.4</v>
          </cell>
          <cell r="BX105">
            <v>1442160.8</v>
          </cell>
          <cell r="BY105">
            <v>1453225.4</v>
          </cell>
          <cell r="BZ105">
            <v>1471552.6999999997</v>
          </cell>
          <cell r="CA105">
            <v>1494765.9000000001</v>
          </cell>
          <cell r="CB105">
            <v>1516746.2999999998</v>
          </cell>
          <cell r="CC105">
            <v>1537467.5999999999</v>
          </cell>
          <cell r="CD105">
            <v>1574439.2000000002</v>
          </cell>
          <cell r="CE105">
            <v>1599775.4000000001</v>
          </cell>
          <cell r="CF105">
            <v>1631708</v>
          </cell>
          <cell r="CG105">
            <v>1666187.4</v>
          </cell>
          <cell r="CH105">
            <v>1713802.5000000002</v>
          </cell>
          <cell r="CI105">
            <v>1744349.3</v>
          </cell>
          <cell r="CJ105">
            <v>1767183.7000000002</v>
          </cell>
          <cell r="CK105">
            <v>1783156.7999999998</v>
          </cell>
          <cell r="CL105">
            <v>1799578.6</v>
          </cell>
          <cell r="CM105">
            <v>1807990.6</v>
          </cell>
          <cell r="CN105">
            <v>1827442.4000000001</v>
          </cell>
          <cell r="CO105">
            <v>1853523.9000000001</v>
          </cell>
          <cell r="CP105">
            <v>1871609.9000000004</v>
          </cell>
          <cell r="CQ105">
            <v>1894780.4000000001</v>
          </cell>
          <cell r="CR105">
            <v>1929461.1000000003</v>
          </cell>
          <cell r="CS105">
            <v>1960889.4</v>
          </cell>
          <cell r="CT105">
            <v>1992226.8000000003</v>
          </cell>
          <cell r="CU105">
            <v>2023947.2</v>
          </cell>
          <cell r="CV105">
            <v>2043153.2000000004</v>
          </cell>
          <cell r="CW105">
            <v>2052420.6</v>
          </cell>
          <cell r="CX105">
            <v>2067951.5000000002</v>
          </cell>
          <cell r="CY105">
            <v>2094492.5999999999</v>
          </cell>
          <cell r="CZ105">
            <v>2120544.9</v>
          </cell>
          <cell r="DA105">
            <v>2136862.4</v>
          </cell>
          <cell r="DB105">
            <v>2152934.7000000002</v>
          </cell>
          <cell r="DC105">
            <v>2168238.7000000002</v>
          </cell>
          <cell r="DD105">
            <v>2180322.5</v>
          </cell>
          <cell r="DE105">
            <v>2206019.9999999995</v>
          </cell>
          <cell r="DF105">
            <v>2267448.7000000002</v>
          </cell>
          <cell r="DG105">
            <v>2302709.4</v>
          </cell>
          <cell r="DH105">
            <v>2364866.7000000002</v>
          </cell>
          <cell r="DI105">
            <v>2384394.9999999995</v>
          </cell>
          <cell r="DJ105">
            <v>2422811.5</v>
          </cell>
          <cell r="DK105">
            <v>2442147.6000000006</v>
          </cell>
          <cell r="DL105">
            <v>2471207.1999999993</v>
          </cell>
          <cell r="DM105">
            <v>2498528.9</v>
          </cell>
          <cell r="DN105">
            <v>2516952</v>
          </cell>
          <cell r="DO105">
            <v>2540551.4</v>
          </cell>
          <cell r="DP105">
            <v>2561362.7999999998</v>
          </cell>
          <cell r="DQ105">
            <v>2576055.7999999998</v>
          </cell>
          <cell r="DR105">
            <v>2615652.6999999997</v>
          </cell>
        </row>
      </sheetData>
      <sheetData sheetId="13">
        <row r="6">
          <cell r="DF6">
            <v>70597.899999999965</v>
          </cell>
          <cell r="DG6">
            <v>66926.899999999994</v>
          </cell>
          <cell r="DH6">
            <v>60266.999999999985</v>
          </cell>
          <cell r="DI6">
            <v>51691.999999999993</v>
          </cell>
          <cell r="DJ6">
            <v>46837.399999999987</v>
          </cell>
          <cell r="DK6">
            <v>44867.099999999984</v>
          </cell>
          <cell r="DL6">
            <v>43481.799999999981</v>
          </cell>
          <cell r="DM6">
            <v>42945.600000000006</v>
          </cell>
          <cell r="DN6">
            <v>44774.299999999981</v>
          </cell>
          <cell r="DO6">
            <v>45670.8</v>
          </cell>
          <cell r="DP6">
            <v>54090.099999999969</v>
          </cell>
          <cell r="DQ6">
            <v>59132.099999999991</v>
          </cell>
        </row>
        <row r="7">
          <cell r="DF7">
            <v>31721.5</v>
          </cell>
          <cell r="DG7">
            <v>29546.3</v>
          </cell>
          <cell r="DH7">
            <v>24198.5</v>
          </cell>
          <cell r="DI7">
            <v>17647.7</v>
          </cell>
          <cell r="DJ7">
            <v>14532.1</v>
          </cell>
          <cell r="DK7">
            <v>13207.5</v>
          </cell>
          <cell r="DL7">
            <v>12727.3</v>
          </cell>
          <cell r="DM7">
            <v>12297.8</v>
          </cell>
          <cell r="DN7">
            <v>13152.5</v>
          </cell>
          <cell r="DO7">
            <v>14272</v>
          </cell>
          <cell r="DP7">
            <v>17006</v>
          </cell>
          <cell r="DQ7">
            <v>20772</v>
          </cell>
        </row>
        <row r="10">
          <cell r="DF10">
            <v>13689.599999999995</v>
          </cell>
          <cell r="DG10">
            <v>13024.6</v>
          </cell>
          <cell r="DH10">
            <v>14587.299999999997</v>
          </cell>
          <cell r="DI10">
            <v>12552.6</v>
          </cell>
          <cell r="DJ10">
            <v>13098.999999999996</v>
          </cell>
          <cell r="DK10">
            <v>14242.599999999999</v>
          </cell>
          <cell r="DL10">
            <v>12917.200000000003</v>
          </cell>
          <cell r="DM10">
            <v>12994.099999999999</v>
          </cell>
          <cell r="DN10">
            <v>13602.3</v>
          </cell>
          <cell r="DO10">
            <v>12992.199999999999</v>
          </cell>
          <cell r="DP10">
            <v>15224.199999999995</v>
          </cell>
          <cell r="DQ10">
            <v>14908.699999999999</v>
          </cell>
        </row>
        <row r="11">
          <cell r="DF11">
            <v>4910.1000000000004</v>
          </cell>
          <cell r="DG11">
            <v>5136.3</v>
          </cell>
          <cell r="DH11">
            <v>61.6</v>
          </cell>
          <cell r="DI11">
            <v>5353.8</v>
          </cell>
          <cell r="DJ11">
            <v>5394.5</v>
          </cell>
          <cell r="DK11">
            <v>1428.1</v>
          </cell>
          <cell r="DL11">
            <v>5463.7</v>
          </cell>
          <cell r="DM11">
            <v>5491.3</v>
          </cell>
          <cell r="DN11">
            <v>3129.6000000000004</v>
          </cell>
          <cell r="DO11">
            <v>5551.3</v>
          </cell>
          <cell r="DP11">
            <v>5578.2</v>
          </cell>
          <cell r="DQ11">
            <v>-2290.5</v>
          </cell>
        </row>
        <row r="12">
          <cell r="DF12">
            <v>344.2</v>
          </cell>
          <cell r="DG12">
            <v>370.2</v>
          </cell>
          <cell r="DH12">
            <v>371.2</v>
          </cell>
          <cell r="DI12">
            <v>379.3</v>
          </cell>
          <cell r="DJ12">
            <v>380.7</v>
          </cell>
          <cell r="DK12">
            <v>572.9</v>
          </cell>
          <cell r="DL12">
            <v>589.5</v>
          </cell>
          <cell r="DM12">
            <v>600.6</v>
          </cell>
          <cell r="DN12">
            <v>601.4</v>
          </cell>
          <cell r="DO12">
            <v>602.29999999999995</v>
          </cell>
          <cell r="DP12">
            <v>602.9</v>
          </cell>
          <cell r="DQ12">
            <v>607.20000000000005</v>
          </cell>
        </row>
        <row r="13"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</row>
        <row r="14">
          <cell r="DF14">
            <v>83.3</v>
          </cell>
          <cell r="DG14">
            <v>83.3</v>
          </cell>
          <cell r="DH14">
            <v>83.3</v>
          </cell>
          <cell r="DI14">
            <v>83.3</v>
          </cell>
          <cell r="DJ14">
            <v>83.3</v>
          </cell>
          <cell r="DK14">
            <v>83.3</v>
          </cell>
          <cell r="DL14">
            <v>83.3</v>
          </cell>
          <cell r="DM14">
            <v>83.3</v>
          </cell>
          <cell r="DN14">
            <v>83.3</v>
          </cell>
          <cell r="DO14">
            <v>83.3</v>
          </cell>
          <cell r="DP14">
            <v>83.3</v>
          </cell>
          <cell r="DQ14">
            <v>83.3</v>
          </cell>
        </row>
        <row r="15">
          <cell r="DF15">
            <v>5276.1</v>
          </cell>
          <cell r="DG15">
            <v>5458.8</v>
          </cell>
          <cell r="DH15">
            <v>4974.2999999999993</v>
          </cell>
          <cell r="DI15">
            <v>4643.2</v>
          </cell>
          <cell r="DJ15">
            <v>4441.2</v>
          </cell>
          <cell r="DK15">
            <v>4296.0999999999995</v>
          </cell>
          <cell r="DL15">
            <v>3910.1999999999989</v>
          </cell>
          <cell r="DM15">
            <v>3928.0999999999995</v>
          </cell>
          <cell r="DN15">
            <v>3966.3000000000006</v>
          </cell>
          <cell r="DO15">
            <v>4209.5</v>
          </cell>
          <cell r="DP15">
            <v>4555.7</v>
          </cell>
          <cell r="DQ15">
            <v>5211.5</v>
          </cell>
        </row>
        <row r="20"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</row>
        <row r="21">
          <cell r="DF21">
            <v>178.7</v>
          </cell>
          <cell r="DG21">
            <v>282.5</v>
          </cell>
          <cell r="DH21">
            <v>222.7</v>
          </cell>
          <cell r="DI21">
            <v>351.6</v>
          </cell>
          <cell r="DJ21">
            <v>310</v>
          </cell>
          <cell r="DK21">
            <v>309.5</v>
          </cell>
          <cell r="DL21">
            <v>336.3</v>
          </cell>
          <cell r="DM21">
            <v>306</v>
          </cell>
          <cell r="DN21">
            <v>324.2</v>
          </cell>
          <cell r="DO21">
            <v>321.60000000000002</v>
          </cell>
          <cell r="DP21">
            <v>355</v>
          </cell>
          <cell r="DQ21">
            <v>566.6</v>
          </cell>
        </row>
        <row r="22">
          <cell r="DF22">
            <v>29.8</v>
          </cell>
          <cell r="DG22">
            <v>28.1</v>
          </cell>
          <cell r="DH22">
            <v>26.3</v>
          </cell>
          <cell r="DI22">
            <v>23.6</v>
          </cell>
          <cell r="DJ22">
            <v>21.7</v>
          </cell>
          <cell r="DK22">
            <v>20.5</v>
          </cell>
          <cell r="DL22">
            <v>20</v>
          </cell>
          <cell r="DM22">
            <v>20</v>
          </cell>
          <cell r="DN22">
            <v>21.8</v>
          </cell>
          <cell r="DO22">
            <v>24.2</v>
          </cell>
          <cell r="DP22">
            <v>26.2</v>
          </cell>
          <cell r="DQ22">
            <v>27.1</v>
          </cell>
        </row>
        <row r="23">
          <cell r="DF23">
            <v>41.3</v>
          </cell>
          <cell r="DG23">
            <v>41.3</v>
          </cell>
          <cell r="DH23">
            <v>41.3</v>
          </cell>
          <cell r="DI23">
            <v>41.3</v>
          </cell>
          <cell r="DJ23">
            <v>41.3</v>
          </cell>
          <cell r="DK23">
            <v>41.3</v>
          </cell>
          <cell r="DL23">
            <v>41.3</v>
          </cell>
          <cell r="DM23">
            <v>41.3</v>
          </cell>
          <cell r="DN23">
            <v>41.3</v>
          </cell>
          <cell r="DO23">
            <v>41.3</v>
          </cell>
          <cell r="DP23">
            <v>41.3</v>
          </cell>
          <cell r="DQ23">
            <v>41.3</v>
          </cell>
        </row>
        <row r="24"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</row>
        <row r="25">
          <cell r="DF25">
            <v>0</v>
          </cell>
          <cell r="DG25">
            <v>25</v>
          </cell>
          <cell r="DH25">
            <v>0</v>
          </cell>
          <cell r="DI25">
            <v>25</v>
          </cell>
          <cell r="DJ25">
            <v>0</v>
          </cell>
          <cell r="DK25">
            <v>0</v>
          </cell>
          <cell r="DL25">
            <v>30</v>
          </cell>
          <cell r="DM25">
            <v>0</v>
          </cell>
          <cell r="DN25">
            <v>0</v>
          </cell>
          <cell r="DO25">
            <v>32</v>
          </cell>
          <cell r="DP25">
            <v>0</v>
          </cell>
          <cell r="DQ25">
            <v>20</v>
          </cell>
        </row>
        <row r="26">
          <cell r="DF26">
            <v>331.1</v>
          </cell>
          <cell r="DG26">
            <v>337.5</v>
          </cell>
          <cell r="DH26">
            <v>356.6</v>
          </cell>
          <cell r="DI26">
            <v>425.8</v>
          </cell>
          <cell r="DJ26">
            <v>409.4</v>
          </cell>
          <cell r="DK26">
            <v>353.4</v>
          </cell>
          <cell r="DL26">
            <v>384.2</v>
          </cell>
          <cell r="DM26">
            <v>417.5</v>
          </cell>
          <cell r="DN26">
            <v>449.3</v>
          </cell>
          <cell r="DO26">
            <v>476.9</v>
          </cell>
          <cell r="DP26">
            <v>363</v>
          </cell>
          <cell r="DQ26">
            <v>242.3</v>
          </cell>
        </row>
        <row r="29"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3830</v>
          </cell>
          <cell r="DP29">
            <v>3830</v>
          </cell>
          <cell r="DQ29">
            <v>3830</v>
          </cell>
        </row>
        <row r="30"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1068.5083084570024</v>
          </cell>
          <cell r="DP30">
            <v>483.76355818643265</v>
          </cell>
          <cell r="DQ30">
            <v>471.97770471175136</v>
          </cell>
        </row>
        <row r="31"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</row>
        <row r="32">
          <cell r="DF32">
            <v>2498.6</v>
          </cell>
          <cell r="DG32">
            <v>2630.9</v>
          </cell>
          <cell r="DH32">
            <v>2736.5</v>
          </cell>
          <cell r="DI32">
            <v>2798.4</v>
          </cell>
          <cell r="DJ32">
            <v>2841.4</v>
          </cell>
          <cell r="DK32">
            <v>2878.8</v>
          </cell>
          <cell r="DL32">
            <v>2937.9</v>
          </cell>
          <cell r="DM32">
            <v>2963.3</v>
          </cell>
          <cell r="DN32">
            <v>2974</v>
          </cell>
          <cell r="DO32">
            <v>0</v>
          </cell>
          <cell r="DP32">
            <v>0</v>
          </cell>
          <cell r="DQ32">
            <v>0</v>
          </cell>
        </row>
        <row r="33">
          <cell r="DF33">
            <v>67.099999999999994</v>
          </cell>
          <cell r="DG33">
            <v>68.3</v>
          </cell>
          <cell r="DH33">
            <v>69.400000000000006</v>
          </cell>
          <cell r="DI33">
            <v>69.900000000000006</v>
          </cell>
          <cell r="DJ33">
            <v>69.5</v>
          </cell>
          <cell r="DK33">
            <v>67.899999999999991</v>
          </cell>
          <cell r="DL33">
            <v>65.8</v>
          </cell>
          <cell r="DM33">
            <v>63.1</v>
          </cell>
          <cell r="DN33">
            <v>62.2</v>
          </cell>
          <cell r="DO33">
            <v>61.9</v>
          </cell>
          <cell r="DP33">
            <v>61.7</v>
          </cell>
          <cell r="DQ33">
            <v>61.9</v>
          </cell>
        </row>
        <row r="34">
          <cell r="DF34">
            <v>-105.6</v>
          </cell>
          <cell r="DG34">
            <v>-107.6</v>
          </cell>
          <cell r="DH34">
            <v>-113.7</v>
          </cell>
          <cell r="DI34">
            <v>-135.80000000000001</v>
          </cell>
          <cell r="DJ34">
            <v>-130.5</v>
          </cell>
          <cell r="DK34">
            <v>-112.7</v>
          </cell>
          <cell r="DL34">
            <v>-122.5</v>
          </cell>
          <cell r="DM34">
            <v>-133.1</v>
          </cell>
          <cell r="DN34">
            <v>-143.30000000000001</v>
          </cell>
          <cell r="DO34">
            <v>-152.1</v>
          </cell>
          <cell r="DP34">
            <v>-115.7</v>
          </cell>
          <cell r="DQ34">
            <v>-77.3</v>
          </cell>
        </row>
        <row r="41">
          <cell r="DF41">
            <v>511.5</v>
          </cell>
          <cell r="DG41">
            <v>416.1</v>
          </cell>
          <cell r="DH41">
            <v>902.3</v>
          </cell>
          <cell r="DI41">
            <v>417.5</v>
          </cell>
          <cell r="DJ41">
            <v>466</v>
          </cell>
          <cell r="DK41">
            <v>248.6</v>
          </cell>
          <cell r="DL41">
            <v>484.5</v>
          </cell>
          <cell r="DM41">
            <v>498.7</v>
          </cell>
          <cell r="DN41">
            <v>507.4</v>
          </cell>
          <cell r="DO41">
            <v>513.20000000000005</v>
          </cell>
          <cell r="DP41">
            <v>472.2</v>
          </cell>
          <cell r="DQ41">
            <v>310.5</v>
          </cell>
        </row>
        <row r="42">
          <cell r="DF42">
            <v>-1579</v>
          </cell>
          <cell r="DG42">
            <v>1389.8</v>
          </cell>
          <cell r="DH42">
            <v>2867.6</v>
          </cell>
          <cell r="DI42">
            <v>1394.9</v>
          </cell>
          <cell r="DJ42">
            <v>1569.9</v>
          </cell>
          <cell r="DK42">
            <v>1794</v>
          </cell>
          <cell r="DL42">
            <v>1636.8</v>
          </cell>
          <cell r="DM42">
            <v>1687.8</v>
          </cell>
          <cell r="DN42">
            <v>1732.3</v>
          </cell>
          <cell r="DO42">
            <v>1740.4</v>
          </cell>
          <cell r="DP42">
            <v>1592.2</v>
          </cell>
          <cell r="DQ42">
            <v>1960.3</v>
          </cell>
        </row>
        <row r="43">
          <cell r="DF43">
            <v>3313.3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</row>
        <row r="46">
          <cell r="BJ46">
            <v>6617.6000000000131</v>
          </cell>
          <cell r="BK46">
            <v>5867.1999999999971</v>
          </cell>
          <cell r="BL46">
            <v>5496.5999999999976</v>
          </cell>
          <cell r="BM46">
            <v>5227.1999999999953</v>
          </cell>
          <cell r="BN46">
            <v>4583.8000000000038</v>
          </cell>
          <cell r="BO46">
            <v>3764.4999999999991</v>
          </cell>
          <cell r="BP46">
            <v>3058.5999999999972</v>
          </cell>
          <cell r="BQ46">
            <v>3842</v>
          </cell>
          <cell r="BR46">
            <v>3683.4000000000028</v>
          </cell>
          <cell r="BS46">
            <v>3425.5999999999963</v>
          </cell>
          <cell r="BT46">
            <v>4401.300000000002</v>
          </cell>
          <cell r="BU46">
            <v>4060.7999999999984</v>
          </cell>
          <cell r="BV46">
            <v>7675.4999999999955</v>
          </cell>
          <cell r="BW46">
            <v>5940.0999999999922</v>
          </cell>
          <cell r="BX46">
            <v>4844.599999999994</v>
          </cell>
          <cell r="BY46">
            <v>3711.3999999999978</v>
          </cell>
          <cell r="BZ46">
            <v>3608.0000000000146</v>
          </cell>
          <cell r="CA46">
            <v>3209.6999999999944</v>
          </cell>
          <cell r="CB46">
            <v>3095.2999999999938</v>
          </cell>
          <cell r="CC46">
            <v>3757.6000000000008</v>
          </cell>
          <cell r="CD46">
            <v>3415.699999999988</v>
          </cell>
          <cell r="CE46">
            <v>2946.4000000000115</v>
          </cell>
          <cell r="CF46">
            <v>5089.5999999999958</v>
          </cell>
          <cell r="CG46">
            <v>4619.7999999999811</v>
          </cell>
          <cell r="CH46">
            <v>11395.200000000012</v>
          </cell>
          <cell r="CI46">
            <v>8009.5999999999658</v>
          </cell>
          <cell r="CJ46">
            <v>7690.2999999999902</v>
          </cell>
          <cell r="CK46">
            <v>7693.6999999999889</v>
          </cell>
          <cell r="CL46">
            <v>5523.2999999999865</v>
          </cell>
          <cell r="CM46">
            <v>5442.2000000000053</v>
          </cell>
          <cell r="CN46">
            <v>4434.7000000000089</v>
          </cell>
          <cell r="CO46">
            <v>4768.0999999999876</v>
          </cell>
          <cell r="CP46">
            <v>5555.2999999999847</v>
          </cell>
          <cell r="CQ46">
            <v>5105.7999999999975</v>
          </cell>
          <cell r="CR46">
            <v>5800.3999999999814</v>
          </cell>
          <cell r="CS46">
            <v>5862.0999999999804</v>
          </cell>
          <cell r="CW46">
            <v>6709.1000000000058</v>
          </cell>
          <cell r="CX46">
            <v>6255.1999999999807</v>
          </cell>
          <cell r="CY46">
            <v>6658.299999999962</v>
          </cell>
          <cell r="CZ46">
            <v>4395.3999999999724</v>
          </cell>
          <cell r="DA46">
            <v>4562.4999999999982</v>
          </cell>
          <cell r="DB46">
            <v>7270.6000000000167</v>
          </cell>
          <cell r="DC46">
            <v>4803.6000000000149</v>
          </cell>
          <cell r="DD46">
            <v>5932.8999999999842</v>
          </cell>
          <cell r="DE46">
            <v>6107.2999999999865</v>
          </cell>
          <cell r="DF46">
            <v>9569.699999999968</v>
          </cell>
          <cell r="DG46">
            <v>8659.9999999999891</v>
          </cell>
          <cell r="DH46">
            <v>10800.399999999989</v>
          </cell>
          <cell r="DI46">
            <v>7004.0999999999867</v>
          </cell>
          <cell r="DJ46">
            <v>5310.1999999999916</v>
          </cell>
          <cell r="DK46">
            <v>6877.8999999999887</v>
          </cell>
          <cell r="DL46">
            <v>4422.9999999999791</v>
          </cell>
          <cell r="DM46">
            <v>4216.5000000000118</v>
          </cell>
          <cell r="DN46">
            <v>6262.2999999999802</v>
          </cell>
          <cell r="DO46">
            <v>3193.5916915430025</v>
          </cell>
          <cell r="DP46">
            <v>5800.6364418135418</v>
          </cell>
          <cell r="DQ46">
            <v>12584.922295288241</v>
          </cell>
        </row>
      </sheetData>
      <sheetData sheetId="14"/>
      <sheetData sheetId="15"/>
      <sheetData sheetId="16"/>
      <sheetData sheetId="17">
        <row r="76">
          <cell r="CT76">
            <v>8.9999999999999993E-3</v>
          </cell>
          <cell r="CU76">
            <v>8.9999999999999993E-3</v>
          </cell>
          <cell r="CV76">
            <v>8.9999999999999993E-3</v>
          </cell>
          <cell r="CW76">
            <v>1.2999999999999999E-2</v>
          </cell>
          <cell r="CX76">
            <v>1.2999999999999999E-2</v>
          </cell>
          <cell r="CY76">
            <v>1.7999999999999999E-2</v>
          </cell>
          <cell r="CZ76">
            <v>2.7E-2</v>
          </cell>
          <cell r="DA76">
            <v>3.9E-2</v>
          </cell>
          <cell r="DB76">
            <v>3.9E-2</v>
          </cell>
          <cell r="DC76">
            <v>4.3999999999999997E-2</v>
          </cell>
          <cell r="DD76">
            <v>4.3999999999999997E-2</v>
          </cell>
          <cell r="DE76">
            <v>4.3999999999999997E-2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">
          <cell r="A1" t="str">
            <v>BPC DOWNLOAD</v>
          </cell>
        </row>
        <row r="2">
          <cell r="A2" t="str">
            <v>2023 BUDGET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</row>
        <row r="4">
          <cell r="A4" t="str">
            <v>ACCOUNT</v>
          </cell>
          <cell r="B4" t="str">
            <v>DESCRIPTION</v>
          </cell>
          <cell r="C4" t="str">
            <v>JAN</v>
          </cell>
          <cell r="D4" t="str">
            <v>FEB</v>
          </cell>
          <cell r="E4" t="str">
            <v>MAR</v>
          </cell>
          <cell r="F4" t="str">
            <v>APR</v>
          </cell>
          <cell r="G4" t="str">
            <v>MAY</v>
          </cell>
          <cell r="H4" t="str">
            <v>JUN</v>
          </cell>
          <cell r="I4" t="str">
            <v xml:space="preserve"> JUL</v>
          </cell>
          <cell r="J4" t="str">
            <v xml:space="preserve"> AUG</v>
          </cell>
          <cell r="K4" t="str">
            <v xml:space="preserve"> SEP</v>
          </cell>
          <cell r="L4" t="str">
            <v>OCT</v>
          </cell>
          <cell r="M4" t="str">
            <v>NOV</v>
          </cell>
          <cell r="N4" t="str">
            <v>DEC</v>
          </cell>
        </row>
        <row r="5">
          <cell r="A5" t="str">
            <v>A_1010000</v>
          </cell>
          <cell r="B5" t="str">
            <v>Utility Plant in Service</v>
          </cell>
          <cell r="C5">
            <v>2419457455.4402099</v>
          </cell>
          <cell r="D5">
            <v>2440986711.8433599</v>
          </cell>
          <cell r="E5">
            <v>2461962267.8109798</v>
          </cell>
          <cell r="F5">
            <v>2483028791.4857998</v>
          </cell>
          <cell r="G5">
            <v>2498856063.0165</v>
          </cell>
          <cell r="H5">
            <v>2513356817.8747401</v>
          </cell>
          <cell r="I5">
            <v>2630172988.3744302</v>
          </cell>
          <cell r="J5">
            <v>2706718557.6707001</v>
          </cell>
          <cell r="K5">
            <v>2742984916.7855101</v>
          </cell>
          <cell r="L5">
            <v>2773771977.8524098</v>
          </cell>
          <cell r="M5">
            <v>2826079961.73313</v>
          </cell>
          <cell r="N5">
            <v>2855565607.96773</v>
          </cell>
        </row>
        <row r="6">
          <cell r="A6" t="str">
            <v>A_1040000</v>
          </cell>
          <cell r="B6" t="str">
            <v>Plant Leased to Others</v>
          </cell>
          <cell r="C6">
            <v>2527001.42</v>
          </cell>
          <cell r="D6">
            <v>38185713.420000002</v>
          </cell>
          <cell r="E6">
            <v>38185713.420000002</v>
          </cell>
          <cell r="F6">
            <v>38185713.420000002</v>
          </cell>
          <cell r="G6">
            <v>38185713.420000002</v>
          </cell>
          <cell r="H6">
            <v>38185713.420000002</v>
          </cell>
          <cell r="I6">
            <v>38185713.420000002</v>
          </cell>
          <cell r="J6">
            <v>38185713.420000002</v>
          </cell>
          <cell r="K6">
            <v>38185713.420000002</v>
          </cell>
          <cell r="L6">
            <v>38185713.420000002</v>
          </cell>
          <cell r="M6">
            <v>38185713.420000002</v>
          </cell>
          <cell r="N6">
            <v>38185713.420000002</v>
          </cell>
        </row>
        <row r="7">
          <cell r="A7" t="str">
            <v>A_1040001</v>
          </cell>
          <cell r="B7" t="str">
            <v>Plant Leased to Others - GAAP adj</v>
          </cell>
          <cell r="C7">
            <v>0</v>
          </cell>
          <cell r="D7">
            <v>-35658712</v>
          </cell>
          <cell r="E7">
            <v>-35658712</v>
          </cell>
          <cell r="F7">
            <v>-35658712</v>
          </cell>
          <cell r="G7">
            <v>-35658712</v>
          </cell>
          <cell r="H7">
            <v>-35658712</v>
          </cell>
          <cell r="I7">
            <v>-35658712</v>
          </cell>
          <cell r="J7">
            <v>-35658712</v>
          </cell>
          <cell r="K7">
            <v>-35658712</v>
          </cell>
          <cell r="L7">
            <v>-35658712</v>
          </cell>
          <cell r="M7">
            <v>-35658712</v>
          </cell>
          <cell r="N7">
            <v>-35658712</v>
          </cell>
        </row>
        <row r="8">
          <cell r="A8" t="str">
            <v>A_1050000</v>
          </cell>
          <cell r="B8" t="str">
            <v>Plant Held for Future Use</v>
          </cell>
          <cell r="C8">
            <v>1939551.55</v>
          </cell>
          <cell r="D8">
            <v>1939551.55</v>
          </cell>
          <cell r="E8">
            <v>1939551.55</v>
          </cell>
          <cell r="F8">
            <v>1939551.55</v>
          </cell>
          <cell r="G8">
            <v>1939551.55</v>
          </cell>
          <cell r="H8">
            <v>1939551.55</v>
          </cell>
          <cell r="I8">
            <v>1939551.55</v>
          </cell>
          <cell r="J8">
            <v>1939551.55</v>
          </cell>
          <cell r="K8">
            <v>1939551.55</v>
          </cell>
          <cell r="L8">
            <v>1939551.55</v>
          </cell>
          <cell r="M8">
            <v>1939551.55</v>
          </cell>
          <cell r="N8">
            <v>1939551.55</v>
          </cell>
        </row>
        <row r="9">
          <cell r="A9" t="str">
            <v>A_1060000</v>
          </cell>
          <cell r="B9" t="str">
            <v>Completed Construction not Classified</v>
          </cell>
          <cell r="C9">
            <v>390853128.28092498</v>
          </cell>
          <cell r="D9">
            <v>416203933.22956002</v>
          </cell>
          <cell r="E9">
            <v>426587191.05451298</v>
          </cell>
          <cell r="F9">
            <v>430267185.79060298</v>
          </cell>
          <cell r="G9">
            <v>467881371.54662102</v>
          </cell>
          <cell r="H9">
            <v>476392821.11932498</v>
          </cell>
          <cell r="I9">
            <v>377323123.91733998</v>
          </cell>
          <cell r="J9">
            <v>316951001.87189299</v>
          </cell>
          <cell r="K9">
            <v>297665919.33052897</v>
          </cell>
          <cell r="L9">
            <v>282664491.06535602</v>
          </cell>
          <cell r="M9">
            <v>305118224.24257201</v>
          </cell>
          <cell r="N9">
            <v>308931601.97251499</v>
          </cell>
        </row>
        <row r="10">
          <cell r="A10" t="str">
            <v>A_1070000</v>
          </cell>
          <cell r="B10" t="str">
            <v>Construction Work in Progress</v>
          </cell>
          <cell r="C10">
            <v>139895423.7723</v>
          </cell>
          <cell r="D10">
            <v>119553896.40696</v>
          </cell>
          <cell r="E10">
            <v>118095003.002992</v>
          </cell>
          <cell r="F10">
            <v>138120193.359799</v>
          </cell>
          <cell r="G10">
            <v>110979896.51796</v>
          </cell>
          <cell r="H10">
            <v>116583554.261592</v>
          </cell>
          <cell r="I10">
            <v>127625979.668319</v>
          </cell>
          <cell r="J10">
            <v>138177894.67566401</v>
          </cell>
          <cell r="K10">
            <v>145799820.88913301</v>
          </cell>
          <cell r="L10">
            <v>152661662.59782699</v>
          </cell>
          <cell r="M10">
            <v>98595873.887565494</v>
          </cell>
          <cell r="N10">
            <v>85626371.145513207</v>
          </cell>
        </row>
        <row r="11">
          <cell r="A11" t="str">
            <v>A_1080000</v>
          </cell>
          <cell r="B11" t="str">
            <v>Accumulated Provision for Depreciation</v>
          </cell>
          <cell r="C11">
            <v>-893099385.39290905</v>
          </cell>
          <cell r="D11">
            <v>-893497959.94987404</v>
          </cell>
          <cell r="E11">
            <v>-890594520.54082596</v>
          </cell>
          <cell r="F11">
            <v>-893477736.04692197</v>
          </cell>
          <cell r="G11">
            <v>-896905454.12889099</v>
          </cell>
          <cell r="H11">
            <v>-896606774.62880301</v>
          </cell>
          <cell r="I11">
            <v>-900569037.29326606</v>
          </cell>
          <cell r="J11">
            <v>-904587324.10690904</v>
          </cell>
          <cell r="K11">
            <v>-906199080.58648396</v>
          </cell>
          <cell r="L11">
            <v>-910329381.00625706</v>
          </cell>
          <cell r="M11">
            <v>-914516941.94146097</v>
          </cell>
          <cell r="N11">
            <v>-910495584.85173595</v>
          </cell>
        </row>
        <row r="12">
          <cell r="A12" t="str">
            <v>A_1080001</v>
          </cell>
          <cell r="B12" t="str">
            <v>Retirement Work in Progress</v>
          </cell>
          <cell r="C12">
            <v>21479304.420000002</v>
          </cell>
          <cell r="D12">
            <v>21479304.420000002</v>
          </cell>
          <cell r="E12">
            <v>21479304.420000002</v>
          </cell>
          <cell r="F12">
            <v>21479304.420000002</v>
          </cell>
          <cell r="G12">
            <v>21479304.420000002</v>
          </cell>
          <cell r="H12">
            <v>21479304.420000002</v>
          </cell>
          <cell r="I12">
            <v>21479304.420000002</v>
          </cell>
          <cell r="J12">
            <v>21479304.420000002</v>
          </cell>
          <cell r="K12">
            <v>21479304.420000002</v>
          </cell>
          <cell r="L12">
            <v>21479304.420000002</v>
          </cell>
          <cell r="M12">
            <v>21479304.420000002</v>
          </cell>
          <cell r="N12">
            <v>21479304.420000002</v>
          </cell>
        </row>
        <row r="13">
          <cell r="A13" t="str">
            <v>A_1080100</v>
          </cell>
          <cell r="B13" t="str">
            <v>Accumulated Reserve Cost of Removal - Current</v>
          </cell>
          <cell r="C13">
            <v>9881867.8680000007</v>
          </cell>
          <cell r="D13">
            <v>9906867.8680000007</v>
          </cell>
          <cell r="E13">
            <v>9931867.8680000007</v>
          </cell>
          <cell r="F13">
            <v>9956867.8680000007</v>
          </cell>
          <cell r="G13">
            <v>9981867.8680000007</v>
          </cell>
          <cell r="H13">
            <v>10006867.868000001</v>
          </cell>
          <cell r="I13">
            <v>10031867.868000001</v>
          </cell>
          <cell r="J13">
            <v>10056867.868000001</v>
          </cell>
          <cell r="K13">
            <v>10081867.868000001</v>
          </cell>
          <cell r="L13">
            <v>10106867.868000001</v>
          </cell>
          <cell r="M13">
            <v>10131867.868000001</v>
          </cell>
          <cell r="N13">
            <v>10156867.868000001</v>
          </cell>
        </row>
        <row r="14">
          <cell r="A14" t="str">
            <v>A_1080110</v>
          </cell>
          <cell r="B14" t="str">
            <v>Accum Reserve Cost of Removal Contra- Current</v>
          </cell>
          <cell r="C14">
            <v>9881867.8680000007</v>
          </cell>
          <cell r="D14">
            <v>9906867.8680000007</v>
          </cell>
          <cell r="E14">
            <v>9931867.8680000007</v>
          </cell>
          <cell r="F14">
            <v>9956867.8680000007</v>
          </cell>
          <cell r="G14">
            <v>9981867.8680000007</v>
          </cell>
          <cell r="H14">
            <v>10006867.868000001</v>
          </cell>
          <cell r="I14">
            <v>10031867.868000001</v>
          </cell>
          <cell r="J14">
            <v>10056867.868000001</v>
          </cell>
          <cell r="K14">
            <v>10081867.868000001</v>
          </cell>
          <cell r="L14">
            <v>10106867.868000001</v>
          </cell>
          <cell r="M14">
            <v>10131867.868000001</v>
          </cell>
          <cell r="N14">
            <v>10156867.868000001</v>
          </cell>
        </row>
        <row r="15">
          <cell r="A15" t="str">
            <v>A_1080200</v>
          </cell>
          <cell r="B15" t="str">
            <v>Accumulated Reserve Cost of Removal - Non-Current</v>
          </cell>
          <cell r="C15">
            <v>186677532.97799999</v>
          </cell>
          <cell r="D15">
            <v>186702532.97799999</v>
          </cell>
          <cell r="E15">
            <v>186727532.97799999</v>
          </cell>
          <cell r="F15">
            <v>186752532.97799999</v>
          </cell>
          <cell r="G15">
            <v>186777532.97799999</v>
          </cell>
          <cell r="H15">
            <v>186802532.97799999</v>
          </cell>
          <cell r="I15">
            <v>186827532.97799999</v>
          </cell>
          <cell r="J15">
            <v>186852532.97799999</v>
          </cell>
          <cell r="K15">
            <v>186877532.97799999</v>
          </cell>
          <cell r="L15">
            <v>186902532.97799999</v>
          </cell>
          <cell r="M15">
            <v>186927532.97799999</v>
          </cell>
          <cell r="N15">
            <v>186952532.97799999</v>
          </cell>
        </row>
        <row r="16">
          <cell r="A16" t="str">
            <v>A_1080210</v>
          </cell>
          <cell r="B16" t="str">
            <v>Accum Reserve Cost of Removal Contra- Non-Current</v>
          </cell>
          <cell r="C16">
            <v>186677532.97799999</v>
          </cell>
          <cell r="D16">
            <v>186702532.97799999</v>
          </cell>
          <cell r="E16">
            <v>186727532.97799999</v>
          </cell>
          <cell r="F16">
            <v>186752532.97799999</v>
          </cell>
          <cell r="G16">
            <v>186777532.97799999</v>
          </cell>
          <cell r="H16">
            <v>186802532.97799999</v>
          </cell>
          <cell r="I16">
            <v>186827532.97799999</v>
          </cell>
          <cell r="J16">
            <v>186852532.97799999</v>
          </cell>
          <cell r="K16">
            <v>186877532.97799999</v>
          </cell>
          <cell r="L16">
            <v>186902532.97799999</v>
          </cell>
          <cell r="M16">
            <v>186927532.97799999</v>
          </cell>
          <cell r="N16">
            <v>186952532.97799999</v>
          </cell>
        </row>
        <row r="17">
          <cell r="A17" t="str">
            <v>A_1080901</v>
          </cell>
          <cell r="B17" t="str">
            <v>Accumulated Provision for Depreciation - GAAP adj</v>
          </cell>
          <cell r="C17">
            <v>0</v>
          </cell>
          <cell r="D17">
            <v>0</v>
          </cell>
          <cell r="E17">
            <v>104083</v>
          </cell>
          <cell r="F17">
            <v>208166</v>
          </cell>
          <cell r="G17">
            <v>312249</v>
          </cell>
          <cell r="H17">
            <v>416332</v>
          </cell>
          <cell r="I17">
            <v>520415</v>
          </cell>
          <cell r="J17">
            <v>624498</v>
          </cell>
          <cell r="K17">
            <v>728581</v>
          </cell>
          <cell r="L17">
            <v>832664</v>
          </cell>
          <cell r="M17">
            <v>936747</v>
          </cell>
          <cell r="N17">
            <v>1040830</v>
          </cell>
        </row>
        <row r="18">
          <cell r="A18" t="str">
            <v>A_1140000</v>
          </cell>
          <cell r="B18" t="str">
            <v>Plant Acquisition Adjustments</v>
          </cell>
          <cell r="C18">
            <v>5031897.24</v>
          </cell>
          <cell r="D18">
            <v>5031897.24</v>
          </cell>
          <cell r="E18">
            <v>5031897.24</v>
          </cell>
          <cell r="F18">
            <v>5031897.24</v>
          </cell>
          <cell r="G18">
            <v>5031897.24</v>
          </cell>
          <cell r="H18">
            <v>5031897.24</v>
          </cell>
          <cell r="I18">
            <v>5031897.24</v>
          </cell>
          <cell r="J18">
            <v>5031897.24</v>
          </cell>
          <cell r="K18">
            <v>5031897.24</v>
          </cell>
          <cell r="L18">
            <v>5031897.24</v>
          </cell>
          <cell r="M18">
            <v>5031897.24</v>
          </cell>
          <cell r="N18">
            <v>5031897.24</v>
          </cell>
        </row>
        <row r="19">
          <cell r="A19" t="str">
            <v>A_1150000</v>
          </cell>
          <cell r="B19" t="str">
            <v>Accum Provision Amort Plant Acquisition Adjustment</v>
          </cell>
          <cell r="C19">
            <v>-5028152.9800000004</v>
          </cell>
          <cell r="D19">
            <v>-5028152.9800000004</v>
          </cell>
          <cell r="E19">
            <v>-5028152.9800000004</v>
          </cell>
          <cell r="F19">
            <v>-5028152.9800000004</v>
          </cell>
          <cell r="G19">
            <v>-5028152.9800000004</v>
          </cell>
          <cell r="H19">
            <v>-5028152.9800000004</v>
          </cell>
          <cell r="I19">
            <v>-5028152.9800000004</v>
          </cell>
          <cell r="J19">
            <v>-5028152.9800000004</v>
          </cell>
          <cell r="K19">
            <v>-5028152.9800000004</v>
          </cell>
          <cell r="L19">
            <v>-5028152.9800000004</v>
          </cell>
          <cell r="M19">
            <v>-5028152.9800000004</v>
          </cell>
          <cell r="N19">
            <v>-5028152.9800000004</v>
          </cell>
        </row>
        <row r="20">
          <cell r="A20" t="str">
            <v>A_1231000</v>
          </cell>
          <cell r="B20" t="str">
            <v>Investment in Subsidiary Companies</v>
          </cell>
          <cell r="C20">
            <v>1677158.3698954</v>
          </cell>
          <cell r="D20">
            <v>742715.15783499996</v>
          </cell>
          <cell r="E20">
            <v>965443.20618350001</v>
          </cell>
          <cell r="F20">
            <v>1317009.2355169</v>
          </cell>
          <cell r="G20">
            <v>942994.91663200001</v>
          </cell>
          <cell r="H20">
            <v>1252533.6811027001</v>
          </cell>
          <cell r="I20">
            <v>1588812.2276176999</v>
          </cell>
          <cell r="J20">
            <v>923773.89626880002</v>
          </cell>
          <cell r="K20">
            <v>1247995.0554466001</v>
          </cell>
          <cell r="L20">
            <v>1569602.623783</v>
          </cell>
          <cell r="M20">
            <v>958103.06255389994</v>
          </cell>
          <cell r="N20">
            <v>1524681.5505639999</v>
          </cell>
        </row>
        <row r="21">
          <cell r="A21" t="str">
            <v>A_1310990</v>
          </cell>
          <cell r="B21" t="str">
            <v>Cash - Miscellaneous Adjustments</v>
          </cell>
          <cell r="C21">
            <v>1000000</v>
          </cell>
          <cell r="D21">
            <v>1000000</v>
          </cell>
          <cell r="E21">
            <v>1000000</v>
          </cell>
          <cell r="F21">
            <v>1000000</v>
          </cell>
          <cell r="G21">
            <v>1000000</v>
          </cell>
          <cell r="H21">
            <v>1000000</v>
          </cell>
          <cell r="I21">
            <v>1000000</v>
          </cell>
          <cell r="J21">
            <v>1000000</v>
          </cell>
          <cell r="K21">
            <v>1000000</v>
          </cell>
          <cell r="L21">
            <v>1000000</v>
          </cell>
          <cell r="M21">
            <v>1000000</v>
          </cell>
          <cell r="N21">
            <v>1000000</v>
          </cell>
        </row>
        <row r="22">
          <cell r="A22" t="str">
            <v>A_1340200</v>
          </cell>
          <cell r="B22" t="str">
            <v>Other Special Deposits - Long-term</v>
          </cell>
          <cell r="C22">
            <v>25000</v>
          </cell>
          <cell r="D22">
            <v>25000</v>
          </cell>
          <cell r="E22">
            <v>25000</v>
          </cell>
          <cell r="F22">
            <v>25000</v>
          </cell>
          <cell r="G22">
            <v>25000</v>
          </cell>
          <cell r="H22">
            <v>25000</v>
          </cell>
          <cell r="I22">
            <v>25000</v>
          </cell>
          <cell r="J22">
            <v>25000</v>
          </cell>
          <cell r="K22">
            <v>25000</v>
          </cell>
          <cell r="L22">
            <v>25000</v>
          </cell>
          <cell r="M22">
            <v>25000</v>
          </cell>
          <cell r="N22">
            <v>25000</v>
          </cell>
        </row>
        <row r="23">
          <cell r="A23" t="str">
            <v>A_1350000</v>
          </cell>
          <cell r="B23" t="str">
            <v>Petty Cash USD</v>
          </cell>
          <cell r="C23">
            <v>3000</v>
          </cell>
          <cell r="D23">
            <v>3000</v>
          </cell>
          <cell r="E23">
            <v>3000</v>
          </cell>
          <cell r="F23">
            <v>3000</v>
          </cell>
          <cell r="G23">
            <v>3000</v>
          </cell>
          <cell r="H23">
            <v>3000</v>
          </cell>
          <cell r="I23">
            <v>3000</v>
          </cell>
          <cell r="J23">
            <v>3000</v>
          </cell>
          <cell r="K23">
            <v>3000</v>
          </cell>
          <cell r="L23">
            <v>3000</v>
          </cell>
          <cell r="M23">
            <v>3000</v>
          </cell>
          <cell r="N23">
            <v>3000</v>
          </cell>
        </row>
        <row r="24">
          <cell r="A24" t="str">
            <v>A_1420400</v>
          </cell>
          <cell r="B24" t="str">
            <v>AR - CRM (includes TEC-R) (RECON)</v>
          </cell>
          <cell r="C24">
            <v>42500000</v>
          </cell>
          <cell r="D24">
            <v>45800000</v>
          </cell>
          <cell r="E24">
            <v>37200000</v>
          </cell>
          <cell r="F24">
            <v>36200000</v>
          </cell>
          <cell r="G24">
            <v>33300000</v>
          </cell>
          <cell r="H24">
            <v>29900000</v>
          </cell>
          <cell r="I24">
            <v>29600000</v>
          </cell>
          <cell r="J24">
            <v>26800000</v>
          </cell>
          <cell r="K24">
            <v>29600000</v>
          </cell>
          <cell r="L24">
            <v>30000000</v>
          </cell>
          <cell r="M24">
            <v>30500000</v>
          </cell>
          <cell r="N24">
            <v>35800000</v>
          </cell>
        </row>
        <row r="25">
          <cell r="A25" t="str">
            <v>A_1420401</v>
          </cell>
          <cell r="B25" t="str">
            <v>AR - CRM (includes TEC-R) (Posting)</v>
          </cell>
          <cell r="C25">
            <v>-150000</v>
          </cell>
          <cell r="D25">
            <v>-150000</v>
          </cell>
          <cell r="E25">
            <v>-150000</v>
          </cell>
          <cell r="F25">
            <v>-150000</v>
          </cell>
          <cell r="G25">
            <v>-150000</v>
          </cell>
          <cell r="H25">
            <v>-150000</v>
          </cell>
          <cell r="I25">
            <v>-150000</v>
          </cell>
          <cell r="J25">
            <v>-150000</v>
          </cell>
          <cell r="K25">
            <v>-150000</v>
          </cell>
          <cell r="L25">
            <v>-150000</v>
          </cell>
          <cell r="M25">
            <v>-150000</v>
          </cell>
          <cell r="N25">
            <v>-150000</v>
          </cell>
        </row>
        <row r="26">
          <cell r="A26" t="str">
            <v>A_1420530</v>
          </cell>
          <cell r="B26" t="str">
            <v>AR CIS Unapplied Refunds - TEC-R</v>
          </cell>
          <cell r="C26">
            <v>70000</v>
          </cell>
          <cell r="D26">
            <v>70000</v>
          </cell>
          <cell r="E26">
            <v>70000</v>
          </cell>
          <cell r="F26">
            <v>70000</v>
          </cell>
          <cell r="G26">
            <v>70000</v>
          </cell>
          <cell r="H26">
            <v>70000</v>
          </cell>
          <cell r="I26">
            <v>70000</v>
          </cell>
          <cell r="J26">
            <v>70000</v>
          </cell>
          <cell r="K26">
            <v>70000</v>
          </cell>
          <cell r="L26">
            <v>70000</v>
          </cell>
          <cell r="M26">
            <v>70000</v>
          </cell>
          <cell r="N26">
            <v>70000</v>
          </cell>
        </row>
        <row r="27">
          <cell r="A27" t="str">
            <v>A_1420601</v>
          </cell>
          <cell r="B27" t="str">
            <v>AR Off System Sales - TEC-R (Posting)</v>
          </cell>
          <cell r="C27">
            <v>3000000</v>
          </cell>
          <cell r="D27">
            <v>3300000</v>
          </cell>
          <cell r="E27">
            <v>3900000</v>
          </cell>
          <cell r="F27">
            <v>2200000</v>
          </cell>
          <cell r="G27">
            <v>4500000</v>
          </cell>
          <cell r="H27">
            <v>4400000</v>
          </cell>
          <cell r="I27">
            <v>6200000</v>
          </cell>
          <cell r="J27">
            <v>6300000</v>
          </cell>
          <cell r="K27">
            <v>4000000</v>
          </cell>
          <cell r="L27">
            <v>3900000</v>
          </cell>
          <cell r="M27">
            <v>1900000</v>
          </cell>
          <cell r="N27">
            <v>2100000</v>
          </cell>
        </row>
        <row r="28">
          <cell r="A28" t="str">
            <v>A_1430000</v>
          </cell>
          <cell r="B28" t="str">
            <v>AR Misc Other (RECON)</v>
          </cell>
          <cell r="C28">
            <v>405410</v>
          </cell>
          <cell r="D28">
            <v>613160</v>
          </cell>
          <cell r="E28">
            <v>516840</v>
          </cell>
          <cell r="F28">
            <v>646620</v>
          </cell>
          <cell r="G28">
            <v>731830</v>
          </cell>
          <cell r="H28">
            <v>803680</v>
          </cell>
          <cell r="I28">
            <v>2049460</v>
          </cell>
          <cell r="J28">
            <v>739910</v>
          </cell>
          <cell r="K28">
            <v>726940</v>
          </cell>
          <cell r="L28">
            <v>445050</v>
          </cell>
          <cell r="M28">
            <v>747370</v>
          </cell>
          <cell r="N28">
            <v>565000</v>
          </cell>
        </row>
        <row r="29">
          <cell r="A29" t="str">
            <v>A_1430030</v>
          </cell>
          <cell r="B29" t="str">
            <v>AR - Employee Advances</v>
          </cell>
          <cell r="C29">
            <v>4210</v>
          </cell>
          <cell r="D29">
            <v>4210</v>
          </cell>
          <cell r="E29">
            <v>4210</v>
          </cell>
          <cell r="F29">
            <v>4210</v>
          </cell>
          <cell r="G29">
            <v>4210</v>
          </cell>
          <cell r="H29">
            <v>4070</v>
          </cell>
          <cell r="I29">
            <v>4070</v>
          </cell>
          <cell r="J29">
            <v>1710</v>
          </cell>
          <cell r="K29">
            <v>1710</v>
          </cell>
          <cell r="L29">
            <v>1710</v>
          </cell>
          <cell r="M29">
            <v>1710</v>
          </cell>
          <cell r="N29">
            <v>3540</v>
          </cell>
        </row>
        <row r="30">
          <cell r="A30" t="str">
            <v>A_1430036</v>
          </cell>
          <cell r="B30" t="str">
            <v>AR - Employee Personal Reimbursement Pcard Charge</v>
          </cell>
          <cell r="C30">
            <v>130</v>
          </cell>
          <cell r="D30">
            <v>130</v>
          </cell>
          <cell r="E30">
            <v>160</v>
          </cell>
          <cell r="F30">
            <v>160</v>
          </cell>
          <cell r="G30">
            <v>160</v>
          </cell>
          <cell r="H30">
            <v>160</v>
          </cell>
          <cell r="I30">
            <v>160</v>
          </cell>
          <cell r="J30">
            <v>60</v>
          </cell>
          <cell r="K30">
            <v>60</v>
          </cell>
          <cell r="L30">
            <v>60</v>
          </cell>
          <cell r="M30">
            <v>60</v>
          </cell>
          <cell r="N30">
            <v>80</v>
          </cell>
        </row>
        <row r="31">
          <cell r="A31" t="str">
            <v>A_1430040</v>
          </cell>
          <cell r="B31" t="str">
            <v>AR CRM Non-Utility (RECON)</v>
          </cell>
          <cell r="C31">
            <v>10000</v>
          </cell>
          <cell r="D31">
            <v>10000</v>
          </cell>
          <cell r="E31">
            <v>10000</v>
          </cell>
          <cell r="F31">
            <v>10000</v>
          </cell>
          <cell r="G31">
            <v>10000</v>
          </cell>
          <cell r="H31">
            <v>10000</v>
          </cell>
          <cell r="I31">
            <v>10000</v>
          </cell>
          <cell r="J31">
            <v>10000</v>
          </cell>
          <cell r="K31">
            <v>10000</v>
          </cell>
          <cell r="L31">
            <v>10000</v>
          </cell>
          <cell r="M31">
            <v>10000</v>
          </cell>
          <cell r="N31">
            <v>10000</v>
          </cell>
        </row>
        <row r="32">
          <cell r="A32" t="str">
            <v>A_1440000</v>
          </cell>
          <cell r="B32" t="str">
            <v>Accumulated Provision for Uncollectible Accounts</v>
          </cell>
          <cell r="C32">
            <v>-1473129.7656</v>
          </cell>
          <cell r="D32">
            <v>-1428935.8726319999</v>
          </cell>
          <cell r="E32">
            <v>-1386067.796453</v>
          </cell>
          <cell r="F32">
            <v>-1344485.7625595001</v>
          </cell>
          <cell r="G32">
            <v>-1304151.1896827</v>
          </cell>
          <cell r="H32">
            <v>-1265026.6539922</v>
          </cell>
          <cell r="I32">
            <v>-1227075.8543724001</v>
          </cell>
          <cell r="J32">
            <v>-1190263.5787412999</v>
          </cell>
          <cell r="K32">
            <v>-1154555.6713789999</v>
          </cell>
          <cell r="L32">
            <v>-1119919.0012376001</v>
          </cell>
          <cell r="M32">
            <v>-1086321.4312005001</v>
          </cell>
          <cell r="N32">
            <v>-1053731.7882645</v>
          </cell>
        </row>
        <row r="33">
          <cell r="A33" t="str">
            <v>A_1440001</v>
          </cell>
          <cell r="B33" t="str">
            <v>Accum Provision for Uncollectible Accts - CRM FF</v>
          </cell>
          <cell r="C33">
            <v>254170.35024259999</v>
          </cell>
          <cell r="D33">
            <v>257170.35024259999</v>
          </cell>
          <cell r="E33">
            <v>260170.35024259999</v>
          </cell>
          <cell r="F33">
            <v>263170.35024260002</v>
          </cell>
          <cell r="G33">
            <v>266170.35024260002</v>
          </cell>
          <cell r="H33">
            <v>269170.35024260002</v>
          </cell>
          <cell r="I33">
            <v>272170.35024260002</v>
          </cell>
          <cell r="J33">
            <v>275170.35024260002</v>
          </cell>
          <cell r="K33">
            <v>278170.35024260002</v>
          </cell>
          <cell r="L33">
            <v>281170.35024260002</v>
          </cell>
          <cell r="M33">
            <v>284170.35024260002</v>
          </cell>
          <cell r="N33">
            <v>287170.35024260002</v>
          </cell>
        </row>
        <row r="34">
          <cell r="A34" t="str">
            <v>A_1440002</v>
          </cell>
          <cell r="B34" t="str">
            <v>Accum Provision for Uncollectible Accts - CRM GRT</v>
          </cell>
          <cell r="C34">
            <v>118241.1515169</v>
          </cell>
          <cell r="D34">
            <v>119741.1515169</v>
          </cell>
          <cell r="E34">
            <v>121241.1515169</v>
          </cell>
          <cell r="F34">
            <v>122741.1515169</v>
          </cell>
          <cell r="G34">
            <v>124241.1515169</v>
          </cell>
          <cell r="H34">
            <v>125741.1515169</v>
          </cell>
          <cell r="I34">
            <v>127241.1515169</v>
          </cell>
          <cell r="J34">
            <v>128741.1515169</v>
          </cell>
          <cell r="K34">
            <v>130241.1515169</v>
          </cell>
          <cell r="L34">
            <v>131741.15151689999</v>
          </cell>
          <cell r="M34">
            <v>133241.15151689999</v>
          </cell>
          <cell r="N34">
            <v>134741.15151689999</v>
          </cell>
        </row>
        <row r="35">
          <cell r="A35" t="str">
            <v>A_1450711</v>
          </cell>
          <cell r="B35" t="str">
            <v>Notes Receivable - Intercompany - Current</v>
          </cell>
          <cell r="C35">
            <v>10135317.810000001</v>
          </cell>
          <cell r="D35">
            <v>10135317.810000001</v>
          </cell>
          <cell r="E35">
            <v>10135317.810000001</v>
          </cell>
          <cell r="F35">
            <v>10135317.810000001</v>
          </cell>
          <cell r="G35">
            <v>10135317.810000001</v>
          </cell>
          <cell r="H35">
            <v>10135317.810000001</v>
          </cell>
          <cell r="I35">
            <v>10135317.810000001</v>
          </cell>
          <cell r="J35">
            <v>10135317.810000001</v>
          </cell>
          <cell r="K35">
            <v>10135317.810000001</v>
          </cell>
          <cell r="L35">
            <v>10135317.810000001</v>
          </cell>
          <cell r="M35">
            <v>10135317.810000001</v>
          </cell>
          <cell r="N35">
            <v>10135317.810000001</v>
          </cell>
        </row>
        <row r="36">
          <cell r="A36" t="str">
            <v>A_1460700</v>
          </cell>
          <cell r="B36" t="str">
            <v>Trade Receivable-Intercompany (RECON)</v>
          </cell>
          <cell r="C36">
            <v>226705.18</v>
          </cell>
          <cell r="D36">
            <v>226705.18</v>
          </cell>
          <cell r="E36">
            <v>226705.18</v>
          </cell>
          <cell r="F36">
            <v>226705.18</v>
          </cell>
          <cell r="G36">
            <v>226705.18</v>
          </cell>
          <cell r="H36">
            <v>226705.18</v>
          </cell>
          <cell r="I36">
            <v>226705.18</v>
          </cell>
          <cell r="J36">
            <v>226705.18</v>
          </cell>
          <cell r="K36">
            <v>226705.18</v>
          </cell>
          <cell r="L36">
            <v>226705.18</v>
          </cell>
          <cell r="M36">
            <v>226705.18</v>
          </cell>
          <cell r="N36">
            <v>226705.18</v>
          </cell>
        </row>
        <row r="37">
          <cell r="A37" t="str">
            <v>A_1460701</v>
          </cell>
          <cell r="B37" t="str">
            <v>Trade Receivable-Intercompany (Posting)</v>
          </cell>
          <cell r="C37">
            <v>1993605.14</v>
          </cell>
          <cell r="D37">
            <v>1993605.14</v>
          </cell>
          <cell r="E37">
            <v>1993605.14</v>
          </cell>
          <cell r="F37">
            <v>1993605.14</v>
          </cell>
          <cell r="G37">
            <v>1993605.14</v>
          </cell>
          <cell r="H37">
            <v>1993605.14</v>
          </cell>
          <cell r="I37">
            <v>1993605.14</v>
          </cell>
          <cell r="J37">
            <v>1993605.14</v>
          </cell>
          <cell r="K37">
            <v>1993605.14</v>
          </cell>
          <cell r="L37">
            <v>1993605.14</v>
          </cell>
          <cell r="M37">
            <v>1993605.14</v>
          </cell>
          <cell r="N37">
            <v>1993605.14</v>
          </cell>
        </row>
        <row r="38">
          <cell r="A38" t="str">
            <v>A_1460706</v>
          </cell>
          <cell r="B38" t="str">
            <v>Trade Receivable-Interco-Emera Inc. E009</v>
          </cell>
          <cell r="C38">
            <v>10000</v>
          </cell>
          <cell r="D38">
            <v>10000</v>
          </cell>
          <cell r="E38">
            <v>10000</v>
          </cell>
          <cell r="F38">
            <v>10000</v>
          </cell>
          <cell r="G38">
            <v>10000</v>
          </cell>
          <cell r="H38">
            <v>10000</v>
          </cell>
          <cell r="I38">
            <v>10000</v>
          </cell>
          <cell r="J38">
            <v>10000</v>
          </cell>
          <cell r="K38">
            <v>10000</v>
          </cell>
          <cell r="L38">
            <v>10000</v>
          </cell>
          <cell r="M38">
            <v>10000</v>
          </cell>
          <cell r="N38">
            <v>10000</v>
          </cell>
        </row>
        <row r="39">
          <cell r="A39" t="str">
            <v>A_1460710</v>
          </cell>
          <cell r="B39" t="str">
            <v>Interest Receivable-Intercompany (RECON)</v>
          </cell>
          <cell r="C39">
            <v>39515.410000000003</v>
          </cell>
          <cell r="D39">
            <v>39515.410000000003</v>
          </cell>
          <cell r="E39">
            <v>39515.410000000003</v>
          </cell>
          <cell r="F39">
            <v>39515.410000000003</v>
          </cell>
          <cell r="G39">
            <v>39515.410000000003</v>
          </cell>
          <cell r="H39">
            <v>39515.410000000003</v>
          </cell>
          <cell r="I39">
            <v>39515.410000000003</v>
          </cell>
          <cell r="J39">
            <v>39515.410000000003</v>
          </cell>
          <cell r="K39">
            <v>39515.410000000003</v>
          </cell>
          <cell r="L39">
            <v>39515.410000000003</v>
          </cell>
          <cell r="M39">
            <v>39515.410000000003</v>
          </cell>
          <cell r="N39">
            <v>39515.410000000003</v>
          </cell>
        </row>
        <row r="40">
          <cell r="A40" t="str">
            <v>A_1460791</v>
          </cell>
          <cell r="B40" t="str">
            <v>Trade Receivable-Emera Intercompany (Posting)</v>
          </cell>
          <cell r="C40">
            <v>1547116.99</v>
          </cell>
          <cell r="D40">
            <v>1547116.99</v>
          </cell>
          <cell r="E40">
            <v>1547116.99</v>
          </cell>
          <cell r="F40">
            <v>1547116.99</v>
          </cell>
          <cell r="G40">
            <v>1547116.99</v>
          </cell>
          <cell r="H40">
            <v>1547116.99</v>
          </cell>
          <cell r="I40">
            <v>1547116.99</v>
          </cell>
          <cell r="J40">
            <v>1547116.99</v>
          </cell>
          <cell r="K40">
            <v>1547116.99</v>
          </cell>
          <cell r="L40">
            <v>1547116.99</v>
          </cell>
          <cell r="M40">
            <v>1547116.99</v>
          </cell>
          <cell r="N40">
            <v>1547116.99</v>
          </cell>
        </row>
        <row r="41">
          <cell r="A41" t="str">
            <v>A_1540000</v>
          </cell>
          <cell r="B41" t="str">
            <v>Plant Materials and Operating Supplies (RECON)</v>
          </cell>
          <cell r="C41">
            <v>4100000</v>
          </cell>
          <cell r="D41">
            <v>4100000</v>
          </cell>
          <cell r="E41">
            <v>4100000</v>
          </cell>
          <cell r="F41">
            <v>4100000</v>
          </cell>
          <cell r="G41">
            <v>4100000</v>
          </cell>
          <cell r="H41">
            <v>4100000</v>
          </cell>
          <cell r="I41">
            <v>4100000</v>
          </cell>
          <cell r="J41">
            <v>4100000</v>
          </cell>
          <cell r="K41">
            <v>4100000</v>
          </cell>
          <cell r="L41">
            <v>4100000</v>
          </cell>
          <cell r="M41">
            <v>4100000</v>
          </cell>
          <cell r="N41">
            <v>4100000</v>
          </cell>
        </row>
        <row r="42">
          <cell r="A42" t="str">
            <v>A_1641000</v>
          </cell>
          <cell r="B42" t="str">
            <v>Gas Stored - Current</v>
          </cell>
          <cell r="C42">
            <v>413689.47</v>
          </cell>
          <cell r="D42">
            <v>413689.47</v>
          </cell>
          <cell r="E42">
            <v>413689.47</v>
          </cell>
          <cell r="F42">
            <v>413689.47</v>
          </cell>
          <cell r="G42">
            <v>413689.47</v>
          </cell>
          <cell r="H42">
            <v>413689.47</v>
          </cell>
          <cell r="I42">
            <v>413689.47</v>
          </cell>
          <cell r="J42">
            <v>413689.47</v>
          </cell>
          <cell r="K42">
            <v>413689.47</v>
          </cell>
          <cell r="L42">
            <v>413689.47</v>
          </cell>
          <cell r="M42">
            <v>413689.47</v>
          </cell>
          <cell r="N42">
            <v>413689.47</v>
          </cell>
        </row>
        <row r="43">
          <cell r="A43" t="str">
            <v>A_1650040</v>
          </cell>
          <cell r="B43" t="str">
            <v>Prepaid Permits</v>
          </cell>
          <cell r="C43">
            <v>82000</v>
          </cell>
          <cell r="D43">
            <v>82000</v>
          </cell>
          <cell r="E43">
            <v>82000</v>
          </cell>
          <cell r="F43">
            <v>82000</v>
          </cell>
          <cell r="G43">
            <v>82000</v>
          </cell>
          <cell r="H43">
            <v>82000</v>
          </cell>
          <cell r="I43">
            <v>82000</v>
          </cell>
          <cell r="J43">
            <v>82000</v>
          </cell>
          <cell r="K43">
            <v>82000</v>
          </cell>
          <cell r="L43">
            <v>82000</v>
          </cell>
          <cell r="M43">
            <v>82000</v>
          </cell>
          <cell r="N43">
            <v>28700</v>
          </cell>
        </row>
        <row r="44">
          <cell r="A44" t="str">
            <v>A_1650599</v>
          </cell>
          <cell r="B44" t="str">
            <v>Prepaid Insurance - Other</v>
          </cell>
          <cell r="C44">
            <v>2209378.9670000002</v>
          </cell>
          <cell r="D44">
            <v>1677179.297</v>
          </cell>
          <cell r="E44">
            <v>1242825.8970000001</v>
          </cell>
          <cell r="F44">
            <v>707993.13699999999</v>
          </cell>
          <cell r="G44">
            <v>184057.076</v>
          </cell>
          <cell r="H44">
            <v>6443634.3786968999</v>
          </cell>
          <cell r="I44">
            <v>5843241.8086968996</v>
          </cell>
          <cell r="J44">
            <v>5381406.7346968995</v>
          </cell>
          <cell r="K44">
            <v>4776713.2446969002</v>
          </cell>
          <cell r="L44">
            <v>4177038.9396969001</v>
          </cell>
          <cell r="M44">
            <v>3572290.2996969</v>
          </cell>
          <cell r="N44">
            <v>2969344.4496968999</v>
          </cell>
        </row>
        <row r="45">
          <cell r="A45" t="str">
            <v>A_1650800</v>
          </cell>
          <cell r="B45" t="str">
            <v>Prepaid Miscellaneous</v>
          </cell>
          <cell r="C45">
            <v>1900000</v>
          </cell>
          <cell r="D45">
            <v>2400000</v>
          </cell>
          <cell r="E45">
            <v>1600000</v>
          </cell>
          <cell r="F45">
            <v>1800000</v>
          </cell>
          <cell r="G45">
            <v>1400000</v>
          </cell>
          <cell r="H45">
            <v>1200000</v>
          </cell>
          <cell r="I45">
            <v>1500000</v>
          </cell>
          <cell r="J45">
            <v>1300000</v>
          </cell>
          <cell r="K45">
            <v>1200000</v>
          </cell>
          <cell r="L45">
            <v>1100000</v>
          </cell>
          <cell r="M45">
            <v>1050000</v>
          </cell>
          <cell r="N45">
            <v>1000000</v>
          </cell>
        </row>
        <row r="46">
          <cell r="A46" t="str">
            <v>A_1720101</v>
          </cell>
          <cell r="B46" t="str">
            <v>Minimum Lease Payments Receivable Current-GAAP adj</v>
          </cell>
          <cell r="C46">
            <v>0</v>
          </cell>
          <cell r="D46">
            <v>4017816</v>
          </cell>
          <cell r="E46">
            <v>4017816</v>
          </cell>
          <cell r="F46">
            <v>4017816</v>
          </cell>
          <cell r="G46">
            <v>4017816</v>
          </cell>
          <cell r="H46">
            <v>4017816</v>
          </cell>
          <cell r="I46">
            <v>4017816</v>
          </cell>
          <cell r="J46">
            <v>4017816</v>
          </cell>
          <cell r="K46">
            <v>4017816</v>
          </cell>
          <cell r="L46">
            <v>4017816</v>
          </cell>
          <cell r="M46">
            <v>4017816</v>
          </cell>
          <cell r="N46">
            <v>4017816</v>
          </cell>
        </row>
        <row r="47">
          <cell r="A47" t="str">
            <v>A_1720201</v>
          </cell>
          <cell r="B47" t="str">
            <v>Minimum Lease Payments Receivable NonCurr-GAAP adj</v>
          </cell>
          <cell r="C47">
            <v>0</v>
          </cell>
          <cell r="D47">
            <v>56249424</v>
          </cell>
          <cell r="E47">
            <v>55914606</v>
          </cell>
          <cell r="F47">
            <v>55579788</v>
          </cell>
          <cell r="G47">
            <v>55244970</v>
          </cell>
          <cell r="H47">
            <v>54910152</v>
          </cell>
          <cell r="I47">
            <v>54575334</v>
          </cell>
          <cell r="J47">
            <v>54240516</v>
          </cell>
          <cell r="K47">
            <v>53905698</v>
          </cell>
          <cell r="L47">
            <v>53570880</v>
          </cell>
          <cell r="M47">
            <v>53236062</v>
          </cell>
          <cell r="N47">
            <v>52901244</v>
          </cell>
        </row>
        <row r="48">
          <cell r="A48" t="str">
            <v>A_1720202</v>
          </cell>
          <cell r="B48" t="str">
            <v>Lease contra-Unearned Interest Rev-GAAP adj</v>
          </cell>
          <cell r="C48">
            <v>0</v>
          </cell>
          <cell r="D48">
            <v>-24608528.460000001</v>
          </cell>
          <cell r="E48">
            <v>-24379439.166442901</v>
          </cell>
          <cell r="F48">
            <v>-24151029.1266676</v>
          </cell>
          <cell r="G48">
            <v>-23923302.7045382</v>
          </cell>
          <cell r="H48">
            <v>-23696264.291954201</v>
          </cell>
          <cell r="I48">
            <v>-23469918.3090312</v>
          </cell>
          <cell r="J48">
            <v>-23244269.204281598</v>
          </cell>
          <cell r="K48">
            <v>-23019321.454797201</v>
          </cell>
          <cell r="L48">
            <v>-22795079.566433098</v>
          </cell>
          <cell r="M48">
            <v>-22571548.073991999</v>
          </cell>
          <cell r="N48">
            <v>-22348731.541410599</v>
          </cell>
        </row>
        <row r="49">
          <cell r="A49" t="str">
            <v>A_1730100</v>
          </cell>
          <cell r="B49" t="str">
            <v>Accrued Utility Revenues - Current</v>
          </cell>
          <cell r="C49">
            <v>21400000</v>
          </cell>
          <cell r="D49">
            <v>19000000</v>
          </cell>
          <cell r="E49">
            <v>17800000</v>
          </cell>
          <cell r="F49">
            <v>17000000</v>
          </cell>
          <cell r="G49">
            <v>15100000</v>
          </cell>
          <cell r="H49">
            <v>13700000</v>
          </cell>
          <cell r="I49">
            <v>13000000</v>
          </cell>
          <cell r="J49">
            <v>13500000</v>
          </cell>
          <cell r="K49">
            <v>13300000</v>
          </cell>
          <cell r="L49">
            <v>14500000</v>
          </cell>
          <cell r="M49">
            <v>14300000</v>
          </cell>
          <cell r="N49">
            <v>17200000</v>
          </cell>
        </row>
        <row r="50">
          <cell r="A50" t="str">
            <v>A_1823040</v>
          </cell>
          <cell r="B50" t="str">
            <v>Oth Reg Asset-Conservation Clause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177098</v>
          </cell>
          <cell r="K50">
            <v>816638</v>
          </cell>
          <cell r="L50">
            <v>1482222</v>
          </cell>
          <cell r="M50">
            <v>1950789</v>
          </cell>
          <cell r="N50">
            <v>1968123</v>
          </cell>
        </row>
        <row r="51">
          <cell r="A51" t="str">
            <v>A_1823070</v>
          </cell>
          <cell r="B51" t="str">
            <v>Oth Reg Asset-Competitive Rate Adjustment Clause</v>
          </cell>
          <cell r="C51">
            <v>3500000</v>
          </cell>
          <cell r="D51">
            <v>3300000</v>
          </cell>
          <cell r="E51">
            <v>3200000</v>
          </cell>
          <cell r="F51">
            <v>3250000</v>
          </cell>
          <cell r="G51">
            <v>3300000</v>
          </cell>
          <cell r="H51">
            <v>3350000</v>
          </cell>
          <cell r="I51">
            <v>3375000</v>
          </cell>
          <cell r="J51">
            <v>3375000</v>
          </cell>
          <cell r="K51">
            <v>3375000</v>
          </cell>
          <cell r="L51">
            <v>3675000</v>
          </cell>
          <cell r="M51">
            <v>3600000</v>
          </cell>
          <cell r="N51">
            <v>3550000</v>
          </cell>
        </row>
        <row r="52">
          <cell r="A52" t="str">
            <v>A_1823071</v>
          </cell>
          <cell r="B52" t="str">
            <v>Oth Reg Asset-Cast Iron Bare Steel Replacem Rider</v>
          </cell>
          <cell r="C52">
            <v>361833.11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A_1823100</v>
          </cell>
          <cell r="B53" t="str">
            <v>Oth Reg Asset-FAS 158 Benefit Current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-1143400</v>
          </cell>
          <cell r="I53">
            <v>-1143400</v>
          </cell>
          <cell r="J53">
            <v>-1143400</v>
          </cell>
          <cell r="K53">
            <v>-1143400</v>
          </cell>
          <cell r="L53">
            <v>-1143400</v>
          </cell>
          <cell r="M53">
            <v>-1143400</v>
          </cell>
          <cell r="N53">
            <v>0</v>
          </cell>
        </row>
        <row r="54">
          <cell r="A54" t="str">
            <v>A_1823102</v>
          </cell>
          <cell r="B54" t="str">
            <v>Oth Reg Asset-Rate Case Expense Current</v>
          </cell>
          <cell r="C54">
            <v>388200</v>
          </cell>
          <cell r="D54">
            <v>352900</v>
          </cell>
          <cell r="E54">
            <v>317600</v>
          </cell>
          <cell r="F54">
            <v>282300</v>
          </cell>
          <cell r="G54">
            <v>247000</v>
          </cell>
          <cell r="H54">
            <v>211700</v>
          </cell>
          <cell r="I54">
            <v>176400</v>
          </cell>
          <cell r="J54">
            <v>141100</v>
          </cell>
          <cell r="K54">
            <v>105800</v>
          </cell>
          <cell r="L54">
            <v>70500</v>
          </cell>
          <cell r="M54">
            <v>35200</v>
          </cell>
          <cell r="N54">
            <v>523479</v>
          </cell>
        </row>
        <row r="55">
          <cell r="A55" t="str">
            <v>A_1823113</v>
          </cell>
          <cell r="B55" t="str">
            <v>Accum Provision for Property Insurance-Debit-Curr</v>
          </cell>
          <cell r="C55">
            <v>714970.36</v>
          </cell>
          <cell r="D55">
            <v>683303.69</v>
          </cell>
          <cell r="E55">
            <v>651637.02</v>
          </cell>
          <cell r="F55">
            <v>619970.35</v>
          </cell>
          <cell r="G55">
            <v>588303.68000000005</v>
          </cell>
          <cell r="H55">
            <v>556637.01</v>
          </cell>
          <cell r="I55">
            <v>524970.34</v>
          </cell>
          <cell r="J55">
            <v>493303.67</v>
          </cell>
          <cell r="K55">
            <v>461637</v>
          </cell>
          <cell r="L55">
            <v>429970.33</v>
          </cell>
          <cell r="M55">
            <v>398303.66</v>
          </cell>
          <cell r="N55">
            <v>366636.99</v>
          </cell>
        </row>
        <row r="56">
          <cell r="A56" t="str">
            <v>A_1823200</v>
          </cell>
          <cell r="B56" t="str">
            <v>Oth Reg Asset-FAS 158 Benefit Non-Current</v>
          </cell>
          <cell r="C56">
            <v>25456900</v>
          </cell>
          <cell r="D56">
            <v>25456900</v>
          </cell>
          <cell r="E56">
            <v>24902600</v>
          </cell>
          <cell r="F56">
            <v>24902600</v>
          </cell>
          <cell r="G56">
            <v>24902600</v>
          </cell>
          <cell r="H56">
            <v>24338000</v>
          </cell>
          <cell r="I56">
            <v>24338000</v>
          </cell>
          <cell r="J56">
            <v>24338000</v>
          </cell>
          <cell r="K56">
            <v>23778600</v>
          </cell>
          <cell r="L56">
            <v>23778600</v>
          </cell>
          <cell r="M56">
            <v>23778600</v>
          </cell>
          <cell r="N56">
            <v>30211300</v>
          </cell>
        </row>
        <row r="57">
          <cell r="A57" t="str">
            <v>A_1823202</v>
          </cell>
          <cell r="B57" t="str">
            <v>Oth Reg Asset-Rate Case Expense Non-Current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1046958</v>
          </cell>
        </row>
        <row r="58">
          <cell r="A58" t="str">
            <v>A_1823208</v>
          </cell>
          <cell r="B58" t="str">
            <v>Oth Reg Asset-Deft Loss Prop Sales Non-Current</v>
          </cell>
          <cell r="C58">
            <v>67134.710000000006</v>
          </cell>
          <cell r="D58">
            <v>61969.42</v>
          </cell>
          <cell r="E58">
            <v>56804.13</v>
          </cell>
          <cell r="F58">
            <v>51638.84</v>
          </cell>
          <cell r="G58">
            <v>46473.55</v>
          </cell>
          <cell r="H58">
            <v>41308.26</v>
          </cell>
          <cell r="I58">
            <v>36142.97</v>
          </cell>
          <cell r="J58">
            <v>30977.68</v>
          </cell>
          <cell r="K58">
            <v>25812.39</v>
          </cell>
          <cell r="L58">
            <v>20647.099999999999</v>
          </cell>
          <cell r="M58">
            <v>15481.81</v>
          </cell>
          <cell r="N58">
            <v>10316.52</v>
          </cell>
        </row>
        <row r="59">
          <cell r="A59" t="str">
            <v>A_1823210</v>
          </cell>
          <cell r="B59" t="str">
            <v>Oth Reg Asset-Non-Capital SW Project Costs NC</v>
          </cell>
          <cell r="C59">
            <v>723017.65</v>
          </cell>
          <cell r="D59">
            <v>723017.65</v>
          </cell>
          <cell r="E59">
            <v>710967.38500000001</v>
          </cell>
          <cell r="F59">
            <v>698917.12</v>
          </cell>
          <cell r="G59">
            <v>686866.85499999998</v>
          </cell>
          <cell r="H59">
            <v>674816.59</v>
          </cell>
          <cell r="I59">
            <v>662766.32499999995</v>
          </cell>
          <cell r="J59">
            <v>650716.06000000006</v>
          </cell>
          <cell r="K59">
            <v>638665.79500000004</v>
          </cell>
          <cell r="L59">
            <v>626615.53</v>
          </cell>
          <cell r="M59">
            <v>614565.26500000001</v>
          </cell>
          <cell r="N59">
            <v>602515</v>
          </cell>
        </row>
        <row r="60">
          <cell r="A60" t="str">
            <v>A_1823245</v>
          </cell>
          <cell r="B60" t="str">
            <v>Oth Reg Assest-Evniromental Remediation cost NC</v>
          </cell>
          <cell r="C60">
            <v>6567523.5300000003</v>
          </cell>
          <cell r="D60">
            <v>6542523.5300000003</v>
          </cell>
          <cell r="E60">
            <v>6517523.5300000003</v>
          </cell>
          <cell r="F60">
            <v>6492523.5300000003</v>
          </cell>
          <cell r="G60">
            <v>6467523.5300000003</v>
          </cell>
          <cell r="H60">
            <v>6442523.5300000003</v>
          </cell>
          <cell r="I60">
            <v>6417523.5300000003</v>
          </cell>
          <cell r="J60">
            <v>6392523.5300000003</v>
          </cell>
          <cell r="K60">
            <v>6367523.5300000003</v>
          </cell>
          <cell r="L60">
            <v>6342523.5300000003</v>
          </cell>
          <cell r="M60">
            <v>6317523.5300000003</v>
          </cell>
          <cell r="N60">
            <v>6292523.5300000003</v>
          </cell>
        </row>
        <row r="61">
          <cell r="A61" t="str">
            <v>A_1823331</v>
          </cell>
          <cell r="B61" t="str">
            <v>Oth Reg Asset-TIMP Accrual - Current</v>
          </cell>
          <cell r="C61">
            <v>305604.65666660003</v>
          </cell>
          <cell r="D61">
            <v>318815.07333320001</v>
          </cell>
          <cell r="E61">
            <v>332025.48999989999</v>
          </cell>
          <cell r="F61">
            <v>345235.90666650003</v>
          </cell>
          <cell r="G61">
            <v>358446.32333320001</v>
          </cell>
          <cell r="H61">
            <v>371656.73999989999</v>
          </cell>
          <cell r="I61">
            <v>384867.15666650003</v>
          </cell>
          <cell r="J61">
            <v>398077.57333320001</v>
          </cell>
          <cell r="K61">
            <v>411287.98999979999</v>
          </cell>
          <cell r="L61">
            <v>424498.40666650003</v>
          </cell>
          <cell r="M61">
            <v>437708.82333310001</v>
          </cell>
          <cell r="N61">
            <v>450919.23999979999</v>
          </cell>
        </row>
        <row r="62">
          <cell r="A62" t="str">
            <v>A_1823340</v>
          </cell>
          <cell r="B62" t="str">
            <v>Oth Reg Asset-Environmental Remediation</v>
          </cell>
          <cell r="C62">
            <v>12618620</v>
          </cell>
          <cell r="D62">
            <v>12618620</v>
          </cell>
          <cell r="E62">
            <v>12618620</v>
          </cell>
          <cell r="F62">
            <v>12618620</v>
          </cell>
          <cell r="G62">
            <v>12618620</v>
          </cell>
          <cell r="H62">
            <v>12618620</v>
          </cell>
          <cell r="I62">
            <v>12618620</v>
          </cell>
          <cell r="J62">
            <v>12618620</v>
          </cell>
          <cell r="K62">
            <v>12618620</v>
          </cell>
          <cell r="L62">
            <v>12618620</v>
          </cell>
          <cell r="M62">
            <v>12618620</v>
          </cell>
          <cell r="N62">
            <v>11000000</v>
          </cell>
        </row>
        <row r="63">
          <cell r="A63" t="str">
            <v>A_1823345</v>
          </cell>
          <cell r="B63" t="str">
            <v>Oth Reg Asset-Environmental Remediation Costs</v>
          </cell>
          <cell r="C63">
            <v>1000000</v>
          </cell>
          <cell r="D63">
            <v>1000000</v>
          </cell>
          <cell r="E63">
            <v>1000000</v>
          </cell>
          <cell r="F63">
            <v>1000000</v>
          </cell>
          <cell r="G63">
            <v>1000000</v>
          </cell>
          <cell r="H63">
            <v>1000000</v>
          </cell>
          <cell r="I63">
            <v>1000000</v>
          </cell>
          <cell r="J63">
            <v>1000000</v>
          </cell>
          <cell r="K63">
            <v>1000000</v>
          </cell>
          <cell r="L63">
            <v>1000000</v>
          </cell>
          <cell r="M63">
            <v>1000000</v>
          </cell>
          <cell r="N63">
            <v>1000000</v>
          </cell>
        </row>
        <row r="64">
          <cell r="A64" t="str">
            <v>A_1823610</v>
          </cell>
          <cell r="B64" t="str">
            <v>Oth Reg Asset-FAS 109 Income Tax</v>
          </cell>
          <cell r="C64">
            <v>3982994.41</v>
          </cell>
          <cell r="D64">
            <v>4092621.35</v>
          </cell>
          <cell r="E64">
            <v>4208725.5199999996</v>
          </cell>
          <cell r="F64">
            <v>4348327.51</v>
          </cell>
          <cell r="G64">
            <v>4482352.63</v>
          </cell>
          <cell r="H64">
            <v>4597369.74</v>
          </cell>
          <cell r="I64">
            <v>4722849.43</v>
          </cell>
          <cell r="J64">
            <v>4859643.08</v>
          </cell>
          <cell r="K64">
            <v>5007232.3899999997</v>
          </cell>
          <cell r="L64">
            <v>5164184.26</v>
          </cell>
          <cell r="M64">
            <v>5282453.0599999996</v>
          </cell>
          <cell r="N64">
            <v>5359757.72</v>
          </cell>
        </row>
        <row r="65">
          <cell r="A65" t="str">
            <v>A_1823612</v>
          </cell>
          <cell r="B65" t="str">
            <v>Oth Reg Asset-Deferred Tax Reform Impact Current</v>
          </cell>
          <cell r="C65">
            <v>97233.904879299997</v>
          </cell>
          <cell r="D65">
            <v>194467.80975849999</v>
          </cell>
          <cell r="E65">
            <v>291701.7146378</v>
          </cell>
          <cell r="F65">
            <v>388935.61951699998</v>
          </cell>
          <cell r="G65">
            <v>486169.52439630002</v>
          </cell>
          <cell r="H65">
            <v>583403.42927550001</v>
          </cell>
          <cell r="I65">
            <v>680637.33415480005</v>
          </cell>
          <cell r="J65">
            <v>777871.23903399997</v>
          </cell>
          <cell r="K65">
            <v>875105.14391330001</v>
          </cell>
          <cell r="L65">
            <v>972339.04879250005</v>
          </cell>
          <cell r="M65">
            <v>1069572.9536718</v>
          </cell>
          <cell r="N65">
            <v>1166806.858551</v>
          </cell>
        </row>
        <row r="66">
          <cell r="A66" t="str">
            <v>A_1860020</v>
          </cell>
          <cell r="B66" t="str">
            <v>Deferred Debits - SERP Trust</v>
          </cell>
          <cell r="C66">
            <v>1474890</v>
          </cell>
          <cell r="D66">
            <v>1274890</v>
          </cell>
          <cell r="E66">
            <v>1274890</v>
          </cell>
          <cell r="F66">
            <v>1274890</v>
          </cell>
          <cell r="G66">
            <v>1274890</v>
          </cell>
          <cell r="H66">
            <v>1274890</v>
          </cell>
          <cell r="I66">
            <v>1274890</v>
          </cell>
          <cell r="J66">
            <v>1274890</v>
          </cell>
          <cell r="K66">
            <v>1274890</v>
          </cell>
          <cell r="L66">
            <v>1274890</v>
          </cell>
          <cell r="M66">
            <v>1274890</v>
          </cell>
          <cell r="N66">
            <v>1274890</v>
          </cell>
        </row>
        <row r="67">
          <cell r="A67" t="str">
            <v>A_1860800</v>
          </cell>
          <cell r="B67" t="str">
            <v>Deferred Debits - Other</v>
          </cell>
          <cell r="C67">
            <v>1877639.16</v>
          </cell>
          <cell r="D67">
            <v>1885578.32</v>
          </cell>
          <cell r="E67">
            <v>1893517.48</v>
          </cell>
          <cell r="F67">
            <v>1932865.38</v>
          </cell>
          <cell r="G67">
            <v>1972213.28</v>
          </cell>
          <cell r="H67">
            <v>2011561.18</v>
          </cell>
          <cell r="I67">
            <v>2071848.24</v>
          </cell>
          <cell r="J67">
            <v>2163544.04</v>
          </cell>
          <cell r="K67">
            <v>2359935.64</v>
          </cell>
          <cell r="L67">
            <v>2556327.2400000002</v>
          </cell>
          <cell r="M67">
            <v>2668962.2000000002</v>
          </cell>
          <cell r="N67">
            <v>1713700</v>
          </cell>
        </row>
        <row r="68">
          <cell r="A68" t="str">
            <v>A_1900300</v>
          </cell>
          <cell r="B68" t="str">
            <v>Deferred Tax Asset - Federal</v>
          </cell>
          <cell r="C68">
            <v>37501871.549999997</v>
          </cell>
          <cell r="D68">
            <v>37887070.119999997</v>
          </cell>
          <cell r="E68">
            <v>36524636.859999999</v>
          </cell>
          <cell r="F68">
            <v>36794596.93</v>
          </cell>
          <cell r="G68">
            <v>36972405.57</v>
          </cell>
          <cell r="H68">
            <v>37204124.509999998</v>
          </cell>
          <cell r="I68">
            <v>37331886.409999996</v>
          </cell>
          <cell r="J68">
            <v>37419467.969999999</v>
          </cell>
          <cell r="K68">
            <v>37608832.329999998</v>
          </cell>
          <cell r="L68">
            <v>37687990.659999996</v>
          </cell>
          <cell r="M68">
            <v>37837780.509999998</v>
          </cell>
          <cell r="N68">
            <v>38190302.939999998</v>
          </cell>
        </row>
        <row r="69">
          <cell r="A69" t="str">
            <v>A_1900303</v>
          </cell>
          <cell r="B69" t="str">
            <v>DTA Separate Company - Federal</v>
          </cell>
          <cell r="C69">
            <v>3685535.11</v>
          </cell>
          <cell r="D69">
            <v>3685535.11</v>
          </cell>
          <cell r="E69">
            <v>3685535.11</v>
          </cell>
          <cell r="F69">
            <v>3685535.11</v>
          </cell>
          <cell r="G69">
            <v>3685535.11</v>
          </cell>
          <cell r="H69">
            <v>3685535.11</v>
          </cell>
          <cell r="I69">
            <v>3685535.11</v>
          </cell>
          <cell r="J69">
            <v>3685535.11</v>
          </cell>
          <cell r="K69">
            <v>3685535.11</v>
          </cell>
          <cell r="L69">
            <v>3685535.11</v>
          </cell>
          <cell r="M69">
            <v>3685535.11</v>
          </cell>
          <cell r="N69">
            <v>3685535.11</v>
          </cell>
        </row>
        <row r="70">
          <cell r="A70" t="str">
            <v>A_1900305</v>
          </cell>
          <cell r="B70" t="str">
            <v>Deferred Tax Asset - Federal Non Utility</v>
          </cell>
          <cell r="C70">
            <v>-47.55</v>
          </cell>
          <cell r="D70">
            <v>-47.55</v>
          </cell>
          <cell r="E70">
            <v>-47.55</v>
          </cell>
          <cell r="F70">
            <v>-47.55</v>
          </cell>
          <cell r="G70">
            <v>-47.55</v>
          </cell>
          <cell r="H70">
            <v>-47.55</v>
          </cell>
          <cell r="I70">
            <v>-47.55</v>
          </cell>
          <cell r="J70">
            <v>-47.55</v>
          </cell>
          <cell r="K70">
            <v>-47.55</v>
          </cell>
          <cell r="L70">
            <v>-47.55</v>
          </cell>
          <cell r="M70">
            <v>-47.55</v>
          </cell>
          <cell r="N70">
            <v>-47.55</v>
          </cell>
        </row>
        <row r="71">
          <cell r="A71" t="str">
            <v>A_1900306</v>
          </cell>
          <cell r="B71" t="str">
            <v>Deferred Tax FIT - FAS 133</v>
          </cell>
          <cell r="C71">
            <v>263176.49</v>
          </cell>
          <cell r="D71">
            <v>263176.49</v>
          </cell>
          <cell r="E71">
            <v>263176.49</v>
          </cell>
          <cell r="F71">
            <v>263176.49</v>
          </cell>
          <cell r="G71">
            <v>263176.49</v>
          </cell>
          <cell r="H71">
            <v>263176.49</v>
          </cell>
          <cell r="I71">
            <v>263176.49</v>
          </cell>
          <cell r="J71">
            <v>263176.49</v>
          </cell>
          <cell r="K71">
            <v>263176.49</v>
          </cell>
          <cell r="L71">
            <v>263176.49</v>
          </cell>
          <cell r="M71">
            <v>263176.49</v>
          </cell>
          <cell r="N71">
            <v>263176.49</v>
          </cell>
        </row>
        <row r="72">
          <cell r="A72" t="str">
            <v>A_1900307</v>
          </cell>
          <cell r="B72" t="str">
            <v>Deferred Tax FIT - FAS 133 Interest</v>
          </cell>
          <cell r="C72">
            <v>178020.31</v>
          </cell>
          <cell r="D72">
            <v>178017.87</v>
          </cell>
          <cell r="E72">
            <v>178017.87</v>
          </cell>
          <cell r="F72">
            <v>178017.87</v>
          </cell>
          <cell r="G72">
            <v>178017.87</v>
          </cell>
          <cell r="H72">
            <v>178017.87</v>
          </cell>
          <cell r="I72">
            <v>178017.87</v>
          </cell>
          <cell r="J72">
            <v>178017.87</v>
          </cell>
          <cell r="K72">
            <v>178017.87</v>
          </cell>
          <cell r="L72">
            <v>178017.87</v>
          </cell>
          <cell r="M72">
            <v>178017.87</v>
          </cell>
          <cell r="N72">
            <v>178017.87</v>
          </cell>
        </row>
        <row r="73">
          <cell r="A73" t="str">
            <v>A_1900308</v>
          </cell>
          <cell r="B73" t="str">
            <v>Deferred Tax FIT - FAS 158</v>
          </cell>
          <cell r="C73">
            <v>9743467.3100000005</v>
          </cell>
          <cell r="D73">
            <v>9743467.3100000005</v>
          </cell>
          <cell r="E73">
            <v>9743467.3100000005</v>
          </cell>
          <cell r="F73">
            <v>9743467.3100000005</v>
          </cell>
          <cell r="G73">
            <v>9743467.3100000005</v>
          </cell>
          <cell r="H73">
            <v>9743467.3100000005</v>
          </cell>
          <cell r="I73">
            <v>9743467.3100000005</v>
          </cell>
          <cell r="J73">
            <v>9743467.3100000005</v>
          </cell>
          <cell r="K73">
            <v>9743467.3100000005</v>
          </cell>
          <cell r="L73">
            <v>9743467.3100000005</v>
          </cell>
          <cell r="M73">
            <v>9743467.3100000005</v>
          </cell>
          <cell r="N73">
            <v>9743467.3100000005</v>
          </cell>
        </row>
        <row r="74">
          <cell r="A74" t="str">
            <v>A_1900309</v>
          </cell>
          <cell r="B74" t="str">
            <v>Deferred Tax FIT - FAS 158 - Medicare Part D</v>
          </cell>
          <cell r="C74">
            <v>31991</v>
          </cell>
          <cell r="D74">
            <v>31991</v>
          </cell>
          <cell r="E74">
            <v>31991</v>
          </cell>
          <cell r="F74">
            <v>31991</v>
          </cell>
          <cell r="G74">
            <v>31991</v>
          </cell>
          <cell r="H74">
            <v>31991</v>
          </cell>
          <cell r="I74">
            <v>31991</v>
          </cell>
          <cell r="J74">
            <v>31991</v>
          </cell>
          <cell r="K74">
            <v>31991</v>
          </cell>
          <cell r="L74">
            <v>31991</v>
          </cell>
          <cell r="M74">
            <v>31991</v>
          </cell>
          <cell r="N74">
            <v>31991</v>
          </cell>
        </row>
        <row r="75">
          <cell r="A75" t="str">
            <v>A_1900310</v>
          </cell>
          <cell r="B75" t="str">
            <v>Deferred Tax FIT - Credits</v>
          </cell>
          <cell r="C75">
            <v>5583170.0099999998</v>
          </cell>
          <cell r="D75">
            <v>5583170.0099999998</v>
          </cell>
          <cell r="E75">
            <v>5583170.0099999998</v>
          </cell>
          <cell r="F75">
            <v>5583170.0099999998</v>
          </cell>
          <cell r="G75">
            <v>5583170.0099999998</v>
          </cell>
          <cell r="H75">
            <v>5583170.0099999998</v>
          </cell>
          <cell r="I75">
            <v>5583170.0099999998</v>
          </cell>
          <cell r="J75">
            <v>5583170.0099999998</v>
          </cell>
          <cell r="K75">
            <v>5583170.0099999998</v>
          </cell>
          <cell r="L75">
            <v>5583170.0099999998</v>
          </cell>
          <cell r="M75">
            <v>5583170.0099999998</v>
          </cell>
          <cell r="N75">
            <v>5583170.0099999998</v>
          </cell>
        </row>
        <row r="76">
          <cell r="A76" t="str">
            <v>A_1900400</v>
          </cell>
          <cell r="B76" t="str">
            <v>Deferred Tax Asset - State</v>
          </cell>
          <cell r="C76">
            <v>7062433.4299999997</v>
          </cell>
          <cell r="D76">
            <v>7169190.4000000004</v>
          </cell>
          <cell r="E76">
            <v>6791594.8799999999</v>
          </cell>
          <cell r="F76">
            <v>6866413.75</v>
          </cell>
          <cell r="G76">
            <v>6915693.04</v>
          </cell>
          <cell r="H76">
            <v>7048542.8799999999</v>
          </cell>
          <cell r="I76">
            <v>7083951.8399999999</v>
          </cell>
          <cell r="J76">
            <v>7108224.8799999999</v>
          </cell>
          <cell r="K76">
            <v>7160706.8300000001</v>
          </cell>
          <cell r="L76">
            <v>7182645.3700000001</v>
          </cell>
          <cell r="M76">
            <v>7224159.3200000003</v>
          </cell>
          <cell r="N76">
            <v>7390489.5999999996</v>
          </cell>
        </row>
        <row r="77">
          <cell r="A77" t="str">
            <v>A_1900403</v>
          </cell>
          <cell r="B77" t="str">
            <v>DTA Separate Company - State</v>
          </cell>
          <cell r="C77">
            <v>278220.05</v>
          </cell>
          <cell r="D77">
            <v>278220.05</v>
          </cell>
          <cell r="E77">
            <v>278220.05</v>
          </cell>
          <cell r="F77">
            <v>278220.05</v>
          </cell>
          <cell r="G77">
            <v>278220.05</v>
          </cell>
          <cell r="H77">
            <v>278220.05</v>
          </cell>
          <cell r="I77">
            <v>278220.05</v>
          </cell>
          <cell r="J77">
            <v>278220.05</v>
          </cell>
          <cell r="K77">
            <v>278220.05</v>
          </cell>
          <cell r="L77">
            <v>278220.05</v>
          </cell>
          <cell r="M77">
            <v>278220.05</v>
          </cell>
          <cell r="N77">
            <v>278220.05</v>
          </cell>
        </row>
        <row r="78">
          <cell r="A78" t="str">
            <v>A_1900407</v>
          </cell>
          <cell r="B78" t="str">
            <v>Deferred Tax SIT - FAS 133 Interest</v>
          </cell>
          <cell r="C78">
            <v>0.56000000000000005</v>
          </cell>
          <cell r="D78">
            <v>-0.12</v>
          </cell>
          <cell r="E78">
            <v>-0.12</v>
          </cell>
          <cell r="F78">
            <v>-0.12</v>
          </cell>
          <cell r="G78">
            <v>-0.12</v>
          </cell>
          <cell r="H78">
            <v>-0.12</v>
          </cell>
          <cell r="I78">
            <v>-0.12</v>
          </cell>
          <cell r="J78">
            <v>-0.12</v>
          </cell>
          <cell r="K78">
            <v>-0.12</v>
          </cell>
          <cell r="L78">
            <v>-0.12</v>
          </cell>
          <cell r="M78">
            <v>-0.12</v>
          </cell>
          <cell r="N78">
            <v>-0.12</v>
          </cell>
        </row>
        <row r="79">
          <cell r="A79" t="str">
            <v>A_1900408</v>
          </cell>
          <cell r="B79" t="str">
            <v>Deferred Tax SIT - FAS 158</v>
          </cell>
          <cell r="C79">
            <v>1661623.15</v>
          </cell>
          <cell r="D79">
            <v>1661623.15</v>
          </cell>
          <cell r="E79">
            <v>1661623.15</v>
          </cell>
          <cell r="F79">
            <v>1661623.15</v>
          </cell>
          <cell r="G79">
            <v>1661623.15</v>
          </cell>
          <cell r="H79">
            <v>1661623.15</v>
          </cell>
          <cell r="I79">
            <v>1661623.15</v>
          </cell>
          <cell r="J79">
            <v>1661623.15</v>
          </cell>
          <cell r="K79">
            <v>1661623.15</v>
          </cell>
          <cell r="L79">
            <v>1661623.15</v>
          </cell>
          <cell r="M79">
            <v>1661623.15</v>
          </cell>
          <cell r="N79">
            <v>1661623.15</v>
          </cell>
        </row>
        <row r="80">
          <cell r="A80" t="str">
            <v>A_1900409</v>
          </cell>
          <cell r="B80" t="str">
            <v>Deferred Tax SIT - FAS 158 - Medicare Part D</v>
          </cell>
          <cell r="C80">
            <v>5320</v>
          </cell>
          <cell r="D80">
            <v>5320</v>
          </cell>
          <cell r="E80">
            <v>5320</v>
          </cell>
          <cell r="F80">
            <v>5320</v>
          </cell>
          <cell r="G80">
            <v>5320</v>
          </cell>
          <cell r="H80">
            <v>5320</v>
          </cell>
          <cell r="I80">
            <v>5320</v>
          </cell>
          <cell r="J80">
            <v>5320</v>
          </cell>
          <cell r="K80">
            <v>5320</v>
          </cell>
          <cell r="L80">
            <v>5320</v>
          </cell>
          <cell r="M80">
            <v>5320</v>
          </cell>
          <cell r="N80">
            <v>5320</v>
          </cell>
        </row>
        <row r="81">
          <cell r="A81" t="str">
            <v>A_1900610</v>
          </cell>
          <cell r="B81" t="str">
            <v>Deferred Tax Fd ITC - FAS109 Inc Tax</v>
          </cell>
          <cell r="C81">
            <v>931999.44</v>
          </cell>
          <cell r="D81">
            <v>931999.44</v>
          </cell>
          <cell r="E81">
            <v>931999.44</v>
          </cell>
          <cell r="F81">
            <v>931999.44</v>
          </cell>
          <cell r="G81">
            <v>931999.44</v>
          </cell>
          <cell r="H81">
            <v>931999.44</v>
          </cell>
          <cell r="I81">
            <v>931999.44</v>
          </cell>
          <cell r="J81">
            <v>931999.44</v>
          </cell>
          <cell r="K81">
            <v>931999.44</v>
          </cell>
          <cell r="L81">
            <v>931999.44</v>
          </cell>
          <cell r="M81">
            <v>931999.44</v>
          </cell>
          <cell r="N81">
            <v>931999.44</v>
          </cell>
        </row>
        <row r="82">
          <cell r="A82" t="str">
            <v>A_1910100</v>
          </cell>
          <cell r="B82" t="str">
            <v>Unrecovered Purchased Gas Costs - Current</v>
          </cell>
          <cell r="C82">
            <v>-110070366.56</v>
          </cell>
          <cell r="D82">
            <v>-110062733.56</v>
          </cell>
          <cell r="E82">
            <v>-110806437.56</v>
          </cell>
          <cell r="F82">
            <v>-111543779.56</v>
          </cell>
          <cell r="G82">
            <v>-111862094.56</v>
          </cell>
          <cell r="H82">
            <v>-112159862.56</v>
          </cell>
          <cell r="I82">
            <v>-112159838.56</v>
          </cell>
          <cell r="J82">
            <v>-112159814.56</v>
          </cell>
          <cell r="K82">
            <v>-112159790.56</v>
          </cell>
          <cell r="L82">
            <v>-112159766.56</v>
          </cell>
          <cell r="M82">
            <v>-112159742.56</v>
          </cell>
          <cell r="N82">
            <v>-112159714.56</v>
          </cell>
        </row>
        <row r="83">
          <cell r="A83" t="str">
            <v>A_1910110</v>
          </cell>
          <cell r="B83" t="str">
            <v>Unrecov Purch Gas Cost-Deriv Settled - Current</v>
          </cell>
          <cell r="C83">
            <v>112159865.14</v>
          </cell>
          <cell r="D83">
            <v>112159865.14</v>
          </cell>
          <cell r="E83">
            <v>112159865.14</v>
          </cell>
          <cell r="F83">
            <v>112159865.14</v>
          </cell>
          <cell r="G83">
            <v>112159865.14</v>
          </cell>
          <cell r="H83">
            <v>112159865.14</v>
          </cell>
          <cell r="I83">
            <v>112159865.14</v>
          </cell>
          <cell r="J83">
            <v>112159865.14</v>
          </cell>
          <cell r="K83">
            <v>112159865.14</v>
          </cell>
          <cell r="L83">
            <v>112159865.14</v>
          </cell>
          <cell r="M83">
            <v>112159865.14</v>
          </cell>
          <cell r="N83">
            <v>112159865.14</v>
          </cell>
        </row>
        <row r="84">
          <cell r="A84" t="str">
            <v>A_2070000</v>
          </cell>
          <cell r="B84" t="str">
            <v>Premium on Capital Stock</v>
          </cell>
          <cell r="C84">
            <v>5575333.3300000001</v>
          </cell>
          <cell r="D84">
            <v>5575333.3300000001</v>
          </cell>
          <cell r="E84">
            <v>5575333.3300000001</v>
          </cell>
          <cell r="F84">
            <v>5575333.3300000001</v>
          </cell>
          <cell r="G84">
            <v>5575333.3300000001</v>
          </cell>
          <cell r="H84">
            <v>5575333.3300000001</v>
          </cell>
          <cell r="I84">
            <v>5575333.3300000001</v>
          </cell>
          <cell r="J84">
            <v>5575333.3300000001</v>
          </cell>
          <cell r="K84">
            <v>5575333.3300000001</v>
          </cell>
          <cell r="L84">
            <v>5575333.3300000001</v>
          </cell>
          <cell r="M84">
            <v>5575333.3300000001</v>
          </cell>
          <cell r="N84">
            <v>5575333.3300000001</v>
          </cell>
        </row>
        <row r="85">
          <cell r="A85" t="str">
            <v>A_2110000</v>
          </cell>
          <cell r="B85" t="str">
            <v>Miscellaneous Paid-in Capital</v>
          </cell>
          <cell r="C85">
            <v>829974835.86000001</v>
          </cell>
          <cell r="D85">
            <v>874974835.86000001</v>
          </cell>
          <cell r="E85">
            <v>874974835.86000001</v>
          </cell>
          <cell r="F85">
            <v>874974835.86000001</v>
          </cell>
          <cell r="G85">
            <v>914974835.86000001</v>
          </cell>
          <cell r="H85">
            <v>914974835.86000001</v>
          </cell>
          <cell r="I85">
            <v>914974835.86000001</v>
          </cell>
          <cell r="J85">
            <v>949974835.86000001</v>
          </cell>
          <cell r="K85">
            <v>949974835.86000001</v>
          </cell>
          <cell r="L85">
            <v>949974835.86000001</v>
          </cell>
          <cell r="M85">
            <v>981974835.86000001</v>
          </cell>
          <cell r="N85">
            <v>981974835.86000001</v>
          </cell>
        </row>
        <row r="86">
          <cell r="A86" t="str">
            <v>A_2160000</v>
          </cell>
          <cell r="B86" t="str">
            <v>Retained Earnings</v>
          </cell>
          <cell r="C86">
            <v>130815620.64848299</v>
          </cell>
          <cell r="D86">
            <v>122073458.18694501</v>
          </cell>
          <cell r="E86">
            <v>131035386.51131999</v>
          </cell>
          <cell r="F86">
            <v>138290708.95230901</v>
          </cell>
          <cell r="G86">
            <v>117009517.79407901</v>
          </cell>
          <cell r="H86">
            <v>124509428.36721</v>
          </cell>
          <cell r="I86">
            <v>128855438.764062</v>
          </cell>
          <cell r="J86">
            <v>112725969.50691999</v>
          </cell>
          <cell r="K86">
            <v>117182216.75533301</v>
          </cell>
          <cell r="L86">
            <v>123070854.785041</v>
          </cell>
          <cell r="M86">
            <v>115632994.316567</v>
          </cell>
          <cell r="N86">
            <v>128836022.200643</v>
          </cell>
        </row>
        <row r="87">
          <cell r="A87" t="str">
            <v>A_2240200</v>
          </cell>
          <cell r="B87" t="str">
            <v>Other Long?Term Debt ? Recourse ? Non?Current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825000000</v>
          </cell>
          <cell r="M87">
            <v>825000000</v>
          </cell>
          <cell r="N87">
            <v>825000000</v>
          </cell>
        </row>
        <row r="88">
          <cell r="A88" t="str">
            <v>A_2282010</v>
          </cell>
          <cell r="B88" t="str">
            <v>I&amp;D General Liability Reserve</v>
          </cell>
          <cell r="C88">
            <v>15167624</v>
          </cell>
          <cell r="D88">
            <v>15167624</v>
          </cell>
          <cell r="E88">
            <v>15167624</v>
          </cell>
          <cell r="F88">
            <v>15167624</v>
          </cell>
          <cell r="G88">
            <v>15167624</v>
          </cell>
          <cell r="H88">
            <v>15167624</v>
          </cell>
          <cell r="I88">
            <v>15167624</v>
          </cell>
          <cell r="J88">
            <v>15167624</v>
          </cell>
          <cell r="K88">
            <v>15167624</v>
          </cell>
          <cell r="L88">
            <v>15167624</v>
          </cell>
          <cell r="M88">
            <v>15167624</v>
          </cell>
          <cell r="N88">
            <v>15167624</v>
          </cell>
        </row>
        <row r="89">
          <cell r="A89" t="str">
            <v>A_2282020</v>
          </cell>
          <cell r="B89" t="str">
            <v>I&amp;D Workers Compensation Reserve</v>
          </cell>
          <cell r="C89">
            <v>276223</v>
          </cell>
          <cell r="D89">
            <v>276223</v>
          </cell>
          <cell r="E89">
            <v>276223</v>
          </cell>
          <cell r="F89">
            <v>276223</v>
          </cell>
          <cell r="G89">
            <v>276223</v>
          </cell>
          <cell r="H89">
            <v>276223</v>
          </cell>
          <cell r="I89">
            <v>276223</v>
          </cell>
          <cell r="J89">
            <v>276223</v>
          </cell>
          <cell r="K89">
            <v>276223</v>
          </cell>
          <cell r="L89">
            <v>276223</v>
          </cell>
          <cell r="M89">
            <v>276223</v>
          </cell>
          <cell r="N89">
            <v>276223</v>
          </cell>
        </row>
        <row r="90">
          <cell r="A90" t="str">
            <v>A_2282210</v>
          </cell>
          <cell r="B90" t="str">
            <v>I&amp;D Gen Liab Expected Recoveries - Non-Current</v>
          </cell>
          <cell r="C90">
            <v>11720200</v>
          </cell>
          <cell r="D90">
            <v>11720200</v>
          </cell>
          <cell r="E90">
            <v>11720200</v>
          </cell>
          <cell r="F90">
            <v>11720200</v>
          </cell>
          <cell r="G90">
            <v>11720200</v>
          </cell>
          <cell r="H90">
            <v>11720200</v>
          </cell>
          <cell r="I90">
            <v>11720200</v>
          </cell>
          <cell r="J90">
            <v>11720200</v>
          </cell>
          <cell r="K90">
            <v>11720200</v>
          </cell>
          <cell r="L90">
            <v>11720200</v>
          </cell>
          <cell r="M90">
            <v>11720200</v>
          </cell>
          <cell r="N90">
            <v>11720200</v>
          </cell>
        </row>
        <row r="91">
          <cell r="A91" t="str">
            <v>A_2283201</v>
          </cell>
          <cell r="B91" t="str">
            <v>Pension Liability FAS158 - Non-Current</v>
          </cell>
          <cell r="C91">
            <v>28878544</v>
          </cell>
          <cell r="D91">
            <v>28878544</v>
          </cell>
          <cell r="E91">
            <v>28878544</v>
          </cell>
          <cell r="F91">
            <v>28878544</v>
          </cell>
          <cell r="G91">
            <v>28878544</v>
          </cell>
          <cell r="H91">
            <v>28878544</v>
          </cell>
          <cell r="I91">
            <v>28878544</v>
          </cell>
          <cell r="J91">
            <v>28878544</v>
          </cell>
          <cell r="K91">
            <v>28878544</v>
          </cell>
          <cell r="L91">
            <v>28878544</v>
          </cell>
          <cell r="M91">
            <v>28878544</v>
          </cell>
          <cell r="N91">
            <v>28878544</v>
          </cell>
        </row>
        <row r="92">
          <cell r="A92" t="str">
            <v>A_2283202</v>
          </cell>
          <cell r="B92" t="str">
            <v>Pension Asset - Non-Current</v>
          </cell>
          <cell r="C92">
            <v>24893582.056666698</v>
          </cell>
          <cell r="D92">
            <v>24826226.723333299</v>
          </cell>
          <cell r="E92">
            <v>24758871.390000001</v>
          </cell>
          <cell r="F92">
            <v>25351516.056666698</v>
          </cell>
          <cell r="G92">
            <v>25284160.723333299</v>
          </cell>
          <cell r="H92">
            <v>25216805.390000001</v>
          </cell>
          <cell r="I92">
            <v>25809450.056666698</v>
          </cell>
          <cell r="J92">
            <v>25742094.723333299</v>
          </cell>
          <cell r="K92">
            <v>26334739.390000001</v>
          </cell>
          <cell r="L92">
            <v>26267384.056666698</v>
          </cell>
          <cell r="M92">
            <v>26200028.723333299</v>
          </cell>
          <cell r="N92">
            <v>26132673.390000001</v>
          </cell>
        </row>
        <row r="93">
          <cell r="A93" t="str">
            <v>A_2283210</v>
          </cell>
          <cell r="B93" t="str">
            <v>SERP Liability - Non-Current</v>
          </cell>
          <cell r="C93">
            <v>1020744.9466667</v>
          </cell>
          <cell r="D93">
            <v>1029653.6133333</v>
          </cell>
          <cell r="E93">
            <v>1038562.28</v>
          </cell>
          <cell r="F93">
            <v>1047470.9466667</v>
          </cell>
          <cell r="G93">
            <v>1056379.6133333</v>
          </cell>
          <cell r="H93">
            <v>1065288.28</v>
          </cell>
          <cell r="I93">
            <v>1074196.9466667001</v>
          </cell>
          <cell r="J93">
            <v>1083105.6133333</v>
          </cell>
          <cell r="K93">
            <v>1092014.28</v>
          </cell>
          <cell r="L93">
            <v>1100922.9466667001</v>
          </cell>
          <cell r="M93">
            <v>1109831.6133333</v>
          </cell>
          <cell r="N93">
            <v>1118740.28</v>
          </cell>
        </row>
        <row r="94">
          <cell r="A94" t="str">
            <v>A_2283211</v>
          </cell>
          <cell r="B94" t="str">
            <v>SERP Liability FAS158 - Non-Current</v>
          </cell>
          <cell r="C94">
            <v>660363</v>
          </cell>
          <cell r="D94">
            <v>660363</v>
          </cell>
          <cell r="E94">
            <v>660363</v>
          </cell>
          <cell r="F94">
            <v>660363</v>
          </cell>
          <cell r="G94">
            <v>660363</v>
          </cell>
          <cell r="H94">
            <v>660363</v>
          </cell>
          <cell r="I94">
            <v>660363</v>
          </cell>
          <cell r="J94">
            <v>660363</v>
          </cell>
          <cell r="K94">
            <v>660363</v>
          </cell>
          <cell r="L94">
            <v>660363</v>
          </cell>
          <cell r="M94">
            <v>660363</v>
          </cell>
          <cell r="N94">
            <v>660363</v>
          </cell>
        </row>
        <row r="95">
          <cell r="A95" t="str">
            <v>A_2283220</v>
          </cell>
          <cell r="B95" t="str">
            <v>Restoration Benefit Plan Liability - Non-Current</v>
          </cell>
          <cell r="C95">
            <v>58588.456666700004</v>
          </cell>
          <cell r="D95">
            <v>67144.623333299998</v>
          </cell>
          <cell r="E95">
            <v>75700.789999999994</v>
          </cell>
          <cell r="F95">
            <v>84256.956666700004</v>
          </cell>
          <cell r="G95">
            <v>92813.123333299998</v>
          </cell>
          <cell r="H95">
            <v>101369.29</v>
          </cell>
          <cell r="I95">
            <v>109925.4566667</v>
          </cell>
          <cell r="J95">
            <v>118481.6233333</v>
          </cell>
          <cell r="K95">
            <v>127037.79</v>
          </cell>
          <cell r="L95">
            <v>135593.95666669999</v>
          </cell>
          <cell r="M95">
            <v>144150.1233333</v>
          </cell>
          <cell r="N95">
            <v>152706.29</v>
          </cell>
        </row>
        <row r="96">
          <cell r="A96" t="str">
            <v>A_2283221</v>
          </cell>
          <cell r="B96" t="str">
            <v>Restoration Benefit Plan Liab FAS158 - Non-Current</v>
          </cell>
          <cell r="C96">
            <v>336617</v>
          </cell>
          <cell r="D96">
            <v>336617</v>
          </cell>
          <cell r="E96">
            <v>336617</v>
          </cell>
          <cell r="F96">
            <v>336617</v>
          </cell>
          <cell r="G96">
            <v>336617</v>
          </cell>
          <cell r="H96">
            <v>336617</v>
          </cell>
          <cell r="I96">
            <v>336617</v>
          </cell>
          <cell r="J96">
            <v>336617</v>
          </cell>
          <cell r="K96">
            <v>336617</v>
          </cell>
          <cell r="L96">
            <v>336617</v>
          </cell>
          <cell r="M96">
            <v>336617</v>
          </cell>
          <cell r="N96">
            <v>336617</v>
          </cell>
        </row>
        <row r="97">
          <cell r="A97" t="str">
            <v>A_2283231</v>
          </cell>
          <cell r="B97" t="str">
            <v>FAS106 Liability FAS158 - Non-Current</v>
          </cell>
          <cell r="C97">
            <v>-1237339</v>
          </cell>
          <cell r="D97">
            <v>-1237339</v>
          </cell>
          <cell r="E97">
            <v>-1237339</v>
          </cell>
          <cell r="F97">
            <v>-1237339</v>
          </cell>
          <cell r="G97">
            <v>-1237339</v>
          </cell>
          <cell r="H97">
            <v>-1237339</v>
          </cell>
          <cell r="I97">
            <v>-1237339</v>
          </cell>
          <cell r="J97">
            <v>-1237339</v>
          </cell>
          <cell r="K97">
            <v>-1237339</v>
          </cell>
          <cell r="L97">
            <v>-1237339</v>
          </cell>
          <cell r="M97">
            <v>-1237339</v>
          </cell>
          <cell r="N97">
            <v>-1237339</v>
          </cell>
        </row>
        <row r="98">
          <cell r="A98" t="str">
            <v>A_2283232</v>
          </cell>
          <cell r="B98" t="str">
            <v>FAS106 Liability-Retired - Non-Current</v>
          </cell>
          <cell r="C98">
            <v>15376297.59</v>
          </cell>
          <cell r="D98">
            <v>15355164.84</v>
          </cell>
          <cell r="E98">
            <v>15334032.09</v>
          </cell>
          <cell r="F98">
            <v>15312899.34</v>
          </cell>
          <cell r="G98">
            <v>15291766.59</v>
          </cell>
          <cell r="H98">
            <v>15270633.84</v>
          </cell>
          <cell r="I98">
            <v>15249501.09</v>
          </cell>
          <cell r="J98">
            <v>15228368.34</v>
          </cell>
          <cell r="K98">
            <v>15207235.59</v>
          </cell>
          <cell r="L98">
            <v>15186102.84</v>
          </cell>
          <cell r="M98">
            <v>15164970.09</v>
          </cell>
          <cell r="N98">
            <v>15143837.34</v>
          </cell>
        </row>
        <row r="99">
          <cell r="A99" t="str">
            <v>A_2283240</v>
          </cell>
          <cell r="B99" t="str">
            <v>FAS112 Liab for Long-term Disability - Non-Current</v>
          </cell>
          <cell r="C99">
            <v>2794737.22</v>
          </cell>
          <cell r="D99">
            <v>2804737.22</v>
          </cell>
          <cell r="E99">
            <v>2814737.22</v>
          </cell>
          <cell r="F99">
            <v>2824737.22</v>
          </cell>
          <cell r="G99">
            <v>2834737.22</v>
          </cell>
          <cell r="H99">
            <v>2844737.22</v>
          </cell>
          <cell r="I99">
            <v>2854737.22</v>
          </cell>
          <cell r="J99">
            <v>2864737.22</v>
          </cell>
          <cell r="K99">
            <v>2874737.22</v>
          </cell>
          <cell r="L99">
            <v>2884737.22</v>
          </cell>
          <cell r="M99">
            <v>2894737.22</v>
          </cell>
          <cell r="N99">
            <v>2904737.22</v>
          </cell>
        </row>
        <row r="100">
          <cell r="A100" t="str">
            <v>A_2284030</v>
          </cell>
          <cell r="B100" t="str">
            <v>Accum Misc Provision - Contractor Damage Reserve</v>
          </cell>
          <cell r="C100">
            <v>120260</v>
          </cell>
          <cell r="D100">
            <v>157020</v>
          </cell>
          <cell r="E100">
            <v>187510</v>
          </cell>
          <cell r="F100">
            <v>210490</v>
          </cell>
          <cell r="G100">
            <v>219830</v>
          </cell>
          <cell r="H100">
            <v>240250</v>
          </cell>
          <cell r="I100">
            <v>282440</v>
          </cell>
          <cell r="J100">
            <v>264610</v>
          </cell>
          <cell r="K100">
            <v>261650</v>
          </cell>
          <cell r="L100">
            <v>167150</v>
          </cell>
          <cell r="M100">
            <v>164940</v>
          </cell>
          <cell r="N100">
            <v>116950</v>
          </cell>
        </row>
        <row r="101">
          <cell r="A101" t="str">
            <v>A_2310000</v>
          </cell>
          <cell r="B101" t="str">
            <v>Notes Payable (Borrowings &lt; 1 Year Duration)</v>
          </cell>
          <cell r="C101">
            <v>32937340.9185219</v>
          </cell>
          <cell r="D101">
            <v>10981466.892984301</v>
          </cell>
          <cell r="E101">
            <v>12533382.5012642</v>
          </cell>
          <cell r="F101">
            <v>12263893.5694941</v>
          </cell>
          <cell r="G101">
            <v>-4897023.4698826</v>
          </cell>
          <cell r="H101">
            <v>-5374816.4198470004</v>
          </cell>
          <cell r="I101">
            <v>-5311681.3836284997</v>
          </cell>
          <cell r="J101">
            <v>-9297852.5916022006</v>
          </cell>
          <cell r="K101">
            <v>-7469199.5621781005</v>
          </cell>
          <cell r="L101">
            <v>102570415.8946135</v>
          </cell>
          <cell r="M101">
            <v>105302708.0810176</v>
          </cell>
          <cell r="N101">
            <v>120860573.8514401</v>
          </cell>
        </row>
        <row r="102">
          <cell r="A102" t="str">
            <v>A_2320000</v>
          </cell>
          <cell r="B102" t="str">
            <v>AP Vouchers (Do not Post)</v>
          </cell>
          <cell r="C102">
            <v>6973350</v>
          </cell>
          <cell r="D102">
            <v>8310520</v>
          </cell>
          <cell r="E102">
            <v>6873710</v>
          </cell>
          <cell r="F102">
            <v>8483570</v>
          </cell>
          <cell r="G102">
            <v>7391090</v>
          </cell>
          <cell r="H102">
            <v>6929340</v>
          </cell>
          <cell r="I102">
            <v>8008670</v>
          </cell>
          <cell r="J102">
            <v>12512390</v>
          </cell>
          <cell r="K102">
            <v>13658440</v>
          </cell>
          <cell r="L102">
            <v>10900510</v>
          </cell>
          <cell r="M102">
            <v>5479330</v>
          </cell>
          <cell r="N102">
            <v>8777610</v>
          </cell>
        </row>
        <row r="103">
          <cell r="A103" t="str">
            <v>A_2320001</v>
          </cell>
          <cell r="B103" t="str">
            <v>AP Manual Accruals</v>
          </cell>
          <cell r="C103">
            <v>17278967.1606576</v>
          </cell>
          <cell r="D103">
            <v>13711082.620632101</v>
          </cell>
          <cell r="E103">
            <v>10980696.252883799</v>
          </cell>
          <cell r="F103">
            <v>11538803.9441649</v>
          </cell>
          <cell r="G103">
            <v>20118511.5548779</v>
          </cell>
          <cell r="H103">
            <v>17536701.329742402</v>
          </cell>
          <cell r="I103">
            <v>13974306.0841174</v>
          </cell>
          <cell r="J103">
            <v>16261127.228043299</v>
          </cell>
          <cell r="K103">
            <v>12152629.841349199</v>
          </cell>
          <cell r="L103">
            <v>11050280</v>
          </cell>
          <cell r="M103">
            <v>13173100</v>
          </cell>
          <cell r="N103">
            <v>9668990</v>
          </cell>
        </row>
        <row r="104">
          <cell r="A104" t="str">
            <v>A_2320002</v>
          </cell>
          <cell r="B104" t="str">
            <v>AP GR/IR Clearing</v>
          </cell>
          <cell r="C104">
            <v>14183880</v>
          </cell>
          <cell r="D104">
            <v>12347240</v>
          </cell>
          <cell r="E104">
            <v>13473530</v>
          </cell>
          <cell r="F104">
            <v>11455870</v>
          </cell>
          <cell r="G104">
            <v>10686860</v>
          </cell>
          <cell r="H104">
            <v>11373560</v>
          </cell>
          <cell r="I104">
            <v>11450770</v>
          </cell>
          <cell r="J104">
            <v>13808980</v>
          </cell>
          <cell r="K104">
            <v>16031060</v>
          </cell>
          <cell r="L104">
            <v>15543690</v>
          </cell>
          <cell r="M104">
            <v>15953650</v>
          </cell>
          <cell r="N104">
            <v>15327500</v>
          </cell>
        </row>
        <row r="105">
          <cell r="A105" t="str">
            <v>A_2320003</v>
          </cell>
          <cell r="B105" t="str">
            <v>AP P-Card Clearing</v>
          </cell>
          <cell r="C105">
            <v>27940</v>
          </cell>
          <cell r="D105">
            <v>23550</v>
          </cell>
          <cell r="E105">
            <v>144930</v>
          </cell>
          <cell r="F105">
            <v>18750</v>
          </cell>
          <cell r="G105">
            <v>7290</v>
          </cell>
          <cell r="H105">
            <v>-28510</v>
          </cell>
          <cell r="I105">
            <v>-76480</v>
          </cell>
          <cell r="J105">
            <v>45280</v>
          </cell>
          <cell r="K105">
            <v>21100</v>
          </cell>
          <cell r="L105">
            <v>15810</v>
          </cell>
          <cell r="M105">
            <v>5550</v>
          </cell>
          <cell r="N105">
            <v>125910</v>
          </cell>
        </row>
        <row r="106">
          <cell r="A106" t="str">
            <v>A_2320005</v>
          </cell>
          <cell r="B106" t="str">
            <v>AP Employee Expenses (RECON)</v>
          </cell>
          <cell r="C106">
            <v>5890</v>
          </cell>
          <cell r="D106">
            <v>8870</v>
          </cell>
          <cell r="E106">
            <v>5290</v>
          </cell>
          <cell r="F106">
            <v>7960</v>
          </cell>
          <cell r="G106">
            <v>6560</v>
          </cell>
          <cell r="H106">
            <v>6670</v>
          </cell>
          <cell r="I106">
            <v>3080</v>
          </cell>
          <cell r="J106">
            <v>12570</v>
          </cell>
          <cell r="K106">
            <v>5060</v>
          </cell>
          <cell r="L106">
            <v>6290</v>
          </cell>
          <cell r="M106">
            <v>8770</v>
          </cell>
          <cell r="N106">
            <v>8880</v>
          </cell>
        </row>
        <row r="107">
          <cell r="A107" t="str">
            <v>A_2320007</v>
          </cell>
          <cell r="B107" t="str">
            <v>AP Payroll</v>
          </cell>
          <cell r="C107">
            <v>1255776</v>
          </cell>
          <cell r="D107">
            <v>1246197</v>
          </cell>
          <cell r="E107">
            <v>1860283</v>
          </cell>
          <cell r="F107">
            <v>2092033</v>
          </cell>
          <cell r="G107">
            <v>2557181</v>
          </cell>
          <cell r="H107">
            <v>900220</v>
          </cell>
          <cell r="I107">
            <v>1141858</v>
          </cell>
          <cell r="J107">
            <v>921644</v>
          </cell>
          <cell r="K107">
            <v>1137944</v>
          </cell>
          <cell r="L107">
            <v>1685183</v>
          </cell>
          <cell r="M107">
            <v>1917551</v>
          </cell>
          <cell r="N107">
            <v>2346443</v>
          </cell>
        </row>
        <row r="108">
          <cell r="A108" t="str">
            <v>A_2320008</v>
          </cell>
          <cell r="B108" t="str">
            <v>AP 401K Fixed Match</v>
          </cell>
          <cell r="C108">
            <v>165203.07</v>
          </cell>
          <cell r="D108">
            <v>177703.07</v>
          </cell>
          <cell r="E108">
            <v>37500</v>
          </cell>
          <cell r="F108">
            <v>50000</v>
          </cell>
          <cell r="G108">
            <v>62500</v>
          </cell>
          <cell r="H108">
            <v>75000</v>
          </cell>
          <cell r="I108">
            <v>87500</v>
          </cell>
          <cell r="J108">
            <v>100000</v>
          </cell>
          <cell r="K108">
            <v>112500</v>
          </cell>
          <cell r="L108">
            <v>125000</v>
          </cell>
          <cell r="M108">
            <v>137500</v>
          </cell>
          <cell r="N108">
            <v>150000</v>
          </cell>
        </row>
        <row r="109">
          <cell r="A109" t="str">
            <v>A_2320009</v>
          </cell>
          <cell r="B109" t="str">
            <v>AP 401K Performance Match</v>
          </cell>
          <cell r="C109">
            <v>200955.82</v>
          </cell>
          <cell r="D109">
            <v>200955.82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A_2320012</v>
          </cell>
          <cell r="B110" t="str">
            <v>AP PSP / Incentive</v>
          </cell>
          <cell r="C110">
            <v>7758863.9699999997</v>
          </cell>
          <cell r="D110">
            <v>8314279.9699999997</v>
          </cell>
          <cell r="E110">
            <v>1666248</v>
          </cell>
          <cell r="F110">
            <v>2221664</v>
          </cell>
          <cell r="G110">
            <v>2777080</v>
          </cell>
          <cell r="H110">
            <v>3332496</v>
          </cell>
          <cell r="I110">
            <v>3887912</v>
          </cell>
          <cell r="J110">
            <v>4443328</v>
          </cell>
          <cell r="K110">
            <v>4998744</v>
          </cell>
          <cell r="L110">
            <v>5554160</v>
          </cell>
          <cell r="M110">
            <v>6109576</v>
          </cell>
          <cell r="N110">
            <v>6664992</v>
          </cell>
        </row>
        <row r="111">
          <cell r="A111" t="str">
            <v>A_2320015</v>
          </cell>
          <cell r="B111" t="str">
            <v>AP Group Life Insurance</v>
          </cell>
          <cell r="C111">
            <v>11760</v>
          </cell>
          <cell r="D111">
            <v>17440</v>
          </cell>
          <cell r="E111">
            <v>26400</v>
          </cell>
          <cell r="F111">
            <v>38280</v>
          </cell>
          <cell r="G111">
            <v>8690</v>
          </cell>
          <cell r="H111">
            <v>8620</v>
          </cell>
          <cell r="I111">
            <v>-260</v>
          </cell>
          <cell r="J111">
            <v>3460</v>
          </cell>
          <cell r="K111">
            <v>3470</v>
          </cell>
          <cell r="L111">
            <v>10970</v>
          </cell>
          <cell r="M111">
            <v>7860</v>
          </cell>
          <cell r="N111">
            <v>-170</v>
          </cell>
        </row>
        <row r="112">
          <cell r="A112" t="str">
            <v>A_2320016</v>
          </cell>
          <cell r="B112" t="str">
            <v>AP Long-term Care Insurance</v>
          </cell>
          <cell r="C112">
            <v>940</v>
          </cell>
          <cell r="D112">
            <v>860</v>
          </cell>
          <cell r="E112">
            <v>-1800</v>
          </cell>
          <cell r="F112">
            <v>-1620</v>
          </cell>
          <cell r="G112">
            <v>-1620</v>
          </cell>
          <cell r="H112">
            <v>-2470</v>
          </cell>
          <cell r="I112">
            <v>-2350</v>
          </cell>
          <cell r="J112">
            <v>660</v>
          </cell>
          <cell r="K112">
            <v>710</v>
          </cell>
          <cell r="L112">
            <v>900</v>
          </cell>
          <cell r="M112">
            <v>1080</v>
          </cell>
          <cell r="N112">
            <v>580</v>
          </cell>
        </row>
        <row r="113">
          <cell r="A113" t="str">
            <v>A_2320020</v>
          </cell>
          <cell r="B113" t="str">
            <v>AP HSA Employee Contribution</v>
          </cell>
          <cell r="C113">
            <v>19090</v>
          </cell>
          <cell r="D113">
            <v>17470</v>
          </cell>
          <cell r="E113">
            <v>23190</v>
          </cell>
          <cell r="F113">
            <v>36220</v>
          </cell>
          <cell r="G113">
            <v>15360</v>
          </cell>
          <cell r="H113">
            <v>18310</v>
          </cell>
          <cell r="I113">
            <v>33900</v>
          </cell>
          <cell r="J113">
            <v>14760</v>
          </cell>
          <cell r="K113">
            <v>25000</v>
          </cell>
          <cell r="L113">
            <v>22700</v>
          </cell>
          <cell r="M113">
            <v>24270</v>
          </cell>
          <cell r="N113">
            <v>9400</v>
          </cell>
        </row>
        <row r="114">
          <cell r="A114" t="str">
            <v>A_2320021</v>
          </cell>
          <cell r="B114" t="str">
            <v>AP HSA Employer Contribution</v>
          </cell>
          <cell r="C114">
            <v>16110</v>
          </cell>
          <cell r="D114">
            <v>15320</v>
          </cell>
          <cell r="E114">
            <v>17630</v>
          </cell>
          <cell r="F114">
            <v>22140</v>
          </cell>
          <cell r="G114">
            <v>15520</v>
          </cell>
          <cell r="H114">
            <v>16890</v>
          </cell>
          <cell r="I114">
            <v>22750</v>
          </cell>
          <cell r="J114">
            <v>10030</v>
          </cell>
          <cell r="K114">
            <v>16560</v>
          </cell>
          <cell r="L114">
            <v>15470</v>
          </cell>
          <cell r="M114">
            <v>15540</v>
          </cell>
          <cell r="N114">
            <v>10830</v>
          </cell>
        </row>
        <row r="115">
          <cell r="A115" t="str">
            <v>A_2320022</v>
          </cell>
          <cell r="B115" t="str">
            <v>AP Medical Insurance Reserve - Active Employees</v>
          </cell>
          <cell r="C115">
            <v>1030000</v>
          </cell>
          <cell r="D115">
            <v>1030000</v>
          </cell>
          <cell r="E115">
            <v>1030000</v>
          </cell>
          <cell r="F115">
            <v>1030000</v>
          </cell>
          <cell r="G115">
            <v>1030000</v>
          </cell>
          <cell r="H115">
            <v>1030000</v>
          </cell>
          <cell r="I115">
            <v>1030000</v>
          </cell>
          <cell r="J115">
            <v>1030000</v>
          </cell>
          <cell r="K115">
            <v>1030000</v>
          </cell>
          <cell r="L115">
            <v>1030000</v>
          </cell>
          <cell r="M115">
            <v>1030000</v>
          </cell>
          <cell r="N115">
            <v>1030000</v>
          </cell>
        </row>
        <row r="116">
          <cell r="A116" t="str">
            <v>A_2320023</v>
          </cell>
          <cell r="B116" t="str">
            <v>AP IBEW Union Dues</v>
          </cell>
          <cell r="C116">
            <v>580</v>
          </cell>
          <cell r="D116">
            <v>580</v>
          </cell>
          <cell r="E116">
            <v>400</v>
          </cell>
          <cell r="F116">
            <v>640</v>
          </cell>
          <cell r="G116">
            <v>840</v>
          </cell>
          <cell r="H116">
            <v>760</v>
          </cell>
          <cell r="I116">
            <v>860</v>
          </cell>
          <cell r="J116">
            <v>560</v>
          </cell>
          <cell r="K116">
            <v>560</v>
          </cell>
          <cell r="L116">
            <v>490</v>
          </cell>
          <cell r="M116">
            <v>580</v>
          </cell>
          <cell r="N116">
            <v>660</v>
          </cell>
        </row>
        <row r="117">
          <cell r="A117" t="str">
            <v>A_2320024</v>
          </cell>
          <cell r="B117" t="str">
            <v>AP OPEIU Union Dues</v>
          </cell>
          <cell r="C117">
            <v>160</v>
          </cell>
          <cell r="D117">
            <v>160</v>
          </cell>
          <cell r="E117">
            <v>100</v>
          </cell>
          <cell r="F117">
            <v>160</v>
          </cell>
          <cell r="G117">
            <v>200</v>
          </cell>
          <cell r="H117">
            <v>140</v>
          </cell>
          <cell r="I117">
            <v>230</v>
          </cell>
          <cell r="J117">
            <v>150</v>
          </cell>
          <cell r="K117">
            <v>150</v>
          </cell>
          <cell r="L117">
            <v>150</v>
          </cell>
          <cell r="M117">
            <v>140</v>
          </cell>
          <cell r="N117">
            <v>180</v>
          </cell>
        </row>
        <row r="118">
          <cell r="A118" t="str">
            <v>A_2320025</v>
          </cell>
          <cell r="B118" t="str">
            <v>AP IAM/AU Union Dues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180</v>
          </cell>
          <cell r="H118">
            <v>200</v>
          </cell>
          <cell r="I118">
            <v>240</v>
          </cell>
          <cell r="J118">
            <v>350</v>
          </cell>
          <cell r="K118">
            <v>350</v>
          </cell>
          <cell r="L118">
            <v>240</v>
          </cell>
          <cell r="M118">
            <v>170</v>
          </cell>
          <cell r="N118">
            <v>0</v>
          </cell>
        </row>
        <row r="119">
          <cell r="A119" t="str">
            <v>A_2320026</v>
          </cell>
          <cell r="B119" t="str">
            <v>AP UFCW Union Dues</v>
          </cell>
          <cell r="C119">
            <v>750</v>
          </cell>
          <cell r="D119">
            <v>750</v>
          </cell>
          <cell r="E119">
            <v>450</v>
          </cell>
          <cell r="F119">
            <v>750</v>
          </cell>
          <cell r="G119">
            <v>1000</v>
          </cell>
          <cell r="H119">
            <v>750</v>
          </cell>
          <cell r="I119">
            <v>1000</v>
          </cell>
          <cell r="J119">
            <v>650</v>
          </cell>
          <cell r="K119">
            <v>650</v>
          </cell>
          <cell r="L119">
            <v>650</v>
          </cell>
          <cell r="M119">
            <v>550</v>
          </cell>
          <cell r="N119">
            <v>650</v>
          </cell>
        </row>
        <row r="120">
          <cell r="A120" t="str">
            <v>A_2320027</v>
          </cell>
          <cell r="B120" t="str">
            <v>AP FSA - Medical</v>
          </cell>
          <cell r="C120">
            <v>30220</v>
          </cell>
          <cell r="D120">
            <v>32770</v>
          </cell>
          <cell r="E120">
            <v>30390</v>
          </cell>
          <cell r="F120">
            <v>27650</v>
          </cell>
          <cell r="G120">
            <v>28380</v>
          </cell>
          <cell r="H120">
            <v>32000</v>
          </cell>
          <cell r="I120">
            <v>30060</v>
          </cell>
          <cell r="J120">
            <v>35530</v>
          </cell>
          <cell r="K120">
            <v>41550</v>
          </cell>
          <cell r="L120">
            <v>45130</v>
          </cell>
          <cell r="M120">
            <v>47400</v>
          </cell>
          <cell r="N120">
            <v>35730</v>
          </cell>
        </row>
        <row r="121">
          <cell r="A121" t="str">
            <v>A_2320028</v>
          </cell>
          <cell r="B121" t="str">
            <v>AP FSA - Dependent Care</v>
          </cell>
          <cell r="C121">
            <v>-4640</v>
          </cell>
          <cell r="D121">
            <v>-3120</v>
          </cell>
          <cell r="E121">
            <v>-2630</v>
          </cell>
          <cell r="F121">
            <v>-2250</v>
          </cell>
          <cell r="G121">
            <v>-1160</v>
          </cell>
          <cell r="H121">
            <v>70</v>
          </cell>
          <cell r="I121">
            <v>-190</v>
          </cell>
          <cell r="J121">
            <v>2540</v>
          </cell>
          <cell r="K121">
            <v>3010</v>
          </cell>
          <cell r="L121">
            <v>2980</v>
          </cell>
          <cell r="M121">
            <v>1180</v>
          </cell>
          <cell r="N121">
            <v>170</v>
          </cell>
        </row>
        <row r="122">
          <cell r="A122" t="str">
            <v>A_2320029</v>
          </cell>
          <cell r="B122" t="str">
            <v>AP FSA - Parking/Transit</v>
          </cell>
          <cell r="C122">
            <v>3280</v>
          </cell>
          <cell r="D122">
            <v>4100</v>
          </cell>
          <cell r="E122">
            <v>3490</v>
          </cell>
          <cell r="F122">
            <v>4010</v>
          </cell>
          <cell r="G122">
            <v>4240</v>
          </cell>
          <cell r="H122">
            <v>4740</v>
          </cell>
          <cell r="I122">
            <v>3880</v>
          </cell>
          <cell r="J122">
            <v>2550</v>
          </cell>
          <cell r="K122">
            <v>3120</v>
          </cell>
          <cell r="L122">
            <v>3210</v>
          </cell>
          <cell r="M122">
            <v>2880</v>
          </cell>
          <cell r="N122">
            <v>2610</v>
          </cell>
        </row>
        <row r="123">
          <cell r="A123" t="str">
            <v>A_2320030</v>
          </cell>
          <cell r="B123" t="str">
            <v>AP American Gas Index Fund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-200</v>
          </cell>
        </row>
        <row r="124">
          <cell r="A124" t="str">
            <v>A_2320031</v>
          </cell>
          <cell r="B124" t="str">
            <v>AP Fuel Accrual</v>
          </cell>
          <cell r="C124">
            <v>16638770</v>
          </cell>
          <cell r="D124">
            <v>13941180</v>
          </cell>
          <cell r="E124">
            <v>13040930</v>
          </cell>
          <cell r="F124">
            <v>11715730</v>
          </cell>
          <cell r="G124">
            <v>14196000</v>
          </cell>
          <cell r="H124">
            <v>13397780</v>
          </cell>
          <cell r="I124">
            <v>14166180</v>
          </cell>
          <cell r="J124">
            <v>9158380</v>
          </cell>
          <cell r="K124">
            <v>9465950</v>
          </cell>
          <cell r="L124">
            <v>13008010</v>
          </cell>
          <cell r="M124">
            <v>14876160</v>
          </cell>
          <cell r="N124">
            <v>14814260</v>
          </cell>
        </row>
        <row r="125">
          <cell r="A125" t="str">
            <v>A_2320036</v>
          </cell>
          <cell r="B125" t="str">
            <v>AP Customer Assistance Program</v>
          </cell>
          <cell r="C125">
            <v>6790</v>
          </cell>
          <cell r="D125">
            <v>8390</v>
          </cell>
          <cell r="E125">
            <v>9910</v>
          </cell>
          <cell r="F125">
            <v>10520</v>
          </cell>
          <cell r="G125">
            <v>12390</v>
          </cell>
          <cell r="H125">
            <v>3630</v>
          </cell>
          <cell r="I125">
            <v>5690</v>
          </cell>
          <cell r="J125">
            <v>1360</v>
          </cell>
          <cell r="K125">
            <v>2270</v>
          </cell>
          <cell r="L125">
            <v>3010</v>
          </cell>
          <cell r="M125">
            <v>1860</v>
          </cell>
          <cell r="N125">
            <v>4070</v>
          </cell>
        </row>
        <row r="126">
          <cell r="A126" t="str">
            <v>A_2320037</v>
          </cell>
          <cell r="B126" t="str">
            <v>AP Vision Benefit Plan</v>
          </cell>
          <cell r="C126">
            <v>4630</v>
          </cell>
          <cell r="D126">
            <v>6110</v>
          </cell>
          <cell r="E126">
            <v>-630</v>
          </cell>
          <cell r="F126">
            <v>-790</v>
          </cell>
          <cell r="G126">
            <v>2940</v>
          </cell>
          <cell r="H126">
            <v>0</v>
          </cell>
          <cell r="I126">
            <v>-40</v>
          </cell>
          <cell r="J126">
            <v>-770</v>
          </cell>
          <cell r="K126">
            <v>-470</v>
          </cell>
          <cell r="L126">
            <v>830</v>
          </cell>
          <cell r="M126">
            <v>580</v>
          </cell>
          <cell r="N126">
            <v>2900</v>
          </cell>
        </row>
        <row r="127">
          <cell r="A127" t="str">
            <v>A_2330713</v>
          </cell>
          <cell r="B127" t="str">
            <v>Notes Payable - Intercompany - Shared Debt - Current</v>
          </cell>
          <cell r="C127">
            <v>769710729.23064804</v>
          </cell>
          <cell r="D127">
            <v>820493392.04363406</v>
          </cell>
          <cell r="E127">
            <v>840246857.99802303</v>
          </cell>
          <cell r="F127">
            <v>863964922.37244499</v>
          </cell>
          <cell r="G127">
            <v>871256084.67096603</v>
          </cell>
          <cell r="H127">
            <v>891388238.91041398</v>
          </cell>
          <cell r="I127">
            <v>912423407.48961306</v>
          </cell>
          <cell r="J127">
            <v>911286643.98220205</v>
          </cell>
          <cell r="K127">
            <v>923003271.92912996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A_2340700</v>
          </cell>
          <cell r="B128" t="str">
            <v>Trade Payable-Intercompany (RECON)</v>
          </cell>
          <cell r="C128">
            <v>8969507.3465999998</v>
          </cell>
          <cell r="D128">
            <v>6980920.1477667</v>
          </cell>
          <cell r="E128">
            <v>5210263.4835666995</v>
          </cell>
          <cell r="F128">
            <v>9293854.1440332998</v>
          </cell>
          <cell r="G128">
            <v>6148671.1215332998</v>
          </cell>
          <cell r="H128">
            <v>7395147.3373667002</v>
          </cell>
          <cell r="I128">
            <v>9248961.2781667002</v>
          </cell>
          <cell r="J128">
            <v>5859366.0982999997</v>
          </cell>
          <cell r="K128">
            <v>6705322.2889999999</v>
          </cell>
          <cell r="L128">
            <v>5846003.4859999996</v>
          </cell>
          <cell r="M128">
            <v>6984218.5665499996</v>
          </cell>
          <cell r="N128">
            <v>9014966.0361000001</v>
          </cell>
        </row>
        <row r="129">
          <cell r="A129" t="str">
            <v>A_2340701</v>
          </cell>
          <cell r="B129" t="str">
            <v>Trade Payable-Intercompany (Posting)</v>
          </cell>
          <cell r="C129">
            <v>621581.64</v>
          </cell>
          <cell r="D129">
            <v>621581.64</v>
          </cell>
          <cell r="E129">
            <v>621581.64</v>
          </cell>
          <cell r="F129">
            <v>621581.64</v>
          </cell>
          <cell r="G129">
            <v>621581.64</v>
          </cell>
          <cell r="H129">
            <v>621581.64</v>
          </cell>
          <cell r="I129">
            <v>621581.64</v>
          </cell>
          <cell r="J129">
            <v>621581.64</v>
          </cell>
          <cell r="K129">
            <v>621581.64</v>
          </cell>
          <cell r="L129">
            <v>621581.64</v>
          </cell>
          <cell r="M129">
            <v>621581.64</v>
          </cell>
          <cell r="N129">
            <v>621581.64</v>
          </cell>
        </row>
        <row r="130">
          <cell r="A130" t="str">
            <v>A_2340711</v>
          </cell>
          <cell r="B130" t="str">
            <v>Trade Payable-Emera Intercompany (Posting)</v>
          </cell>
          <cell r="C130">
            <v>9219323.0800000001</v>
          </cell>
          <cell r="D130">
            <v>9219323.0800000001</v>
          </cell>
          <cell r="E130">
            <v>9219323.0800000001</v>
          </cell>
          <cell r="F130">
            <v>9219323.0800000001</v>
          </cell>
          <cell r="G130">
            <v>9219323.0800000001</v>
          </cell>
          <cell r="H130">
            <v>9219323.0800000001</v>
          </cell>
          <cell r="I130">
            <v>9219323.0800000001</v>
          </cell>
          <cell r="J130">
            <v>9219323.0800000001</v>
          </cell>
          <cell r="K130">
            <v>9219323.0800000001</v>
          </cell>
          <cell r="L130">
            <v>9219323.0800000001</v>
          </cell>
          <cell r="M130">
            <v>9219323.0800000001</v>
          </cell>
          <cell r="N130">
            <v>9219323.0800000001</v>
          </cell>
        </row>
        <row r="131">
          <cell r="A131" t="str">
            <v>A_2340799</v>
          </cell>
          <cell r="B131" t="str">
            <v>Trade Payable-Emera Interco Accruals/Reversals</v>
          </cell>
          <cell r="C131">
            <v>60229.62</v>
          </cell>
          <cell r="D131">
            <v>60229.62</v>
          </cell>
          <cell r="E131">
            <v>60229.62</v>
          </cell>
          <cell r="F131">
            <v>60229.62</v>
          </cell>
          <cell r="G131">
            <v>60229.62</v>
          </cell>
          <cell r="H131">
            <v>60229.62</v>
          </cell>
          <cell r="I131">
            <v>60229.62</v>
          </cell>
          <cell r="J131">
            <v>60229.62</v>
          </cell>
          <cell r="K131">
            <v>60229.62</v>
          </cell>
          <cell r="L131">
            <v>60229.62</v>
          </cell>
          <cell r="M131">
            <v>60229.62</v>
          </cell>
          <cell r="N131">
            <v>60229.62</v>
          </cell>
        </row>
        <row r="132">
          <cell r="A132" t="str">
            <v>A_2350100</v>
          </cell>
          <cell r="B132" t="str">
            <v>CIS Customer Deposits Short-term</v>
          </cell>
          <cell r="C132">
            <v>28092565.82</v>
          </cell>
          <cell r="D132">
            <v>28115976.300000001</v>
          </cell>
          <cell r="E132">
            <v>28139406.280000001</v>
          </cell>
          <cell r="F132">
            <v>28162855.780000001</v>
          </cell>
          <cell r="G132">
            <v>28186324.829999998</v>
          </cell>
          <cell r="H132">
            <v>28209813.43</v>
          </cell>
          <cell r="I132">
            <v>28233321.609999999</v>
          </cell>
          <cell r="J132">
            <v>28256849.379999999</v>
          </cell>
          <cell r="K132">
            <v>28280396.75</v>
          </cell>
          <cell r="L132">
            <v>28303963.75</v>
          </cell>
          <cell r="M132">
            <v>28327550.390000001</v>
          </cell>
          <cell r="N132">
            <v>28351156.68</v>
          </cell>
        </row>
        <row r="133">
          <cell r="A133" t="str">
            <v>A_2350110</v>
          </cell>
          <cell r="B133" t="str">
            <v>Non-CIS Customer Deposits Short-term</v>
          </cell>
          <cell r="C133">
            <v>600000</v>
          </cell>
          <cell r="D133">
            <v>600000</v>
          </cell>
          <cell r="E133">
            <v>600000</v>
          </cell>
          <cell r="F133">
            <v>600000</v>
          </cell>
          <cell r="G133">
            <v>600000</v>
          </cell>
          <cell r="H133">
            <v>600000</v>
          </cell>
          <cell r="I133">
            <v>600000</v>
          </cell>
          <cell r="J133">
            <v>600000</v>
          </cell>
          <cell r="K133">
            <v>600000</v>
          </cell>
          <cell r="L133">
            <v>600000</v>
          </cell>
          <cell r="M133">
            <v>600000</v>
          </cell>
          <cell r="N133">
            <v>600000</v>
          </cell>
        </row>
        <row r="134">
          <cell r="A134" t="str">
            <v>A_2360310</v>
          </cell>
          <cell r="B134" t="str">
            <v>Income Tax Pay - Federal Current Year</v>
          </cell>
          <cell r="C134">
            <v>987860.95831150003</v>
          </cell>
          <cell r="D134">
            <v>1771044.7118385001</v>
          </cell>
          <cell r="E134">
            <v>1309976.3379500001</v>
          </cell>
          <cell r="F134">
            <v>1465434.9986614999</v>
          </cell>
          <cell r="G134">
            <v>1151017.4022385001</v>
          </cell>
          <cell r="H134">
            <v>1309490.16955</v>
          </cell>
          <cell r="I134">
            <v>693194.99946149997</v>
          </cell>
          <cell r="J134">
            <v>-31107.1804615</v>
          </cell>
          <cell r="K134">
            <v>-128110.2191</v>
          </cell>
          <cell r="L134">
            <v>-1195598.1339885001</v>
          </cell>
          <cell r="M134">
            <v>-1401869.6091115</v>
          </cell>
          <cell r="N134">
            <v>-0.43654999999999999</v>
          </cell>
        </row>
        <row r="135">
          <cell r="A135" t="str">
            <v>A_2360410</v>
          </cell>
          <cell r="B135" t="str">
            <v>Income Tax Pay - State Current Year</v>
          </cell>
          <cell r="C135">
            <v>229684.1251833</v>
          </cell>
          <cell r="D135">
            <v>410742.08981670003</v>
          </cell>
          <cell r="E135">
            <v>246958.19500000001</v>
          </cell>
          <cell r="F135">
            <v>370142.20018330001</v>
          </cell>
          <cell r="G135">
            <v>247002.25981670001</v>
          </cell>
          <cell r="H135">
            <v>362922.64500000002</v>
          </cell>
          <cell r="I135">
            <v>156117.9701833</v>
          </cell>
          <cell r="J135">
            <v>-80620.620183299994</v>
          </cell>
          <cell r="K135">
            <v>-35505.54</v>
          </cell>
          <cell r="L135">
            <v>-367357.33481670002</v>
          </cell>
          <cell r="M135">
            <v>-460524.80518329999</v>
          </cell>
          <cell r="N135">
            <v>-0.44500000000000001</v>
          </cell>
        </row>
        <row r="136">
          <cell r="A136" t="str">
            <v>A_2360602</v>
          </cell>
          <cell r="B136" t="str">
            <v>Taxes Payable - Regulatory Assessment Fee</v>
          </cell>
          <cell r="C136">
            <v>249720</v>
          </cell>
          <cell r="D136">
            <v>513190</v>
          </cell>
          <cell r="E136">
            <v>750090</v>
          </cell>
          <cell r="F136">
            <v>973950</v>
          </cell>
          <cell r="G136">
            <v>1181520</v>
          </cell>
          <cell r="H136">
            <v>1384420</v>
          </cell>
          <cell r="I136">
            <v>187490</v>
          </cell>
          <cell r="J136">
            <v>302600</v>
          </cell>
          <cell r="K136">
            <v>453240</v>
          </cell>
          <cell r="L136">
            <v>605880</v>
          </cell>
          <cell r="M136">
            <v>777100</v>
          </cell>
          <cell r="N136">
            <v>977140</v>
          </cell>
        </row>
        <row r="137">
          <cell r="A137" t="str">
            <v>A_2360603</v>
          </cell>
          <cell r="B137" t="str">
            <v>Taxes Payable - Gross Receipts Tax</v>
          </cell>
          <cell r="C137">
            <v>1748620</v>
          </cell>
          <cell r="D137">
            <v>1675020</v>
          </cell>
          <cell r="E137">
            <v>1527140</v>
          </cell>
          <cell r="F137">
            <v>1374000</v>
          </cell>
          <cell r="G137">
            <v>1215730</v>
          </cell>
          <cell r="H137">
            <v>1111810</v>
          </cell>
          <cell r="I137">
            <v>1045930</v>
          </cell>
          <cell r="J137">
            <v>934290</v>
          </cell>
          <cell r="K137">
            <v>956650</v>
          </cell>
          <cell r="L137">
            <v>978390</v>
          </cell>
          <cell r="M137">
            <v>1128740</v>
          </cell>
          <cell r="N137">
            <v>1468270</v>
          </cell>
        </row>
        <row r="138">
          <cell r="A138" t="str">
            <v>A_2360604</v>
          </cell>
          <cell r="B138" t="str">
            <v>Taxes Payable - Property Tax</v>
          </cell>
          <cell r="C138">
            <v>1785879.3400548</v>
          </cell>
          <cell r="D138">
            <v>3571758.6801096001</v>
          </cell>
          <cell r="E138">
            <v>5357638.0201644003</v>
          </cell>
          <cell r="F138">
            <v>7143517.3602192001</v>
          </cell>
          <cell r="G138">
            <v>8929396.7002739999</v>
          </cell>
          <cell r="H138">
            <v>10715276.040328801</v>
          </cell>
          <cell r="I138">
            <v>12501155.3803836</v>
          </cell>
          <cell r="J138">
            <v>14287034.7204384</v>
          </cell>
          <cell r="K138">
            <v>16072914.060493199</v>
          </cell>
          <cell r="L138">
            <v>17858793.400548</v>
          </cell>
          <cell r="M138">
            <v>-1785879.3400548</v>
          </cell>
          <cell r="N138">
            <v>0</v>
          </cell>
        </row>
        <row r="139">
          <cell r="A139" t="str">
            <v>A_2360605</v>
          </cell>
          <cell r="B139" t="str">
            <v>Taxes Payable - Franchise Fees</v>
          </cell>
          <cell r="C139">
            <v>1471030</v>
          </cell>
          <cell r="D139">
            <v>1434450</v>
          </cell>
          <cell r="E139">
            <v>1355890</v>
          </cell>
          <cell r="F139">
            <v>1306660</v>
          </cell>
          <cell r="G139">
            <v>1211450</v>
          </cell>
          <cell r="H139">
            <v>1155700</v>
          </cell>
          <cell r="I139">
            <v>1096970</v>
          </cell>
          <cell r="J139">
            <v>930080</v>
          </cell>
          <cell r="K139">
            <v>970950</v>
          </cell>
          <cell r="L139">
            <v>982200</v>
          </cell>
          <cell r="M139">
            <v>1078440</v>
          </cell>
          <cell r="N139">
            <v>1150200</v>
          </cell>
        </row>
        <row r="140">
          <cell r="A140" t="str">
            <v>A_2360606</v>
          </cell>
          <cell r="B140" t="str">
            <v>Taxes Payable - Federal Excise Tax</v>
          </cell>
          <cell r="C140">
            <v>-3900</v>
          </cell>
          <cell r="D140">
            <v>-3900</v>
          </cell>
          <cell r="E140">
            <v>-3900</v>
          </cell>
          <cell r="F140">
            <v>-3900</v>
          </cell>
          <cell r="G140">
            <v>-3900</v>
          </cell>
          <cell r="H140">
            <v>-3900</v>
          </cell>
          <cell r="I140">
            <v>-3900</v>
          </cell>
          <cell r="J140">
            <v>-3500</v>
          </cell>
          <cell r="K140">
            <v>-3500</v>
          </cell>
          <cell r="L140">
            <v>-3500</v>
          </cell>
          <cell r="M140">
            <v>-3740</v>
          </cell>
          <cell r="N140">
            <v>-3740</v>
          </cell>
        </row>
        <row r="141">
          <cell r="A141" t="str">
            <v>A_2360620</v>
          </cell>
          <cell r="B141" t="str">
            <v>Taxes Payable - FICA Employr</v>
          </cell>
          <cell r="C141">
            <v>1319200</v>
          </cell>
          <cell r="D141">
            <v>1279180</v>
          </cell>
          <cell r="E141">
            <v>969410</v>
          </cell>
          <cell r="F141">
            <v>998330</v>
          </cell>
          <cell r="G141">
            <v>1067050</v>
          </cell>
          <cell r="H141">
            <v>1220340</v>
          </cell>
          <cell r="I141">
            <v>1305100</v>
          </cell>
          <cell r="J141">
            <v>1525850</v>
          </cell>
          <cell r="K141">
            <v>1575280</v>
          </cell>
          <cell r="L141">
            <v>1729750</v>
          </cell>
          <cell r="M141">
            <v>1872600</v>
          </cell>
          <cell r="N141">
            <v>1179590</v>
          </cell>
        </row>
        <row r="142">
          <cell r="A142" t="str">
            <v>A_2360800</v>
          </cell>
          <cell r="B142" t="str">
            <v>Taxes Payable - Other</v>
          </cell>
          <cell r="C142">
            <v>34600</v>
          </cell>
          <cell r="D142">
            <v>34600</v>
          </cell>
          <cell r="E142">
            <v>34600</v>
          </cell>
          <cell r="F142">
            <v>34600</v>
          </cell>
          <cell r="G142">
            <v>34600</v>
          </cell>
          <cell r="H142">
            <v>34600</v>
          </cell>
          <cell r="I142">
            <v>34600</v>
          </cell>
          <cell r="J142">
            <v>34750</v>
          </cell>
          <cell r="K142">
            <v>34750</v>
          </cell>
          <cell r="L142">
            <v>34700</v>
          </cell>
          <cell r="M142">
            <v>34700</v>
          </cell>
          <cell r="N142">
            <v>34800</v>
          </cell>
        </row>
        <row r="143">
          <cell r="A143" t="str">
            <v>A_2370300</v>
          </cell>
          <cell r="B143" t="str">
            <v>Interest Accrued on Customer Deposits</v>
          </cell>
          <cell r="C143">
            <v>69050.149999999994</v>
          </cell>
          <cell r="D143">
            <v>121640.04</v>
          </cell>
          <cell r="E143">
            <v>174280.45</v>
          </cell>
          <cell r="F143">
            <v>226971.44</v>
          </cell>
          <cell r="G143">
            <v>279713.03999999998</v>
          </cell>
          <cell r="H143">
            <v>332505.3</v>
          </cell>
          <cell r="I143">
            <v>385348.25</v>
          </cell>
          <cell r="J143">
            <v>438241.95</v>
          </cell>
          <cell r="K143">
            <v>491186.42</v>
          </cell>
          <cell r="L143">
            <v>544181.72</v>
          </cell>
          <cell r="M143">
            <v>597227.89</v>
          </cell>
          <cell r="N143">
            <v>16676.61</v>
          </cell>
        </row>
        <row r="144">
          <cell r="A144" t="str">
            <v>A_2370350</v>
          </cell>
          <cell r="B144" t="str">
            <v>Interest Accrued on Credit Facility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273601.75724609999</v>
          </cell>
          <cell r="M144">
            <v>518683.9526275</v>
          </cell>
          <cell r="N144">
            <v>558714.18543169997</v>
          </cell>
        </row>
        <row r="145">
          <cell r="A145" t="str">
            <v>A_2370400</v>
          </cell>
          <cell r="B145" t="str">
            <v>Interest Accrued Long Term Debt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3815625</v>
          </cell>
          <cell r="N145">
            <v>7631250</v>
          </cell>
        </row>
        <row r="146">
          <cell r="A146" t="str">
            <v>A_2410000</v>
          </cell>
          <cell r="B146" t="str">
            <v>Taxes Payable - Sales Use Tax (CIS)</v>
          </cell>
          <cell r="C146">
            <v>320650</v>
          </cell>
          <cell r="D146">
            <v>320230</v>
          </cell>
          <cell r="E146">
            <v>307760</v>
          </cell>
          <cell r="F146">
            <v>290360</v>
          </cell>
          <cell r="G146">
            <v>258260</v>
          </cell>
          <cell r="H146">
            <v>257370</v>
          </cell>
          <cell r="I146">
            <v>217520</v>
          </cell>
          <cell r="J146">
            <v>165060</v>
          </cell>
          <cell r="K146">
            <v>179260</v>
          </cell>
          <cell r="L146">
            <v>166770</v>
          </cell>
          <cell r="M146">
            <v>200060</v>
          </cell>
          <cell r="N146">
            <v>228900</v>
          </cell>
        </row>
        <row r="147">
          <cell r="A147" t="str">
            <v>A_2410005</v>
          </cell>
          <cell r="B147" t="str">
            <v>Taxes Payable - Sales Surtax (CIS)</v>
          </cell>
          <cell r="C147">
            <v>50280</v>
          </cell>
          <cell r="D147">
            <v>49960</v>
          </cell>
          <cell r="E147">
            <v>47500</v>
          </cell>
          <cell r="F147">
            <v>43230</v>
          </cell>
          <cell r="G147">
            <v>40600</v>
          </cell>
          <cell r="H147">
            <v>38940</v>
          </cell>
          <cell r="I147">
            <v>37560</v>
          </cell>
          <cell r="J147">
            <v>27980</v>
          </cell>
          <cell r="K147">
            <v>29030</v>
          </cell>
          <cell r="L147">
            <v>28570</v>
          </cell>
          <cell r="M147">
            <v>32120</v>
          </cell>
          <cell r="N147">
            <v>37220</v>
          </cell>
        </row>
        <row r="148">
          <cell r="A148" t="str">
            <v>A_2410300</v>
          </cell>
          <cell r="B148" t="str">
            <v>Taxes Payable - Sales and Use Tax (AP)</v>
          </cell>
          <cell r="C148">
            <v>-133170</v>
          </cell>
          <cell r="D148">
            <v>-133850</v>
          </cell>
          <cell r="E148">
            <v>-135830</v>
          </cell>
          <cell r="F148">
            <v>-136220</v>
          </cell>
          <cell r="G148">
            <v>-128580</v>
          </cell>
          <cell r="H148">
            <v>-130650</v>
          </cell>
          <cell r="I148">
            <v>-136220</v>
          </cell>
          <cell r="J148">
            <v>-103690</v>
          </cell>
          <cell r="K148">
            <v>-110130</v>
          </cell>
          <cell r="L148">
            <v>-105540</v>
          </cell>
          <cell r="M148">
            <v>-109530</v>
          </cell>
          <cell r="N148">
            <v>-105790</v>
          </cell>
        </row>
        <row r="149">
          <cell r="A149" t="str">
            <v>A_2410305</v>
          </cell>
          <cell r="B149" t="str">
            <v>Taxes Payable - Sales Surtax (AP)</v>
          </cell>
          <cell r="C149">
            <v>600</v>
          </cell>
          <cell r="D149">
            <v>790</v>
          </cell>
          <cell r="E149">
            <v>460</v>
          </cell>
          <cell r="F149">
            <v>290</v>
          </cell>
          <cell r="G149">
            <v>1540</v>
          </cell>
          <cell r="H149">
            <v>1470</v>
          </cell>
          <cell r="I149">
            <v>240</v>
          </cell>
          <cell r="J149">
            <v>930</v>
          </cell>
          <cell r="K149">
            <v>870</v>
          </cell>
          <cell r="L149">
            <v>910</v>
          </cell>
          <cell r="M149">
            <v>430</v>
          </cell>
          <cell r="N149">
            <v>880</v>
          </cell>
        </row>
        <row r="150">
          <cell r="A150" t="str">
            <v>A_2410310</v>
          </cell>
          <cell r="B150" t="str">
            <v>Taxes Payable - Utility Tax</v>
          </cell>
          <cell r="C150">
            <v>848810</v>
          </cell>
          <cell r="D150">
            <v>919430</v>
          </cell>
          <cell r="E150">
            <v>793150</v>
          </cell>
          <cell r="F150">
            <v>756300</v>
          </cell>
          <cell r="G150">
            <v>704380</v>
          </cell>
          <cell r="H150">
            <v>674890</v>
          </cell>
          <cell r="I150">
            <v>635240</v>
          </cell>
          <cell r="J150">
            <v>543240</v>
          </cell>
          <cell r="K150">
            <v>530510</v>
          </cell>
          <cell r="L150">
            <v>531830</v>
          </cell>
          <cell r="M150">
            <v>588980</v>
          </cell>
          <cell r="N150">
            <v>696890</v>
          </cell>
        </row>
        <row r="151">
          <cell r="A151" t="str">
            <v>A_2410320</v>
          </cell>
          <cell r="B151" t="str">
            <v>Taxes Payable - FICA</v>
          </cell>
          <cell r="C151">
            <v>480</v>
          </cell>
          <cell r="D151">
            <v>2300</v>
          </cell>
          <cell r="E151">
            <v>260</v>
          </cell>
          <cell r="F151">
            <v>1760</v>
          </cell>
          <cell r="G151">
            <v>480</v>
          </cell>
          <cell r="H151">
            <v>82150</v>
          </cell>
          <cell r="I151">
            <v>78400</v>
          </cell>
          <cell r="J151">
            <v>6920</v>
          </cell>
          <cell r="K151">
            <v>760</v>
          </cell>
          <cell r="L151">
            <v>810</v>
          </cell>
          <cell r="M151">
            <v>760</v>
          </cell>
          <cell r="N151">
            <v>46610</v>
          </cell>
        </row>
        <row r="152">
          <cell r="A152" t="str">
            <v>A_2410330</v>
          </cell>
          <cell r="B152" t="str">
            <v>Taxes Payable - FIT Withholding</v>
          </cell>
          <cell r="C152">
            <v>120</v>
          </cell>
          <cell r="D152">
            <v>5580</v>
          </cell>
          <cell r="E152">
            <v>-300</v>
          </cell>
          <cell r="F152">
            <v>3460</v>
          </cell>
          <cell r="G152">
            <v>520</v>
          </cell>
          <cell r="H152">
            <v>122610</v>
          </cell>
          <cell r="I152">
            <v>113660</v>
          </cell>
          <cell r="J152">
            <v>10740</v>
          </cell>
          <cell r="K152">
            <v>-150</v>
          </cell>
          <cell r="L152">
            <v>-50</v>
          </cell>
          <cell r="M152">
            <v>-250</v>
          </cell>
          <cell r="N152">
            <v>75440</v>
          </cell>
        </row>
        <row r="153">
          <cell r="A153" t="str">
            <v>A_2410430</v>
          </cell>
          <cell r="B153" t="str">
            <v>Taxes Payable - SIT Withholding</v>
          </cell>
          <cell r="C153">
            <v>0</v>
          </cell>
          <cell r="D153">
            <v>0</v>
          </cell>
          <cell r="E153">
            <v>270</v>
          </cell>
          <cell r="F153">
            <v>700</v>
          </cell>
          <cell r="G153">
            <v>660</v>
          </cell>
          <cell r="H153">
            <v>1110</v>
          </cell>
          <cell r="I153">
            <v>1710</v>
          </cell>
          <cell r="J153">
            <v>-90</v>
          </cell>
          <cell r="K153">
            <v>-90</v>
          </cell>
          <cell r="L153">
            <v>-90</v>
          </cell>
          <cell r="M153">
            <v>-90</v>
          </cell>
          <cell r="N153">
            <v>0</v>
          </cell>
        </row>
        <row r="154">
          <cell r="A154" t="str">
            <v>A_2420111</v>
          </cell>
          <cell r="B154" t="str">
            <v>SERP Liability FAS158 - Current</v>
          </cell>
          <cell r="C154">
            <v>301237</v>
          </cell>
          <cell r="D154">
            <v>301237</v>
          </cell>
          <cell r="E154">
            <v>301237</v>
          </cell>
          <cell r="F154">
            <v>301237</v>
          </cell>
          <cell r="G154">
            <v>301237</v>
          </cell>
          <cell r="H154">
            <v>301237</v>
          </cell>
          <cell r="I154">
            <v>301237</v>
          </cell>
          <cell r="J154">
            <v>301237</v>
          </cell>
          <cell r="K154">
            <v>301237</v>
          </cell>
          <cell r="L154">
            <v>301237</v>
          </cell>
          <cell r="M154">
            <v>301237</v>
          </cell>
          <cell r="N154">
            <v>301237</v>
          </cell>
        </row>
        <row r="155">
          <cell r="A155" t="str">
            <v>A_2420121</v>
          </cell>
          <cell r="B155" t="str">
            <v>Resotration Benefit Plan Liability FAS158 - Current</v>
          </cell>
          <cell r="C155">
            <v>131961</v>
          </cell>
          <cell r="D155">
            <v>131961</v>
          </cell>
          <cell r="E155">
            <v>131961</v>
          </cell>
          <cell r="F155">
            <v>131961</v>
          </cell>
          <cell r="G155">
            <v>131961</v>
          </cell>
          <cell r="H155">
            <v>131961</v>
          </cell>
          <cell r="I155">
            <v>131961</v>
          </cell>
          <cell r="J155">
            <v>131961</v>
          </cell>
          <cell r="K155">
            <v>131961</v>
          </cell>
          <cell r="L155">
            <v>131961</v>
          </cell>
          <cell r="M155">
            <v>131961</v>
          </cell>
          <cell r="N155">
            <v>131961</v>
          </cell>
        </row>
        <row r="156">
          <cell r="A156" t="str">
            <v>A_2420131</v>
          </cell>
          <cell r="B156" t="str">
            <v>FAS106 Liability FAS158 - Current</v>
          </cell>
          <cell r="C156">
            <v>1139947</v>
          </cell>
          <cell r="D156">
            <v>1139947</v>
          </cell>
          <cell r="E156">
            <v>1139947</v>
          </cell>
          <cell r="F156">
            <v>1139947</v>
          </cell>
          <cell r="G156">
            <v>1139947</v>
          </cell>
          <cell r="H156">
            <v>1139947</v>
          </cell>
          <cell r="I156">
            <v>1139947</v>
          </cell>
          <cell r="J156">
            <v>1139947</v>
          </cell>
          <cell r="K156">
            <v>1139947</v>
          </cell>
          <cell r="L156">
            <v>1139947</v>
          </cell>
          <cell r="M156">
            <v>1139947</v>
          </cell>
          <cell r="N156">
            <v>1139947</v>
          </cell>
        </row>
        <row r="157">
          <cell r="A157" t="str">
            <v>A_2420191</v>
          </cell>
          <cell r="B157" t="str">
            <v>Long-Term Incentive - Current</v>
          </cell>
          <cell r="C157">
            <v>1594177.89</v>
          </cell>
          <cell r="D157">
            <v>1594177.89</v>
          </cell>
          <cell r="E157">
            <v>1235018</v>
          </cell>
          <cell r="F157">
            <v>1235018</v>
          </cell>
          <cell r="G157">
            <v>1235018</v>
          </cell>
          <cell r="H157">
            <v>1379511.3333333</v>
          </cell>
          <cell r="I157">
            <v>1379511.3333333</v>
          </cell>
          <cell r="J157">
            <v>1379511.3333333</v>
          </cell>
          <cell r="K157">
            <v>1524004.6666667</v>
          </cell>
          <cell r="L157">
            <v>1524004.6666667</v>
          </cell>
          <cell r="M157">
            <v>1524004.6666667</v>
          </cell>
          <cell r="N157">
            <v>1668498</v>
          </cell>
        </row>
        <row r="158">
          <cell r="A158" t="str">
            <v>A_2420192</v>
          </cell>
          <cell r="B158" t="str">
            <v>Deferred Compensation - Current</v>
          </cell>
          <cell r="C158">
            <v>116472.99</v>
          </cell>
          <cell r="D158">
            <v>116472.99</v>
          </cell>
          <cell r="E158">
            <v>123187.9622258</v>
          </cell>
          <cell r="F158">
            <v>123187.9622258</v>
          </cell>
          <cell r="G158">
            <v>123187.9622258</v>
          </cell>
          <cell r="H158">
            <v>127664.6103763</v>
          </cell>
          <cell r="I158">
            <v>127664.6103763</v>
          </cell>
          <cell r="J158">
            <v>127664.6103763</v>
          </cell>
          <cell r="K158">
            <v>127664.6103763</v>
          </cell>
          <cell r="L158">
            <v>127664.6103763</v>
          </cell>
          <cell r="M158">
            <v>127664.6103763</v>
          </cell>
          <cell r="N158">
            <v>127664.6103763</v>
          </cell>
        </row>
        <row r="159">
          <cell r="A159" t="str">
            <v>A_2420300</v>
          </cell>
          <cell r="B159" t="str">
            <v>Misc Accru Liab-Vacation Liability</v>
          </cell>
          <cell r="C159">
            <v>3979842.8571429001</v>
          </cell>
          <cell r="D159">
            <v>3984842.8571429001</v>
          </cell>
          <cell r="E159">
            <v>3989842.8571429001</v>
          </cell>
          <cell r="F159">
            <v>3994842.8571429001</v>
          </cell>
          <cell r="G159">
            <v>3999842.8571429001</v>
          </cell>
          <cell r="H159">
            <v>4004842.8571429001</v>
          </cell>
          <cell r="I159">
            <v>4009842.8571429001</v>
          </cell>
          <cell r="J159">
            <v>4014842.8571429001</v>
          </cell>
          <cell r="K159">
            <v>4019842.8571429001</v>
          </cell>
          <cell r="L159">
            <v>4024842.8571429001</v>
          </cell>
          <cell r="M159">
            <v>4029842.8571429001</v>
          </cell>
          <cell r="N159">
            <v>4034842.8571429001</v>
          </cell>
        </row>
        <row r="160">
          <cell r="A160" t="str">
            <v>A_2420320</v>
          </cell>
          <cell r="B160" t="str">
            <v>Misc Accru Liab-Unclaimed Funds</v>
          </cell>
          <cell r="C160">
            <v>46457.1428571</v>
          </cell>
          <cell r="D160">
            <v>46457.1428571</v>
          </cell>
          <cell r="E160">
            <v>46457.1428571</v>
          </cell>
          <cell r="F160">
            <v>46457.1428571</v>
          </cell>
          <cell r="G160">
            <v>46457.1428571</v>
          </cell>
          <cell r="H160">
            <v>46457.1428571</v>
          </cell>
          <cell r="I160">
            <v>46457.1428571</v>
          </cell>
          <cell r="J160">
            <v>46457.1428571</v>
          </cell>
          <cell r="K160">
            <v>46457.1428571</v>
          </cell>
          <cell r="L160">
            <v>46457.1428571</v>
          </cell>
          <cell r="M160">
            <v>46457.1428571</v>
          </cell>
          <cell r="N160">
            <v>46457.1428571</v>
          </cell>
        </row>
        <row r="161">
          <cell r="A161" t="str">
            <v>A_2420321</v>
          </cell>
          <cell r="B161" t="str">
            <v>Misc Accru Liab-PGS MGP Environmental Liability</v>
          </cell>
          <cell r="C161">
            <v>12618620</v>
          </cell>
          <cell r="D161">
            <v>12618620</v>
          </cell>
          <cell r="E161">
            <v>12618620</v>
          </cell>
          <cell r="F161">
            <v>12618620</v>
          </cell>
          <cell r="G161">
            <v>12618620</v>
          </cell>
          <cell r="H161">
            <v>12618620</v>
          </cell>
          <cell r="I161">
            <v>12618620</v>
          </cell>
          <cell r="J161">
            <v>12618620</v>
          </cell>
          <cell r="K161">
            <v>12618620</v>
          </cell>
          <cell r="L161">
            <v>12618620</v>
          </cell>
          <cell r="M161">
            <v>12618620</v>
          </cell>
          <cell r="N161">
            <v>11000000</v>
          </cell>
        </row>
        <row r="162">
          <cell r="A162" t="str">
            <v>A_2420800</v>
          </cell>
          <cell r="B162" t="str">
            <v>Misc Accru Liab-Miscellaneous</v>
          </cell>
          <cell r="C162">
            <v>205250</v>
          </cell>
          <cell r="D162">
            <v>258650</v>
          </cell>
          <cell r="E162">
            <v>286070</v>
          </cell>
          <cell r="F162">
            <v>286070</v>
          </cell>
          <cell r="G162">
            <v>286070</v>
          </cell>
          <cell r="H162">
            <v>286070</v>
          </cell>
          <cell r="I162">
            <v>286070</v>
          </cell>
          <cell r="J162">
            <v>195570</v>
          </cell>
          <cell r="K162">
            <v>195570</v>
          </cell>
          <cell r="L162">
            <v>180770</v>
          </cell>
          <cell r="M162">
            <v>180770</v>
          </cell>
          <cell r="N162">
            <v>180420</v>
          </cell>
        </row>
        <row r="163">
          <cell r="A163" t="str">
            <v>A_2520000</v>
          </cell>
          <cell r="B163" t="str">
            <v>Customer Advances for Construction</v>
          </cell>
          <cell r="C163">
            <v>20000000</v>
          </cell>
          <cell r="D163">
            <v>20000000</v>
          </cell>
          <cell r="E163">
            <v>20000000</v>
          </cell>
          <cell r="F163">
            <v>20000000</v>
          </cell>
          <cell r="G163">
            <v>20000000</v>
          </cell>
          <cell r="H163">
            <v>20000000</v>
          </cell>
          <cell r="I163">
            <v>20000000</v>
          </cell>
          <cell r="J163">
            <v>20000000</v>
          </cell>
          <cell r="K163">
            <v>20000000</v>
          </cell>
          <cell r="L163">
            <v>20000000</v>
          </cell>
          <cell r="M163">
            <v>20000000</v>
          </cell>
          <cell r="N163">
            <v>20000000</v>
          </cell>
        </row>
        <row r="164">
          <cell r="A164" t="str">
            <v>A_2530299</v>
          </cell>
          <cell r="B164" t="str">
            <v>Oth Defd CR-Contract Retentions (RECON)</v>
          </cell>
          <cell r="C164">
            <v>3510300</v>
          </cell>
          <cell r="D164">
            <v>2949240</v>
          </cell>
          <cell r="E164">
            <v>2115420</v>
          </cell>
          <cell r="F164">
            <v>2321480</v>
          </cell>
          <cell r="G164">
            <v>2369210</v>
          </cell>
          <cell r="H164">
            <v>2364250</v>
          </cell>
          <cell r="I164">
            <v>2406470</v>
          </cell>
          <cell r="J164">
            <v>3500130</v>
          </cell>
          <cell r="K164">
            <v>3543220</v>
          </cell>
          <cell r="L164">
            <v>3595380</v>
          </cell>
          <cell r="M164">
            <v>2900150</v>
          </cell>
          <cell r="N164">
            <v>2396050</v>
          </cell>
        </row>
        <row r="165">
          <cell r="A165" t="str">
            <v>A_2530310</v>
          </cell>
          <cell r="B165" t="str">
            <v>Oth Defd CR-Unclaimed Items</v>
          </cell>
          <cell r="C165">
            <v>10000</v>
          </cell>
          <cell r="D165">
            <v>10000</v>
          </cell>
          <cell r="E165">
            <v>10000</v>
          </cell>
          <cell r="F165">
            <v>10000</v>
          </cell>
          <cell r="G165">
            <v>10000</v>
          </cell>
          <cell r="H165">
            <v>10000</v>
          </cell>
          <cell r="I165">
            <v>10000</v>
          </cell>
          <cell r="J165">
            <v>10000</v>
          </cell>
          <cell r="K165">
            <v>10000</v>
          </cell>
          <cell r="L165">
            <v>10000</v>
          </cell>
          <cell r="M165">
            <v>10000</v>
          </cell>
          <cell r="N165">
            <v>10000</v>
          </cell>
        </row>
        <row r="166">
          <cell r="A166" t="str">
            <v>A_2530340</v>
          </cell>
          <cell r="B166" t="str">
            <v>Oth Defd CR Long-term incentive</v>
          </cell>
          <cell r="C166">
            <v>1635787</v>
          </cell>
          <cell r="D166">
            <v>1635787</v>
          </cell>
          <cell r="E166">
            <v>834249</v>
          </cell>
          <cell r="F166">
            <v>834249</v>
          </cell>
          <cell r="G166">
            <v>834249</v>
          </cell>
          <cell r="H166">
            <v>1123235.6666667</v>
          </cell>
          <cell r="I166">
            <v>1123235.6666667</v>
          </cell>
          <cell r="J166">
            <v>1123235.6666667</v>
          </cell>
          <cell r="K166">
            <v>1412222.3333333</v>
          </cell>
          <cell r="L166">
            <v>1412222.3333333</v>
          </cell>
          <cell r="M166">
            <v>1412222.3333333</v>
          </cell>
          <cell r="N166">
            <v>1701209</v>
          </cell>
        </row>
        <row r="167">
          <cell r="A167" t="str">
            <v>A_2530360</v>
          </cell>
          <cell r="B167" t="str">
            <v>Oth Defd CR-Deferred Interest Revenue - GAAP adj</v>
          </cell>
          <cell r="C167">
            <v>0</v>
          </cell>
          <cell r="D167">
            <v>0</v>
          </cell>
          <cell r="E167">
            <v>-1645.5830541</v>
          </cell>
          <cell r="F167">
            <v>-3970.4198900000001</v>
          </cell>
          <cell r="G167">
            <v>-6978.8743717999996</v>
          </cell>
          <cell r="H167">
            <v>-10675.338399099999</v>
          </cell>
          <cell r="I167">
            <v>-15064.232087300001</v>
          </cell>
          <cell r="J167">
            <v>-20150.003948900001</v>
          </cell>
          <cell r="K167">
            <v>-25937.1310758</v>
          </cell>
          <cell r="L167">
            <v>-32430.119322800001</v>
          </cell>
          <cell r="M167">
            <v>-39633.503492999997</v>
          </cell>
          <cell r="N167">
            <v>-47551.847522800002</v>
          </cell>
        </row>
        <row r="168">
          <cell r="A168" t="str">
            <v>A_2530800</v>
          </cell>
          <cell r="B168" t="str">
            <v>Oth Defd CR-Miscellaneous</v>
          </cell>
          <cell r="C168">
            <v>269505.65999999997</v>
          </cell>
          <cell r="D168">
            <v>252422.32</v>
          </cell>
          <cell r="E168">
            <v>235338.98</v>
          </cell>
          <cell r="F168">
            <v>218255.64</v>
          </cell>
          <cell r="G168">
            <v>201172.3</v>
          </cell>
          <cell r="H168">
            <v>184088.95999999999</v>
          </cell>
          <cell r="I168">
            <v>167005.62</v>
          </cell>
          <cell r="J168">
            <v>149922.28</v>
          </cell>
          <cell r="K168">
            <v>132838.94</v>
          </cell>
          <cell r="L168">
            <v>115755.6</v>
          </cell>
          <cell r="M168">
            <v>98672.26</v>
          </cell>
          <cell r="N168">
            <v>286588.92</v>
          </cell>
        </row>
        <row r="169">
          <cell r="A169" t="str">
            <v>A_2540040</v>
          </cell>
          <cell r="B169" t="str">
            <v>Oth Reg Liab-Conservation Clause</v>
          </cell>
          <cell r="C169">
            <v>2009675</v>
          </cell>
          <cell r="D169">
            <v>2238018</v>
          </cell>
          <cell r="E169">
            <v>2163234</v>
          </cell>
          <cell r="F169">
            <v>2081867</v>
          </cell>
          <cell r="G169">
            <v>1659185</v>
          </cell>
          <cell r="H169">
            <v>1122213</v>
          </cell>
          <cell r="I169">
            <v>525623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A_2540071</v>
          </cell>
          <cell r="B170" t="str">
            <v>Oth Reg Liab-Cast Iron Bare Steel Replacem Rider</v>
          </cell>
          <cell r="C170">
            <v>0</v>
          </cell>
          <cell r="D170">
            <v>61782.89</v>
          </cell>
          <cell r="E170">
            <v>344491.89</v>
          </cell>
          <cell r="F170">
            <v>508292.89</v>
          </cell>
          <cell r="G170">
            <v>561445.89</v>
          </cell>
          <cell r="H170">
            <v>550298.89</v>
          </cell>
          <cell r="I170">
            <v>489937.89</v>
          </cell>
          <cell r="J170">
            <v>392117.89</v>
          </cell>
          <cell r="K170">
            <v>294551.89</v>
          </cell>
          <cell r="L170">
            <v>191644.89</v>
          </cell>
          <cell r="M170">
            <v>154306.89000000001</v>
          </cell>
          <cell r="N170">
            <v>298608.89</v>
          </cell>
        </row>
        <row r="171">
          <cell r="A171" t="str">
            <v>A_2540280</v>
          </cell>
          <cell r="B171" t="str">
            <v>Oth Reg Liab-Defd Gain Prop Sales-NonCurrent</v>
          </cell>
          <cell r="C171">
            <v>1895100</v>
          </cell>
          <cell r="D171">
            <v>1848700</v>
          </cell>
          <cell r="E171">
            <v>1802300</v>
          </cell>
          <cell r="F171">
            <v>1755900</v>
          </cell>
          <cell r="G171">
            <v>1709500</v>
          </cell>
          <cell r="H171">
            <v>1663100</v>
          </cell>
          <cell r="I171">
            <v>1616700</v>
          </cell>
          <cell r="J171">
            <v>1570300</v>
          </cell>
          <cell r="K171">
            <v>1523900</v>
          </cell>
          <cell r="L171">
            <v>1477500</v>
          </cell>
          <cell r="M171">
            <v>1431100</v>
          </cell>
          <cell r="N171">
            <v>1384700</v>
          </cell>
        </row>
        <row r="172">
          <cell r="A172" t="str">
            <v>A_2540610</v>
          </cell>
          <cell r="B172" t="str">
            <v>Oth Reg Liab-FAS 109 Income Tax</v>
          </cell>
          <cell r="C172">
            <v>89616530.829999998</v>
          </cell>
          <cell r="D172">
            <v>89641213.140000001</v>
          </cell>
          <cell r="E172">
            <v>89295586.980000004</v>
          </cell>
          <cell r="F172">
            <v>89320269.219999999</v>
          </cell>
          <cell r="G172">
            <v>89344951.469999999</v>
          </cell>
          <cell r="H172">
            <v>89273098.980000004</v>
          </cell>
          <cell r="I172">
            <v>89297781.240000099</v>
          </cell>
          <cell r="J172">
            <v>89322463.470000103</v>
          </cell>
          <cell r="K172">
            <v>89364282.7700001</v>
          </cell>
          <cell r="L172">
            <v>89388965.040000096</v>
          </cell>
          <cell r="M172">
            <v>89413647.320000097</v>
          </cell>
          <cell r="N172">
            <v>89265311.370000005</v>
          </cell>
        </row>
        <row r="173">
          <cell r="A173" t="str">
            <v>A_2550000</v>
          </cell>
          <cell r="B173" t="str">
            <v>Accumulated Deferred Investment Tax Credits</v>
          </cell>
          <cell r="C173">
            <v>3313258</v>
          </cell>
          <cell r="D173">
            <v>3313258</v>
          </cell>
          <cell r="E173">
            <v>3313258</v>
          </cell>
          <cell r="F173">
            <v>3313258</v>
          </cell>
          <cell r="G173">
            <v>3313258</v>
          </cell>
          <cell r="H173">
            <v>3313258</v>
          </cell>
          <cell r="I173">
            <v>3313258</v>
          </cell>
          <cell r="J173">
            <v>3313258</v>
          </cell>
          <cell r="K173">
            <v>3313258</v>
          </cell>
          <cell r="L173">
            <v>3313258</v>
          </cell>
          <cell r="M173">
            <v>3313258</v>
          </cell>
          <cell r="N173">
            <v>3313258</v>
          </cell>
        </row>
        <row r="174">
          <cell r="A174" t="str">
            <v>A_2820300</v>
          </cell>
          <cell r="B174" t="str">
            <v>Defd Inc Tax Other Property - Federal</v>
          </cell>
          <cell r="C174">
            <v>256235597.28</v>
          </cell>
          <cell r="D174">
            <v>258057802.41999999</v>
          </cell>
          <cell r="E174">
            <v>259859161.99000001</v>
          </cell>
          <cell r="F174">
            <v>261658916.27000001</v>
          </cell>
          <cell r="G174">
            <v>263458376.28</v>
          </cell>
          <cell r="H174">
            <v>265219707.66</v>
          </cell>
          <cell r="I174">
            <v>266977731.88999999</v>
          </cell>
          <cell r="J174">
            <v>268733560.86000001</v>
          </cell>
          <cell r="K174">
            <v>270489237.67000002</v>
          </cell>
          <cell r="L174">
            <v>272244731.01999998</v>
          </cell>
          <cell r="M174">
            <v>274000094.66000003</v>
          </cell>
          <cell r="N174">
            <v>275754610.30000001</v>
          </cell>
        </row>
        <row r="175">
          <cell r="A175" t="str">
            <v>A_2820400</v>
          </cell>
          <cell r="B175" t="str">
            <v>Defd Inc Tax Other Property - State</v>
          </cell>
          <cell r="C175">
            <v>44980917.450000003</v>
          </cell>
          <cell r="D175">
            <v>45516830.649999999</v>
          </cell>
          <cell r="E175">
            <v>46046966.549999997</v>
          </cell>
          <cell r="F175">
            <v>46576657.560000002</v>
          </cell>
          <cell r="G175">
            <v>47106266.990000002</v>
          </cell>
          <cell r="H175">
            <v>47461114.920000002</v>
          </cell>
          <cell r="I175">
            <v>47979240.520000003</v>
          </cell>
          <cell r="J175">
            <v>48496757.710000001</v>
          </cell>
          <cell r="K175">
            <v>49014232.710000001</v>
          </cell>
          <cell r="L175">
            <v>49531656.909999996</v>
          </cell>
          <cell r="M175">
            <v>50049045.119999997</v>
          </cell>
          <cell r="N175">
            <v>50402003.969999999</v>
          </cell>
        </row>
        <row r="176">
          <cell r="A176" t="str">
            <v>A_2820610</v>
          </cell>
          <cell r="B176" t="str">
            <v>Defd Inc Tax Other Property - FAS109</v>
          </cell>
          <cell r="C176">
            <v>-63201400.689999998</v>
          </cell>
          <cell r="D176">
            <v>-63137985.270000003</v>
          </cell>
          <cell r="E176">
            <v>-62793280.490000002</v>
          </cell>
          <cell r="F176">
            <v>-62707487.170000002</v>
          </cell>
          <cell r="G176">
            <v>-62625857.229999997</v>
          </cell>
          <cell r="H176">
            <v>-62483786.659999996</v>
          </cell>
          <cell r="I176">
            <v>-62408536.359999999</v>
          </cell>
          <cell r="J176">
            <v>-62324839.530000001</v>
          </cell>
          <cell r="K176">
            <v>-62245876.950000003</v>
          </cell>
          <cell r="L176">
            <v>-62147131.090000004</v>
          </cell>
          <cell r="M176">
            <v>-62077264.060000002</v>
          </cell>
          <cell r="N176">
            <v>-61906248.979999997</v>
          </cell>
        </row>
        <row r="177">
          <cell r="A177" t="str">
            <v>A_2830300</v>
          </cell>
          <cell r="B177" t="str">
            <v>DIT Liab-Federal</v>
          </cell>
          <cell r="C177">
            <v>10622589.859999999</v>
          </cell>
          <cell r="D177">
            <v>10575363.130000001</v>
          </cell>
          <cell r="E177">
            <v>10279196.35</v>
          </cell>
          <cell r="F177">
            <v>10144339.050000001</v>
          </cell>
          <cell r="G177">
            <v>10092637.67</v>
          </cell>
          <cell r="H177">
            <v>10357009.27</v>
          </cell>
          <cell r="I177">
            <v>10363521.02</v>
          </cell>
          <cell r="J177">
            <v>10383031.23</v>
          </cell>
          <cell r="K177">
            <v>10548991.140000001</v>
          </cell>
          <cell r="L177">
            <v>10613013.67</v>
          </cell>
          <cell r="M177">
            <v>10599680.42</v>
          </cell>
          <cell r="N177">
            <v>11157948.029999999</v>
          </cell>
        </row>
        <row r="178">
          <cell r="A178" t="str">
            <v>A_2830330</v>
          </cell>
          <cell r="B178" t="str">
            <v>DIT Liab-FAS 158 - Federal</v>
          </cell>
          <cell r="C178">
            <v>9743467.3100000005</v>
          </cell>
          <cell r="D178">
            <v>9743467.3100000005</v>
          </cell>
          <cell r="E178">
            <v>9743467.3100000005</v>
          </cell>
          <cell r="F178">
            <v>9743467.3100000005</v>
          </cell>
          <cell r="G178">
            <v>9743467.3100000005</v>
          </cell>
          <cell r="H178">
            <v>9743467.3100000005</v>
          </cell>
          <cell r="I178">
            <v>9743467.3100000005</v>
          </cell>
          <cell r="J178">
            <v>9743467.3100000005</v>
          </cell>
          <cell r="K178">
            <v>9743467.3100000005</v>
          </cell>
          <cell r="L178">
            <v>9743467.3100000005</v>
          </cell>
          <cell r="M178">
            <v>9743467.3100000005</v>
          </cell>
          <cell r="N178">
            <v>9743467.3100000005</v>
          </cell>
        </row>
        <row r="179">
          <cell r="A179" t="str">
            <v>A_2830331</v>
          </cell>
          <cell r="B179" t="str">
            <v>DIT Liab-FAS 158 - Medicare Part D - Federal</v>
          </cell>
          <cell r="C179">
            <v>31991</v>
          </cell>
          <cell r="D179">
            <v>31991</v>
          </cell>
          <cell r="E179">
            <v>31991</v>
          </cell>
          <cell r="F179">
            <v>31991</v>
          </cell>
          <cell r="G179">
            <v>31991</v>
          </cell>
          <cell r="H179">
            <v>31991</v>
          </cell>
          <cell r="I179">
            <v>31991</v>
          </cell>
          <cell r="J179">
            <v>31991</v>
          </cell>
          <cell r="K179">
            <v>31991</v>
          </cell>
          <cell r="L179">
            <v>31991</v>
          </cell>
          <cell r="M179">
            <v>31991</v>
          </cell>
          <cell r="N179">
            <v>31991</v>
          </cell>
        </row>
        <row r="180">
          <cell r="A180" t="str">
            <v>A_2830340</v>
          </cell>
          <cell r="B180" t="str">
            <v>DIT Liab-FAS 133 - Federal</v>
          </cell>
          <cell r="C180">
            <v>263176.49</v>
          </cell>
          <cell r="D180">
            <v>263176.49</v>
          </cell>
          <cell r="E180">
            <v>263176.49</v>
          </cell>
          <cell r="F180">
            <v>263176.49</v>
          </cell>
          <cell r="G180">
            <v>263176.49</v>
          </cell>
          <cell r="H180">
            <v>263176.49</v>
          </cell>
          <cell r="I180">
            <v>263176.49</v>
          </cell>
          <cell r="J180">
            <v>263176.49</v>
          </cell>
          <cell r="K180">
            <v>263176.49</v>
          </cell>
          <cell r="L180">
            <v>263176.49</v>
          </cell>
          <cell r="M180">
            <v>263176.49</v>
          </cell>
          <cell r="N180">
            <v>263176.49</v>
          </cell>
        </row>
        <row r="181">
          <cell r="A181" t="str">
            <v>A_2830400</v>
          </cell>
          <cell r="B181" t="str">
            <v>DIT Liab-State</v>
          </cell>
          <cell r="C181">
            <v>1604590.7</v>
          </cell>
          <cell r="D181">
            <v>1591501.92</v>
          </cell>
          <cell r="E181">
            <v>1586038.49</v>
          </cell>
          <cell r="F181">
            <v>1548663.07</v>
          </cell>
          <cell r="G181">
            <v>1534334.15</v>
          </cell>
          <cell r="H181">
            <v>1560968.24</v>
          </cell>
          <cell r="I181">
            <v>1562772.96</v>
          </cell>
          <cell r="J181">
            <v>1568180.17</v>
          </cell>
          <cell r="K181">
            <v>1610629.89</v>
          </cell>
          <cell r="L181">
            <v>1628373.6</v>
          </cell>
          <cell r="M181">
            <v>1624678.32</v>
          </cell>
          <cell r="N181">
            <v>1748589.98</v>
          </cell>
        </row>
        <row r="182">
          <cell r="A182" t="str">
            <v>A_2830430</v>
          </cell>
          <cell r="B182" t="str">
            <v>DIT Liab-FAS 158 - State</v>
          </cell>
          <cell r="C182">
            <v>1661623.15</v>
          </cell>
          <cell r="D182">
            <v>1661623.15</v>
          </cell>
          <cell r="E182">
            <v>1661623.15</v>
          </cell>
          <cell r="F182">
            <v>1661623.15</v>
          </cell>
          <cell r="G182">
            <v>1661623.15</v>
          </cell>
          <cell r="H182">
            <v>1661623.15</v>
          </cell>
          <cell r="I182">
            <v>1661623.15</v>
          </cell>
          <cell r="J182">
            <v>1661623.15</v>
          </cell>
          <cell r="K182">
            <v>1661623.15</v>
          </cell>
          <cell r="L182">
            <v>1661623.15</v>
          </cell>
          <cell r="M182">
            <v>1661623.15</v>
          </cell>
          <cell r="N182">
            <v>1661623.15</v>
          </cell>
        </row>
        <row r="183">
          <cell r="A183" t="str">
            <v>A_2830431</v>
          </cell>
          <cell r="B183" t="str">
            <v>DIT Liab-FAS 158 - Medicare Part D - State</v>
          </cell>
          <cell r="C183">
            <v>5320</v>
          </cell>
          <cell r="D183">
            <v>5320</v>
          </cell>
          <cell r="E183">
            <v>5320</v>
          </cell>
          <cell r="F183">
            <v>5320</v>
          </cell>
          <cell r="G183">
            <v>5320</v>
          </cell>
          <cell r="H183">
            <v>5320</v>
          </cell>
          <cell r="I183">
            <v>5320</v>
          </cell>
          <cell r="J183">
            <v>5320</v>
          </cell>
          <cell r="K183">
            <v>5320</v>
          </cell>
          <cell r="L183">
            <v>5320</v>
          </cell>
          <cell r="M183">
            <v>5320</v>
          </cell>
          <cell r="N183">
            <v>5320</v>
          </cell>
        </row>
        <row r="184">
          <cell r="A184" t="str">
            <v>A_2830610</v>
          </cell>
          <cell r="B184" t="str">
            <v>DIT Liab-FAS109 - Other</v>
          </cell>
          <cell r="C184">
            <v>-21500136.289999999</v>
          </cell>
          <cell r="D184">
            <v>-21478607.079999998</v>
          </cell>
          <cell r="E184">
            <v>-21361581.530000001</v>
          </cell>
          <cell r="F184">
            <v>-21332455.100000001</v>
          </cell>
          <cell r="G184">
            <v>-21304742.170000002</v>
          </cell>
          <cell r="H184">
            <v>-21259943.140000001</v>
          </cell>
          <cell r="I184">
            <v>-21234396.010000002</v>
          </cell>
          <cell r="J184">
            <v>-21205981.420000002</v>
          </cell>
          <cell r="K184">
            <v>-21179173.989999998</v>
          </cell>
          <cell r="L184">
            <v>-21145650.25</v>
          </cell>
          <cell r="M184">
            <v>-21121930.760000002</v>
          </cell>
          <cell r="N184">
            <v>-21067305.23</v>
          </cell>
        </row>
        <row r="185">
          <cell r="A185" t="str">
            <v>A_4073071</v>
          </cell>
          <cell r="B185" t="str">
            <v>REG DR CI/BS Rider</v>
          </cell>
          <cell r="C185">
            <v>425310</v>
          </cell>
          <cell r="D185">
            <v>364064</v>
          </cell>
          <cell r="E185">
            <v>221874</v>
          </cell>
          <cell r="F185">
            <v>102155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83378</v>
          </cell>
        </row>
        <row r="186">
          <cell r="A186" t="str">
            <v>A_4073072</v>
          </cell>
          <cell r="B186" t="str">
            <v>REG DR Defd CIBSR - Amortization</v>
          </cell>
          <cell r="C186">
            <v>60097</v>
          </cell>
          <cell r="D186">
            <v>60097</v>
          </cell>
          <cell r="E186">
            <v>60097</v>
          </cell>
          <cell r="F186">
            <v>60097</v>
          </cell>
          <cell r="G186">
            <v>60097</v>
          </cell>
          <cell r="H186">
            <v>60097</v>
          </cell>
          <cell r="I186">
            <v>60097</v>
          </cell>
          <cell r="J186">
            <v>60097</v>
          </cell>
          <cell r="K186">
            <v>60097</v>
          </cell>
          <cell r="L186">
            <v>60097</v>
          </cell>
          <cell r="M186">
            <v>60097</v>
          </cell>
          <cell r="N186">
            <v>60101</v>
          </cell>
        </row>
        <row r="187">
          <cell r="A187" t="str">
            <v>A_4073140</v>
          </cell>
          <cell r="B187" t="str">
            <v>REG DR Defd Conservation - Gas</v>
          </cell>
          <cell r="C187">
            <v>749989</v>
          </cell>
          <cell r="D187">
            <v>515842</v>
          </cell>
          <cell r="E187">
            <v>212436</v>
          </cell>
          <cell r="F187">
            <v>206137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284997</v>
          </cell>
        </row>
        <row r="188">
          <cell r="A188" t="str">
            <v>A_4074061</v>
          </cell>
          <cell r="B188" t="str">
            <v>REG CR Defd PGA - Amortization</v>
          </cell>
          <cell r="C188">
            <v>-24</v>
          </cell>
          <cell r="D188">
            <v>-24</v>
          </cell>
          <cell r="E188">
            <v>-24</v>
          </cell>
          <cell r="F188">
            <v>-24</v>
          </cell>
          <cell r="G188">
            <v>-24</v>
          </cell>
          <cell r="H188">
            <v>-24</v>
          </cell>
          <cell r="I188">
            <v>-24</v>
          </cell>
          <cell r="J188">
            <v>-24</v>
          </cell>
          <cell r="K188">
            <v>-24</v>
          </cell>
          <cell r="L188">
            <v>-24</v>
          </cell>
          <cell r="M188">
            <v>-24</v>
          </cell>
          <cell r="N188">
            <v>-28</v>
          </cell>
        </row>
        <row r="189">
          <cell r="A189" t="str">
            <v>A_4074071</v>
          </cell>
          <cell r="B189" t="str">
            <v>REG CR Defd CI/BSR Rider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8887</v>
          </cell>
          <cell r="H189">
            <v>73264</v>
          </cell>
          <cell r="I189">
            <v>122348</v>
          </cell>
          <cell r="J189">
            <v>159519</v>
          </cell>
          <cell r="K189">
            <v>158910</v>
          </cell>
          <cell r="L189">
            <v>163887</v>
          </cell>
          <cell r="M189">
            <v>98063</v>
          </cell>
          <cell r="N189">
            <v>0</v>
          </cell>
        </row>
        <row r="190">
          <cell r="A190" t="str">
            <v>A_4074140</v>
          </cell>
          <cell r="B190" t="str">
            <v>REG CR Defd Conservation - Gas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134262</v>
          </cell>
          <cell r="H190">
            <v>246809</v>
          </cell>
          <cell r="I190">
            <v>304368</v>
          </cell>
          <cell r="J190">
            <v>408138</v>
          </cell>
          <cell r="K190">
            <v>342519</v>
          </cell>
          <cell r="L190">
            <v>366192</v>
          </cell>
          <cell r="M190">
            <v>167114</v>
          </cell>
          <cell r="N190">
            <v>0</v>
          </cell>
        </row>
        <row r="191">
          <cell r="A191" t="str">
            <v>A_4074141</v>
          </cell>
          <cell r="B191" t="str">
            <v>REG CR Defd Conservation - Gas - Amortiz</v>
          </cell>
          <cell r="C191">
            <v>295216</v>
          </cell>
          <cell r="D191">
            <v>295216</v>
          </cell>
          <cell r="E191">
            <v>295216</v>
          </cell>
          <cell r="F191">
            <v>295216</v>
          </cell>
          <cell r="G191">
            <v>295216</v>
          </cell>
          <cell r="H191">
            <v>295216</v>
          </cell>
          <cell r="I191">
            <v>295216</v>
          </cell>
          <cell r="J191">
            <v>295216</v>
          </cell>
          <cell r="K191">
            <v>295216</v>
          </cell>
          <cell r="L191">
            <v>295216</v>
          </cell>
          <cell r="M191">
            <v>295216</v>
          </cell>
          <cell r="N191">
            <v>295212</v>
          </cell>
        </row>
        <row r="192">
          <cell r="A192" t="str">
            <v>A_4074212</v>
          </cell>
          <cell r="B192" t="str">
            <v>REG CR Tax Reform</v>
          </cell>
          <cell r="C192">
            <v>-97233.904879299997</v>
          </cell>
          <cell r="D192">
            <v>-97233.904879299997</v>
          </cell>
          <cell r="E192">
            <v>-97233.904879299997</v>
          </cell>
          <cell r="F192">
            <v>-97233.904879299997</v>
          </cell>
          <cell r="G192">
            <v>-97233.904879299997</v>
          </cell>
          <cell r="H192">
            <v>-97233.904879299997</v>
          </cell>
          <cell r="I192">
            <v>-97233.904879299997</v>
          </cell>
          <cell r="J192">
            <v>-97233.904879299997</v>
          </cell>
          <cell r="K192">
            <v>-97233.904879299997</v>
          </cell>
          <cell r="L192">
            <v>-97233.904879299997</v>
          </cell>
          <cell r="M192">
            <v>-97233.904879299997</v>
          </cell>
          <cell r="N192">
            <v>-97233.904879299997</v>
          </cell>
        </row>
        <row r="193">
          <cell r="A193" t="str">
            <v>A_4120000</v>
          </cell>
          <cell r="B193" t="str">
            <v>Revenues from Gas Plant leased to Others</v>
          </cell>
          <cell r="C193">
            <v>37799.15</v>
          </cell>
          <cell r="D193">
            <v>37799.15</v>
          </cell>
          <cell r="E193">
            <v>372617.15</v>
          </cell>
          <cell r="F193">
            <v>372617.15</v>
          </cell>
          <cell r="G193">
            <v>372617.15</v>
          </cell>
          <cell r="H193">
            <v>372617.15</v>
          </cell>
          <cell r="I193">
            <v>372617.15</v>
          </cell>
          <cell r="J193">
            <v>372617.15</v>
          </cell>
          <cell r="K193">
            <v>372617.15</v>
          </cell>
          <cell r="L193">
            <v>372617.15</v>
          </cell>
          <cell r="M193">
            <v>372617.15</v>
          </cell>
          <cell r="N193">
            <v>372617.15</v>
          </cell>
        </row>
        <row r="194">
          <cell r="A194" t="str">
            <v>A_4120001</v>
          </cell>
          <cell r="B194" t="str">
            <v>Revenues from Gas Plant leased to Others-GAAP adj</v>
          </cell>
          <cell r="C194">
            <v>0</v>
          </cell>
          <cell r="D194">
            <v>0</v>
          </cell>
          <cell r="E194">
            <v>-334818</v>
          </cell>
          <cell r="F194">
            <v>-334818</v>
          </cell>
          <cell r="G194">
            <v>-334818</v>
          </cell>
          <cell r="H194">
            <v>-334818</v>
          </cell>
          <cell r="I194">
            <v>-334818</v>
          </cell>
          <cell r="J194">
            <v>-334818</v>
          </cell>
          <cell r="K194">
            <v>-334818</v>
          </cell>
          <cell r="L194">
            <v>-334818</v>
          </cell>
          <cell r="M194">
            <v>-334818</v>
          </cell>
          <cell r="N194">
            <v>-334818</v>
          </cell>
        </row>
        <row r="195">
          <cell r="A195" t="str">
            <v>A_4120002</v>
          </cell>
          <cell r="B195" t="str">
            <v>Rev from Gas Plant leased-Interest Earned GAAP</v>
          </cell>
          <cell r="C195">
            <v>0</v>
          </cell>
          <cell r="D195">
            <v>0</v>
          </cell>
          <cell r="E195">
            <v>230735</v>
          </cell>
          <cell r="F195">
            <v>230735</v>
          </cell>
          <cell r="G195">
            <v>230735</v>
          </cell>
          <cell r="H195">
            <v>230735</v>
          </cell>
          <cell r="I195">
            <v>230735</v>
          </cell>
          <cell r="J195">
            <v>230735</v>
          </cell>
          <cell r="K195">
            <v>230735</v>
          </cell>
          <cell r="L195">
            <v>230735</v>
          </cell>
          <cell r="M195">
            <v>230735</v>
          </cell>
          <cell r="N195">
            <v>230735</v>
          </cell>
        </row>
        <row r="196">
          <cell r="A196" t="str">
            <v>A_4800010</v>
          </cell>
          <cell r="B196" t="str">
            <v>Residential - 1</v>
          </cell>
          <cell r="C196">
            <v>2124488.6252393001</v>
          </cell>
          <cell r="D196">
            <v>2081489.7284261</v>
          </cell>
          <cell r="E196">
            <v>2049483.4437921001</v>
          </cell>
          <cell r="F196">
            <v>2002244.5545194</v>
          </cell>
          <cell r="G196">
            <v>1950535.7284575</v>
          </cell>
          <cell r="H196">
            <v>1936525.8404138</v>
          </cell>
          <cell r="I196">
            <v>1845479.2257578</v>
          </cell>
          <cell r="J196">
            <v>1859338.1360193</v>
          </cell>
          <cell r="K196">
            <v>1887729.6823793999</v>
          </cell>
          <cell r="L196">
            <v>1887956.1335893001</v>
          </cell>
          <cell r="M196">
            <v>1951688.6136349</v>
          </cell>
          <cell r="N196">
            <v>2047314.3451996001</v>
          </cell>
        </row>
        <row r="197">
          <cell r="A197" t="str">
            <v>A_4800011</v>
          </cell>
          <cell r="B197" t="str">
            <v>Residential - 1 FUEL</v>
          </cell>
          <cell r="C197">
            <v>1802470.1205406999</v>
          </cell>
          <cell r="D197">
            <v>1649403.1975165</v>
          </cell>
          <cell r="E197">
            <v>1555445.9522682</v>
          </cell>
          <cell r="F197">
            <v>1126540.7376055999</v>
          </cell>
          <cell r="G197">
            <v>905521.41617970006</v>
          </cell>
          <cell r="H197">
            <v>834810.08637709997</v>
          </cell>
          <cell r="I197">
            <v>672870.92105640005</v>
          </cell>
          <cell r="J197">
            <v>740447.59301269997</v>
          </cell>
          <cell r="K197">
            <v>727566.89839089999</v>
          </cell>
          <cell r="L197">
            <v>845193.5528372</v>
          </cell>
          <cell r="M197">
            <v>1013813.2030103999</v>
          </cell>
          <cell r="N197">
            <v>1186277.0789034001</v>
          </cell>
        </row>
        <row r="198">
          <cell r="A198" t="str">
            <v>A_4800020</v>
          </cell>
          <cell r="B198" t="str">
            <v>Residential - 2</v>
          </cell>
          <cell r="C198">
            <v>4874574.0079557002</v>
          </cell>
          <cell r="D198">
            <v>4706434.1949647004</v>
          </cell>
          <cell r="E198">
            <v>4344697.1387996003</v>
          </cell>
          <cell r="F198">
            <v>4135138.9952171999</v>
          </cell>
          <cell r="G198">
            <v>4024625.4451318998</v>
          </cell>
          <cell r="H198">
            <v>4006497.4337817999</v>
          </cell>
          <cell r="I198">
            <v>4069725.7641909998</v>
          </cell>
          <cell r="J198">
            <v>4085378.7318664999</v>
          </cell>
          <cell r="K198">
            <v>4193530.7236509002</v>
          </cell>
          <cell r="L198">
            <v>4161600.5672295</v>
          </cell>
          <cell r="M198">
            <v>4368103.2080456</v>
          </cell>
          <cell r="N198">
            <v>4805935.9304181002</v>
          </cell>
        </row>
        <row r="199">
          <cell r="A199" t="str">
            <v>A_4800021</v>
          </cell>
          <cell r="B199" t="str">
            <v>Residential - 2 FUEL</v>
          </cell>
          <cell r="C199">
            <v>8084437.6731115002</v>
          </cell>
          <cell r="D199">
            <v>7909574.8885284998</v>
          </cell>
          <cell r="E199">
            <v>5228717.7286152998</v>
          </cell>
          <cell r="F199">
            <v>3789968.8678528001</v>
          </cell>
          <cell r="G199">
            <v>3353329.0173256998</v>
          </cell>
          <cell r="H199">
            <v>3289248.9458252001</v>
          </cell>
          <cell r="I199">
            <v>2921955.2201779</v>
          </cell>
          <cell r="J199">
            <v>3027785.6290810001</v>
          </cell>
          <cell r="K199">
            <v>3028467.9983502999</v>
          </cell>
          <cell r="L199">
            <v>3374836.3792137001</v>
          </cell>
          <cell r="M199">
            <v>4000601.0827508001</v>
          </cell>
          <cell r="N199">
            <v>4841831.6155735003</v>
          </cell>
        </row>
        <row r="200">
          <cell r="A200" t="str">
            <v>A_4800030</v>
          </cell>
          <cell r="B200" t="str">
            <v>Residential - 3</v>
          </cell>
          <cell r="C200">
            <v>4812148.2781875003</v>
          </cell>
          <cell r="D200">
            <v>4584320.2334567998</v>
          </cell>
          <cell r="E200">
            <v>4331548.8811322004</v>
          </cell>
          <cell r="F200">
            <v>4043805.6488343999</v>
          </cell>
          <cell r="G200">
            <v>3671184.5420590998</v>
          </cell>
          <cell r="H200">
            <v>3525278.1948063001</v>
          </cell>
          <cell r="I200">
            <v>3406837.9310058998</v>
          </cell>
          <cell r="J200">
            <v>3421249.6479312</v>
          </cell>
          <cell r="K200">
            <v>3551258.7259030002</v>
          </cell>
          <cell r="L200">
            <v>3579553.1637937999</v>
          </cell>
          <cell r="M200">
            <v>3993509.7637279001</v>
          </cell>
          <cell r="N200">
            <v>4736089.6692231996</v>
          </cell>
        </row>
        <row r="201">
          <cell r="A201" t="str">
            <v>A_4800031</v>
          </cell>
          <cell r="B201" t="str">
            <v>Residential - 3 FUEL</v>
          </cell>
          <cell r="C201">
            <v>11818147.071142299</v>
          </cell>
          <cell r="D201">
            <v>9991758.8036947008</v>
          </cell>
          <cell r="E201">
            <v>7898424.4496251</v>
          </cell>
          <cell r="F201">
            <v>5977290.7045735996</v>
          </cell>
          <cell r="G201">
            <v>4019355.1768534002</v>
          </cell>
          <cell r="H201">
            <v>2994392.2643602001</v>
          </cell>
          <cell r="I201">
            <v>2691704.4424017002</v>
          </cell>
          <cell r="J201">
            <v>2947397.2222946002</v>
          </cell>
          <cell r="K201">
            <v>2907596.3979751002</v>
          </cell>
          <cell r="L201">
            <v>3723147.0855175001</v>
          </cell>
          <cell r="M201">
            <v>4890621.0315175997</v>
          </cell>
          <cell r="N201">
            <v>7158696.6006760001</v>
          </cell>
        </row>
        <row r="202">
          <cell r="A202" t="str">
            <v>A_4800035</v>
          </cell>
          <cell r="B202" t="str">
            <v>Residential Stand By Generator</v>
          </cell>
          <cell r="C202">
            <v>25416.2824759</v>
          </cell>
          <cell r="D202">
            <v>25462.583986000001</v>
          </cell>
          <cell r="E202">
            <v>25511.4771678</v>
          </cell>
          <cell r="F202">
            <v>25559.991336399999</v>
          </cell>
          <cell r="G202">
            <v>25605.903816599999</v>
          </cell>
          <cell r="H202">
            <v>25649.857112199999</v>
          </cell>
          <cell r="I202">
            <v>27062.026486300001</v>
          </cell>
          <cell r="J202">
            <v>27103.949608499999</v>
          </cell>
          <cell r="K202">
            <v>27147.6726805</v>
          </cell>
          <cell r="L202">
            <v>27192.127706800002</v>
          </cell>
          <cell r="M202">
            <v>27237.247196</v>
          </cell>
          <cell r="N202">
            <v>27282.578240499999</v>
          </cell>
        </row>
        <row r="203">
          <cell r="A203" t="str">
            <v>A_4800036</v>
          </cell>
          <cell r="B203" t="str">
            <v>Residential Stand By Generator FUEL</v>
          </cell>
          <cell r="C203">
            <v>14009.6073533</v>
          </cell>
          <cell r="D203">
            <v>14175.8616571</v>
          </cell>
          <cell r="E203">
            <v>12553.1221386</v>
          </cell>
          <cell r="F203">
            <v>9115.1974145000004</v>
          </cell>
          <cell r="G203">
            <v>7513.0597848999996</v>
          </cell>
          <cell r="H203">
            <v>7174.6916211999996</v>
          </cell>
          <cell r="I203">
            <v>5518.9544050000004</v>
          </cell>
          <cell r="J203">
            <v>6396.9554472</v>
          </cell>
          <cell r="K203">
            <v>5008.4917283000004</v>
          </cell>
          <cell r="L203">
            <v>6443.1795507999996</v>
          </cell>
          <cell r="M203">
            <v>7087.4000520999998</v>
          </cell>
          <cell r="N203">
            <v>10160.8315109</v>
          </cell>
        </row>
        <row r="204">
          <cell r="A204" t="str">
            <v>A_4800037</v>
          </cell>
          <cell r="B204" t="str">
            <v>Residential Gas Heat Pump</v>
          </cell>
          <cell r="C204">
            <v>106.63524</v>
          </cell>
          <cell r="D204">
            <v>106.63524</v>
          </cell>
          <cell r="E204">
            <v>106.63524</v>
          </cell>
          <cell r="F204">
            <v>106.63524</v>
          </cell>
          <cell r="G204">
            <v>106.63524</v>
          </cell>
          <cell r="H204">
            <v>106.63524</v>
          </cell>
          <cell r="I204">
            <v>106.63524</v>
          </cell>
          <cell r="J204">
            <v>106.63524</v>
          </cell>
          <cell r="K204">
            <v>106.63524</v>
          </cell>
          <cell r="L204">
            <v>106.63524</v>
          </cell>
          <cell r="M204">
            <v>106.63524</v>
          </cell>
          <cell r="N204">
            <v>106.63524</v>
          </cell>
        </row>
        <row r="205">
          <cell r="A205" t="str">
            <v>A_4800040</v>
          </cell>
          <cell r="B205" t="str">
            <v>Residential General Service 1</v>
          </cell>
          <cell r="C205">
            <v>419962.81463169999</v>
          </cell>
          <cell r="D205">
            <v>388077.62295470003</v>
          </cell>
          <cell r="E205">
            <v>356893.4939837</v>
          </cell>
          <cell r="F205">
            <v>303125.39827100001</v>
          </cell>
          <cell r="G205">
            <v>208524.86326809999</v>
          </cell>
          <cell r="H205">
            <v>173740.54546610001</v>
          </cell>
          <cell r="I205">
            <v>188761.67580679999</v>
          </cell>
          <cell r="J205">
            <v>162782.2654911</v>
          </cell>
          <cell r="K205">
            <v>184012.172311</v>
          </cell>
          <cell r="L205">
            <v>192225.357789</v>
          </cell>
          <cell r="M205">
            <v>322590.88725600002</v>
          </cell>
          <cell r="N205">
            <v>457752.60780619999</v>
          </cell>
        </row>
        <row r="206">
          <cell r="A206" t="str">
            <v>A_4800041</v>
          </cell>
          <cell r="B206" t="str">
            <v>Residential General Service 1 FUEL</v>
          </cell>
          <cell r="C206">
            <v>1509460.6731302</v>
          </cell>
          <cell r="D206">
            <v>1154359.8718042001</v>
          </cell>
          <cell r="E206">
            <v>1055375.2139822</v>
          </cell>
          <cell r="F206">
            <v>782279.26382500003</v>
          </cell>
          <cell r="G206">
            <v>396346.85566990002</v>
          </cell>
          <cell r="H206">
            <v>155991.68234490001</v>
          </cell>
          <cell r="I206">
            <v>483239.64770089998</v>
          </cell>
          <cell r="J206">
            <v>56079.976087100003</v>
          </cell>
          <cell r="K206">
            <v>194440.7788724</v>
          </cell>
          <cell r="L206">
            <v>-20845.580899600001</v>
          </cell>
          <cell r="M206">
            <v>639598.48025869997</v>
          </cell>
          <cell r="N206">
            <v>983451.24989630003</v>
          </cell>
        </row>
        <row r="207">
          <cell r="A207" t="str">
            <v>A_4800042</v>
          </cell>
          <cell r="B207" t="str">
            <v>Residential General Service 2</v>
          </cell>
          <cell r="C207">
            <v>25069.411957299999</v>
          </cell>
          <cell r="D207">
            <v>30511.8157464</v>
          </cell>
          <cell r="E207">
            <v>18683.059711000002</v>
          </cell>
          <cell r="F207">
            <v>17864.892115999999</v>
          </cell>
          <cell r="G207">
            <v>13207.7168657</v>
          </cell>
          <cell r="H207">
            <v>11505.2048688</v>
          </cell>
          <cell r="I207">
            <v>11604.9886917</v>
          </cell>
          <cell r="J207">
            <v>9651.9375882999993</v>
          </cell>
          <cell r="K207">
            <v>11070.5304483</v>
          </cell>
          <cell r="L207">
            <v>14419.975963299999</v>
          </cell>
          <cell r="M207">
            <v>20301.177396899999</v>
          </cell>
          <cell r="N207">
            <v>26722.631146899999</v>
          </cell>
        </row>
        <row r="208">
          <cell r="A208" t="str">
            <v>A_4800043</v>
          </cell>
          <cell r="B208" t="str">
            <v>Residential General Service 2 FUEL</v>
          </cell>
          <cell r="C208">
            <v>137115.30601100001</v>
          </cell>
          <cell r="D208">
            <v>100898.7800301</v>
          </cell>
          <cell r="E208">
            <v>97457.875512600003</v>
          </cell>
          <cell r="F208">
            <v>71619.408257000003</v>
          </cell>
          <cell r="G208">
            <v>55754.812087899998</v>
          </cell>
          <cell r="H208">
            <v>38997.920586200002</v>
          </cell>
          <cell r="I208">
            <v>23510.745765299998</v>
          </cell>
          <cell r="J208">
            <v>26227.5173335</v>
          </cell>
          <cell r="K208">
            <v>32499.5463256</v>
          </cell>
          <cell r="L208">
            <v>65568.827193200006</v>
          </cell>
          <cell r="M208">
            <v>64259.093805800003</v>
          </cell>
          <cell r="N208">
            <v>95550.896324100002</v>
          </cell>
        </row>
        <row r="209">
          <cell r="A209" t="str">
            <v>A_4800044</v>
          </cell>
          <cell r="B209" t="str">
            <v>Residential General Service 3</v>
          </cell>
          <cell r="C209">
            <v>1161.8571546999999</v>
          </cell>
          <cell r="D209">
            <v>1895.9187055</v>
          </cell>
          <cell r="E209">
            <v>1520.3947657000001</v>
          </cell>
          <cell r="F209">
            <v>1105.4031364</v>
          </cell>
          <cell r="G209">
            <v>1192.5688625</v>
          </cell>
          <cell r="H209">
            <v>1511.3564908999999</v>
          </cell>
          <cell r="I209">
            <v>11286.6378546</v>
          </cell>
          <cell r="J209">
            <v>11552.946483600001</v>
          </cell>
          <cell r="K209">
            <v>11535.5420994</v>
          </cell>
          <cell r="L209">
            <v>11616.8001984</v>
          </cell>
          <cell r="M209">
            <v>11763.1655481</v>
          </cell>
          <cell r="N209">
            <v>12011.799128000001</v>
          </cell>
        </row>
        <row r="210">
          <cell r="A210" t="str">
            <v>A_4800045</v>
          </cell>
          <cell r="B210" t="str">
            <v>Residential General Service 3 FUEL</v>
          </cell>
          <cell r="C210">
            <v>2682.6907698</v>
          </cell>
          <cell r="D210">
            <v>833.87421510000001</v>
          </cell>
          <cell r="E210">
            <v>2738.8630121000001</v>
          </cell>
          <cell r="F210">
            <v>1302.1710591999999</v>
          </cell>
          <cell r="G210">
            <v>1318.0806640000001</v>
          </cell>
          <cell r="H210">
            <v>1967.2541541999999</v>
          </cell>
          <cell r="I210">
            <v>110.3790881</v>
          </cell>
          <cell r="J210">
            <v>-106.6159241</v>
          </cell>
          <cell r="K210">
            <v>445.19926470000001</v>
          </cell>
          <cell r="L210">
            <v>505.3474157</v>
          </cell>
          <cell r="M210">
            <v>629.99111570000002</v>
          </cell>
          <cell r="N210">
            <v>1172.4036358999999</v>
          </cell>
        </row>
        <row r="211">
          <cell r="A211" t="str">
            <v>A_4810004</v>
          </cell>
          <cell r="B211" t="str">
            <v>Commercial Street Lighting</v>
          </cell>
          <cell r="C211">
            <v>918.31515750000005</v>
          </cell>
          <cell r="D211">
            <v>719.90515800000003</v>
          </cell>
          <cell r="E211">
            <v>823.60165500000005</v>
          </cell>
          <cell r="F211">
            <v>750.74723100000006</v>
          </cell>
          <cell r="G211">
            <v>611.64150299999994</v>
          </cell>
          <cell r="H211">
            <v>705.80474549999997</v>
          </cell>
          <cell r="I211">
            <v>610.32087899999999</v>
          </cell>
          <cell r="J211">
            <v>888.284718</v>
          </cell>
          <cell r="K211">
            <v>804.70022400000005</v>
          </cell>
          <cell r="L211">
            <v>804.70022400000005</v>
          </cell>
          <cell r="M211">
            <v>804.70022400000005</v>
          </cell>
          <cell r="N211">
            <v>804.70022400000005</v>
          </cell>
        </row>
        <row r="212">
          <cell r="A212" t="str">
            <v>A_4810005</v>
          </cell>
          <cell r="B212" t="str">
            <v>Commercial Street Lighting FUEL</v>
          </cell>
          <cell r="C212">
            <v>6855.7653006</v>
          </cell>
          <cell r="D212">
            <v>6393.0356492999999</v>
          </cell>
          <cell r="E212">
            <v>7075.3961145000003</v>
          </cell>
          <cell r="F212">
            <v>5045.9128545000003</v>
          </cell>
          <cell r="G212">
            <v>5140.5145897000002</v>
          </cell>
          <cell r="H212">
            <v>6364.6457929999997</v>
          </cell>
          <cell r="I212">
            <v>5187.8171407</v>
          </cell>
          <cell r="J212">
            <v>5330.796206</v>
          </cell>
          <cell r="K212">
            <v>5231.0913606000004</v>
          </cell>
          <cell r="L212">
            <v>5053.4741574999998</v>
          </cell>
          <cell r="M212">
            <v>5354.9244838000004</v>
          </cell>
          <cell r="N212">
            <v>4689.6145434999999</v>
          </cell>
        </row>
        <row r="213">
          <cell r="A213" t="str">
            <v>A_4810008</v>
          </cell>
          <cell r="B213" t="str">
            <v>General Service Small</v>
          </cell>
          <cell r="C213">
            <v>486562.6825995</v>
          </cell>
          <cell r="D213">
            <v>483453.40907659999</v>
          </cell>
          <cell r="E213">
            <v>424108.75119809998</v>
          </cell>
          <cell r="F213">
            <v>408298.02177669998</v>
          </cell>
          <cell r="G213">
            <v>391030.2935114</v>
          </cell>
          <cell r="H213">
            <v>390278.9472241</v>
          </cell>
          <cell r="I213">
            <v>371461.81264000002</v>
          </cell>
          <cell r="J213">
            <v>378894.09138429997</v>
          </cell>
          <cell r="K213">
            <v>458790.33077669999</v>
          </cell>
          <cell r="L213">
            <v>334575.11195320002</v>
          </cell>
          <cell r="M213">
            <v>428450.7952464</v>
          </cell>
          <cell r="N213">
            <v>469254.31772779999</v>
          </cell>
        </row>
        <row r="214">
          <cell r="A214" t="str">
            <v>A_4810009</v>
          </cell>
          <cell r="B214" t="str">
            <v>General Service Small FUEL</v>
          </cell>
          <cell r="C214">
            <v>1049230.1677365999</v>
          </cell>
          <cell r="D214">
            <v>1109052.7061157001</v>
          </cell>
          <cell r="E214">
            <v>1008586.3041927</v>
          </cell>
          <cell r="F214">
            <v>686244.1482077</v>
          </cell>
          <cell r="G214">
            <v>671825.71444949997</v>
          </cell>
          <cell r="H214">
            <v>739919.00364500005</v>
          </cell>
          <cell r="I214">
            <v>482356.61499610002</v>
          </cell>
          <cell r="J214">
            <v>566983.48446960002</v>
          </cell>
          <cell r="K214">
            <v>568742.06069720001</v>
          </cell>
          <cell r="L214">
            <v>562199.00001880003</v>
          </cell>
          <cell r="M214">
            <v>657553.22705740004</v>
          </cell>
          <cell r="N214">
            <v>617075.11368419998</v>
          </cell>
        </row>
        <row r="215">
          <cell r="A215" t="str">
            <v>A_4810033</v>
          </cell>
          <cell r="B215" t="str">
            <v>Commercial Gas Heat Pump</v>
          </cell>
          <cell r="C215">
            <v>113.94114999999999</v>
          </cell>
          <cell r="D215">
            <v>113.94114999999999</v>
          </cell>
          <cell r="E215">
            <v>113.94114999999999</v>
          </cell>
          <cell r="F215">
            <v>113.94114999999999</v>
          </cell>
          <cell r="G215">
            <v>113.94114999999999</v>
          </cell>
          <cell r="H215">
            <v>113.94114999999999</v>
          </cell>
          <cell r="I215">
            <v>113.94114999999999</v>
          </cell>
          <cell r="J215">
            <v>113.94114999999999</v>
          </cell>
          <cell r="K215">
            <v>113.94114999999999</v>
          </cell>
          <cell r="L215">
            <v>113.94114999999999</v>
          </cell>
          <cell r="M215">
            <v>113.94114999999999</v>
          </cell>
          <cell r="N215">
            <v>113.94114999999999</v>
          </cell>
        </row>
        <row r="216">
          <cell r="A216" t="str">
            <v>A_4810035</v>
          </cell>
          <cell r="B216" t="str">
            <v>Commercial Standby Generator</v>
          </cell>
          <cell r="C216">
            <v>50259.040889999997</v>
          </cell>
          <cell r="D216">
            <v>49917.143700000001</v>
          </cell>
          <cell r="E216">
            <v>50116.635764999999</v>
          </cell>
          <cell r="F216">
            <v>50367.752130000001</v>
          </cell>
          <cell r="G216">
            <v>49623.392970000001</v>
          </cell>
          <cell r="H216">
            <v>49143.461264999998</v>
          </cell>
          <cell r="I216">
            <v>49236.569414999998</v>
          </cell>
          <cell r="J216">
            <v>46902.252162899997</v>
          </cell>
          <cell r="K216">
            <v>46902.252162899997</v>
          </cell>
          <cell r="L216">
            <v>46902.252162899997</v>
          </cell>
          <cell r="M216">
            <v>55456.3684479</v>
          </cell>
          <cell r="N216">
            <v>63949.998462900003</v>
          </cell>
        </row>
        <row r="217">
          <cell r="A217" t="str">
            <v>A_4810036</v>
          </cell>
          <cell r="B217" t="str">
            <v>Commercial Standby Generator FUEL</v>
          </cell>
          <cell r="C217">
            <v>22653.833167000001</v>
          </cell>
          <cell r="D217">
            <v>25016.226453700001</v>
          </cell>
          <cell r="E217">
            <v>25334.482861600001</v>
          </cell>
          <cell r="F217">
            <v>18230.394829000001</v>
          </cell>
          <cell r="G217">
            <v>20957.482557899999</v>
          </cell>
          <cell r="H217">
            <v>22218.399859199999</v>
          </cell>
          <cell r="I217">
            <v>21413.543091399999</v>
          </cell>
          <cell r="J217">
            <v>23668.735154599999</v>
          </cell>
          <cell r="K217">
            <v>22593.862685200002</v>
          </cell>
          <cell r="L217">
            <v>24888.360225500001</v>
          </cell>
          <cell r="M217">
            <v>24412.155735100001</v>
          </cell>
          <cell r="N217">
            <v>20321.6630219</v>
          </cell>
        </row>
        <row r="218">
          <cell r="A218" t="str">
            <v>A_4810050</v>
          </cell>
          <cell r="B218" t="str">
            <v>General Service Large Vol. 1</v>
          </cell>
          <cell r="C218">
            <v>703582.42252410005</v>
          </cell>
          <cell r="D218">
            <v>699126.89466800005</v>
          </cell>
          <cell r="E218">
            <v>667874.60806190001</v>
          </cell>
          <cell r="F218">
            <v>618647.88683690003</v>
          </cell>
          <cell r="G218">
            <v>584908.05110289995</v>
          </cell>
          <cell r="H218">
            <v>591306.96946970001</v>
          </cell>
          <cell r="I218">
            <v>546586.25266100001</v>
          </cell>
          <cell r="J218">
            <v>541965.24918769998</v>
          </cell>
          <cell r="K218">
            <v>601318.30086079997</v>
          </cell>
          <cell r="L218">
            <v>538506.10167440004</v>
          </cell>
          <cell r="M218">
            <v>625508.15901409998</v>
          </cell>
          <cell r="N218">
            <v>768080.61032930005</v>
          </cell>
        </row>
        <row r="219">
          <cell r="A219" t="str">
            <v>A_4810051</v>
          </cell>
          <cell r="B219" t="str">
            <v>General Service Large Vol. 1 FUEL</v>
          </cell>
          <cell r="C219">
            <v>2743796.5039817002</v>
          </cell>
          <cell r="D219">
            <v>2577783.1570219002</v>
          </cell>
          <cell r="E219">
            <v>2887218.0918846</v>
          </cell>
          <cell r="F219">
            <v>2082497.0664538001</v>
          </cell>
          <cell r="G219">
            <v>1811701.8726914001</v>
          </cell>
          <cell r="H219">
            <v>2190132.4777894998</v>
          </cell>
          <cell r="I219">
            <v>1721472.2580045001</v>
          </cell>
          <cell r="J219">
            <v>1843495.9439572</v>
          </cell>
          <cell r="K219">
            <v>1749187.9111383001</v>
          </cell>
          <cell r="L219">
            <v>1942808.1398401</v>
          </cell>
          <cell r="M219">
            <v>2171579.3759682002</v>
          </cell>
          <cell r="N219">
            <v>1968661.1052465001</v>
          </cell>
        </row>
        <row r="220">
          <cell r="A220" t="str">
            <v>A_4810052</v>
          </cell>
          <cell r="B220" t="str">
            <v>General Service Large Vol. 2</v>
          </cell>
          <cell r="C220">
            <v>414980.15689310001</v>
          </cell>
          <cell r="D220">
            <v>400396.2295513</v>
          </cell>
          <cell r="E220">
            <v>362211.22110959998</v>
          </cell>
          <cell r="F220">
            <v>330594.17115950002</v>
          </cell>
          <cell r="G220">
            <v>302858.50476570003</v>
          </cell>
          <cell r="H220">
            <v>308466.29443970002</v>
          </cell>
          <cell r="I220">
            <v>300291.46938520001</v>
          </cell>
          <cell r="J220">
            <v>250384.8898151</v>
          </cell>
          <cell r="K220">
            <v>307905.31970769999</v>
          </cell>
          <cell r="L220">
            <v>276348.44481219997</v>
          </cell>
          <cell r="M220">
            <v>347023.37898929999</v>
          </cell>
          <cell r="N220">
            <v>432398.48639709997</v>
          </cell>
        </row>
        <row r="221">
          <cell r="A221" t="str">
            <v>A_4810053</v>
          </cell>
          <cell r="B221" t="str">
            <v>General Service Large Vol. 2 FUEL</v>
          </cell>
          <cell r="C221">
            <v>1710066.3273594</v>
          </cell>
          <cell r="D221">
            <v>1857037.8770824999</v>
          </cell>
          <cell r="E221">
            <v>1860144.4623604</v>
          </cell>
          <cell r="F221">
            <v>1342863.9048182</v>
          </cell>
          <cell r="G221">
            <v>1199717.0203883001</v>
          </cell>
          <cell r="H221">
            <v>1268763.2086275001</v>
          </cell>
          <cell r="I221">
            <v>1458328.5119745999</v>
          </cell>
          <cell r="J221">
            <v>775417.61612400005</v>
          </cell>
          <cell r="K221">
            <v>1350289.3699370001</v>
          </cell>
          <cell r="L221">
            <v>1277391.930155</v>
          </cell>
          <cell r="M221">
            <v>1644591.8076487</v>
          </cell>
          <cell r="N221">
            <v>1482699.7981747</v>
          </cell>
        </row>
        <row r="222">
          <cell r="A222" t="str">
            <v>A_4810054</v>
          </cell>
          <cell r="B222" t="str">
            <v>General Service Large Vol. 3</v>
          </cell>
          <cell r="C222">
            <v>110512.8647781</v>
          </cell>
          <cell r="D222">
            <v>101508.0891267</v>
          </cell>
          <cell r="E222">
            <v>84162.406432799995</v>
          </cell>
          <cell r="F222">
            <v>81066.400454100003</v>
          </cell>
          <cell r="G222">
            <v>81976.373460200004</v>
          </cell>
          <cell r="H222">
            <v>77780.562225300004</v>
          </cell>
          <cell r="I222">
            <v>71500.577261300001</v>
          </cell>
          <cell r="J222">
            <v>66631.999527599997</v>
          </cell>
          <cell r="K222">
            <v>67377.518711199999</v>
          </cell>
          <cell r="L222">
            <v>78594.734258199998</v>
          </cell>
          <cell r="M222">
            <v>95307.482426500006</v>
          </cell>
          <cell r="N222">
            <v>78729.626768799993</v>
          </cell>
        </row>
        <row r="223">
          <cell r="A223" t="str">
            <v>A_4810055</v>
          </cell>
          <cell r="B223" t="str">
            <v>General Service Large 3 FUEL</v>
          </cell>
          <cell r="C223">
            <v>564259.29191060003</v>
          </cell>
          <cell r="D223">
            <v>1000927.0162212</v>
          </cell>
          <cell r="E223">
            <v>889445.76316790003</v>
          </cell>
          <cell r="F223">
            <v>122404.0795665</v>
          </cell>
          <cell r="G223">
            <v>616466.32656079996</v>
          </cell>
          <cell r="H223">
            <v>-112133.48678950001</v>
          </cell>
          <cell r="I223">
            <v>409616.79593840003</v>
          </cell>
          <cell r="J223">
            <v>551310.94362399995</v>
          </cell>
          <cell r="K223">
            <v>131111.183464</v>
          </cell>
          <cell r="L223">
            <v>619429.59485210001</v>
          </cell>
          <cell r="M223">
            <v>281448.53095849999</v>
          </cell>
          <cell r="N223">
            <v>547903.29916739999</v>
          </cell>
        </row>
        <row r="224">
          <cell r="A224" t="str">
            <v>A_4810056</v>
          </cell>
          <cell r="B224" t="str">
            <v>General Service Large Vol. 4</v>
          </cell>
          <cell r="C224">
            <v>8760.3758811000007</v>
          </cell>
          <cell r="D224">
            <v>6897.4525813</v>
          </cell>
          <cell r="E224">
            <v>7331.5289811000002</v>
          </cell>
          <cell r="F224">
            <v>7212.6250977999998</v>
          </cell>
          <cell r="G224">
            <v>7550.1066311000004</v>
          </cell>
          <cell r="H224">
            <v>7205.5110978000002</v>
          </cell>
          <cell r="I224">
            <v>8828.8481310999996</v>
          </cell>
          <cell r="J224">
            <v>6253.2244311000004</v>
          </cell>
          <cell r="K224">
            <v>7055.7613977999999</v>
          </cell>
          <cell r="L224">
            <v>6863.9613311000003</v>
          </cell>
          <cell r="M224">
            <v>6126.4951478000003</v>
          </cell>
          <cell r="N224">
            <v>8170.4474311000004</v>
          </cell>
        </row>
        <row r="225">
          <cell r="A225" t="str">
            <v>A_4810057</v>
          </cell>
          <cell r="B225" t="str">
            <v>General Service Large Vol. 4 FUEL</v>
          </cell>
          <cell r="C225">
            <v>28615.368211000001</v>
          </cell>
          <cell r="D225">
            <v>46696.956047</v>
          </cell>
          <cell r="E225">
            <v>27160.391536300001</v>
          </cell>
          <cell r="F225">
            <v>27671.135008400001</v>
          </cell>
          <cell r="G225">
            <v>131.8080664</v>
          </cell>
          <cell r="H225">
            <v>2082.9749867999999</v>
          </cell>
          <cell r="I225">
            <v>0</v>
          </cell>
          <cell r="J225">
            <v>0</v>
          </cell>
          <cell r="K225">
            <v>7457.0876842999996</v>
          </cell>
          <cell r="L225">
            <v>28931.1395515</v>
          </cell>
          <cell r="M225">
            <v>145685.4455157</v>
          </cell>
          <cell r="N225">
            <v>83436.058753399993</v>
          </cell>
        </row>
        <row r="226">
          <cell r="A226" t="str">
            <v>A_4810058</v>
          </cell>
          <cell r="B226" t="str">
            <v>General Service Large Vol. 5</v>
          </cell>
          <cell r="C226">
            <v>49402.859398000001</v>
          </cell>
          <cell r="D226">
            <v>45152.472311799997</v>
          </cell>
          <cell r="E226">
            <v>54388.235998600001</v>
          </cell>
          <cell r="F226">
            <v>35821.910685100003</v>
          </cell>
          <cell r="G226">
            <v>52745.166658599999</v>
          </cell>
          <cell r="H226">
            <v>48428.717205100002</v>
          </cell>
          <cell r="I226">
            <v>53825.9437186</v>
          </cell>
          <cell r="J226">
            <v>48877.478218600001</v>
          </cell>
          <cell r="K226">
            <v>56098.664985099997</v>
          </cell>
          <cell r="L226">
            <v>50977.208818599996</v>
          </cell>
          <cell r="M226">
            <v>46966.283265099999</v>
          </cell>
          <cell r="N226">
            <v>56432.974078599997</v>
          </cell>
        </row>
        <row r="227">
          <cell r="A227" t="str">
            <v>A_4810059</v>
          </cell>
          <cell r="B227" t="str">
            <v>General Service Large Vol. 5 FUEL</v>
          </cell>
          <cell r="C227">
            <v>59913.427191800001</v>
          </cell>
          <cell r="D227">
            <v>23626.436095199999</v>
          </cell>
          <cell r="E227">
            <v>103620.3172898</v>
          </cell>
          <cell r="F227">
            <v>112149.4824751</v>
          </cell>
          <cell r="G227">
            <v>2372.5451951999999</v>
          </cell>
          <cell r="H227">
            <v>22797.004022199999</v>
          </cell>
          <cell r="I227">
            <v>52319.687759300003</v>
          </cell>
          <cell r="J227">
            <v>852.92739300000005</v>
          </cell>
          <cell r="K227">
            <v>287042.22593700001</v>
          </cell>
          <cell r="L227">
            <v>76054.786070000002</v>
          </cell>
          <cell r="M227">
            <v>92608.694014299996</v>
          </cell>
          <cell r="N227">
            <v>122906.98116130001</v>
          </cell>
        </row>
        <row r="228">
          <cell r="A228" t="str">
            <v>A_4810091</v>
          </cell>
          <cell r="B228" t="str">
            <v>Interruptible Contract Service Fuel</v>
          </cell>
          <cell r="C228">
            <v>-103334</v>
          </cell>
          <cell r="D228">
            <v>-103334</v>
          </cell>
          <cell r="E228">
            <v>-103334</v>
          </cell>
          <cell r="F228">
            <v>-103334</v>
          </cell>
          <cell r="G228">
            <v>-103334</v>
          </cell>
          <cell r="H228">
            <v>-103334</v>
          </cell>
          <cell r="I228">
            <v>-103334</v>
          </cell>
          <cell r="J228">
            <v>-103334</v>
          </cell>
          <cell r="K228">
            <v>-103334</v>
          </cell>
          <cell r="L228">
            <v>-103334</v>
          </cell>
          <cell r="M228">
            <v>-103334</v>
          </cell>
          <cell r="N228">
            <v>-103334</v>
          </cell>
        </row>
        <row r="229">
          <cell r="A229" t="str">
            <v>A_4810601</v>
          </cell>
          <cell r="B229" t="str">
            <v>Off System Sales (to PGA) - Non RP End User</v>
          </cell>
          <cell r="C229">
            <v>337943</v>
          </cell>
          <cell r="D229">
            <v>316405</v>
          </cell>
          <cell r="E229">
            <v>337943</v>
          </cell>
          <cell r="F229">
            <v>330764</v>
          </cell>
          <cell r="G229">
            <v>337943</v>
          </cell>
          <cell r="H229">
            <v>330764</v>
          </cell>
          <cell r="I229">
            <v>337943</v>
          </cell>
          <cell r="J229">
            <v>337943</v>
          </cell>
          <cell r="K229">
            <v>330764</v>
          </cell>
          <cell r="L229">
            <v>337943</v>
          </cell>
          <cell r="M229">
            <v>330764</v>
          </cell>
          <cell r="N229">
            <v>337943</v>
          </cell>
        </row>
        <row r="230">
          <cell r="A230" t="str">
            <v>A_4810602</v>
          </cell>
          <cell r="B230" t="str">
            <v>Off System Sales (to PGA) - Receipt Point</v>
          </cell>
          <cell r="C230">
            <v>1800000</v>
          </cell>
          <cell r="D230">
            <v>1620000</v>
          </cell>
          <cell r="E230">
            <v>1260000</v>
          </cell>
          <cell r="F230">
            <v>1260000</v>
          </cell>
          <cell r="G230">
            <v>1260000</v>
          </cell>
          <cell r="H230">
            <v>1620000</v>
          </cell>
          <cell r="I230">
            <v>1620000</v>
          </cell>
          <cell r="J230">
            <v>1620000</v>
          </cell>
          <cell r="K230">
            <v>1980000</v>
          </cell>
          <cell r="L230">
            <v>1620000</v>
          </cell>
          <cell r="M230">
            <v>1260000</v>
          </cell>
          <cell r="N230">
            <v>1080000</v>
          </cell>
        </row>
        <row r="231">
          <cell r="A231" t="str">
            <v>A_4810610</v>
          </cell>
          <cell r="B231" t="str">
            <v>Off System Sales (margin) - Non RP Reseller</v>
          </cell>
          <cell r="C231">
            <v>151704</v>
          </cell>
          <cell r="D231">
            <v>144751</v>
          </cell>
          <cell r="E231">
            <v>151704</v>
          </cell>
          <cell r="F231">
            <v>149386</v>
          </cell>
          <cell r="G231">
            <v>151704</v>
          </cell>
          <cell r="H231">
            <v>149386</v>
          </cell>
          <cell r="I231">
            <v>151704</v>
          </cell>
          <cell r="J231">
            <v>151704</v>
          </cell>
          <cell r="K231">
            <v>149386</v>
          </cell>
          <cell r="L231">
            <v>151704</v>
          </cell>
          <cell r="M231">
            <v>149386</v>
          </cell>
          <cell r="N231">
            <v>151704</v>
          </cell>
        </row>
        <row r="232">
          <cell r="A232" t="str">
            <v>A_4810612</v>
          </cell>
          <cell r="B232" t="str">
            <v>Off System Sales (margin) - Receipt Point</v>
          </cell>
          <cell r="C232">
            <v>175000</v>
          </cell>
          <cell r="D232">
            <v>175000</v>
          </cell>
          <cell r="E232">
            <v>175000</v>
          </cell>
          <cell r="F232">
            <v>175000</v>
          </cell>
          <cell r="G232">
            <v>175000</v>
          </cell>
          <cell r="H232">
            <v>175000</v>
          </cell>
          <cell r="I232">
            <v>175000</v>
          </cell>
          <cell r="J232">
            <v>175000</v>
          </cell>
          <cell r="K232">
            <v>175000</v>
          </cell>
          <cell r="L232">
            <v>175000</v>
          </cell>
          <cell r="M232">
            <v>175000</v>
          </cell>
          <cell r="N232">
            <v>175000</v>
          </cell>
        </row>
        <row r="233">
          <cell r="A233" t="str">
            <v>A_4830091</v>
          </cell>
          <cell r="B233" t="str">
            <v>Wholesale Sales for Resale</v>
          </cell>
          <cell r="C233">
            <v>55185.843771300002</v>
          </cell>
          <cell r="D233">
            <v>50244.029182099999</v>
          </cell>
          <cell r="E233">
            <v>35121.297092399996</v>
          </cell>
          <cell r="F233">
            <v>39875.608218900001</v>
          </cell>
          <cell r="G233">
            <v>29757.856727400002</v>
          </cell>
          <cell r="H233">
            <v>26278.846260900002</v>
          </cell>
          <cell r="I233">
            <v>21114.991851399998</v>
          </cell>
          <cell r="J233">
            <v>24210.028514400001</v>
          </cell>
          <cell r="K233">
            <v>21828.9375139</v>
          </cell>
          <cell r="L233">
            <v>27445.573083399999</v>
          </cell>
          <cell r="M233">
            <v>29062.067587900001</v>
          </cell>
          <cell r="N233">
            <v>39906.325466399998</v>
          </cell>
        </row>
        <row r="234">
          <cell r="A234" t="str">
            <v>A_4830092</v>
          </cell>
          <cell r="B234" t="str">
            <v>Wholesale Sales for Resale FUEL</v>
          </cell>
          <cell r="C234">
            <v>253663.31612040001</v>
          </cell>
          <cell r="D234">
            <v>327990.52461570001</v>
          </cell>
          <cell r="E234">
            <v>164560.01930819999</v>
          </cell>
          <cell r="F234">
            <v>121915.7654192</v>
          </cell>
          <cell r="G234">
            <v>113223.12903909999</v>
          </cell>
          <cell r="H234">
            <v>109471.9076397</v>
          </cell>
          <cell r="I234">
            <v>88303.270479800005</v>
          </cell>
          <cell r="J234">
            <v>90303.687729600002</v>
          </cell>
          <cell r="K234">
            <v>112190.21471289999</v>
          </cell>
          <cell r="L234">
            <v>101953.84112700001</v>
          </cell>
          <cell r="M234">
            <v>109933.44969730001</v>
          </cell>
          <cell r="N234">
            <v>415226.28770709998</v>
          </cell>
        </row>
        <row r="235">
          <cell r="A235" t="str">
            <v>A_4833091</v>
          </cell>
          <cell r="B235" t="str">
            <v>Wholesale Sales for Resale Transportation</v>
          </cell>
          <cell r="C235">
            <v>11490.8676492</v>
          </cell>
          <cell r="D235">
            <v>10580.8292645</v>
          </cell>
          <cell r="E235">
            <v>11216.619989999999</v>
          </cell>
          <cell r="F235">
            <v>10670.3323951</v>
          </cell>
          <cell r="G235">
            <v>10449.172936000001</v>
          </cell>
          <cell r="H235">
            <v>9853.6589700999994</v>
          </cell>
          <cell r="I235">
            <v>9873.353153</v>
          </cell>
          <cell r="J235">
            <v>10023.070218999999</v>
          </cell>
          <cell r="K235">
            <v>9684.0739940999993</v>
          </cell>
          <cell r="L235">
            <v>10095.208639</v>
          </cell>
          <cell r="M235">
            <v>10286.864678100001</v>
          </cell>
          <cell r="N235">
            <v>10976.533778000001</v>
          </cell>
        </row>
        <row r="236">
          <cell r="A236" t="str">
            <v>A_4870000</v>
          </cell>
          <cell r="B236" t="str">
            <v>Forfeited Discounts</v>
          </cell>
          <cell r="C236">
            <v>118963.95505259999</v>
          </cell>
          <cell r="D236">
            <v>118162.5650526</v>
          </cell>
          <cell r="E236">
            <v>121531.1950526</v>
          </cell>
          <cell r="F236">
            <v>119668.01505260001</v>
          </cell>
          <cell r="G236">
            <v>118088.62505259999</v>
          </cell>
          <cell r="H236">
            <v>116288.1150526</v>
          </cell>
          <cell r="I236">
            <v>115835.6350526</v>
          </cell>
          <cell r="J236">
            <v>115835.6350526</v>
          </cell>
          <cell r="K236">
            <v>115137.0679558</v>
          </cell>
          <cell r="L236">
            <v>115835.6350526</v>
          </cell>
          <cell r="M236">
            <v>115137.0679558</v>
          </cell>
          <cell r="N236">
            <v>115835.6350526</v>
          </cell>
        </row>
        <row r="237">
          <cell r="A237" t="str">
            <v>A_4880101</v>
          </cell>
          <cell r="B237" t="str">
            <v>Misc Svc Rev - Residential Connect/Reconnect</v>
          </cell>
          <cell r="C237">
            <v>260623.75</v>
          </cell>
          <cell r="D237">
            <v>305713</v>
          </cell>
          <cell r="E237">
            <v>332874</v>
          </cell>
          <cell r="F237">
            <v>302675.25</v>
          </cell>
          <cell r="G237">
            <v>288686</v>
          </cell>
          <cell r="H237">
            <v>334112.25</v>
          </cell>
          <cell r="I237">
            <v>306179</v>
          </cell>
          <cell r="J237">
            <v>311034</v>
          </cell>
          <cell r="K237">
            <v>299661.82258049998</v>
          </cell>
          <cell r="L237">
            <v>314474.5</v>
          </cell>
          <cell r="M237">
            <v>302439.82258049998</v>
          </cell>
          <cell r="N237">
            <v>301938</v>
          </cell>
        </row>
        <row r="238">
          <cell r="A238" t="str">
            <v>A_4880102</v>
          </cell>
          <cell r="B238" t="str">
            <v>Misc Svc Rev - Commercial Connect/Reconnect</v>
          </cell>
          <cell r="C238">
            <v>24147.5</v>
          </cell>
          <cell r="D238">
            <v>23737.5</v>
          </cell>
          <cell r="E238">
            <v>29330</v>
          </cell>
          <cell r="F238">
            <v>24195</v>
          </cell>
          <cell r="G238">
            <v>25071.5</v>
          </cell>
          <cell r="H238">
            <v>27874</v>
          </cell>
          <cell r="I238">
            <v>22656.5</v>
          </cell>
          <cell r="J238">
            <v>28715</v>
          </cell>
          <cell r="K238">
            <v>28665</v>
          </cell>
          <cell r="L238">
            <v>28890</v>
          </cell>
          <cell r="M238">
            <v>23448</v>
          </cell>
          <cell r="N238">
            <v>23465</v>
          </cell>
        </row>
        <row r="239">
          <cell r="A239" t="str">
            <v>A_4880103</v>
          </cell>
          <cell r="B239" t="str">
            <v>Misc Svc Rev - Change Out</v>
          </cell>
          <cell r="C239">
            <v>85636</v>
          </cell>
          <cell r="D239">
            <v>90480</v>
          </cell>
          <cell r="E239">
            <v>110802</v>
          </cell>
          <cell r="F239">
            <v>114935.34</v>
          </cell>
          <cell r="G239">
            <v>114910</v>
          </cell>
          <cell r="H239">
            <v>123474</v>
          </cell>
          <cell r="I239">
            <v>109474</v>
          </cell>
          <cell r="J239">
            <v>110816</v>
          </cell>
          <cell r="K239">
            <v>95776</v>
          </cell>
          <cell r="L239">
            <v>99836</v>
          </cell>
          <cell r="M239">
            <v>97440</v>
          </cell>
          <cell r="N239">
            <v>110616</v>
          </cell>
        </row>
        <row r="240">
          <cell r="A240" t="str">
            <v>A_4880104</v>
          </cell>
          <cell r="B240" t="str">
            <v>Misc Svc Rev - Trip Charge</v>
          </cell>
          <cell r="C240">
            <v>2487.5</v>
          </cell>
          <cell r="D240">
            <v>2837.5</v>
          </cell>
          <cell r="E240">
            <v>3450</v>
          </cell>
          <cell r="F240">
            <v>2712.5</v>
          </cell>
          <cell r="G240">
            <v>2825</v>
          </cell>
          <cell r="H240">
            <v>2712.5</v>
          </cell>
          <cell r="I240">
            <v>2537.5</v>
          </cell>
          <cell r="J240">
            <v>2325</v>
          </cell>
          <cell r="K240">
            <v>2225</v>
          </cell>
          <cell r="L240">
            <v>2600</v>
          </cell>
          <cell r="M240">
            <v>2350</v>
          </cell>
          <cell r="N240">
            <v>2175</v>
          </cell>
        </row>
        <row r="241">
          <cell r="A241" t="str">
            <v>A_4880105</v>
          </cell>
          <cell r="B241" t="str">
            <v>Misc Svc Rev - NSF Fee</v>
          </cell>
          <cell r="C241">
            <v>22788.0157143</v>
          </cell>
          <cell r="D241">
            <v>22788.0157143</v>
          </cell>
          <cell r="E241">
            <v>22788.0157143</v>
          </cell>
          <cell r="F241">
            <v>22788.0157143</v>
          </cell>
          <cell r="G241">
            <v>22788.0157143</v>
          </cell>
          <cell r="H241">
            <v>22788.0157143</v>
          </cell>
          <cell r="I241">
            <v>22788.0157143</v>
          </cell>
          <cell r="J241">
            <v>22788.0157143</v>
          </cell>
          <cell r="K241">
            <v>22788.0157143</v>
          </cell>
          <cell r="L241">
            <v>22788.0157143</v>
          </cell>
          <cell r="M241">
            <v>22788.0157143</v>
          </cell>
          <cell r="N241">
            <v>22788.0157143</v>
          </cell>
        </row>
        <row r="242">
          <cell r="A242" t="str">
            <v>A_4880106</v>
          </cell>
          <cell r="B242" t="str">
            <v>Misc Svc Rev - Failed Trip Charge</v>
          </cell>
          <cell r="C242">
            <v>2400</v>
          </cell>
          <cell r="D242">
            <v>3287.5</v>
          </cell>
          <cell r="E242">
            <v>3750</v>
          </cell>
          <cell r="F242">
            <v>3775</v>
          </cell>
          <cell r="G242">
            <v>3412.5</v>
          </cell>
          <cell r="H242">
            <v>4400</v>
          </cell>
          <cell r="I242">
            <v>4012.5</v>
          </cell>
          <cell r="J242">
            <v>4725</v>
          </cell>
          <cell r="K242">
            <v>3800</v>
          </cell>
          <cell r="L242">
            <v>4050</v>
          </cell>
          <cell r="M242">
            <v>3675</v>
          </cell>
          <cell r="N242">
            <v>3475</v>
          </cell>
        </row>
        <row r="243">
          <cell r="A243" t="str">
            <v>A_4880107</v>
          </cell>
          <cell r="B243" t="str">
            <v>Misc Svc Rev - Temporary Disconnect</v>
          </cell>
          <cell r="C243">
            <v>1295</v>
          </cell>
          <cell r="D243">
            <v>1012.5</v>
          </cell>
          <cell r="E243">
            <v>1377.5</v>
          </cell>
          <cell r="F243">
            <v>2000</v>
          </cell>
          <cell r="G243">
            <v>2867</v>
          </cell>
          <cell r="H243">
            <v>3145</v>
          </cell>
          <cell r="I243">
            <v>2510</v>
          </cell>
          <cell r="J243">
            <v>3170</v>
          </cell>
          <cell r="K243">
            <v>2635</v>
          </cell>
          <cell r="L243">
            <v>2010</v>
          </cell>
          <cell r="M243">
            <v>1155</v>
          </cell>
          <cell r="N243">
            <v>1740</v>
          </cell>
        </row>
        <row r="244">
          <cell r="A244" t="str">
            <v>A_4880111</v>
          </cell>
          <cell r="B244" t="str">
            <v>Misc Svc Rev - ITS Fee</v>
          </cell>
          <cell r="C244">
            <v>73440</v>
          </cell>
          <cell r="D244">
            <v>73440</v>
          </cell>
          <cell r="E244">
            <v>73440</v>
          </cell>
          <cell r="F244">
            <v>73440</v>
          </cell>
          <cell r="G244">
            <v>73440</v>
          </cell>
          <cell r="H244">
            <v>73440</v>
          </cell>
          <cell r="I244">
            <v>73440</v>
          </cell>
          <cell r="J244">
            <v>73440</v>
          </cell>
          <cell r="K244">
            <v>73440</v>
          </cell>
          <cell r="L244">
            <v>73440</v>
          </cell>
          <cell r="M244">
            <v>73440</v>
          </cell>
          <cell r="N244">
            <v>73440</v>
          </cell>
        </row>
        <row r="245">
          <cell r="A245" t="str">
            <v>A_4880800</v>
          </cell>
          <cell r="B245" t="str">
            <v>Miscellaneous Service Revenues - Other</v>
          </cell>
          <cell r="C245">
            <v>15162.2694737</v>
          </cell>
          <cell r="D245">
            <v>15162.2694737</v>
          </cell>
          <cell r="E245">
            <v>15162.2694737</v>
          </cell>
          <cell r="F245">
            <v>15162.2694737</v>
          </cell>
          <cell r="G245">
            <v>15162.2694737</v>
          </cell>
          <cell r="H245">
            <v>15162.2694737</v>
          </cell>
          <cell r="I245">
            <v>15162.2694737</v>
          </cell>
          <cell r="J245">
            <v>15162.2694737</v>
          </cell>
          <cell r="K245">
            <v>15162.2694737</v>
          </cell>
          <cell r="L245">
            <v>15162.2694737</v>
          </cell>
          <cell r="M245">
            <v>15162.2694737</v>
          </cell>
          <cell r="N245">
            <v>15162.2694737</v>
          </cell>
        </row>
        <row r="246">
          <cell r="A246" t="str">
            <v>A_4893004</v>
          </cell>
          <cell r="B246" t="str">
            <v>Commercial Street Lighting Transportation</v>
          </cell>
          <cell r="C246">
            <v>10486.884558199999</v>
          </cell>
          <cell r="D246">
            <v>8986.5299204999992</v>
          </cell>
          <cell r="E246">
            <v>10908.876987</v>
          </cell>
          <cell r="F246">
            <v>10922.289574500001</v>
          </cell>
          <cell r="G246">
            <v>9745.0220609999997</v>
          </cell>
          <cell r="H246">
            <v>9915.5574610999993</v>
          </cell>
          <cell r="I246">
            <v>10863.8126582</v>
          </cell>
          <cell r="J246">
            <v>11096.1461867</v>
          </cell>
          <cell r="K246">
            <v>10919.842882700001</v>
          </cell>
          <cell r="L246">
            <v>10919.842882700001</v>
          </cell>
          <cell r="M246">
            <v>13134.0871575</v>
          </cell>
          <cell r="N246">
            <v>14549.5661554</v>
          </cell>
        </row>
        <row r="247">
          <cell r="A247" t="str">
            <v>A_4893005</v>
          </cell>
          <cell r="B247" t="str">
            <v>Commercial Street Lighting Transportation-Swing</v>
          </cell>
          <cell r="C247">
            <v>307.56233589999999</v>
          </cell>
          <cell r="D247">
            <v>279.8004123</v>
          </cell>
          <cell r="E247">
            <v>286.10007100000001</v>
          </cell>
          <cell r="F247">
            <v>152.13474790000001</v>
          </cell>
          <cell r="G247">
            <v>301.63322169999998</v>
          </cell>
          <cell r="H247">
            <v>276.25885740000001</v>
          </cell>
          <cell r="I247">
            <v>291.91503390000003</v>
          </cell>
          <cell r="J247">
            <v>269.71970010000001</v>
          </cell>
          <cell r="K247">
            <v>275.86391079999999</v>
          </cell>
          <cell r="L247">
            <v>264.16907020000002</v>
          </cell>
          <cell r="M247">
            <v>278.16094709999999</v>
          </cell>
          <cell r="N247">
            <v>267.32732670000001</v>
          </cell>
        </row>
        <row r="248">
          <cell r="A248" t="str">
            <v>A_4893008</v>
          </cell>
          <cell r="B248" t="str">
            <v>General Service Small Transportation</v>
          </cell>
          <cell r="C248">
            <v>392905.4918588</v>
          </cell>
          <cell r="D248">
            <v>414791.22813040001</v>
          </cell>
          <cell r="E248">
            <v>305398.942408</v>
          </cell>
          <cell r="F248">
            <v>332467.52485430002</v>
          </cell>
          <cell r="G248">
            <v>299539.57417849998</v>
          </cell>
          <cell r="H248">
            <v>296058.34747179999</v>
          </cell>
          <cell r="I248">
            <v>255883.34980960001</v>
          </cell>
          <cell r="J248">
            <v>279720.81930490001</v>
          </cell>
          <cell r="K248">
            <v>288911.25829680002</v>
          </cell>
          <cell r="L248">
            <v>283473.39980940003</v>
          </cell>
          <cell r="M248">
            <v>322875.60623759998</v>
          </cell>
          <cell r="N248">
            <v>369780.57876820001</v>
          </cell>
        </row>
        <row r="249">
          <cell r="A249" t="str">
            <v>A_4893009</v>
          </cell>
          <cell r="B249" t="str">
            <v>General Service Small Transportation-Swing</v>
          </cell>
          <cell r="C249">
            <v>20645.121796700001</v>
          </cell>
          <cell r="D249">
            <v>20828.8632507</v>
          </cell>
          <cell r="E249">
            <v>17232.963850799999</v>
          </cell>
          <cell r="F249">
            <v>17382.803602700002</v>
          </cell>
          <cell r="G249">
            <v>15259.4092339</v>
          </cell>
          <cell r="H249">
            <v>14273.374300900001</v>
          </cell>
          <cell r="I249">
            <v>12003.1503758</v>
          </cell>
          <cell r="J249">
            <v>15072.8359069</v>
          </cell>
          <cell r="K249">
            <v>7286.6122644999996</v>
          </cell>
          <cell r="L249">
            <v>12286.1790349</v>
          </cell>
          <cell r="M249">
            <v>13953.5645991</v>
          </cell>
          <cell r="N249">
            <v>17457.096123800002</v>
          </cell>
        </row>
        <row r="250">
          <cell r="A250" t="str">
            <v>A_4893035</v>
          </cell>
          <cell r="B250" t="str">
            <v>Commercial Transportation Standby Generator</v>
          </cell>
          <cell r="C250">
            <v>13849.6013695</v>
          </cell>
          <cell r="D250">
            <v>14084.893744000001</v>
          </cell>
          <cell r="E250">
            <v>13195.1589186</v>
          </cell>
          <cell r="F250">
            <v>13629.0787495</v>
          </cell>
          <cell r="G250">
            <v>14578.163238499999</v>
          </cell>
          <cell r="H250">
            <v>13605.8246545</v>
          </cell>
          <cell r="I250">
            <v>13460.5808849</v>
          </cell>
          <cell r="J250">
            <v>12085.2827849</v>
          </cell>
          <cell r="K250">
            <v>12085.2827849</v>
          </cell>
          <cell r="L250">
            <v>12085.2827849</v>
          </cell>
          <cell r="M250">
            <v>19266.0113399</v>
          </cell>
          <cell r="N250">
            <v>26486.135159900001</v>
          </cell>
        </row>
        <row r="251">
          <cell r="A251" t="str">
            <v>A_4893036</v>
          </cell>
          <cell r="B251" t="str">
            <v>Commercial Transportation Standby Generator-Swing</v>
          </cell>
          <cell r="C251">
            <v>249.8943979</v>
          </cell>
          <cell r="D251">
            <v>234.251508</v>
          </cell>
          <cell r="E251">
            <v>249.5766577</v>
          </cell>
          <cell r="F251">
            <v>214.11557110000001</v>
          </cell>
          <cell r="G251">
            <v>215.45230119999999</v>
          </cell>
          <cell r="H251">
            <v>213.25245140000001</v>
          </cell>
          <cell r="I251">
            <v>257.28104680000001</v>
          </cell>
          <cell r="J251">
            <v>242.74773010000001</v>
          </cell>
          <cell r="K251">
            <v>294.88900810000001</v>
          </cell>
          <cell r="L251">
            <v>190.01634870000001</v>
          </cell>
          <cell r="M251">
            <v>222.5287577</v>
          </cell>
          <cell r="N251">
            <v>304.6288141</v>
          </cell>
        </row>
        <row r="252">
          <cell r="A252" t="str">
            <v>A_4893040</v>
          </cell>
          <cell r="B252" t="str">
            <v>Residential Transportation General Service 1</v>
          </cell>
          <cell r="C252">
            <v>148740.8411738</v>
          </cell>
          <cell r="D252">
            <v>139976.5531822</v>
          </cell>
          <cell r="E252">
            <v>104013.930847</v>
          </cell>
          <cell r="F252">
            <v>81975.078812699998</v>
          </cell>
          <cell r="G252">
            <v>50800.081084999998</v>
          </cell>
          <cell r="H252">
            <v>41108.633080500003</v>
          </cell>
          <cell r="I252">
            <v>30719.608419</v>
          </cell>
          <cell r="J252">
            <v>33901.023873500002</v>
          </cell>
          <cell r="K252">
            <v>38852.370325800002</v>
          </cell>
          <cell r="L252">
            <v>44977.7591359</v>
          </cell>
          <cell r="M252">
            <v>86252.691188900004</v>
          </cell>
          <cell r="N252">
            <v>145780.42920849999</v>
          </cell>
        </row>
        <row r="253">
          <cell r="A253" t="str">
            <v>A_4893041</v>
          </cell>
          <cell r="B253" t="str">
            <v>Residential Transportation General Service 1-Swing</v>
          </cell>
          <cell r="C253">
            <v>7118.7865660999996</v>
          </cell>
          <cell r="D253">
            <v>7183.7129112000002</v>
          </cell>
          <cell r="E253">
            <v>4845.4395003</v>
          </cell>
          <cell r="F253">
            <v>4733.0810457999996</v>
          </cell>
          <cell r="G253">
            <v>3043.2637546999999</v>
          </cell>
          <cell r="H253">
            <v>1691.4796710000001</v>
          </cell>
          <cell r="I253">
            <v>1068.7058867000001</v>
          </cell>
          <cell r="J253">
            <v>948.51427869999998</v>
          </cell>
          <cell r="K253">
            <v>1017.8427054</v>
          </cell>
          <cell r="L253">
            <v>1381.094437</v>
          </cell>
          <cell r="M253">
            <v>2225.2875764999999</v>
          </cell>
          <cell r="N253">
            <v>5545.4877999999999</v>
          </cell>
        </row>
        <row r="254">
          <cell r="A254" t="str">
            <v>A_4893042</v>
          </cell>
          <cell r="B254" t="str">
            <v>Residential Transportation General Service 2</v>
          </cell>
          <cell r="C254">
            <v>249043.96274089999</v>
          </cell>
          <cell r="D254">
            <v>226890.86312329999</v>
          </cell>
          <cell r="E254">
            <v>202217.25293359999</v>
          </cell>
          <cell r="F254">
            <v>159443.90255090001</v>
          </cell>
          <cell r="G254">
            <v>123203.42822250001</v>
          </cell>
          <cell r="H254">
            <v>108299.56254109999</v>
          </cell>
          <cell r="I254">
            <v>83597.196108100004</v>
          </cell>
          <cell r="J254">
            <v>88728.891678999993</v>
          </cell>
          <cell r="K254">
            <v>102807.0807276</v>
          </cell>
          <cell r="L254">
            <v>120238.0470053</v>
          </cell>
          <cell r="M254">
            <v>174010.46603040001</v>
          </cell>
          <cell r="N254">
            <v>246768.986053</v>
          </cell>
        </row>
        <row r="255">
          <cell r="A255" t="str">
            <v>A_4893043</v>
          </cell>
          <cell r="B255" t="str">
            <v>Residential Transportation General Service 2-Swing</v>
          </cell>
          <cell r="C255">
            <v>17095.3398366</v>
          </cell>
          <cell r="D255">
            <v>17126.3880274</v>
          </cell>
          <cell r="E255">
            <v>12947.5500214</v>
          </cell>
          <cell r="F255">
            <v>13055.415218</v>
          </cell>
          <cell r="G255">
            <v>9506.8327912999994</v>
          </cell>
          <cell r="H255">
            <v>6814.3851500999999</v>
          </cell>
          <cell r="I255">
            <v>5838.3006773999996</v>
          </cell>
          <cell r="J255">
            <v>5205.5902118000004</v>
          </cell>
          <cell r="K255">
            <v>5759.8482064999998</v>
          </cell>
          <cell r="L255">
            <v>6446.6522209000004</v>
          </cell>
          <cell r="M255">
            <v>8051.4950496000001</v>
          </cell>
          <cell r="N255">
            <v>13546.656856699999</v>
          </cell>
        </row>
        <row r="256">
          <cell r="A256" t="str">
            <v>A_4893044</v>
          </cell>
          <cell r="B256" t="str">
            <v>Residential Transportation General Service 3</v>
          </cell>
          <cell r="C256">
            <v>98037.262092599995</v>
          </cell>
          <cell r="D256">
            <v>109659.19947760001</v>
          </cell>
          <cell r="E256">
            <v>93984.184297999993</v>
          </cell>
          <cell r="F256">
            <v>85896.684742600002</v>
          </cell>
          <cell r="G256">
            <v>71296.886068199994</v>
          </cell>
          <cell r="H256">
            <v>69572.299200699999</v>
          </cell>
          <cell r="I256">
            <v>62346.363187499999</v>
          </cell>
          <cell r="J256">
            <v>58160.758785400001</v>
          </cell>
          <cell r="K256">
            <v>67866.849073499994</v>
          </cell>
          <cell r="L256">
            <v>75283.413316999999</v>
          </cell>
          <cell r="M256">
            <v>84485.321843700003</v>
          </cell>
          <cell r="N256">
            <v>102361.1746216</v>
          </cell>
        </row>
        <row r="257">
          <cell r="A257" t="str">
            <v>A_4893045</v>
          </cell>
          <cell r="B257" t="str">
            <v>Residential Transportation General Service 3-Swing</v>
          </cell>
          <cell r="C257">
            <v>8470.7793342999994</v>
          </cell>
          <cell r="D257">
            <v>8537.1660683999999</v>
          </cell>
          <cell r="E257">
            <v>6939.4485304999998</v>
          </cell>
          <cell r="F257">
            <v>7195.4101136999998</v>
          </cell>
          <cell r="G257">
            <v>6285.8208881</v>
          </cell>
          <cell r="H257">
            <v>5181.0652386000002</v>
          </cell>
          <cell r="I257">
            <v>4581.5817181000002</v>
          </cell>
          <cell r="J257">
            <v>4041.3001730999999</v>
          </cell>
          <cell r="K257">
            <v>4551.7545282000001</v>
          </cell>
          <cell r="L257">
            <v>5413.1486656999996</v>
          </cell>
          <cell r="M257">
            <v>5386.2074295000002</v>
          </cell>
          <cell r="N257">
            <v>7721.4079008999997</v>
          </cell>
        </row>
        <row r="258">
          <cell r="A258" t="str">
            <v>A_4893050</v>
          </cell>
          <cell r="B258" t="str">
            <v>General Service Large Vol. 1 Transportation</v>
          </cell>
          <cell r="C258">
            <v>2917697.8328932999</v>
          </cell>
          <cell r="D258">
            <v>2747860.3170975</v>
          </cell>
          <cell r="E258">
            <v>2656712.1371634998</v>
          </cell>
          <cell r="F258">
            <v>2488012.6678272001</v>
          </cell>
          <cell r="G258">
            <v>2332727.3850182998</v>
          </cell>
          <cell r="H258">
            <v>2386628.124119</v>
          </cell>
          <cell r="I258">
            <v>2243786.2790305</v>
          </cell>
          <cell r="J258">
            <v>2234174.8754993002</v>
          </cell>
          <cell r="K258">
            <v>2434143.680892</v>
          </cell>
          <cell r="L258">
            <v>2207719.7385165999</v>
          </cell>
          <cell r="M258">
            <v>2532273.0780432001</v>
          </cell>
          <cell r="N258">
            <v>2910645.875095</v>
          </cell>
        </row>
        <row r="259">
          <cell r="A259" t="str">
            <v>A_4893051</v>
          </cell>
          <cell r="B259" t="str">
            <v>General Service Large Vol. 1 Transportation-Swing</v>
          </cell>
          <cell r="C259">
            <v>135449.17121679999</v>
          </cell>
          <cell r="D259">
            <v>136854.93654719999</v>
          </cell>
          <cell r="E259">
            <v>126736.2442155</v>
          </cell>
          <cell r="F259">
            <v>131517.6722496</v>
          </cell>
          <cell r="G259">
            <v>118768.0810475</v>
          </cell>
          <cell r="H259">
            <v>110033.41825250001</v>
          </cell>
          <cell r="I259">
            <v>110269.6671169</v>
          </cell>
          <cell r="J259">
            <v>99683.905826400005</v>
          </cell>
          <cell r="K259">
            <v>108552.44889889999</v>
          </cell>
          <cell r="L259">
            <v>103410.6046043</v>
          </cell>
          <cell r="M259">
            <v>111567.8271315</v>
          </cell>
          <cell r="N259">
            <v>130163.54043579999</v>
          </cell>
        </row>
        <row r="260">
          <cell r="A260" t="str">
            <v>A_4893052</v>
          </cell>
          <cell r="B260" t="str">
            <v>General Service Large Vol. 2 Transportation</v>
          </cell>
          <cell r="C260">
            <v>4039694.5943347998</v>
          </cell>
          <cell r="D260">
            <v>3736111.1885066</v>
          </cell>
          <cell r="E260">
            <v>3595136.5538363</v>
          </cell>
          <cell r="F260">
            <v>3295443.9458706998</v>
          </cell>
          <cell r="G260">
            <v>3001931.4519296</v>
          </cell>
          <cell r="H260">
            <v>3031424.1125769001</v>
          </cell>
          <cell r="I260">
            <v>2918765.3030868</v>
          </cell>
          <cell r="J260">
            <v>2907894.0590932001</v>
          </cell>
          <cell r="K260">
            <v>3138030.4159037</v>
          </cell>
          <cell r="L260">
            <v>2874142.4019217999</v>
          </cell>
          <cell r="M260">
            <v>3381098.9956971998</v>
          </cell>
          <cell r="N260">
            <v>4031806.0007171002</v>
          </cell>
        </row>
        <row r="261">
          <cell r="A261" t="str">
            <v>A_4893053</v>
          </cell>
          <cell r="B261" t="str">
            <v>General Service Large Vol. 2 Transportation-Swing</v>
          </cell>
          <cell r="C261">
            <v>260165.69842060001</v>
          </cell>
          <cell r="D261">
            <v>265485.04237009998</v>
          </cell>
          <cell r="E261">
            <v>236269.960758</v>
          </cell>
          <cell r="F261">
            <v>240930.72909129999</v>
          </cell>
          <cell r="G261">
            <v>221791.98518339999</v>
          </cell>
          <cell r="H261">
            <v>197694.71569909999</v>
          </cell>
          <cell r="I261">
            <v>205904.0008406</v>
          </cell>
          <cell r="J261">
            <v>184713.04128100001</v>
          </cell>
          <cell r="K261">
            <v>199882.42847029999</v>
          </cell>
          <cell r="L261">
            <v>191049.8522657</v>
          </cell>
          <cell r="M261">
            <v>208398.18154029999</v>
          </cell>
          <cell r="N261">
            <v>248378.1710604</v>
          </cell>
        </row>
        <row r="262">
          <cell r="A262" t="str">
            <v>A_4893054</v>
          </cell>
          <cell r="B262" t="str">
            <v>General Service Large Vol. 3 Transportation</v>
          </cell>
          <cell r="C262">
            <v>2011477.2128585</v>
          </cell>
          <cell r="D262">
            <v>1882561.9249215999</v>
          </cell>
          <cell r="E262">
            <v>1862967.5640572</v>
          </cell>
          <cell r="F262">
            <v>1589728.9699271</v>
          </cell>
          <cell r="G262">
            <v>1546248.5338355999</v>
          </cell>
          <cell r="H262">
            <v>1519356.3708577</v>
          </cell>
          <cell r="I262">
            <v>1498675.4381188001</v>
          </cell>
          <cell r="J262">
            <v>1432725.9330462001</v>
          </cell>
          <cell r="K262">
            <v>1510285.8829880001</v>
          </cell>
          <cell r="L262">
            <v>1517013.7064408001</v>
          </cell>
          <cell r="M262">
            <v>1729210.3085332999</v>
          </cell>
          <cell r="N262">
            <v>2011897.0856271</v>
          </cell>
        </row>
        <row r="263">
          <cell r="A263" t="str">
            <v>A_4893055</v>
          </cell>
          <cell r="B263" t="str">
            <v>General Service Large Vol. 3 Transportation-Swing</v>
          </cell>
          <cell r="C263">
            <v>153005.85455719999</v>
          </cell>
          <cell r="D263">
            <v>156694.73787529999</v>
          </cell>
          <cell r="E263">
            <v>168859.91424300001</v>
          </cell>
          <cell r="F263">
            <v>113030.4830696</v>
          </cell>
          <cell r="G263">
            <v>130332.48331549999</v>
          </cell>
          <cell r="H263">
            <v>116852.65004920001</v>
          </cell>
          <cell r="I263">
            <v>120115.6148695</v>
          </cell>
          <cell r="J263">
            <v>106629.1881038</v>
          </cell>
          <cell r="K263">
            <v>113974.60162840001</v>
          </cell>
          <cell r="L263">
            <v>111335.67670909999</v>
          </cell>
          <cell r="M263">
            <v>123114.03517050001</v>
          </cell>
          <cell r="N263">
            <v>147546.0335847</v>
          </cell>
        </row>
        <row r="264">
          <cell r="A264" t="str">
            <v>A_4893056</v>
          </cell>
          <cell r="B264" t="str">
            <v>General Service Large Vol. 4 Transportation</v>
          </cell>
          <cell r="C264">
            <v>981689.36949129996</v>
          </cell>
          <cell r="D264">
            <v>904326.27299640002</v>
          </cell>
          <cell r="E264">
            <v>932911.85958609998</v>
          </cell>
          <cell r="F264">
            <v>928976.12900790002</v>
          </cell>
          <cell r="G264">
            <v>914291.56927610002</v>
          </cell>
          <cell r="H264">
            <v>881861.62762539997</v>
          </cell>
          <cell r="I264">
            <v>922147.49478029995</v>
          </cell>
          <cell r="J264">
            <v>908197.61661030003</v>
          </cell>
          <cell r="K264">
            <v>894854.97269209998</v>
          </cell>
          <cell r="L264">
            <v>854115.37017530005</v>
          </cell>
          <cell r="M264">
            <v>878688.54997209995</v>
          </cell>
          <cell r="N264">
            <v>913823.40338030003</v>
          </cell>
        </row>
        <row r="265">
          <cell r="A265" t="str">
            <v>A_4893057</v>
          </cell>
          <cell r="B265" t="str">
            <v>General Service Large Vol. 4 Transportation-Swing</v>
          </cell>
          <cell r="C265">
            <v>25860.866409499999</v>
          </cell>
          <cell r="D265">
            <v>24993.334503499998</v>
          </cell>
          <cell r="E265">
            <v>22510.597075400001</v>
          </cell>
          <cell r="F265">
            <v>22887.827628499999</v>
          </cell>
          <cell r="G265">
            <v>20688.807224699998</v>
          </cell>
          <cell r="H265">
            <v>21053.8329247</v>
          </cell>
          <cell r="I265">
            <v>24035.9870262</v>
          </cell>
          <cell r="J265">
            <v>22818.286628000002</v>
          </cell>
          <cell r="K265">
            <v>24028.697885400001</v>
          </cell>
          <cell r="L265">
            <v>17750.307696600001</v>
          </cell>
          <cell r="M265">
            <v>21873.565382799999</v>
          </cell>
          <cell r="N265">
            <v>32408.775674299999</v>
          </cell>
        </row>
        <row r="266">
          <cell r="A266" t="str">
            <v>A_4893058</v>
          </cell>
          <cell r="B266" t="str">
            <v>General Service Large Vol. 5 Transportation</v>
          </cell>
          <cell r="C266">
            <v>1895753.0120310001</v>
          </cell>
          <cell r="D266">
            <v>1739590.3430202999</v>
          </cell>
          <cell r="E266">
            <v>1918525.0400363</v>
          </cell>
          <cell r="F266">
            <v>1863868.2464286</v>
          </cell>
          <cell r="G266">
            <v>1851170.1532163001</v>
          </cell>
          <cell r="H266">
            <v>1842922.5558486001</v>
          </cell>
          <cell r="I266">
            <v>1814285.0533763</v>
          </cell>
          <cell r="J266">
            <v>1861278.7515563001</v>
          </cell>
          <cell r="K266">
            <v>1805262.9394086001</v>
          </cell>
          <cell r="L266">
            <v>1896027.9891563</v>
          </cell>
          <cell r="M266">
            <v>1913094.6759486001</v>
          </cell>
          <cell r="N266">
            <v>1905941.2670362999</v>
          </cell>
        </row>
        <row r="267">
          <cell r="A267" t="str">
            <v>A_4893059</v>
          </cell>
          <cell r="B267" t="str">
            <v>General Service Large Vol. 5 Transportation-Swing</v>
          </cell>
          <cell r="C267">
            <v>12379.3840196</v>
          </cell>
          <cell r="D267">
            <v>12473.8927996</v>
          </cell>
          <cell r="E267">
            <v>11839.673150799999</v>
          </cell>
          <cell r="F267">
            <v>12362.356922000001</v>
          </cell>
          <cell r="G267">
            <v>12442.3703955</v>
          </cell>
          <cell r="H267">
            <v>10585.0762218</v>
          </cell>
          <cell r="I267">
            <v>10409.986970600001</v>
          </cell>
          <cell r="J267">
            <v>9898.7129934000004</v>
          </cell>
          <cell r="K267">
            <v>10002.444903600001</v>
          </cell>
          <cell r="L267">
            <v>13922.1734519</v>
          </cell>
          <cell r="M267">
            <v>10676.3228955</v>
          </cell>
          <cell r="N267">
            <v>18352.3318224</v>
          </cell>
        </row>
        <row r="268">
          <cell r="A268" t="str">
            <v>A_4893060</v>
          </cell>
          <cell r="B268" t="str">
            <v>Interruptible Service Small Transportation</v>
          </cell>
          <cell r="C268">
            <v>360364.62215900002</v>
          </cell>
          <cell r="D268">
            <v>329046.42549370002</v>
          </cell>
          <cell r="E268">
            <v>354634.25562180002</v>
          </cell>
          <cell r="F268">
            <v>335208.58627949998</v>
          </cell>
          <cell r="G268">
            <v>324770.37252129999</v>
          </cell>
          <cell r="H268">
            <v>311856.55340799998</v>
          </cell>
          <cell r="I268">
            <v>313074.71782730002</v>
          </cell>
          <cell r="J268">
            <v>320214.69136579998</v>
          </cell>
          <cell r="K268">
            <v>305623.10563399998</v>
          </cell>
          <cell r="L268">
            <v>310128.79148180003</v>
          </cell>
          <cell r="M268">
            <v>318828.95000900002</v>
          </cell>
          <cell r="N268">
            <v>320782.93645530002</v>
          </cell>
        </row>
        <row r="269">
          <cell r="A269" t="str">
            <v>A_4893070</v>
          </cell>
          <cell r="B269" t="str">
            <v>Interruptible Service Large Vol. 1 Transportation</v>
          </cell>
          <cell r="C269">
            <v>505185.28003339999</v>
          </cell>
          <cell r="D269">
            <v>458362.25384979998</v>
          </cell>
          <cell r="E269">
            <v>580927.40079999994</v>
          </cell>
          <cell r="F269">
            <v>537428.45882499998</v>
          </cell>
          <cell r="G269">
            <v>528752.44960000005</v>
          </cell>
          <cell r="H269">
            <v>504206.29869999998</v>
          </cell>
          <cell r="I269">
            <v>516229.14287500002</v>
          </cell>
          <cell r="J269">
            <v>465456.22269999998</v>
          </cell>
          <cell r="K269">
            <v>437492.30920000002</v>
          </cell>
          <cell r="L269">
            <v>496857.63445000001</v>
          </cell>
          <cell r="M269">
            <v>485070.188425</v>
          </cell>
          <cell r="N269">
            <v>544723.20744999999</v>
          </cell>
        </row>
        <row r="270">
          <cell r="A270" t="str">
            <v>A_4893090</v>
          </cell>
          <cell r="B270" t="str">
            <v>Intrpt Con Svc Tmsp</v>
          </cell>
          <cell r="C270">
            <v>2348673.7406188999</v>
          </cell>
          <cell r="D270">
            <v>2288065.6832754998</v>
          </cell>
          <cell r="E270">
            <v>2465079.1926099998</v>
          </cell>
          <cell r="F270">
            <v>2548364.2536845002</v>
          </cell>
          <cell r="G270">
            <v>2567071.3456250001</v>
          </cell>
          <cell r="H270">
            <v>2493539.7892694999</v>
          </cell>
          <cell r="I270">
            <v>2386907.5392673002</v>
          </cell>
          <cell r="J270">
            <v>2341425.1716140001</v>
          </cell>
          <cell r="K270">
            <v>2347254.4621159001</v>
          </cell>
          <cell r="L270">
            <v>2409436.6870260998</v>
          </cell>
          <cell r="M270">
            <v>2355671.4926152001</v>
          </cell>
          <cell r="N270">
            <v>2276206.1934898002</v>
          </cell>
        </row>
        <row r="271">
          <cell r="A271" t="str">
            <v>A_4930000</v>
          </cell>
          <cell r="B271" t="str">
            <v>Rent Revenue</v>
          </cell>
          <cell r="C271">
            <v>2803.7350000000001</v>
          </cell>
          <cell r="D271">
            <v>2000</v>
          </cell>
          <cell r="E271">
            <v>0</v>
          </cell>
          <cell r="F271">
            <v>0</v>
          </cell>
          <cell r="G271">
            <v>118000</v>
          </cell>
          <cell r="H271">
            <v>0</v>
          </cell>
          <cell r="I271">
            <v>2803.74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2803.74</v>
          </cell>
        </row>
        <row r="272">
          <cell r="A272" t="str">
            <v>A_4930700</v>
          </cell>
          <cell r="B272" t="str">
            <v>Rent Revenue - Intercompany</v>
          </cell>
          <cell r="C272">
            <v>7684</v>
          </cell>
          <cell r="D272">
            <v>7684</v>
          </cell>
          <cell r="E272">
            <v>7684</v>
          </cell>
          <cell r="F272">
            <v>7684</v>
          </cell>
          <cell r="G272">
            <v>7684</v>
          </cell>
          <cell r="H272">
            <v>7684</v>
          </cell>
          <cell r="I272">
            <v>7684</v>
          </cell>
          <cell r="J272">
            <v>7684</v>
          </cell>
          <cell r="K272">
            <v>7684</v>
          </cell>
          <cell r="L272">
            <v>7684</v>
          </cell>
          <cell r="M272">
            <v>7684</v>
          </cell>
          <cell r="N272">
            <v>7684</v>
          </cell>
        </row>
        <row r="273">
          <cell r="A273" t="str">
            <v>A_4950203</v>
          </cell>
          <cell r="B273" t="str">
            <v>Other Revenues - Energy Conservation</v>
          </cell>
          <cell r="C273">
            <v>2278182.6</v>
          </cell>
          <cell r="D273">
            <v>2044035.27</v>
          </cell>
          <cell r="E273">
            <v>1740629.63</v>
          </cell>
          <cell r="F273">
            <v>1734330.16</v>
          </cell>
          <cell r="G273">
            <v>1393931.26</v>
          </cell>
          <cell r="H273">
            <v>1281384.72</v>
          </cell>
          <cell r="I273">
            <v>1223825.43</v>
          </cell>
          <cell r="J273">
            <v>1120055.8600000001</v>
          </cell>
          <cell r="K273">
            <v>1185674.3400000001</v>
          </cell>
          <cell r="L273">
            <v>1162001.26</v>
          </cell>
          <cell r="M273">
            <v>1361079.67</v>
          </cell>
          <cell r="N273">
            <v>1813194.83</v>
          </cell>
        </row>
        <row r="274">
          <cell r="A274" t="str">
            <v>A_4950205</v>
          </cell>
          <cell r="B274" t="str">
            <v>Other Revenues - Franchise Fees</v>
          </cell>
          <cell r="C274">
            <v>1521356.4240000001</v>
          </cell>
          <cell r="D274">
            <v>1606030.608</v>
          </cell>
          <cell r="E274">
            <v>1438911.9569999999</v>
          </cell>
          <cell r="F274">
            <v>1322465.4240000001</v>
          </cell>
          <cell r="G274">
            <v>1251201.1784999999</v>
          </cell>
          <cell r="H274">
            <v>1145970.4620000001</v>
          </cell>
          <cell r="I274">
            <v>1069127.01</v>
          </cell>
          <cell r="J274">
            <v>1079818.2801000001</v>
          </cell>
          <cell r="K274">
            <v>1090616.4629009999</v>
          </cell>
          <cell r="L274">
            <v>1199678.1091911001</v>
          </cell>
          <cell r="M274">
            <v>1319645.9201102001</v>
          </cell>
          <cell r="N274">
            <v>1517592.8081267001</v>
          </cell>
        </row>
        <row r="275">
          <cell r="A275" t="str">
            <v>A_4950206</v>
          </cell>
          <cell r="B275" t="str">
            <v>Other Revenues - Gross Receipts</v>
          </cell>
          <cell r="C275">
            <v>1869731.8244</v>
          </cell>
          <cell r="D275">
            <v>2025487.423</v>
          </cell>
          <cell r="E275">
            <v>1754831.0834999999</v>
          </cell>
          <cell r="F275">
            <v>1571082.6370999999</v>
          </cell>
          <cell r="G275">
            <v>1424221.0068999999</v>
          </cell>
          <cell r="H275">
            <v>1255627.1203000001</v>
          </cell>
          <cell r="I275">
            <v>1125751.1370000001</v>
          </cell>
          <cell r="J275">
            <v>1131379.8926850001</v>
          </cell>
          <cell r="K275">
            <v>1187948.8873193001</v>
          </cell>
          <cell r="L275">
            <v>1282984.7983047999</v>
          </cell>
          <cell r="M275">
            <v>1475432.5180505</v>
          </cell>
          <cell r="N275">
            <v>1622975.7698556001</v>
          </cell>
        </row>
        <row r="276">
          <cell r="A276" t="str">
            <v>A_4950207</v>
          </cell>
          <cell r="B276" t="str">
            <v>Other Revenues - Commission on Sales Tax</v>
          </cell>
          <cell r="C276">
            <v>1191.3357143000001</v>
          </cell>
          <cell r="D276">
            <v>1191.3357143000001</v>
          </cell>
          <cell r="E276">
            <v>1191.3357143000001</v>
          </cell>
          <cell r="F276">
            <v>1191.3357143000001</v>
          </cell>
          <cell r="G276">
            <v>1191.3357143000001</v>
          </cell>
          <cell r="H276">
            <v>1191.3357143000001</v>
          </cell>
          <cell r="I276">
            <v>1191.3357143000001</v>
          </cell>
          <cell r="J276">
            <v>1191.3357143000001</v>
          </cell>
          <cell r="K276">
            <v>1191.3357143000001</v>
          </cell>
          <cell r="L276">
            <v>1191.3357143000001</v>
          </cell>
          <cell r="M276">
            <v>1191.3357143000001</v>
          </cell>
          <cell r="N276">
            <v>1191.3357143000001</v>
          </cell>
        </row>
        <row r="277">
          <cell r="A277" t="str">
            <v>A_4950208</v>
          </cell>
          <cell r="B277" t="str">
            <v>Other Revenues - Pool Mgr History Fee</v>
          </cell>
          <cell r="C277">
            <v>140</v>
          </cell>
          <cell r="D277">
            <v>140</v>
          </cell>
          <cell r="E277">
            <v>140</v>
          </cell>
          <cell r="F277">
            <v>140</v>
          </cell>
          <cell r="G277">
            <v>140</v>
          </cell>
          <cell r="H277">
            <v>140</v>
          </cell>
          <cell r="I277">
            <v>140</v>
          </cell>
          <cell r="J277">
            <v>140</v>
          </cell>
          <cell r="K277">
            <v>140</v>
          </cell>
          <cell r="L277">
            <v>140</v>
          </cell>
          <cell r="M277">
            <v>140</v>
          </cell>
          <cell r="N277">
            <v>140</v>
          </cell>
        </row>
        <row r="278">
          <cell r="A278" t="str">
            <v>A_4950209</v>
          </cell>
          <cell r="B278" t="str">
            <v>Other Revenues - Pool Mgr Administration Fee</v>
          </cell>
          <cell r="C278">
            <v>25962.8371429</v>
          </cell>
          <cell r="D278">
            <v>25962.8371429</v>
          </cell>
          <cell r="E278">
            <v>25962.8371429</v>
          </cell>
          <cell r="F278">
            <v>25962.8371429</v>
          </cell>
          <cell r="G278">
            <v>25962.8371429</v>
          </cell>
          <cell r="H278">
            <v>25962.8371429</v>
          </cell>
          <cell r="I278">
            <v>25962.8371429</v>
          </cell>
          <cell r="J278">
            <v>25962.8371429</v>
          </cell>
          <cell r="K278">
            <v>25962.8371429</v>
          </cell>
          <cell r="L278">
            <v>25962.8371429</v>
          </cell>
          <cell r="M278">
            <v>25962.8371429</v>
          </cell>
          <cell r="N278">
            <v>25962.8371429</v>
          </cell>
        </row>
        <row r="279">
          <cell r="A279" t="str">
            <v>A_4950210</v>
          </cell>
          <cell r="B279" t="str">
            <v>Other Revenues - Pool Manager Change Fee</v>
          </cell>
          <cell r="C279">
            <v>3150</v>
          </cell>
          <cell r="D279">
            <v>3150</v>
          </cell>
          <cell r="E279">
            <v>3150</v>
          </cell>
          <cell r="F279">
            <v>3150</v>
          </cell>
          <cell r="G279">
            <v>3150</v>
          </cell>
          <cell r="H279">
            <v>3150</v>
          </cell>
          <cell r="I279">
            <v>3150</v>
          </cell>
          <cell r="J279">
            <v>3150</v>
          </cell>
          <cell r="K279">
            <v>3150</v>
          </cell>
          <cell r="L279">
            <v>3150</v>
          </cell>
          <cell r="M279">
            <v>3150</v>
          </cell>
          <cell r="N279">
            <v>3150</v>
          </cell>
        </row>
        <row r="280">
          <cell r="A280" t="str">
            <v>A_4950211</v>
          </cell>
          <cell r="B280" t="str">
            <v>Other Revenues - Termination Fee</v>
          </cell>
          <cell r="C280">
            <v>208</v>
          </cell>
          <cell r="D280">
            <v>208</v>
          </cell>
          <cell r="E280">
            <v>208</v>
          </cell>
          <cell r="F280">
            <v>208</v>
          </cell>
          <cell r="G280">
            <v>208</v>
          </cell>
          <cell r="H280">
            <v>208</v>
          </cell>
          <cell r="I280">
            <v>208</v>
          </cell>
          <cell r="J280">
            <v>208</v>
          </cell>
          <cell r="K280">
            <v>208</v>
          </cell>
          <cell r="L280">
            <v>208</v>
          </cell>
          <cell r="M280">
            <v>208</v>
          </cell>
          <cell r="N280">
            <v>208</v>
          </cell>
        </row>
        <row r="281">
          <cell r="A281" t="str">
            <v>A_4950214</v>
          </cell>
          <cell r="B281" t="str">
            <v>Other Revenues - Hardee Maintenance</v>
          </cell>
          <cell r="C281">
            <v>-17964.07</v>
          </cell>
          <cell r="D281">
            <v>-17964.07</v>
          </cell>
          <cell r="E281">
            <v>-17964.07</v>
          </cell>
          <cell r="F281">
            <v>-17964.07</v>
          </cell>
          <cell r="G281">
            <v>-17964.07</v>
          </cell>
          <cell r="H281">
            <v>-17964.07</v>
          </cell>
          <cell r="I281">
            <v>-17964.07</v>
          </cell>
          <cell r="J281">
            <v>-17964.07</v>
          </cell>
          <cell r="K281">
            <v>-17964.07</v>
          </cell>
          <cell r="L281">
            <v>-17964.07</v>
          </cell>
          <cell r="M281">
            <v>3033305.93</v>
          </cell>
          <cell r="N281">
            <v>367864.93</v>
          </cell>
        </row>
        <row r="282">
          <cell r="A282" t="str">
            <v>A_4950271</v>
          </cell>
          <cell r="B282" t="str">
            <v>CI/BSR Rider Revenue</v>
          </cell>
          <cell r="C282">
            <v>1007521.19</v>
          </cell>
          <cell r="D282">
            <v>973264.47</v>
          </cell>
          <cell r="E282">
            <v>858066.57</v>
          </cell>
          <cell r="F282">
            <v>762543.54</v>
          </cell>
          <cell r="G282">
            <v>672354.91</v>
          </cell>
          <cell r="H282">
            <v>626836.01</v>
          </cell>
          <cell r="I282">
            <v>595794.52</v>
          </cell>
          <cell r="J282">
            <v>574898.30000000005</v>
          </cell>
          <cell r="K282">
            <v>589132.39</v>
          </cell>
          <cell r="L282">
            <v>596276.51</v>
          </cell>
          <cell r="M282">
            <v>674243.8</v>
          </cell>
          <cell r="N282">
            <v>868158.35</v>
          </cell>
        </row>
        <row r="283">
          <cell r="A283" t="str">
            <v>A_4950800</v>
          </cell>
          <cell r="B283" t="str">
            <v>Other Revenues - Miscellaneous</v>
          </cell>
          <cell r="C283">
            <v>-24.33</v>
          </cell>
          <cell r="D283">
            <v>-24.33</v>
          </cell>
          <cell r="E283">
            <v>-24.33</v>
          </cell>
          <cell r="F283">
            <v>-24.33</v>
          </cell>
          <cell r="G283">
            <v>-24.33</v>
          </cell>
          <cell r="H283">
            <v>-24.33</v>
          </cell>
          <cell r="I283">
            <v>-24.33</v>
          </cell>
          <cell r="J283">
            <v>-24.33</v>
          </cell>
          <cell r="K283">
            <v>-24.33</v>
          </cell>
          <cell r="L283">
            <v>-24.33</v>
          </cell>
          <cell r="M283">
            <v>-24.33</v>
          </cell>
          <cell r="N283">
            <v>-24.33</v>
          </cell>
        </row>
        <row r="284">
          <cell r="A284" t="str">
            <v>A_6010900</v>
          </cell>
          <cell r="B284" t="str">
            <v>Labor Commissions</v>
          </cell>
          <cell r="C284">
            <v>76385.72</v>
          </cell>
          <cell r="D284">
            <v>65650.399999999994</v>
          </cell>
          <cell r="E284">
            <v>67952</v>
          </cell>
          <cell r="F284">
            <v>65864.12</v>
          </cell>
          <cell r="G284">
            <v>72220.92</v>
          </cell>
          <cell r="H284">
            <v>65760</v>
          </cell>
          <cell r="I284">
            <v>72220.92</v>
          </cell>
          <cell r="J284">
            <v>67952</v>
          </cell>
          <cell r="K284">
            <v>70028.92</v>
          </cell>
          <cell r="L284">
            <v>72116.800000000003</v>
          </cell>
          <cell r="M284">
            <v>74297.84</v>
          </cell>
          <cell r="N284">
            <v>76489.84</v>
          </cell>
        </row>
        <row r="285">
          <cell r="A285" t="str">
            <v>A_6018999</v>
          </cell>
          <cell r="B285" t="str">
            <v>Labor Expense Reclass</v>
          </cell>
          <cell r="C285">
            <v>-86512.994518899999</v>
          </cell>
          <cell r="D285">
            <v>-77310.203387799993</v>
          </cell>
          <cell r="E285">
            <v>-92484.839330000003</v>
          </cell>
          <cell r="F285">
            <v>-76041.955325300005</v>
          </cell>
          <cell r="G285">
            <v>-93441.558463299996</v>
          </cell>
          <cell r="H285">
            <v>-95951.4675307</v>
          </cell>
          <cell r="I285">
            <v>-82720.882590900001</v>
          </cell>
          <cell r="J285">
            <v>-93419.538133299997</v>
          </cell>
          <cell r="K285">
            <v>-82570.104537399995</v>
          </cell>
          <cell r="L285">
            <v>-88211.759323000006</v>
          </cell>
          <cell r="M285">
            <v>-103014.543179</v>
          </cell>
          <cell r="N285">
            <v>-89378.600522399996</v>
          </cell>
        </row>
        <row r="286">
          <cell r="A286" t="str">
            <v>A_6030010</v>
          </cell>
          <cell r="B286" t="str">
            <v>Empl Exp - Professional Dues. Subscriptions. Fees</v>
          </cell>
          <cell r="C286">
            <v>250</v>
          </cell>
          <cell r="D286">
            <v>250</v>
          </cell>
          <cell r="E286">
            <v>6779.25</v>
          </cell>
          <cell r="F286">
            <v>250</v>
          </cell>
          <cell r="G286">
            <v>250</v>
          </cell>
          <cell r="H286">
            <v>6779.25</v>
          </cell>
          <cell r="I286">
            <v>250</v>
          </cell>
          <cell r="J286">
            <v>250</v>
          </cell>
          <cell r="K286">
            <v>6779.25</v>
          </cell>
          <cell r="L286">
            <v>250</v>
          </cell>
          <cell r="M286">
            <v>250</v>
          </cell>
          <cell r="N286">
            <v>6779.25</v>
          </cell>
        </row>
        <row r="287">
          <cell r="A287" t="str">
            <v>A_6030040</v>
          </cell>
          <cell r="B287" t="str">
            <v>Empl Exp - Meals &amp; Entertainment 50% Deductible</v>
          </cell>
          <cell r="C287">
            <v>4145.83</v>
          </cell>
          <cell r="D287">
            <v>4145.83</v>
          </cell>
          <cell r="E287">
            <v>4145.83</v>
          </cell>
          <cell r="F287">
            <v>4145.83</v>
          </cell>
          <cell r="G287">
            <v>4145.83</v>
          </cell>
          <cell r="H287">
            <v>4145.83</v>
          </cell>
          <cell r="I287">
            <v>4145.83</v>
          </cell>
          <cell r="J287">
            <v>4145.83</v>
          </cell>
          <cell r="K287">
            <v>4145.84</v>
          </cell>
          <cell r="L287">
            <v>4145.84</v>
          </cell>
          <cell r="M287">
            <v>4145.84</v>
          </cell>
          <cell r="N287">
            <v>4145.84</v>
          </cell>
        </row>
        <row r="288">
          <cell r="A288" t="str">
            <v>A_6030050</v>
          </cell>
          <cell r="B288" t="str">
            <v>Empl Exp - Mileage</v>
          </cell>
          <cell r="C288">
            <v>2283.33</v>
          </cell>
          <cell r="D288">
            <v>2283.33</v>
          </cell>
          <cell r="E288">
            <v>2353.33</v>
          </cell>
          <cell r="F288">
            <v>2283.33</v>
          </cell>
          <cell r="G288">
            <v>2283.33</v>
          </cell>
          <cell r="H288">
            <v>2353.33</v>
          </cell>
          <cell r="I288">
            <v>2283.33</v>
          </cell>
          <cell r="J288">
            <v>2283.33</v>
          </cell>
          <cell r="K288">
            <v>2353.34</v>
          </cell>
          <cell r="L288">
            <v>2283.34</v>
          </cell>
          <cell r="M288">
            <v>2283.34</v>
          </cell>
          <cell r="N288">
            <v>2353.34</v>
          </cell>
        </row>
        <row r="289">
          <cell r="A289" t="str">
            <v>A_6030070</v>
          </cell>
          <cell r="B289" t="str">
            <v>Empl Exp - Training</v>
          </cell>
          <cell r="C289">
            <v>900</v>
          </cell>
          <cell r="D289">
            <v>900</v>
          </cell>
          <cell r="E289">
            <v>1162.5</v>
          </cell>
          <cell r="F289">
            <v>900</v>
          </cell>
          <cell r="G289">
            <v>900</v>
          </cell>
          <cell r="H289">
            <v>1162.5</v>
          </cell>
          <cell r="I289">
            <v>900</v>
          </cell>
          <cell r="J289">
            <v>900</v>
          </cell>
          <cell r="K289">
            <v>1162.5</v>
          </cell>
          <cell r="L289">
            <v>900</v>
          </cell>
          <cell r="M289">
            <v>900</v>
          </cell>
          <cell r="N289">
            <v>1162.5</v>
          </cell>
        </row>
        <row r="290">
          <cell r="A290" t="str">
            <v>A_6030080</v>
          </cell>
          <cell r="B290" t="str">
            <v>Empl Exp - Travel and Lodging</v>
          </cell>
          <cell r="C290">
            <v>17770.830000000002</v>
          </cell>
          <cell r="D290">
            <v>17770.830000000002</v>
          </cell>
          <cell r="E290">
            <v>18173.330000000002</v>
          </cell>
          <cell r="F290">
            <v>18770.830000000002</v>
          </cell>
          <cell r="G290">
            <v>17770.830000000002</v>
          </cell>
          <cell r="H290">
            <v>18173.330000000002</v>
          </cell>
          <cell r="I290">
            <v>18770.830000000002</v>
          </cell>
          <cell r="J290">
            <v>17770.830000000002</v>
          </cell>
          <cell r="K290">
            <v>23173.34</v>
          </cell>
          <cell r="L290">
            <v>23970.84</v>
          </cell>
          <cell r="M290">
            <v>17970.84</v>
          </cell>
          <cell r="N290">
            <v>18373.34</v>
          </cell>
        </row>
        <row r="291">
          <cell r="A291" t="str">
            <v>A_6030800</v>
          </cell>
          <cell r="B291" t="str">
            <v>Empl Exp - Miscellaneous Expense</v>
          </cell>
          <cell r="C291">
            <v>-59744.478677300001</v>
          </cell>
          <cell r="D291">
            <v>-59744.478677300001</v>
          </cell>
          <cell r="E291">
            <v>-60369.478677300001</v>
          </cell>
          <cell r="F291">
            <v>-84244.478677299994</v>
          </cell>
          <cell r="G291">
            <v>-59744.478677300001</v>
          </cell>
          <cell r="H291">
            <v>-59973.050105900002</v>
          </cell>
          <cell r="I291">
            <v>-60473.050105900002</v>
          </cell>
          <cell r="J291">
            <v>-59973.050105900002</v>
          </cell>
          <cell r="K291">
            <v>-60473.050105900002</v>
          </cell>
          <cell r="L291">
            <v>-60473.050105900002</v>
          </cell>
          <cell r="M291">
            <v>-60473.050105900002</v>
          </cell>
          <cell r="N291">
            <v>-60973.050105900002</v>
          </cell>
        </row>
        <row r="292">
          <cell r="A292" t="str">
            <v>A_6100010</v>
          </cell>
          <cell r="B292" t="str">
            <v>Advertising</v>
          </cell>
          <cell r="C292">
            <v>85242.661600000007</v>
          </cell>
          <cell r="D292">
            <v>87242.661600000007</v>
          </cell>
          <cell r="E292">
            <v>122242.66160000001</v>
          </cell>
          <cell r="F292">
            <v>105134.47040000001</v>
          </cell>
          <cell r="G292">
            <v>154134.47039999999</v>
          </cell>
          <cell r="H292">
            <v>127634.47040000001</v>
          </cell>
          <cell r="I292">
            <v>197026.27919999999</v>
          </cell>
          <cell r="J292">
            <v>143026.27919999999</v>
          </cell>
          <cell r="K292">
            <v>139526.27919999999</v>
          </cell>
          <cell r="L292">
            <v>317026.27919999999</v>
          </cell>
          <cell r="M292">
            <v>233526.27919999999</v>
          </cell>
          <cell r="N292">
            <v>118918.088</v>
          </cell>
        </row>
        <row r="293">
          <cell r="A293" t="str">
            <v>A_6100030</v>
          </cell>
          <cell r="B293" t="str">
            <v>Consultants - Audit</v>
          </cell>
          <cell r="C293">
            <v>0</v>
          </cell>
          <cell r="D293">
            <v>0</v>
          </cell>
          <cell r="E293">
            <v>80000</v>
          </cell>
          <cell r="F293">
            <v>0</v>
          </cell>
          <cell r="G293">
            <v>0</v>
          </cell>
          <cell r="H293">
            <v>55000</v>
          </cell>
          <cell r="I293">
            <v>0</v>
          </cell>
          <cell r="J293">
            <v>0</v>
          </cell>
          <cell r="K293">
            <v>80000</v>
          </cell>
          <cell r="L293">
            <v>0</v>
          </cell>
          <cell r="M293">
            <v>0</v>
          </cell>
          <cell r="N293">
            <v>35000</v>
          </cell>
        </row>
        <row r="294">
          <cell r="A294" t="str">
            <v>A_6100040</v>
          </cell>
          <cell r="B294" t="str">
            <v>Consultants - Engineering</v>
          </cell>
          <cell r="C294">
            <v>16866</v>
          </cell>
          <cell r="D294">
            <v>16866</v>
          </cell>
          <cell r="E294">
            <v>16866</v>
          </cell>
          <cell r="F294">
            <v>16866</v>
          </cell>
          <cell r="G294">
            <v>16866</v>
          </cell>
          <cell r="H294">
            <v>16866</v>
          </cell>
          <cell r="I294">
            <v>16866</v>
          </cell>
          <cell r="J294">
            <v>16866</v>
          </cell>
          <cell r="K294">
            <v>16866</v>
          </cell>
          <cell r="L294">
            <v>16866</v>
          </cell>
          <cell r="M294">
            <v>16866</v>
          </cell>
          <cell r="N294">
            <v>16874</v>
          </cell>
        </row>
        <row r="295">
          <cell r="A295" t="str">
            <v>A_6100070</v>
          </cell>
          <cell r="B295" t="str">
            <v>Consultants - Management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100000</v>
          </cell>
          <cell r="N295">
            <v>100000</v>
          </cell>
        </row>
        <row r="296">
          <cell r="A296" t="str">
            <v>A_6100080</v>
          </cell>
          <cell r="B296" t="str">
            <v>Consultants - Other</v>
          </cell>
          <cell r="C296">
            <v>-273686.63159010001</v>
          </cell>
          <cell r="D296">
            <v>-273686.63159010001</v>
          </cell>
          <cell r="E296">
            <v>-278686.63159010001</v>
          </cell>
          <cell r="F296">
            <v>-273686.63159010001</v>
          </cell>
          <cell r="G296">
            <v>-273686.63159010001</v>
          </cell>
          <cell r="H296">
            <v>-278686.63159010001</v>
          </cell>
          <cell r="I296">
            <v>-273686.63159010001</v>
          </cell>
          <cell r="J296">
            <v>-273686.63159010001</v>
          </cell>
          <cell r="K296">
            <v>-278686.63159010001</v>
          </cell>
          <cell r="L296">
            <v>-273686.63159010001</v>
          </cell>
          <cell r="M296">
            <v>-273686.63159010001</v>
          </cell>
          <cell r="N296">
            <v>-266799.46159010002</v>
          </cell>
        </row>
        <row r="297">
          <cell r="A297" t="str">
            <v>A_6100100</v>
          </cell>
          <cell r="B297" t="str">
            <v>Subcontracted Services</v>
          </cell>
          <cell r="C297">
            <v>5200</v>
          </cell>
          <cell r="D297">
            <v>5200</v>
          </cell>
          <cell r="E297">
            <v>5200</v>
          </cell>
          <cell r="F297">
            <v>5200</v>
          </cell>
          <cell r="G297">
            <v>5200</v>
          </cell>
          <cell r="H297">
            <v>5200</v>
          </cell>
          <cell r="I297">
            <v>5200</v>
          </cell>
          <cell r="J297">
            <v>5200</v>
          </cell>
          <cell r="K297">
            <v>55200</v>
          </cell>
          <cell r="L297">
            <v>5200</v>
          </cell>
          <cell r="M297">
            <v>5200</v>
          </cell>
          <cell r="N297">
            <v>5200</v>
          </cell>
        </row>
        <row r="298">
          <cell r="A298" t="str">
            <v>A_6100150</v>
          </cell>
          <cell r="B298" t="str">
            <v>Printing</v>
          </cell>
          <cell r="C298">
            <v>0</v>
          </cell>
          <cell r="D298">
            <v>0</v>
          </cell>
          <cell r="E298">
            <v>3000</v>
          </cell>
          <cell r="F298">
            <v>0</v>
          </cell>
          <cell r="G298">
            <v>0</v>
          </cell>
          <cell r="H298">
            <v>3000</v>
          </cell>
          <cell r="I298">
            <v>0</v>
          </cell>
          <cell r="J298">
            <v>0</v>
          </cell>
          <cell r="K298">
            <v>3000</v>
          </cell>
          <cell r="L298">
            <v>0</v>
          </cell>
          <cell r="M298">
            <v>0</v>
          </cell>
          <cell r="N298">
            <v>3000</v>
          </cell>
        </row>
        <row r="299">
          <cell r="A299" t="str">
            <v>A_6100190</v>
          </cell>
          <cell r="B299" t="str">
            <v>Software Maintenance</v>
          </cell>
          <cell r="C299">
            <v>45833.333333299997</v>
          </cell>
          <cell r="D299">
            <v>45833.333333299997</v>
          </cell>
          <cell r="E299">
            <v>45833.333333299997</v>
          </cell>
          <cell r="F299">
            <v>45833.333333299997</v>
          </cell>
          <cell r="G299">
            <v>45833.333333299997</v>
          </cell>
          <cell r="H299">
            <v>46295.333333299997</v>
          </cell>
          <cell r="I299">
            <v>45833.333333299997</v>
          </cell>
          <cell r="J299">
            <v>45833.333333299997</v>
          </cell>
          <cell r="K299">
            <v>45833.333333299997</v>
          </cell>
          <cell r="L299">
            <v>45833.333333299997</v>
          </cell>
          <cell r="M299">
            <v>45833.333333299997</v>
          </cell>
          <cell r="N299">
            <v>45833.333333299997</v>
          </cell>
        </row>
        <row r="300">
          <cell r="A300" t="str">
            <v>A_6300100</v>
          </cell>
          <cell r="B300" t="str">
            <v>Cost of Natural Gas Sold</v>
          </cell>
          <cell r="C300">
            <v>31721498.383781001</v>
          </cell>
          <cell r="D300">
            <v>29546349.578732502</v>
          </cell>
          <cell r="E300">
            <v>24198534.055907499</v>
          </cell>
          <cell r="F300">
            <v>17647684.292141501</v>
          </cell>
          <cell r="G300">
            <v>14532060.138673</v>
          </cell>
          <cell r="H300">
            <v>13207465.210507</v>
          </cell>
          <cell r="I300">
            <v>12727303.370748</v>
          </cell>
          <cell r="J300">
            <v>12297829.0937226</v>
          </cell>
          <cell r="K300">
            <v>13152490.151548101</v>
          </cell>
          <cell r="L300">
            <v>14272047.5232001</v>
          </cell>
          <cell r="M300">
            <v>17005983.644806299</v>
          </cell>
          <cell r="N300">
            <v>20771958.972123701</v>
          </cell>
        </row>
        <row r="301">
          <cell r="A301" t="str">
            <v>A_6400010</v>
          </cell>
          <cell r="B301" t="str">
            <v>Mat &amp; Supp - Furniture &amp; Computer/Office Equipment</v>
          </cell>
          <cell r="C301">
            <v>700.00070000000005</v>
          </cell>
          <cell r="D301">
            <v>700.00070000000005</v>
          </cell>
          <cell r="E301">
            <v>700.00070000000005</v>
          </cell>
          <cell r="F301">
            <v>800.00080000000003</v>
          </cell>
          <cell r="G301">
            <v>800.00080000000003</v>
          </cell>
          <cell r="H301">
            <v>800.00080000000003</v>
          </cell>
          <cell r="I301">
            <v>900.0009</v>
          </cell>
          <cell r="J301">
            <v>900.0009</v>
          </cell>
          <cell r="K301">
            <v>900.0009</v>
          </cell>
          <cell r="L301">
            <v>900.0009</v>
          </cell>
          <cell r="M301">
            <v>900.0009</v>
          </cell>
          <cell r="N301">
            <v>1000.001</v>
          </cell>
        </row>
        <row r="302">
          <cell r="A302" t="str">
            <v>A_6400020</v>
          </cell>
          <cell r="B302" t="str">
            <v>Mat &amp; Supp - General and Office Supplies</v>
          </cell>
          <cell r="C302">
            <v>12695.594999999999</v>
          </cell>
          <cell r="D302">
            <v>12695.594999999999</v>
          </cell>
          <cell r="E302">
            <v>12695.594999999999</v>
          </cell>
          <cell r="F302">
            <v>12980.68</v>
          </cell>
          <cell r="G302">
            <v>12980.68</v>
          </cell>
          <cell r="H302">
            <v>13080.68</v>
          </cell>
          <cell r="I302">
            <v>13265.764999999999</v>
          </cell>
          <cell r="J302">
            <v>13265.764999999999</v>
          </cell>
          <cell r="K302">
            <v>13265.764999999999</v>
          </cell>
          <cell r="L302">
            <v>14265.764999999999</v>
          </cell>
          <cell r="M302">
            <v>14265.764999999999</v>
          </cell>
          <cell r="N302">
            <v>14450.85</v>
          </cell>
        </row>
        <row r="303">
          <cell r="A303" t="str">
            <v>A_6400100</v>
          </cell>
          <cell r="B303" t="str">
            <v>Mat &amp; Supp - Outside Material Purchases</v>
          </cell>
          <cell r="C303">
            <v>-9400.0000001000008</v>
          </cell>
          <cell r="D303">
            <v>-9400.0000001000008</v>
          </cell>
          <cell r="E303">
            <v>-9400.0000001000008</v>
          </cell>
          <cell r="F303">
            <v>-9400.0000001000008</v>
          </cell>
          <cell r="G303">
            <v>-9400.0000001000008</v>
          </cell>
          <cell r="H303">
            <v>-9400.0000001000008</v>
          </cell>
          <cell r="I303">
            <v>-9400.0000001000008</v>
          </cell>
          <cell r="J303">
            <v>-9400.0000001000008</v>
          </cell>
          <cell r="K303">
            <v>-9400.0000001000008</v>
          </cell>
          <cell r="L303">
            <v>-9400.0000001000008</v>
          </cell>
          <cell r="M303">
            <v>-9400.0000001000008</v>
          </cell>
          <cell r="N303">
            <v>-9400.0000001000008</v>
          </cell>
        </row>
        <row r="304">
          <cell r="A304" t="str">
            <v>A_6500810</v>
          </cell>
          <cell r="B304" t="str">
            <v>Transportation - Vehicle Depreciation Other</v>
          </cell>
          <cell r="C304">
            <v>158888.12885080001</v>
          </cell>
          <cell r="D304">
            <v>168132.01642560001</v>
          </cell>
          <cell r="E304">
            <v>171916.98926520001</v>
          </cell>
          <cell r="F304">
            <v>174711.69440569999</v>
          </cell>
          <cell r="G304">
            <v>177507.79458779999</v>
          </cell>
          <cell r="H304">
            <v>179286.16710419999</v>
          </cell>
          <cell r="I304">
            <v>183839.3895542</v>
          </cell>
          <cell r="J304">
            <v>185994.30999079999</v>
          </cell>
          <cell r="K304">
            <v>188851.48241150001</v>
          </cell>
          <cell r="L304">
            <v>191018.0059356</v>
          </cell>
          <cell r="M304">
            <v>193535.12978710001</v>
          </cell>
          <cell r="N304">
            <v>195329.3737041</v>
          </cell>
        </row>
        <row r="305">
          <cell r="A305" t="str">
            <v>A_6508999</v>
          </cell>
          <cell r="B305" t="str">
            <v>Transportation Expense Reclass</v>
          </cell>
          <cell r="C305">
            <v>-158888.12885080001</v>
          </cell>
          <cell r="D305">
            <v>-168132.01642560001</v>
          </cell>
          <cell r="E305">
            <v>-171916.98926520001</v>
          </cell>
          <cell r="F305">
            <v>-174711.69440569999</v>
          </cell>
          <cell r="G305">
            <v>-177507.79458779999</v>
          </cell>
          <cell r="H305">
            <v>-179286.16710419999</v>
          </cell>
          <cell r="I305">
            <v>-183839.3895542</v>
          </cell>
          <cell r="J305">
            <v>-185994.30999079999</v>
          </cell>
          <cell r="K305">
            <v>-188851.48241150001</v>
          </cell>
          <cell r="L305">
            <v>-191018.0059356</v>
          </cell>
          <cell r="M305">
            <v>-193535.12978710001</v>
          </cell>
          <cell r="N305">
            <v>-195329.3737041</v>
          </cell>
        </row>
        <row r="306">
          <cell r="A306" t="str">
            <v>A_6710700</v>
          </cell>
          <cell r="B306" t="str">
            <v>Short-term Rent - Intercompany</v>
          </cell>
          <cell r="C306">
            <v>51039</v>
          </cell>
          <cell r="D306">
            <v>51039</v>
          </cell>
          <cell r="E306">
            <v>51039</v>
          </cell>
          <cell r="F306">
            <v>51039</v>
          </cell>
          <cell r="G306">
            <v>51039</v>
          </cell>
          <cell r="H306">
            <v>51039</v>
          </cell>
          <cell r="I306">
            <v>51039</v>
          </cell>
          <cell r="J306">
            <v>51039</v>
          </cell>
          <cell r="K306">
            <v>51039</v>
          </cell>
          <cell r="L306">
            <v>51039</v>
          </cell>
          <cell r="M306">
            <v>51039</v>
          </cell>
          <cell r="N306">
            <v>51039</v>
          </cell>
        </row>
        <row r="307">
          <cell r="A307" t="str">
            <v>A_6720010</v>
          </cell>
          <cell r="B307" t="str">
            <v>Long-term Lease - Building</v>
          </cell>
          <cell r="C307">
            <v>9000</v>
          </cell>
          <cell r="D307">
            <v>9000</v>
          </cell>
          <cell r="E307">
            <v>9000</v>
          </cell>
          <cell r="F307">
            <v>9000</v>
          </cell>
          <cell r="G307">
            <v>9000</v>
          </cell>
          <cell r="H307">
            <v>9000</v>
          </cell>
          <cell r="I307">
            <v>9000</v>
          </cell>
          <cell r="J307">
            <v>9000</v>
          </cell>
          <cell r="K307">
            <v>9000</v>
          </cell>
          <cell r="L307">
            <v>9000</v>
          </cell>
          <cell r="M307">
            <v>9000</v>
          </cell>
          <cell r="N307">
            <v>9000</v>
          </cell>
        </row>
        <row r="308">
          <cell r="A308" t="str">
            <v>A_6730030</v>
          </cell>
          <cell r="B308" t="str">
            <v>Utilities - Telecom</v>
          </cell>
          <cell r="C308">
            <v>10598.015041299999</v>
          </cell>
          <cell r="D308">
            <v>10598.015041299999</v>
          </cell>
          <cell r="E308">
            <v>10598.015041299999</v>
          </cell>
          <cell r="F308">
            <v>10923.445761499999</v>
          </cell>
          <cell r="G308">
            <v>10923.445761499999</v>
          </cell>
          <cell r="H308">
            <v>10923.445761499999</v>
          </cell>
          <cell r="I308">
            <v>11128.8764816</v>
          </cell>
          <cell r="J308">
            <v>11128.8764816</v>
          </cell>
          <cell r="K308">
            <v>11128.8764816</v>
          </cell>
          <cell r="L308">
            <v>11128.8764816</v>
          </cell>
          <cell r="M308">
            <v>11128.8764816</v>
          </cell>
          <cell r="N308">
            <v>11334.3072018</v>
          </cell>
        </row>
        <row r="309">
          <cell r="A309" t="str">
            <v>A_6730800</v>
          </cell>
          <cell r="B309" t="str">
            <v>Utilities - Other</v>
          </cell>
          <cell r="C309">
            <v>1200</v>
          </cell>
          <cell r="D309">
            <v>600</v>
          </cell>
          <cell r="E309">
            <v>300</v>
          </cell>
          <cell r="F309">
            <v>300</v>
          </cell>
          <cell r="G309">
            <v>400</v>
          </cell>
          <cell r="H309">
            <v>900</v>
          </cell>
          <cell r="I309">
            <v>900</v>
          </cell>
          <cell r="J309">
            <v>1000</v>
          </cell>
          <cell r="K309">
            <v>700</v>
          </cell>
          <cell r="L309">
            <v>300</v>
          </cell>
          <cell r="M309">
            <v>500</v>
          </cell>
          <cell r="N309">
            <v>800</v>
          </cell>
        </row>
        <row r="310">
          <cell r="A310" t="str">
            <v>A_6780800</v>
          </cell>
          <cell r="B310" t="str">
            <v>Miscellaneous Billing Exp General</v>
          </cell>
          <cell r="C310">
            <v>-25416.666666699999</v>
          </cell>
          <cell r="D310">
            <v>-25416.666666699999</v>
          </cell>
          <cell r="E310">
            <v>-25416.666666699999</v>
          </cell>
          <cell r="F310">
            <v>-25416.666666699999</v>
          </cell>
          <cell r="G310">
            <v>-25416.666666699999</v>
          </cell>
          <cell r="H310">
            <v>-25416.666666699999</v>
          </cell>
          <cell r="I310">
            <v>-25416.666666699999</v>
          </cell>
          <cell r="J310">
            <v>-25416.666666699999</v>
          </cell>
          <cell r="K310">
            <v>-25416.666666699999</v>
          </cell>
          <cell r="L310">
            <v>-25416.666666699999</v>
          </cell>
          <cell r="M310">
            <v>-25416.666666699999</v>
          </cell>
          <cell r="N310">
            <v>-25416.666666699999</v>
          </cell>
        </row>
        <row r="311">
          <cell r="A311" t="str">
            <v>A_6790010</v>
          </cell>
          <cell r="B311" t="str">
            <v>Bad Debt Expense</v>
          </cell>
          <cell r="C311">
            <v>-49578.264854699999</v>
          </cell>
          <cell r="D311">
            <v>-49578.264854699999</v>
          </cell>
          <cell r="E311">
            <v>-49578.264854699999</v>
          </cell>
          <cell r="F311">
            <v>-49578.264854699999</v>
          </cell>
          <cell r="G311">
            <v>-49578.264854699999</v>
          </cell>
          <cell r="H311">
            <v>-49578.264854699999</v>
          </cell>
          <cell r="I311">
            <v>-49578.264854699999</v>
          </cell>
          <cell r="J311">
            <v>-49578.264854699999</v>
          </cell>
          <cell r="K311">
            <v>-49578.264854699999</v>
          </cell>
          <cell r="L311">
            <v>-49578.264854699999</v>
          </cell>
          <cell r="M311">
            <v>-49578.264854699999</v>
          </cell>
          <cell r="N311">
            <v>-49578.264854699999</v>
          </cell>
        </row>
        <row r="312">
          <cell r="A312" t="str">
            <v>A_6790103</v>
          </cell>
          <cell r="B312" t="str">
            <v>Fees - Registration</v>
          </cell>
          <cell r="C312">
            <v>100</v>
          </cell>
          <cell r="D312">
            <v>100</v>
          </cell>
          <cell r="E312">
            <v>100</v>
          </cell>
          <cell r="F312">
            <v>100</v>
          </cell>
          <cell r="G312">
            <v>100</v>
          </cell>
          <cell r="H312">
            <v>100</v>
          </cell>
          <cell r="I312">
            <v>100</v>
          </cell>
          <cell r="J312">
            <v>100</v>
          </cell>
          <cell r="K312">
            <v>100</v>
          </cell>
          <cell r="L312">
            <v>100</v>
          </cell>
          <cell r="M312">
            <v>100</v>
          </cell>
          <cell r="N312">
            <v>100</v>
          </cell>
        </row>
        <row r="313">
          <cell r="A313" t="str">
            <v>A_6790230</v>
          </cell>
          <cell r="B313" t="str">
            <v>Postage. Shipping and Courier</v>
          </cell>
          <cell r="C313">
            <v>75</v>
          </cell>
          <cell r="D313">
            <v>75</v>
          </cell>
          <cell r="E313">
            <v>75</v>
          </cell>
          <cell r="F313">
            <v>75</v>
          </cell>
          <cell r="G313">
            <v>75</v>
          </cell>
          <cell r="H313">
            <v>75</v>
          </cell>
          <cell r="I313">
            <v>75</v>
          </cell>
          <cell r="J313">
            <v>75</v>
          </cell>
          <cell r="K313">
            <v>75</v>
          </cell>
          <cell r="L313">
            <v>75</v>
          </cell>
          <cell r="M313">
            <v>75</v>
          </cell>
          <cell r="N313">
            <v>75</v>
          </cell>
        </row>
        <row r="314">
          <cell r="A314" t="str">
            <v>A_6790250</v>
          </cell>
          <cell r="B314" t="str">
            <v>Energy Conservation Allowances</v>
          </cell>
          <cell r="C314">
            <v>1615394.08</v>
          </cell>
          <cell r="D314">
            <v>1615394.08</v>
          </cell>
          <cell r="E314">
            <v>1615394.08</v>
          </cell>
          <cell r="F314">
            <v>1615394.08</v>
          </cell>
          <cell r="G314">
            <v>1615394.08</v>
          </cell>
          <cell r="H314">
            <v>1615394.08</v>
          </cell>
          <cell r="I314">
            <v>1615394.08</v>
          </cell>
          <cell r="J314">
            <v>1615394.08</v>
          </cell>
          <cell r="K314">
            <v>1615394.08</v>
          </cell>
          <cell r="L314">
            <v>1615394.08</v>
          </cell>
          <cell r="M314">
            <v>1615394.08</v>
          </cell>
          <cell r="N314">
            <v>1615394.08</v>
          </cell>
        </row>
        <row r="315">
          <cell r="A315" t="str">
            <v>A_6790255</v>
          </cell>
          <cell r="B315" t="str">
            <v>Selling and Marketing Expense</v>
          </cell>
          <cell r="C315">
            <v>12684.960638099999</v>
          </cell>
          <cell r="D315">
            <v>12684.960638099999</v>
          </cell>
          <cell r="E315">
            <v>12684.960638099999</v>
          </cell>
          <cell r="F315">
            <v>14497.097872099999</v>
          </cell>
          <cell r="G315">
            <v>14497.097872099999</v>
          </cell>
          <cell r="H315">
            <v>14497.097872099999</v>
          </cell>
          <cell r="I315">
            <v>16309.235106100001</v>
          </cell>
          <cell r="J315">
            <v>16309.235106100001</v>
          </cell>
          <cell r="K315">
            <v>16309.235106100001</v>
          </cell>
          <cell r="L315">
            <v>16309.235106100001</v>
          </cell>
          <cell r="M315">
            <v>16309.235106100001</v>
          </cell>
          <cell r="N315">
            <v>18121.372340099999</v>
          </cell>
        </row>
        <row r="316">
          <cell r="A316" t="str">
            <v>A_6790320</v>
          </cell>
          <cell r="B316" t="str">
            <v>Fleet Allocation</v>
          </cell>
          <cell r="C316">
            <v>-48583.369289000002</v>
          </cell>
          <cell r="D316">
            <v>-48583.369289000002</v>
          </cell>
          <cell r="E316">
            <v>-48583.369289000002</v>
          </cell>
          <cell r="F316">
            <v>-48583.369289000002</v>
          </cell>
          <cell r="G316">
            <v>-48583.369289000002</v>
          </cell>
          <cell r="H316">
            <v>-48583.369289000002</v>
          </cell>
          <cell r="I316">
            <v>-48583.369289000002</v>
          </cell>
          <cell r="J316">
            <v>-48583.369289000002</v>
          </cell>
          <cell r="K316">
            <v>-48583.369289000002</v>
          </cell>
          <cell r="L316">
            <v>-48583.369289000002</v>
          </cell>
          <cell r="M316">
            <v>-48583.369289000002</v>
          </cell>
          <cell r="N316">
            <v>-48583.369289000002</v>
          </cell>
        </row>
        <row r="317">
          <cell r="A317" t="str">
            <v>A_6790700</v>
          </cell>
          <cell r="B317" t="str">
            <v>Intercompany Overhead Allocations</v>
          </cell>
          <cell r="C317">
            <v>-40232</v>
          </cell>
          <cell r="D317">
            <v>-40232</v>
          </cell>
          <cell r="E317">
            <v>-40232</v>
          </cell>
          <cell r="F317">
            <v>-40232</v>
          </cell>
          <cell r="G317">
            <v>-40232</v>
          </cell>
          <cell r="H317">
            <v>-40232</v>
          </cell>
          <cell r="I317">
            <v>-40232</v>
          </cell>
          <cell r="J317">
            <v>-40232</v>
          </cell>
          <cell r="K317">
            <v>-40232</v>
          </cell>
          <cell r="L317">
            <v>-40232</v>
          </cell>
          <cell r="M317">
            <v>-40232</v>
          </cell>
          <cell r="N317">
            <v>-40232</v>
          </cell>
        </row>
        <row r="318">
          <cell r="A318" t="str">
            <v>A_6790709</v>
          </cell>
          <cell r="B318" t="str">
            <v>Intercompany - Asset Usage Fee</v>
          </cell>
          <cell r="C318">
            <v>278307.96429969999</v>
          </cell>
          <cell r="D318">
            <v>302876.71120740002</v>
          </cell>
          <cell r="E318">
            <v>302879.26256880001</v>
          </cell>
          <cell r="F318">
            <v>302746.72605890001</v>
          </cell>
          <cell r="G318">
            <v>302746.72605890001</v>
          </cell>
          <cell r="H318">
            <v>302746.72605890001</v>
          </cell>
          <cell r="I318">
            <v>302746.72605890001</v>
          </cell>
          <cell r="J318">
            <v>302746.72605890001</v>
          </cell>
          <cell r="K318">
            <v>302189.52040709998</v>
          </cell>
          <cell r="L318">
            <v>300199.23035000003</v>
          </cell>
          <cell r="M318">
            <v>300199.23035000003</v>
          </cell>
          <cell r="N318">
            <v>301694.22905229998</v>
          </cell>
        </row>
        <row r="319">
          <cell r="A319" t="str">
            <v>A_6790800</v>
          </cell>
          <cell r="B319" t="str">
            <v>Other Operational Expense - Miscellaneous</v>
          </cell>
          <cell r="C319">
            <v>2370</v>
          </cell>
          <cell r="D319">
            <v>2370</v>
          </cell>
          <cell r="E319">
            <v>14420.302166699999</v>
          </cell>
          <cell r="F319">
            <v>14420.302166699999</v>
          </cell>
          <cell r="G319">
            <v>14420.302166699999</v>
          </cell>
          <cell r="H319">
            <v>14420.302166699999</v>
          </cell>
          <cell r="I319">
            <v>14420.302166699999</v>
          </cell>
          <cell r="J319">
            <v>14420.302166699999</v>
          </cell>
          <cell r="K319">
            <v>14420.302166699999</v>
          </cell>
          <cell r="L319">
            <v>14420.302166699999</v>
          </cell>
          <cell r="M319">
            <v>14420.302166699999</v>
          </cell>
          <cell r="N319">
            <v>14420.302166699999</v>
          </cell>
        </row>
        <row r="320">
          <cell r="A320" t="str">
            <v>A_6800010</v>
          </cell>
          <cell r="B320" t="str">
            <v>Amortization - Utility Plant</v>
          </cell>
          <cell r="C320">
            <v>344248.58450330002</v>
          </cell>
          <cell r="D320">
            <v>370213.80718509998</v>
          </cell>
          <cell r="E320">
            <v>371173.35924279998</v>
          </cell>
          <cell r="F320">
            <v>379261.51030560001</v>
          </cell>
          <cell r="G320">
            <v>380745.4653633</v>
          </cell>
          <cell r="H320">
            <v>572876.50798330002</v>
          </cell>
          <cell r="I320">
            <v>589542.42043329997</v>
          </cell>
          <cell r="J320">
            <v>600603.94893329998</v>
          </cell>
          <cell r="K320">
            <v>601370.64343329996</v>
          </cell>
          <cell r="L320">
            <v>602295.27593330003</v>
          </cell>
          <cell r="M320">
            <v>602949.31943330006</v>
          </cell>
          <cell r="N320">
            <v>607233.47293329996</v>
          </cell>
        </row>
        <row r="321">
          <cell r="A321" t="str">
            <v>A_6800050</v>
          </cell>
          <cell r="B321" t="str">
            <v>Amortization - Environmental Remediation</v>
          </cell>
          <cell r="C321">
            <v>83333.333333300005</v>
          </cell>
          <cell r="D321">
            <v>83333.333333300005</v>
          </cell>
          <cell r="E321">
            <v>83333.333333300005</v>
          </cell>
          <cell r="F321">
            <v>83333.333333300005</v>
          </cell>
          <cell r="G321">
            <v>83333.333333300005</v>
          </cell>
          <cell r="H321">
            <v>83333.333333300005</v>
          </cell>
          <cell r="I321">
            <v>83333.333333300005</v>
          </cell>
          <cell r="J321">
            <v>83333.333333300005</v>
          </cell>
          <cell r="K321">
            <v>83333.333333300005</v>
          </cell>
          <cell r="L321">
            <v>83333.333333300005</v>
          </cell>
          <cell r="M321">
            <v>83333.333333300005</v>
          </cell>
          <cell r="N321">
            <v>83333.333333300005</v>
          </cell>
        </row>
        <row r="322">
          <cell r="A322" t="str">
            <v>A_6810010</v>
          </cell>
          <cell r="B322" t="str">
            <v>Depreciation - Utility Plant</v>
          </cell>
          <cell r="C322">
            <v>4863502.9435400004</v>
          </cell>
          <cell r="D322">
            <v>5077034.6343245003</v>
          </cell>
          <cell r="E322">
            <v>-8516.3287411000001</v>
          </cell>
          <cell r="F322">
            <v>5274778.3310810002</v>
          </cell>
          <cell r="G322">
            <v>5308272.5545549998</v>
          </cell>
          <cell r="H322">
            <v>1336085.6476646999</v>
          </cell>
          <cell r="I322">
            <v>5366736.9074571999</v>
          </cell>
          <cell r="J322">
            <v>5389990.8839685004</v>
          </cell>
          <cell r="K322">
            <v>3024823.3142332002</v>
          </cell>
          <cell r="L322">
            <v>5443731.5748981005</v>
          </cell>
          <cell r="M322">
            <v>5468026.2557324003</v>
          </cell>
          <cell r="N322">
            <v>-2402936.1214387999</v>
          </cell>
        </row>
        <row r="323">
          <cell r="A323" t="str">
            <v>A_6810071</v>
          </cell>
          <cell r="B323" t="str">
            <v>Depreciation - CI/BSR Rider</v>
          </cell>
          <cell r="C323">
            <v>36079.56</v>
          </cell>
          <cell r="D323">
            <v>48808.73</v>
          </cell>
          <cell r="E323">
            <v>59646.85</v>
          </cell>
          <cell r="F323">
            <v>68530.460000000006</v>
          </cell>
          <cell r="G323">
            <v>75711.199999999997</v>
          </cell>
          <cell r="H323">
            <v>81527</v>
          </cell>
          <cell r="I323">
            <v>86489.89</v>
          </cell>
          <cell r="J323">
            <v>90813.08</v>
          </cell>
          <cell r="K323">
            <v>94294.49</v>
          </cell>
          <cell r="L323">
            <v>97132.02</v>
          </cell>
          <cell r="M323">
            <v>99655.88</v>
          </cell>
          <cell r="N323">
            <v>101944.51</v>
          </cell>
        </row>
        <row r="324">
          <cell r="A324" t="str">
            <v>A_6810801</v>
          </cell>
          <cell r="B324" t="str">
            <v>Depreciation - Other - GAAP adjustment</v>
          </cell>
          <cell r="C324">
            <v>0</v>
          </cell>
          <cell r="D324">
            <v>0</v>
          </cell>
          <cell r="E324">
            <v>-104083</v>
          </cell>
          <cell r="F324">
            <v>-104083</v>
          </cell>
          <cell r="G324">
            <v>-104083</v>
          </cell>
          <cell r="H324">
            <v>-104083</v>
          </cell>
          <cell r="I324">
            <v>-104083</v>
          </cell>
          <cell r="J324">
            <v>-104083</v>
          </cell>
          <cell r="K324">
            <v>-104083</v>
          </cell>
          <cell r="L324">
            <v>-104083</v>
          </cell>
          <cell r="M324">
            <v>-104083</v>
          </cell>
          <cell r="N324">
            <v>-104083</v>
          </cell>
        </row>
        <row r="325">
          <cell r="A325" t="str">
            <v>A_6810802</v>
          </cell>
          <cell r="B325" t="str">
            <v>Depreciation - Other - Leased Assets</v>
          </cell>
          <cell r="C325">
            <v>10529.1725833</v>
          </cell>
          <cell r="D325">
            <v>10529.1725833</v>
          </cell>
          <cell r="E325">
            <v>114612.17258329999</v>
          </cell>
          <cell r="F325">
            <v>114612.17258329999</v>
          </cell>
          <cell r="G325">
            <v>114612.17258329999</v>
          </cell>
          <cell r="H325">
            <v>114612.17258329999</v>
          </cell>
          <cell r="I325">
            <v>114612.17258329999</v>
          </cell>
          <cell r="J325">
            <v>114612.17258329999</v>
          </cell>
          <cell r="K325">
            <v>114612.17258329999</v>
          </cell>
          <cell r="L325">
            <v>114612.17258329999</v>
          </cell>
          <cell r="M325">
            <v>114612.17258329999</v>
          </cell>
          <cell r="N325">
            <v>114612.17258329999</v>
          </cell>
        </row>
        <row r="326">
          <cell r="A326" t="str">
            <v>A_6900010</v>
          </cell>
          <cell r="B326" t="str">
            <v>TOTI - Franchise Fees</v>
          </cell>
          <cell r="C326">
            <v>1521356.42</v>
          </cell>
          <cell r="D326">
            <v>1606030.61</v>
          </cell>
          <cell r="E326">
            <v>1438911.96</v>
          </cell>
          <cell r="F326">
            <v>1322465.42</v>
          </cell>
          <cell r="G326">
            <v>1251201.18</v>
          </cell>
          <cell r="H326">
            <v>1145970.46</v>
          </cell>
          <cell r="I326">
            <v>1069127.01</v>
          </cell>
          <cell r="J326">
            <v>1079818.28</v>
          </cell>
          <cell r="K326">
            <v>1090616.46</v>
          </cell>
          <cell r="L326">
            <v>1199678.1100000001</v>
          </cell>
          <cell r="M326">
            <v>1319645.92</v>
          </cell>
          <cell r="N326">
            <v>1517592.81</v>
          </cell>
        </row>
        <row r="327">
          <cell r="A327" t="str">
            <v>A_6900030</v>
          </cell>
          <cell r="B327" t="str">
            <v>TOTI - Gross Receipts</v>
          </cell>
          <cell r="C327">
            <v>1869731.8244</v>
          </cell>
          <cell r="D327">
            <v>2025487.423</v>
          </cell>
          <cell r="E327">
            <v>1754831.0834999999</v>
          </cell>
          <cell r="F327">
            <v>1571082.6370999999</v>
          </cell>
          <cell r="G327">
            <v>1424221.0068999999</v>
          </cell>
          <cell r="H327">
            <v>1255627.1203000001</v>
          </cell>
          <cell r="I327">
            <v>1125751.1370000001</v>
          </cell>
          <cell r="J327">
            <v>1131379.8926850001</v>
          </cell>
          <cell r="K327">
            <v>1187948.8873193001</v>
          </cell>
          <cell r="L327">
            <v>1282984.7983047999</v>
          </cell>
          <cell r="M327">
            <v>1475432.5180505</v>
          </cell>
          <cell r="N327">
            <v>1622975.7698556001</v>
          </cell>
        </row>
        <row r="328">
          <cell r="A328" t="str">
            <v>A_6900040</v>
          </cell>
          <cell r="B328" t="str">
            <v>TOTI - Payroll Tax</v>
          </cell>
          <cell r="C328">
            <v>336000.70955009997</v>
          </cell>
          <cell r="D328">
            <v>310548.92495469999</v>
          </cell>
          <cell r="E328">
            <v>355945.50049780001</v>
          </cell>
          <cell r="F328">
            <v>309640.6174323</v>
          </cell>
          <cell r="G328">
            <v>357576.02728879999</v>
          </cell>
          <cell r="H328">
            <v>359571.441506</v>
          </cell>
          <cell r="I328">
            <v>332573.71681150002</v>
          </cell>
          <cell r="J328">
            <v>362181.87571930001</v>
          </cell>
          <cell r="K328">
            <v>330762.53589280002</v>
          </cell>
          <cell r="L328">
            <v>347177.7282059</v>
          </cell>
          <cell r="M328">
            <v>381508.89370850002</v>
          </cell>
          <cell r="N328">
            <v>354070.21486270003</v>
          </cell>
        </row>
        <row r="329">
          <cell r="A329" t="str">
            <v>A_6900060</v>
          </cell>
          <cell r="B329" t="str">
            <v>TOTI - Property Tax - Above the line</v>
          </cell>
          <cell r="C329">
            <v>1785833.3333334001</v>
          </cell>
          <cell r="D329">
            <v>1785833.3333334001</v>
          </cell>
          <cell r="E329">
            <v>1785833.3333334001</v>
          </cell>
          <cell r="F329">
            <v>1785833.3333334001</v>
          </cell>
          <cell r="G329">
            <v>1785833.3333334001</v>
          </cell>
          <cell r="H329">
            <v>1785833.3333334001</v>
          </cell>
          <cell r="I329">
            <v>1785833.3333334001</v>
          </cell>
          <cell r="J329">
            <v>1785833.3333334001</v>
          </cell>
          <cell r="K329">
            <v>1785833.3333334001</v>
          </cell>
          <cell r="L329">
            <v>1785833.3333334001</v>
          </cell>
          <cell r="M329">
            <v>1785833.3333334001</v>
          </cell>
          <cell r="N329">
            <v>1785833.3333334001</v>
          </cell>
        </row>
        <row r="330">
          <cell r="A330" t="str">
            <v>A_6900070</v>
          </cell>
          <cell r="B330" t="str">
            <v>TOTI - Regulatory Assessment Fee</v>
          </cell>
          <cell r="C330">
            <v>285518.55028000002</v>
          </cell>
          <cell r="D330">
            <v>324021.79398000002</v>
          </cell>
          <cell r="E330">
            <v>286864.03928000003</v>
          </cell>
          <cell r="F330">
            <v>270287.13276000001</v>
          </cell>
          <cell r="G330">
            <v>256923.17733999999</v>
          </cell>
          <cell r="H330">
            <v>237701.30704000001</v>
          </cell>
          <cell r="I330">
            <v>232872.98634</v>
          </cell>
          <cell r="J330">
            <v>236487.860847</v>
          </cell>
          <cell r="K330">
            <v>241461.03116799999</v>
          </cell>
          <cell r="L330">
            <v>264630.8726602</v>
          </cell>
          <cell r="M330">
            <v>295469.96045840002</v>
          </cell>
          <cell r="N330">
            <v>333742.44779940002</v>
          </cell>
        </row>
        <row r="331">
          <cell r="A331" t="str">
            <v>A_6900800</v>
          </cell>
          <cell r="B331" t="str">
            <v>Taxes other than income - Other</v>
          </cell>
          <cell r="C331">
            <v>-32694.461017599999</v>
          </cell>
          <cell r="D331">
            <v>-18849.93779</v>
          </cell>
          <cell r="E331">
            <v>-83486.460370500005</v>
          </cell>
          <cell r="F331">
            <v>-54877.441239</v>
          </cell>
          <cell r="G331">
            <v>-75527.671457799996</v>
          </cell>
          <cell r="H331">
            <v>83563.264953000005</v>
          </cell>
          <cell r="I331">
            <v>-62298.6935973</v>
          </cell>
          <cell r="J331">
            <v>-88469.815483300001</v>
          </cell>
          <cell r="K331">
            <v>-80932.075486600006</v>
          </cell>
          <cell r="L331">
            <v>-72724.3475569</v>
          </cell>
          <cell r="M331">
            <v>-95463.821614</v>
          </cell>
          <cell r="N331">
            <v>34613.065804899998</v>
          </cell>
        </row>
        <row r="332">
          <cell r="A332" t="str">
            <v>A_6909000</v>
          </cell>
          <cell r="B332" t="str">
            <v>Taxes other than income Exp sent to Balance Sheet</v>
          </cell>
          <cell r="C332">
            <v>-534018.22</v>
          </cell>
          <cell r="D332">
            <v>-617866.81999999995</v>
          </cell>
          <cell r="E332">
            <v>-608286.69999999995</v>
          </cell>
          <cell r="F332">
            <v>-605494.72</v>
          </cell>
          <cell r="G332">
            <v>-602748.82999999996</v>
          </cell>
          <cell r="H332">
            <v>-614842.76</v>
          </cell>
          <cell r="I332">
            <v>-617454.14</v>
          </cell>
          <cell r="J332">
            <v>-621836.04</v>
          </cell>
          <cell r="K332">
            <v>-632618.75</v>
          </cell>
          <cell r="L332">
            <v>-640854.16</v>
          </cell>
          <cell r="M332">
            <v>-648173.12</v>
          </cell>
          <cell r="N332">
            <v>-665189.39</v>
          </cell>
        </row>
        <row r="333">
          <cell r="A333" t="str">
            <v>A_7000240</v>
          </cell>
          <cell r="B333" t="str">
            <v>Interest Inc - Defd Conservation Clause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1805</v>
          </cell>
          <cell r="L333">
            <v>4176</v>
          </cell>
          <cell r="M333">
            <v>6237</v>
          </cell>
          <cell r="N333">
            <v>7119</v>
          </cell>
        </row>
        <row r="334">
          <cell r="A334" t="str">
            <v>A_7000260</v>
          </cell>
          <cell r="B334" t="str">
            <v>Interest Inc - Defd Purchased Gas Adj Clause</v>
          </cell>
          <cell r="C334">
            <v>7582</v>
          </cell>
          <cell r="D334">
            <v>7609</v>
          </cell>
          <cell r="E334">
            <v>6272</v>
          </cell>
          <cell r="F334">
            <v>3580</v>
          </cell>
          <cell r="G334">
            <v>1661</v>
          </cell>
          <cell r="H334">
            <v>541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A_7000271</v>
          </cell>
          <cell r="B335" t="str">
            <v>Interest Inc - Defd CI/BSR Rider</v>
          </cell>
          <cell r="C335">
            <v>2193</v>
          </cell>
          <cell r="D335">
            <v>545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A_7000700</v>
          </cell>
          <cell r="B336" t="str">
            <v>Interest Inc - Intercompany</v>
          </cell>
          <cell r="C336">
            <v>20000</v>
          </cell>
          <cell r="D336">
            <v>20000</v>
          </cell>
          <cell r="E336">
            <v>20000</v>
          </cell>
          <cell r="F336">
            <v>20000</v>
          </cell>
          <cell r="G336">
            <v>20000</v>
          </cell>
          <cell r="H336">
            <v>20000</v>
          </cell>
          <cell r="I336">
            <v>20000</v>
          </cell>
          <cell r="J336">
            <v>20000</v>
          </cell>
          <cell r="K336">
            <v>20000</v>
          </cell>
          <cell r="L336">
            <v>20000</v>
          </cell>
          <cell r="M336">
            <v>20000</v>
          </cell>
          <cell r="N336">
            <v>20000</v>
          </cell>
        </row>
        <row r="337">
          <cell r="A337" t="str">
            <v>A_7100010</v>
          </cell>
          <cell r="B337" t="str">
            <v>Allowance for other funds AFUDC Equity</v>
          </cell>
          <cell r="C337">
            <v>331135.02</v>
          </cell>
          <cell r="D337">
            <v>337520.31</v>
          </cell>
          <cell r="E337">
            <v>356598.57</v>
          </cell>
          <cell r="F337">
            <v>425812.9</v>
          </cell>
          <cell r="G337">
            <v>409386.33</v>
          </cell>
          <cell r="H337">
            <v>353397.25</v>
          </cell>
          <cell r="I337">
            <v>384215.28</v>
          </cell>
          <cell r="J337">
            <v>417540.69</v>
          </cell>
          <cell r="K337">
            <v>449339.8</v>
          </cell>
          <cell r="L337">
            <v>476918.07</v>
          </cell>
          <cell r="M337">
            <v>362974.7</v>
          </cell>
          <cell r="N337">
            <v>242312.62</v>
          </cell>
        </row>
        <row r="338">
          <cell r="A338" t="str">
            <v>A_7101000</v>
          </cell>
          <cell r="B338" t="str">
            <v>Gain Sale of Utility Property</v>
          </cell>
          <cell r="C338">
            <v>46491.7</v>
          </cell>
          <cell r="D338">
            <v>46491.7</v>
          </cell>
          <cell r="E338">
            <v>46491.7</v>
          </cell>
          <cell r="F338">
            <v>46491.7</v>
          </cell>
          <cell r="G338">
            <v>46491.7</v>
          </cell>
          <cell r="H338">
            <v>46491.7</v>
          </cell>
          <cell r="I338">
            <v>46491.7</v>
          </cell>
          <cell r="J338">
            <v>46491.7</v>
          </cell>
          <cell r="K338">
            <v>46491.7</v>
          </cell>
          <cell r="L338">
            <v>46491.7</v>
          </cell>
          <cell r="M338">
            <v>46491.7</v>
          </cell>
          <cell r="N338">
            <v>46491.7</v>
          </cell>
        </row>
        <row r="339">
          <cell r="A339" t="str">
            <v>A_7201000</v>
          </cell>
          <cell r="B339" t="str">
            <v>Loss Sale of Utility Property</v>
          </cell>
          <cell r="C339">
            <v>5165.29</v>
          </cell>
          <cell r="D339">
            <v>5165.29</v>
          </cell>
          <cell r="E339">
            <v>5165.29</v>
          </cell>
          <cell r="F339">
            <v>5165.29</v>
          </cell>
          <cell r="G339">
            <v>5165.29</v>
          </cell>
          <cell r="H339">
            <v>5165.29</v>
          </cell>
          <cell r="I339">
            <v>5165.29</v>
          </cell>
          <cell r="J339">
            <v>5165.29</v>
          </cell>
          <cell r="K339">
            <v>5165.29</v>
          </cell>
          <cell r="L339">
            <v>5165.29</v>
          </cell>
          <cell r="M339">
            <v>5165.29</v>
          </cell>
          <cell r="N339">
            <v>5165.29</v>
          </cell>
        </row>
        <row r="340">
          <cell r="A340" t="str">
            <v>A_7301000</v>
          </cell>
          <cell r="B340" t="str">
            <v>Equity Earnings - Consolidated Affiliate</v>
          </cell>
          <cell r="C340">
            <v>178713.76567349999</v>
          </cell>
          <cell r="D340">
            <v>282529.74216149998</v>
          </cell>
          <cell r="E340">
            <v>222728.04834849999</v>
          </cell>
          <cell r="F340">
            <v>351566.02933340002</v>
          </cell>
          <cell r="G340">
            <v>309957.23729860003</v>
          </cell>
          <cell r="H340">
            <v>309538.7644707</v>
          </cell>
          <cell r="I340">
            <v>336278.54651499999</v>
          </cell>
          <cell r="J340">
            <v>306023.6997538</v>
          </cell>
          <cell r="K340">
            <v>324221.1591778</v>
          </cell>
          <cell r="L340">
            <v>321607.56833640003</v>
          </cell>
          <cell r="M340">
            <v>355023.84421750001</v>
          </cell>
          <cell r="N340">
            <v>566578.48801009997</v>
          </cell>
        </row>
        <row r="341">
          <cell r="A341" t="str">
            <v>A_7500010</v>
          </cell>
          <cell r="B341" t="str">
            <v>Interest Exp - Allow for Borrowed Funds AFUDC Debt</v>
          </cell>
          <cell r="C341">
            <v>-105593.58</v>
          </cell>
          <cell r="D341">
            <v>-107629.75999999999</v>
          </cell>
          <cell r="E341">
            <v>-113713.5</v>
          </cell>
          <cell r="F341">
            <v>-135784.81</v>
          </cell>
          <cell r="G341">
            <v>-130546.68</v>
          </cell>
          <cell r="H341">
            <v>-112692.66</v>
          </cell>
          <cell r="I341">
            <v>-122520.01</v>
          </cell>
          <cell r="J341">
            <v>-133146.9</v>
          </cell>
          <cell r="K341">
            <v>-143287.16</v>
          </cell>
          <cell r="L341">
            <v>-152081.42000000001</v>
          </cell>
          <cell r="M341">
            <v>-115746.74</v>
          </cell>
          <cell r="N341">
            <v>-77269.570000000007</v>
          </cell>
        </row>
        <row r="342">
          <cell r="A342" t="str">
            <v>A_7500090</v>
          </cell>
          <cell r="B342" t="str">
            <v>Interest Exp - Other Short Term Borrowing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1068508.3084569999</v>
          </cell>
          <cell r="M342">
            <v>483763.55818639998</v>
          </cell>
          <cell r="N342">
            <v>471977.70471179998</v>
          </cell>
        </row>
        <row r="343">
          <cell r="A343" t="str">
            <v>A_7500110</v>
          </cell>
          <cell r="B343" t="str">
            <v>Interest Exp - Long-term Debt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3830000</v>
          </cell>
          <cell r="M343">
            <v>3830000</v>
          </cell>
          <cell r="N343">
            <v>3830000</v>
          </cell>
        </row>
        <row r="344">
          <cell r="A344" t="str">
            <v>A_7500240</v>
          </cell>
          <cell r="B344" t="str">
            <v>Interest Exp - Defd Conservation Clause</v>
          </cell>
          <cell r="C344">
            <v>-6464</v>
          </cell>
          <cell r="D344">
            <v>-7717</v>
          </cell>
          <cell r="E344">
            <v>-7996</v>
          </cell>
          <cell r="F344">
            <v>-7712</v>
          </cell>
          <cell r="G344">
            <v>-6796</v>
          </cell>
          <cell r="H344">
            <v>-5053</v>
          </cell>
          <cell r="I344">
            <v>-2994</v>
          </cell>
          <cell r="J344">
            <v>-633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A_7500271</v>
          </cell>
          <cell r="B345" t="str">
            <v>Interest Exp - Defd CI/BSR Rider</v>
          </cell>
          <cell r="C345">
            <v>0</v>
          </cell>
          <cell r="D345">
            <v>0</v>
          </cell>
          <cell r="E345">
            <v>738</v>
          </cell>
          <cell r="F345">
            <v>1549</v>
          </cell>
          <cell r="G345">
            <v>1943</v>
          </cell>
          <cell r="H345">
            <v>2020</v>
          </cell>
          <cell r="I345">
            <v>1890</v>
          </cell>
          <cell r="J345">
            <v>1602</v>
          </cell>
          <cell r="K345">
            <v>1247</v>
          </cell>
          <cell r="L345">
            <v>883</v>
          </cell>
          <cell r="M345">
            <v>628</v>
          </cell>
          <cell r="N345">
            <v>823</v>
          </cell>
        </row>
        <row r="346">
          <cell r="A346" t="str">
            <v>A_7500700</v>
          </cell>
          <cell r="B346" t="str">
            <v>Interest Exp - Intercompany</v>
          </cell>
          <cell r="C346">
            <v>580878.16686919995</v>
          </cell>
          <cell r="D346">
            <v>713151.4195506</v>
          </cell>
          <cell r="E346">
            <v>818760.96281559998</v>
          </cell>
          <cell r="F346">
            <v>881519.39463790006</v>
          </cell>
          <cell r="G346">
            <v>924547.01518500003</v>
          </cell>
          <cell r="H346">
            <v>961896.94478030002</v>
          </cell>
          <cell r="I346">
            <v>1021008.2176534</v>
          </cell>
          <cell r="J346">
            <v>1046443.7040937</v>
          </cell>
          <cell r="K346">
            <v>1057124.8345329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A_8000300</v>
          </cell>
          <cell r="B347" t="str">
            <v>Federal Income Tax Expense</v>
          </cell>
          <cell r="C347">
            <v>-10617.07</v>
          </cell>
          <cell r="D347">
            <v>377.05</v>
          </cell>
          <cell r="E347">
            <v>-5338.3</v>
          </cell>
          <cell r="F347">
            <v>-9843.1299999999992</v>
          </cell>
          <cell r="G347">
            <v>-8096.76</v>
          </cell>
          <cell r="H347">
            <v>-6489.31</v>
          </cell>
          <cell r="I347">
            <v>-2222.64</v>
          </cell>
          <cell r="J347">
            <v>-5596.29</v>
          </cell>
          <cell r="K347">
            <v>-6231.33</v>
          </cell>
          <cell r="L347">
            <v>992.25</v>
          </cell>
          <cell r="M347">
            <v>-4365.8999999999996</v>
          </cell>
          <cell r="N347">
            <v>-11133.04</v>
          </cell>
        </row>
        <row r="348">
          <cell r="A348" t="str">
            <v>A_8000310</v>
          </cell>
          <cell r="B348" t="str">
            <v>Federal Income Tax Expense - Above Line</v>
          </cell>
          <cell r="C348">
            <v>726531.04</v>
          </cell>
          <cell r="D348">
            <v>782806.7</v>
          </cell>
          <cell r="E348">
            <v>-455730.07</v>
          </cell>
          <cell r="F348">
            <v>312304.77</v>
          </cell>
          <cell r="G348">
            <v>-306320.83</v>
          </cell>
          <cell r="H348">
            <v>40017.08</v>
          </cell>
          <cell r="I348">
            <v>-614072.53</v>
          </cell>
          <cell r="J348">
            <v>-718705.89</v>
          </cell>
          <cell r="K348">
            <v>-215715.71</v>
          </cell>
          <cell r="L348">
            <v>-1068480.1599999999</v>
          </cell>
          <cell r="M348">
            <v>-201905.58</v>
          </cell>
          <cell r="N348">
            <v>1288058.22</v>
          </cell>
        </row>
        <row r="349">
          <cell r="A349" t="str">
            <v>A_8000400</v>
          </cell>
          <cell r="B349" t="str">
            <v>State Income Tax Expense</v>
          </cell>
          <cell r="C349">
            <v>-2942.5</v>
          </cell>
          <cell r="D349">
            <v>104.5</v>
          </cell>
          <cell r="E349">
            <v>-1479.5</v>
          </cell>
          <cell r="F349">
            <v>-2728</v>
          </cell>
          <cell r="G349">
            <v>-2244</v>
          </cell>
          <cell r="H349">
            <v>-1798.5</v>
          </cell>
          <cell r="I349">
            <v>-616</v>
          </cell>
          <cell r="J349">
            <v>-1551</v>
          </cell>
          <cell r="K349">
            <v>-1727</v>
          </cell>
          <cell r="L349">
            <v>275</v>
          </cell>
          <cell r="M349">
            <v>-1210</v>
          </cell>
          <cell r="N349">
            <v>-3085.5</v>
          </cell>
        </row>
        <row r="350">
          <cell r="A350" t="str">
            <v>A_8000410</v>
          </cell>
          <cell r="B350" t="str">
            <v>State Income Tax Expense - Above Line</v>
          </cell>
          <cell r="C350">
            <v>165356.79</v>
          </cell>
          <cell r="D350">
            <v>180953.46</v>
          </cell>
          <cell r="E350">
            <v>-162304.39000000001</v>
          </cell>
          <cell r="F350">
            <v>50554.84</v>
          </cell>
          <cell r="G350">
            <v>-120895.94</v>
          </cell>
          <cell r="H350">
            <v>-24909.11</v>
          </cell>
          <cell r="I350">
            <v>-206188.68</v>
          </cell>
          <cell r="J350">
            <v>-235187.59</v>
          </cell>
          <cell r="K350">
            <v>-95784.92</v>
          </cell>
          <cell r="L350">
            <v>-332126.8</v>
          </cell>
          <cell r="M350">
            <v>-91957.47</v>
          </cell>
          <cell r="N350">
            <v>320982.87</v>
          </cell>
        </row>
        <row r="351">
          <cell r="A351" t="str">
            <v>A_8010300</v>
          </cell>
          <cell r="B351" t="str">
            <v>Deferred Federal Income Tax Exp</v>
          </cell>
          <cell r="C351">
            <v>-1578975.73</v>
          </cell>
          <cell r="D351">
            <v>1389779.84</v>
          </cell>
          <cell r="E351">
            <v>2867626.05</v>
          </cell>
          <cell r="F351">
            <v>1394936.91</v>
          </cell>
          <cell r="G351">
            <v>1569949.99</v>
          </cell>
          <cell r="H351">
            <v>1793984.04</v>
          </cell>
          <cell r="I351">
            <v>1636774.08</v>
          </cell>
          <cell r="J351">
            <v>1687757.62</v>
          </cell>
          <cell r="K351">
            <v>1732272.36</v>
          </cell>
          <cell r="L351">
            <v>1740357.55</v>
          </cell>
          <cell r="M351">
            <v>1592240.54</v>
          </cell>
          <cell r="N351">
            <v>1960260.82</v>
          </cell>
        </row>
        <row r="352">
          <cell r="A352" t="str">
            <v>A_8010400</v>
          </cell>
          <cell r="B352" t="str">
            <v>Deferred State Income Tax Exp</v>
          </cell>
          <cell r="C352">
            <v>511545.54</v>
          </cell>
          <cell r="D352">
            <v>416067.45</v>
          </cell>
          <cell r="E352">
            <v>902267.99</v>
          </cell>
          <cell r="F352">
            <v>417496.72</v>
          </cell>
          <cell r="G352">
            <v>466001.22</v>
          </cell>
          <cell r="H352">
            <v>248632.18</v>
          </cell>
          <cell r="I352">
            <v>484521.36</v>
          </cell>
          <cell r="J352">
            <v>498651.36</v>
          </cell>
          <cell r="K352">
            <v>507442.77</v>
          </cell>
          <cell r="L352">
            <v>513229.37</v>
          </cell>
          <cell r="M352">
            <v>472178.98</v>
          </cell>
          <cell r="N352">
            <v>310540.23</v>
          </cell>
        </row>
        <row r="353">
          <cell r="A353" t="str">
            <v>A_8010600</v>
          </cell>
          <cell r="B353" t="str">
            <v>Investment Tax Credit Amort - Utility</v>
          </cell>
          <cell r="C353">
            <v>3313258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A_P1000000</v>
          </cell>
          <cell r="B354" t="str">
            <v>Planned Corporate Overhead Allocation</v>
          </cell>
          <cell r="C354">
            <v>305862.86988750001</v>
          </cell>
          <cell r="D354">
            <v>308322.41516829998</v>
          </cell>
          <cell r="E354">
            <v>412986.80122209998</v>
          </cell>
          <cell r="F354">
            <v>294448.36317889998</v>
          </cell>
          <cell r="G354">
            <v>303054.48797199997</v>
          </cell>
          <cell r="H354">
            <v>420676.34143109998</v>
          </cell>
          <cell r="I354">
            <v>311984.78849900002</v>
          </cell>
          <cell r="J354">
            <v>302480.51572369999</v>
          </cell>
          <cell r="K354">
            <v>414786.9949246</v>
          </cell>
          <cell r="L354">
            <v>296563.54571620002</v>
          </cell>
          <cell r="M354">
            <v>305277.1704532</v>
          </cell>
          <cell r="N354">
            <v>412115.0398807</v>
          </cell>
        </row>
        <row r="355">
          <cell r="A355" t="str">
            <v>A_P1000100</v>
          </cell>
          <cell r="B355" t="str">
            <v>Planned IT Charges</v>
          </cell>
          <cell r="C355">
            <v>565446.59490080003</v>
          </cell>
          <cell r="D355">
            <v>514036.88310789998</v>
          </cell>
          <cell r="E355">
            <v>612718.23383789998</v>
          </cell>
          <cell r="F355">
            <v>551390.5084698</v>
          </cell>
          <cell r="G355">
            <v>568485.02765329997</v>
          </cell>
          <cell r="H355">
            <v>607458.48558350001</v>
          </cell>
          <cell r="I355">
            <v>556528.40154889994</v>
          </cell>
          <cell r="J355">
            <v>599654.17085430003</v>
          </cell>
          <cell r="K355">
            <v>585159.03984580003</v>
          </cell>
          <cell r="L355">
            <v>563854.04620800004</v>
          </cell>
          <cell r="M355">
            <v>576332.44168509997</v>
          </cell>
          <cell r="N355">
            <v>614173.87864819996</v>
          </cell>
        </row>
        <row r="356">
          <cell r="A356" t="str">
            <v>A_P1000101</v>
          </cell>
          <cell r="B356" t="str">
            <v>Planned Facility Charges</v>
          </cell>
          <cell r="C356">
            <v>26681.1421711</v>
          </cell>
          <cell r="D356">
            <v>26681.1421711</v>
          </cell>
          <cell r="E356">
            <v>26681.1421711</v>
          </cell>
          <cell r="F356">
            <v>26681.1421711</v>
          </cell>
          <cell r="G356">
            <v>26681.1421711</v>
          </cell>
          <cell r="H356">
            <v>26681.1421711</v>
          </cell>
          <cell r="I356">
            <v>26681.1421711</v>
          </cell>
          <cell r="J356">
            <v>26681.1421711</v>
          </cell>
          <cell r="K356">
            <v>26681.1421711</v>
          </cell>
          <cell r="L356">
            <v>26681.1421711</v>
          </cell>
          <cell r="M356">
            <v>26681.1421711</v>
          </cell>
          <cell r="N356">
            <v>26681.1421711</v>
          </cell>
        </row>
        <row r="357">
          <cell r="A357" t="str">
            <v>A_P1000102</v>
          </cell>
          <cell r="B357" t="str">
            <v>Planned Telecom Charges</v>
          </cell>
          <cell r="C357">
            <v>25401</v>
          </cell>
          <cell r="D357">
            <v>25401</v>
          </cell>
          <cell r="E357">
            <v>25401</v>
          </cell>
          <cell r="F357">
            <v>25401</v>
          </cell>
          <cell r="G357">
            <v>25401</v>
          </cell>
          <cell r="H357">
            <v>25401</v>
          </cell>
          <cell r="I357">
            <v>25401</v>
          </cell>
          <cell r="J357">
            <v>25401</v>
          </cell>
          <cell r="K357">
            <v>25401</v>
          </cell>
          <cell r="L357">
            <v>25401</v>
          </cell>
          <cell r="M357">
            <v>25401</v>
          </cell>
          <cell r="N357">
            <v>25401</v>
          </cell>
        </row>
        <row r="358">
          <cell r="A358" t="str">
            <v>A_P1000103</v>
          </cell>
          <cell r="B358" t="str">
            <v>Planned HR Benefits Admin</v>
          </cell>
          <cell r="C358">
            <v>39490.387348199998</v>
          </cell>
          <cell r="D358">
            <v>37098.837915800003</v>
          </cell>
          <cell r="E358">
            <v>41072.8736795</v>
          </cell>
          <cell r="F358">
            <v>54779.044065800001</v>
          </cell>
          <cell r="G358">
            <v>40829.884479499997</v>
          </cell>
          <cell r="H358">
            <v>41502.030448199999</v>
          </cell>
          <cell r="I358">
            <v>33095.031897200002</v>
          </cell>
          <cell r="J358">
            <v>35588.101329500001</v>
          </cell>
          <cell r="K358">
            <v>33330.6203972</v>
          </cell>
          <cell r="L358">
            <v>34253.273848199999</v>
          </cell>
          <cell r="M358">
            <v>34279.828348199997</v>
          </cell>
          <cell r="N358">
            <v>33076.002297200001</v>
          </cell>
        </row>
        <row r="359">
          <cell r="A359" t="str">
            <v>A_P1000104</v>
          </cell>
          <cell r="B359" t="str">
            <v>Planned TSI Services</v>
          </cell>
          <cell r="C359">
            <v>33959.309065599999</v>
          </cell>
          <cell r="D359">
            <v>31913.728698399998</v>
          </cell>
          <cell r="E359">
            <v>34982.100357199997</v>
          </cell>
          <cell r="F359">
            <v>31913.728698399998</v>
          </cell>
          <cell r="G359">
            <v>34982.100357199997</v>
          </cell>
          <cell r="H359">
            <v>33959.309065599999</v>
          </cell>
          <cell r="I359">
            <v>32936.519990100001</v>
          </cell>
          <cell r="J359">
            <v>34982.100357199997</v>
          </cell>
          <cell r="K359">
            <v>32936.519990100001</v>
          </cell>
          <cell r="L359">
            <v>33959.309065599999</v>
          </cell>
          <cell r="M359">
            <v>34028.545006300003</v>
          </cell>
          <cell r="N359">
            <v>33002.608845700001</v>
          </cell>
        </row>
        <row r="360">
          <cell r="A360" t="str">
            <v>A_P1000105</v>
          </cell>
          <cell r="B360" t="str">
            <v>Planned Procurement Charges</v>
          </cell>
          <cell r="C360">
            <v>31761.886927899999</v>
          </cell>
          <cell r="D360">
            <v>28501.7513096</v>
          </cell>
          <cell r="E360">
            <v>34277.556123299997</v>
          </cell>
          <cell r="F360">
            <v>28095.851309599999</v>
          </cell>
          <cell r="G360">
            <v>32726.9038612</v>
          </cell>
          <cell r="H360">
            <v>33182.536927900001</v>
          </cell>
          <cell r="I360">
            <v>29379.060504900001</v>
          </cell>
          <cell r="J360">
            <v>31912.2661233</v>
          </cell>
          <cell r="K360">
            <v>31131.810504900001</v>
          </cell>
          <cell r="L360">
            <v>31171.486927900001</v>
          </cell>
          <cell r="M360">
            <v>30891.046927899999</v>
          </cell>
          <cell r="N360">
            <v>31371.660504899999</v>
          </cell>
        </row>
        <row r="361">
          <cell r="A361" t="str">
            <v>A_P1000108</v>
          </cell>
          <cell r="B361" t="str">
            <v>Planned SS HREmpRel Chgs</v>
          </cell>
          <cell r="C361">
            <v>2307.7713288999998</v>
          </cell>
          <cell r="D361">
            <v>2150.9971123999999</v>
          </cell>
          <cell r="E361">
            <v>2803.2452484999999</v>
          </cell>
          <cell r="F361">
            <v>2512.6159573999998</v>
          </cell>
          <cell r="G361">
            <v>2428.2375385</v>
          </cell>
          <cell r="H361">
            <v>2601.5993389</v>
          </cell>
          <cell r="I361">
            <v>2314.4896620999998</v>
          </cell>
          <cell r="J361">
            <v>2595.3143435000002</v>
          </cell>
          <cell r="K361">
            <v>2496.3370620999999</v>
          </cell>
          <cell r="L361">
            <v>2431.5026638999998</v>
          </cell>
          <cell r="M361">
            <v>2372.3351639000002</v>
          </cell>
          <cell r="N361">
            <v>2825.4049620999999</v>
          </cell>
        </row>
        <row r="362">
          <cell r="A362" t="str">
            <v>A_P1000109</v>
          </cell>
          <cell r="B362" t="str">
            <v>Planned SS EmerMgmt Chgs</v>
          </cell>
          <cell r="C362">
            <v>11420.647591700001</v>
          </cell>
          <cell r="D362">
            <v>15558.729188200001</v>
          </cell>
          <cell r="E362">
            <v>7261.1763432999996</v>
          </cell>
          <cell r="F362">
            <v>6383.0246882000001</v>
          </cell>
          <cell r="G362">
            <v>7567.2563432999996</v>
          </cell>
          <cell r="H362">
            <v>7510.4755917000002</v>
          </cell>
          <cell r="I362">
            <v>6678.9304398000004</v>
          </cell>
          <cell r="J362">
            <v>7184.6563433000001</v>
          </cell>
          <cell r="K362">
            <v>6755.4504397999999</v>
          </cell>
          <cell r="L362">
            <v>7367.0005916999999</v>
          </cell>
          <cell r="M362">
            <v>6907.8805917</v>
          </cell>
          <cell r="N362">
            <v>6631.1054397999997</v>
          </cell>
        </row>
        <row r="363">
          <cell r="A363" t="str">
            <v>A_P1000111</v>
          </cell>
          <cell r="B363" t="str">
            <v>Planned SS AcctsPay Chgs</v>
          </cell>
          <cell r="C363">
            <v>45530.981115499999</v>
          </cell>
          <cell r="D363">
            <v>41525.064242</v>
          </cell>
          <cell r="E363">
            <v>47570.921581000002</v>
          </cell>
          <cell r="F363">
            <v>41839.394242000002</v>
          </cell>
          <cell r="G363">
            <v>44877.251537900003</v>
          </cell>
          <cell r="H363">
            <v>43810.594649400002</v>
          </cell>
          <cell r="I363">
            <v>41597.809286099997</v>
          </cell>
          <cell r="J363">
            <v>45155.753252199996</v>
          </cell>
          <cell r="K363">
            <v>41819.689286100001</v>
          </cell>
          <cell r="L363">
            <v>43349.744035800002</v>
          </cell>
          <cell r="M363">
            <v>42702.594035800001</v>
          </cell>
          <cell r="N363">
            <v>41653.526939399999</v>
          </cell>
        </row>
        <row r="364">
          <cell r="A364" t="str">
            <v>A_P1000112</v>
          </cell>
          <cell r="B364" t="str">
            <v>Planned SS Claims Chgs</v>
          </cell>
          <cell r="C364">
            <v>46640.858982899997</v>
          </cell>
          <cell r="D364">
            <v>96854.168342799996</v>
          </cell>
          <cell r="E364">
            <v>49046.324305599999</v>
          </cell>
          <cell r="F364">
            <v>42713.595592799997</v>
          </cell>
          <cell r="G364">
            <v>48604.492805599999</v>
          </cell>
          <cell r="H364">
            <v>47856.9089829</v>
          </cell>
          <cell r="I364">
            <v>98817.802165300003</v>
          </cell>
          <cell r="J364">
            <v>49415.192805600003</v>
          </cell>
          <cell r="K364">
            <v>44677.229415299997</v>
          </cell>
          <cell r="L364">
            <v>46640.858982899997</v>
          </cell>
          <cell r="M364">
            <v>46640.858982899997</v>
          </cell>
          <cell r="N364">
            <v>45829.234115300002</v>
          </cell>
        </row>
        <row r="365">
          <cell r="A365" t="str">
            <v>A_P1000200</v>
          </cell>
          <cell r="B365" t="str">
            <v>Planned Fleet Charges</v>
          </cell>
          <cell r="C365">
            <v>3000</v>
          </cell>
          <cell r="D365">
            <v>3000</v>
          </cell>
          <cell r="E365">
            <v>3000</v>
          </cell>
          <cell r="F365">
            <v>3000</v>
          </cell>
          <cell r="G365">
            <v>3000</v>
          </cell>
          <cell r="H365">
            <v>3000</v>
          </cell>
          <cell r="I365">
            <v>3000</v>
          </cell>
          <cell r="J365">
            <v>3000</v>
          </cell>
          <cell r="K365">
            <v>3000</v>
          </cell>
          <cell r="L365">
            <v>3000</v>
          </cell>
          <cell r="M365">
            <v>3000</v>
          </cell>
          <cell r="N365">
            <v>3000</v>
          </cell>
        </row>
        <row r="366">
          <cell r="A366" t="str">
            <v>A_P6020000</v>
          </cell>
          <cell r="B366" t="str">
            <v>Planned Benefits Expense</v>
          </cell>
          <cell r="C366">
            <v>1218002.5721185999</v>
          </cell>
          <cell r="D366">
            <v>1125739.8529610001</v>
          </cell>
          <cell r="E366">
            <v>1290302.4393058999</v>
          </cell>
          <cell r="F366">
            <v>1122447.238192</v>
          </cell>
          <cell r="G366">
            <v>1296213.0989226</v>
          </cell>
          <cell r="H366">
            <v>1303446.4754584001</v>
          </cell>
          <cell r="I366">
            <v>1205579.7234415</v>
          </cell>
          <cell r="J366">
            <v>1312909.2994832001</v>
          </cell>
          <cell r="K366">
            <v>1199014.1926116999</v>
          </cell>
          <cell r="L366">
            <v>1258519.2647468999</v>
          </cell>
          <cell r="M366">
            <v>1382969.7396929001</v>
          </cell>
          <cell r="N366">
            <v>1283504.5288768001</v>
          </cell>
        </row>
        <row r="367">
          <cell r="A367" t="str">
            <v>A_P6100000</v>
          </cell>
          <cell r="B367" t="str">
            <v>Planned Outside Services Expense</v>
          </cell>
          <cell r="C367">
            <v>5200</v>
          </cell>
          <cell r="D367">
            <v>5200</v>
          </cell>
          <cell r="E367">
            <v>5200</v>
          </cell>
          <cell r="F367">
            <v>5200</v>
          </cell>
          <cell r="G367">
            <v>5200</v>
          </cell>
          <cell r="H367">
            <v>5200</v>
          </cell>
          <cell r="I367">
            <v>5200</v>
          </cell>
          <cell r="J367">
            <v>5200</v>
          </cell>
          <cell r="K367">
            <v>5200</v>
          </cell>
          <cell r="L367">
            <v>5200</v>
          </cell>
          <cell r="M367">
            <v>5200</v>
          </cell>
          <cell r="N367">
            <v>5200</v>
          </cell>
        </row>
        <row r="368">
          <cell r="A368" t="str">
            <v>A_S1000200</v>
          </cell>
          <cell r="B368" t="str">
            <v>Settled Fleet Charges</v>
          </cell>
          <cell r="C368">
            <v>11041</v>
          </cell>
          <cell r="D368">
            <v>11041</v>
          </cell>
          <cell r="E368">
            <v>11041</v>
          </cell>
          <cell r="F368">
            <v>11041</v>
          </cell>
          <cell r="G368">
            <v>11041</v>
          </cell>
          <cell r="H368">
            <v>11041</v>
          </cell>
          <cell r="I368">
            <v>11041</v>
          </cell>
          <cell r="J368">
            <v>11041</v>
          </cell>
          <cell r="K368">
            <v>11041</v>
          </cell>
          <cell r="L368">
            <v>11626</v>
          </cell>
          <cell r="M368">
            <v>11266</v>
          </cell>
          <cell r="N368">
            <v>11634</v>
          </cell>
        </row>
        <row r="369">
          <cell r="A369" t="str">
            <v>A_S6010000</v>
          </cell>
          <cell r="B369" t="str">
            <v>Settled Labor Expense</v>
          </cell>
          <cell r="C369">
            <v>6875</v>
          </cell>
          <cell r="D369">
            <v>6875</v>
          </cell>
          <cell r="E369">
            <v>6875</v>
          </cell>
          <cell r="F369">
            <v>6875</v>
          </cell>
          <cell r="G369">
            <v>6875</v>
          </cell>
          <cell r="H369">
            <v>6875</v>
          </cell>
          <cell r="I369">
            <v>6875</v>
          </cell>
          <cell r="J369">
            <v>6875</v>
          </cell>
          <cell r="K369">
            <v>6875</v>
          </cell>
          <cell r="L369">
            <v>6875</v>
          </cell>
          <cell r="M369">
            <v>6875</v>
          </cell>
          <cell r="N369">
            <v>6875</v>
          </cell>
        </row>
        <row r="370">
          <cell r="A370" t="str">
            <v>A_S6010990</v>
          </cell>
          <cell r="B370" t="str">
            <v>Settled Labor Seconded Employees</v>
          </cell>
          <cell r="C370">
            <v>43491</v>
          </cell>
          <cell r="D370">
            <v>43491</v>
          </cell>
          <cell r="E370">
            <v>65237</v>
          </cell>
          <cell r="F370">
            <v>43491</v>
          </cell>
          <cell r="G370">
            <v>43491</v>
          </cell>
          <cell r="H370">
            <v>43492</v>
          </cell>
          <cell r="I370">
            <v>43491</v>
          </cell>
          <cell r="J370">
            <v>65237</v>
          </cell>
          <cell r="K370">
            <v>43491</v>
          </cell>
          <cell r="L370">
            <v>43491</v>
          </cell>
          <cell r="M370">
            <v>43491</v>
          </cell>
          <cell r="N370">
            <v>43493</v>
          </cell>
        </row>
        <row r="371">
          <cell r="A371" t="str">
            <v>A_S6018999</v>
          </cell>
          <cell r="B371" t="str">
            <v>Settled Labor Expense Reclass</v>
          </cell>
          <cell r="C371">
            <v>5497.5485601999999</v>
          </cell>
          <cell r="D371">
            <v>-1116.4231910999999</v>
          </cell>
          <cell r="E371">
            <v>12895.036540999999</v>
          </cell>
          <cell r="F371">
            <v>4358.1708807000005</v>
          </cell>
          <cell r="G371">
            <v>7464.7197249999999</v>
          </cell>
          <cell r="H371">
            <v>2793.2020394000001</v>
          </cell>
          <cell r="I371">
            <v>-1878.3114335</v>
          </cell>
          <cell r="J371">
            <v>-716.28027499999996</v>
          </cell>
          <cell r="K371">
            <v>-7332.3114335</v>
          </cell>
          <cell r="L371">
            <v>-8114.7979605999999</v>
          </cell>
          <cell r="M371">
            <v>-10841.797960600001</v>
          </cell>
          <cell r="N371">
            <v>-15513.311433499999</v>
          </cell>
        </row>
        <row r="372">
          <cell r="A372" t="str">
            <v>A_S6019000</v>
          </cell>
          <cell r="B372" t="str">
            <v>Settled Labor Expense to Balance Sheet</v>
          </cell>
          <cell r="C372">
            <v>4000</v>
          </cell>
          <cell r="D372">
            <v>4000</v>
          </cell>
          <cell r="E372">
            <v>4000</v>
          </cell>
          <cell r="F372">
            <v>4000</v>
          </cell>
          <cell r="G372">
            <v>4000</v>
          </cell>
          <cell r="H372">
            <v>4000</v>
          </cell>
          <cell r="I372">
            <v>4000</v>
          </cell>
          <cell r="J372">
            <v>4000</v>
          </cell>
          <cell r="K372">
            <v>4000</v>
          </cell>
          <cell r="L372">
            <v>4000</v>
          </cell>
          <cell r="M372">
            <v>4000</v>
          </cell>
          <cell r="N372">
            <v>4000</v>
          </cell>
        </row>
        <row r="373">
          <cell r="A373" t="str">
            <v>A_S6019900</v>
          </cell>
          <cell r="B373" t="str">
            <v>Settled ST Labor &amp; Benefits Expense</v>
          </cell>
          <cell r="C373">
            <v>3937228.6676190002</v>
          </cell>
          <cell r="D373">
            <v>3614320.3602896002</v>
          </cell>
          <cell r="E373">
            <v>4165940.4637202001</v>
          </cell>
          <cell r="F373">
            <v>3624323.6836585002</v>
          </cell>
          <cell r="G373">
            <v>4173655.3406427</v>
          </cell>
          <cell r="H373">
            <v>4080715.3776797</v>
          </cell>
          <cell r="I373">
            <v>3886883.047156</v>
          </cell>
          <cell r="J373">
            <v>4232043.9130448001</v>
          </cell>
          <cell r="K373">
            <v>3863787.4898533998</v>
          </cell>
          <cell r="L373">
            <v>4057001.6191567001</v>
          </cell>
          <cell r="M373">
            <v>4355789.4170479001</v>
          </cell>
          <cell r="N373">
            <v>4158294.8661153</v>
          </cell>
        </row>
        <row r="374">
          <cell r="A374" t="str">
            <v>A_S6019910</v>
          </cell>
          <cell r="B374" t="str">
            <v>Settled OT Labor &amp; Benefits Expense</v>
          </cell>
          <cell r="C374">
            <v>262780.20175599999</v>
          </cell>
          <cell r="D374">
            <v>267541.20164500002</v>
          </cell>
          <cell r="E374">
            <v>283378.29250570002</v>
          </cell>
          <cell r="F374">
            <v>246184.03424539999</v>
          </cell>
          <cell r="G374">
            <v>296045.00046770001</v>
          </cell>
          <cell r="H374">
            <v>413927.64114319999</v>
          </cell>
          <cell r="I374">
            <v>270288.41298720002</v>
          </cell>
          <cell r="J374">
            <v>295229.53344730003</v>
          </cell>
          <cell r="K374">
            <v>270744.20880750002</v>
          </cell>
          <cell r="L374">
            <v>282719.9834199</v>
          </cell>
          <cell r="M374">
            <v>413071.75430680002</v>
          </cell>
          <cell r="N374">
            <v>267582.81966640003</v>
          </cell>
        </row>
        <row r="375">
          <cell r="A375" t="str">
            <v>A_S6020010</v>
          </cell>
          <cell r="B375" t="str">
            <v>Settled Benefit Plan Admin Fees</v>
          </cell>
          <cell r="C375">
            <v>6000</v>
          </cell>
          <cell r="D375">
            <v>6000</v>
          </cell>
          <cell r="E375">
            <v>6000</v>
          </cell>
          <cell r="F375">
            <v>6000</v>
          </cell>
          <cell r="G375">
            <v>6000</v>
          </cell>
          <cell r="H375">
            <v>6000</v>
          </cell>
          <cell r="I375">
            <v>6000</v>
          </cell>
          <cell r="J375">
            <v>6000</v>
          </cell>
          <cell r="K375">
            <v>6000</v>
          </cell>
          <cell r="L375">
            <v>6000</v>
          </cell>
          <cell r="M375">
            <v>6000</v>
          </cell>
          <cell r="N375">
            <v>6000</v>
          </cell>
        </row>
        <row r="376">
          <cell r="A376" t="str">
            <v>A_S6020020</v>
          </cell>
          <cell r="B376" t="str">
            <v>Settled Tuition Reimbursement</v>
          </cell>
          <cell r="C376">
            <v>7000</v>
          </cell>
          <cell r="D376">
            <v>7000</v>
          </cell>
          <cell r="E376">
            <v>7000</v>
          </cell>
          <cell r="F376">
            <v>7000</v>
          </cell>
          <cell r="G376">
            <v>7000</v>
          </cell>
          <cell r="H376">
            <v>7000</v>
          </cell>
          <cell r="I376">
            <v>7000</v>
          </cell>
          <cell r="J376">
            <v>7000</v>
          </cell>
          <cell r="K376">
            <v>7000</v>
          </cell>
          <cell r="L376">
            <v>7000</v>
          </cell>
          <cell r="M376">
            <v>7000</v>
          </cell>
          <cell r="N376">
            <v>7000</v>
          </cell>
        </row>
        <row r="377">
          <cell r="A377" t="str">
            <v>A_S6020030</v>
          </cell>
          <cell r="B377" t="str">
            <v>Settled Life Insurance</v>
          </cell>
          <cell r="C377">
            <v>11000</v>
          </cell>
          <cell r="D377">
            <v>11000</v>
          </cell>
          <cell r="E377">
            <v>11000</v>
          </cell>
          <cell r="F377">
            <v>11000</v>
          </cell>
          <cell r="G377">
            <v>11000</v>
          </cell>
          <cell r="H377">
            <v>11000</v>
          </cell>
          <cell r="I377">
            <v>11000</v>
          </cell>
          <cell r="J377">
            <v>11000</v>
          </cell>
          <cell r="K377">
            <v>11000</v>
          </cell>
          <cell r="L377">
            <v>11000</v>
          </cell>
          <cell r="M377">
            <v>11000</v>
          </cell>
          <cell r="N377">
            <v>11000</v>
          </cell>
        </row>
        <row r="378">
          <cell r="A378" t="str">
            <v>A_S6020040</v>
          </cell>
          <cell r="B378" t="str">
            <v>Settled Long-term Care Insurance</v>
          </cell>
          <cell r="C378">
            <v>3090</v>
          </cell>
          <cell r="D378">
            <v>3090</v>
          </cell>
          <cell r="E378">
            <v>3090</v>
          </cell>
          <cell r="F378">
            <v>3090</v>
          </cell>
          <cell r="G378">
            <v>3090</v>
          </cell>
          <cell r="H378">
            <v>3090</v>
          </cell>
          <cell r="I378">
            <v>3090</v>
          </cell>
          <cell r="J378">
            <v>3090</v>
          </cell>
          <cell r="K378">
            <v>3090</v>
          </cell>
          <cell r="L378">
            <v>3090</v>
          </cell>
          <cell r="M378">
            <v>3090</v>
          </cell>
          <cell r="N378">
            <v>3090</v>
          </cell>
        </row>
        <row r="379">
          <cell r="A379" t="str">
            <v>A_S6020050</v>
          </cell>
          <cell r="B379" t="str">
            <v>Settled Medical Insurance - Active</v>
          </cell>
          <cell r="C379">
            <v>812500</v>
          </cell>
          <cell r="D379">
            <v>812500</v>
          </cell>
          <cell r="E379">
            <v>812500</v>
          </cell>
          <cell r="F379">
            <v>812500</v>
          </cell>
          <cell r="G379">
            <v>812500</v>
          </cell>
          <cell r="H379">
            <v>812500</v>
          </cell>
          <cell r="I379">
            <v>812500</v>
          </cell>
          <cell r="J379">
            <v>812500</v>
          </cell>
          <cell r="K379">
            <v>812500</v>
          </cell>
          <cell r="L379">
            <v>812500</v>
          </cell>
          <cell r="M379">
            <v>812500</v>
          </cell>
          <cell r="N379">
            <v>812500</v>
          </cell>
        </row>
        <row r="380">
          <cell r="A380" t="str">
            <v>A_S6020060</v>
          </cell>
          <cell r="B380" t="str">
            <v>Settled Pensions</v>
          </cell>
          <cell r="C380">
            <v>67355.333333300005</v>
          </cell>
          <cell r="D380">
            <v>67355.333333300005</v>
          </cell>
          <cell r="E380">
            <v>67355.333333300005</v>
          </cell>
          <cell r="F380">
            <v>67355.333333300005</v>
          </cell>
          <cell r="G380">
            <v>67355.333333300005</v>
          </cell>
          <cell r="H380">
            <v>67355.333333300005</v>
          </cell>
          <cell r="I380">
            <v>67355.333333300005</v>
          </cell>
          <cell r="J380">
            <v>67355.333333300005</v>
          </cell>
          <cell r="K380">
            <v>67355.333333300005</v>
          </cell>
          <cell r="L380">
            <v>67355.333333300005</v>
          </cell>
          <cell r="M380">
            <v>67355.333333300005</v>
          </cell>
          <cell r="N380">
            <v>67355.333333300005</v>
          </cell>
        </row>
        <row r="381">
          <cell r="A381" t="str">
            <v>A_S6020070</v>
          </cell>
          <cell r="B381" t="str">
            <v>Settled Pension Credit for Capitalization</v>
          </cell>
          <cell r="C381">
            <v>-1518418.548433</v>
          </cell>
          <cell r="D381">
            <v>-1402779.1515722999</v>
          </cell>
          <cell r="E381">
            <v>-1612729.1995969</v>
          </cell>
          <cell r="F381">
            <v>-1403672.2194113999</v>
          </cell>
          <cell r="G381">
            <v>-1619443.7206576001</v>
          </cell>
          <cell r="H381">
            <v>-1596039.8526734</v>
          </cell>
          <cell r="I381">
            <v>-1475357.3537783001</v>
          </cell>
          <cell r="J381">
            <v>-1604114.38133</v>
          </cell>
          <cell r="K381">
            <v>-1465318.402097</v>
          </cell>
          <cell r="L381">
            <v>-1536700.4120936999</v>
          </cell>
          <cell r="M381">
            <v>-1733474.3678754</v>
          </cell>
          <cell r="N381">
            <v>-1607674.8022259001</v>
          </cell>
        </row>
        <row r="382">
          <cell r="A382" t="str">
            <v>A_S6020080</v>
          </cell>
          <cell r="B382" t="str">
            <v>Settled Post Retirement Benefits FAS 106 - Activ</v>
          </cell>
          <cell r="C382">
            <v>78867.25</v>
          </cell>
          <cell r="D382">
            <v>78867.25</v>
          </cell>
          <cell r="E382">
            <v>78867.25</v>
          </cell>
          <cell r="F382">
            <v>78867.25</v>
          </cell>
          <cell r="G382">
            <v>78867.25</v>
          </cell>
          <cell r="H382">
            <v>78867.25</v>
          </cell>
          <cell r="I382">
            <v>78867.25</v>
          </cell>
          <cell r="J382">
            <v>78867.25</v>
          </cell>
          <cell r="K382">
            <v>78867.25</v>
          </cell>
          <cell r="L382">
            <v>78867.25</v>
          </cell>
          <cell r="M382">
            <v>78867.25</v>
          </cell>
          <cell r="N382">
            <v>78867.25</v>
          </cell>
        </row>
        <row r="383">
          <cell r="A383" t="str">
            <v>A_S6020100</v>
          </cell>
          <cell r="B383" t="str">
            <v>Settled Long-term Incentive Expense</v>
          </cell>
          <cell r="C383">
            <v>0</v>
          </cell>
          <cell r="D383">
            <v>0</v>
          </cell>
          <cell r="E383">
            <v>579374.96043710003</v>
          </cell>
          <cell r="F383">
            <v>0</v>
          </cell>
          <cell r="G383">
            <v>0</v>
          </cell>
          <cell r="H383">
            <v>579374.96043710003</v>
          </cell>
          <cell r="I383">
            <v>0</v>
          </cell>
          <cell r="J383">
            <v>0</v>
          </cell>
          <cell r="K383">
            <v>579374.96043710003</v>
          </cell>
          <cell r="L383">
            <v>0</v>
          </cell>
          <cell r="M383">
            <v>0</v>
          </cell>
          <cell r="N383">
            <v>579374.96043710003</v>
          </cell>
        </row>
        <row r="384">
          <cell r="A384" t="str">
            <v>A_S6020130</v>
          </cell>
          <cell r="B384" t="str">
            <v>Settled Employer 401K Fixed Match</v>
          </cell>
          <cell r="C384">
            <v>225114.66666670001</v>
          </cell>
          <cell r="D384">
            <v>225114.66666670001</v>
          </cell>
          <cell r="E384">
            <v>225114.66666670001</v>
          </cell>
          <cell r="F384">
            <v>225114.66666670001</v>
          </cell>
          <cell r="G384">
            <v>225114.66666670001</v>
          </cell>
          <cell r="H384">
            <v>225114.66666670001</v>
          </cell>
          <cell r="I384">
            <v>225114.66666670001</v>
          </cell>
          <cell r="J384">
            <v>225114.66666670001</v>
          </cell>
          <cell r="K384">
            <v>225114.66666670001</v>
          </cell>
          <cell r="L384">
            <v>225114.66666670001</v>
          </cell>
          <cell r="M384">
            <v>225114.66666670001</v>
          </cell>
          <cell r="N384">
            <v>225114.66666670001</v>
          </cell>
        </row>
        <row r="385">
          <cell r="A385" t="str">
            <v>A_S6020150</v>
          </cell>
          <cell r="B385" t="str">
            <v>Settled Supplemental Executive Retirement</v>
          </cell>
          <cell r="C385">
            <v>8908.6666667000009</v>
          </cell>
          <cell r="D385">
            <v>8908.6666667000009</v>
          </cell>
          <cell r="E385">
            <v>8908.6666667000009</v>
          </cell>
          <cell r="F385">
            <v>8908.6666667000009</v>
          </cell>
          <cell r="G385">
            <v>8908.6666667000009</v>
          </cell>
          <cell r="H385">
            <v>8908.6666667000009</v>
          </cell>
          <cell r="I385">
            <v>8908.6666667000009</v>
          </cell>
          <cell r="J385">
            <v>8908.6666667000009</v>
          </cell>
          <cell r="K385">
            <v>8908.6666667000009</v>
          </cell>
          <cell r="L385">
            <v>8908.6666667000009</v>
          </cell>
          <cell r="M385">
            <v>8908.6666667000009</v>
          </cell>
          <cell r="N385">
            <v>8908.6666667000009</v>
          </cell>
        </row>
        <row r="386">
          <cell r="A386" t="str">
            <v>A_S6020170</v>
          </cell>
          <cell r="B386" t="str">
            <v>Settled Long-term Disability - FAS 112</v>
          </cell>
          <cell r="C386">
            <v>25000</v>
          </cell>
          <cell r="D386">
            <v>25000</v>
          </cell>
          <cell r="E386">
            <v>25000</v>
          </cell>
          <cell r="F386">
            <v>25000</v>
          </cell>
          <cell r="G386">
            <v>25000</v>
          </cell>
          <cell r="H386">
            <v>25000</v>
          </cell>
          <cell r="I386">
            <v>25000</v>
          </cell>
          <cell r="J386">
            <v>25000</v>
          </cell>
          <cell r="K386">
            <v>25000</v>
          </cell>
          <cell r="L386">
            <v>25000</v>
          </cell>
          <cell r="M386">
            <v>25000</v>
          </cell>
          <cell r="N386">
            <v>25000</v>
          </cell>
        </row>
        <row r="387">
          <cell r="A387" t="str">
            <v>A_S6020180</v>
          </cell>
          <cell r="B387" t="str">
            <v>Settled Long-term Disability Premiums</v>
          </cell>
          <cell r="C387">
            <v>19166.666666699999</v>
          </cell>
          <cell r="D387">
            <v>19166.666666699999</v>
          </cell>
          <cell r="E387">
            <v>19166.666666699999</v>
          </cell>
          <cell r="F387">
            <v>19166.666666699999</v>
          </cell>
          <cell r="G387">
            <v>19166.666666699999</v>
          </cell>
          <cell r="H387">
            <v>19166.666666699999</v>
          </cell>
          <cell r="I387">
            <v>19166.666666699999</v>
          </cell>
          <cell r="J387">
            <v>19166.666666699999</v>
          </cell>
          <cell r="K387">
            <v>19166.666666699999</v>
          </cell>
          <cell r="L387">
            <v>19166.666666699999</v>
          </cell>
          <cell r="M387">
            <v>19166.666666699999</v>
          </cell>
          <cell r="N387">
            <v>19166.666666699999</v>
          </cell>
        </row>
        <row r="388">
          <cell r="A388" t="str">
            <v>A_S6020220</v>
          </cell>
          <cell r="B388" t="str">
            <v>Settled Vacations (accrual)</v>
          </cell>
          <cell r="C388">
            <v>17966.66</v>
          </cell>
          <cell r="D388">
            <v>17966.66</v>
          </cell>
          <cell r="E388">
            <v>17966.66</v>
          </cell>
          <cell r="F388">
            <v>17966.66</v>
          </cell>
          <cell r="G388">
            <v>17966.66</v>
          </cell>
          <cell r="H388">
            <v>17966.66</v>
          </cell>
          <cell r="I388">
            <v>17966.66</v>
          </cell>
          <cell r="J388">
            <v>17966.66</v>
          </cell>
          <cell r="K388">
            <v>17966.66</v>
          </cell>
          <cell r="L388">
            <v>17966.66</v>
          </cell>
          <cell r="M388">
            <v>17966.66</v>
          </cell>
          <cell r="N388">
            <v>17966.66</v>
          </cell>
        </row>
        <row r="389">
          <cell r="A389" t="str">
            <v>A_S6020230</v>
          </cell>
          <cell r="B389" t="str">
            <v>Settled Restoration Benefit Plan Expense</v>
          </cell>
          <cell r="C389">
            <v>8556.1666667000009</v>
          </cell>
          <cell r="D389">
            <v>8556.1666667000009</v>
          </cell>
          <cell r="E389">
            <v>8556.1666667000009</v>
          </cell>
          <cell r="F389">
            <v>8556.1666667000009</v>
          </cell>
          <cell r="G389">
            <v>8556.1666667000009</v>
          </cell>
          <cell r="H389">
            <v>8556.1666667000009</v>
          </cell>
          <cell r="I389">
            <v>8556.1666667000009</v>
          </cell>
          <cell r="J389">
            <v>8556.1666667000009</v>
          </cell>
          <cell r="K389">
            <v>8556.1666667000009</v>
          </cell>
          <cell r="L389">
            <v>8556.1666667000009</v>
          </cell>
          <cell r="M389">
            <v>8556.1666667000009</v>
          </cell>
          <cell r="N389">
            <v>8556.1666667000009</v>
          </cell>
        </row>
        <row r="390">
          <cell r="A390" t="str">
            <v>A_S6020240</v>
          </cell>
          <cell r="B390" t="str">
            <v>Settled Employer Match on Common Stock Purch</v>
          </cell>
          <cell r="C390">
            <v>8333.3333332999991</v>
          </cell>
          <cell r="D390">
            <v>8333.3333332999991</v>
          </cell>
          <cell r="E390">
            <v>8333.3333332999991</v>
          </cell>
          <cell r="F390">
            <v>8333.3333332999991</v>
          </cell>
          <cell r="G390">
            <v>8333.3333332999991</v>
          </cell>
          <cell r="H390">
            <v>8333.3333332999991</v>
          </cell>
          <cell r="I390">
            <v>8333.3333332999991</v>
          </cell>
          <cell r="J390">
            <v>8333.3333332999991</v>
          </cell>
          <cell r="K390">
            <v>8333.3333332999991</v>
          </cell>
          <cell r="L390">
            <v>8333.3333332999991</v>
          </cell>
          <cell r="M390">
            <v>8333.3333332999991</v>
          </cell>
          <cell r="N390">
            <v>8333.3333332999991</v>
          </cell>
        </row>
        <row r="391">
          <cell r="A391" t="str">
            <v>A_S6020800</v>
          </cell>
          <cell r="B391" t="str">
            <v>Settled Benefits - Other</v>
          </cell>
          <cell r="C391">
            <v>29367.0983333</v>
          </cell>
          <cell r="D391">
            <v>29367.0983333</v>
          </cell>
          <cell r="E391">
            <v>29367.0983333</v>
          </cell>
          <cell r="F391">
            <v>29367.0983333</v>
          </cell>
          <cell r="G391">
            <v>29367.0983333</v>
          </cell>
          <cell r="H391">
            <v>29367.0983333</v>
          </cell>
          <cell r="I391">
            <v>29367.0983333</v>
          </cell>
          <cell r="J391">
            <v>29367.0983333</v>
          </cell>
          <cell r="K391">
            <v>29367.0983333</v>
          </cell>
          <cell r="L391">
            <v>29367.0983333</v>
          </cell>
          <cell r="M391">
            <v>29367.0983333</v>
          </cell>
          <cell r="N391">
            <v>29367.0983333</v>
          </cell>
        </row>
        <row r="392">
          <cell r="A392" t="str">
            <v>A_S6020900</v>
          </cell>
          <cell r="B392" t="str">
            <v>Settled Employee Incentive Expense</v>
          </cell>
          <cell r="C392">
            <v>555416.66666670004</v>
          </cell>
          <cell r="D392">
            <v>555416.66666670004</v>
          </cell>
          <cell r="E392">
            <v>555416.66666670004</v>
          </cell>
          <cell r="F392">
            <v>555416.66666670004</v>
          </cell>
          <cell r="G392">
            <v>555416.66666670004</v>
          </cell>
          <cell r="H392">
            <v>555416.66666670004</v>
          </cell>
          <cell r="I392">
            <v>555416.66666670004</v>
          </cell>
          <cell r="J392">
            <v>555416.66666670004</v>
          </cell>
          <cell r="K392">
            <v>555416.66666670004</v>
          </cell>
          <cell r="L392">
            <v>555416.66666670004</v>
          </cell>
          <cell r="M392">
            <v>555416.66666670004</v>
          </cell>
          <cell r="N392">
            <v>555416.66666670004</v>
          </cell>
        </row>
        <row r="393">
          <cell r="A393" t="str">
            <v>A_S6028999</v>
          </cell>
          <cell r="B393" t="str">
            <v>Settled Benefits Fringe Reclass</v>
          </cell>
          <cell r="C393">
            <v>-46.053989100000003</v>
          </cell>
          <cell r="D393">
            <v>-2408.5391690000001</v>
          </cell>
          <cell r="E393">
            <v>-2078.3962698999999</v>
          </cell>
          <cell r="F393">
            <v>-391.13614999999999</v>
          </cell>
          <cell r="G393">
            <v>-2692.6498952000002</v>
          </cell>
          <cell r="H393">
            <v>-6648.9304535000001</v>
          </cell>
          <cell r="I393">
            <v>-2293.1329282000002</v>
          </cell>
          <cell r="J393">
            <v>-6296.7407995000003</v>
          </cell>
          <cell r="K393">
            <v>-4466.7472926</v>
          </cell>
          <cell r="L393">
            <v>-5724.2630731999998</v>
          </cell>
          <cell r="M393">
            <v>-10175.398791400001</v>
          </cell>
          <cell r="N393">
            <v>-6940.0443283000004</v>
          </cell>
        </row>
        <row r="394">
          <cell r="A394" t="str">
            <v>A_S6030010</v>
          </cell>
          <cell r="B394" t="str">
            <v>Settled Empl Exp - Professional Dues Subscription</v>
          </cell>
          <cell r="C394">
            <v>-1618.856</v>
          </cell>
          <cell r="D394">
            <v>-1388.856</v>
          </cell>
          <cell r="E394">
            <v>-1068.856</v>
          </cell>
          <cell r="F394">
            <v>571.14400000000001</v>
          </cell>
          <cell r="G394">
            <v>-2118.8560000000002</v>
          </cell>
          <cell r="H394">
            <v>-1468.856</v>
          </cell>
          <cell r="I394">
            <v>3031.1439999999998</v>
          </cell>
          <cell r="J394">
            <v>736.14400000000001</v>
          </cell>
          <cell r="K394">
            <v>-1763.856</v>
          </cell>
          <cell r="L394">
            <v>-1903.856</v>
          </cell>
          <cell r="M394">
            <v>-2018.856</v>
          </cell>
          <cell r="N394">
            <v>-2068.8560000000002</v>
          </cell>
        </row>
        <row r="395">
          <cell r="A395" t="str">
            <v>A_S6030020</v>
          </cell>
          <cell r="B395" t="str">
            <v>Settled Empl Exp - Social/Civic Dues</v>
          </cell>
          <cell r="C395">
            <v>1440</v>
          </cell>
          <cell r="D395">
            <v>1440</v>
          </cell>
          <cell r="E395">
            <v>1440</v>
          </cell>
          <cell r="F395">
            <v>23440</v>
          </cell>
          <cell r="G395">
            <v>1440</v>
          </cell>
          <cell r="H395">
            <v>1440</v>
          </cell>
          <cell r="I395">
            <v>1440</v>
          </cell>
          <cell r="J395">
            <v>1440</v>
          </cell>
          <cell r="K395">
            <v>1440</v>
          </cell>
          <cell r="L395">
            <v>1440</v>
          </cell>
          <cell r="M395">
            <v>1440</v>
          </cell>
          <cell r="N395">
            <v>1440</v>
          </cell>
        </row>
        <row r="396">
          <cell r="A396" t="str">
            <v>A_S6030030</v>
          </cell>
          <cell r="B396" t="str">
            <v>Inactive Account - Do Not Use - Stld Empl Exp - Meals &amp; Ent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700</v>
          </cell>
          <cell r="J396">
            <v>0</v>
          </cell>
          <cell r="K396">
            <v>0</v>
          </cell>
          <cell r="L396">
            <v>700</v>
          </cell>
          <cell r="M396">
            <v>0</v>
          </cell>
          <cell r="N396">
            <v>0</v>
          </cell>
        </row>
        <row r="397">
          <cell r="A397" t="str">
            <v>A_S6030040</v>
          </cell>
          <cell r="B397" t="str">
            <v>Settled Empl Exp - Meals &amp; Entertainment 50% Ded</v>
          </cell>
          <cell r="C397">
            <v>15328.48</v>
          </cell>
          <cell r="D397">
            <v>14648.6</v>
          </cell>
          <cell r="E397">
            <v>16630.22</v>
          </cell>
          <cell r="F397">
            <v>17040.61</v>
          </cell>
          <cell r="G397">
            <v>16480.61</v>
          </cell>
          <cell r="H397">
            <v>17128.844166399998</v>
          </cell>
          <cell r="I397">
            <v>17115.2526392</v>
          </cell>
          <cell r="J397">
            <v>17488.933966600001</v>
          </cell>
          <cell r="K397">
            <v>18762.512359799999</v>
          </cell>
          <cell r="L397">
            <v>17456.9358727</v>
          </cell>
          <cell r="M397">
            <v>17420.971549599999</v>
          </cell>
          <cell r="N397">
            <v>19992.0606424</v>
          </cell>
        </row>
        <row r="398">
          <cell r="A398" t="str">
            <v>A_S6030050</v>
          </cell>
          <cell r="B398" t="str">
            <v>Settled Empl Exp - Mileage</v>
          </cell>
          <cell r="C398">
            <v>2119.8571999999999</v>
          </cell>
          <cell r="D398">
            <v>1909.8571999999999</v>
          </cell>
          <cell r="E398">
            <v>2845.9072000000001</v>
          </cell>
          <cell r="F398">
            <v>2599.9371999999998</v>
          </cell>
          <cell r="G398">
            <v>3652.0772000000002</v>
          </cell>
          <cell r="H398">
            <v>3282.1736998000001</v>
          </cell>
          <cell r="I398">
            <v>4456.0387835000001</v>
          </cell>
          <cell r="J398">
            <v>4171.6475799999998</v>
          </cell>
          <cell r="K398">
            <v>4263.1946158999999</v>
          </cell>
          <cell r="L398">
            <v>3575.2487236000002</v>
          </cell>
          <cell r="M398">
            <v>4231.2501297999997</v>
          </cell>
          <cell r="N398">
            <v>4987.7235854</v>
          </cell>
        </row>
        <row r="399">
          <cell r="A399" t="str">
            <v>A_S6030060</v>
          </cell>
          <cell r="B399" t="str">
            <v>Settled Empl Exp - Shoes and uniforms</v>
          </cell>
          <cell r="C399">
            <v>800.08</v>
          </cell>
          <cell r="D399">
            <v>725.39</v>
          </cell>
          <cell r="E399">
            <v>400</v>
          </cell>
          <cell r="F399">
            <v>100</v>
          </cell>
          <cell r="G399">
            <v>510.08</v>
          </cell>
          <cell r="H399">
            <v>910.29255550000005</v>
          </cell>
          <cell r="I399">
            <v>495.64035189999998</v>
          </cell>
          <cell r="J399">
            <v>347.06452890000003</v>
          </cell>
          <cell r="K399">
            <v>367.40831459999998</v>
          </cell>
          <cell r="L399">
            <v>414.5314497</v>
          </cell>
          <cell r="M399">
            <v>530.13620660000004</v>
          </cell>
          <cell r="N399">
            <v>467.08141899999998</v>
          </cell>
        </row>
        <row r="400">
          <cell r="A400" t="str">
            <v>A_S6030070</v>
          </cell>
          <cell r="B400" t="str">
            <v>Settled Empl Exp - Training</v>
          </cell>
          <cell r="C400">
            <v>2838.3580000000002</v>
          </cell>
          <cell r="D400">
            <v>3757.3580000000002</v>
          </cell>
          <cell r="E400">
            <v>10965.018</v>
          </cell>
          <cell r="F400">
            <v>8557.3580000000002</v>
          </cell>
          <cell r="G400">
            <v>8426.3580000000002</v>
          </cell>
          <cell r="H400">
            <v>10504.018</v>
          </cell>
          <cell r="I400">
            <v>4132.3580000000002</v>
          </cell>
          <cell r="J400">
            <v>6146.3580000000002</v>
          </cell>
          <cell r="K400">
            <v>7283.018</v>
          </cell>
          <cell r="L400">
            <v>7637.3580000000002</v>
          </cell>
          <cell r="M400">
            <v>7946.3580000000002</v>
          </cell>
          <cell r="N400">
            <v>4975.018</v>
          </cell>
        </row>
        <row r="401">
          <cell r="A401" t="str">
            <v>A_S6030080</v>
          </cell>
          <cell r="B401" t="str">
            <v>Settled Empl Exp - Travel and Lodging</v>
          </cell>
          <cell r="C401">
            <v>30465.486400000002</v>
          </cell>
          <cell r="D401">
            <v>33294.056400000001</v>
          </cell>
          <cell r="E401">
            <v>37198.646399999998</v>
          </cell>
          <cell r="F401">
            <v>39489.776400000002</v>
          </cell>
          <cell r="G401">
            <v>41390.9064</v>
          </cell>
          <cell r="H401">
            <v>39575.985919699997</v>
          </cell>
          <cell r="I401">
            <v>39502.3319883</v>
          </cell>
          <cell r="J401">
            <v>40473.788310700002</v>
          </cell>
          <cell r="K401">
            <v>37898.9632078</v>
          </cell>
          <cell r="L401">
            <v>38560.160796800003</v>
          </cell>
          <cell r="M401">
            <v>31996.132145700001</v>
          </cell>
          <cell r="N401">
            <v>31212.899637099999</v>
          </cell>
        </row>
        <row r="402">
          <cell r="A402" t="str">
            <v>A_S6030091</v>
          </cell>
          <cell r="B402" t="str">
            <v>Settled Empl Exp - Employee Appreciation and Gift Cards</v>
          </cell>
          <cell r="C402">
            <v>25</v>
          </cell>
          <cell r="D402">
            <v>0</v>
          </cell>
          <cell r="E402">
            <v>10</v>
          </cell>
          <cell r="F402">
            <v>1719.76</v>
          </cell>
          <cell r="G402">
            <v>172.52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 t="str">
            <v>A_S6030800</v>
          </cell>
          <cell r="B403" t="str">
            <v>Settled Empl Exp - Miscellaneous Expense</v>
          </cell>
          <cell r="C403">
            <v>109376.0828316</v>
          </cell>
          <cell r="D403">
            <v>126726.0828316</v>
          </cell>
          <cell r="E403">
            <v>130876.0828316</v>
          </cell>
          <cell r="F403">
            <v>165495.34792679999</v>
          </cell>
          <cell r="G403">
            <v>116989.0779268</v>
          </cell>
          <cell r="H403">
            <v>129191.1060771</v>
          </cell>
          <cell r="I403">
            <v>122264.394132</v>
          </cell>
          <cell r="J403">
            <v>138141.94618570001</v>
          </cell>
          <cell r="K403">
            <v>139564.26842919999</v>
          </cell>
          <cell r="L403">
            <v>145747.0986121</v>
          </cell>
          <cell r="M403">
            <v>127282.6787032</v>
          </cell>
          <cell r="N403">
            <v>130273.55681759999</v>
          </cell>
        </row>
        <row r="404">
          <cell r="A404" t="str">
            <v>A_S6100000</v>
          </cell>
          <cell r="B404" t="str">
            <v>Settled Outside Services Expense</v>
          </cell>
          <cell r="C404">
            <v>69449.295833299999</v>
          </cell>
          <cell r="D404">
            <v>69689.295833299999</v>
          </cell>
          <cell r="E404">
            <v>110414.2958333</v>
          </cell>
          <cell r="F404">
            <v>70185.495833299996</v>
          </cell>
          <cell r="G404">
            <v>71684.295833299999</v>
          </cell>
          <cell r="H404">
            <v>151109.29583330001</v>
          </cell>
          <cell r="I404">
            <v>69449.295833299999</v>
          </cell>
          <cell r="J404">
            <v>69449.295833299999</v>
          </cell>
          <cell r="K404">
            <v>110414.2958333</v>
          </cell>
          <cell r="L404">
            <v>69449.295833299999</v>
          </cell>
          <cell r="M404">
            <v>353163.58154759998</v>
          </cell>
          <cell r="N404">
            <v>110414.2958333</v>
          </cell>
        </row>
        <row r="405">
          <cell r="A405" t="str">
            <v>A_S6100010</v>
          </cell>
          <cell r="B405" t="str">
            <v>Settled Advertising</v>
          </cell>
          <cell r="C405">
            <v>5720</v>
          </cell>
          <cell r="D405">
            <v>5720</v>
          </cell>
          <cell r="E405">
            <v>9652.1450000000004</v>
          </cell>
          <cell r="F405">
            <v>5720</v>
          </cell>
          <cell r="G405">
            <v>5720</v>
          </cell>
          <cell r="H405">
            <v>19652.145</v>
          </cell>
          <cell r="I405">
            <v>5720</v>
          </cell>
          <cell r="J405">
            <v>30720</v>
          </cell>
          <cell r="K405">
            <v>9652.1450000000004</v>
          </cell>
          <cell r="L405">
            <v>5720</v>
          </cell>
          <cell r="M405">
            <v>5720</v>
          </cell>
          <cell r="N405">
            <v>9652.1450000000004</v>
          </cell>
        </row>
        <row r="406">
          <cell r="A406" t="str">
            <v>A_S6100030</v>
          </cell>
          <cell r="B406" t="str">
            <v>Settled Consultants - Audit</v>
          </cell>
          <cell r="C406">
            <v>0</v>
          </cell>
          <cell r="D406">
            <v>0</v>
          </cell>
          <cell r="E406">
            <v>78112.5</v>
          </cell>
          <cell r="F406">
            <v>0</v>
          </cell>
          <cell r="G406">
            <v>0</v>
          </cell>
          <cell r="H406">
            <v>78112.5</v>
          </cell>
          <cell r="I406">
            <v>0</v>
          </cell>
          <cell r="J406">
            <v>0</v>
          </cell>
          <cell r="K406">
            <v>78112.5</v>
          </cell>
          <cell r="L406">
            <v>0</v>
          </cell>
          <cell r="M406">
            <v>0</v>
          </cell>
          <cell r="N406">
            <v>78112.5</v>
          </cell>
        </row>
        <row r="407">
          <cell r="A407" t="str">
            <v>A_S6100060</v>
          </cell>
          <cell r="B407" t="str">
            <v>Settled Consultants - Legal</v>
          </cell>
          <cell r="C407">
            <v>55000</v>
          </cell>
          <cell r="D407">
            <v>99609.1</v>
          </cell>
          <cell r="E407">
            <v>99609.1</v>
          </cell>
          <cell r="F407">
            <v>99609.1</v>
          </cell>
          <cell r="G407">
            <v>99609.1</v>
          </cell>
          <cell r="H407">
            <v>99609.1</v>
          </cell>
          <cell r="I407">
            <v>99609.1</v>
          </cell>
          <cell r="J407">
            <v>99609.1</v>
          </cell>
          <cell r="K407">
            <v>99609.1</v>
          </cell>
          <cell r="L407">
            <v>99609.1</v>
          </cell>
          <cell r="M407">
            <v>99609.1</v>
          </cell>
          <cell r="N407">
            <v>405000</v>
          </cell>
        </row>
        <row r="408">
          <cell r="A408" t="str">
            <v>A_S6100070</v>
          </cell>
          <cell r="B408" t="str">
            <v>Settled Consultants - Management</v>
          </cell>
          <cell r="C408">
            <v>8333.3333332999991</v>
          </cell>
          <cell r="D408">
            <v>8333.3333332999991</v>
          </cell>
          <cell r="E408">
            <v>8333.3333332999991</v>
          </cell>
          <cell r="F408">
            <v>8333.3333332999991</v>
          </cell>
          <cell r="G408">
            <v>8333.3333332999991</v>
          </cell>
          <cell r="H408">
            <v>8333.3333332999991</v>
          </cell>
          <cell r="I408">
            <v>8333.3333332999991</v>
          </cell>
          <cell r="J408">
            <v>8333.3333332999991</v>
          </cell>
          <cell r="K408">
            <v>8333.3333332999991</v>
          </cell>
          <cell r="L408">
            <v>8333.3333332999991</v>
          </cell>
          <cell r="M408">
            <v>8333.3333332999991</v>
          </cell>
          <cell r="N408">
            <v>8333.3333332999991</v>
          </cell>
        </row>
        <row r="409">
          <cell r="A409" t="str">
            <v>A_S6100080</v>
          </cell>
          <cell r="B409" t="str">
            <v>Settled Consultants - Other</v>
          </cell>
          <cell r="C409">
            <v>306266.36355020001</v>
          </cell>
          <cell r="D409">
            <v>448528.49595930002</v>
          </cell>
          <cell r="E409">
            <v>554887.86582569999</v>
          </cell>
          <cell r="F409">
            <v>456283.04128419998</v>
          </cell>
          <cell r="G409">
            <v>710044.98242779996</v>
          </cell>
          <cell r="H409">
            <v>760244.17852239998</v>
          </cell>
          <cell r="I409">
            <v>615188.40914470004</v>
          </cell>
          <cell r="J409">
            <v>509414.87761069997</v>
          </cell>
          <cell r="K409">
            <v>534103.79302770004</v>
          </cell>
          <cell r="L409">
            <v>460867.28058780002</v>
          </cell>
          <cell r="M409">
            <v>1910449.7530626</v>
          </cell>
          <cell r="N409">
            <v>680256.28210349998</v>
          </cell>
        </row>
        <row r="410">
          <cell r="A410" t="str">
            <v>A_S6100100</v>
          </cell>
          <cell r="B410" t="str">
            <v>Settled Contractor Services</v>
          </cell>
          <cell r="C410">
            <v>1304323.9409060001</v>
          </cell>
          <cell r="D410">
            <v>1313720.8752252001</v>
          </cell>
          <cell r="E410">
            <v>1331233.3998457999</v>
          </cell>
          <cell r="F410">
            <v>1257520.9981789</v>
          </cell>
          <cell r="G410">
            <v>1350259.8749803</v>
          </cell>
          <cell r="H410">
            <v>1295843.8355994001</v>
          </cell>
          <cell r="I410">
            <v>1222246.6781005</v>
          </cell>
          <cell r="J410">
            <v>1251979.4302620001</v>
          </cell>
          <cell r="K410">
            <v>1296703.6327337001</v>
          </cell>
          <cell r="L410">
            <v>1244739.4741396001</v>
          </cell>
          <cell r="M410">
            <v>1377254.7625334</v>
          </cell>
          <cell r="N410">
            <v>1296556.7521581</v>
          </cell>
        </row>
        <row r="411">
          <cell r="A411" t="str">
            <v>A_S6100150</v>
          </cell>
          <cell r="B411" t="str">
            <v>Settled Printing</v>
          </cell>
          <cell r="C411">
            <v>52.428600000000003</v>
          </cell>
          <cell r="D411">
            <v>64.428600000000003</v>
          </cell>
          <cell r="E411">
            <v>52.428600000000003</v>
          </cell>
          <cell r="F411">
            <v>52.428600000000003</v>
          </cell>
          <cell r="G411">
            <v>302.42860000000002</v>
          </cell>
          <cell r="H411">
            <v>52.428600000000003</v>
          </cell>
          <cell r="I411">
            <v>52.428600000000003</v>
          </cell>
          <cell r="J411">
            <v>52.428600000000003</v>
          </cell>
          <cell r="K411">
            <v>52.428600000000003</v>
          </cell>
          <cell r="L411">
            <v>52.428600000000003</v>
          </cell>
          <cell r="M411">
            <v>52.428600000000003</v>
          </cell>
          <cell r="N411">
            <v>52.428600000000003</v>
          </cell>
        </row>
        <row r="412">
          <cell r="A412" t="str">
            <v>A_S6100190</v>
          </cell>
          <cell r="B412" t="str">
            <v>Settled Software Maintenance</v>
          </cell>
          <cell r="C412">
            <v>125778.0494334</v>
          </cell>
          <cell r="D412">
            <v>126778.0494334</v>
          </cell>
          <cell r="E412">
            <v>211417.04943340001</v>
          </cell>
          <cell r="F412">
            <v>132278.04943340001</v>
          </cell>
          <cell r="G412">
            <v>132340.43913340001</v>
          </cell>
          <cell r="H412">
            <v>148350.85943340001</v>
          </cell>
          <cell r="I412">
            <v>197788.53309310001</v>
          </cell>
          <cell r="J412">
            <v>126778.0494334</v>
          </cell>
          <cell r="K412">
            <v>141112.04943340001</v>
          </cell>
          <cell r="L412">
            <v>149257.04943340001</v>
          </cell>
          <cell r="M412">
            <v>131959.04943340001</v>
          </cell>
          <cell r="N412">
            <v>179908.98643339999</v>
          </cell>
        </row>
        <row r="413">
          <cell r="A413" t="str">
            <v>A_S6108999</v>
          </cell>
          <cell r="B413" t="str">
            <v>Settled Outside Services Expense Reclass</v>
          </cell>
          <cell r="C413">
            <v>15250.333333299999</v>
          </cell>
          <cell r="D413">
            <v>15250.333333299999</v>
          </cell>
          <cell r="E413">
            <v>15250.333333299999</v>
          </cell>
          <cell r="F413">
            <v>15250.333333299999</v>
          </cell>
          <cell r="G413">
            <v>15250.333333299999</v>
          </cell>
          <cell r="H413">
            <v>15250.333333299999</v>
          </cell>
          <cell r="I413">
            <v>15250.333333299999</v>
          </cell>
          <cell r="J413">
            <v>15250.333333299999</v>
          </cell>
          <cell r="K413">
            <v>15250.333333299999</v>
          </cell>
          <cell r="L413">
            <v>15250.333333299999</v>
          </cell>
          <cell r="M413">
            <v>15250.333333299999</v>
          </cell>
          <cell r="N413">
            <v>15250.333333299999</v>
          </cell>
        </row>
        <row r="414">
          <cell r="A414" t="str">
            <v>A_S6109000</v>
          </cell>
          <cell r="B414" t="str">
            <v>Settled Outside Services Expense to Balance Sheet</v>
          </cell>
          <cell r="C414">
            <v>-10833</v>
          </cell>
          <cell r="D414">
            <v>-10833</v>
          </cell>
          <cell r="E414">
            <v>-10833</v>
          </cell>
          <cell r="F414">
            <v>-10833</v>
          </cell>
          <cell r="G414">
            <v>-10833</v>
          </cell>
          <cell r="H414">
            <v>-10833</v>
          </cell>
          <cell r="I414">
            <v>-10833</v>
          </cell>
          <cell r="J414">
            <v>-10833</v>
          </cell>
          <cell r="K414">
            <v>-10833</v>
          </cell>
          <cell r="L414">
            <v>-10833</v>
          </cell>
          <cell r="M414">
            <v>-10833</v>
          </cell>
          <cell r="N414">
            <v>-10833</v>
          </cell>
        </row>
        <row r="415">
          <cell r="A415" t="str">
            <v>A_S6400000</v>
          </cell>
          <cell r="B415" t="str">
            <v>Settled Materials &amp; Supplies Expense</v>
          </cell>
          <cell r="C415">
            <v>3607.5231466999999</v>
          </cell>
          <cell r="D415">
            <v>3607.5231466999999</v>
          </cell>
          <cell r="E415">
            <v>3697.5231466999999</v>
          </cell>
          <cell r="F415">
            <v>12774.193146699999</v>
          </cell>
          <cell r="G415">
            <v>3607.5231466999999</v>
          </cell>
          <cell r="H415">
            <v>12864.193146699999</v>
          </cell>
          <cell r="I415">
            <v>3607.5231466999999</v>
          </cell>
          <cell r="J415">
            <v>3607.5231466999999</v>
          </cell>
          <cell r="K415">
            <v>3697.5231466999999</v>
          </cell>
          <cell r="L415">
            <v>12774.193146699999</v>
          </cell>
          <cell r="M415">
            <v>3607.5231466999999</v>
          </cell>
          <cell r="N415">
            <v>3697.5531467000001</v>
          </cell>
        </row>
        <row r="416">
          <cell r="A416" t="str">
            <v>A_S6400010</v>
          </cell>
          <cell r="B416" t="str">
            <v>Settled Mat &amp; Supp - Furniture &amp; Computer</v>
          </cell>
          <cell r="C416">
            <v>5635.8716666999999</v>
          </cell>
          <cell r="D416">
            <v>5563.1416667000003</v>
          </cell>
          <cell r="E416">
            <v>3246.2416667000002</v>
          </cell>
          <cell r="F416">
            <v>3737.9916667000002</v>
          </cell>
          <cell r="G416">
            <v>6233.0916667000001</v>
          </cell>
          <cell r="H416">
            <v>3288.1416666999999</v>
          </cell>
          <cell r="I416">
            <v>3425.6416666999999</v>
          </cell>
          <cell r="J416">
            <v>3263.1416666999999</v>
          </cell>
          <cell r="K416">
            <v>3263.1416666999999</v>
          </cell>
          <cell r="L416">
            <v>3413.1416666999999</v>
          </cell>
          <cell r="M416">
            <v>3263.1416666999999</v>
          </cell>
          <cell r="N416">
            <v>3263.1716667000001</v>
          </cell>
        </row>
        <row r="417">
          <cell r="A417" t="str">
            <v>A_S6400020</v>
          </cell>
          <cell r="B417" t="str">
            <v>Settled Mat &amp; Supp - General and Office</v>
          </cell>
          <cell r="C417">
            <v>11959.0171667</v>
          </cell>
          <cell r="D417">
            <v>11839.167166699999</v>
          </cell>
          <cell r="E417">
            <v>13165.8871667</v>
          </cell>
          <cell r="F417">
            <v>12136.8671667</v>
          </cell>
          <cell r="G417">
            <v>11816.087166699999</v>
          </cell>
          <cell r="H417">
            <v>14939.153240400001</v>
          </cell>
          <cell r="I417">
            <v>15751.653609000001</v>
          </cell>
          <cell r="J417">
            <v>14412.157166700001</v>
          </cell>
          <cell r="K417">
            <v>15184.157166700001</v>
          </cell>
          <cell r="L417">
            <v>14094.157166700001</v>
          </cell>
          <cell r="M417">
            <v>15014.1531292</v>
          </cell>
          <cell r="N417">
            <v>14964.1560402</v>
          </cell>
        </row>
        <row r="418">
          <cell r="A418" t="str">
            <v>A_S6400060</v>
          </cell>
          <cell r="B418" t="str">
            <v>Settled Mat &amp; Supp - Operations Consumables</v>
          </cell>
          <cell r="C418">
            <v>500</v>
          </cell>
          <cell r="D418">
            <v>500</v>
          </cell>
          <cell r="E418">
            <v>500</v>
          </cell>
          <cell r="F418">
            <v>500</v>
          </cell>
          <cell r="G418">
            <v>500</v>
          </cell>
          <cell r="H418">
            <v>500</v>
          </cell>
          <cell r="I418">
            <v>500</v>
          </cell>
          <cell r="J418">
            <v>500</v>
          </cell>
          <cell r="K418">
            <v>500</v>
          </cell>
          <cell r="L418">
            <v>500</v>
          </cell>
          <cell r="M418">
            <v>500</v>
          </cell>
          <cell r="N418">
            <v>500</v>
          </cell>
        </row>
        <row r="419">
          <cell r="A419" t="str">
            <v>A_S6400070</v>
          </cell>
          <cell r="B419" t="str">
            <v>Settled Mat &amp; Supp - Safety/First Aid Supplies</v>
          </cell>
          <cell r="C419">
            <v>0</v>
          </cell>
          <cell r="D419">
            <v>0</v>
          </cell>
          <cell r="E419">
            <v>0</v>
          </cell>
          <cell r="F419">
            <v>1694.93</v>
          </cell>
          <cell r="G419">
            <v>0</v>
          </cell>
          <cell r="H419">
            <v>500</v>
          </cell>
          <cell r="I419">
            <v>500</v>
          </cell>
          <cell r="J419">
            <v>500</v>
          </cell>
          <cell r="K419">
            <v>500</v>
          </cell>
          <cell r="L419">
            <v>500</v>
          </cell>
          <cell r="M419">
            <v>500</v>
          </cell>
          <cell r="N419">
            <v>500</v>
          </cell>
        </row>
        <row r="420">
          <cell r="A420" t="str">
            <v>A_S6400100</v>
          </cell>
          <cell r="B420" t="str">
            <v>Settled Mat &amp; Supp - Outside Material Purchases</v>
          </cell>
          <cell r="C420">
            <v>230929.51323330001</v>
          </cell>
          <cell r="D420">
            <v>231381.15323329999</v>
          </cell>
          <cell r="E420">
            <v>231328.6632333</v>
          </cell>
          <cell r="F420">
            <v>232369.24323329999</v>
          </cell>
          <cell r="G420">
            <v>231341.7532333</v>
          </cell>
          <cell r="H420">
            <v>231309.51323330001</v>
          </cell>
          <cell r="I420">
            <v>231309.51323330001</v>
          </cell>
          <cell r="J420">
            <v>230809.51323330001</v>
          </cell>
          <cell r="K420">
            <v>231309.51323330001</v>
          </cell>
          <cell r="L420">
            <v>231309.51323330001</v>
          </cell>
          <cell r="M420">
            <v>230809.51323330001</v>
          </cell>
          <cell r="N420">
            <v>231309.51323330001</v>
          </cell>
        </row>
        <row r="421">
          <cell r="A421" t="str">
            <v>A_S6400510</v>
          </cell>
          <cell r="B421" t="str">
            <v>Settled Mat &amp; Supp - Small Tools</v>
          </cell>
          <cell r="C421">
            <v>4.8416667000000002</v>
          </cell>
          <cell r="D421">
            <v>4.8416667000000002</v>
          </cell>
          <cell r="E421">
            <v>4.8416667000000002</v>
          </cell>
          <cell r="F421">
            <v>4.8416667000000002</v>
          </cell>
          <cell r="G421">
            <v>4.8416667000000002</v>
          </cell>
          <cell r="H421">
            <v>4.8416667000000002</v>
          </cell>
          <cell r="I421">
            <v>4.8416667000000002</v>
          </cell>
          <cell r="J421">
            <v>4.8416667000000002</v>
          </cell>
          <cell r="K421">
            <v>4.8416667000000002</v>
          </cell>
          <cell r="L421">
            <v>4.8416667000000002</v>
          </cell>
          <cell r="M421">
            <v>4.8416667000000002</v>
          </cell>
          <cell r="N421">
            <v>4.8416667000000002</v>
          </cell>
        </row>
        <row r="422">
          <cell r="A422" t="str">
            <v>A_S6408999</v>
          </cell>
          <cell r="B422" t="str">
            <v>Settled Materials &amp; Supplies Expense Reclass</v>
          </cell>
          <cell r="C422">
            <v>-1000</v>
          </cell>
          <cell r="D422">
            <v>-1000</v>
          </cell>
          <cell r="E422">
            <v>-1000</v>
          </cell>
          <cell r="F422">
            <v>-1000</v>
          </cell>
          <cell r="G422">
            <v>-1000</v>
          </cell>
          <cell r="H422">
            <v>-1000</v>
          </cell>
          <cell r="I422">
            <v>-1000</v>
          </cell>
          <cell r="J422">
            <v>-1000</v>
          </cell>
          <cell r="K422">
            <v>-1000</v>
          </cell>
          <cell r="L422">
            <v>-1000</v>
          </cell>
          <cell r="M422">
            <v>-1000</v>
          </cell>
          <cell r="N422">
            <v>-1000</v>
          </cell>
        </row>
        <row r="423">
          <cell r="A423" t="str">
            <v>A_S6500000</v>
          </cell>
          <cell r="B423" t="str">
            <v>Settled Transportation Expense</v>
          </cell>
          <cell r="C423">
            <v>10645.0356894</v>
          </cell>
          <cell r="D423">
            <v>10645.0356894</v>
          </cell>
          <cell r="E423">
            <v>10645.0356894</v>
          </cell>
          <cell r="F423">
            <v>10645.0356894</v>
          </cell>
          <cell r="G423">
            <v>10645.0356894</v>
          </cell>
          <cell r="H423">
            <v>10645.0356894</v>
          </cell>
          <cell r="I423">
            <v>10645.0356894</v>
          </cell>
          <cell r="J423">
            <v>10645.0356894</v>
          </cell>
          <cell r="K423">
            <v>10645.0356894</v>
          </cell>
          <cell r="L423">
            <v>10645.0356894</v>
          </cell>
          <cell r="M423">
            <v>10645.0356894</v>
          </cell>
          <cell r="N423">
            <v>10645.0356894</v>
          </cell>
        </row>
        <row r="424">
          <cell r="A424" t="str">
            <v>A_S6500010</v>
          </cell>
          <cell r="B424" t="str">
            <v>Settled Transportation - Vehicle expense</v>
          </cell>
          <cell r="C424">
            <v>18396.654323700001</v>
          </cell>
          <cell r="D424">
            <v>18396.654323700001</v>
          </cell>
          <cell r="E424">
            <v>18396.654323700001</v>
          </cell>
          <cell r="F424">
            <v>18396.654323700001</v>
          </cell>
          <cell r="G424">
            <v>18396.654323700001</v>
          </cell>
          <cell r="H424">
            <v>18396.654323700001</v>
          </cell>
          <cell r="I424">
            <v>18396.654323700001</v>
          </cell>
          <cell r="J424">
            <v>18396.654323700001</v>
          </cell>
          <cell r="K424">
            <v>18396.654323700001</v>
          </cell>
          <cell r="L424">
            <v>18396.654323700001</v>
          </cell>
          <cell r="M424">
            <v>18396.654323700001</v>
          </cell>
          <cell r="N424">
            <v>18396.654323700001</v>
          </cell>
        </row>
        <row r="425">
          <cell r="A425" t="str">
            <v>A_S6500015</v>
          </cell>
          <cell r="B425" t="str">
            <v>Settled Transportation - Vehicle Gas</v>
          </cell>
          <cell r="C425">
            <v>400</v>
          </cell>
          <cell r="D425">
            <v>400</v>
          </cell>
          <cell r="E425">
            <v>400</v>
          </cell>
          <cell r="F425">
            <v>400</v>
          </cell>
          <cell r="G425">
            <v>400</v>
          </cell>
          <cell r="H425">
            <v>400</v>
          </cell>
          <cell r="I425">
            <v>400</v>
          </cell>
          <cell r="J425">
            <v>400</v>
          </cell>
          <cell r="K425">
            <v>400</v>
          </cell>
          <cell r="L425">
            <v>400</v>
          </cell>
          <cell r="M425">
            <v>400</v>
          </cell>
          <cell r="N425">
            <v>400</v>
          </cell>
        </row>
        <row r="426">
          <cell r="A426" t="str">
            <v>A_S6700400</v>
          </cell>
          <cell r="B426" t="str">
            <v>Settled Insurance - FPSC Storm Reserve Expense</v>
          </cell>
          <cell r="C426">
            <v>31666.67</v>
          </cell>
          <cell r="D426">
            <v>31666.67</v>
          </cell>
          <cell r="E426">
            <v>31666.67</v>
          </cell>
          <cell r="F426">
            <v>31666.67</v>
          </cell>
          <cell r="G426">
            <v>31666.67</v>
          </cell>
          <cell r="H426">
            <v>31666.67</v>
          </cell>
          <cell r="I426">
            <v>31666.67</v>
          </cell>
          <cell r="J426">
            <v>31666.67</v>
          </cell>
          <cell r="K426">
            <v>31666.67</v>
          </cell>
          <cell r="L426">
            <v>31666.67</v>
          </cell>
          <cell r="M426">
            <v>31666.67</v>
          </cell>
          <cell r="N426">
            <v>31666.67</v>
          </cell>
        </row>
        <row r="427">
          <cell r="A427" t="str">
            <v>A_S6700502</v>
          </cell>
          <cell r="B427" t="str">
            <v>Settled Insurance - Brokerage Fees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65444.58</v>
          </cell>
        </row>
        <row r="428">
          <cell r="A428" t="str">
            <v>A_S6700503</v>
          </cell>
          <cell r="B428" t="str">
            <v>Settled Insurance - Crime &amp; Fidelity</v>
          </cell>
          <cell r="C428">
            <v>904.68</v>
          </cell>
          <cell r="D428">
            <v>904.74</v>
          </cell>
          <cell r="E428">
            <v>904.74</v>
          </cell>
          <cell r="F428">
            <v>904.74</v>
          </cell>
          <cell r="G428">
            <v>904.74</v>
          </cell>
          <cell r="H428">
            <v>904.74</v>
          </cell>
          <cell r="I428">
            <v>904.74</v>
          </cell>
          <cell r="J428">
            <v>904.74</v>
          </cell>
          <cell r="K428">
            <v>904.74</v>
          </cell>
          <cell r="L428">
            <v>904.74</v>
          </cell>
          <cell r="M428">
            <v>904.74</v>
          </cell>
          <cell r="N428">
            <v>904.74</v>
          </cell>
        </row>
        <row r="429">
          <cell r="A429" t="str">
            <v>A_S6700504</v>
          </cell>
          <cell r="B429" t="str">
            <v>Settled Insurance - Directors &amp; Officers</v>
          </cell>
          <cell r="C429">
            <v>9427.25</v>
          </cell>
          <cell r="D429">
            <v>9427.23</v>
          </cell>
          <cell r="E429">
            <v>9427.23</v>
          </cell>
          <cell r="F429">
            <v>9427.23</v>
          </cell>
          <cell r="G429">
            <v>9427.23</v>
          </cell>
          <cell r="H429">
            <v>9427.23</v>
          </cell>
          <cell r="I429">
            <v>9427.23</v>
          </cell>
          <cell r="J429">
            <v>9427.23</v>
          </cell>
          <cell r="K429">
            <v>9427.23</v>
          </cell>
          <cell r="L429">
            <v>9427.23</v>
          </cell>
          <cell r="M429">
            <v>9427.23</v>
          </cell>
          <cell r="N429">
            <v>9427.23</v>
          </cell>
        </row>
        <row r="430">
          <cell r="A430" t="str">
            <v>A_S6700505</v>
          </cell>
          <cell r="B430" t="str">
            <v>Settled Insurance - Errors and Omissions</v>
          </cell>
          <cell r="C430">
            <v>257.08</v>
          </cell>
          <cell r="D430">
            <v>257.08</v>
          </cell>
          <cell r="E430">
            <v>257.08</v>
          </cell>
          <cell r="F430">
            <v>257.08</v>
          </cell>
          <cell r="G430">
            <v>257.08</v>
          </cell>
          <cell r="H430">
            <v>424.19</v>
          </cell>
          <cell r="I430">
            <v>424.18</v>
          </cell>
          <cell r="J430">
            <v>424.18</v>
          </cell>
          <cell r="K430">
            <v>424.18</v>
          </cell>
          <cell r="L430">
            <v>424.18</v>
          </cell>
          <cell r="M430">
            <v>424.18</v>
          </cell>
          <cell r="N430">
            <v>424.18</v>
          </cell>
        </row>
        <row r="431">
          <cell r="A431" t="str">
            <v>A_S6700506</v>
          </cell>
          <cell r="B431" t="str">
            <v>Settled Insurance - Excess Automobile</v>
          </cell>
          <cell r="C431">
            <v>11056.89</v>
          </cell>
          <cell r="D431">
            <v>11056.89</v>
          </cell>
          <cell r="E431">
            <v>11056.89</v>
          </cell>
          <cell r="F431">
            <v>11056.89</v>
          </cell>
          <cell r="G431">
            <v>11056.89</v>
          </cell>
          <cell r="H431">
            <v>12715.41</v>
          </cell>
          <cell r="I431">
            <v>12715.43</v>
          </cell>
          <cell r="J431">
            <v>12715.43</v>
          </cell>
          <cell r="K431">
            <v>12715.43</v>
          </cell>
          <cell r="L431">
            <v>12715.43</v>
          </cell>
          <cell r="M431">
            <v>12715.43</v>
          </cell>
          <cell r="N431">
            <v>12715.43</v>
          </cell>
        </row>
        <row r="432">
          <cell r="A432" t="str">
            <v>A_S6700507</v>
          </cell>
          <cell r="B432" t="str">
            <v>Settled Insurance - Excess General Liability</v>
          </cell>
          <cell r="C432">
            <v>483271.93</v>
          </cell>
          <cell r="D432">
            <v>483271.93</v>
          </cell>
          <cell r="E432">
            <v>483271.93</v>
          </cell>
          <cell r="F432">
            <v>483271.93</v>
          </cell>
          <cell r="G432">
            <v>483271.93</v>
          </cell>
          <cell r="H432">
            <v>545762.65</v>
          </cell>
          <cell r="I432">
            <v>545762.76</v>
          </cell>
          <cell r="J432">
            <v>545762.76</v>
          </cell>
          <cell r="K432">
            <v>545762.76</v>
          </cell>
          <cell r="L432">
            <v>545762.76</v>
          </cell>
          <cell r="M432">
            <v>545762.76</v>
          </cell>
          <cell r="N432">
            <v>545762.76</v>
          </cell>
        </row>
        <row r="433">
          <cell r="A433" t="str">
            <v>A_S6700508</v>
          </cell>
          <cell r="B433" t="str">
            <v>Settled Insurance - Fiduciary</v>
          </cell>
          <cell r="C433">
            <v>813.14</v>
          </cell>
          <cell r="D433">
            <v>813.15</v>
          </cell>
          <cell r="E433">
            <v>813.15</v>
          </cell>
          <cell r="F433">
            <v>813.15</v>
          </cell>
          <cell r="G433">
            <v>813.15</v>
          </cell>
          <cell r="H433">
            <v>813.15</v>
          </cell>
          <cell r="I433">
            <v>813.15</v>
          </cell>
          <cell r="J433">
            <v>813.15</v>
          </cell>
          <cell r="K433">
            <v>813.15</v>
          </cell>
          <cell r="L433">
            <v>813.15</v>
          </cell>
          <cell r="M433">
            <v>813.15</v>
          </cell>
          <cell r="N433">
            <v>813.15</v>
          </cell>
        </row>
        <row r="434">
          <cell r="A434" t="str">
            <v>A_S6700514</v>
          </cell>
          <cell r="B434" t="str">
            <v>Settled Insurance - Property</v>
          </cell>
          <cell r="C434">
            <v>6573.56</v>
          </cell>
          <cell r="D434">
            <v>6573.52</v>
          </cell>
          <cell r="E434">
            <v>9206.6299999999992</v>
          </cell>
          <cell r="F434">
            <v>9206.61</v>
          </cell>
          <cell r="G434">
            <v>9206.61</v>
          </cell>
          <cell r="H434">
            <v>9206.61</v>
          </cell>
          <cell r="I434">
            <v>9206.61</v>
          </cell>
          <cell r="J434">
            <v>9206.61</v>
          </cell>
          <cell r="K434">
            <v>9206.61</v>
          </cell>
          <cell r="L434">
            <v>9206.61</v>
          </cell>
          <cell r="M434">
            <v>9206.61</v>
          </cell>
          <cell r="N434">
            <v>9206.61</v>
          </cell>
        </row>
        <row r="435">
          <cell r="A435" t="str">
            <v>A_S6700515</v>
          </cell>
          <cell r="B435" t="str">
            <v>Settled Insurance - Punitive Damages</v>
          </cell>
          <cell r="C435">
            <v>2834.59</v>
          </cell>
          <cell r="D435">
            <v>2834.59</v>
          </cell>
          <cell r="E435">
            <v>2834.59</v>
          </cell>
          <cell r="F435">
            <v>2834.59</v>
          </cell>
          <cell r="G435">
            <v>2834.59</v>
          </cell>
          <cell r="H435">
            <v>3118</v>
          </cell>
          <cell r="I435">
            <v>3118.05</v>
          </cell>
          <cell r="J435">
            <v>3118.05</v>
          </cell>
          <cell r="K435">
            <v>3118.05</v>
          </cell>
          <cell r="L435">
            <v>3118.05</v>
          </cell>
          <cell r="M435">
            <v>3118.05</v>
          </cell>
          <cell r="N435">
            <v>3118.05</v>
          </cell>
        </row>
        <row r="436">
          <cell r="A436" t="str">
            <v>A_S6700516</v>
          </cell>
          <cell r="B436" t="str">
            <v>Settled Insurance - Special Risk</v>
          </cell>
          <cell r="C436">
            <v>97.05</v>
          </cell>
          <cell r="D436">
            <v>97.11</v>
          </cell>
          <cell r="E436">
            <v>97.11</v>
          </cell>
          <cell r="F436">
            <v>97.11</v>
          </cell>
          <cell r="G436">
            <v>97.11</v>
          </cell>
          <cell r="H436">
            <v>97.11</v>
          </cell>
          <cell r="I436">
            <v>97.11</v>
          </cell>
          <cell r="J436">
            <v>97.11</v>
          </cell>
          <cell r="K436">
            <v>97.11</v>
          </cell>
          <cell r="L436">
            <v>97.11</v>
          </cell>
          <cell r="M436">
            <v>97.11</v>
          </cell>
          <cell r="N436">
            <v>97.11</v>
          </cell>
        </row>
        <row r="437">
          <cell r="A437" t="str">
            <v>A_S6700517</v>
          </cell>
          <cell r="B437" t="str">
            <v>Settled Insurance - Surety Bonds</v>
          </cell>
          <cell r="C437">
            <v>1375</v>
          </cell>
          <cell r="D437">
            <v>1375</v>
          </cell>
          <cell r="E437">
            <v>1375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16500</v>
          </cell>
        </row>
        <row r="438">
          <cell r="A438" t="str">
            <v>A_S6700518</v>
          </cell>
          <cell r="B438" t="str">
            <v>Settled Insurance - Travel Accident</v>
          </cell>
          <cell r="C438">
            <v>76.09</v>
          </cell>
          <cell r="D438">
            <v>76.03</v>
          </cell>
          <cell r="E438">
            <v>76.03</v>
          </cell>
          <cell r="F438">
            <v>76.03</v>
          </cell>
          <cell r="G438">
            <v>76.03</v>
          </cell>
          <cell r="H438">
            <v>76.03</v>
          </cell>
          <cell r="I438">
            <v>76.03</v>
          </cell>
          <cell r="J438">
            <v>76.03</v>
          </cell>
          <cell r="K438">
            <v>76.03</v>
          </cell>
          <cell r="L438">
            <v>76.03</v>
          </cell>
          <cell r="M438">
            <v>76.03</v>
          </cell>
          <cell r="N438">
            <v>76.03</v>
          </cell>
        </row>
        <row r="439">
          <cell r="A439" t="str">
            <v>A_S6700519</v>
          </cell>
          <cell r="B439" t="str">
            <v>Settled Insurance - Workers Compensation - Exces</v>
          </cell>
          <cell r="C439">
            <v>8859.26</v>
          </cell>
          <cell r="D439">
            <v>8859.26</v>
          </cell>
          <cell r="E439">
            <v>10060.19</v>
          </cell>
          <cell r="F439">
            <v>8859.26</v>
          </cell>
          <cell r="G439">
            <v>8859.26</v>
          </cell>
          <cell r="H439">
            <v>10998.22</v>
          </cell>
          <cell r="I439">
            <v>9797.35</v>
          </cell>
          <cell r="J439">
            <v>9797.35</v>
          </cell>
          <cell r="K439">
            <v>10998.28</v>
          </cell>
          <cell r="L439">
            <v>9797.35</v>
          </cell>
          <cell r="M439">
            <v>9797.35</v>
          </cell>
          <cell r="N439">
            <v>10998.28</v>
          </cell>
        </row>
        <row r="440">
          <cell r="A440" t="str">
            <v>A_S6700599</v>
          </cell>
          <cell r="B440" t="str">
            <v>Settled Insurance - Other</v>
          </cell>
          <cell r="C440">
            <v>8953.7000000000007</v>
          </cell>
          <cell r="D440">
            <v>8953.7000000000007</v>
          </cell>
          <cell r="E440">
            <v>8953.7000000000007</v>
          </cell>
          <cell r="F440">
            <v>8953.7000000000007</v>
          </cell>
          <cell r="G440">
            <v>9036.86</v>
          </cell>
          <cell r="H440">
            <v>9036.8799999999992</v>
          </cell>
          <cell r="I440">
            <v>9036.8799999999992</v>
          </cell>
          <cell r="J440">
            <v>13337.78</v>
          </cell>
          <cell r="K440">
            <v>13337.8</v>
          </cell>
          <cell r="L440">
            <v>13392.99</v>
          </cell>
          <cell r="M440">
            <v>13392.95</v>
          </cell>
          <cell r="N440">
            <v>13392.95</v>
          </cell>
        </row>
        <row r="441">
          <cell r="A441" t="str">
            <v>A_S6710040</v>
          </cell>
          <cell r="B441" t="str">
            <v>Settled Short-term Rent - Office Space</v>
          </cell>
          <cell r="C441">
            <v>0</v>
          </cell>
          <cell r="D441">
            <v>3044.57</v>
          </cell>
          <cell r="E441">
            <v>1217.83</v>
          </cell>
          <cell r="F441">
            <v>2131.1999999999998</v>
          </cell>
          <cell r="G441">
            <v>2131.1999999999998</v>
          </cell>
          <cell r="H441">
            <v>2131.1999999999998</v>
          </cell>
          <cell r="I441">
            <v>2131.1999999999998</v>
          </cell>
          <cell r="J441">
            <v>2131.1999999999998</v>
          </cell>
          <cell r="K441">
            <v>2131.1999999999998</v>
          </cell>
          <cell r="L441">
            <v>2131.1999999999998</v>
          </cell>
          <cell r="M441">
            <v>2131.1999999999998</v>
          </cell>
          <cell r="N441">
            <v>2131.1999999999998</v>
          </cell>
        </row>
        <row r="442">
          <cell r="A442" t="str">
            <v>A_S6710050</v>
          </cell>
          <cell r="B442" t="str">
            <v>Settled Short-term Rent - Right of way</v>
          </cell>
          <cell r="C442">
            <v>3283.5</v>
          </cell>
          <cell r="D442">
            <v>11069.9</v>
          </cell>
          <cell r="E442">
            <v>4391.07</v>
          </cell>
          <cell r="F442">
            <v>2069.9</v>
          </cell>
          <cell r="G442">
            <v>12405.71</v>
          </cell>
          <cell r="H442">
            <v>11152.9</v>
          </cell>
          <cell r="I442">
            <v>3909.5</v>
          </cell>
          <cell r="J442">
            <v>10948.5</v>
          </cell>
          <cell r="K442">
            <v>3569.9</v>
          </cell>
          <cell r="L442">
            <v>2069.9</v>
          </cell>
          <cell r="M442">
            <v>89712.499500000005</v>
          </cell>
          <cell r="N442">
            <v>40091.9</v>
          </cell>
        </row>
        <row r="443">
          <cell r="A443" t="str">
            <v>A_S6710800</v>
          </cell>
          <cell r="B443" t="str">
            <v>Settled Short-term Rent - Other</v>
          </cell>
          <cell r="C443">
            <v>1805.8708333</v>
          </cell>
          <cell r="D443">
            <v>2445.4308332999999</v>
          </cell>
          <cell r="E443">
            <v>1805.8708333</v>
          </cell>
          <cell r="F443">
            <v>2103.5808333</v>
          </cell>
          <cell r="G443">
            <v>10433.3708333</v>
          </cell>
          <cell r="H443">
            <v>1805.8708333</v>
          </cell>
          <cell r="I443">
            <v>2195.8708333</v>
          </cell>
          <cell r="J443">
            <v>1805.8708333</v>
          </cell>
          <cell r="K443">
            <v>1805.8708333</v>
          </cell>
          <cell r="L443">
            <v>1805.8708333</v>
          </cell>
          <cell r="M443">
            <v>75381.870833299996</v>
          </cell>
          <cell r="N443">
            <v>1805.8708333</v>
          </cell>
        </row>
        <row r="444">
          <cell r="A444" t="str">
            <v>A_S6720010</v>
          </cell>
          <cell r="B444" t="str">
            <v>Settled Long-term Lease - Building</v>
          </cell>
          <cell r="C444">
            <v>25378.333333300001</v>
          </cell>
          <cell r="D444">
            <v>25378.333333300001</v>
          </cell>
          <cell r="E444">
            <v>25378.333333300001</v>
          </cell>
          <cell r="F444">
            <v>25378.333333300001</v>
          </cell>
          <cell r="G444">
            <v>25378.333333300001</v>
          </cell>
          <cell r="H444">
            <v>25378.333333300001</v>
          </cell>
          <cell r="I444">
            <v>25378.333333300001</v>
          </cell>
          <cell r="J444">
            <v>25378.333333300001</v>
          </cell>
          <cell r="K444">
            <v>25378.333333300001</v>
          </cell>
          <cell r="L444">
            <v>25378.333333300001</v>
          </cell>
          <cell r="M444">
            <v>25378.333333300001</v>
          </cell>
          <cell r="N444">
            <v>25378.333333300001</v>
          </cell>
        </row>
        <row r="445">
          <cell r="A445" t="str">
            <v>A_S6720800</v>
          </cell>
          <cell r="B445" t="str">
            <v>Settled Long-term Lease - Other</v>
          </cell>
          <cell r="C445">
            <v>1494.7633333000001</v>
          </cell>
          <cell r="D445">
            <v>1494.7633333000001</v>
          </cell>
          <cell r="E445">
            <v>1494.7633333000001</v>
          </cell>
          <cell r="F445">
            <v>1494.7633333000001</v>
          </cell>
          <cell r="G445">
            <v>1494.7633333000001</v>
          </cell>
          <cell r="H445">
            <v>1494.7633333000001</v>
          </cell>
          <cell r="I445">
            <v>1494.7633333000001</v>
          </cell>
          <cell r="J445">
            <v>1494.7633333000001</v>
          </cell>
          <cell r="K445">
            <v>1494.7633333000001</v>
          </cell>
          <cell r="L445">
            <v>1494.7633333000001</v>
          </cell>
          <cell r="M445">
            <v>1494.7633333000001</v>
          </cell>
          <cell r="N445">
            <v>1494.7633333000001</v>
          </cell>
        </row>
        <row r="446">
          <cell r="A446" t="str">
            <v>A_S6730000</v>
          </cell>
          <cell r="B446" t="str">
            <v>Settled Utilities Expense</v>
          </cell>
          <cell r="C446">
            <v>1407.3291029</v>
          </cell>
          <cell r="D446">
            <v>1407.3291029</v>
          </cell>
          <cell r="E446">
            <v>1407.3291029</v>
          </cell>
          <cell r="F446">
            <v>1407.3291029</v>
          </cell>
          <cell r="G446">
            <v>1407.3291029</v>
          </cell>
          <cell r="H446">
            <v>1407.3291029</v>
          </cell>
          <cell r="I446">
            <v>1407.3291029</v>
          </cell>
          <cell r="J446">
            <v>1407.3291029</v>
          </cell>
          <cell r="K446">
            <v>1407.3291029</v>
          </cell>
          <cell r="L446">
            <v>1407.3291029</v>
          </cell>
          <cell r="M446">
            <v>1407.3291029</v>
          </cell>
          <cell r="N446">
            <v>1407.3291029</v>
          </cell>
        </row>
        <row r="447">
          <cell r="A447" t="str">
            <v>A_S6730010</v>
          </cell>
          <cell r="B447" t="str">
            <v>Settled Utilities - Electricity</v>
          </cell>
          <cell r="C447">
            <v>50</v>
          </cell>
          <cell r="D447">
            <v>50</v>
          </cell>
          <cell r="E447">
            <v>50</v>
          </cell>
          <cell r="F447">
            <v>50</v>
          </cell>
          <cell r="G447">
            <v>50</v>
          </cell>
          <cell r="H447">
            <v>50</v>
          </cell>
          <cell r="I447">
            <v>50</v>
          </cell>
          <cell r="J447">
            <v>50</v>
          </cell>
          <cell r="K447">
            <v>50</v>
          </cell>
          <cell r="L447">
            <v>50</v>
          </cell>
          <cell r="M447">
            <v>50</v>
          </cell>
          <cell r="N447">
            <v>50</v>
          </cell>
        </row>
        <row r="448">
          <cell r="A448" t="str">
            <v>A_S6730030</v>
          </cell>
          <cell r="B448" t="str">
            <v>Settled Utilities - Telecom</v>
          </cell>
          <cell r="C448">
            <v>216987.2502098</v>
          </cell>
          <cell r="D448">
            <v>216987.2502098</v>
          </cell>
          <cell r="E448">
            <v>217038.9102098</v>
          </cell>
          <cell r="F448">
            <v>217017.49020979999</v>
          </cell>
          <cell r="G448">
            <v>217017.49020979999</v>
          </cell>
          <cell r="H448">
            <v>217424.17020980001</v>
          </cell>
          <cell r="I448">
            <v>217394.17020980001</v>
          </cell>
          <cell r="J448">
            <v>217364.17020980001</v>
          </cell>
          <cell r="K448">
            <v>217364.17020980001</v>
          </cell>
          <cell r="L448">
            <v>217364.17020980001</v>
          </cell>
          <cell r="M448">
            <v>217364.1902098</v>
          </cell>
          <cell r="N448">
            <v>217364.1902098</v>
          </cell>
        </row>
        <row r="449">
          <cell r="A449" t="str">
            <v>A_S6730800</v>
          </cell>
          <cell r="B449" t="str">
            <v>Settled Utilities - Other</v>
          </cell>
          <cell r="C449">
            <v>-4108.8377382999997</v>
          </cell>
          <cell r="D449">
            <v>-4108.8377382999997</v>
          </cell>
          <cell r="E449">
            <v>-4108.8377382999997</v>
          </cell>
          <cell r="F449">
            <v>-4108.8377382999997</v>
          </cell>
          <cell r="G449">
            <v>-4108.8377382999997</v>
          </cell>
          <cell r="H449">
            <v>-4108.8377382999997</v>
          </cell>
          <cell r="I449">
            <v>-4108.8377382999997</v>
          </cell>
          <cell r="J449">
            <v>-4108.8377382999997</v>
          </cell>
          <cell r="K449">
            <v>-4108.8377382999997</v>
          </cell>
          <cell r="L449">
            <v>-4108.8377382999997</v>
          </cell>
          <cell r="M449">
            <v>-4108.8377382999997</v>
          </cell>
          <cell r="N449">
            <v>-4108.8377382999997</v>
          </cell>
        </row>
        <row r="450">
          <cell r="A450" t="str">
            <v>A_S6780000</v>
          </cell>
          <cell r="B450" t="str">
            <v>Settled Miscellaneous Billing Expense</v>
          </cell>
          <cell r="C450">
            <v>-1800</v>
          </cell>
          <cell r="D450">
            <v>-1800</v>
          </cell>
          <cell r="E450">
            <v>-1800</v>
          </cell>
          <cell r="F450">
            <v>-1800</v>
          </cell>
          <cell r="G450">
            <v>-1800</v>
          </cell>
          <cell r="H450">
            <v>-1800</v>
          </cell>
          <cell r="I450">
            <v>-1800</v>
          </cell>
          <cell r="J450">
            <v>-1800</v>
          </cell>
          <cell r="K450">
            <v>-1800</v>
          </cell>
          <cell r="L450">
            <v>-1800</v>
          </cell>
          <cell r="M450">
            <v>-1800</v>
          </cell>
          <cell r="N450">
            <v>-1800</v>
          </cell>
        </row>
        <row r="451">
          <cell r="A451" t="str">
            <v>A_S6780040</v>
          </cell>
          <cell r="B451" t="str">
            <v>Settled Miscellaneous Billing Exp Damaged Facili</v>
          </cell>
          <cell r="C451">
            <v>-58292.927166499998</v>
          </cell>
          <cell r="D451">
            <v>-58292.927166499998</v>
          </cell>
          <cell r="E451">
            <v>-58292.927166499998</v>
          </cell>
          <cell r="F451">
            <v>-58292.927166499998</v>
          </cell>
          <cell r="G451">
            <v>-58292.927166499998</v>
          </cell>
          <cell r="H451">
            <v>-58292.927166499998</v>
          </cell>
          <cell r="I451">
            <v>-58292.927166499998</v>
          </cell>
          <cell r="J451">
            <v>-58292.927166499998</v>
          </cell>
          <cell r="K451">
            <v>-58292.927166499998</v>
          </cell>
          <cell r="L451">
            <v>-58292.927166499998</v>
          </cell>
          <cell r="M451">
            <v>-58292.927166499998</v>
          </cell>
          <cell r="N451">
            <v>-58292.927166499998</v>
          </cell>
        </row>
        <row r="452">
          <cell r="A452" t="str">
            <v>A_S6780800</v>
          </cell>
          <cell r="B452" t="str">
            <v>Settled Miscellaneous Billing Exp General</v>
          </cell>
          <cell r="C452">
            <v>-8563.1715000000004</v>
          </cell>
          <cell r="D452">
            <v>-8563.1715000000004</v>
          </cell>
          <cell r="E452">
            <v>-8563.1715000000004</v>
          </cell>
          <cell r="F452">
            <v>-8563.1715000000004</v>
          </cell>
          <cell r="G452">
            <v>-8563.1715000000004</v>
          </cell>
          <cell r="H452">
            <v>-8563.1715000000004</v>
          </cell>
          <cell r="I452">
            <v>-8563.1715000000004</v>
          </cell>
          <cell r="J452">
            <v>-8563.1715000000004</v>
          </cell>
          <cell r="K452">
            <v>-8563.1715000000004</v>
          </cell>
          <cell r="L452">
            <v>-8563.1715000000004</v>
          </cell>
          <cell r="M452">
            <v>-8563.1715000000004</v>
          </cell>
          <cell r="N452">
            <v>-8563.1715000000004</v>
          </cell>
        </row>
        <row r="453">
          <cell r="A453" t="str">
            <v>A_S6790000</v>
          </cell>
          <cell r="B453" t="str">
            <v>Settled Other Operational Expense</v>
          </cell>
          <cell r="C453">
            <v>10000</v>
          </cell>
          <cell r="D453">
            <v>0</v>
          </cell>
          <cell r="E453">
            <v>0</v>
          </cell>
          <cell r="F453">
            <v>10000</v>
          </cell>
          <cell r="G453">
            <v>0</v>
          </cell>
          <cell r="H453">
            <v>42000</v>
          </cell>
          <cell r="I453">
            <v>10000</v>
          </cell>
          <cell r="J453">
            <v>0</v>
          </cell>
          <cell r="K453">
            <v>0</v>
          </cell>
          <cell r="L453">
            <v>10000</v>
          </cell>
          <cell r="M453">
            <v>0</v>
          </cell>
          <cell r="N453">
            <v>0</v>
          </cell>
        </row>
        <row r="454">
          <cell r="A454" t="str">
            <v>A_S6790010</v>
          </cell>
          <cell r="B454" t="str">
            <v>Settled Bad Debt Expense AR CIS</v>
          </cell>
          <cell r="C454">
            <v>148153.6126081</v>
          </cell>
          <cell r="D454">
            <v>148153.6126081</v>
          </cell>
          <cell r="E454">
            <v>148153.6126081</v>
          </cell>
          <cell r="F454">
            <v>148153.6126081</v>
          </cell>
          <cell r="G454">
            <v>148153.6126081</v>
          </cell>
          <cell r="H454">
            <v>148153.6126081</v>
          </cell>
          <cell r="I454">
            <v>148153.6126081</v>
          </cell>
          <cell r="J454">
            <v>148153.6126081</v>
          </cell>
          <cell r="K454">
            <v>148153.6126081</v>
          </cell>
          <cell r="L454">
            <v>148153.6126081</v>
          </cell>
          <cell r="M454">
            <v>148153.6126081</v>
          </cell>
          <cell r="N454">
            <v>148153.6126081</v>
          </cell>
        </row>
        <row r="455">
          <cell r="A455" t="str">
            <v>A_S6790030</v>
          </cell>
          <cell r="B455" t="str">
            <v>Settled Director's Expenses</v>
          </cell>
          <cell r="C455">
            <v>0</v>
          </cell>
          <cell r="D455">
            <v>0</v>
          </cell>
          <cell r="E455">
            <v>35000</v>
          </cell>
          <cell r="F455">
            <v>0</v>
          </cell>
          <cell r="G455">
            <v>0</v>
          </cell>
          <cell r="H455">
            <v>35000</v>
          </cell>
          <cell r="I455">
            <v>0</v>
          </cell>
          <cell r="J455">
            <v>0</v>
          </cell>
          <cell r="K455">
            <v>35000</v>
          </cell>
          <cell r="L455">
            <v>0</v>
          </cell>
          <cell r="M455">
            <v>0</v>
          </cell>
          <cell r="N455">
            <v>35000</v>
          </cell>
        </row>
        <row r="456">
          <cell r="A456" t="str">
            <v>A_S6790055</v>
          </cell>
          <cell r="B456" t="str">
            <v>Settled Economic Development</v>
          </cell>
          <cell r="C456">
            <v>30000</v>
          </cell>
          <cell r="D456">
            <v>30000</v>
          </cell>
          <cell r="E456">
            <v>30000</v>
          </cell>
          <cell r="F456">
            <v>30000</v>
          </cell>
          <cell r="G456">
            <v>30000</v>
          </cell>
          <cell r="H456">
            <v>30000</v>
          </cell>
          <cell r="I456">
            <v>30000</v>
          </cell>
          <cell r="J456">
            <v>30000</v>
          </cell>
          <cell r="K456">
            <v>30000</v>
          </cell>
          <cell r="L456">
            <v>30000</v>
          </cell>
          <cell r="M456">
            <v>30000</v>
          </cell>
          <cell r="N456">
            <v>30000</v>
          </cell>
        </row>
        <row r="457">
          <cell r="A457" t="str">
            <v>A_S6790060</v>
          </cell>
          <cell r="B457" t="str">
            <v>Settled Industry Dues</v>
          </cell>
          <cell r="C457">
            <v>341235.73</v>
          </cell>
          <cell r="D457">
            <v>57930.833400000003</v>
          </cell>
          <cell r="E457">
            <v>222255</v>
          </cell>
          <cell r="F457">
            <v>70430.833400000003</v>
          </cell>
          <cell r="G457">
            <v>20000</v>
          </cell>
          <cell r="H457">
            <v>2000</v>
          </cell>
          <cell r="I457">
            <v>63930.833400000003</v>
          </cell>
          <cell r="J457">
            <v>2000</v>
          </cell>
          <cell r="K457">
            <v>2000</v>
          </cell>
          <cell r="L457">
            <v>57930.833400000003</v>
          </cell>
          <cell r="M457">
            <v>2000</v>
          </cell>
          <cell r="N457">
            <v>2000</v>
          </cell>
        </row>
        <row r="458">
          <cell r="A458" t="str">
            <v>A_S6790090</v>
          </cell>
          <cell r="B458" t="str">
            <v>Settled Donations - Charitable (501c)</v>
          </cell>
          <cell r="C458">
            <v>23450</v>
          </cell>
          <cell r="D458">
            <v>23450</v>
          </cell>
          <cell r="E458">
            <v>23450</v>
          </cell>
          <cell r="F458">
            <v>23450</v>
          </cell>
          <cell r="G458">
            <v>23450</v>
          </cell>
          <cell r="H458">
            <v>23450</v>
          </cell>
          <cell r="I458">
            <v>23450</v>
          </cell>
          <cell r="J458">
            <v>23450</v>
          </cell>
          <cell r="K458">
            <v>23450</v>
          </cell>
          <cell r="L458">
            <v>23450</v>
          </cell>
          <cell r="M458">
            <v>23450</v>
          </cell>
          <cell r="N458">
            <v>48450</v>
          </cell>
        </row>
        <row r="459">
          <cell r="A459" t="str">
            <v>A_S6790091</v>
          </cell>
          <cell r="B459" t="str">
            <v>Settled Donations - Non deductible</v>
          </cell>
          <cell r="C459">
            <v>9170</v>
          </cell>
          <cell r="D459">
            <v>9170</v>
          </cell>
          <cell r="E459">
            <v>9170</v>
          </cell>
          <cell r="F459">
            <v>9170</v>
          </cell>
          <cell r="G459">
            <v>9170</v>
          </cell>
          <cell r="H459">
            <v>9170</v>
          </cell>
          <cell r="I459">
            <v>9170</v>
          </cell>
          <cell r="J459">
            <v>9170</v>
          </cell>
          <cell r="K459">
            <v>9170</v>
          </cell>
          <cell r="L459">
            <v>9170</v>
          </cell>
          <cell r="M459">
            <v>9170</v>
          </cell>
          <cell r="N459">
            <v>34170</v>
          </cell>
        </row>
        <row r="460">
          <cell r="A460" t="str">
            <v>A_S6790092</v>
          </cell>
          <cell r="B460" t="str">
            <v>Settled Donations - Other</v>
          </cell>
          <cell r="C460">
            <v>4670</v>
          </cell>
          <cell r="D460">
            <v>4670</v>
          </cell>
          <cell r="E460">
            <v>9670</v>
          </cell>
          <cell r="F460">
            <v>4670</v>
          </cell>
          <cell r="G460">
            <v>4670</v>
          </cell>
          <cell r="H460">
            <v>9670</v>
          </cell>
          <cell r="I460">
            <v>4670</v>
          </cell>
          <cell r="J460">
            <v>4670</v>
          </cell>
          <cell r="K460">
            <v>9670</v>
          </cell>
          <cell r="L460">
            <v>4670</v>
          </cell>
          <cell r="M460">
            <v>4670</v>
          </cell>
          <cell r="N460">
            <v>9670</v>
          </cell>
        </row>
        <row r="461">
          <cell r="A461" t="str">
            <v>A_S6790101</v>
          </cell>
          <cell r="B461" t="str">
            <v>Settled Fees - Bank</v>
          </cell>
          <cell r="C461">
            <v>19204</v>
          </cell>
          <cell r="D461">
            <v>19204</v>
          </cell>
          <cell r="E461">
            <v>19204</v>
          </cell>
          <cell r="F461">
            <v>81704</v>
          </cell>
          <cell r="G461">
            <v>19204</v>
          </cell>
          <cell r="H461">
            <v>19204</v>
          </cell>
          <cell r="I461">
            <v>81704</v>
          </cell>
          <cell r="J461">
            <v>19204</v>
          </cell>
          <cell r="K461">
            <v>19204</v>
          </cell>
          <cell r="L461">
            <v>81704</v>
          </cell>
          <cell r="M461">
            <v>19204</v>
          </cell>
          <cell r="N461">
            <v>81706</v>
          </cell>
        </row>
        <row r="462">
          <cell r="A462" t="str">
            <v>A_S6790199</v>
          </cell>
          <cell r="B462" t="str">
            <v>Settled Fees - Miscellaneous</v>
          </cell>
          <cell r="C462">
            <v>1110.0508333</v>
          </cell>
          <cell r="D462">
            <v>1098.0508333</v>
          </cell>
          <cell r="E462">
            <v>1098.0508333</v>
          </cell>
          <cell r="F462">
            <v>1098.0508333</v>
          </cell>
          <cell r="G462">
            <v>3425.0408333</v>
          </cell>
          <cell r="H462">
            <v>1098.0508333</v>
          </cell>
          <cell r="I462">
            <v>11098.0508333</v>
          </cell>
          <cell r="J462">
            <v>1098.0508333</v>
          </cell>
          <cell r="K462">
            <v>1098.0508333</v>
          </cell>
          <cell r="L462">
            <v>1098.0508333</v>
          </cell>
          <cell r="M462">
            <v>1098.0508333</v>
          </cell>
          <cell r="N462">
            <v>1098.0508333</v>
          </cell>
        </row>
        <row r="463">
          <cell r="A463" t="str">
            <v>A_S6790220</v>
          </cell>
          <cell r="B463" t="str">
            <v>Settled Political Contributions</v>
          </cell>
          <cell r="C463">
            <v>8333</v>
          </cell>
          <cell r="D463">
            <v>8333</v>
          </cell>
          <cell r="E463">
            <v>8333</v>
          </cell>
          <cell r="F463">
            <v>8333</v>
          </cell>
          <cell r="G463">
            <v>8333</v>
          </cell>
          <cell r="H463">
            <v>8333</v>
          </cell>
          <cell r="I463">
            <v>8333</v>
          </cell>
          <cell r="J463">
            <v>8333</v>
          </cell>
          <cell r="K463">
            <v>8333</v>
          </cell>
          <cell r="L463">
            <v>8333</v>
          </cell>
          <cell r="M463">
            <v>8333</v>
          </cell>
          <cell r="N463">
            <v>8337</v>
          </cell>
        </row>
        <row r="464">
          <cell r="A464" t="str">
            <v>A_S6790230</v>
          </cell>
          <cell r="B464" t="str">
            <v>Settled Postage Shipping and Courier</v>
          </cell>
          <cell r="C464">
            <v>80574.768333400003</v>
          </cell>
          <cell r="D464">
            <v>80616.9683334</v>
          </cell>
          <cell r="E464">
            <v>80574.768333400003</v>
          </cell>
          <cell r="F464">
            <v>80574.768333400003</v>
          </cell>
          <cell r="G464">
            <v>80996.258333399994</v>
          </cell>
          <cell r="H464">
            <v>80574.768333400003</v>
          </cell>
          <cell r="I464">
            <v>80574.768333400003</v>
          </cell>
          <cell r="J464">
            <v>80574.768333400003</v>
          </cell>
          <cell r="K464">
            <v>80974.768333400003</v>
          </cell>
          <cell r="L464">
            <v>80574.768333400003</v>
          </cell>
          <cell r="M464">
            <v>80574.768333400003</v>
          </cell>
          <cell r="N464">
            <v>80574.768333400003</v>
          </cell>
        </row>
        <row r="465">
          <cell r="A465" t="str">
            <v>A_S6790310</v>
          </cell>
          <cell r="B465" t="str">
            <v>Settled A&amp;G Allocated to Capital</v>
          </cell>
          <cell r="C465">
            <v>-916666.66666670004</v>
          </cell>
          <cell r="D465">
            <v>-916666.66666670004</v>
          </cell>
          <cell r="E465">
            <v>-916666.66666670004</v>
          </cell>
          <cell r="F465">
            <v>-916666.66666670004</v>
          </cell>
          <cell r="G465">
            <v>-916666.66666670004</v>
          </cell>
          <cell r="H465">
            <v>-916666.66666670004</v>
          </cell>
          <cell r="I465">
            <v>-916666.66666670004</v>
          </cell>
          <cell r="J465">
            <v>-916666.66666670004</v>
          </cell>
          <cell r="K465">
            <v>-916666.66666670004</v>
          </cell>
          <cell r="L465">
            <v>-916666.66666670004</v>
          </cell>
          <cell r="M465">
            <v>-916666.66666670004</v>
          </cell>
          <cell r="N465">
            <v>-916666.66666670004</v>
          </cell>
        </row>
        <row r="466">
          <cell r="A466" t="str">
            <v>A_S6790320</v>
          </cell>
          <cell r="B466" t="str">
            <v>Settled Fleet Allocation</v>
          </cell>
          <cell r="C466">
            <v>315326.06586219999</v>
          </cell>
          <cell r="D466">
            <v>293911.40316729998</v>
          </cell>
          <cell r="E466">
            <v>331095.55498150003</v>
          </cell>
          <cell r="F466">
            <v>293254.10505110002</v>
          </cell>
          <cell r="G466">
            <v>334037.5200505</v>
          </cell>
          <cell r="H466">
            <v>342375.66263570002</v>
          </cell>
          <cell r="I466">
            <v>312594.42302370002</v>
          </cell>
          <cell r="J466">
            <v>337285.26316590002</v>
          </cell>
          <cell r="K466">
            <v>311522.49835279997</v>
          </cell>
          <cell r="L466">
            <v>324653.40090529999</v>
          </cell>
          <cell r="M466">
            <v>341883.21267400001</v>
          </cell>
          <cell r="N466">
            <v>312951.58670500002</v>
          </cell>
        </row>
        <row r="467">
          <cell r="A467" t="str">
            <v>A_S6790700</v>
          </cell>
          <cell r="B467" t="str">
            <v>Settled Intercompany Overhead Allocations</v>
          </cell>
          <cell r="C467">
            <v>-99247.3916666</v>
          </cell>
          <cell r="D467">
            <v>-104823.9716666</v>
          </cell>
          <cell r="E467">
            <v>-104110.8616666</v>
          </cell>
          <cell r="F467">
            <v>-106407.0916666</v>
          </cell>
          <cell r="G467">
            <v>-106407.0916666</v>
          </cell>
          <cell r="H467">
            <v>-103771.85166660001</v>
          </cell>
          <cell r="I467">
            <v>-106307.0916666</v>
          </cell>
          <cell r="J467">
            <v>-106307.0916666</v>
          </cell>
          <cell r="K467">
            <v>-106307.0916666</v>
          </cell>
          <cell r="L467">
            <v>-106307.0916666</v>
          </cell>
          <cell r="M467">
            <v>-106307.0916666</v>
          </cell>
          <cell r="N467">
            <v>-106307.0916666</v>
          </cell>
        </row>
        <row r="468">
          <cell r="A468" t="str">
            <v>A_S6790702</v>
          </cell>
          <cell r="B468" t="str">
            <v>Settled Intercompany Fee</v>
          </cell>
          <cell r="C468">
            <v>651378.52</v>
          </cell>
          <cell r="D468">
            <v>651378.52</v>
          </cell>
          <cell r="E468">
            <v>651378.52</v>
          </cell>
          <cell r="F468">
            <v>651378.52</v>
          </cell>
          <cell r="G468">
            <v>651378.52</v>
          </cell>
          <cell r="H468">
            <v>651378.52</v>
          </cell>
          <cell r="I468">
            <v>651378.52</v>
          </cell>
          <cell r="J468">
            <v>651378.52</v>
          </cell>
          <cell r="K468">
            <v>651378.52</v>
          </cell>
          <cell r="L468">
            <v>651378.52</v>
          </cell>
          <cell r="M468">
            <v>651378.52</v>
          </cell>
          <cell r="N468">
            <v>651378.52</v>
          </cell>
        </row>
        <row r="469">
          <cell r="A469" t="str">
            <v>A_S6790704</v>
          </cell>
          <cell r="B469" t="str">
            <v>Settled Intercompany Support Services</v>
          </cell>
          <cell r="C469">
            <v>54448.824056600002</v>
          </cell>
          <cell r="D469">
            <v>54448.824056600002</v>
          </cell>
          <cell r="E469">
            <v>54448.824056600002</v>
          </cell>
          <cell r="F469">
            <v>54448.824056600002</v>
          </cell>
          <cell r="G469">
            <v>54448.824056600002</v>
          </cell>
          <cell r="H469">
            <v>54898.820723299999</v>
          </cell>
          <cell r="I469">
            <v>54898.820723299999</v>
          </cell>
          <cell r="J469">
            <v>54898.820723299999</v>
          </cell>
          <cell r="K469">
            <v>54898.820723299999</v>
          </cell>
          <cell r="L469">
            <v>54898.820723299999</v>
          </cell>
          <cell r="M469">
            <v>54898.820723299999</v>
          </cell>
          <cell r="N469">
            <v>54898.820723299999</v>
          </cell>
        </row>
        <row r="470">
          <cell r="A470" t="str">
            <v>A_S6790800</v>
          </cell>
          <cell r="B470" t="str">
            <v>Settled Other Operational Expense - Misc</v>
          </cell>
          <cell r="C470">
            <v>116660.17612239999</v>
          </cell>
          <cell r="D470">
            <v>123660.17612239999</v>
          </cell>
          <cell r="E470">
            <v>123660.17612239999</v>
          </cell>
          <cell r="F470">
            <v>123660.17612239999</v>
          </cell>
          <cell r="G470">
            <v>123660.17612239999</v>
          </cell>
          <cell r="H470">
            <v>123660.17612239999</v>
          </cell>
          <cell r="I470">
            <v>123660.17612239999</v>
          </cell>
          <cell r="J470">
            <v>123660.17612239999</v>
          </cell>
          <cell r="K470">
            <v>123660.17612239999</v>
          </cell>
          <cell r="L470">
            <v>123660.17612239999</v>
          </cell>
          <cell r="M470">
            <v>123660.17612239999</v>
          </cell>
          <cell r="N470">
            <v>146660.17612240001</v>
          </cell>
        </row>
        <row r="471">
          <cell r="A471" t="str">
            <v>A_S6791000</v>
          </cell>
          <cell r="B471" t="str">
            <v>Settled Rate Case Expense</v>
          </cell>
          <cell r="C471">
            <v>35289.699999999997</v>
          </cell>
          <cell r="D471">
            <v>35289.699999999997</v>
          </cell>
          <cell r="E471">
            <v>35289.699999999997</v>
          </cell>
          <cell r="F471">
            <v>35289.699999999997</v>
          </cell>
          <cell r="G471">
            <v>35289.699999999997</v>
          </cell>
          <cell r="H471">
            <v>35289.699999999997</v>
          </cell>
          <cell r="I471">
            <v>35289.699999999997</v>
          </cell>
          <cell r="J471">
            <v>35289.699999999997</v>
          </cell>
          <cell r="K471">
            <v>35289.699999999997</v>
          </cell>
          <cell r="L471">
            <v>35289.699999999997</v>
          </cell>
          <cell r="M471">
            <v>35289.699999999997</v>
          </cell>
          <cell r="N471">
            <v>0</v>
          </cell>
        </row>
        <row r="472">
          <cell r="A472" t="str">
            <v>A_S6900049</v>
          </cell>
          <cell r="B472" t="str">
            <v>Settled TOTI - Payroll Tax Reclass</v>
          </cell>
          <cell r="C472">
            <v>-12.7045488</v>
          </cell>
          <cell r="D472">
            <v>-664.42459840000004</v>
          </cell>
          <cell r="E472">
            <v>-573.35069510000005</v>
          </cell>
          <cell r="F472">
            <v>-107.8996278</v>
          </cell>
          <cell r="G472">
            <v>-742.79997100000003</v>
          </cell>
          <cell r="H472">
            <v>-1834.1877113999999</v>
          </cell>
          <cell r="I472">
            <v>-632.58839390000003</v>
          </cell>
          <cell r="J472">
            <v>-1737.0319446999999</v>
          </cell>
          <cell r="K472">
            <v>-1232.2061498</v>
          </cell>
          <cell r="L472">
            <v>-1579.1070548</v>
          </cell>
          <cell r="M472">
            <v>-2807.0065632999999</v>
          </cell>
          <cell r="N472">
            <v>-1914.4922285</v>
          </cell>
        </row>
        <row r="473">
          <cell r="A473" t="str">
            <v>A_S6900800</v>
          </cell>
          <cell r="B473" t="str">
            <v>Settled Taxes other than income - Other</v>
          </cell>
          <cell r="C473">
            <v>44433.333333299997</v>
          </cell>
          <cell r="D473">
            <v>44433.333333299997</v>
          </cell>
          <cell r="E473">
            <v>44433.333333299997</v>
          </cell>
          <cell r="F473">
            <v>44433.333333299997</v>
          </cell>
          <cell r="G473">
            <v>44433.333333299997</v>
          </cell>
          <cell r="H473">
            <v>44433.333333299997</v>
          </cell>
          <cell r="I473">
            <v>44433.333333299997</v>
          </cell>
          <cell r="J473">
            <v>44433.333333299997</v>
          </cell>
          <cell r="K473">
            <v>44433.333333299997</v>
          </cell>
          <cell r="L473">
            <v>44433.333333299997</v>
          </cell>
          <cell r="M473">
            <v>44433.333333299997</v>
          </cell>
          <cell r="N473">
            <v>229833.33333329999</v>
          </cell>
        </row>
        <row r="474">
          <cell r="A474" t="str">
            <v>A_S7103040</v>
          </cell>
          <cell r="B474" t="str">
            <v>Settled Residential Zap Cap Revenue</v>
          </cell>
          <cell r="C474">
            <v>0</v>
          </cell>
          <cell r="D474">
            <v>25000</v>
          </cell>
          <cell r="E474">
            <v>0</v>
          </cell>
          <cell r="F474">
            <v>25000</v>
          </cell>
          <cell r="G474">
            <v>0</v>
          </cell>
          <cell r="H474">
            <v>0</v>
          </cell>
          <cell r="I474">
            <v>30000</v>
          </cell>
          <cell r="J474">
            <v>0</v>
          </cell>
          <cell r="K474">
            <v>0</v>
          </cell>
          <cell r="L474">
            <v>32000</v>
          </cell>
          <cell r="M474">
            <v>0</v>
          </cell>
          <cell r="N474">
            <v>20000</v>
          </cell>
        </row>
        <row r="475">
          <cell r="A475" t="str">
            <v>A_S7500030</v>
          </cell>
          <cell r="B475" t="str">
            <v>Settled Interest Exp - Customer Deposits</v>
          </cell>
          <cell r="C475">
            <v>60583.96</v>
          </cell>
          <cell r="D475">
            <v>60634.45</v>
          </cell>
          <cell r="E475">
            <v>60684.97</v>
          </cell>
          <cell r="F475">
            <v>60735.55</v>
          </cell>
          <cell r="G475">
            <v>60786.16</v>
          </cell>
          <cell r="H475">
            <v>60836.81</v>
          </cell>
          <cell r="I475">
            <v>60887.51</v>
          </cell>
          <cell r="J475">
            <v>60938.25</v>
          </cell>
          <cell r="K475">
            <v>60989.03</v>
          </cell>
          <cell r="L475">
            <v>61039.86</v>
          </cell>
          <cell r="M475">
            <v>61090.720000000001</v>
          </cell>
          <cell r="N475">
            <v>61141.63</v>
          </cell>
        </row>
        <row r="476">
          <cell r="A476" t="str">
            <v>A_S7500700</v>
          </cell>
          <cell r="B476" t="str">
            <v>Settled Interest Exp - Intercompany</v>
          </cell>
          <cell r="C476">
            <v>1917682.3000000999</v>
          </cell>
          <cell r="D476">
            <v>1917682.3000000999</v>
          </cell>
          <cell r="E476">
            <v>1917682.3</v>
          </cell>
          <cell r="F476">
            <v>1916943.72</v>
          </cell>
          <cell r="G476">
            <v>1916943.66</v>
          </cell>
          <cell r="H476">
            <v>1916943.6598791</v>
          </cell>
          <cell r="I476">
            <v>1916943.66</v>
          </cell>
          <cell r="J476">
            <v>1916943.66</v>
          </cell>
          <cell r="K476">
            <v>1916943.6599989999</v>
          </cell>
          <cell r="L476">
            <v>0</v>
          </cell>
          <cell r="M476">
            <v>0</v>
          </cell>
          <cell r="N476">
            <v>0</v>
          </cell>
        </row>
        <row r="477">
          <cell r="A477" t="str">
            <v>CHP_NB</v>
          </cell>
          <cell r="B477" t="str">
            <v>Commercial Gas Heat Pump</v>
          </cell>
          <cell r="C477">
            <v>2</v>
          </cell>
          <cell r="D477">
            <v>2</v>
          </cell>
          <cell r="E477">
            <v>2</v>
          </cell>
          <cell r="F477">
            <v>2</v>
          </cell>
          <cell r="G477">
            <v>2</v>
          </cell>
          <cell r="H477">
            <v>2</v>
          </cell>
          <cell r="I477">
            <v>2</v>
          </cell>
          <cell r="J477">
            <v>2</v>
          </cell>
          <cell r="K477">
            <v>2</v>
          </cell>
          <cell r="L477">
            <v>2</v>
          </cell>
          <cell r="M477">
            <v>2</v>
          </cell>
          <cell r="N477">
            <v>2</v>
          </cell>
        </row>
        <row r="478">
          <cell r="A478" t="str">
            <v>CHP_TH</v>
          </cell>
          <cell r="B478" t="str">
            <v>Commercial Gas Heat Pump</v>
          </cell>
          <cell r="C478">
            <v>663</v>
          </cell>
          <cell r="D478">
            <v>663</v>
          </cell>
          <cell r="E478">
            <v>663</v>
          </cell>
          <cell r="F478">
            <v>663</v>
          </cell>
          <cell r="G478">
            <v>663</v>
          </cell>
          <cell r="H478">
            <v>663</v>
          </cell>
          <cell r="I478">
            <v>663</v>
          </cell>
          <cell r="J478">
            <v>663</v>
          </cell>
          <cell r="K478">
            <v>663</v>
          </cell>
          <cell r="L478">
            <v>663</v>
          </cell>
          <cell r="M478">
            <v>663</v>
          </cell>
          <cell r="N478">
            <v>663</v>
          </cell>
        </row>
        <row r="479">
          <cell r="A479" t="str">
            <v>CISBR_PROTAX_1</v>
          </cell>
          <cell r="B479" t="str">
            <v>CI/BSR Property Tax 1</v>
          </cell>
          <cell r="C479">
            <v>44816</v>
          </cell>
          <cell r="D479">
            <v>44816</v>
          </cell>
          <cell r="E479">
            <v>44816</v>
          </cell>
          <cell r="F479">
            <v>44816</v>
          </cell>
          <cell r="G479">
            <v>44816</v>
          </cell>
          <cell r="H479">
            <v>44816</v>
          </cell>
          <cell r="I479">
            <v>44816</v>
          </cell>
          <cell r="J479">
            <v>44816</v>
          </cell>
          <cell r="K479">
            <v>44816</v>
          </cell>
          <cell r="L479">
            <v>44816</v>
          </cell>
          <cell r="M479">
            <v>44816</v>
          </cell>
          <cell r="N479">
            <v>44811</v>
          </cell>
        </row>
        <row r="480">
          <cell r="A480" t="str">
            <v>CISBR_PROTAX_2</v>
          </cell>
          <cell r="B480" t="str">
            <v>CI/BSR Property Tax 2</v>
          </cell>
          <cell r="C480">
            <v>-44816</v>
          </cell>
          <cell r="D480">
            <v>-44816</v>
          </cell>
          <cell r="E480">
            <v>-44816</v>
          </cell>
          <cell r="F480">
            <v>-44816</v>
          </cell>
          <cell r="G480">
            <v>-44816</v>
          </cell>
          <cell r="H480">
            <v>-44816</v>
          </cell>
          <cell r="I480">
            <v>-44816</v>
          </cell>
          <cell r="J480">
            <v>-44816</v>
          </cell>
          <cell r="K480">
            <v>-44816</v>
          </cell>
          <cell r="L480">
            <v>-44816</v>
          </cell>
          <cell r="M480">
            <v>-44816</v>
          </cell>
          <cell r="N480">
            <v>-44811</v>
          </cell>
        </row>
        <row r="481">
          <cell r="A481" t="str">
            <v>CSG_NB</v>
          </cell>
          <cell r="B481" t="str">
            <v>Commercial  Standby Generator</v>
          </cell>
          <cell r="C481">
            <v>976</v>
          </cell>
          <cell r="D481">
            <v>972</v>
          </cell>
          <cell r="E481">
            <v>973</v>
          </cell>
          <cell r="F481">
            <v>974</v>
          </cell>
          <cell r="G481">
            <v>972</v>
          </cell>
          <cell r="H481">
            <v>971</v>
          </cell>
          <cell r="I481">
            <v>974</v>
          </cell>
          <cell r="J481">
            <v>923.2857143</v>
          </cell>
          <cell r="K481">
            <v>923.2857143</v>
          </cell>
          <cell r="L481">
            <v>923.2857143</v>
          </cell>
          <cell r="M481">
            <v>923.2857143</v>
          </cell>
          <cell r="N481">
            <v>923.2857143</v>
          </cell>
        </row>
        <row r="482">
          <cell r="A482" t="str">
            <v>CSG_TH</v>
          </cell>
          <cell r="B482" t="str">
            <v>Commercial  Standby Generator</v>
          </cell>
          <cell r="C482">
            <v>14980.6</v>
          </cell>
          <cell r="D482">
            <v>14598</v>
          </cell>
          <cell r="E482">
            <v>14963.1</v>
          </cell>
          <cell r="F482">
            <v>15450.2</v>
          </cell>
          <cell r="G482">
            <v>13903.8</v>
          </cell>
          <cell r="H482">
            <v>12875.957142900001</v>
          </cell>
          <cell r="I482">
            <v>12776.957142900001</v>
          </cell>
          <cell r="J482">
            <v>12653.6571429</v>
          </cell>
          <cell r="K482">
            <v>12653.6571429</v>
          </cell>
          <cell r="L482">
            <v>12653.6571429</v>
          </cell>
          <cell r="M482">
            <v>32868.985714299997</v>
          </cell>
          <cell r="N482">
            <v>52941.371428600003</v>
          </cell>
        </row>
        <row r="483">
          <cell r="A483" t="str">
            <v>CSL_TH</v>
          </cell>
          <cell r="B483" t="str">
            <v>Commercial Street Lighting</v>
          </cell>
          <cell r="C483">
            <v>3337.75</v>
          </cell>
          <cell r="D483">
            <v>2616.6</v>
          </cell>
          <cell r="E483">
            <v>2993.5</v>
          </cell>
          <cell r="F483">
            <v>2728.7</v>
          </cell>
          <cell r="G483">
            <v>2223.1</v>
          </cell>
          <cell r="H483">
            <v>2565.35</v>
          </cell>
          <cell r="I483">
            <v>2218.3000000000002</v>
          </cell>
          <cell r="J483">
            <v>3228.6</v>
          </cell>
          <cell r="K483">
            <v>2924.8</v>
          </cell>
          <cell r="L483">
            <v>2924.8</v>
          </cell>
          <cell r="M483">
            <v>2924.8</v>
          </cell>
          <cell r="N483">
            <v>2924.8</v>
          </cell>
        </row>
        <row r="484">
          <cell r="A484" t="str">
            <v>CTG_NB</v>
          </cell>
          <cell r="B484" t="str">
            <v>Commercial  TRANSP Standby Generator</v>
          </cell>
          <cell r="C484">
            <v>167</v>
          </cell>
          <cell r="D484">
            <v>168</v>
          </cell>
          <cell r="E484">
            <v>165</v>
          </cell>
          <cell r="F484">
            <v>166</v>
          </cell>
          <cell r="G484">
            <v>166</v>
          </cell>
          <cell r="H484">
            <v>167</v>
          </cell>
          <cell r="I484">
            <v>166</v>
          </cell>
          <cell r="J484">
            <v>154</v>
          </cell>
          <cell r="K484">
            <v>154</v>
          </cell>
          <cell r="L484">
            <v>154</v>
          </cell>
          <cell r="M484">
            <v>154</v>
          </cell>
          <cell r="N484">
            <v>154</v>
          </cell>
        </row>
        <row r="485">
          <cell r="A485" t="str">
            <v>CTG_TH</v>
          </cell>
          <cell r="B485" t="str">
            <v>Commercial  TRANSP Standby Generator</v>
          </cell>
          <cell r="C485">
            <v>14970.108399999999</v>
          </cell>
          <cell r="D485">
            <v>15419.8127</v>
          </cell>
          <cell r="E485">
            <v>13636.2021</v>
          </cell>
          <cell r="F485">
            <v>14555.3084</v>
          </cell>
          <cell r="G485">
            <v>16798.211599999999</v>
          </cell>
          <cell r="H485">
            <v>14394.008400000001</v>
          </cell>
          <cell r="I485">
            <v>14157.1095</v>
          </cell>
          <cell r="J485">
            <v>12183.1095</v>
          </cell>
          <cell r="K485">
            <v>12183.1095</v>
          </cell>
          <cell r="L485">
            <v>12183.1095</v>
          </cell>
          <cell r="M485">
            <v>29152.809499999999</v>
          </cell>
          <cell r="N485">
            <v>46215.609499999999</v>
          </cell>
        </row>
        <row r="486">
          <cell r="A486" t="str">
            <v>CTL_TH</v>
          </cell>
          <cell r="B486" t="str">
            <v>Commercial Street Lighting-TRANSP</v>
          </cell>
          <cell r="C486">
            <v>38116.1071429</v>
          </cell>
          <cell r="D486">
            <v>32662.85</v>
          </cell>
          <cell r="E486">
            <v>39649.9</v>
          </cell>
          <cell r="F486">
            <v>39698.65</v>
          </cell>
          <cell r="G486">
            <v>35419.699999999997</v>
          </cell>
          <cell r="H486">
            <v>36039.5357143</v>
          </cell>
          <cell r="I486">
            <v>39486.1071429</v>
          </cell>
          <cell r="J486">
            <v>40330.557142899997</v>
          </cell>
          <cell r="K486">
            <v>39689.757142900002</v>
          </cell>
          <cell r="L486">
            <v>39689.757142900002</v>
          </cell>
          <cell r="M486">
            <v>47737.75</v>
          </cell>
          <cell r="N486">
            <v>52882.514285700003</v>
          </cell>
        </row>
        <row r="487">
          <cell r="A487" t="str">
            <v>CTS_NB</v>
          </cell>
          <cell r="B487" t="str">
            <v>Contract Transportation Service (flex)</v>
          </cell>
          <cell r="C487">
            <v>19</v>
          </cell>
          <cell r="D487">
            <v>19</v>
          </cell>
          <cell r="E487">
            <v>20</v>
          </cell>
          <cell r="F487">
            <v>21</v>
          </cell>
          <cell r="G487">
            <v>21</v>
          </cell>
          <cell r="H487">
            <v>21</v>
          </cell>
          <cell r="I487">
            <v>21</v>
          </cell>
          <cell r="J487">
            <v>21</v>
          </cell>
          <cell r="K487">
            <v>21</v>
          </cell>
          <cell r="L487">
            <v>21</v>
          </cell>
          <cell r="M487">
            <v>21</v>
          </cell>
          <cell r="N487">
            <v>21</v>
          </cell>
        </row>
        <row r="488">
          <cell r="A488" t="str">
            <v>CTS_TH</v>
          </cell>
          <cell r="B488" t="str">
            <v>Contract Transportation Service (flex)</v>
          </cell>
          <cell r="C488">
            <v>61623948.117736697</v>
          </cell>
          <cell r="D488">
            <v>55685508.5529017</v>
          </cell>
          <cell r="E488">
            <v>64897241.118333399</v>
          </cell>
          <cell r="F488">
            <v>72342532.225833401</v>
          </cell>
          <cell r="G488">
            <v>80458360.465833396</v>
          </cell>
          <cell r="H488">
            <v>84296744.423333406</v>
          </cell>
          <cell r="I488">
            <v>89925515.145833403</v>
          </cell>
          <cell r="J488">
            <v>84537329.668333396</v>
          </cell>
          <cell r="K488">
            <v>74442839.724971905</v>
          </cell>
          <cell r="L488">
            <v>76363169.246787593</v>
          </cell>
          <cell r="M488">
            <v>53909336.334458403</v>
          </cell>
          <cell r="N488">
            <v>56256147.7313959</v>
          </cell>
        </row>
        <row r="489">
          <cell r="A489" t="str">
            <v>ER_CIBSR_REGASMTF_1</v>
          </cell>
          <cell r="B489" t="str">
            <v>CIBSR Regulatory Assessment Fee</v>
          </cell>
          <cell r="C489">
            <v>-5037.6099999999997</v>
          </cell>
          <cell r="D489">
            <v>-4866.32</v>
          </cell>
          <cell r="E489">
            <v>-4290.33</v>
          </cell>
          <cell r="F489">
            <v>-3812.72</v>
          </cell>
          <cell r="G489">
            <v>-3361.77</v>
          </cell>
          <cell r="H489">
            <v>-3134.18</v>
          </cell>
          <cell r="I489">
            <v>-2978.97</v>
          </cell>
          <cell r="J489">
            <v>-2874.49</v>
          </cell>
          <cell r="K489">
            <v>-2945.66</v>
          </cell>
          <cell r="L489">
            <v>-2981.38</v>
          </cell>
          <cell r="M489">
            <v>-3371.22</v>
          </cell>
          <cell r="N489">
            <v>-4340.79</v>
          </cell>
        </row>
        <row r="490">
          <cell r="A490" t="str">
            <v>ER_CIBSR_REGASMTF_2</v>
          </cell>
          <cell r="B490" t="str">
            <v>CIBSR Regulatory Assessment Fee</v>
          </cell>
          <cell r="C490">
            <v>5037.6099999999997</v>
          </cell>
          <cell r="D490">
            <v>4866.32</v>
          </cell>
          <cell r="E490">
            <v>4290.33</v>
          </cell>
          <cell r="F490">
            <v>3812.72</v>
          </cell>
          <cell r="G490">
            <v>3361.77</v>
          </cell>
          <cell r="H490">
            <v>3134.18</v>
          </cell>
          <cell r="I490">
            <v>2978.97</v>
          </cell>
          <cell r="J490">
            <v>2874.49</v>
          </cell>
          <cell r="K490">
            <v>2945.66</v>
          </cell>
          <cell r="L490">
            <v>2981.38</v>
          </cell>
          <cell r="M490">
            <v>3371.22</v>
          </cell>
          <cell r="N490">
            <v>4340.79</v>
          </cell>
        </row>
        <row r="491">
          <cell r="A491" t="str">
            <v>ER_FUEL_REGASMTFEE_1</v>
          </cell>
          <cell r="B491" t="str">
            <v>FUEL Regulatory Assessment Fee</v>
          </cell>
          <cell r="C491">
            <v>-152084.6019291</v>
          </cell>
          <cell r="D491">
            <v>-142085.339022</v>
          </cell>
          <cell r="E491">
            <v>-117269.9019444</v>
          </cell>
          <cell r="F491">
            <v>-84284.269480000003</v>
          </cell>
          <cell r="G491">
            <v>-68536.971461099994</v>
          </cell>
          <cell r="H491">
            <v>-60462.4896592</v>
          </cell>
          <cell r="I491">
            <v>-57724.001542400001</v>
          </cell>
          <cell r="J491">
            <v>-55600.254823299998</v>
          </cell>
          <cell r="K491">
            <v>-57972.750933800002</v>
          </cell>
          <cell r="L491">
            <v>-65417.931331</v>
          </cell>
          <cell r="M491">
            <v>-81356.070070000002</v>
          </cell>
          <cell r="N491">
            <v>-100906.05538000001</v>
          </cell>
        </row>
        <row r="492">
          <cell r="A492" t="str">
            <v>ER_FUEL_REGASMTFEE_2</v>
          </cell>
          <cell r="B492" t="str">
            <v>FUEL Regulatory Assessment Fee</v>
          </cell>
          <cell r="C492">
            <v>152084.6019291</v>
          </cell>
          <cell r="D492">
            <v>142085.339022</v>
          </cell>
          <cell r="E492">
            <v>117269.9019444</v>
          </cell>
          <cell r="F492">
            <v>84284.269480000003</v>
          </cell>
          <cell r="G492">
            <v>68536.971461099994</v>
          </cell>
          <cell r="H492">
            <v>60462.4896592</v>
          </cell>
          <cell r="I492">
            <v>57724.001542400001</v>
          </cell>
          <cell r="J492">
            <v>55600.254823299998</v>
          </cell>
          <cell r="K492">
            <v>57972.750933800002</v>
          </cell>
          <cell r="L492">
            <v>65417.931331</v>
          </cell>
          <cell r="M492">
            <v>81356.070070000002</v>
          </cell>
          <cell r="N492">
            <v>100906.05538000001</v>
          </cell>
        </row>
        <row r="493">
          <cell r="A493" t="str">
            <v>ER_IND_DUE_BTL_1</v>
          </cell>
          <cell r="B493" t="str">
            <v>Zap Cap BTL</v>
          </cell>
          <cell r="C493">
            <v>35071.800000000003</v>
          </cell>
          <cell r="D493">
            <v>3005.7665999999999</v>
          </cell>
          <cell r="E493">
            <v>0</v>
          </cell>
          <cell r="F493">
            <v>28005.766599999999</v>
          </cell>
          <cell r="G493">
            <v>12000</v>
          </cell>
          <cell r="H493">
            <v>0</v>
          </cell>
          <cell r="I493">
            <v>3005.7665999999999</v>
          </cell>
          <cell r="J493">
            <v>0</v>
          </cell>
          <cell r="K493">
            <v>0</v>
          </cell>
          <cell r="L493">
            <v>3005.7665999999999</v>
          </cell>
          <cell r="M493">
            <v>0</v>
          </cell>
          <cell r="N493">
            <v>0</v>
          </cell>
        </row>
        <row r="494">
          <cell r="A494" t="str">
            <v>ER_IND_DUE_BTL_2</v>
          </cell>
          <cell r="B494" t="str">
            <v>Industry Due and Others BTL</v>
          </cell>
          <cell r="C494">
            <v>-35071.800000000003</v>
          </cell>
          <cell r="D494">
            <v>-3005.7665999999999</v>
          </cell>
          <cell r="E494">
            <v>0</v>
          </cell>
          <cell r="F494">
            <v>-28005.766599999999</v>
          </cell>
          <cell r="G494">
            <v>-12000</v>
          </cell>
          <cell r="H494">
            <v>0</v>
          </cell>
          <cell r="I494">
            <v>-3005.7665999999999</v>
          </cell>
          <cell r="J494">
            <v>0</v>
          </cell>
          <cell r="K494">
            <v>0</v>
          </cell>
          <cell r="L494">
            <v>-3005.7665999999999</v>
          </cell>
          <cell r="M494">
            <v>0</v>
          </cell>
          <cell r="N494">
            <v>0</v>
          </cell>
        </row>
        <row r="495">
          <cell r="A495" t="str">
            <v>ER_PGA_OM_1</v>
          </cell>
          <cell r="B495" t="str">
            <v>PGA O&amp;M Expense</v>
          </cell>
          <cell r="C495">
            <v>609151.61621899996</v>
          </cell>
          <cell r="D495">
            <v>590857.42126750003</v>
          </cell>
          <cell r="E495">
            <v>611380.94409250002</v>
          </cell>
          <cell r="F495">
            <v>596061.70785849995</v>
          </cell>
          <cell r="G495">
            <v>613322.86132699996</v>
          </cell>
          <cell r="H495">
            <v>636370.78949300002</v>
          </cell>
          <cell r="I495">
            <v>602266.62925200001</v>
          </cell>
          <cell r="J495">
            <v>612295.90627739998</v>
          </cell>
          <cell r="K495">
            <v>602464.84845189995</v>
          </cell>
          <cell r="L495">
            <v>614152.47679989995</v>
          </cell>
          <cell r="M495">
            <v>655615.35519369994</v>
          </cell>
          <cell r="N495">
            <v>603496.02787630004</v>
          </cell>
        </row>
        <row r="496">
          <cell r="A496" t="str">
            <v>ER_PGA_OM_2</v>
          </cell>
          <cell r="B496" t="str">
            <v>PGA O&amp;M Expense</v>
          </cell>
          <cell r="C496">
            <v>-609151.61621899996</v>
          </cell>
          <cell r="D496">
            <v>-590857.42126750003</v>
          </cell>
          <cell r="E496">
            <v>-611380.94409250002</v>
          </cell>
          <cell r="F496">
            <v>-596061.70785849995</v>
          </cell>
          <cell r="G496">
            <v>-613322.86132699996</v>
          </cell>
          <cell r="H496">
            <v>-636370.78949300002</v>
          </cell>
          <cell r="I496">
            <v>-602266.62925200001</v>
          </cell>
          <cell r="J496">
            <v>-612295.90627739998</v>
          </cell>
          <cell r="K496">
            <v>-602464.84845189995</v>
          </cell>
          <cell r="L496">
            <v>-614152.47679989995</v>
          </cell>
          <cell r="M496">
            <v>-655615.35519369994</v>
          </cell>
          <cell r="N496">
            <v>-603496.02787630004</v>
          </cell>
        </row>
        <row r="497">
          <cell r="A497" t="str">
            <v>ER_RECV_CON_BEN_1</v>
          </cell>
          <cell r="B497" t="str">
            <v>Recoverable Conservation Benefit</v>
          </cell>
          <cell r="C497">
            <v>1823409.4396166999</v>
          </cell>
          <cell r="D497">
            <v>1823409.4396166999</v>
          </cell>
          <cell r="E497">
            <v>1823409.4396166999</v>
          </cell>
          <cell r="F497">
            <v>1823409.4396166999</v>
          </cell>
          <cell r="G497">
            <v>1823409.4396166999</v>
          </cell>
          <cell r="H497">
            <v>1823409.4396166999</v>
          </cell>
          <cell r="I497">
            <v>1823409.4396166999</v>
          </cell>
          <cell r="J497">
            <v>1823409.4396166999</v>
          </cell>
          <cell r="K497">
            <v>1823409.4396166999</v>
          </cell>
          <cell r="L497">
            <v>1823409.4396166999</v>
          </cell>
          <cell r="M497">
            <v>1823409.4396166999</v>
          </cell>
          <cell r="N497">
            <v>1823409.4396166999</v>
          </cell>
        </row>
        <row r="498">
          <cell r="A498" t="str">
            <v>ER_RECV_CON_BEN_2</v>
          </cell>
          <cell r="B498" t="str">
            <v>Recoverable Conservation Benefit</v>
          </cell>
          <cell r="C498">
            <v>-1823409.4396166999</v>
          </cell>
          <cell r="D498">
            <v>-1823409.4396166999</v>
          </cell>
          <cell r="E498">
            <v>-1823409.4396166999</v>
          </cell>
          <cell r="F498">
            <v>-1823409.4396166999</v>
          </cell>
          <cell r="G498">
            <v>-1823409.4396166999</v>
          </cell>
          <cell r="H498">
            <v>-1823409.4396166999</v>
          </cell>
          <cell r="I498">
            <v>-1823409.4396166999</v>
          </cell>
          <cell r="J498">
            <v>-1823409.4396166999</v>
          </cell>
          <cell r="K498">
            <v>-1823409.4396166999</v>
          </cell>
          <cell r="L498">
            <v>-1823409.4396166999</v>
          </cell>
          <cell r="M498">
            <v>-1823409.4396166999</v>
          </cell>
          <cell r="N498">
            <v>-1823409.4396166999</v>
          </cell>
        </row>
        <row r="499">
          <cell r="A499" t="str">
            <v>GS1_NB</v>
          </cell>
          <cell r="B499" t="str">
            <v>Gen. Service - 1</v>
          </cell>
          <cell r="C499">
            <v>3797.2000103</v>
          </cell>
          <cell r="D499">
            <v>3804.1010734000001</v>
          </cell>
          <cell r="E499">
            <v>3809.7000164000001</v>
          </cell>
          <cell r="F499">
            <v>3815.2051121</v>
          </cell>
          <cell r="G499">
            <v>3821.2035684000002</v>
          </cell>
          <cell r="H499">
            <v>3825.8552714000002</v>
          </cell>
          <cell r="I499">
            <v>3761.8465973000002</v>
          </cell>
          <cell r="J499">
            <v>3766.4122582</v>
          </cell>
          <cell r="K499">
            <v>3771.1027414999999</v>
          </cell>
          <cell r="L499">
            <v>3775.7954903</v>
          </cell>
          <cell r="M499">
            <v>3780.4900469999998</v>
          </cell>
          <cell r="N499">
            <v>3785.1861610000001</v>
          </cell>
        </row>
        <row r="500">
          <cell r="A500" t="str">
            <v>GS1_TH</v>
          </cell>
          <cell r="B500" t="str">
            <v>Gen. Service - 1</v>
          </cell>
          <cell r="C500">
            <v>1707946.2072997999</v>
          </cell>
          <cell r="D500">
            <v>1692665.4259782999</v>
          </cell>
          <cell r="E500">
            <v>1591657.9266661</v>
          </cell>
          <cell r="F500">
            <v>1433035.1291960999</v>
          </cell>
          <cell r="G500">
            <v>1323994.5191345999</v>
          </cell>
          <cell r="H500">
            <v>1343839.3147158001</v>
          </cell>
          <cell r="I500">
            <v>1209692.7085124</v>
          </cell>
          <cell r="J500">
            <v>1194218.3314145</v>
          </cell>
          <cell r="K500">
            <v>1383836.7345143999</v>
          </cell>
          <cell r="L500">
            <v>1181773.9807998999</v>
          </cell>
          <cell r="M500">
            <v>1460038.8166036</v>
          </cell>
          <cell r="N500">
            <v>1916470.7697588</v>
          </cell>
        </row>
        <row r="501">
          <cell r="A501" t="str">
            <v>GS2_NB</v>
          </cell>
          <cell r="B501" t="str">
            <v>Gen. Service - 2</v>
          </cell>
          <cell r="C501">
            <v>850.49372389999996</v>
          </cell>
          <cell r="D501">
            <v>852.15667719999999</v>
          </cell>
          <cell r="E501">
            <v>853.49443680000002</v>
          </cell>
          <cell r="F501">
            <v>854.80144849999999</v>
          </cell>
          <cell r="G501">
            <v>856.22369209999999</v>
          </cell>
          <cell r="H501">
            <v>857.33938790000002</v>
          </cell>
          <cell r="I501">
            <v>771.17918320000001</v>
          </cell>
          <cell r="J501">
            <v>772.22506180000005</v>
          </cell>
          <cell r="K501">
            <v>773.29474700000003</v>
          </cell>
          <cell r="L501">
            <v>774.36347060000003</v>
          </cell>
          <cell r="M501">
            <v>775.43142809999995</v>
          </cell>
          <cell r="N501">
            <v>776.49879539999995</v>
          </cell>
        </row>
        <row r="502">
          <cell r="A502" t="str">
            <v>GS2_TH</v>
          </cell>
          <cell r="B502" t="str">
            <v>Gen. Service - 2</v>
          </cell>
          <cell r="C502">
            <v>1296382.6800599999</v>
          </cell>
          <cell r="D502">
            <v>1241107.6641321001</v>
          </cell>
          <cell r="E502">
            <v>1097310.1922051001</v>
          </cell>
          <cell r="F502">
            <v>978185.01885490003</v>
          </cell>
          <cell r="G502">
            <v>873599.04624239996</v>
          </cell>
          <cell r="H502">
            <v>894312.88591770001</v>
          </cell>
          <cell r="I502">
            <v>890145.98161939997</v>
          </cell>
          <cell r="J502">
            <v>702423.62183820002</v>
          </cell>
          <cell r="K502">
            <v>918084.75255580002</v>
          </cell>
          <cell r="L502">
            <v>799258.90958680003</v>
          </cell>
          <cell r="M502">
            <v>1064316.0297757001</v>
          </cell>
          <cell r="N502">
            <v>1384572.8105170999</v>
          </cell>
        </row>
        <row r="503">
          <cell r="A503" t="str">
            <v>GS3_NB</v>
          </cell>
          <cell r="B503" t="str">
            <v>Gen. Service - 3</v>
          </cell>
          <cell r="C503">
            <v>46.4156963</v>
          </cell>
          <cell r="D503">
            <v>46.496167300000003</v>
          </cell>
          <cell r="E503">
            <v>46.5624167</v>
          </cell>
          <cell r="F503">
            <v>46.628722500000002</v>
          </cell>
          <cell r="G503">
            <v>46.700598200000002</v>
          </cell>
          <cell r="H503">
            <v>46.766572699999998</v>
          </cell>
          <cell r="I503">
            <v>48.137798199999999</v>
          </cell>
          <cell r="J503">
            <v>48.206432599999999</v>
          </cell>
          <cell r="K503">
            <v>48.276938999999999</v>
          </cell>
          <cell r="L503">
            <v>48.347259700000002</v>
          </cell>
          <cell r="M503">
            <v>48.4174419</v>
          </cell>
          <cell r="N503">
            <v>48.487523699999997</v>
          </cell>
        </row>
        <row r="504">
          <cell r="A504" t="str">
            <v>GS3_TH</v>
          </cell>
          <cell r="B504" t="str">
            <v>Gen. Service - 3</v>
          </cell>
          <cell r="C504">
            <v>417879.21748170001</v>
          </cell>
          <cell r="D504">
            <v>376381.70359290001</v>
          </cell>
          <cell r="E504">
            <v>296617.19613669999</v>
          </cell>
          <cell r="F504">
            <v>282275.08849679999</v>
          </cell>
          <cell r="G504">
            <v>286314.32078200002</v>
          </cell>
          <cell r="H504">
            <v>266923.47303440003</v>
          </cell>
          <cell r="I504">
            <v>235446.8932782</v>
          </cell>
          <cell r="J504">
            <v>212962.11081829999</v>
          </cell>
          <cell r="K504">
            <v>216248.9207287</v>
          </cell>
          <cell r="L504">
            <v>267613.29579110001</v>
          </cell>
          <cell r="M504">
            <v>344208.79332900001</v>
          </cell>
          <cell r="N504">
            <v>267962.080938</v>
          </cell>
        </row>
        <row r="505">
          <cell r="A505" t="str">
            <v>GS4_NB</v>
          </cell>
          <cell r="B505" t="str">
            <v>Gen. Service - 4</v>
          </cell>
          <cell r="C505">
            <v>3</v>
          </cell>
          <cell r="D505">
            <v>3</v>
          </cell>
          <cell r="E505">
            <v>3</v>
          </cell>
          <cell r="F505">
            <v>3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  <cell r="M505">
            <v>3</v>
          </cell>
          <cell r="N505">
            <v>3</v>
          </cell>
        </row>
        <row r="506">
          <cell r="A506" t="str">
            <v>GS4_TH</v>
          </cell>
          <cell r="B506" t="str">
            <v>Gen. Service - 4</v>
          </cell>
          <cell r="C506">
            <v>37955.444931500002</v>
          </cell>
          <cell r="D506">
            <v>27480.756712300001</v>
          </cell>
          <cell r="E506">
            <v>29921.444931499998</v>
          </cell>
          <cell r="F506">
            <v>29252.882191799999</v>
          </cell>
          <cell r="G506">
            <v>31150.444931499998</v>
          </cell>
          <cell r="H506">
            <v>29212.882191799999</v>
          </cell>
          <cell r="I506">
            <v>38340.444931500002</v>
          </cell>
          <cell r="J506">
            <v>23858.444931499998</v>
          </cell>
          <cell r="K506">
            <v>28370.882191799999</v>
          </cell>
          <cell r="L506">
            <v>27292.444931499998</v>
          </cell>
          <cell r="M506">
            <v>23145.882191799999</v>
          </cell>
          <cell r="N506">
            <v>34638.444931500002</v>
          </cell>
        </row>
        <row r="507">
          <cell r="A507" t="str">
            <v>GS5_NB</v>
          </cell>
          <cell r="B507" t="str">
            <v>Gen. Service - 5</v>
          </cell>
          <cell r="C507">
            <v>4</v>
          </cell>
          <cell r="D507">
            <v>4</v>
          </cell>
          <cell r="E507">
            <v>4</v>
          </cell>
          <cell r="F507">
            <v>4</v>
          </cell>
          <cell r="G507">
            <v>4</v>
          </cell>
          <cell r="H507">
            <v>4</v>
          </cell>
          <cell r="I507">
            <v>4</v>
          </cell>
          <cell r="J507">
            <v>4</v>
          </cell>
          <cell r="K507">
            <v>4</v>
          </cell>
          <cell r="L507">
            <v>4</v>
          </cell>
          <cell r="M507">
            <v>4</v>
          </cell>
          <cell r="N507">
            <v>4</v>
          </cell>
        </row>
        <row r="508">
          <cell r="A508" t="str">
            <v>GS5_TH</v>
          </cell>
          <cell r="B508" t="str">
            <v>Gen. Service - 5</v>
          </cell>
          <cell r="C508">
            <v>369384.33836689999</v>
          </cell>
          <cell r="D508">
            <v>333606.6692911</v>
          </cell>
          <cell r="E508">
            <v>411348.78786689998</v>
          </cell>
          <cell r="F508">
            <v>255066.58825830001</v>
          </cell>
          <cell r="G508">
            <v>397518.23786689999</v>
          </cell>
          <cell r="H508">
            <v>361184.4882583</v>
          </cell>
          <cell r="I508">
            <v>406615.6878669</v>
          </cell>
          <cell r="J508">
            <v>364961.9378669</v>
          </cell>
          <cell r="K508">
            <v>425746.33825829998</v>
          </cell>
          <cell r="L508">
            <v>382636.4378669</v>
          </cell>
          <cell r="M508">
            <v>348874.43825830001</v>
          </cell>
          <cell r="N508">
            <v>428560.38786690001</v>
          </cell>
        </row>
        <row r="509">
          <cell r="A509" t="str">
            <v>GT1_NB</v>
          </cell>
          <cell r="B509" t="str">
            <v>Gen. Service - 1 TRANSP</v>
          </cell>
          <cell r="C509">
            <v>13468.298611599999</v>
          </cell>
          <cell r="D509">
            <v>13497.401392600001</v>
          </cell>
          <cell r="E509">
            <v>13520.9619324</v>
          </cell>
          <cell r="F509">
            <v>13544.035401499999</v>
          </cell>
          <cell r="G509">
            <v>13568.966378499999</v>
          </cell>
          <cell r="H509">
            <v>13587.898372</v>
          </cell>
          <cell r="I509">
            <v>13486.8811804</v>
          </cell>
          <cell r="J509">
            <v>13505.668833199999</v>
          </cell>
          <cell r="K509">
            <v>13524.9030656</v>
          </cell>
          <cell r="L509">
            <v>13544.1133974</v>
          </cell>
          <cell r="M509">
            <v>13563.304826699999</v>
          </cell>
          <cell r="N509">
            <v>13582.4816956</v>
          </cell>
        </row>
        <row r="510">
          <cell r="A510" t="str">
            <v>GT1_TH</v>
          </cell>
          <cell r="B510" t="str">
            <v>Gen. Service - 1 TRANSP</v>
          </cell>
          <cell r="C510">
            <v>7411428.0069642998</v>
          </cell>
          <cell r="D510">
            <v>6862703.6050952002</v>
          </cell>
          <cell r="E510">
            <v>6567069.0933108004</v>
          </cell>
          <cell r="F510">
            <v>6022863.3368515996</v>
          </cell>
          <cell r="G510">
            <v>5521397.5568503002</v>
          </cell>
          <cell r="H510">
            <v>5691480.2737346999</v>
          </cell>
          <cell r="I510">
            <v>5248081.5194261</v>
          </cell>
          <cell r="J510">
            <v>5214555.2356660999</v>
          </cell>
          <cell r="K510">
            <v>5852911.3271535998</v>
          </cell>
          <cell r="L510">
            <v>5124189.2774422998</v>
          </cell>
          <cell r="M510">
            <v>6161988.9735209998</v>
          </cell>
          <cell r="N510">
            <v>7372344.3372708</v>
          </cell>
        </row>
        <row r="511">
          <cell r="A511" t="str">
            <v>GT2_NB</v>
          </cell>
          <cell r="B511" t="str">
            <v>Gen. Service - 2 TRANSP</v>
          </cell>
          <cell r="C511">
            <v>6596.0287564</v>
          </cell>
          <cell r="D511">
            <v>6609.6640618000001</v>
          </cell>
          <cell r="E511">
            <v>6620.4364268999998</v>
          </cell>
          <cell r="F511">
            <v>6630.9754245000004</v>
          </cell>
          <cell r="G511">
            <v>6642.5530522999998</v>
          </cell>
          <cell r="H511">
            <v>6651.2238846</v>
          </cell>
          <cell r="I511">
            <v>6875.8334373999996</v>
          </cell>
          <cell r="J511">
            <v>6884.8828446999996</v>
          </cell>
          <cell r="K511">
            <v>6894.1969726999996</v>
          </cell>
          <cell r="L511">
            <v>6903.5062088000004</v>
          </cell>
          <cell r="M511">
            <v>6912.8114592000002</v>
          </cell>
          <cell r="N511">
            <v>6922.113636</v>
          </cell>
        </row>
        <row r="512">
          <cell r="A512" t="str">
            <v>GT2_TH</v>
          </cell>
          <cell r="B512" t="str">
            <v>Gen. Service - 2 TRANSP</v>
          </cell>
          <cell r="C512">
            <v>13138148.1593438</v>
          </cell>
          <cell r="D512">
            <v>11993987.215776799</v>
          </cell>
          <cell r="E512">
            <v>11461307.3742228</v>
          </cell>
          <cell r="F512">
            <v>10332709.853382301</v>
          </cell>
          <cell r="G512">
            <v>9226998.9923037998</v>
          </cell>
          <cell r="H512">
            <v>9335074.7401503995</v>
          </cell>
          <cell r="I512">
            <v>8842878.4545478001</v>
          </cell>
          <cell r="J512">
            <v>8799270.2708090991</v>
          </cell>
          <cell r="K512">
            <v>9660569.5022077002</v>
          </cell>
          <cell r="L512">
            <v>8666797.6898558997</v>
          </cell>
          <cell r="M512">
            <v>10567565.829476099</v>
          </cell>
          <cell r="N512">
            <v>13008120.9213393</v>
          </cell>
        </row>
        <row r="513">
          <cell r="A513" t="str">
            <v>GT3_NB</v>
          </cell>
          <cell r="B513" t="str">
            <v>Gen. Service - 3 TRANSP</v>
          </cell>
          <cell r="C513">
            <v>714.25992589999998</v>
          </cell>
          <cell r="D513">
            <v>715.69304729999999</v>
          </cell>
          <cell r="E513">
            <v>716.8452757</v>
          </cell>
          <cell r="F513">
            <v>717.95489980000002</v>
          </cell>
          <cell r="G513">
            <v>719.15593869999998</v>
          </cell>
          <cell r="H513">
            <v>720.09151229999998</v>
          </cell>
          <cell r="I513">
            <v>749.04678820000004</v>
          </cell>
          <cell r="J513">
            <v>750.02723019999996</v>
          </cell>
          <cell r="K513">
            <v>751.0224422</v>
          </cell>
          <cell r="L513">
            <v>752.01747580000006</v>
          </cell>
          <cell r="M513">
            <v>753.01239429999998</v>
          </cell>
          <cell r="N513">
            <v>754.00726480000003</v>
          </cell>
        </row>
        <row r="514">
          <cell r="A514" t="str">
            <v>GT3_TH</v>
          </cell>
          <cell r="B514" t="str">
            <v>Gen. Service - 3 TRANSP</v>
          </cell>
          <cell r="C514">
            <v>7857711.0510863001</v>
          </cell>
          <cell r="D514">
            <v>7263077.2003396004</v>
          </cell>
          <cell r="E514">
            <v>7170894.5791967995</v>
          </cell>
          <cell r="F514">
            <v>5914273.504435</v>
          </cell>
          <cell r="G514">
            <v>5712332.0309606995</v>
          </cell>
          <cell r="H514">
            <v>5587061.8231421998</v>
          </cell>
          <cell r="I514">
            <v>5436278.3485944998</v>
          </cell>
          <cell r="J514">
            <v>5131603.2153033996</v>
          </cell>
          <cell r="K514">
            <v>5485774.1023064004</v>
          </cell>
          <cell r="L514">
            <v>5514743.8897051001</v>
          </cell>
          <cell r="M514">
            <v>6487053.4084766004</v>
          </cell>
          <cell r="N514">
            <v>7782994.5104962997</v>
          </cell>
        </row>
        <row r="515">
          <cell r="A515" t="str">
            <v>GT4_NB</v>
          </cell>
          <cell r="B515" t="str">
            <v>Gen. Service - 4 TRANSP</v>
          </cell>
          <cell r="C515">
            <v>138</v>
          </cell>
          <cell r="D515">
            <v>138</v>
          </cell>
          <cell r="E515">
            <v>138</v>
          </cell>
          <cell r="F515">
            <v>138</v>
          </cell>
          <cell r="G515">
            <v>138</v>
          </cell>
          <cell r="H515">
            <v>138</v>
          </cell>
          <cell r="I515">
            <v>139</v>
          </cell>
          <cell r="J515">
            <v>139</v>
          </cell>
          <cell r="K515">
            <v>139</v>
          </cell>
          <cell r="L515">
            <v>139</v>
          </cell>
          <cell r="M515">
            <v>139</v>
          </cell>
          <cell r="N515">
            <v>139</v>
          </cell>
        </row>
        <row r="516">
          <cell r="A516" t="str">
            <v>GT4_TH</v>
          </cell>
          <cell r="B516" t="str">
            <v>Gen. Service - 4 TRANSP</v>
          </cell>
          <cell r="C516">
            <v>4999884.0005136998</v>
          </cell>
          <cell r="D516">
            <v>4564893.2977018999</v>
          </cell>
          <cell r="E516">
            <v>4725621.9262637002</v>
          </cell>
          <cell r="F516">
            <v>4703492.4318680996</v>
          </cell>
          <cell r="G516">
            <v>4620925.3262636997</v>
          </cell>
          <cell r="H516">
            <v>4438580.9818681004</v>
          </cell>
          <cell r="I516">
            <v>4661329.7429304002</v>
          </cell>
          <cell r="J516">
            <v>4582893.5429304</v>
          </cell>
          <cell r="K516">
            <v>4507871.6485347999</v>
          </cell>
          <cell r="L516">
            <v>4278804.4429304004</v>
          </cell>
          <cell r="M516">
            <v>4416972.4485347997</v>
          </cell>
          <cell r="N516">
            <v>4614525.7429304002</v>
          </cell>
        </row>
        <row r="517">
          <cell r="A517" t="str">
            <v>GT5_NB</v>
          </cell>
          <cell r="B517" t="str">
            <v>Gen. Service -5 TRANSP</v>
          </cell>
          <cell r="C517">
            <v>188</v>
          </cell>
          <cell r="D517">
            <v>188</v>
          </cell>
          <cell r="E517">
            <v>189</v>
          </cell>
          <cell r="F517">
            <v>189</v>
          </cell>
          <cell r="G517">
            <v>191</v>
          </cell>
          <cell r="H517">
            <v>191</v>
          </cell>
          <cell r="I517">
            <v>192</v>
          </cell>
          <cell r="J517">
            <v>192</v>
          </cell>
          <cell r="K517">
            <v>192</v>
          </cell>
          <cell r="L517">
            <v>192</v>
          </cell>
          <cell r="M517">
            <v>192</v>
          </cell>
          <cell r="N517">
            <v>192</v>
          </cell>
        </row>
        <row r="518">
          <cell r="A518" t="str">
            <v>GT5_TH</v>
          </cell>
          <cell r="B518" t="str">
            <v>Gen. Service -5 TRANSP</v>
          </cell>
          <cell r="C518">
            <v>13773678.552450599</v>
          </cell>
          <cell r="D518">
            <v>12459177.9715521</v>
          </cell>
          <cell r="E518">
            <v>13953746.128250601</v>
          </cell>
          <cell r="F518">
            <v>13493672.107984399</v>
          </cell>
          <cell r="G518">
            <v>13363553.4782506</v>
          </cell>
          <cell r="H518">
            <v>13294129.2579844</v>
          </cell>
          <cell r="I518">
            <v>13041456.6782506</v>
          </cell>
          <cell r="J518">
            <v>13437026.528250599</v>
          </cell>
          <cell r="K518">
            <v>12965512.957984401</v>
          </cell>
          <cell r="L518">
            <v>13729528.528250599</v>
          </cell>
          <cell r="M518">
            <v>13873187.5079844</v>
          </cell>
          <cell r="N518">
            <v>13812973.628250601</v>
          </cell>
        </row>
        <row r="519">
          <cell r="A519" t="str">
            <v>ITS_NB</v>
          </cell>
          <cell r="B519" t="str">
            <v>Interruptible Large Volume 1</v>
          </cell>
          <cell r="C519">
            <v>14</v>
          </cell>
          <cell r="D519">
            <v>14</v>
          </cell>
          <cell r="E519">
            <v>14</v>
          </cell>
          <cell r="F519">
            <v>14</v>
          </cell>
          <cell r="G519">
            <v>14</v>
          </cell>
          <cell r="H519">
            <v>14</v>
          </cell>
          <cell r="I519">
            <v>14</v>
          </cell>
          <cell r="J519">
            <v>14</v>
          </cell>
          <cell r="K519">
            <v>14</v>
          </cell>
          <cell r="L519">
            <v>14</v>
          </cell>
          <cell r="M519">
            <v>14</v>
          </cell>
          <cell r="N519">
            <v>14</v>
          </cell>
        </row>
        <row r="520">
          <cell r="A520" t="str">
            <v>ITS_TH</v>
          </cell>
          <cell r="B520" t="str">
            <v>Interruptible Large Volume 1</v>
          </cell>
          <cell r="C520">
            <v>11927537.7786</v>
          </cell>
          <cell r="D520">
            <v>10771413.6753</v>
          </cell>
          <cell r="E520">
            <v>13797713.6</v>
          </cell>
          <cell r="F520">
            <v>12723665.65</v>
          </cell>
          <cell r="G520">
            <v>12509443.199999999</v>
          </cell>
          <cell r="H520">
            <v>11903365.4</v>
          </cell>
          <cell r="I520">
            <v>12200225.75</v>
          </cell>
          <cell r="J520">
            <v>10946573.4</v>
          </cell>
          <cell r="K520">
            <v>10256106.4</v>
          </cell>
          <cell r="L520">
            <v>11721916.9</v>
          </cell>
          <cell r="M520">
            <v>11430868.85</v>
          </cell>
          <cell r="N520">
            <v>12903782.9</v>
          </cell>
        </row>
        <row r="521">
          <cell r="A521" t="str">
            <v>OSS_NB</v>
          </cell>
          <cell r="B521" t="str">
            <v>Off System Sales</v>
          </cell>
          <cell r="C521">
            <v>4</v>
          </cell>
          <cell r="D521">
            <v>4</v>
          </cell>
          <cell r="E521">
            <v>4</v>
          </cell>
          <cell r="F521">
            <v>4</v>
          </cell>
          <cell r="G521">
            <v>4</v>
          </cell>
          <cell r="H521">
            <v>4</v>
          </cell>
          <cell r="I521">
            <v>4</v>
          </cell>
          <cell r="J521">
            <v>4</v>
          </cell>
          <cell r="K521">
            <v>4</v>
          </cell>
          <cell r="L521">
            <v>4</v>
          </cell>
          <cell r="M521">
            <v>4</v>
          </cell>
          <cell r="N521">
            <v>4</v>
          </cell>
        </row>
        <row r="522">
          <cell r="A522" t="str">
            <v>OSS_TH</v>
          </cell>
          <cell r="B522" t="str">
            <v>Off System Sales</v>
          </cell>
          <cell r="C522">
            <v>5896000</v>
          </cell>
          <cell r="D522">
            <v>5506000</v>
          </cell>
          <cell r="E522">
            <v>5988000</v>
          </cell>
          <cell r="F522">
            <v>5646000</v>
          </cell>
          <cell r="G522">
            <v>6005000</v>
          </cell>
          <cell r="H522">
            <v>6029000</v>
          </cell>
          <cell r="I522">
            <v>5744000</v>
          </cell>
          <cell r="J522">
            <v>5646000</v>
          </cell>
          <cell r="K522">
            <v>5641000</v>
          </cell>
          <cell r="L522">
            <v>4483000</v>
          </cell>
          <cell r="M522">
            <v>4136000</v>
          </cell>
          <cell r="N522">
            <v>4062000</v>
          </cell>
        </row>
        <row r="523">
          <cell r="A523" t="str">
            <v>R_01</v>
          </cell>
          <cell r="B523" t="str">
            <v>A_601- Labor</v>
          </cell>
          <cell r="C523">
            <v>4249745.1434163004</v>
          </cell>
          <cell r="D523">
            <v>3923451.3353557</v>
          </cell>
          <cell r="E523">
            <v>4513792.9534368999</v>
          </cell>
          <cell r="F523">
            <v>3919054.0534593002</v>
          </cell>
          <cell r="G523">
            <v>4510310.4223720999</v>
          </cell>
          <cell r="H523">
            <v>4521611.7533315998</v>
          </cell>
          <cell r="I523">
            <v>4199159.1861188002</v>
          </cell>
          <cell r="J523">
            <v>4577201.6280838</v>
          </cell>
          <cell r="K523">
            <v>4169024.2026900002</v>
          </cell>
          <cell r="L523">
            <v>4369877.8452930003</v>
          </cell>
          <cell r="M523">
            <v>4783668.6702151</v>
          </cell>
          <cell r="N523">
            <v>4451843.6138257999</v>
          </cell>
        </row>
        <row r="524">
          <cell r="A524" t="str">
            <v>R_02</v>
          </cell>
          <cell r="B524" t="str">
            <v>A_602- HR Benefits</v>
          </cell>
          <cell r="C524">
            <v>-415353.42742209998</v>
          </cell>
          <cell r="D524">
            <v>-302076.51574130001</v>
          </cell>
          <cell r="E524">
            <v>-511696.42086680001</v>
          </cell>
          <cell r="F524">
            <v>-300952.18056140002</v>
          </cell>
          <cell r="G524">
            <v>-519025.19555280003</v>
          </cell>
          <cell r="H524">
            <v>-499577.60812689998</v>
          </cell>
          <cell r="I524">
            <v>-374539.31170650001</v>
          </cell>
          <cell r="J524">
            <v>-507299.94712949998</v>
          </cell>
          <cell r="K524">
            <v>-366673.97438959999</v>
          </cell>
          <cell r="L524">
            <v>-439313.50016689999</v>
          </cell>
          <cell r="M524">
            <v>-640538.59166679997</v>
          </cell>
          <cell r="N524">
            <v>-511503.6715542</v>
          </cell>
        </row>
        <row r="525">
          <cell r="A525" t="str">
            <v>R_03</v>
          </cell>
          <cell r="B525" t="str">
            <v>A_6020100- LTI Incentive</v>
          </cell>
          <cell r="C525">
            <v>0</v>
          </cell>
          <cell r="D525">
            <v>0</v>
          </cell>
          <cell r="E525">
            <v>579374.96043710003</v>
          </cell>
          <cell r="F525">
            <v>0</v>
          </cell>
          <cell r="G525">
            <v>0</v>
          </cell>
          <cell r="H525">
            <v>579374.96043710003</v>
          </cell>
          <cell r="I525">
            <v>0</v>
          </cell>
          <cell r="J525">
            <v>0</v>
          </cell>
          <cell r="K525">
            <v>579374.96043710003</v>
          </cell>
          <cell r="L525">
            <v>0</v>
          </cell>
          <cell r="M525">
            <v>0</v>
          </cell>
          <cell r="N525">
            <v>579374.96043710003</v>
          </cell>
        </row>
        <row r="526">
          <cell r="A526" t="str">
            <v>R_04</v>
          </cell>
          <cell r="B526" t="str">
            <v>A_6020130/6020131/6020140- 401K Match</v>
          </cell>
          <cell r="C526">
            <v>225114.66666670001</v>
          </cell>
          <cell r="D526">
            <v>225114.66666670001</v>
          </cell>
          <cell r="E526">
            <v>225114.66666670001</v>
          </cell>
          <cell r="F526">
            <v>225114.66666670001</v>
          </cell>
          <cell r="G526">
            <v>225114.66666670001</v>
          </cell>
          <cell r="H526">
            <v>225114.66666670001</v>
          </cell>
          <cell r="I526">
            <v>225114.66666670001</v>
          </cell>
          <cell r="J526">
            <v>225114.66666670001</v>
          </cell>
          <cell r="K526">
            <v>225114.66666670001</v>
          </cell>
          <cell r="L526">
            <v>225114.66666670001</v>
          </cell>
          <cell r="M526">
            <v>225114.66666670001</v>
          </cell>
          <cell r="N526">
            <v>225114.66666670001</v>
          </cell>
        </row>
        <row r="527">
          <cell r="A527" t="str">
            <v>R_07</v>
          </cell>
          <cell r="B527" t="str">
            <v>A_P6020000- Fringe  29% - O&amp;M</v>
          </cell>
          <cell r="C527">
            <v>1218002.5721185999</v>
          </cell>
          <cell r="D527">
            <v>1125739.8529610001</v>
          </cell>
          <cell r="E527">
            <v>1290302.4393058999</v>
          </cell>
          <cell r="F527">
            <v>1122447.238192</v>
          </cell>
          <cell r="G527">
            <v>1296213.0989226</v>
          </cell>
          <cell r="H527">
            <v>1303446.4754584001</v>
          </cell>
          <cell r="I527">
            <v>1205579.7234415</v>
          </cell>
          <cell r="J527">
            <v>1312909.2994832001</v>
          </cell>
          <cell r="K527">
            <v>1199014.1926116999</v>
          </cell>
          <cell r="L527">
            <v>1258519.2647468999</v>
          </cell>
          <cell r="M527">
            <v>1382969.7396929001</v>
          </cell>
          <cell r="N527">
            <v>1283504.5288768001</v>
          </cell>
        </row>
        <row r="528">
          <cell r="A528" t="str">
            <v>R_08</v>
          </cell>
          <cell r="B528" t="str">
            <v>A_603- Employee Expenses</v>
          </cell>
          <cell r="C528">
            <v>124939.99975430001</v>
          </cell>
          <cell r="D528">
            <v>145277.99975429999</v>
          </cell>
          <cell r="E528">
            <v>170101.77975429999</v>
          </cell>
          <cell r="F528">
            <v>177679.4448495</v>
          </cell>
          <cell r="G528">
            <v>151108.28484949999</v>
          </cell>
          <cell r="H528">
            <v>171764.75431260001</v>
          </cell>
          <cell r="I528">
            <v>157574.099789</v>
          </cell>
          <cell r="J528">
            <v>172882.82246600001</v>
          </cell>
          <cell r="K528">
            <v>183516.7288214</v>
          </cell>
          <cell r="L528">
            <v>183264.44734899999</v>
          </cell>
          <cell r="M528">
            <v>152465.640629</v>
          </cell>
          <cell r="N528">
            <v>161680.70399559999</v>
          </cell>
        </row>
        <row r="529">
          <cell r="A529" t="str">
            <v>R_09</v>
          </cell>
          <cell r="B529" t="str">
            <v>A_610- Subcontracted Service</v>
          </cell>
          <cell r="C529">
            <v>1911587.3607933</v>
          </cell>
          <cell r="D529">
            <v>1959359.4981163</v>
          </cell>
          <cell r="E529">
            <v>2245483.3830324002</v>
          </cell>
          <cell r="F529">
            <v>1934768.7388142999</v>
          </cell>
          <cell r="G529">
            <v>2332070.0282689999</v>
          </cell>
          <cell r="H529">
            <v>2408943.4684728999</v>
          </cell>
          <cell r="I529">
            <v>2215055.1608658</v>
          </cell>
          <cell r="J529">
            <v>2039003.8978335999</v>
          </cell>
          <cell r="K529">
            <v>2187158.8789126002</v>
          </cell>
          <cell r="L529">
            <v>3832739.9244575002</v>
          </cell>
          <cell r="M529">
            <v>2649742.3864103998</v>
          </cell>
          <cell r="N529">
            <v>2663927.1023880998</v>
          </cell>
        </row>
        <row r="530">
          <cell r="A530" t="str">
            <v>R_13</v>
          </cell>
          <cell r="B530" t="str">
            <v>A_640- Materical &amp; Supplies</v>
          </cell>
          <cell r="C530">
            <v>255632.36257999999</v>
          </cell>
          <cell r="D530">
            <v>255891.42258000001</v>
          </cell>
          <cell r="E530">
            <v>254938.75258</v>
          </cell>
          <cell r="F530">
            <v>266598.74767999997</v>
          </cell>
          <cell r="G530">
            <v>256883.97768000001</v>
          </cell>
          <cell r="H530">
            <v>266886.52375370002</v>
          </cell>
          <cell r="I530">
            <v>258864.93922229999</v>
          </cell>
          <cell r="J530">
            <v>256862.94278000001</v>
          </cell>
          <cell r="K530">
            <v>258224.94278000001</v>
          </cell>
          <cell r="L530">
            <v>267361.61278000002</v>
          </cell>
          <cell r="M530">
            <v>258464.9387425</v>
          </cell>
          <cell r="N530">
            <v>259290.08675350001</v>
          </cell>
        </row>
        <row r="531">
          <cell r="A531" t="str">
            <v>R_14</v>
          </cell>
          <cell r="B531" t="str">
            <v>A_650- Transportation</v>
          </cell>
          <cell r="C531">
            <v>29441.6900131</v>
          </cell>
          <cell r="D531">
            <v>29441.6900131</v>
          </cell>
          <cell r="E531">
            <v>29441.6900131</v>
          </cell>
          <cell r="F531">
            <v>29441.6900131</v>
          </cell>
          <cell r="G531">
            <v>29441.6900131</v>
          </cell>
          <cell r="H531">
            <v>29441.6900131</v>
          </cell>
          <cell r="I531">
            <v>29441.6900131</v>
          </cell>
          <cell r="J531">
            <v>29441.6900131</v>
          </cell>
          <cell r="K531">
            <v>29441.6900131</v>
          </cell>
          <cell r="L531">
            <v>29441.6900131</v>
          </cell>
          <cell r="M531">
            <v>29441.6900131</v>
          </cell>
          <cell r="N531">
            <v>29441.6900131</v>
          </cell>
        </row>
        <row r="532">
          <cell r="A532" t="str">
            <v>R_15</v>
          </cell>
          <cell r="B532" t="str">
            <v>A_670-Insurance(Property Ins., I&amp;D, Excess Liab., Other Ins)</v>
          </cell>
          <cell r="C532">
            <v>10234.26</v>
          </cell>
          <cell r="D532">
            <v>10234.26</v>
          </cell>
          <cell r="E532">
            <v>11435.19</v>
          </cell>
          <cell r="F532">
            <v>8859.26</v>
          </cell>
          <cell r="G532">
            <v>8859.26</v>
          </cell>
          <cell r="H532">
            <v>10998.22</v>
          </cell>
          <cell r="I532">
            <v>9797.35</v>
          </cell>
          <cell r="J532">
            <v>9797.35</v>
          </cell>
          <cell r="K532">
            <v>10998.28</v>
          </cell>
          <cell r="L532">
            <v>9797.35</v>
          </cell>
          <cell r="M532">
            <v>9797.35</v>
          </cell>
          <cell r="N532">
            <v>27498.28</v>
          </cell>
        </row>
        <row r="533">
          <cell r="A533" t="str">
            <v>R_16</v>
          </cell>
          <cell r="B533" t="str">
            <v>A_671- Rent</v>
          </cell>
          <cell r="C533">
            <v>56128.370833300003</v>
          </cell>
          <cell r="D533">
            <v>67598.900833299995</v>
          </cell>
          <cell r="E533">
            <v>58453.770833299997</v>
          </cell>
          <cell r="F533">
            <v>57343.680833300001</v>
          </cell>
          <cell r="G533">
            <v>76009.280833299999</v>
          </cell>
          <cell r="H533">
            <v>66128.970833300002</v>
          </cell>
          <cell r="I533">
            <v>59275.5708333</v>
          </cell>
          <cell r="J533">
            <v>65924.570833299993</v>
          </cell>
          <cell r="K533">
            <v>58545.970833300002</v>
          </cell>
          <cell r="L533">
            <v>57045.970833300002</v>
          </cell>
          <cell r="M533">
            <v>218264.57033330001</v>
          </cell>
          <cell r="N533">
            <v>95067.970833300002</v>
          </cell>
        </row>
        <row r="534">
          <cell r="A534" t="str">
            <v>R_17</v>
          </cell>
          <cell r="B534" t="str">
            <v>A_672- Lease</v>
          </cell>
          <cell r="C534">
            <v>35873.096666600002</v>
          </cell>
          <cell r="D534">
            <v>35873.096666600002</v>
          </cell>
          <cell r="E534">
            <v>35873.096666600002</v>
          </cell>
          <cell r="F534">
            <v>35873.096666600002</v>
          </cell>
          <cell r="G534">
            <v>35873.096666600002</v>
          </cell>
          <cell r="H534">
            <v>35873.096666600002</v>
          </cell>
          <cell r="I534">
            <v>35873.096666600002</v>
          </cell>
          <cell r="J534">
            <v>35873.096666600002</v>
          </cell>
          <cell r="K534">
            <v>35873.096666600002</v>
          </cell>
          <cell r="L534">
            <v>35873.096666600002</v>
          </cell>
          <cell r="M534">
            <v>35873.096666600002</v>
          </cell>
          <cell r="N534">
            <v>35873.096666600002</v>
          </cell>
        </row>
        <row r="535">
          <cell r="A535" t="str">
            <v>R_18</v>
          </cell>
          <cell r="B535" t="str">
            <v>A_673- Utility</v>
          </cell>
          <cell r="C535">
            <v>226133.7566157</v>
          </cell>
          <cell r="D535">
            <v>225533.7566157</v>
          </cell>
          <cell r="E535">
            <v>225285.4166157</v>
          </cell>
          <cell r="F535">
            <v>225589.42733589999</v>
          </cell>
          <cell r="G535">
            <v>225689.42733589999</v>
          </cell>
          <cell r="H535">
            <v>226596.10733589999</v>
          </cell>
          <cell r="I535">
            <v>226771.53805599999</v>
          </cell>
          <cell r="J535">
            <v>226841.53805599999</v>
          </cell>
          <cell r="K535">
            <v>226541.53805599999</v>
          </cell>
          <cell r="L535">
            <v>226141.53805599999</v>
          </cell>
          <cell r="M535">
            <v>226341.55805600001</v>
          </cell>
          <cell r="N535">
            <v>226846.98877620001</v>
          </cell>
        </row>
        <row r="536">
          <cell r="A536" t="str">
            <v>R_19</v>
          </cell>
          <cell r="B536" t="str">
            <v>A_678 -679- Misc. Billing/Other Operational</v>
          </cell>
          <cell r="C536">
            <v>-94072.765333200005</v>
          </cell>
          <cell r="D536">
            <v>-94072.765333200005</v>
          </cell>
          <cell r="E536">
            <v>-94072.765333200005</v>
          </cell>
          <cell r="F536">
            <v>-94072.765333200005</v>
          </cell>
          <cell r="G536">
            <v>-94072.765333200005</v>
          </cell>
          <cell r="H536">
            <v>-94072.765333200005</v>
          </cell>
          <cell r="I536">
            <v>-94072.765333200005</v>
          </cell>
          <cell r="J536">
            <v>-94072.765333200005</v>
          </cell>
          <cell r="K536">
            <v>-94072.765333200005</v>
          </cell>
          <cell r="L536">
            <v>-94072.765333200005</v>
          </cell>
          <cell r="M536">
            <v>-94072.765333200005</v>
          </cell>
          <cell r="N536">
            <v>-94072.765333200005</v>
          </cell>
        </row>
        <row r="537">
          <cell r="A537" t="str">
            <v>R_20</v>
          </cell>
          <cell r="B537" t="str">
            <v>A_6790010- Bad Debt</v>
          </cell>
          <cell r="C537">
            <v>1014884.7152269999</v>
          </cell>
          <cell r="D537">
            <v>1030907.0821347</v>
          </cell>
          <cell r="E537">
            <v>1051580.5434961</v>
          </cell>
          <cell r="F537">
            <v>1123463.9142201999</v>
          </cell>
          <cell r="G537">
            <v>1053712.3942201999</v>
          </cell>
          <cell r="H537">
            <v>1095599.1542201999</v>
          </cell>
          <cell r="I537">
            <v>1135376.0514541999</v>
          </cell>
          <cell r="J537">
            <v>1052876.0514541999</v>
          </cell>
          <cell r="K537">
            <v>1052718.8458024</v>
          </cell>
          <cell r="L537">
            <v>1122828.5557452999</v>
          </cell>
          <cell r="M537">
            <v>1050328.5557452999</v>
          </cell>
          <cell r="N537">
            <v>1139137.6916815999</v>
          </cell>
        </row>
        <row r="538">
          <cell r="A538" t="str">
            <v>R_22</v>
          </cell>
          <cell r="B538" t="str">
            <v>For Future Use</v>
          </cell>
          <cell r="C538">
            <v>-635882.97009349999</v>
          </cell>
          <cell r="D538">
            <v>-657297.63278840005</v>
          </cell>
          <cell r="E538">
            <v>-620113.48097419995</v>
          </cell>
          <cell r="F538">
            <v>-657954.93090459995</v>
          </cell>
          <cell r="G538">
            <v>-617171.51590520004</v>
          </cell>
          <cell r="H538">
            <v>-608833.37332000001</v>
          </cell>
          <cell r="I538">
            <v>-638614.61293199996</v>
          </cell>
          <cell r="J538">
            <v>-613923.77278979996</v>
          </cell>
          <cell r="K538">
            <v>-639686.53760289995</v>
          </cell>
          <cell r="L538">
            <v>-625970.63505040004</v>
          </cell>
          <cell r="M538">
            <v>-609100.82328170002</v>
          </cell>
          <cell r="N538">
            <v>-637664.44925069995</v>
          </cell>
        </row>
        <row r="539">
          <cell r="A539" t="str">
            <v>RG1_NB</v>
          </cell>
          <cell r="B539" t="str">
            <v>Residential-General Service  1</v>
          </cell>
          <cell r="C539">
            <v>2536.1392025</v>
          </cell>
          <cell r="D539">
            <v>2543.8781061999998</v>
          </cell>
          <cell r="E539">
            <v>2552.1280394999999</v>
          </cell>
          <cell r="F539">
            <v>2560.8492305</v>
          </cell>
          <cell r="G539">
            <v>2569.1512843999999</v>
          </cell>
          <cell r="H539">
            <v>2576.7776297</v>
          </cell>
          <cell r="I539">
            <v>2668.8232119999998</v>
          </cell>
          <cell r="J539">
            <v>2675.4733771000001</v>
          </cell>
          <cell r="K539">
            <v>2682.3111739999999</v>
          </cell>
          <cell r="L539">
            <v>2689.1530840999999</v>
          </cell>
          <cell r="M539">
            <v>2695.9991454000001</v>
          </cell>
          <cell r="N539">
            <v>2702.8498478000001</v>
          </cell>
        </row>
        <row r="540">
          <cell r="A540" t="str">
            <v>RG1_TH</v>
          </cell>
          <cell r="B540" t="str">
            <v>Residential-General Service  1</v>
          </cell>
          <cell r="C540">
            <v>980559.63617409999</v>
          </cell>
          <cell r="D540">
            <v>877214.19744180003</v>
          </cell>
          <cell r="E540">
            <v>776042.74511719996</v>
          </cell>
          <cell r="F540">
            <v>602395.58480099996</v>
          </cell>
          <cell r="G540">
            <v>297893.73347799998</v>
          </cell>
          <cell r="H540">
            <v>185269.48422020001</v>
          </cell>
          <cell r="I540">
            <v>220149.50710829999</v>
          </cell>
          <cell r="J540">
            <v>135896.00359460001</v>
          </cell>
          <cell r="K540">
            <v>202975.85600599999</v>
          </cell>
          <cell r="L540">
            <v>228321.4780495</v>
          </cell>
          <cell r="M540">
            <v>645305.94969849999</v>
          </cell>
          <cell r="N540">
            <v>1077667.0876919001</v>
          </cell>
        </row>
        <row r="541">
          <cell r="A541" t="str">
            <v>RG2_NB</v>
          </cell>
          <cell r="B541" t="str">
            <v>Residential-General Service  2</v>
          </cell>
          <cell r="C541">
            <v>52.628293599999999</v>
          </cell>
          <cell r="D541">
            <v>52.719914899999999</v>
          </cell>
          <cell r="E541">
            <v>52.815585400000003</v>
          </cell>
          <cell r="F541">
            <v>52.914719499999997</v>
          </cell>
          <cell r="G541">
            <v>53.011405400000001</v>
          </cell>
          <cell r="H541">
            <v>53.103721499999999</v>
          </cell>
          <cell r="I541">
            <v>58.020885800000002</v>
          </cell>
          <cell r="J541">
            <v>58.1068335</v>
          </cell>
          <cell r="K541">
            <v>58.195489899999998</v>
          </cell>
          <cell r="L541">
            <v>58.284745700000002</v>
          </cell>
          <cell r="M541">
            <v>58.374604599999998</v>
          </cell>
          <cell r="N541">
            <v>58.465259000000003</v>
          </cell>
        </row>
        <row r="542">
          <cell r="A542" t="str">
            <v>RG2_TH</v>
          </cell>
          <cell r="B542" t="str">
            <v>Residential-General Service  2</v>
          </cell>
          <cell r="C542">
            <v>77931.327708099998</v>
          </cell>
          <cell r="D542">
            <v>98339.464297300001</v>
          </cell>
          <cell r="E542">
            <v>53892.762987800001</v>
          </cell>
          <cell r="F542">
            <v>50790.000764999997</v>
          </cell>
          <cell r="G542">
            <v>33272.4329573</v>
          </cell>
          <cell r="H542">
            <v>26851.0371662</v>
          </cell>
          <cell r="I542">
            <v>25711.674571200001</v>
          </cell>
          <cell r="J542">
            <v>18351.459722700001</v>
          </cell>
          <cell r="K542">
            <v>23651.0092616</v>
          </cell>
          <cell r="L542">
            <v>36200.769022799999</v>
          </cell>
          <cell r="M542">
            <v>58257.143222999999</v>
          </cell>
          <cell r="N542">
            <v>82341.932036300001</v>
          </cell>
        </row>
        <row r="543">
          <cell r="A543" t="str">
            <v>RG3_NB</v>
          </cell>
          <cell r="B543" t="str">
            <v>Residential-General Service  3</v>
          </cell>
          <cell r="C543">
            <v>2.1251426000000002</v>
          </cell>
          <cell r="D543">
            <v>2.1386085000000001</v>
          </cell>
          <cell r="E543">
            <v>2.1521387000000001</v>
          </cell>
          <cell r="F543">
            <v>2.1657296000000001</v>
          </cell>
          <cell r="G543">
            <v>2.1793781000000001</v>
          </cell>
          <cell r="H543">
            <v>2.1930809999999998</v>
          </cell>
          <cell r="I543">
            <v>26.700878599999999</v>
          </cell>
          <cell r="J543">
            <v>26.799541900000001</v>
          </cell>
          <cell r="K543">
            <v>26.904026000000002</v>
          </cell>
          <cell r="L543">
            <v>27.008608299999999</v>
          </cell>
          <cell r="M543">
            <v>27.113283899999999</v>
          </cell>
          <cell r="N543">
            <v>27.218048199999998</v>
          </cell>
        </row>
        <row r="544">
          <cell r="A544" t="str">
            <v>RG3_TH</v>
          </cell>
          <cell r="B544" t="str">
            <v>Residential-General Service  3</v>
          </cell>
          <cell r="C544">
            <v>1236.3861340999999</v>
          </cell>
          <cell r="D544">
            <v>4580.6121776999998</v>
          </cell>
          <cell r="E544">
            <v>2830.4326086999999</v>
          </cell>
          <cell r="F544">
            <v>898.93341469999996</v>
          </cell>
          <cell r="G544">
            <v>1272.8067782999999</v>
          </cell>
          <cell r="H544">
            <v>2709.9878343999999</v>
          </cell>
          <cell r="I544">
            <v>331.79759380000002</v>
          </cell>
          <cell r="J544">
            <v>1364.2111222999999</v>
          </cell>
          <cell r="K544">
            <v>1082.8299367</v>
          </cell>
          <cell r="L544">
            <v>1254.233927</v>
          </cell>
          <cell r="M544">
            <v>1724.3756461999999</v>
          </cell>
          <cell r="N544">
            <v>2663.8764114999999</v>
          </cell>
        </row>
        <row r="545">
          <cell r="A545" t="str">
            <v>RHP_NB</v>
          </cell>
          <cell r="B545" t="str">
            <v>Residential Gas Heat Pump</v>
          </cell>
          <cell r="C545">
            <v>2</v>
          </cell>
          <cell r="D545">
            <v>2</v>
          </cell>
          <cell r="E545">
            <v>2</v>
          </cell>
          <cell r="F545">
            <v>2</v>
          </cell>
          <cell r="G545">
            <v>2</v>
          </cell>
          <cell r="H545">
            <v>2</v>
          </cell>
          <cell r="I545">
            <v>2</v>
          </cell>
          <cell r="J545">
            <v>2</v>
          </cell>
          <cell r="K545">
            <v>2</v>
          </cell>
          <cell r="L545">
            <v>2</v>
          </cell>
          <cell r="M545">
            <v>2</v>
          </cell>
          <cell r="N545">
            <v>2</v>
          </cell>
        </row>
        <row r="546">
          <cell r="A546" t="str">
            <v>RHP_TH</v>
          </cell>
          <cell r="B546" t="str">
            <v>Residential Gas Heat Pump</v>
          </cell>
          <cell r="C546">
            <v>638</v>
          </cell>
          <cell r="D546">
            <v>638</v>
          </cell>
          <cell r="E546">
            <v>638</v>
          </cell>
          <cell r="F546">
            <v>638</v>
          </cell>
          <cell r="G546">
            <v>638</v>
          </cell>
          <cell r="H546">
            <v>638</v>
          </cell>
          <cell r="I546">
            <v>638</v>
          </cell>
          <cell r="J546">
            <v>638</v>
          </cell>
          <cell r="K546">
            <v>638</v>
          </cell>
          <cell r="L546">
            <v>638</v>
          </cell>
          <cell r="M546">
            <v>638</v>
          </cell>
          <cell r="N546">
            <v>638</v>
          </cell>
        </row>
        <row r="547">
          <cell r="A547" t="str">
            <v>RS1_NB</v>
          </cell>
          <cell r="B547" t="str">
            <v>Residential - 1</v>
          </cell>
          <cell r="C547">
            <v>117282.4641725</v>
          </cell>
          <cell r="D547">
            <v>117602.7224571</v>
          </cell>
          <cell r="E547">
            <v>117940.30345370001</v>
          </cell>
          <cell r="F547">
            <v>118274.4692521</v>
          </cell>
          <cell r="G547">
            <v>118589.42522410001</v>
          </cell>
          <cell r="H547">
            <v>118891.77501110001</v>
          </cell>
          <cell r="I547">
            <v>114816.15553810001</v>
          </cell>
          <cell r="J547">
            <v>115084.07935660001</v>
          </cell>
          <cell r="K547">
            <v>115363.725808</v>
          </cell>
          <cell r="L547">
            <v>115647.53895669999</v>
          </cell>
          <cell r="M547">
            <v>115935.26394010001</v>
          </cell>
          <cell r="N547">
            <v>116225.64817470001</v>
          </cell>
        </row>
        <row r="548">
          <cell r="A548" t="str">
            <v>RS1_TH</v>
          </cell>
          <cell r="B548" t="str">
            <v>Residential - 1</v>
          </cell>
          <cell r="C548">
            <v>1308812.7660439999</v>
          </cell>
          <cell r="D548">
            <v>1131719.0008694001</v>
          </cell>
          <cell r="E548">
            <v>994353.63977719995</v>
          </cell>
          <cell r="F548">
            <v>800785.12019160006</v>
          </cell>
          <cell r="G548">
            <v>591741.9109743</v>
          </cell>
          <cell r="H548">
            <v>522972.26221170003</v>
          </cell>
          <cell r="I548">
            <v>413739.87313860003</v>
          </cell>
          <cell r="J548">
            <v>450070.48140799999</v>
          </cell>
          <cell r="K548">
            <v>539548.41612359998</v>
          </cell>
          <cell r="L548">
            <v>524520.73355839995</v>
          </cell>
          <cell r="M548">
            <v>744386.09507230006</v>
          </cell>
          <cell r="N548">
            <v>1082177.8451853001</v>
          </cell>
        </row>
        <row r="549">
          <cell r="A549" t="str">
            <v>RS2_NB</v>
          </cell>
          <cell r="B549" t="str">
            <v>Residential - 2</v>
          </cell>
          <cell r="C549">
            <v>189191.11376889999</v>
          </cell>
          <cell r="D549">
            <v>189737.87494199999</v>
          </cell>
          <cell r="E549">
            <v>190313.79349459999</v>
          </cell>
          <cell r="F549">
            <v>190882.7532217</v>
          </cell>
          <cell r="G549">
            <v>191422.72714860001</v>
          </cell>
          <cell r="H549">
            <v>191942.10055229999</v>
          </cell>
          <cell r="I549">
            <v>198413.85310020001</v>
          </cell>
          <cell r="J549">
            <v>198894.3261186</v>
          </cell>
          <cell r="K549">
            <v>199394.6240063</v>
          </cell>
          <cell r="L549">
            <v>199902.17456079999</v>
          </cell>
          <cell r="M549">
            <v>200416.5076831</v>
          </cell>
          <cell r="N549">
            <v>200935.64301950001</v>
          </cell>
        </row>
        <row r="550">
          <cell r="A550" t="str">
            <v>RS2_TH</v>
          </cell>
          <cell r="B550" t="str">
            <v>Residential - 2</v>
          </cell>
          <cell r="C550">
            <v>5368978.7447252003</v>
          </cell>
          <cell r="D550">
            <v>4709853.9799205996</v>
          </cell>
          <cell r="E550">
            <v>3332040.5632655001</v>
          </cell>
          <cell r="F550">
            <v>2518089.5261327</v>
          </cell>
          <cell r="G550">
            <v>2072763.2584625001</v>
          </cell>
          <cell r="H550">
            <v>1970846.7431073</v>
          </cell>
          <cell r="I550">
            <v>1771259.9425285</v>
          </cell>
          <cell r="J550">
            <v>1797013.9169926001</v>
          </cell>
          <cell r="K550">
            <v>2163888.8939148001</v>
          </cell>
          <cell r="L550">
            <v>2011666.3865821001</v>
          </cell>
          <cell r="M550">
            <v>2741714.1867490001</v>
          </cell>
          <cell r="N550">
            <v>4327869.3560464997</v>
          </cell>
        </row>
        <row r="551">
          <cell r="A551" t="str">
            <v>RS3_NB</v>
          </cell>
          <cell r="B551" t="str">
            <v>Residential - 3</v>
          </cell>
          <cell r="C551">
            <v>117140.22849369999</v>
          </cell>
          <cell r="D551">
            <v>117551.3765847</v>
          </cell>
          <cell r="E551">
            <v>117986.585232</v>
          </cell>
          <cell r="F551">
            <v>118432.41489479999</v>
          </cell>
          <cell r="G551">
            <v>118858.3971379</v>
          </cell>
          <cell r="H551">
            <v>119259.89689819999</v>
          </cell>
          <cell r="I551">
            <v>117895.5241712</v>
          </cell>
          <cell r="J551">
            <v>118245.4119335</v>
          </cell>
          <cell r="K551">
            <v>118606.40816979999</v>
          </cell>
          <cell r="L551">
            <v>118970.0349653</v>
          </cell>
          <cell r="M551">
            <v>119336.07916199999</v>
          </cell>
          <cell r="N551">
            <v>119703.4869401</v>
          </cell>
        </row>
        <row r="552">
          <cell r="A552" t="str">
            <v>RS3_TH</v>
          </cell>
          <cell r="B552" t="str">
            <v>Residential - 3</v>
          </cell>
          <cell r="C552">
            <v>7147083.2521539005</v>
          </cell>
          <cell r="D552">
            <v>6266174.4084510002</v>
          </cell>
          <cell r="E552">
            <v>5290729.2748405002</v>
          </cell>
          <cell r="F552">
            <v>4184844.1095186998</v>
          </cell>
          <cell r="G552">
            <v>2766532.0516375001</v>
          </cell>
          <cell r="H552">
            <v>2189792.0518046999</v>
          </cell>
          <cell r="I552">
            <v>1875561.9428846</v>
          </cell>
          <cell r="J552">
            <v>1897051.2545546</v>
          </cell>
          <cell r="K552">
            <v>2345492.8915104</v>
          </cell>
          <cell r="L552">
            <v>2417127.4800972999</v>
          </cell>
          <cell r="M552">
            <v>3916338.5892705</v>
          </cell>
          <cell r="N552">
            <v>6632053.2023924002</v>
          </cell>
        </row>
        <row r="553">
          <cell r="A553" t="str">
            <v>RSG_NB</v>
          </cell>
          <cell r="B553" t="str">
            <v>Residential Stand by Generator</v>
          </cell>
          <cell r="C553">
            <v>1062.9980125</v>
          </cell>
          <cell r="D553">
            <v>1064.9345037999999</v>
          </cell>
          <cell r="E553">
            <v>1066.9793881000001</v>
          </cell>
          <cell r="F553">
            <v>1069.0084207</v>
          </cell>
          <cell r="G553">
            <v>1070.9286413</v>
          </cell>
          <cell r="H553">
            <v>1072.7669224000001</v>
          </cell>
          <cell r="I553">
            <v>1131.8287949999999</v>
          </cell>
          <cell r="J553">
            <v>1133.5821668000001</v>
          </cell>
          <cell r="K553">
            <v>1135.4108189999999</v>
          </cell>
          <cell r="L553">
            <v>1137.2700837</v>
          </cell>
          <cell r="M553">
            <v>1139.1571391</v>
          </cell>
          <cell r="N553">
            <v>1141.0530421999999</v>
          </cell>
        </row>
        <row r="554">
          <cell r="A554" t="str">
            <v>RSG_TH</v>
          </cell>
          <cell r="B554" t="str">
            <v>Residential Stand by Generator</v>
          </cell>
          <cell r="C554">
            <v>1082</v>
          </cell>
          <cell r="D554">
            <v>1082</v>
          </cell>
          <cell r="E554">
            <v>1082</v>
          </cell>
          <cell r="F554">
            <v>1082</v>
          </cell>
          <cell r="G554">
            <v>1082</v>
          </cell>
          <cell r="H554">
            <v>1082</v>
          </cell>
          <cell r="I554">
            <v>1082</v>
          </cell>
          <cell r="J554">
            <v>1082</v>
          </cell>
          <cell r="K554">
            <v>1082</v>
          </cell>
          <cell r="L554">
            <v>1082</v>
          </cell>
          <cell r="M554">
            <v>1082</v>
          </cell>
          <cell r="N554">
            <v>1082</v>
          </cell>
        </row>
        <row r="555">
          <cell r="A555" t="str">
            <v>RT1_NB</v>
          </cell>
          <cell r="B555" t="str">
            <v>Residential TRANSP General Service 1</v>
          </cell>
          <cell r="C555">
            <v>416.64373690000002</v>
          </cell>
          <cell r="D555">
            <v>418.06252749999999</v>
          </cell>
          <cell r="E555">
            <v>419.6652737</v>
          </cell>
          <cell r="F555">
            <v>421.36235349999998</v>
          </cell>
          <cell r="G555">
            <v>422.92541899999998</v>
          </cell>
          <cell r="H555">
            <v>424.26355389999998</v>
          </cell>
          <cell r="I555">
            <v>403.32355080000002</v>
          </cell>
          <cell r="J555">
            <v>404.38613759999998</v>
          </cell>
          <cell r="K555">
            <v>405.5076492</v>
          </cell>
          <cell r="L555">
            <v>406.63049749999999</v>
          </cell>
          <cell r="M555">
            <v>407.75459860000001</v>
          </cell>
          <cell r="N555">
            <v>408.87987509999999</v>
          </cell>
        </row>
        <row r="556">
          <cell r="A556" t="str">
            <v>RT1_TH</v>
          </cell>
          <cell r="B556" t="str">
            <v>Residential TRANSP General Service 1</v>
          </cell>
          <cell r="C556">
            <v>416774.20012170001</v>
          </cell>
          <cell r="D556">
            <v>388469.8283008</v>
          </cell>
          <cell r="E556">
            <v>272936.81799790001</v>
          </cell>
          <cell r="F556">
            <v>202031.97469100001</v>
          </cell>
          <cell r="G556">
            <v>101854.5598793</v>
          </cell>
          <cell r="H556">
            <v>70589.205376400001</v>
          </cell>
          <cell r="I556">
            <v>40301.5345972</v>
          </cell>
          <cell r="J556">
            <v>50348.341404999999</v>
          </cell>
          <cell r="K556">
            <v>66061.321303799996</v>
          </cell>
          <cell r="L556">
            <v>85538.271060300001</v>
          </cell>
          <cell r="M556">
            <v>217709.9526973</v>
          </cell>
          <cell r="N556">
            <v>408402.8048326</v>
          </cell>
        </row>
        <row r="557">
          <cell r="A557" t="str">
            <v>RT2_NB</v>
          </cell>
          <cell r="B557" t="str">
            <v>Residential TRANSP General Service 2</v>
          </cell>
          <cell r="C557">
            <v>255.34604870000001</v>
          </cell>
          <cell r="D557">
            <v>255.8278219</v>
          </cell>
          <cell r="E557">
            <v>256.35085759999998</v>
          </cell>
          <cell r="F557">
            <v>256.88520460000001</v>
          </cell>
          <cell r="G557">
            <v>257.38634020000001</v>
          </cell>
          <cell r="H557">
            <v>257.8445648</v>
          </cell>
          <cell r="I557">
            <v>265.60014610000002</v>
          </cell>
          <cell r="J557">
            <v>265.99133920000003</v>
          </cell>
          <cell r="K557">
            <v>266.40453559999997</v>
          </cell>
          <cell r="L557">
            <v>266.8223246</v>
          </cell>
          <cell r="M557">
            <v>267.24468999999999</v>
          </cell>
          <cell r="N557">
            <v>267.67313469999999</v>
          </cell>
        </row>
        <row r="558">
          <cell r="A558" t="str">
            <v>RT2_TH</v>
          </cell>
          <cell r="B558" t="str">
            <v>Residential TRANSP General Service 2</v>
          </cell>
          <cell r="C558">
            <v>856541.57470550004</v>
          </cell>
          <cell r="D558">
            <v>773207.84699470003</v>
          </cell>
          <cell r="E558">
            <v>680396.84053299995</v>
          </cell>
          <cell r="F558">
            <v>519617.42242249998</v>
          </cell>
          <cell r="G558">
            <v>383379.32612019998</v>
          </cell>
          <cell r="H558">
            <v>327273.88471249997</v>
          </cell>
          <cell r="I558">
            <v>232127.91158000001</v>
          </cell>
          <cell r="J558">
            <v>251277.09005570001</v>
          </cell>
          <cell r="K558">
            <v>304013.77639810002</v>
          </cell>
          <cell r="L558">
            <v>369338.80214370001</v>
          </cell>
          <cell r="M558">
            <v>571125.38567550003</v>
          </cell>
          <cell r="N558">
            <v>844203.33079539996</v>
          </cell>
        </row>
        <row r="559">
          <cell r="A559" t="str">
            <v>RT3_NB</v>
          </cell>
          <cell r="B559" t="str">
            <v>Residential TRANSP General Service 3</v>
          </cell>
          <cell r="C559">
            <v>51.422639099999998</v>
          </cell>
          <cell r="D559">
            <v>51.481884800000003</v>
          </cell>
          <cell r="E559">
            <v>51.541466100000001</v>
          </cell>
          <cell r="F559">
            <v>51.602888399999998</v>
          </cell>
          <cell r="G559">
            <v>51.664802999999999</v>
          </cell>
          <cell r="H559">
            <v>51.727179599999999</v>
          </cell>
          <cell r="I559">
            <v>48.903030399999999</v>
          </cell>
          <cell r="J559">
            <v>48.956195399999999</v>
          </cell>
          <cell r="K559">
            <v>49.009883000000002</v>
          </cell>
          <cell r="L559">
            <v>49.063899499999998</v>
          </cell>
          <cell r="M559">
            <v>49.118224400000003</v>
          </cell>
          <cell r="N559">
            <v>49.172838900000002</v>
          </cell>
        </row>
        <row r="560">
          <cell r="A560" t="str">
            <v>RT3_TH</v>
          </cell>
          <cell r="B560" t="str">
            <v>Residential TRANSP General Service 3</v>
          </cell>
          <cell r="C560">
            <v>350946.94310029998</v>
          </cell>
          <cell r="D560">
            <v>404190.84434740001</v>
          </cell>
          <cell r="E560">
            <v>332109.49220709997</v>
          </cell>
          <cell r="F560">
            <v>294860.06882470002</v>
          </cell>
          <cell r="G560">
            <v>227710.7058307</v>
          </cell>
          <cell r="H560">
            <v>219672.57602800001</v>
          </cell>
          <cell r="I560">
            <v>191942.93395490001</v>
          </cell>
          <cell r="J560">
            <v>172623.64776220001</v>
          </cell>
          <cell r="K560">
            <v>217082.31086490001</v>
          </cell>
          <cell r="L560">
            <v>251028.76597199999</v>
          </cell>
          <cell r="M560">
            <v>293171.42288480001</v>
          </cell>
          <cell r="N560">
            <v>375136.96479519998</v>
          </cell>
        </row>
        <row r="561">
          <cell r="A561" t="str">
            <v>SGS_NB</v>
          </cell>
          <cell r="B561" t="str">
            <v>Small General Service</v>
          </cell>
          <cell r="C561">
            <v>7525.025251</v>
          </cell>
          <cell r="D561">
            <v>7536.9257848999996</v>
          </cell>
          <cell r="E561">
            <v>7546.7207417999998</v>
          </cell>
          <cell r="F561">
            <v>7556.2643157000002</v>
          </cell>
          <cell r="G561">
            <v>7566.6524800999996</v>
          </cell>
          <cell r="H561">
            <v>7574.6357071000002</v>
          </cell>
          <cell r="I561">
            <v>7828.0677294999996</v>
          </cell>
          <cell r="J561">
            <v>7835.9450570999998</v>
          </cell>
          <cell r="K561">
            <v>7844.0526421000004</v>
          </cell>
          <cell r="L561">
            <v>7852.1876892</v>
          </cell>
          <cell r="M561">
            <v>7860.3462118999996</v>
          </cell>
          <cell r="N561">
            <v>7868.5251250000001</v>
          </cell>
        </row>
        <row r="562">
          <cell r="A562" t="str">
            <v>SGS_TH</v>
          </cell>
          <cell r="B562" t="str">
            <v>Small General Service</v>
          </cell>
          <cell r="C562">
            <v>658911.76676559995</v>
          </cell>
          <cell r="D562">
            <v>649981.9524825</v>
          </cell>
          <cell r="E562">
            <v>496642.66265459999</v>
          </cell>
          <cell r="F562">
            <v>455244.19290959998</v>
          </cell>
          <cell r="G562">
            <v>410033.49260609999</v>
          </cell>
          <cell r="H562">
            <v>407473.8272541</v>
          </cell>
          <cell r="I562">
            <v>339159.67842030001</v>
          </cell>
          <cell r="J562">
            <v>357647.56314689998</v>
          </cell>
          <cell r="K562">
            <v>562414.37625279999</v>
          </cell>
          <cell r="L562">
            <v>242430.4410617</v>
          </cell>
          <cell r="M562">
            <v>483132.8924063</v>
          </cell>
          <cell r="N562">
            <v>587390.9270732</v>
          </cell>
        </row>
        <row r="563">
          <cell r="A563" t="str">
            <v>SGT_NB</v>
          </cell>
          <cell r="B563" t="str">
            <v>Small General Service TRANSP</v>
          </cell>
          <cell r="C563">
            <v>4983.2104102000003</v>
          </cell>
          <cell r="D563">
            <v>4993.9926912999999</v>
          </cell>
          <cell r="E563">
            <v>5002.9899499000003</v>
          </cell>
          <cell r="F563">
            <v>5011.6513389000002</v>
          </cell>
          <cell r="G563">
            <v>5020.7852173000001</v>
          </cell>
          <cell r="H563">
            <v>5027.8366876</v>
          </cell>
          <cell r="I563">
            <v>4837.0814756999998</v>
          </cell>
          <cell r="J563">
            <v>4843.7186865000003</v>
          </cell>
          <cell r="K563">
            <v>4850.4287594999996</v>
          </cell>
          <cell r="L563">
            <v>4857.1305565000002</v>
          </cell>
          <cell r="M563">
            <v>4863.8266118000001</v>
          </cell>
          <cell r="N563">
            <v>4870.5190217999998</v>
          </cell>
        </row>
        <row r="564">
          <cell r="A564" t="str">
            <v>SGT_TH</v>
          </cell>
          <cell r="B564" t="str">
            <v>Small General Service TRANSP</v>
          </cell>
          <cell r="C564">
            <v>618092.02073929994</v>
          </cell>
          <cell r="D564">
            <v>673509.65826980001</v>
          </cell>
          <cell r="E564">
            <v>391566.05893280002</v>
          </cell>
          <cell r="F564">
            <v>460475.08517939999</v>
          </cell>
          <cell r="G564">
            <v>375102.31257840001</v>
          </cell>
          <cell r="H564">
            <v>365597.71917920001</v>
          </cell>
          <cell r="I564">
            <v>277318.70492520003</v>
          </cell>
          <cell r="J564">
            <v>338080.1282718</v>
          </cell>
          <cell r="K564">
            <v>361179.88085880002</v>
          </cell>
          <cell r="L564">
            <v>346672.50630880002</v>
          </cell>
          <cell r="M564">
            <v>447444.56363270001</v>
          </cell>
          <cell r="N564">
            <v>567505.71173840004</v>
          </cell>
        </row>
        <row r="565">
          <cell r="A565" t="str">
            <v>SIT_NB</v>
          </cell>
          <cell r="B565" t="str">
            <v>Small Interruptible Service</v>
          </cell>
          <cell r="C565">
            <v>27</v>
          </cell>
          <cell r="D565">
            <v>27</v>
          </cell>
          <cell r="E565">
            <v>27</v>
          </cell>
          <cell r="F565">
            <v>27</v>
          </cell>
          <cell r="G565">
            <v>27</v>
          </cell>
          <cell r="H565">
            <v>27</v>
          </cell>
          <cell r="I565">
            <v>27</v>
          </cell>
          <cell r="J565">
            <v>27</v>
          </cell>
          <cell r="K565">
            <v>27</v>
          </cell>
          <cell r="L565">
            <v>27</v>
          </cell>
          <cell r="M565">
            <v>27</v>
          </cell>
          <cell r="N565">
            <v>27</v>
          </cell>
        </row>
        <row r="566">
          <cell r="A566" t="str">
            <v>SIT_TH</v>
          </cell>
          <cell r="B566" t="str">
            <v>Small Interruptible Service</v>
          </cell>
          <cell r="C566">
            <v>4133358.3492243998</v>
          </cell>
          <cell r="D566">
            <v>3732716.2017872999</v>
          </cell>
          <cell r="E566">
            <v>4060051.8820743999</v>
          </cell>
          <cell r="F566">
            <v>3811546.4536203998</v>
          </cell>
          <cell r="G566">
            <v>3678014.2320743999</v>
          </cell>
          <cell r="H566">
            <v>3512812.5036204001</v>
          </cell>
          <cell r="I566">
            <v>3528396.0320744002</v>
          </cell>
          <cell r="J566">
            <v>3619735.0820744</v>
          </cell>
          <cell r="K566">
            <v>3433070.3036203999</v>
          </cell>
          <cell r="L566">
            <v>3490709.8820743999</v>
          </cell>
          <cell r="M566">
            <v>3602007.8036203999</v>
          </cell>
          <cell r="N566">
            <v>3627004.4320744001</v>
          </cell>
        </row>
        <row r="567">
          <cell r="A567" t="str">
            <v>WHL_NB</v>
          </cell>
          <cell r="B567" t="str">
            <v>Wholesale</v>
          </cell>
          <cell r="C567">
            <v>10</v>
          </cell>
          <cell r="D567">
            <v>10</v>
          </cell>
          <cell r="E567">
            <v>10</v>
          </cell>
          <cell r="F567">
            <v>10</v>
          </cell>
          <cell r="G567">
            <v>10</v>
          </cell>
          <cell r="H567">
            <v>10</v>
          </cell>
          <cell r="I567">
            <v>10</v>
          </cell>
          <cell r="J567">
            <v>10</v>
          </cell>
          <cell r="K567">
            <v>10</v>
          </cell>
          <cell r="L567">
            <v>10</v>
          </cell>
          <cell r="M567">
            <v>10</v>
          </cell>
          <cell r="N567">
            <v>10</v>
          </cell>
        </row>
        <row r="568">
          <cell r="A568" t="str">
            <v>WHL_TH</v>
          </cell>
          <cell r="B568" t="str">
            <v>Wholesale</v>
          </cell>
          <cell r="C568">
            <v>298967.06796830002</v>
          </cell>
          <cell r="D568">
            <v>269989.61640689999</v>
          </cell>
          <cell r="E568">
            <v>181314.0441683</v>
          </cell>
          <cell r="F568">
            <v>209192.02661450001</v>
          </cell>
          <cell r="G568">
            <v>149864.2941683</v>
          </cell>
          <cell r="H568">
            <v>129464.32661449999</v>
          </cell>
          <cell r="I568">
            <v>99184.894168300001</v>
          </cell>
          <cell r="J568">
            <v>117333.3441683</v>
          </cell>
          <cell r="K568">
            <v>103371.27661450001</v>
          </cell>
          <cell r="L568">
            <v>136305.69416829999</v>
          </cell>
          <cell r="M568">
            <v>145784.37661450001</v>
          </cell>
          <cell r="N568">
            <v>209372.1441683</v>
          </cell>
        </row>
        <row r="569">
          <cell r="A569" t="str">
            <v>WHT_NB</v>
          </cell>
          <cell r="B569" t="str">
            <v>Wholesale TRANSP</v>
          </cell>
          <cell r="C569">
            <v>5</v>
          </cell>
          <cell r="D569">
            <v>5</v>
          </cell>
          <cell r="E569">
            <v>5</v>
          </cell>
          <cell r="F569">
            <v>5</v>
          </cell>
          <cell r="G569">
            <v>5</v>
          </cell>
          <cell r="H569">
            <v>5</v>
          </cell>
          <cell r="I569">
            <v>5</v>
          </cell>
          <cell r="J569">
            <v>5</v>
          </cell>
          <cell r="K569">
            <v>5</v>
          </cell>
          <cell r="L569">
            <v>5</v>
          </cell>
          <cell r="M569">
            <v>5</v>
          </cell>
          <cell r="N569">
            <v>5</v>
          </cell>
        </row>
        <row r="570">
          <cell r="A570" t="str">
            <v>WHT_TH</v>
          </cell>
          <cell r="B570" t="str">
            <v>Wholesale TRANSP</v>
          </cell>
          <cell r="C570">
            <v>55065.484045700003</v>
          </cell>
          <cell r="D570">
            <v>49729.267412300003</v>
          </cell>
          <cell r="E570">
            <v>53457.370645700001</v>
          </cell>
          <cell r="F570">
            <v>50254.089334600001</v>
          </cell>
          <cell r="G570">
            <v>48957.270645700002</v>
          </cell>
          <cell r="H570">
            <v>45465.339334600001</v>
          </cell>
          <cell r="I570">
            <v>45580.820645699998</v>
          </cell>
          <cell r="J570">
            <v>46458.720645699999</v>
          </cell>
          <cell r="K570">
            <v>44470.9393346</v>
          </cell>
          <cell r="L570">
            <v>46881.720645699999</v>
          </cell>
          <cell r="M570">
            <v>48005.539334599998</v>
          </cell>
          <cell r="N570">
            <v>52049.570645699998</v>
          </cell>
        </row>
        <row r="571">
          <cell r="A571" t="str">
            <v>WHT_TH</v>
          </cell>
          <cell r="B571" t="str">
            <v>Wholesale TRANSP</v>
          </cell>
          <cell r="C571">
            <v>272463.10194570001</v>
          </cell>
          <cell r="D571">
            <v>246054.7553623</v>
          </cell>
          <cell r="E571">
            <v>259712.92064570001</v>
          </cell>
          <cell r="F571">
            <v>237583.88933460001</v>
          </cell>
          <cell r="G571">
            <v>218945.67064570001</v>
          </cell>
          <cell r="H571">
            <v>192633.73933459999</v>
          </cell>
          <cell r="I571">
            <v>196960.27064569999</v>
          </cell>
          <cell r="J571">
            <v>191836.32064570001</v>
          </cell>
          <cell r="K571">
            <v>183115.63933460001</v>
          </cell>
          <cell r="L571">
            <v>209254.62064569999</v>
          </cell>
          <cell r="M571">
            <v>244825.28933460001</v>
          </cell>
          <cell r="N571">
            <v>257221.7206457</v>
          </cell>
        </row>
      </sheetData>
      <sheetData sheetId="27">
        <row r="1">
          <cell r="G1" t="str">
            <v xml:space="preserve">INCOME STATEMENT DETAIL </v>
          </cell>
        </row>
        <row r="3">
          <cell r="F3" t="str">
            <v>Statistical Accounts</v>
          </cell>
          <cell r="J3" t="str">
            <v>Actual</v>
          </cell>
          <cell r="K3" t="str">
            <v>Actual</v>
          </cell>
          <cell r="L3" t="str">
            <v>Actual</v>
          </cell>
          <cell r="M3" t="str">
            <v>Actual</v>
          </cell>
          <cell r="N3" t="str">
            <v>Actual</v>
          </cell>
          <cell r="O3" t="str">
            <v>Actual</v>
          </cell>
          <cell r="P3" t="str">
            <v>Actual</v>
          </cell>
          <cell r="Q3" t="str">
            <v>Actual</v>
          </cell>
          <cell r="R3" t="str">
            <v>Actual</v>
          </cell>
          <cell r="S3" t="str">
            <v>Actual</v>
          </cell>
          <cell r="T3" t="str">
            <v>Actual</v>
          </cell>
          <cell r="U3" t="str">
            <v>Actual</v>
          </cell>
          <cell r="V3" t="str">
            <v>Actual</v>
          </cell>
          <cell r="W3" t="str">
            <v>Actual</v>
          </cell>
          <cell r="X3" t="str">
            <v>Actual</v>
          </cell>
          <cell r="Y3" t="str">
            <v>Actual</v>
          </cell>
          <cell r="Z3" t="str">
            <v>Actual</v>
          </cell>
          <cell r="AA3" t="str">
            <v>Actual</v>
          </cell>
          <cell r="AB3" t="str">
            <v>Actual</v>
          </cell>
          <cell r="AC3" t="str">
            <v>Actual</v>
          </cell>
          <cell r="AD3" t="str">
            <v>Actual</v>
          </cell>
          <cell r="AE3" t="str">
            <v>Actual</v>
          </cell>
          <cell r="AF3" t="str">
            <v>Actual</v>
          </cell>
          <cell r="AG3" t="str">
            <v>Actual</v>
          </cell>
          <cell r="AH3" t="str">
            <v>Actual</v>
          </cell>
          <cell r="AI3" t="str">
            <v>Actual</v>
          </cell>
          <cell r="AJ3" t="str">
            <v>Actual</v>
          </cell>
          <cell r="AK3" t="str">
            <v>Actual</v>
          </cell>
          <cell r="AL3" t="str">
            <v>Actual</v>
          </cell>
          <cell r="AM3" t="str">
            <v>Actual</v>
          </cell>
          <cell r="AN3" t="str">
            <v>Actual</v>
          </cell>
          <cell r="AO3" t="str">
            <v>Actual</v>
          </cell>
          <cell r="AP3" t="str">
            <v>Actual</v>
          </cell>
          <cell r="AQ3" t="str">
            <v>Actual</v>
          </cell>
          <cell r="AR3" t="str">
            <v>Actual</v>
          </cell>
          <cell r="AS3" t="str">
            <v>Actual</v>
          </cell>
          <cell r="AT3" t="str">
            <v>Actual</v>
          </cell>
          <cell r="AU3" t="str">
            <v>Actual</v>
          </cell>
          <cell r="AV3" t="str">
            <v>Actual</v>
          </cell>
          <cell r="AW3" t="str">
            <v>Actual</v>
          </cell>
          <cell r="AX3" t="str">
            <v>Actual</v>
          </cell>
          <cell r="AY3" t="str">
            <v>Actual</v>
          </cell>
          <cell r="AZ3" t="str">
            <v>Actual</v>
          </cell>
          <cell r="BA3" t="str">
            <v>Actual</v>
          </cell>
          <cell r="BB3" t="str">
            <v>Actual</v>
          </cell>
          <cell r="BC3" t="str">
            <v>Actual</v>
          </cell>
          <cell r="BD3" t="str">
            <v>Actual</v>
          </cell>
          <cell r="BE3" t="str">
            <v>Actual</v>
          </cell>
          <cell r="BF3" t="str">
            <v>Actual</v>
          </cell>
          <cell r="BG3" t="str">
            <v>Actual</v>
          </cell>
          <cell r="BH3" t="str">
            <v>Actual</v>
          </cell>
          <cell r="BI3" t="str">
            <v>Actual</v>
          </cell>
          <cell r="BJ3" t="str">
            <v>Actual</v>
          </cell>
          <cell r="BK3" t="str">
            <v>Actual</v>
          </cell>
          <cell r="BL3" t="str">
            <v>Actual</v>
          </cell>
          <cell r="BM3" t="str">
            <v>Actual</v>
          </cell>
          <cell r="BN3" t="str">
            <v>Actual</v>
          </cell>
          <cell r="BO3" t="str">
            <v>Actual</v>
          </cell>
          <cell r="BP3" t="str">
            <v>Actual</v>
          </cell>
          <cell r="BQ3" t="str">
            <v>Actual</v>
          </cell>
          <cell r="BR3" t="str">
            <v>Actual</v>
          </cell>
          <cell r="BS3" t="str">
            <v>Actual</v>
          </cell>
          <cell r="BT3" t="str">
            <v>Actual</v>
          </cell>
          <cell r="BU3" t="str">
            <v>Actual</v>
          </cell>
          <cell r="BV3" t="str">
            <v>Actual</v>
          </cell>
          <cell r="BW3" t="str">
            <v>Actual</v>
          </cell>
          <cell r="BX3" t="str">
            <v>Actual</v>
          </cell>
          <cell r="BY3" t="str">
            <v>Actual</v>
          </cell>
          <cell r="BZ3" t="str">
            <v>Actual</v>
          </cell>
          <cell r="CA3" t="str">
            <v>Actual</v>
          </cell>
          <cell r="CB3" t="str">
            <v>Actual</v>
          </cell>
          <cell r="CC3" t="str">
            <v>Actual</v>
          </cell>
          <cell r="CD3" t="str">
            <v>Actual</v>
          </cell>
          <cell r="CE3" t="str">
            <v>Actual</v>
          </cell>
          <cell r="CF3" t="str">
            <v>Actual</v>
          </cell>
          <cell r="CG3" t="str">
            <v>Actual</v>
          </cell>
          <cell r="CH3" t="str">
            <v>Actual</v>
          </cell>
          <cell r="CI3" t="str">
            <v>Actual</v>
          </cell>
          <cell r="CJ3" t="str">
            <v>Actual</v>
          </cell>
          <cell r="CK3" t="str">
            <v>Actual</v>
          </cell>
          <cell r="CL3" t="str">
            <v>Actual</v>
          </cell>
          <cell r="CM3" t="str">
            <v>Actual</v>
          </cell>
          <cell r="CN3" t="str">
            <v>Actual</v>
          </cell>
          <cell r="CO3" t="str">
            <v>Actual</v>
          </cell>
          <cell r="CP3" t="str">
            <v>Actual</v>
          </cell>
          <cell r="CQ3" t="str">
            <v>Actual</v>
          </cell>
          <cell r="CR3" t="str">
            <v>Actual</v>
          </cell>
          <cell r="CS3" t="str">
            <v>Actual</v>
          </cell>
          <cell r="CT3" t="str">
            <v>Actual</v>
          </cell>
          <cell r="CU3" t="str">
            <v>Actual</v>
          </cell>
          <cell r="CV3" t="str">
            <v>Actual</v>
          </cell>
          <cell r="CW3" t="str">
            <v>Actual</v>
          </cell>
          <cell r="CX3" t="str">
            <v>Actual</v>
          </cell>
          <cell r="CY3" t="str">
            <v>Actual</v>
          </cell>
          <cell r="CZ3" t="str">
            <v>Actual</v>
          </cell>
          <cell r="DA3" t="str">
            <v>Actual</v>
          </cell>
          <cell r="DB3" t="str">
            <v>Actual</v>
          </cell>
          <cell r="DC3" t="str">
            <v>Actual</v>
          </cell>
          <cell r="DD3" t="str">
            <v>Actual</v>
          </cell>
          <cell r="DE3" t="str">
            <v>Actual</v>
          </cell>
          <cell r="DF3" t="str">
            <v>Actual</v>
          </cell>
          <cell r="DG3" t="str">
            <v>Actual</v>
          </cell>
          <cell r="DH3" t="str">
            <v>Actual</v>
          </cell>
          <cell r="DI3" t="str">
            <v>Actual</v>
          </cell>
          <cell r="DJ3" t="str">
            <v>Actual</v>
          </cell>
          <cell r="DK3" t="str">
            <v>Actual</v>
          </cell>
          <cell r="DL3" t="str">
            <v>Actual</v>
          </cell>
          <cell r="DM3" t="str">
            <v>Actual</v>
          </cell>
          <cell r="DN3" t="str">
            <v>Budget</v>
          </cell>
          <cell r="DO3" t="str">
            <v>Budget</v>
          </cell>
          <cell r="DP3" t="str">
            <v>Budget</v>
          </cell>
          <cell r="DQ3" t="str">
            <v>Budget</v>
          </cell>
          <cell r="DR3" t="str">
            <v>Budget</v>
          </cell>
          <cell r="DS3" t="str">
            <v>Budget</v>
          </cell>
          <cell r="DT3" t="str">
            <v>Budget</v>
          </cell>
          <cell r="DU3" t="str">
            <v>Budget</v>
          </cell>
          <cell r="DV3" t="str">
            <v>Budget</v>
          </cell>
          <cell r="DW3" t="str">
            <v>Budget</v>
          </cell>
          <cell r="DX3" t="str">
            <v>Budget</v>
          </cell>
          <cell r="DY3" t="str">
            <v>Budget</v>
          </cell>
          <cell r="DZ3" t="str">
            <v>Forecast</v>
          </cell>
          <cell r="EA3" t="str">
            <v>Forecast</v>
          </cell>
          <cell r="EB3" t="str">
            <v>Forecast</v>
          </cell>
          <cell r="EC3" t="str">
            <v>Forecast</v>
          </cell>
          <cell r="ED3" t="str">
            <v>Forecast</v>
          </cell>
          <cell r="EE3" t="str">
            <v>Forecast</v>
          </cell>
          <cell r="EF3" t="str">
            <v>Forecast</v>
          </cell>
          <cell r="EG3" t="str">
            <v>Forecast</v>
          </cell>
          <cell r="EH3" t="str">
            <v>Forecast</v>
          </cell>
          <cell r="EI3" t="str">
            <v>Forecast</v>
          </cell>
          <cell r="EJ3" t="str">
            <v>Forecast</v>
          </cell>
          <cell r="EK3" t="str">
            <v>Forecast</v>
          </cell>
          <cell r="EM3" t="str">
            <v>TOTAL</v>
          </cell>
          <cell r="EN3" t="str">
            <v>TOTAL</v>
          </cell>
          <cell r="EO3" t="str">
            <v>TOTAL</v>
          </cell>
          <cell r="EP3" t="str">
            <v>TOTAL</v>
          </cell>
          <cell r="EQ3" t="str">
            <v>TOTAL</v>
          </cell>
          <cell r="ER3" t="str">
            <v>TOTAL</v>
          </cell>
          <cell r="ES3" t="str">
            <v>TOTAL</v>
          </cell>
        </row>
        <row r="4">
          <cell r="A4" t="str">
            <v>Recon Detail Descr</v>
          </cell>
          <cell r="B4" t="str">
            <v>IS Detail Descr</v>
          </cell>
          <cell r="C4" t="str">
            <v>CF Detail Descr</v>
          </cell>
          <cell r="D4" t="str">
            <v>Rev Detail Descr</v>
          </cell>
          <cell r="E4" t="str">
            <v>Surv. Report Descr</v>
          </cell>
          <cell r="F4" t="str">
            <v>GL</v>
          </cell>
          <cell r="G4" t="str">
            <v>GL Account</v>
          </cell>
          <cell r="H4" t="str">
            <v>Description</v>
          </cell>
          <cell r="J4" t="str">
            <v>Jan 2014</v>
          </cell>
          <cell r="K4" t="str">
            <v>Feb 2014</v>
          </cell>
          <cell r="L4" t="str">
            <v>Mar 2014</v>
          </cell>
          <cell r="M4" t="str">
            <v>Apr 2014</v>
          </cell>
          <cell r="N4" t="str">
            <v>May 2014</v>
          </cell>
          <cell r="O4" t="str">
            <v>Jun 2014</v>
          </cell>
          <cell r="P4" t="str">
            <v>Jul 2014</v>
          </cell>
          <cell r="Q4" t="str">
            <v>Aug 2014</v>
          </cell>
          <cell r="R4" t="str">
            <v>Sep 2014</v>
          </cell>
          <cell r="S4" t="str">
            <v>Oct 2014</v>
          </cell>
          <cell r="T4" t="str">
            <v>Nov 2014</v>
          </cell>
          <cell r="U4" t="str">
            <v>Dec 2014</v>
          </cell>
          <cell r="V4" t="str">
            <v>Jan 2015</v>
          </cell>
          <cell r="W4" t="str">
            <v>Feb 2015</v>
          </cell>
          <cell r="X4" t="str">
            <v>Mar 2015</v>
          </cell>
          <cell r="Y4" t="str">
            <v>Apr 2015</v>
          </cell>
          <cell r="Z4" t="str">
            <v>May 2015</v>
          </cell>
          <cell r="AA4" t="str">
            <v>Jun 2015</v>
          </cell>
          <cell r="AB4" t="str">
            <v>Jul 2015</v>
          </cell>
          <cell r="AC4" t="str">
            <v>Aug 2015</v>
          </cell>
          <cell r="AD4" t="str">
            <v>Sep 2015</v>
          </cell>
          <cell r="AE4" t="str">
            <v>Oct 2015</v>
          </cell>
          <cell r="AF4" t="str">
            <v>Nov 2015</v>
          </cell>
          <cell r="AG4" t="str">
            <v>Dec 2015</v>
          </cell>
          <cell r="AH4" t="str">
            <v>Jan 2016</v>
          </cell>
          <cell r="AI4" t="str">
            <v>Feb 2016</v>
          </cell>
          <cell r="AJ4" t="str">
            <v>Mar 2016</v>
          </cell>
          <cell r="AK4" t="str">
            <v>Apr 2016</v>
          </cell>
          <cell r="AL4" t="str">
            <v>May 2016</v>
          </cell>
          <cell r="AM4" t="str">
            <v>Jun 2016</v>
          </cell>
          <cell r="AN4" t="str">
            <v>Jul 2016</v>
          </cell>
          <cell r="AO4" t="str">
            <v>Aug 2016</v>
          </cell>
          <cell r="AP4" t="str">
            <v>Sep 2016</v>
          </cell>
          <cell r="AQ4" t="str">
            <v>Oct 2016</v>
          </cell>
          <cell r="AR4" t="str">
            <v>Nov 2016</v>
          </cell>
          <cell r="AS4" t="str">
            <v>Dec 2016</v>
          </cell>
          <cell r="AT4" t="str">
            <v>Jan 2017</v>
          </cell>
          <cell r="AU4" t="str">
            <v>Feb 2017</v>
          </cell>
          <cell r="AV4" t="str">
            <v>Mar 2017</v>
          </cell>
          <cell r="AW4" t="str">
            <v>Apr 2017</v>
          </cell>
          <cell r="AX4" t="str">
            <v>May 2017</v>
          </cell>
          <cell r="AY4" t="str">
            <v>Jun 2017</v>
          </cell>
          <cell r="AZ4" t="str">
            <v>Jul 2017</v>
          </cell>
          <cell r="BA4" t="str">
            <v>Aug 2017</v>
          </cell>
          <cell r="BB4" t="str">
            <v>Sep 2017</v>
          </cell>
          <cell r="BC4" t="str">
            <v>Oct 2017</v>
          </cell>
          <cell r="BD4" t="str">
            <v>Nov 2017</v>
          </cell>
          <cell r="BE4" t="str">
            <v>Dec 2017</v>
          </cell>
          <cell r="BF4" t="str">
            <v>Jan 2018</v>
          </cell>
          <cell r="BG4" t="str">
            <v>Feb 2018</v>
          </cell>
          <cell r="BH4" t="str">
            <v>Mar 2018</v>
          </cell>
          <cell r="BI4" t="str">
            <v>Apr 2018</v>
          </cell>
          <cell r="BJ4" t="str">
            <v>May 2018</v>
          </cell>
          <cell r="BK4" t="str">
            <v>Jun 2018</v>
          </cell>
          <cell r="BL4" t="str">
            <v>Jul 2018</v>
          </cell>
          <cell r="BM4" t="str">
            <v>Aug 2018</v>
          </cell>
          <cell r="BN4" t="str">
            <v>Sep 2018</v>
          </cell>
          <cell r="BO4" t="str">
            <v>Oct 2018</v>
          </cell>
          <cell r="BP4" t="str">
            <v>Nov 2018</v>
          </cell>
          <cell r="BQ4" t="str">
            <v>Dec 2018</v>
          </cell>
          <cell r="BR4" t="str">
            <v>Jan 2019</v>
          </cell>
          <cell r="BS4" t="str">
            <v>Feb 2019</v>
          </cell>
          <cell r="BT4" t="str">
            <v>Mar 2019</v>
          </cell>
          <cell r="BU4" t="str">
            <v>Apr 2019</v>
          </cell>
          <cell r="BV4" t="str">
            <v>May 2019</v>
          </cell>
          <cell r="BW4" t="str">
            <v>Jun 2019</v>
          </cell>
          <cell r="BX4" t="str">
            <v>Jul 2019</v>
          </cell>
          <cell r="BY4" t="str">
            <v>Aug 2019</v>
          </cell>
          <cell r="BZ4" t="str">
            <v>Sep 2019</v>
          </cell>
          <cell r="CA4" t="str">
            <v>Oct 2019</v>
          </cell>
          <cell r="CB4" t="str">
            <v>Nov 2019</v>
          </cell>
          <cell r="CC4" t="str">
            <v>Dec 2019</v>
          </cell>
          <cell r="CD4" t="str">
            <v>Jan 2020</v>
          </cell>
          <cell r="CE4" t="str">
            <v>Feb 2020</v>
          </cell>
          <cell r="CF4" t="str">
            <v>Mar 2020</v>
          </cell>
          <cell r="CG4" t="str">
            <v>Apr 2020</v>
          </cell>
          <cell r="CH4" t="str">
            <v>May 2020</v>
          </cell>
          <cell r="CI4" t="str">
            <v>Jun 2020</v>
          </cell>
          <cell r="CJ4" t="str">
            <v>Jul 2020</v>
          </cell>
          <cell r="CK4" t="str">
            <v>Aug 2020</v>
          </cell>
          <cell r="CL4" t="str">
            <v>Sep 2020</v>
          </cell>
          <cell r="CM4" t="str">
            <v>Oct 2020</v>
          </cell>
          <cell r="CN4" t="str">
            <v>Nov 2020</v>
          </cell>
          <cell r="CO4" t="str">
            <v>Dec 2020</v>
          </cell>
          <cell r="CP4" t="str">
            <v>Jan 2021</v>
          </cell>
          <cell r="CQ4" t="str">
            <v>Feb 2021</v>
          </cell>
          <cell r="CR4" t="str">
            <v>Mar 2021</v>
          </cell>
          <cell r="CS4" t="str">
            <v>Apr 2021</v>
          </cell>
          <cell r="CT4" t="str">
            <v>May 2021</v>
          </cell>
          <cell r="CU4" t="str">
            <v>Jun 2021</v>
          </cell>
          <cell r="CV4" t="str">
            <v>Jul 2021</v>
          </cell>
          <cell r="CW4" t="str">
            <v>Aug 2021</v>
          </cell>
          <cell r="CX4" t="str">
            <v>Sep 2021</v>
          </cell>
          <cell r="CY4" t="str">
            <v>Oct 2021</v>
          </cell>
          <cell r="CZ4" t="str">
            <v>Nov 2021</v>
          </cell>
          <cell r="DA4" t="str">
            <v>Dec 2021</v>
          </cell>
          <cell r="DB4" t="str">
            <v>Jan 2022</v>
          </cell>
          <cell r="DC4" t="str">
            <v>Feb 2022</v>
          </cell>
          <cell r="DD4" t="str">
            <v>Mar 2022</v>
          </cell>
          <cell r="DE4" t="str">
            <v>Apr 2022</v>
          </cell>
          <cell r="DF4" t="str">
            <v>May 2022</v>
          </cell>
          <cell r="DG4" t="str">
            <v>Jun 2022</v>
          </cell>
          <cell r="DH4" t="str">
            <v>Jul 2022</v>
          </cell>
          <cell r="DI4" t="str">
            <v>Aug 2022</v>
          </cell>
          <cell r="DJ4" t="str">
            <v>Sep 2022</v>
          </cell>
          <cell r="DK4" t="str">
            <v>Oct 2022</v>
          </cell>
          <cell r="DL4" t="str">
            <v>Nov 2022</v>
          </cell>
          <cell r="DM4" t="str">
            <v>Dec 2022</v>
          </cell>
          <cell r="DN4" t="str">
            <v>Jan 2023</v>
          </cell>
          <cell r="DO4" t="str">
            <v>Feb 2023</v>
          </cell>
          <cell r="DP4" t="str">
            <v>Mar 2023</v>
          </cell>
          <cell r="DQ4" t="str">
            <v>Apr 2023</v>
          </cell>
          <cell r="DR4" t="str">
            <v>May 2023</v>
          </cell>
          <cell r="DS4" t="str">
            <v>Jun 2023</v>
          </cell>
          <cell r="DT4" t="str">
            <v>Jul 2023</v>
          </cell>
          <cell r="DU4" t="str">
            <v>Aug 2023</v>
          </cell>
          <cell r="DV4" t="str">
            <v>Sep 2023</v>
          </cell>
          <cell r="DW4" t="str">
            <v>Oct 2023</v>
          </cell>
          <cell r="DX4" t="str">
            <v>Nov 2023</v>
          </cell>
          <cell r="DY4" t="str">
            <v>Dec 2023</v>
          </cell>
          <cell r="DZ4" t="str">
            <v>JAN 2024</v>
          </cell>
          <cell r="EA4" t="str">
            <v>FEB 2024</v>
          </cell>
          <cell r="EB4" t="str">
            <v>MAR 2024</v>
          </cell>
          <cell r="EC4" t="str">
            <v>APR 2024</v>
          </cell>
          <cell r="ED4" t="str">
            <v>MAY 2024</v>
          </cell>
          <cell r="EE4" t="str">
            <v>JUN 2024</v>
          </cell>
          <cell r="EF4" t="str">
            <v>JUL 2024</v>
          </cell>
          <cell r="EG4" t="str">
            <v>AUG 2024</v>
          </cell>
          <cell r="EH4" t="str">
            <v>SEP 2024</v>
          </cell>
          <cell r="EI4" t="str">
            <v>OCT 2024</v>
          </cell>
          <cell r="EJ4" t="str">
            <v>NOV 2024</v>
          </cell>
          <cell r="EK4" t="str">
            <v>DEC 2024</v>
          </cell>
          <cell r="EM4" t="str">
            <v>2015</v>
          </cell>
          <cell r="EN4" t="str">
            <v>2016</v>
          </cell>
          <cell r="EO4" t="str">
            <v>2017</v>
          </cell>
          <cell r="EP4" t="str">
            <v>2018</v>
          </cell>
          <cell r="EQ4" t="str">
            <v>2019</v>
          </cell>
          <cell r="ER4" t="str">
            <v>2020</v>
          </cell>
          <cell r="ES4" t="str">
            <v>2021</v>
          </cell>
        </row>
        <row r="5">
          <cell r="A5" t="str">
            <v>Other Operating Income / (Expense) Items SUB</v>
          </cell>
          <cell r="B5" t="str">
            <v>Operations &amp; Maintenance Expense (incl clause)</v>
          </cell>
          <cell r="E5" t="str">
            <v>Operations &amp; Maintenance Expense</v>
          </cell>
          <cell r="F5" t="str">
            <v>4073052</v>
          </cell>
          <cell r="G5" t="str">
            <v>A_4073052</v>
          </cell>
          <cell r="H5" t="str">
            <v xml:space="preserve"> REG DR Defd Environmental Tax Credit </v>
          </cell>
          <cell r="AC5">
            <v>511.2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-61.2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EM5">
            <v>511.2</v>
          </cell>
          <cell r="EN5">
            <v>-61.2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</row>
        <row r="6">
          <cell r="A6" t="str">
            <v>Other Operating Income / (Expense) Items SUB</v>
          </cell>
          <cell r="B6" t="str">
            <v>Cost of Gas</v>
          </cell>
          <cell r="D6" t="str">
            <v>Cost of Gas</v>
          </cell>
          <cell r="E6" t="str">
            <v>Cost of Gas</v>
          </cell>
          <cell r="F6" t="str">
            <v>4073060</v>
          </cell>
          <cell r="G6" t="str">
            <v>A_4073060</v>
          </cell>
          <cell r="H6" t="str">
            <v>REG DR Defd Purchased Gas Adjustment</v>
          </cell>
          <cell r="J6">
            <v>680</v>
          </cell>
          <cell r="K6">
            <v>5019.3</v>
          </cell>
          <cell r="L6">
            <v>-818.7</v>
          </cell>
          <cell r="M6">
            <v>1885.1</v>
          </cell>
          <cell r="N6">
            <v>-2013.7</v>
          </cell>
          <cell r="O6">
            <v>1920.7</v>
          </cell>
          <cell r="P6">
            <v>764.5</v>
          </cell>
          <cell r="Q6">
            <v>190</v>
          </cell>
          <cell r="R6">
            <v>-269.3</v>
          </cell>
          <cell r="S6">
            <v>-1988.7</v>
          </cell>
          <cell r="T6">
            <v>-5688</v>
          </cell>
          <cell r="U6">
            <v>2440.1</v>
          </cell>
          <cell r="V6">
            <v>874</v>
          </cell>
          <cell r="W6">
            <v>-46.9</v>
          </cell>
          <cell r="X6">
            <v>1692.3</v>
          </cell>
          <cell r="Y6">
            <v>0</v>
          </cell>
          <cell r="Z6">
            <v>0</v>
          </cell>
          <cell r="AA6">
            <v>2345.6999999999998</v>
          </cell>
          <cell r="AB6">
            <v>0</v>
          </cell>
          <cell r="AC6">
            <v>532.5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1010.2</v>
          </cell>
          <cell r="AI6">
            <v>5028.7</v>
          </cell>
          <cell r="AJ6">
            <v>1623.4</v>
          </cell>
          <cell r="AK6">
            <v>778</v>
          </cell>
          <cell r="AL6">
            <v>1592.9</v>
          </cell>
          <cell r="AM6">
            <v>1972.8</v>
          </cell>
          <cell r="AN6">
            <v>1264.7</v>
          </cell>
          <cell r="AO6">
            <v>835.2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554.79999999999995</v>
          </cell>
          <cell r="AU6">
            <v>3223.8</v>
          </cell>
          <cell r="AV6">
            <v>0</v>
          </cell>
          <cell r="AW6">
            <v>1045</v>
          </cell>
          <cell r="AX6">
            <v>96.2</v>
          </cell>
          <cell r="AY6">
            <v>0</v>
          </cell>
          <cell r="AZ6">
            <v>0</v>
          </cell>
          <cell r="BA6">
            <v>0</v>
          </cell>
          <cell r="BB6">
            <v>1278.3</v>
          </cell>
          <cell r="BC6">
            <v>0</v>
          </cell>
          <cell r="BD6">
            <v>0</v>
          </cell>
          <cell r="BE6">
            <v>765.3</v>
          </cell>
          <cell r="BF6">
            <v>4927</v>
          </cell>
          <cell r="BG6">
            <v>5862.5</v>
          </cell>
          <cell r="BH6">
            <v>0</v>
          </cell>
          <cell r="BI6">
            <v>3350.9</v>
          </cell>
          <cell r="BJ6">
            <v>0</v>
          </cell>
          <cell r="BK6">
            <v>172.2</v>
          </cell>
          <cell r="BL6">
            <v>0</v>
          </cell>
          <cell r="BM6">
            <v>0</v>
          </cell>
          <cell r="BN6">
            <v>204.5</v>
          </cell>
          <cell r="BO6">
            <v>0</v>
          </cell>
          <cell r="BP6">
            <v>0</v>
          </cell>
          <cell r="BQ6">
            <v>0</v>
          </cell>
          <cell r="BR6">
            <v>1935.6</v>
          </cell>
          <cell r="BS6">
            <v>3580.8</v>
          </cell>
          <cell r="BT6">
            <v>1224.4000000000001</v>
          </cell>
          <cell r="BU6">
            <v>3105.9</v>
          </cell>
          <cell r="BV6">
            <v>2591.6999999999998</v>
          </cell>
          <cell r="BW6">
            <v>1229</v>
          </cell>
          <cell r="BX6">
            <v>330</v>
          </cell>
          <cell r="BY6">
            <v>0</v>
          </cell>
          <cell r="BZ6">
            <v>706.4</v>
          </cell>
          <cell r="CA6">
            <v>0</v>
          </cell>
          <cell r="CB6">
            <v>0</v>
          </cell>
          <cell r="CC6">
            <v>1284.8</v>
          </cell>
          <cell r="CD6">
            <v>3527.1</v>
          </cell>
          <cell r="CE6">
            <v>3182.8</v>
          </cell>
          <cell r="CF6">
            <v>1357.2</v>
          </cell>
          <cell r="CG6">
            <v>774.9</v>
          </cell>
          <cell r="CH6">
            <v>0</v>
          </cell>
          <cell r="CI6">
            <v>746.5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3733.9</v>
          </cell>
          <cell r="CQ6">
            <v>0</v>
          </cell>
          <cell r="CR6">
            <v>0</v>
          </cell>
          <cell r="CS6">
            <v>3928.9</v>
          </cell>
          <cell r="CT6">
            <v>503.1</v>
          </cell>
          <cell r="CU6">
            <v>0</v>
          </cell>
          <cell r="CV6">
            <v>418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589.5</v>
          </cell>
          <cell r="DB6">
            <v>3918.2</v>
          </cell>
          <cell r="DC6">
            <v>4716.5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115.5</v>
          </cell>
          <cell r="DI6">
            <v>2842.8</v>
          </cell>
          <cell r="DJ6">
            <v>4552.6000000000004</v>
          </cell>
          <cell r="DK6">
            <v>2462.3000000000002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EM6">
            <v>5397.6</v>
          </cell>
          <cell r="EN6">
            <v>14105.9</v>
          </cell>
          <cell r="EO6">
            <v>6963.4000000000005</v>
          </cell>
          <cell r="EP6">
            <v>14517.1</v>
          </cell>
          <cell r="EQ6">
            <v>15988.599999999997</v>
          </cell>
          <cell r="ER6">
            <v>9588.5</v>
          </cell>
          <cell r="ES6">
            <v>9173.4000000000015</v>
          </cell>
        </row>
        <row r="7">
          <cell r="A7" t="str">
            <v>Other Operating Income / (Expense) Items SUB</v>
          </cell>
          <cell r="B7" t="str">
            <v>Cost of Gas</v>
          </cell>
          <cell r="D7" t="str">
            <v>Cost of Gas</v>
          </cell>
          <cell r="E7" t="str">
            <v>Cost of Gas</v>
          </cell>
          <cell r="F7" t="str">
            <v>4073061</v>
          </cell>
          <cell r="G7" t="str">
            <v>A_4073061</v>
          </cell>
          <cell r="H7" t="str">
            <v>REG DR Defd PGA Amortization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292</v>
          </cell>
          <cell r="BG7">
            <v>292</v>
          </cell>
          <cell r="BH7">
            <v>292</v>
          </cell>
          <cell r="BI7">
            <v>292</v>
          </cell>
          <cell r="BJ7">
            <v>292</v>
          </cell>
          <cell r="BK7">
            <v>292</v>
          </cell>
          <cell r="BL7">
            <v>292</v>
          </cell>
          <cell r="BM7">
            <v>292</v>
          </cell>
          <cell r="BN7">
            <v>292</v>
          </cell>
          <cell r="BO7">
            <v>292</v>
          </cell>
          <cell r="BP7">
            <v>292</v>
          </cell>
          <cell r="BQ7">
            <v>292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644.4</v>
          </cell>
          <cell r="DC7">
            <v>644.4</v>
          </cell>
          <cell r="DD7">
            <v>644.4</v>
          </cell>
          <cell r="DE7">
            <v>644.4</v>
          </cell>
          <cell r="DF7">
            <v>644.4</v>
          </cell>
          <cell r="DG7">
            <v>644.4</v>
          </cell>
          <cell r="DH7">
            <v>644.4</v>
          </cell>
          <cell r="DI7">
            <v>644.4</v>
          </cell>
          <cell r="DJ7">
            <v>644.4</v>
          </cell>
          <cell r="DK7">
            <v>644.4</v>
          </cell>
          <cell r="DL7">
            <v>644.4</v>
          </cell>
          <cell r="DM7">
            <v>644.4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EM7">
            <v>0</v>
          </cell>
          <cell r="EN7">
            <v>0</v>
          </cell>
          <cell r="EO7">
            <v>0</v>
          </cell>
          <cell r="EP7">
            <v>3504</v>
          </cell>
          <cell r="EQ7">
            <v>0</v>
          </cell>
          <cell r="ER7">
            <v>0</v>
          </cell>
          <cell r="ES7">
            <v>0</v>
          </cell>
        </row>
        <row r="8">
          <cell r="A8" t="str">
            <v>ROI - CIBSR SUB</v>
          </cell>
          <cell r="B8" t="str">
            <v>Operations &amp; Maintenance Expense (incl clause)</v>
          </cell>
          <cell r="E8" t="str">
            <v>Operations &amp; Maintenance Expense</v>
          </cell>
          <cell r="F8" t="str">
            <v>4073071</v>
          </cell>
          <cell r="G8" t="str">
            <v>A_4073071</v>
          </cell>
          <cell r="H8" t="str">
            <v>REG DR Defd CI/BSR Rider</v>
          </cell>
          <cell r="J8">
            <v>135.19999999999999</v>
          </cell>
          <cell r="K8">
            <v>125.9</v>
          </cell>
          <cell r="L8">
            <v>67.3</v>
          </cell>
          <cell r="M8">
            <v>44.9</v>
          </cell>
          <cell r="N8">
            <v>1.4</v>
          </cell>
          <cell r="O8">
            <v>-0.5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211.4</v>
          </cell>
          <cell r="W8">
            <v>148.80000000000001</v>
          </cell>
          <cell r="X8">
            <v>123</v>
          </cell>
          <cell r="Y8">
            <v>14.2</v>
          </cell>
          <cell r="Z8">
            <v>-0.2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125.7</v>
          </cell>
          <cell r="AI8">
            <v>176.2</v>
          </cell>
          <cell r="AJ8">
            <v>102</v>
          </cell>
          <cell r="AK8">
            <v>31.9</v>
          </cell>
          <cell r="AL8">
            <v>-0.1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582.29999999999995</v>
          </cell>
          <cell r="BG8">
            <v>419</v>
          </cell>
          <cell r="BH8">
            <v>177</v>
          </cell>
          <cell r="BI8">
            <v>190</v>
          </cell>
          <cell r="BJ8">
            <v>334.3</v>
          </cell>
          <cell r="BK8">
            <v>-81.7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6.4</v>
          </cell>
          <cell r="BR8">
            <v>367.2</v>
          </cell>
          <cell r="BS8">
            <v>291.5</v>
          </cell>
          <cell r="BT8">
            <v>104.3</v>
          </cell>
          <cell r="BU8">
            <v>2.2999999999999998</v>
          </cell>
          <cell r="BV8">
            <v>0.2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24.6</v>
          </cell>
          <cell r="CB8">
            <v>0</v>
          </cell>
          <cell r="CC8">
            <v>-83.3</v>
          </cell>
          <cell r="CD8">
            <v>459.2</v>
          </cell>
          <cell r="CE8">
            <v>386.4</v>
          </cell>
          <cell r="CF8">
            <v>223.2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318.39999999999998</v>
          </cell>
          <cell r="CQ8">
            <v>234.8</v>
          </cell>
          <cell r="CR8">
            <v>127</v>
          </cell>
          <cell r="CS8">
            <v>89.7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0.8</v>
          </cell>
          <cell r="CY8">
            <v>0</v>
          </cell>
          <cell r="CZ8">
            <v>0</v>
          </cell>
          <cell r="DA8">
            <v>0</v>
          </cell>
          <cell r="DB8">
            <v>176</v>
          </cell>
          <cell r="DC8">
            <v>198.7</v>
          </cell>
          <cell r="DD8">
            <v>98.3</v>
          </cell>
          <cell r="DE8">
            <v>30.8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425.3</v>
          </cell>
          <cell r="DO8">
            <v>364.1</v>
          </cell>
          <cell r="DP8">
            <v>221.9</v>
          </cell>
          <cell r="DQ8">
            <v>102.2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83.4</v>
          </cell>
          <cell r="EM8">
            <v>497.20000000000005</v>
          </cell>
          <cell r="EN8">
            <v>435.69999999999993</v>
          </cell>
          <cell r="EO8">
            <v>0</v>
          </cell>
          <cell r="EP8">
            <v>1627.3</v>
          </cell>
          <cell r="EQ8">
            <v>706.80000000000007</v>
          </cell>
          <cell r="ER8">
            <v>1068.8</v>
          </cell>
          <cell r="ES8">
            <v>770.7</v>
          </cell>
        </row>
        <row r="9">
          <cell r="A9" t="str">
            <v>ROI - CIBSR SUB</v>
          </cell>
          <cell r="B9" t="str">
            <v>Operations &amp; Maintenance Expense (incl clause)</v>
          </cell>
          <cell r="E9" t="str">
            <v>Operations &amp; Maintenance Expense</v>
          </cell>
          <cell r="F9" t="str">
            <v>4073072</v>
          </cell>
          <cell r="G9" t="str">
            <v>A_4073072</v>
          </cell>
          <cell r="H9" t="str">
            <v>REG DR Defd CIBSR - Amortization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39.700000000000003</v>
          </cell>
          <cell r="BG9">
            <v>39.700000000000003</v>
          </cell>
          <cell r="BH9">
            <v>39.700000000000003</v>
          </cell>
          <cell r="BI9">
            <v>39.700000000000003</v>
          </cell>
          <cell r="BJ9">
            <v>39.700000000000003</v>
          </cell>
          <cell r="BK9">
            <v>39.700000000000003</v>
          </cell>
          <cell r="BL9">
            <v>39.700000000000003</v>
          </cell>
          <cell r="BM9">
            <v>39.700000000000003</v>
          </cell>
          <cell r="BN9">
            <v>39.700000000000003</v>
          </cell>
          <cell r="BO9">
            <v>39.700000000000003</v>
          </cell>
          <cell r="BP9">
            <v>39.700000000000003</v>
          </cell>
          <cell r="BQ9">
            <v>39.700000000000003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179.4</v>
          </cell>
          <cell r="CE9">
            <v>179.4</v>
          </cell>
          <cell r="CF9">
            <v>179.4</v>
          </cell>
          <cell r="CG9">
            <v>179.4</v>
          </cell>
          <cell r="CH9">
            <v>179.4</v>
          </cell>
          <cell r="CI9">
            <v>179.4</v>
          </cell>
          <cell r="CJ9">
            <v>179.4</v>
          </cell>
          <cell r="CK9">
            <v>179.4</v>
          </cell>
          <cell r="CL9">
            <v>179.4</v>
          </cell>
          <cell r="CM9">
            <v>179.4</v>
          </cell>
          <cell r="CN9">
            <v>179.4</v>
          </cell>
          <cell r="CO9">
            <v>179.4</v>
          </cell>
          <cell r="CP9">
            <v>335.4</v>
          </cell>
          <cell r="CQ9">
            <v>335.4</v>
          </cell>
          <cell r="CR9">
            <v>335.4</v>
          </cell>
          <cell r="CS9">
            <v>335.4</v>
          </cell>
          <cell r="CT9">
            <v>335.4</v>
          </cell>
          <cell r="CU9">
            <v>335.4</v>
          </cell>
          <cell r="CV9">
            <v>335.4</v>
          </cell>
          <cell r="CW9">
            <v>335.4</v>
          </cell>
          <cell r="CX9">
            <v>335.4</v>
          </cell>
          <cell r="CY9">
            <v>335.4</v>
          </cell>
          <cell r="CZ9">
            <v>335.4</v>
          </cell>
          <cell r="DA9">
            <v>335.4</v>
          </cell>
          <cell r="DB9">
            <v>28.7</v>
          </cell>
          <cell r="DC9">
            <v>28.7</v>
          </cell>
          <cell r="DD9">
            <v>28.7</v>
          </cell>
          <cell r="DE9">
            <v>28.7</v>
          </cell>
          <cell r="DF9">
            <v>28.7</v>
          </cell>
          <cell r="DG9">
            <v>28.7</v>
          </cell>
          <cell r="DH9">
            <v>28.7</v>
          </cell>
          <cell r="DI9">
            <v>28.7</v>
          </cell>
          <cell r="DJ9">
            <v>28.7</v>
          </cell>
          <cell r="DK9">
            <v>28.7</v>
          </cell>
          <cell r="DL9">
            <v>28.7</v>
          </cell>
          <cell r="DM9">
            <v>28.7</v>
          </cell>
          <cell r="DN9">
            <v>60.1</v>
          </cell>
          <cell r="DO9">
            <v>60.1</v>
          </cell>
          <cell r="DP9">
            <v>60.1</v>
          </cell>
          <cell r="DQ9">
            <v>60.1</v>
          </cell>
          <cell r="DR9">
            <v>60.1</v>
          </cell>
          <cell r="DS9">
            <v>60.1</v>
          </cell>
          <cell r="DT9">
            <v>60.1</v>
          </cell>
          <cell r="DU9">
            <v>60.1</v>
          </cell>
          <cell r="DV9">
            <v>60.1</v>
          </cell>
          <cell r="DW9">
            <v>60.1</v>
          </cell>
          <cell r="DX9">
            <v>60.1</v>
          </cell>
          <cell r="DY9">
            <v>60.1</v>
          </cell>
          <cell r="EM9">
            <v>0</v>
          </cell>
          <cell r="EN9">
            <v>0</v>
          </cell>
          <cell r="EO9">
            <v>0</v>
          </cell>
          <cell r="EP9">
            <v>476.39999999999992</v>
          </cell>
          <cell r="EQ9">
            <v>0</v>
          </cell>
          <cell r="ER9">
            <v>2152.8000000000006</v>
          </cell>
          <cell r="ES9">
            <v>4024.8000000000006</v>
          </cell>
        </row>
        <row r="10">
          <cell r="A10" t="str">
            <v>Other Operating Income / (Expense) Items SUB</v>
          </cell>
          <cell r="B10" t="str">
            <v>Operations &amp; Maintenance Expense (incl clause)</v>
          </cell>
          <cell r="E10" t="str">
            <v>Operations &amp; Maintenance Expense</v>
          </cell>
          <cell r="F10" t="str">
            <v>4073140</v>
          </cell>
          <cell r="G10" t="str">
            <v>A_4073140</v>
          </cell>
          <cell r="H10" t="str">
            <v xml:space="preserve">REG DR Defd Conservation - Gas </v>
          </cell>
          <cell r="J10">
            <v>504.2</v>
          </cell>
          <cell r="K10">
            <v>824.9</v>
          </cell>
          <cell r="L10">
            <v>614.5</v>
          </cell>
          <cell r="M10">
            <v>360.3</v>
          </cell>
          <cell r="N10">
            <v>136.69999999999999</v>
          </cell>
          <cell r="O10">
            <v>102.8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30.1</v>
          </cell>
          <cell r="U10">
            <v>552.79999999999995</v>
          </cell>
          <cell r="V10">
            <v>375.7</v>
          </cell>
          <cell r="W10">
            <v>842</v>
          </cell>
          <cell r="X10">
            <v>591.6</v>
          </cell>
          <cell r="Y10">
            <v>449.7</v>
          </cell>
          <cell r="Z10">
            <v>0</v>
          </cell>
          <cell r="AA10">
            <v>64.3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179.2</v>
          </cell>
          <cell r="AG10">
            <v>396.4</v>
          </cell>
          <cell r="AH10">
            <v>335.4</v>
          </cell>
          <cell r="AI10">
            <v>586.6</v>
          </cell>
          <cell r="AJ10">
            <v>312.2</v>
          </cell>
          <cell r="AK10">
            <v>271.39999999999998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156.4</v>
          </cell>
          <cell r="AS10">
            <v>0</v>
          </cell>
          <cell r="AT10">
            <v>945.5</v>
          </cell>
          <cell r="AU10">
            <v>534.6</v>
          </cell>
          <cell r="AV10">
            <v>275</v>
          </cell>
          <cell r="AW10">
            <v>267.39999999999998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126.4</v>
          </cell>
          <cell r="BF10">
            <v>720.5</v>
          </cell>
          <cell r="BG10">
            <v>187.5</v>
          </cell>
          <cell r="BH10">
            <v>0</v>
          </cell>
          <cell r="BI10">
            <v>0</v>
          </cell>
          <cell r="BJ10">
            <v>73.099999999999994</v>
          </cell>
          <cell r="BK10">
            <v>0</v>
          </cell>
          <cell r="BL10">
            <v>0</v>
          </cell>
          <cell r="BM10">
            <v>0</v>
          </cell>
          <cell r="BN10">
            <v>48.6</v>
          </cell>
          <cell r="BO10">
            <v>0</v>
          </cell>
          <cell r="BP10">
            <v>0</v>
          </cell>
          <cell r="BQ10">
            <v>38.9</v>
          </cell>
          <cell r="BR10">
            <v>287.3</v>
          </cell>
          <cell r="BS10">
            <v>1211.8</v>
          </cell>
          <cell r="BT10">
            <v>547.9</v>
          </cell>
          <cell r="BU10">
            <v>129.9</v>
          </cell>
          <cell r="BV10">
            <v>246.3</v>
          </cell>
          <cell r="BW10">
            <v>0</v>
          </cell>
          <cell r="BX10">
            <v>0</v>
          </cell>
          <cell r="BY10">
            <v>0</v>
          </cell>
          <cell r="BZ10">
            <v>82.1</v>
          </cell>
          <cell r="CA10">
            <v>0</v>
          </cell>
          <cell r="CB10">
            <v>0</v>
          </cell>
          <cell r="CC10">
            <v>313.89999999999998</v>
          </cell>
          <cell r="CD10">
            <v>177.3</v>
          </cell>
          <cell r="CE10">
            <v>691.1</v>
          </cell>
          <cell r="CF10">
            <v>609.6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157.9</v>
          </cell>
          <cell r="CP10">
            <v>899.7</v>
          </cell>
          <cell r="CQ10">
            <v>143.30000000000001</v>
          </cell>
          <cell r="CR10">
            <v>71.599999999999994</v>
          </cell>
          <cell r="CS10">
            <v>190.6</v>
          </cell>
          <cell r="CT10">
            <v>10</v>
          </cell>
          <cell r="CU10">
            <v>0</v>
          </cell>
          <cell r="CV10">
            <v>0</v>
          </cell>
          <cell r="CW10">
            <v>53.6</v>
          </cell>
          <cell r="CX10">
            <v>0</v>
          </cell>
          <cell r="CY10">
            <v>0</v>
          </cell>
          <cell r="CZ10">
            <v>0</v>
          </cell>
          <cell r="DA10">
            <v>111.2</v>
          </cell>
          <cell r="DB10">
            <v>878.9</v>
          </cell>
          <cell r="DC10">
            <v>1403.7</v>
          </cell>
          <cell r="DD10">
            <v>0</v>
          </cell>
          <cell r="DE10">
            <v>541.6</v>
          </cell>
          <cell r="DF10">
            <v>485.5</v>
          </cell>
          <cell r="DG10">
            <v>704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750</v>
          </cell>
          <cell r="DO10">
            <v>515.79999999999995</v>
          </cell>
          <cell r="DP10">
            <v>212.4</v>
          </cell>
          <cell r="DQ10">
            <v>206.1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285</v>
          </cell>
          <cell r="EM10">
            <v>2898.9</v>
          </cell>
          <cell r="EN10">
            <v>1662</v>
          </cell>
          <cell r="EO10">
            <v>2148.9</v>
          </cell>
          <cell r="EP10">
            <v>1068.6000000000001</v>
          </cell>
          <cell r="EQ10">
            <v>2819.2000000000003</v>
          </cell>
          <cell r="ER10">
            <v>1635.9</v>
          </cell>
          <cell r="ES10">
            <v>1479.9999999999998</v>
          </cell>
        </row>
        <row r="11">
          <cell r="A11" t="str">
            <v>Other Operating Income / (Expense) Items SUB</v>
          </cell>
          <cell r="B11" t="str">
            <v>Operations &amp; Maintenance Expense (incl clause)</v>
          </cell>
          <cell r="E11" t="str">
            <v>Operations &amp; Maintenance Expense</v>
          </cell>
          <cell r="F11" t="str">
            <v>4073141</v>
          </cell>
          <cell r="G11" t="str">
            <v>A_4073141</v>
          </cell>
          <cell r="H11" t="str">
            <v>REG DR Defd Conservation - Gas - Amortization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15.8</v>
          </cell>
          <cell r="AU11">
            <v>15.8</v>
          </cell>
          <cell r="AV11">
            <v>15.8</v>
          </cell>
          <cell r="AW11">
            <v>15.8</v>
          </cell>
          <cell r="AX11">
            <v>15.8</v>
          </cell>
          <cell r="AY11">
            <v>15.8</v>
          </cell>
          <cell r="AZ11">
            <v>15.8</v>
          </cell>
          <cell r="BA11">
            <v>15.8</v>
          </cell>
          <cell r="BB11">
            <v>15.8</v>
          </cell>
          <cell r="BC11">
            <v>15.8</v>
          </cell>
          <cell r="BD11">
            <v>15.8</v>
          </cell>
          <cell r="BE11">
            <v>15.8</v>
          </cell>
          <cell r="BF11">
            <v>181.2</v>
          </cell>
          <cell r="BG11">
            <v>181.2</v>
          </cell>
          <cell r="BH11">
            <v>181.2</v>
          </cell>
          <cell r="BI11">
            <v>181.2</v>
          </cell>
          <cell r="BJ11">
            <v>181.2</v>
          </cell>
          <cell r="BK11">
            <v>181.2</v>
          </cell>
          <cell r="BL11">
            <v>181.2</v>
          </cell>
          <cell r="BM11">
            <v>181.2</v>
          </cell>
          <cell r="BN11">
            <v>181.2</v>
          </cell>
          <cell r="BO11">
            <v>181.2</v>
          </cell>
          <cell r="BP11">
            <v>181.2</v>
          </cell>
          <cell r="BQ11">
            <v>181.2</v>
          </cell>
          <cell r="BR11">
            <v>119.6</v>
          </cell>
          <cell r="BS11">
            <v>119.6</v>
          </cell>
          <cell r="BT11">
            <v>119.6</v>
          </cell>
          <cell r="BU11">
            <v>119.6</v>
          </cell>
          <cell r="BV11">
            <v>119.6</v>
          </cell>
          <cell r="BW11">
            <v>119.6</v>
          </cell>
          <cell r="BX11">
            <v>119.6</v>
          </cell>
          <cell r="BY11">
            <v>119.6</v>
          </cell>
          <cell r="BZ11">
            <v>119.6</v>
          </cell>
          <cell r="CA11">
            <v>119.6</v>
          </cell>
          <cell r="CB11">
            <v>119.6</v>
          </cell>
          <cell r="CC11">
            <v>119.6</v>
          </cell>
          <cell r="CD11">
            <v>229.9</v>
          </cell>
          <cell r="CE11">
            <v>229.9</v>
          </cell>
          <cell r="CF11">
            <v>229.9</v>
          </cell>
          <cell r="CG11">
            <v>229.9</v>
          </cell>
          <cell r="CH11">
            <v>229.9</v>
          </cell>
          <cell r="CI11">
            <v>229.9</v>
          </cell>
          <cell r="CJ11">
            <v>229.9</v>
          </cell>
          <cell r="CK11">
            <v>229.9</v>
          </cell>
          <cell r="CL11">
            <v>229.9</v>
          </cell>
          <cell r="CM11">
            <v>229.9</v>
          </cell>
          <cell r="CN11">
            <v>229.9</v>
          </cell>
          <cell r="CO11">
            <v>229.9</v>
          </cell>
          <cell r="CP11">
            <v>95.9</v>
          </cell>
          <cell r="CQ11">
            <v>95.9</v>
          </cell>
          <cell r="CR11">
            <v>95.9</v>
          </cell>
          <cell r="CS11">
            <v>95.9</v>
          </cell>
          <cell r="CT11">
            <v>95.9</v>
          </cell>
          <cell r="CU11">
            <v>95.9</v>
          </cell>
          <cell r="CV11">
            <v>95.9</v>
          </cell>
          <cell r="CW11">
            <v>95.9</v>
          </cell>
          <cell r="CX11">
            <v>95.9</v>
          </cell>
          <cell r="CY11">
            <v>95.9</v>
          </cell>
          <cell r="CZ11">
            <v>95.9</v>
          </cell>
          <cell r="DA11">
            <v>95.9</v>
          </cell>
          <cell r="DB11">
            <v>234.2</v>
          </cell>
          <cell r="DC11">
            <v>234.2</v>
          </cell>
          <cell r="DD11">
            <v>234.2</v>
          </cell>
          <cell r="DE11">
            <v>234.2</v>
          </cell>
          <cell r="DF11">
            <v>234.2</v>
          </cell>
          <cell r="DG11">
            <v>234.2</v>
          </cell>
          <cell r="DH11">
            <v>234.2</v>
          </cell>
          <cell r="DI11">
            <v>234.2</v>
          </cell>
          <cell r="DJ11">
            <v>234.2</v>
          </cell>
          <cell r="DK11">
            <v>234.2</v>
          </cell>
          <cell r="DL11">
            <v>234.2</v>
          </cell>
          <cell r="DM11">
            <v>234.2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EM11">
            <v>0</v>
          </cell>
          <cell r="EN11">
            <v>0</v>
          </cell>
          <cell r="EO11">
            <v>189.60000000000002</v>
          </cell>
          <cell r="EP11">
            <v>2174.4</v>
          </cell>
          <cell r="EQ11">
            <v>1435.1999999999998</v>
          </cell>
          <cell r="ER11">
            <v>2758.8000000000006</v>
          </cell>
          <cell r="ES11">
            <v>1150.8</v>
          </cell>
        </row>
        <row r="12">
          <cell r="A12" t="str">
            <v>Other Operating Income / (Expense) Items SUB</v>
          </cell>
          <cell r="B12" t="str">
            <v>Cost of Gas</v>
          </cell>
          <cell r="D12" t="str">
            <v>Cost of Gas</v>
          </cell>
          <cell r="E12" t="str">
            <v>Cost of Gas</v>
          </cell>
          <cell r="F12" t="str">
            <v>4074060</v>
          </cell>
          <cell r="G12" t="str">
            <v>A_4074060</v>
          </cell>
          <cell r="H12" t="str">
            <v xml:space="preserve"> REG CR Defd Purchased Gas Adjustment 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-425.6</v>
          </cell>
          <cell r="X12">
            <v>0</v>
          </cell>
          <cell r="Y12">
            <v>-1620.8</v>
          </cell>
          <cell r="Z12">
            <v>-444.6</v>
          </cell>
          <cell r="AA12">
            <v>0</v>
          </cell>
          <cell r="AB12">
            <v>-1162.8</v>
          </cell>
          <cell r="AC12">
            <v>0</v>
          </cell>
          <cell r="AD12">
            <v>-370.3</v>
          </cell>
          <cell r="AE12">
            <v>-2364.6</v>
          </cell>
          <cell r="AF12">
            <v>-2263.1999999999998</v>
          </cell>
          <cell r="AG12">
            <v>-198.3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-473.3</v>
          </cell>
          <cell r="AQ12">
            <v>-2673.1</v>
          </cell>
          <cell r="AR12">
            <v>-2821.4</v>
          </cell>
          <cell r="AS12">
            <v>-414.7</v>
          </cell>
          <cell r="AT12">
            <v>0</v>
          </cell>
          <cell r="AU12">
            <v>0</v>
          </cell>
          <cell r="AV12">
            <v>-3422.2</v>
          </cell>
          <cell r="AW12">
            <v>0</v>
          </cell>
          <cell r="AX12">
            <v>0</v>
          </cell>
          <cell r="AY12">
            <v>-837.4</v>
          </cell>
          <cell r="AZ12">
            <v>-1098.2</v>
          </cell>
          <cell r="BA12">
            <v>-1113.0999999999999</v>
          </cell>
          <cell r="BB12">
            <v>0</v>
          </cell>
          <cell r="BC12">
            <v>-3327.7</v>
          </cell>
          <cell r="BD12">
            <v>-1118.9000000000001</v>
          </cell>
          <cell r="BE12">
            <v>0</v>
          </cell>
          <cell r="BF12">
            <v>0</v>
          </cell>
          <cell r="BG12">
            <v>0</v>
          </cell>
          <cell r="BH12">
            <v>-2979.9</v>
          </cell>
          <cell r="BI12">
            <v>0</v>
          </cell>
          <cell r="BJ12">
            <v>-429.4</v>
          </cell>
          <cell r="BK12">
            <v>0</v>
          </cell>
          <cell r="BL12">
            <v>-167.3</v>
          </cell>
          <cell r="BM12">
            <v>-714.5</v>
          </cell>
          <cell r="BN12">
            <v>0</v>
          </cell>
          <cell r="BO12">
            <v>-3378.4</v>
          </cell>
          <cell r="BP12">
            <v>-6614</v>
          </cell>
          <cell r="BQ12">
            <v>-3537.7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-1387.5</v>
          </cell>
          <cell r="BZ12">
            <v>0</v>
          </cell>
          <cell r="CA12">
            <v>-2443.6999999999998</v>
          </cell>
          <cell r="CB12">
            <v>-2146.8000000000002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-389.7</v>
          </cell>
          <cell r="CI12">
            <v>0</v>
          </cell>
          <cell r="CJ12">
            <v>-437.7</v>
          </cell>
          <cell r="CK12">
            <v>-2362.5</v>
          </cell>
          <cell r="CL12">
            <v>-657.4</v>
          </cell>
          <cell r="CM12">
            <v>-3869.2</v>
          </cell>
          <cell r="CN12">
            <v>-3349.1</v>
          </cell>
          <cell r="CO12">
            <v>-638</v>
          </cell>
          <cell r="CP12">
            <v>0</v>
          </cell>
          <cell r="CQ12">
            <v>-2433.8000000000002</v>
          </cell>
          <cell r="CR12">
            <v>-1199.5</v>
          </cell>
          <cell r="CS12">
            <v>0</v>
          </cell>
          <cell r="CT12">
            <v>0</v>
          </cell>
          <cell r="CU12">
            <v>-676.2</v>
          </cell>
          <cell r="CV12">
            <v>0</v>
          </cell>
          <cell r="CW12">
            <v>-903.6</v>
          </cell>
          <cell r="CX12">
            <v>-1398.5</v>
          </cell>
          <cell r="CY12">
            <v>-7609.2</v>
          </cell>
          <cell r="CZ12">
            <v>-7684.9</v>
          </cell>
          <cell r="DA12">
            <v>0</v>
          </cell>
          <cell r="DB12">
            <v>0</v>
          </cell>
          <cell r="DC12">
            <v>0</v>
          </cell>
          <cell r="DD12">
            <v>-1265.3</v>
          </cell>
          <cell r="DE12">
            <v>-803.5</v>
          </cell>
          <cell r="DF12">
            <v>-2238.5</v>
          </cell>
          <cell r="DG12">
            <v>-345.2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-10616.9</v>
          </cell>
          <cell r="DM12">
            <v>-6128.6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EM12">
            <v>-8850.2000000000007</v>
          </cell>
          <cell r="EN12">
            <v>-6382.5</v>
          </cell>
          <cell r="EO12">
            <v>-10917.499999999998</v>
          </cell>
          <cell r="EP12">
            <v>-17821.2</v>
          </cell>
          <cell r="EQ12">
            <v>-5978</v>
          </cell>
          <cell r="ER12">
            <v>-11703.6</v>
          </cell>
          <cell r="ES12">
            <v>-21905.699999999997</v>
          </cell>
        </row>
        <row r="13">
          <cell r="A13" t="str">
            <v>Other Operating Income / (Expense) Items SUB</v>
          </cell>
          <cell r="B13" t="str">
            <v>Cost of Gas</v>
          </cell>
          <cell r="D13" t="str">
            <v>Cost of Gas</v>
          </cell>
          <cell r="E13" t="str">
            <v>Cost of Gas</v>
          </cell>
          <cell r="F13" t="str">
            <v>4074061</v>
          </cell>
          <cell r="G13" t="str">
            <v>A_4074061</v>
          </cell>
          <cell r="H13" t="str">
            <v>REG CR Defd PGA - Amortization</v>
          </cell>
          <cell r="J13">
            <v>-0.6</v>
          </cell>
          <cell r="K13">
            <v>-0.6</v>
          </cell>
          <cell r="L13">
            <v>-0.6</v>
          </cell>
          <cell r="M13">
            <v>-0.6</v>
          </cell>
          <cell r="N13">
            <v>-0.6</v>
          </cell>
          <cell r="O13">
            <v>-0.6</v>
          </cell>
          <cell r="P13">
            <v>-0.6</v>
          </cell>
          <cell r="Q13">
            <v>-0.6</v>
          </cell>
          <cell r="R13">
            <v>-0.6</v>
          </cell>
          <cell r="S13">
            <v>-0.6</v>
          </cell>
          <cell r="T13">
            <v>-0.6</v>
          </cell>
          <cell r="U13">
            <v>-0.6</v>
          </cell>
          <cell r="V13">
            <v>-51.6</v>
          </cell>
          <cell r="W13">
            <v>-51.6</v>
          </cell>
          <cell r="X13">
            <v>-51.6</v>
          </cell>
          <cell r="Y13">
            <v>-51.6</v>
          </cell>
          <cell r="Z13">
            <v>-51.6</v>
          </cell>
          <cell r="AA13">
            <v>-51.6</v>
          </cell>
          <cell r="AB13">
            <v>-51.6</v>
          </cell>
          <cell r="AC13">
            <v>-51.6</v>
          </cell>
          <cell r="AD13">
            <v>-51.6</v>
          </cell>
          <cell r="AE13">
            <v>-51.6</v>
          </cell>
          <cell r="AF13">
            <v>-51.6</v>
          </cell>
          <cell r="AG13">
            <v>-51.6</v>
          </cell>
          <cell r="AH13">
            <v>-67.900000000000006</v>
          </cell>
          <cell r="AI13">
            <v>-67.900000000000006</v>
          </cell>
          <cell r="AJ13">
            <v>-67.900000000000006</v>
          </cell>
          <cell r="AK13">
            <v>-67.900000000000006</v>
          </cell>
          <cell r="AL13">
            <v>-67.900000000000006</v>
          </cell>
          <cell r="AM13">
            <v>-67.900000000000006</v>
          </cell>
          <cell r="AN13">
            <v>-67.900000000000006</v>
          </cell>
          <cell r="AO13">
            <v>-67.900000000000006</v>
          </cell>
          <cell r="AP13">
            <v>-67.900000000000006</v>
          </cell>
          <cell r="AQ13">
            <v>-67.900000000000006</v>
          </cell>
          <cell r="AR13">
            <v>-67.900000000000006</v>
          </cell>
          <cell r="AS13">
            <v>-67.900000000000006</v>
          </cell>
          <cell r="AT13">
            <v>-90.6</v>
          </cell>
          <cell r="AU13">
            <v>-90.6</v>
          </cell>
          <cell r="AV13">
            <v>-90.6</v>
          </cell>
          <cell r="AW13">
            <v>-90.6</v>
          </cell>
          <cell r="AX13">
            <v>-90.6</v>
          </cell>
          <cell r="AY13">
            <v>-90.6</v>
          </cell>
          <cell r="AZ13">
            <v>-90.6</v>
          </cell>
          <cell r="BA13">
            <v>-90.6</v>
          </cell>
          <cell r="BB13">
            <v>-90.6</v>
          </cell>
          <cell r="BC13">
            <v>-90.6</v>
          </cell>
          <cell r="BD13">
            <v>-90.6</v>
          </cell>
          <cell r="BE13">
            <v>-90.6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-188.8</v>
          </cell>
          <cell r="BS13">
            <v>-188.8</v>
          </cell>
          <cell r="BT13">
            <v>-188.8</v>
          </cell>
          <cell r="BU13">
            <v>-188.8</v>
          </cell>
          <cell r="BV13">
            <v>-188.8</v>
          </cell>
          <cell r="BW13">
            <v>-188.8</v>
          </cell>
          <cell r="BX13">
            <v>-188.8</v>
          </cell>
          <cell r="BY13">
            <v>-188.8</v>
          </cell>
          <cell r="BZ13">
            <v>-188.8</v>
          </cell>
          <cell r="CA13">
            <v>-188.8</v>
          </cell>
          <cell r="CB13">
            <v>-188.8</v>
          </cell>
          <cell r="CC13">
            <v>-188.8</v>
          </cell>
          <cell r="CD13">
            <v>-147.19999999999999</v>
          </cell>
          <cell r="CE13">
            <v>-147.19999999999999</v>
          </cell>
          <cell r="CF13">
            <v>-147.19999999999999</v>
          </cell>
          <cell r="CG13">
            <v>-147.19999999999999</v>
          </cell>
          <cell r="CH13">
            <v>-147.19999999999999</v>
          </cell>
          <cell r="CI13">
            <v>-147.19999999999999</v>
          </cell>
          <cell r="CJ13">
            <v>-147.19999999999999</v>
          </cell>
          <cell r="CK13">
            <v>-147.19999999999999</v>
          </cell>
          <cell r="CL13">
            <v>-147.19999999999999</v>
          </cell>
          <cell r="CM13">
            <v>-147.19999999999999</v>
          </cell>
          <cell r="CN13">
            <v>-147.19999999999999</v>
          </cell>
          <cell r="CO13">
            <v>-147.19999999999999</v>
          </cell>
          <cell r="CP13">
            <v>-107.3</v>
          </cell>
          <cell r="CQ13">
            <v>-107.3</v>
          </cell>
          <cell r="CR13">
            <v>-107.3</v>
          </cell>
          <cell r="CS13">
            <v>-107.3</v>
          </cell>
          <cell r="CT13">
            <v>-107.3</v>
          </cell>
          <cell r="CU13">
            <v>-107.3</v>
          </cell>
          <cell r="CV13">
            <v>-107.3</v>
          </cell>
          <cell r="CW13">
            <v>-107.3</v>
          </cell>
          <cell r="CX13">
            <v>-107.3</v>
          </cell>
          <cell r="CY13">
            <v>-107.3</v>
          </cell>
          <cell r="CZ13">
            <v>-107.3</v>
          </cell>
          <cell r="DA13">
            <v>-107.3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EM13">
            <v>-619.20000000000016</v>
          </cell>
          <cell r="EN13">
            <v>-814.79999999999984</v>
          </cell>
          <cell r="EO13">
            <v>-1087.2</v>
          </cell>
          <cell r="EP13">
            <v>0</v>
          </cell>
          <cell r="EQ13">
            <v>-2265.6</v>
          </cell>
          <cell r="ER13">
            <v>-1766.4000000000003</v>
          </cell>
          <cell r="ES13">
            <v>-1287.5999999999997</v>
          </cell>
        </row>
        <row r="14">
          <cell r="A14" t="str">
            <v>ROI - CIBSR</v>
          </cell>
          <cell r="B14" t="str">
            <v>Operating Revenue</v>
          </cell>
          <cell r="D14" t="str">
            <v>Other Operating Revenues - CIBSR</v>
          </cell>
          <cell r="E14" t="str">
            <v>Operating Revenue</v>
          </cell>
          <cell r="F14" t="str">
            <v>4074071</v>
          </cell>
          <cell r="G14" t="str">
            <v>A_4074071</v>
          </cell>
          <cell r="H14" t="str">
            <v>REG CR Defd CI/BSR Rider</v>
          </cell>
          <cell r="J14">
            <v>0.4</v>
          </cell>
          <cell r="K14">
            <v>0</v>
          </cell>
          <cell r="L14">
            <v>0</v>
          </cell>
          <cell r="M14">
            <v>-0.1</v>
          </cell>
          <cell r="N14">
            <v>0</v>
          </cell>
          <cell r="O14">
            <v>16.2</v>
          </cell>
          <cell r="P14">
            <v>39.299999999999997</v>
          </cell>
          <cell r="Q14">
            <v>64.900000000000006</v>
          </cell>
          <cell r="R14">
            <v>69.900000000000006</v>
          </cell>
          <cell r="S14">
            <v>78.900000000000006</v>
          </cell>
          <cell r="T14">
            <v>71.900000000000006</v>
          </cell>
          <cell r="U14">
            <v>30.5</v>
          </cell>
          <cell r="V14">
            <v>0.3</v>
          </cell>
          <cell r="W14">
            <v>0</v>
          </cell>
          <cell r="X14">
            <v>0</v>
          </cell>
          <cell r="Y14">
            <v>0</v>
          </cell>
          <cell r="Z14">
            <v>48.4</v>
          </cell>
          <cell r="AA14">
            <v>53</v>
          </cell>
          <cell r="AB14">
            <v>85</v>
          </cell>
          <cell r="AC14">
            <v>88.3</v>
          </cell>
          <cell r="AD14">
            <v>102.2</v>
          </cell>
          <cell r="AE14">
            <v>103.1</v>
          </cell>
          <cell r="AF14">
            <v>91.1</v>
          </cell>
          <cell r="AG14">
            <v>61</v>
          </cell>
          <cell r="AH14">
            <v>0.4</v>
          </cell>
          <cell r="AI14">
            <v>0</v>
          </cell>
          <cell r="AJ14">
            <v>0</v>
          </cell>
          <cell r="AK14">
            <v>0</v>
          </cell>
          <cell r="AL14">
            <v>27.5</v>
          </cell>
          <cell r="AM14">
            <v>74.5</v>
          </cell>
          <cell r="AN14">
            <v>102.3</v>
          </cell>
          <cell r="AO14">
            <v>137.5</v>
          </cell>
          <cell r="AP14">
            <v>124.3</v>
          </cell>
          <cell r="AQ14">
            <v>176.4</v>
          </cell>
          <cell r="AR14">
            <v>128.5</v>
          </cell>
          <cell r="AS14">
            <v>-138.5</v>
          </cell>
          <cell r="AT14">
            <v>59.3</v>
          </cell>
          <cell r="AU14">
            <v>45.3</v>
          </cell>
          <cell r="AV14">
            <v>109.9</v>
          </cell>
          <cell r="AW14">
            <v>137.9</v>
          </cell>
          <cell r="AX14">
            <v>214.7</v>
          </cell>
          <cell r="AY14">
            <v>259.3</v>
          </cell>
          <cell r="AZ14">
            <v>296</v>
          </cell>
          <cell r="BA14">
            <v>316.7</v>
          </cell>
          <cell r="BB14">
            <v>298.2</v>
          </cell>
          <cell r="BC14">
            <v>353.9</v>
          </cell>
          <cell r="BD14">
            <v>315.7</v>
          </cell>
          <cell r="BE14">
            <v>337.5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30.9</v>
          </cell>
          <cell r="BL14">
            <v>136</v>
          </cell>
          <cell r="BM14">
            <v>178.8</v>
          </cell>
          <cell r="BN14">
            <v>148.1</v>
          </cell>
          <cell r="BO14">
            <v>259.39999999999998</v>
          </cell>
          <cell r="BP14">
            <v>216.8</v>
          </cell>
          <cell r="BQ14">
            <v>7.6</v>
          </cell>
          <cell r="BR14">
            <v>0</v>
          </cell>
          <cell r="BS14">
            <v>55.1</v>
          </cell>
          <cell r="BT14">
            <v>0</v>
          </cell>
          <cell r="BU14">
            <v>0</v>
          </cell>
          <cell r="BV14">
            <v>117.4</v>
          </cell>
          <cell r="BW14">
            <v>275.5</v>
          </cell>
          <cell r="BX14">
            <v>346.7</v>
          </cell>
          <cell r="BY14">
            <v>389.2</v>
          </cell>
          <cell r="BZ14">
            <v>398.1</v>
          </cell>
          <cell r="CA14">
            <v>386.2</v>
          </cell>
          <cell r="CB14">
            <v>370</v>
          </cell>
          <cell r="CC14">
            <v>399.5</v>
          </cell>
          <cell r="CD14">
            <v>0</v>
          </cell>
          <cell r="CE14">
            <v>0</v>
          </cell>
          <cell r="CF14">
            <v>0</v>
          </cell>
          <cell r="CG14">
            <v>280.2</v>
          </cell>
          <cell r="CH14">
            <v>459.2</v>
          </cell>
          <cell r="CI14">
            <v>484.3</v>
          </cell>
          <cell r="CJ14">
            <v>616.6</v>
          </cell>
          <cell r="CK14">
            <v>651.5</v>
          </cell>
          <cell r="CL14">
            <v>688.2</v>
          </cell>
          <cell r="CM14">
            <v>636.29999999999995</v>
          </cell>
          <cell r="CN14">
            <v>473.6</v>
          </cell>
          <cell r="CO14">
            <v>115.9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8.1999999999999993</v>
          </cell>
          <cell r="CU14">
            <v>53</v>
          </cell>
          <cell r="CV14">
            <v>83.3</v>
          </cell>
          <cell r="CW14">
            <v>133.19999999999999</v>
          </cell>
          <cell r="CX14">
            <v>129.1</v>
          </cell>
          <cell r="CY14">
            <v>168.1</v>
          </cell>
          <cell r="CZ14">
            <v>138.9</v>
          </cell>
          <cell r="DA14">
            <v>61.9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19.5</v>
          </cell>
          <cell r="DG14">
            <v>85.2</v>
          </cell>
          <cell r="DH14">
            <v>129.19999999999999</v>
          </cell>
          <cell r="DI14">
            <v>152.4</v>
          </cell>
          <cell r="DJ14">
            <v>153.1</v>
          </cell>
          <cell r="DK14">
            <v>135.6</v>
          </cell>
          <cell r="DL14">
            <v>126.2</v>
          </cell>
          <cell r="DM14">
            <v>71.5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8.9</v>
          </cell>
          <cell r="DS14">
            <v>73.3</v>
          </cell>
          <cell r="DT14">
            <v>122.3</v>
          </cell>
          <cell r="DU14">
            <v>159.5</v>
          </cell>
          <cell r="DV14">
            <v>158.9</v>
          </cell>
          <cell r="DW14">
            <v>163.9</v>
          </cell>
          <cell r="DX14">
            <v>98.1</v>
          </cell>
          <cell r="DY14">
            <v>0</v>
          </cell>
          <cell r="EM14">
            <v>632.4</v>
          </cell>
          <cell r="EN14">
            <v>632.9</v>
          </cell>
          <cell r="EO14">
            <v>2744.3999999999996</v>
          </cell>
          <cell r="EP14">
            <v>977.6</v>
          </cell>
          <cell r="EQ14">
            <v>2737.7</v>
          </cell>
          <cell r="ER14">
            <v>4405.8</v>
          </cell>
          <cell r="ES14">
            <v>775.69999999999993</v>
          </cell>
        </row>
        <row r="15">
          <cell r="A15" t="str">
            <v>ROI - CIBSR</v>
          </cell>
          <cell r="B15" t="str">
            <v>Operating Revenue</v>
          </cell>
          <cell r="D15" t="str">
            <v>Other Operating Revenues - CIBSR</v>
          </cell>
          <cell r="E15" t="str">
            <v>Operating Revenue</v>
          </cell>
          <cell r="F15" t="str">
            <v>4074072</v>
          </cell>
          <cell r="G15" t="str">
            <v>A_4074072</v>
          </cell>
          <cell r="H15" t="str">
            <v>REG CR Defd CIBSR - Amortization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119.8</v>
          </cell>
          <cell r="BS15">
            <v>119.8</v>
          </cell>
          <cell r="BT15">
            <v>119.8</v>
          </cell>
          <cell r="BU15">
            <v>119.8</v>
          </cell>
          <cell r="BV15">
            <v>119.8</v>
          </cell>
          <cell r="BW15">
            <v>119.8</v>
          </cell>
          <cell r="BX15">
            <v>119.8</v>
          </cell>
          <cell r="BY15">
            <v>119.8</v>
          </cell>
          <cell r="BZ15">
            <v>119.8</v>
          </cell>
          <cell r="CA15">
            <v>119.8</v>
          </cell>
          <cell r="CB15">
            <v>119.8</v>
          </cell>
          <cell r="CC15">
            <v>119.8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1437.5999999999997</v>
          </cell>
          <cell r="ER15">
            <v>0</v>
          </cell>
          <cell r="ES15">
            <v>0</v>
          </cell>
        </row>
        <row r="16">
          <cell r="A16" t="str">
            <v>Other Operating Income / (Expense) Items</v>
          </cell>
          <cell r="B16" t="str">
            <v>Operating Revenue</v>
          </cell>
          <cell r="D16" t="str">
            <v>Other Operating Revenues - Deferred Conservation</v>
          </cell>
          <cell r="E16" t="str">
            <v>Operating Revenue</v>
          </cell>
          <cell r="F16" t="str">
            <v>4074140</v>
          </cell>
          <cell r="G16" t="str">
            <v>A_4074140</v>
          </cell>
          <cell r="H16" t="str">
            <v>REG CR Defd Conservation - Gas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512</v>
          </cell>
          <cell r="Q16">
            <v>202.9</v>
          </cell>
          <cell r="R16">
            <v>291.60000000000002</v>
          </cell>
          <cell r="S16">
            <v>108.3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65.099999999999994</v>
          </cell>
          <cell r="AA16">
            <v>0</v>
          </cell>
          <cell r="AB16">
            <v>19.8</v>
          </cell>
          <cell r="AC16">
            <v>209</v>
          </cell>
          <cell r="AD16">
            <v>90.5</v>
          </cell>
          <cell r="AE16">
            <v>380.4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144.19999999999999</v>
          </cell>
          <cell r="AM16">
            <v>195</v>
          </cell>
          <cell r="AN16">
            <v>128.19999999999999</v>
          </cell>
          <cell r="AO16">
            <v>619.79999999999995</v>
          </cell>
          <cell r="AP16">
            <v>41.8</v>
          </cell>
          <cell r="AQ16">
            <v>427.7</v>
          </cell>
          <cell r="AR16">
            <v>0</v>
          </cell>
          <cell r="AS16">
            <v>302.2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454.1</v>
          </cell>
          <cell r="AY16">
            <v>640.4</v>
          </cell>
          <cell r="AZ16">
            <v>672.2</v>
          </cell>
          <cell r="BA16">
            <v>842.4</v>
          </cell>
          <cell r="BB16">
            <v>414.8</v>
          </cell>
          <cell r="BC16">
            <v>1213.8</v>
          </cell>
          <cell r="BD16">
            <v>407.9</v>
          </cell>
          <cell r="BE16">
            <v>0</v>
          </cell>
          <cell r="BF16">
            <v>0</v>
          </cell>
          <cell r="BG16">
            <v>0</v>
          </cell>
          <cell r="BH16">
            <v>472.9</v>
          </cell>
          <cell r="BI16">
            <v>1178.4000000000001</v>
          </cell>
          <cell r="BJ16">
            <v>0</v>
          </cell>
          <cell r="BK16">
            <v>111.1</v>
          </cell>
          <cell r="BL16">
            <v>1268.3</v>
          </cell>
          <cell r="BM16">
            <v>712.5</v>
          </cell>
          <cell r="BN16">
            <v>0</v>
          </cell>
          <cell r="BO16">
            <v>1217.8</v>
          </cell>
          <cell r="BP16">
            <v>51.7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677.9</v>
          </cell>
          <cell r="BX16">
            <v>1098.0999999999999</v>
          </cell>
          <cell r="BY16">
            <v>356.1</v>
          </cell>
          <cell r="BZ16">
            <v>0</v>
          </cell>
          <cell r="CA16">
            <v>563</v>
          </cell>
          <cell r="CB16">
            <v>210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260.89999999999998</v>
          </cell>
          <cell r="CH16">
            <v>254.3</v>
          </cell>
          <cell r="CI16">
            <v>315.5</v>
          </cell>
          <cell r="CJ16">
            <v>263.8</v>
          </cell>
          <cell r="CK16">
            <v>496.5</v>
          </cell>
          <cell r="CL16">
            <v>790.1</v>
          </cell>
          <cell r="CM16">
            <v>903.9</v>
          </cell>
          <cell r="CN16">
            <v>133.4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-1.9</v>
          </cell>
          <cell r="CT16">
            <v>0</v>
          </cell>
          <cell r="CU16">
            <v>12.2</v>
          </cell>
          <cell r="CV16">
            <v>300.2</v>
          </cell>
          <cell r="CW16">
            <v>0</v>
          </cell>
          <cell r="CX16">
            <v>504.4</v>
          </cell>
          <cell r="CY16">
            <v>391.6</v>
          </cell>
          <cell r="CZ16">
            <v>140.5</v>
          </cell>
          <cell r="DA16">
            <v>0</v>
          </cell>
          <cell r="DB16">
            <v>0</v>
          </cell>
          <cell r="DC16">
            <v>0</v>
          </cell>
          <cell r="DD16">
            <v>627.29999999999995</v>
          </cell>
          <cell r="DE16">
            <v>0</v>
          </cell>
          <cell r="DF16">
            <v>0</v>
          </cell>
          <cell r="DG16">
            <v>0</v>
          </cell>
          <cell r="DH16">
            <v>1623</v>
          </cell>
          <cell r="DI16">
            <v>525.4</v>
          </cell>
          <cell r="DJ16">
            <v>891.8</v>
          </cell>
          <cell r="DK16">
            <v>480.2</v>
          </cell>
          <cell r="DL16">
            <v>470.5</v>
          </cell>
          <cell r="DM16">
            <v>96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134.30000000000001</v>
          </cell>
          <cell r="DS16">
            <v>246.8</v>
          </cell>
          <cell r="DT16">
            <v>304.39999999999998</v>
          </cell>
          <cell r="DU16">
            <v>408.1</v>
          </cell>
          <cell r="DV16">
            <v>342.5</v>
          </cell>
          <cell r="DW16">
            <v>366.2</v>
          </cell>
          <cell r="DX16">
            <v>167.1</v>
          </cell>
          <cell r="DY16">
            <v>0</v>
          </cell>
          <cell r="EM16">
            <v>764.8</v>
          </cell>
          <cell r="EN16">
            <v>1858.8999999999999</v>
          </cell>
          <cell r="EO16">
            <v>4645.5999999999995</v>
          </cell>
          <cell r="EP16">
            <v>5012.7</v>
          </cell>
          <cell r="EQ16">
            <v>2905.1</v>
          </cell>
          <cell r="ER16">
            <v>3418.4</v>
          </cell>
          <cell r="ES16">
            <v>1347</v>
          </cell>
        </row>
        <row r="17">
          <cell r="A17" t="str">
            <v>Other Operating Income / (Expense) Items</v>
          </cell>
          <cell r="B17" t="str">
            <v>Operating Revenue</v>
          </cell>
          <cell r="D17" t="str">
            <v>Other Operating Revenues - Deferred Conservation</v>
          </cell>
          <cell r="E17" t="str">
            <v>Operating Revenue</v>
          </cell>
          <cell r="F17" t="str">
            <v>4074141</v>
          </cell>
          <cell r="G17" t="str">
            <v>A_4074141</v>
          </cell>
          <cell r="H17" t="str">
            <v>REG CR Defd Conservation - Gas - Amortiz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25.8</v>
          </cell>
          <cell r="W17">
            <v>25.8</v>
          </cell>
          <cell r="X17">
            <v>25.8</v>
          </cell>
          <cell r="Y17">
            <v>25.8</v>
          </cell>
          <cell r="Z17">
            <v>25.8</v>
          </cell>
          <cell r="AA17">
            <v>25.8</v>
          </cell>
          <cell r="AB17">
            <v>25.8</v>
          </cell>
          <cell r="AC17">
            <v>25.8</v>
          </cell>
          <cell r="AD17">
            <v>25.8</v>
          </cell>
          <cell r="AE17">
            <v>25.8</v>
          </cell>
          <cell r="AF17">
            <v>25.8</v>
          </cell>
          <cell r="AG17">
            <v>25.8</v>
          </cell>
          <cell r="AH17">
            <v>178</v>
          </cell>
          <cell r="AI17">
            <v>178</v>
          </cell>
          <cell r="AJ17">
            <v>178</v>
          </cell>
          <cell r="AK17">
            <v>178</v>
          </cell>
          <cell r="AL17">
            <v>178</v>
          </cell>
          <cell r="AM17">
            <v>178</v>
          </cell>
          <cell r="AN17">
            <v>178</v>
          </cell>
          <cell r="AO17">
            <v>178</v>
          </cell>
          <cell r="AP17">
            <v>178</v>
          </cell>
          <cell r="AQ17">
            <v>178</v>
          </cell>
          <cell r="AR17">
            <v>178</v>
          </cell>
          <cell r="AS17">
            <v>178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295.2</v>
          </cell>
          <cell r="DO17">
            <v>295.2</v>
          </cell>
          <cell r="DP17">
            <v>295.2</v>
          </cell>
          <cell r="DQ17">
            <v>295.2</v>
          </cell>
          <cell r="DR17">
            <v>295.2</v>
          </cell>
          <cell r="DS17">
            <v>295.2</v>
          </cell>
          <cell r="DT17">
            <v>295.2</v>
          </cell>
          <cell r="DU17">
            <v>295.2</v>
          </cell>
          <cell r="DV17">
            <v>295.2</v>
          </cell>
          <cell r="DW17">
            <v>295.2</v>
          </cell>
          <cell r="DX17">
            <v>295.2</v>
          </cell>
          <cell r="DY17">
            <v>295.2</v>
          </cell>
          <cell r="EM17">
            <v>309.60000000000008</v>
          </cell>
          <cell r="EN17">
            <v>2136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</row>
        <row r="18">
          <cell r="A18" t="str">
            <v>Other Operating Income / (Expense) Items SUB</v>
          </cell>
          <cell r="B18" t="str">
            <v>Operations &amp; Maintenance Expense (incl clause)</v>
          </cell>
          <cell r="E18" t="str">
            <v>Operations &amp; Maintenance Expense</v>
          </cell>
          <cell r="F18" t="str">
            <v>4074212</v>
          </cell>
          <cell r="G18" t="str">
            <v>A_4074212</v>
          </cell>
          <cell r="H18" t="str">
            <v>REG CR Tax Reform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-457</v>
          </cell>
          <cell r="DG18">
            <v>-91.4</v>
          </cell>
          <cell r="DH18">
            <v>-91.4</v>
          </cell>
          <cell r="DI18">
            <v>-91.4</v>
          </cell>
          <cell r="DJ18">
            <v>-91.4</v>
          </cell>
          <cell r="DK18">
            <v>-91.4</v>
          </cell>
          <cell r="DL18">
            <v>-91.4</v>
          </cell>
          <cell r="DM18">
            <v>-99.2</v>
          </cell>
          <cell r="DN18">
            <v>-97.2</v>
          </cell>
          <cell r="DO18">
            <v>-97.2</v>
          </cell>
          <cell r="DP18">
            <v>-97.2</v>
          </cell>
          <cell r="DQ18">
            <v>-97.2</v>
          </cell>
          <cell r="DR18">
            <v>-97.2</v>
          </cell>
          <cell r="DS18">
            <v>-97.2</v>
          </cell>
          <cell r="DT18">
            <v>-97.2</v>
          </cell>
          <cell r="DU18">
            <v>-97.2</v>
          </cell>
          <cell r="DV18">
            <v>-97.2</v>
          </cell>
          <cell r="DW18">
            <v>-97.2</v>
          </cell>
          <cell r="DX18">
            <v>-97.2</v>
          </cell>
          <cell r="DY18">
            <v>-97.2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</row>
        <row r="19">
          <cell r="A19" t="str">
            <v>Other Operating Income / (Expense) Items SUB</v>
          </cell>
          <cell r="B19" t="str">
            <v>Operations &amp; Maintenance Expense (incl clause)</v>
          </cell>
          <cell r="E19" t="str">
            <v>Operations &amp; Maintenance Expense</v>
          </cell>
          <cell r="F19" t="str">
            <v>4073212</v>
          </cell>
          <cell r="G19" t="str">
            <v>A_4073212</v>
          </cell>
          <cell r="H19" t="str">
            <v>REG DR Tax Reform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1338.2</v>
          </cell>
          <cell r="BH19">
            <v>1131.5999999999999</v>
          </cell>
          <cell r="BI19">
            <v>1167.2</v>
          </cell>
          <cell r="BJ19">
            <v>283.5</v>
          </cell>
          <cell r="BK19">
            <v>721.4</v>
          </cell>
          <cell r="BL19">
            <v>711.7</v>
          </cell>
          <cell r="BM19">
            <v>700.4</v>
          </cell>
          <cell r="BN19">
            <v>-6054.1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720.5</v>
          </cell>
          <cell r="CY19">
            <v>-31.4</v>
          </cell>
          <cell r="CZ19">
            <v>66.5</v>
          </cell>
          <cell r="DA19">
            <v>96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-7.8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7.8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-0.10000000000127329</v>
          </cell>
          <cell r="EQ19">
            <v>0</v>
          </cell>
          <cell r="ER19">
            <v>0</v>
          </cell>
          <cell r="ES19">
            <v>851.6</v>
          </cell>
        </row>
        <row r="20">
          <cell r="F20" t="str">
            <v>407</v>
          </cell>
          <cell r="G20">
            <v>407</v>
          </cell>
          <cell r="J20">
            <v>1319.2</v>
          </cell>
          <cell r="K20">
            <v>5969.4999999999991</v>
          </cell>
          <cell r="L20">
            <v>-137.50000000000009</v>
          </cell>
          <cell r="M20">
            <v>2289.6000000000004</v>
          </cell>
          <cell r="N20">
            <v>-1876.1999999999998</v>
          </cell>
          <cell r="O20">
            <v>2038.6000000000001</v>
          </cell>
          <cell r="P20">
            <v>1315.1999999999998</v>
          </cell>
          <cell r="Q20">
            <v>457.20000000000005</v>
          </cell>
          <cell r="R20">
            <v>91.6</v>
          </cell>
          <cell r="S20">
            <v>-1802.1</v>
          </cell>
          <cell r="T20">
            <v>-5586.6</v>
          </cell>
          <cell r="U20">
            <v>3022.7999999999997</v>
          </cell>
          <cell r="V20">
            <v>1435.6000000000001</v>
          </cell>
          <cell r="W20">
            <v>492.49999999999994</v>
          </cell>
          <cell r="X20">
            <v>2381.1000000000004</v>
          </cell>
          <cell r="Y20">
            <v>-1182.7</v>
          </cell>
          <cell r="Z20">
            <v>-357.10000000000008</v>
          </cell>
          <cell r="AA20">
            <v>2437.2000000000003</v>
          </cell>
          <cell r="AB20">
            <v>-1083.8</v>
          </cell>
          <cell r="AC20">
            <v>292.8</v>
          </cell>
          <cell r="AD20">
            <v>-203.40000000000003</v>
          </cell>
          <cell r="AE20">
            <v>-1906.8999999999999</v>
          </cell>
          <cell r="AF20">
            <v>-2018.7</v>
          </cell>
          <cell r="AG20">
            <v>233.29999999999998</v>
          </cell>
          <cell r="AH20">
            <v>1581.8000000000002</v>
          </cell>
          <cell r="AI20">
            <v>5901.6</v>
          </cell>
          <cell r="AJ20">
            <v>2147.6999999999998</v>
          </cell>
          <cell r="AK20">
            <v>1191.4000000000001</v>
          </cell>
          <cell r="AL20">
            <v>1874.6000000000001</v>
          </cell>
          <cell r="AM20">
            <v>2291.1</v>
          </cell>
          <cell r="AN20">
            <v>1605.3</v>
          </cell>
          <cell r="AO20">
            <v>1702.6</v>
          </cell>
          <cell r="AP20">
            <v>-197.10000000000002</v>
          </cell>
          <cell r="AQ20">
            <v>-1958.9</v>
          </cell>
          <cell r="AR20">
            <v>-2426.4</v>
          </cell>
          <cell r="AS20">
            <v>-140.90000000000003</v>
          </cell>
          <cell r="AT20">
            <v>1484.8</v>
          </cell>
          <cell r="AU20">
            <v>3728.9000000000005</v>
          </cell>
          <cell r="AV20">
            <v>-3112.0999999999995</v>
          </cell>
          <cell r="AW20">
            <v>1375.5000000000002</v>
          </cell>
          <cell r="AX20">
            <v>690.2</v>
          </cell>
          <cell r="AY20">
            <v>-12.500000000000114</v>
          </cell>
          <cell r="AZ20">
            <v>-204.79999999999995</v>
          </cell>
          <cell r="BA20">
            <v>-28.799999999999841</v>
          </cell>
          <cell r="BB20">
            <v>1916.5</v>
          </cell>
          <cell r="BC20">
            <v>-1834.7999999999995</v>
          </cell>
          <cell r="BD20">
            <v>-470.1</v>
          </cell>
          <cell r="BE20">
            <v>1154.3999999999999</v>
          </cell>
          <cell r="BF20">
            <v>6742.7</v>
          </cell>
          <cell r="BG20">
            <v>8320.1</v>
          </cell>
          <cell r="BH20">
            <v>-685.5</v>
          </cell>
          <cell r="BI20">
            <v>6399.4</v>
          </cell>
          <cell r="BJ20">
            <v>774.4</v>
          </cell>
          <cell r="BK20">
            <v>1466.8</v>
          </cell>
          <cell r="BL20">
            <v>2461.6</v>
          </cell>
          <cell r="BM20">
            <v>1390.1</v>
          </cell>
          <cell r="BN20">
            <v>-5140</v>
          </cell>
          <cell r="BO20">
            <v>-1388.3</v>
          </cell>
          <cell r="BP20">
            <v>-5832.6</v>
          </cell>
          <cell r="BQ20">
            <v>-2971.9</v>
          </cell>
          <cell r="BR20">
            <v>2640.7</v>
          </cell>
          <cell r="BS20">
            <v>5189.8000000000011</v>
          </cell>
          <cell r="BT20">
            <v>1927.1999999999998</v>
          </cell>
          <cell r="BU20">
            <v>3288.7000000000003</v>
          </cell>
          <cell r="BV20">
            <v>3006.2</v>
          </cell>
          <cell r="BW20">
            <v>2233</v>
          </cell>
          <cell r="BX20">
            <v>1825.3999999999999</v>
          </cell>
          <cell r="BY20">
            <v>-591.6</v>
          </cell>
          <cell r="BZ20">
            <v>1237.2</v>
          </cell>
          <cell r="CA20">
            <v>-1419.3000000000004</v>
          </cell>
          <cell r="CB20">
            <v>-1516.2000000000005</v>
          </cell>
          <cell r="CC20">
            <v>1965.5</v>
          </cell>
          <cell r="CD20">
            <v>4425.7</v>
          </cell>
          <cell r="CE20">
            <v>4522.4000000000005</v>
          </cell>
          <cell r="CF20">
            <v>2452.1000000000004</v>
          </cell>
          <cell r="CG20">
            <v>1578.1</v>
          </cell>
          <cell r="CH20">
            <v>585.90000000000009</v>
          </cell>
          <cell r="CI20">
            <v>1808.3999999999999</v>
          </cell>
          <cell r="CJ20">
            <v>704.80000000000007</v>
          </cell>
          <cell r="CK20">
            <v>-952.40000000000009</v>
          </cell>
          <cell r="CL20">
            <v>1083</v>
          </cell>
          <cell r="CM20">
            <v>-2066.8999999999992</v>
          </cell>
          <cell r="CN20">
            <v>-2479.9999999999995</v>
          </cell>
          <cell r="CO20">
            <v>-102.09999999999994</v>
          </cell>
          <cell r="CP20">
            <v>5275.9999999999991</v>
          </cell>
          <cell r="CQ20">
            <v>-1731.7</v>
          </cell>
          <cell r="CR20">
            <v>-676.9</v>
          </cell>
          <cell r="CS20">
            <v>4531.3</v>
          </cell>
          <cell r="CT20">
            <v>845.30000000000007</v>
          </cell>
          <cell r="CU20">
            <v>-287.00000000000011</v>
          </cell>
          <cell r="CV20">
            <v>1125.5</v>
          </cell>
          <cell r="CW20">
            <v>-392.8</v>
          </cell>
          <cell r="CX20">
            <v>280.29999999999995</v>
          </cell>
          <cell r="CY20">
            <v>-6756.8999999999987</v>
          </cell>
          <cell r="CZ20">
            <v>-7015</v>
          </cell>
          <cell r="DA20">
            <v>1182.6000000000001</v>
          </cell>
          <cell r="DB20">
            <v>5880.3999999999987</v>
          </cell>
          <cell r="DC20">
            <v>7226.1999999999989</v>
          </cell>
          <cell r="DD20">
            <v>367.59999999999991</v>
          </cell>
          <cell r="DE20">
            <v>676.2</v>
          </cell>
          <cell r="DF20">
            <v>-1291</v>
          </cell>
          <cell r="DG20">
            <v>1259.8999999999999</v>
          </cell>
          <cell r="DH20">
            <v>2683.6</v>
          </cell>
          <cell r="DI20">
            <v>4336.5</v>
          </cell>
          <cell r="DJ20">
            <v>6413.4000000000005</v>
          </cell>
          <cell r="DK20">
            <v>3893.9999999999995</v>
          </cell>
          <cell r="DL20">
            <v>-9204.2999999999993</v>
          </cell>
          <cell r="DM20">
            <v>-5145.2</v>
          </cell>
          <cell r="DN20">
            <v>1433.4</v>
          </cell>
          <cell r="DO20">
            <v>1138</v>
          </cell>
          <cell r="DP20">
            <v>692.39999999999986</v>
          </cell>
          <cell r="DQ20">
            <v>566.39999999999986</v>
          </cell>
          <cell r="DR20">
            <v>401.3</v>
          </cell>
          <cell r="DS20">
            <v>578.20000000000005</v>
          </cell>
          <cell r="DT20">
            <v>684.8</v>
          </cell>
          <cell r="DU20">
            <v>825.7</v>
          </cell>
          <cell r="DV20">
            <v>759.5</v>
          </cell>
          <cell r="DW20">
            <v>788.2</v>
          </cell>
          <cell r="DX20">
            <v>523.29999999999995</v>
          </cell>
          <cell r="DY20">
            <v>626.5</v>
          </cell>
          <cell r="EM20">
            <v>519.90000000000191</v>
          </cell>
          <cell r="EN20">
            <v>13572.800000000001</v>
          </cell>
          <cell r="EO20">
            <v>4687.2000000000016</v>
          </cell>
          <cell r="EP20">
            <v>11536.799999999996</v>
          </cell>
          <cell r="EQ20">
            <v>19786.600000000006</v>
          </cell>
          <cell r="ER20">
            <v>11559</v>
          </cell>
          <cell r="ES20">
            <v>-3619.3</v>
          </cell>
        </row>
        <row r="21">
          <cell r="A21" t="str">
            <v>Misc Operating Revenues (excl Clause &amp; gr/ff)</v>
          </cell>
          <cell r="B21" t="str">
            <v>Operating Revenue</v>
          </cell>
          <cell r="D21" t="str">
            <v>Other Gas Revenues</v>
          </cell>
          <cell r="E21" t="str">
            <v>Operating Revenue</v>
          </cell>
          <cell r="F21" t="str">
            <v>4120000</v>
          </cell>
          <cell r="G21" t="str">
            <v>A_4120000</v>
          </cell>
          <cell r="H21" t="str">
            <v>Revenues from Gas Plant leased to Others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235.2</v>
          </cell>
          <cell r="AM21">
            <v>84.7</v>
          </cell>
          <cell r="AN21">
            <v>84.7</v>
          </cell>
          <cell r="AO21">
            <v>84.7</v>
          </cell>
          <cell r="AP21">
            <v>84.7</v>
          </cell>
          <cell r="AQ21">
            <v>106.7</v>
          </cell>
          <cell r="AR21">
            <v>106.7</v>
          </cell>
          <cell r="AS21">
            <v>106.7</v>
          </cell>
          <cell r="AT21">
            <v>106.7</v>
          </cell>
          <cell r="AU21">
            <v>106.7</v>
          </cell>
          <cell r="AV21">
            <v>106.7</v>
          </cell>
          <cell r="AW21">
            <v>193.4</v>
          </cell>
          <cell r="AX21">
            <v>193.5</v>
          </cell>
          <cell r="AY21">
            <v>193.5</v>
          </cell>
          <cell r="AZ21">
            <v>193.5</v>
          </cell>
          <cell r="BA21">
            <v>193.5</v>
          </cell>
          <cell r="BB21">
            <v>193.5</v>
          </cell>
          <cell r="BC21">
            <v>223.8</v>
          </cell>
          <cell r="BD21">
            <v>223.8</v>
          </cell>
          <cell r="BE21">
            <v>223.8</v>
          </cell>
          <cell r="BF21">
            <v>223.8</v>
          </cell>
          <cell r="BG21">
            <v>223.8</v>
          </cell>
          <cell r="BH21">
            <v>223.8</v>
          </cell>
          <cell r="BI21">
            <v>223.8</v>
          </cell>
          <cell r="BJ21">
            <v>223.8</v>
          </cell>
          <cell r="BK21">
            <v>223.8</v>
          </cell>
          <cell r="BL21">
            <v>223.8</v>
          </cell>
          <cell r="BM21">
            <v>223.8</v>
          </cell>
          <cell r="BN21">
            <v>223.8</v>
          </cell>
          <cell r="BO21">
            <v>223.8</v>
          </cell>
          <cell r="BP21">
            <v>223.8</v>
          </cell>
          <cell r="BQ21">
            <v>223.8</v>
          </cell>
          <cell r="BR21">
            <v>223.8</v>
          </cell>
          <cell r="BS21">
            <v>223.8</v>
          </cell>
          <cell r="BT21">
            <v>255.5</v>
          </cell>
          <cell r="BU21">
            <v>239.7</v>
          </cell>
          <cell r="BV21">
            <v>239.7</v>
          </cell>
          <cell r="BW21">
            <v>239.7</v>
          </cell>
          <cell r="BX21">
            <v>239.7</v>
          </cell>
          <cell r="BY21">
            <v>239.7</v>
          </cell>
          <cell r="BZ21">
            <v>239.7</v>
          </cell>
          <cell r="CA21">
            <v>239.7</v>
          </cell>
          <cell r="CB21">
            <v>239.7</v>
          </cell>
          <cell r="CC21">
            <v>239.7</v>
          </cell>
          <cell r="CD21">
            <v>239.7</v>
          </cell>
          <cell r="CE21">
            <v>239.7</v>
          </cell>
          <cell r="CF21">
            <v>239.7</v>
          </cell>
          <cell r="CG21">
            <v>239.7</v>
          </cell>
          <cell r="CH21">
            <v>191.8</v>
          </cell>
          <cell r="CI21">
            <v>215.7</v>
          </cell>
          <cell r="CJ21">
            <v>215.7</v>
          </cell>
          <cell r="CK21">
            <v>215.7</v>
          </cell>
          <cell r="CL21">
            <v>215.7</v>
          </cell>
          <cell r="CM21">
            <v>207.4</v>
          </cell>
          <cell r="CN21">
            <v>207.4</v>
          </cell>
          <cell r="CO21">
            <v>207.4</v>
          </cell>
          <cell r="CP21">
            <v>207.4</v>
          </cell>
          <cell r="CQ21">
            <v>207.4</v>
          </cell>
          <cell r="CR21">
            <v>207.4</v>
          </cell>
          <cell r="CS21">
            <v>207.4</v>
          </cell>
          <cell r="CT21">
            <v>207.4</v>
          </cell>
          <cell r="CU21">
            <v>207.4</v>
          </cell>
          <cell r="CV21">
            <v>207.4</v>
          </cell>
          <cell r="CW21">
            <v>207.4</v>
          </cell>
          <cell r="CX21">
            <v>207.4</v>
          </cell>
          <cell r="CY21">
            <v>207.4</v>
          </cell>
          <cell r="CZ21">
            <v>207.4</v>
          </cell>
          <cell r="DA21">
            <v>207.4</v>
          </cell>
          <cell r="DB21">
            <v>207.4</v>
          </cell>
          <cell r="DC21">
            <v>207.4</v>
          </cell>
          <cell r="DD21">
            <v>207.4</v>
          </cell>
          <cell r="DE21">
            <v>163.4</v>
          </cell>
          <cell r="DF21">
            <v>163.4</v>
          </cell>
          <cell r="DG21">
            <v>160.6</v>
          </cell>
          <cell r="DH21">
            <v>139.1</v>
          </cell>
          <cell r="DI21">
            <v>37.799999999999997</v>
          </cell>
          <cell r="DJ21">
            <v>37.799999999999997</v>
          </cell>
          <cell r="DK21">
            <v>37.799999999999997</v>
          </cell>
          <cell r="DL21">
            <v>37.799999999999997</v>
          </cell>
          <cell r="DM21">
            <v>37.799999999999997</v>
          </cell>
          <cell r="DN21">
            <v>37.799999999999997</v>
          </cell>
          <cell r="DO21">
            <v>37.799999999999997</v>
          </cell>
          <cell r="DP21">
            <v>372.6</v>
          </cell>
          <cell r="DQ21">
            <v>372.6</v>
          </cell>
          <cell r="DR21">
            <v>372.6</v>
          </cell>
          <cell r="DS21">
            <v>372.6</v>
          </cell>
          <cell r="DT21">
            <v>372.6</v>
          </cell>
          <cell r="DU21">
            <v>372.6</v>
          </cell>
          <cell r="DV21">
            <v>372.6</v>
          </cell>
          <cell r="DW21">
            <v>372.6</v>
          </cell>
          <cell r="DX21">
            <v>372.6</v>
          </cell>
          <cell r="DY21">
            <v>372.6</v>
          </cell>
          <cell r="EM21">
            <v>0</v>
          </cell>
          <cell r="EN21">
            <v>894.10000000000014</v>
          </cell>
          <cell r="EO21">
            <v>2152.4</v>
          </cell>
          <cell r="EP21">
            <v>2685.6000000000004</v>
          </cell>
          <cell r="EQ21">
            <v>2860.3999999999996</v>
          </cell>
          <cell r="ER21">
            <v>2635.6000000000004</v>
          </cell>
          <cell r="ES21">
            <v>2488.8000000000006</v>
          </cell>
        </row>
        <row r="22">
          <cell r="A22" t="str">
            <v>Other Operating Income / (Expense) Items</v>
          </cell>
          <cell r="B22" t="str">
            <v>Operating Revenue</v>
          </cell>
          <cell r="D22" t="str">
            <v>Other Operating Revenues - Misc</v>
          </cell>
          <cell r="E22" t="str">
            <v>Operating Revenue SUB</v>
          </cell>
          <cell r="F22" t="str">
            <v>4120001</v>
          </cell>
          <cell r="G22" t="str">
            <v>A_4120001</v>
          </cell>
          <cell r="H22" t="str">
            <v>Revenues from Gas Plant leased to Others-GAAP adj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-188.4</v>
          </cell>
          <cell r="AN22">
            <v>-62.8</v>
          </cell>
          <cell r="AO22">
            <v>-62.8</v>
          </cell>
          <cell r="AP22">
            <v>-62.8</v>
          </cell>
          <cell r="AQ22">
            <v>-62.8</v>
          </cell>
          <cell r="AR22">
            <v>-106.7</v>
          </cell>
          <cell r="AS22">
            <v>-84.8</v>
          </cell>
          <cell r="AT22">
            <v>-84.8</v>
          </cell>
          <cell r="AU22">
            <v>-84.8</v>
          </cell>
          <cell r="AV22">
            <v>-84.8</v>
          </cell>
          <cell r="AW22">
            <v>-171.5</v>
          </cell>
          <cell r="AX22">
            <v>-171.5</v>
          </cell>
          <cell r="AY22">
            <v>-171.5</v>
          </cell>
          <cell r="AZ22">
            <v>-171.5</v>
          </cell>
          <cell r="BA22">
            <v>-171.5</v>
          </cell>
          <cell r="BB22">
            <v>-171.5</v>
          </cell>
          <cell r="BC22">
            <v>-201.9</v>
          </cell>
          <cell r="BD22">
            <v>-201.9</v>
          </cell>
          <cell r="BE22">
            <v>-201.9</v>
          </cell>
          <cell r="BF22">
            <v>-201.9</v>
          </cell>
          <cell r="BG22">
            <v>-201.9</v>
          </cell>
          <cell r="BH22">
            <v>-201.9</v>
          </cell>
          <cell r="BI22">
            <v>-201.9</v>
          </cell>
          <cell r="BJ22">
            <v>-201.9</v>
          </cell>
          <cell r="BK22">
            <v>-201.9</v>
          </cell>
          <cell r="BL22">
            <v>-201.9</v>
          </cell>
          <cell r="BM22">
            <v>-201.9</v>
          </cell>
          <cell r="BN22">
            <v>-201.9</v>
          </cell>
          <cell r="BO22">
            <v>-201.9</v>
          </cell>
          <cell r="BP22">
            <v>-201.9</v>
          </cell>
          <cell r="BQ22">
            <v>-201.9</v>
          </cell>
          <cell r="BR22">
            <v>-201.9</v>
          </cell>
          <cell r="BS22">
            <v>-201.9</v>
          </cell>
          <cell r="BT22">
            <v>-201.9</v>
          </cell>
          <cell r="BU22">
            <v>-201.9</v>
          </cell>
          <cell r="BV22">
            <v>-201.9</v>
          </cell>
          <cell r="BW22">
            <v>-201.9</v>
          </cell>
          <cell r="BX22">
            <v>-201.9</v>
          </cell>
          <cell r="BY22">
            <v>-201.9</v>
          </cell>
          <cell r="BZ22">
            <v>-201.9</v>
          </cell>
          <cell r="CA22">
            <v>-201.9</v>
          </cell>
          <cell r="CB22">
            <v>-201.9</v>
          </cell>
          <cell r="CC22">
            <v>-201.9</v>
          </cell>
          <cell r="CD22">
            <v>-201.9</v>
          </cell>
          <cell r="CE22">
            <v>-201.9</v>
          </cell>
          <cell r="CF22">
            <v>-201.9</v>
          </cell>
          <cell r="CG22">
            <v>-177.9</v>
          </cell>
          <cell r="CH22">
            <v>-177.9</v>
          </cell>
          <cell r="CI22">
            <v>-177.9</v>
          </cell>
          <cell r="CJ22">
            <v>-177.9</v>
          </cell>
          <cell r="CK22">
            <v>-177.9</v>
          </cell>
          <cell r="CL22">
            <v>-177.9</v>
          </cell>
          <cell r="CM22">
            <v>-169.6</v>
          </cell>
          <cell r="CN22">
            <v>-169.6</v>
          </cell>
          <cell r="CO22">
            <v>-169.6</v>
          </cell>
          <cell r="CP22">
            <v>-169.6</v>
          </cell>
          <cell r="CQ22">
            <v>-169.6</v>
          </cell>
          <cell r="CR22">
            <v>-169.6</v>
          </cell>
          <cell r="CS22">
            <v>-169.6</v>
          </cell>
          <cell r="CT22">
            <v>-169.6</v>
          </cell>
          <cell r="CU22">
            <v>-169.6</v>
          </cell>
          <cell r="CV22">
            <v>-169.6</v>
          </cell>
          <cell r="CW22">
            <v>-169.6</v>
          </cell>
          <cell r="CX22">
            <v>-169.6</v>
          </cell>
          <cell r="CY22">
            <v>-169.6</v>
          </cell>
          <cell r="CZ22">
            <v>-169.6</v>
          </cell>
          <cell r="DA22">
            <v>-169.6</v>
          </cell>
          <cell r="DB22">
            <v>-169.6</v>
          </cell>
          <cell r="DC22">
            <v>-169.6</v>
          </cell>
          <cell r="DD22">
            <v>-169.6</v>
          </cell>
          <cell r="DE22">
            <v>-125.6</v>
          </cell>
          <cell r="DF22">
            <v>-125.6</v>
          </cell>
          <cell r="DG22">
            <v>-125.6</v>
          </cell>
          <cell r="DH22">
            <v>-125.6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-334.8</v>
          </cell>
          <cell r="DQ22">
            <v>-334.8</v>
          </cell>
          <cell r="DR22">
            <v>-334.8</v>
          </cell>
          <cell r="DS22">
            <v>-334.8</v>
          </cell>
          <cell r="DT22">
            <v>-334.8</v>
          </cell>
          <cell r="DU22">
            <v>-334.8</v>
          </cell>
          <cell r="DV22">
            <v>-334.8</v>
          </cell>
          <cell r="DW22">
            <v>-334.8</v>
          </cell>
          <cell r="DX22">
            <v>-334.8</v>
          </cell>
          <cell r="DY22">
            <v>-334.8</v>
          </cell>
          <cell r="EM22">
            <v>0</v>
          </cell>
          <cell r="EN22">
            <v>-631.1</v>
          </cell>
          <cell r="EO22">
            <v>-1889.1000000000004</v>
          </cell>
          <cell r="EP22">
            <v>-2422.8000000000006</v>
          </cell>
          <cell r="EQ22">
            <v>-2422.8000000000006</v>
          </cell>
          <cell r="ER22">
            <v>-2181.9</v>
          </cell>
          <cell r="ES22">
            <v>-2035.1999999999996</v>
          </cell>
        </row>
        <row r="23">
          <cell r="A23" t="str">
            <v>Other Operating Income / (Expense) Items</v>
          </cell>
          <cell r="B23" t="str">
            <v>Operating Revenue</v>
          </cell>
          <cell r="D23" t="str">
            <v>Other Operating Revenues - Misc</v>
          </cell>
          <cell r="E23" t="str">
            <v>Operating Revenue SUB</v>
          </cell>
          <cell r="F23" t="str">
            <v>4120002</v>
          </cell>
          <cell r="G23" t="str">
            <v>A_4120002</v>
          </cell>
          <cell r="H23" t="str">
            <v>Rev from Gas Plant leased-Interest Earned GAAP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-4.2</v>
          </cell>
          <cell r="AN23">
            <v>-1.4</v>
          </cell>
          <cell r="AO23">
            <v>-1.4</v>
          </cell>
          <cell r="AP23">
            <v>-1.4</v>
          </cell>
          <cell r="AQ23">
            <v>-1.4</v>
          </cell>
          <cell r="AR23">
            <v>-2.4</v>
          </cell>
          <cell r="AS23">
            <v>-1.9</v>
          </cell>
          <cell r="AT23">
            <v>-1.5</v>
          </cell>
          <cell r="AU23">
            <v>-1.5</v>
          </cell>
          <cell r="AV23">
            <v>-1.5</v>
          </cell>
          <cell r="AW23">
            <v>55.3</v>
          </cell>
          <cell r="AX23">
            <v>55.3</v>
          </cell>
          <cell r="AY23">
            <v>55.3</v>
          </cell>
          <cell r="AZ23">
            <v>55.3</v>
          </cell>
          <cell r="BA23">
            <v>55.3</v>
          </cell>
          <cell r="BB23">
            <v>55.3</v>
          </cell>
          <cell r="BC23">
            <v>75.2</v>
          </cell>
          <cell r="BD23">
            <v>75.2</v>
          </cell>
          <cell r="BE23">
            <v>75.2</v>
          </cell>
          <cell r="BF23">
            <v>75.900000000000006</v>
          </cell>
          <cell r="BG23">
            <v>75.900000000000006</v>
          </cell>
          <cell r="BH23">
            <v>75.900000000000006</v>
          </cell>
          <cell r="BI23">
            <v>75.900000000000006</v>
          </cell>
          <cell r="BJ23">
            <v>75.900000000000006</v>
          </cell>
          <cell r="BK23">
            <v>75.900000000000006</v>
          </cell>
          <cell r="BL23">
            <v>75.900000000000006</v>
          </cell>
          <cell r="BM23">
            <v>75.900000000000006</v>
          </cell>
          <cell r="BN23">
            <v>75.900000000000006</v>
          </cell>
          <cell r="BO23">
            <v>75.900000000000006</v>
          </cell>
          <cell r="BP23">
            <v>75.900000000000006</v>
          </cell>
          <cell r="BQ23">
            <v>75.900000000000006</v>
          </cell>
          <cell r="BR23">
            <v>76.5</v>
          </cell>
          <cell r="BS23">
            <v>76.5</v>
          </cell>
          <cell r="BT23">
            <v>76.5</v>
          </cell>
          <cell r="BU23">
            <v>76.5</v>
          </cell>
          <cell r="BV23">
            <v>76.5</v>
          </cell>
          <cell r="BW23">
            <v>76.5</v>
          </cell>
          <cell r="BX23">
            <v>76.5</v>
          </cell>
          <cell r="BY23">
            <v>76.5</v>
          </cell>
          <cell r="BZ23">
            <v>76.5</v>
          </cell>
          <cell r="CA23">
            <v>76.5</v>
          </cell>
          <cell r="CB23">
            <v>76.5</v>
          </cell>
          <cell r="CC23">
            <v>76.5</v>
          </cell>
          <cell r="CD23">
            <v>77.2</v>
          </cell>
          <cell r="CE23">
            <v>77.2</v>
          </cell>
          <cell r="CF23">
            <v>77.2</v>
          </cell>
          <cell r="CG23">
            <v>61.5</v>
          </cell>
          <cell r="CH23">
            <v>61.5</v>
          </cell>
          <cell r="CI23">
            <v>61.5</v>
          </cell>
          <cell r="CJ23">
            <v>61.5</v>
          </cell>
          <cell r="CK23">
            <v>61.5</v>
          </cell>
          <cell r="CL23">
            <v>61.5</v>
          </cell>
          <cell r="CM23">
            <v>56</v>
          </cell>
          <cell r="CN23">
            <v>56</v>
          </cell>
          <cell r="CO23">
            <v>56</v>
          </cell>
          <cell r="CP23">
            <v>56.7</v>
          </cell>
          <cell r="CQ23">
            <v>56.7</v>
          </cell>
          <cell r="CR23">
            <v>56.7</v>
          </cell>
          <cell r="CS23">
            <v>56.7</v>
          </cell>
          <cell r="CT23">
            <v>56.7</v>
          </cell>
          <cell r="CU23">
            <v>56.7</v>
          </cell>
          <cell r="CV23">
            <v>56.7</v>
          </cell>
          <cell r="CW23">
            <v>56.7</v>
          </cell>
          <cell r="CX23">
            <v>56.7</v>
          </cell>
          <cell r="CY23">
            <v>56.7</v>
          </cell>
          <cell r="CZ23">
            <v>56.7</v>
          </cell>
          <cell r="DA23">
            <v>56.7</v>
          </cell>
          <cell r="DB23">
            <v>57.3</v>
          </cell>
          <cell r="DC23">
            <v>57.3</v>
          </cell>
          <cell r="DD23">
            <v>57.3</v>
          </cell>
          <cell r="DE23">
            <v>42.5</v>
          </cell>
          <cell r="DF23">
            <v>42.5</v>
          </cell>
          <cell r="DG23">
            <v>42.5</v>
          </cell>
          <cell r="DH23">
            <v>42.5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230.7</v>
          </cell>
          <cell r="DQ23">
            <v>230.7</v>
          </cell>
          <cell r="DR23">
            <v>230.7</v>
          </cell>
          <cell r="DS23">
            <v>230.7</v>
          </cell>
          <cell r="DT23">
            <v>230.7</v>
          </cell>
          <cell r="DU23">
            <v>230.7</v>
          </cell>
          <cell r="DV23">
            <v>230.7</v>
          </cell>
          <cell r="DW23">
            <v>230.7</v>
          </cell>
          <cell r="DX23">
            <v>230.7</v>
          </cell>
          <cell r="DY23">
            <v>230.7</v>
          </cell>
          <cell r="EM23">
            <v>0</v>
          </cell>
          <cell r="EN23">
            <v>-14.100000000000001</v>
          </cell>
          <cell r="EO23">
            <v>552.9</v>
          </cell>
          <cell r="EP23">
            <v>910.79999999999984</v>
          </cell>
          <cell r="EQ23">
            <v>918</v>
          </cell>
          <cell r="ER23">
            <v>768.6</v>
          </cell>
          <cell r="ES23">
            <v>680.40000000000009</v>
          </cell>
        </row>
        <row r="24">
          <cell r="F24" t="str">
            <v>412</v>
          </cell>
          <cell r="G24">
            <v>412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235.2</v>
          </cell>
          <cell r="AM24">
            <v>-107.9</v>
          </cell>
          <cell r="AN24">
            <v>20.500000000000007</v>
          </cell>
          <cell r="AO24">
            <v>20.500000000000007</v>
          </cell>
          <cell r="AP24">
            <v>20.500000000000007</v>
          </cell>
          <cell r="AQ24">
            <v>42.500000000000007</v>
          </cell>
          <cell r="AR24">
            <v>-2.4</v>
          </cell>
          <cell r="AS24">
            <v>20.000000000000007</v>
          </cell>
          <cell r="AT24">
            <v>20.400000000000006</v>
          </cell>
          <cell r="AU24">
            <v>20.400000000000006</v>
          </cell>
          <cell r="AV24">
            <v>20.400000000000006</v>
          </cell>
          <cell r="AW24">
            <v>77.2</v>
          </cell>
          <cell r="AX24">
            <v>77.3</v>
          </cell>
          <cell r="AY24">
            <v>77.3</v>
          </cell>
          <cell r="AZ24">
            <v>77.3</v>
          </cell>
          <cell r="BA24">
            <v>77.3</v>
          </cell>
          <cell r="BB24">
            <v>77.3</v>
          </cell>
          <cell r="BC24">
            <v>97.100000000000009</v>
          </cell>
          <cell r="BD24">
            <v>97.100000000000009</v>
          </cell>
          <cell r="BE24">
            <v>97.100000000000009</v>
          </cell>
          <cell r="BF24">
            <v>97.800000000000011</v>
          </cell>
          <cell r="BG24">
            <v>97.800000000000011</v>
          </cell>
          <cell r="BH24">
            <v>97.800000000000011</v>
          </cell>
          <cell r="BI24">
            <v>97.800000000000011</v>
          </cell>
          <cell r="BJ24">
            <v>97.800000000000011</v>
          </cell>
          <cell r="BK24">
            <v>97.800000000000011</v>
          </cell>
          <cell r="BL24">
            <v>97.800000000000011</v>
          </cell>
          <cell r="BM24">
            <v>97.800000000000011</v>
          </cell>
          <cell r="BN24">
            <v>97.800000000000011</v>
          </cell>
          <cell r="BO24">
            <v>97.800000000000011</v>
          </cell>
          <cell r="BP24">
            <v>97.800000000000011</v>
          </cell>
          <cell r="BQ24">
            <v>97.800000000000011</v>
          </cell>
          <cell r="BR24">
            <v>98.4</v>
          </cell>
          <cell r="BS24">
            <v>98.4</v>
          </cell>
          <cell r="BT24">
            <v>130.1</v>
          </cell>
          <cell r="BU24">
            <v>114.29999999999998</v>
          </cell>
          <cell r="BV24">
            <v>114.29999999999998</v>
          </cell>
          <cell r="BW24">
            <v>114.29999999999998</v>
          </cell>
          <cell r="BX24">
            <v>114.29999999999998</v>
          </cell>
          <cell r="BY24">
            <v>114.29999999999998</v>
          </cell>
          <cell r="BZ24">
            <v>114.29999999999998</v>
          </cell>
          <cell r="CA24">
            <v>114.29999999999998</v>
          </cell>
          <cell r="CB24">
            <v>114.29999999999998</v>
          </cell>
          <cell r="CC24">
            <v>114.29999999999998</v>
          </cell>
          <cell r="CD24">
            <v>114.99999999999999</v>
          </cell>
          <cell r="CE24">
            <v>114.99999999999999</v>
          </cell>
          <cell r="CF24">
            <v>114.99999999999999</v>
          </cell>
          <cell r="CG24">
            <v>123.29999999999998</v>
          </cell>
          <cell r="CH24">
            <v>75.400000000000006</v>
          </cell>
          <cell r="CI24">
            <v>99.299999999999983</v>
          </cell>
          <cell r="CJ24">
            <v>99.299999999999983</v>
          </cell>
          <cell r="CK24">
            <v>99.299999999999983</v>
          </cell>
          <cell r="CL24">
            <v>99.299999999999983</v>
          </cell>
          <cell r="CM24">
            <v>93.800000000000011</v>
          </cell>
          <cell r="CN24">
            <v>93.800000000000011</v>
          </cell>
          <cell r="CO24">
            <v>93.800000000000011</v>
          </cell>
          <cell r="CP24">
            <v>94.500000000000014</v>
          </cell>
          <cell r="CQ24">
            <v>94.500000000000014</v>
          </cell>
          <cell r="CR24">
            <v>94.500000000000014</v>
          </cell>
          <cell r="CS24">
            <v>94.500000000000014</v>
          </cell>
          <cell r="CT24">
            <v>94.500000000000014</v>
          </cell>
          <cell r="CU24">
            <v>94.500000000000014</v>
          </cell>
          <cell r="CV24">
            <v>94.500000000000014</v>
          </cell>
          <cell r="CW24">
            <v>94.500000000000014</v>
          </cell>
          <cell r="CX24">
            <v>94.500000000000014</v>
          </cell>
          <cell r="CY24">
            <v>94.500000000000014</v>
          </cell>
          <cell r="CZ24">
            <v>94.500000000000014</v>
          </cell>
          <cell r="DA24">
            <v>94.500000000000014</v>
          </cell>
          <cell r="DB24">
            <v>95.100000000000009</v>
          </cell>
          <cell r="DC24">
            <v>95.100000000000009</v>
          </cell>
          <cell r="DD24">
            <v>95.100000000000009</v>
          </cell>
          <cell r="DE24">
            <v>80.300000000000011</v>
          </cell>
          <cell r="DF24">
            <v>80.300000000000011</v>
          </cell>
          <cell r="DG24">
            <v>77.5</v>
          </cell>
          <cell r="DH24">
            <v>56</v>
          </cell>
          <cell r="DI24">
            <v>37.799999999999997</v>
          </cell>
          <cell r="DJ24">
            <v>37.799999999999997</v>
          </cell>
          <cell r="DK24">
            <v>37.799999999999997</v>
          </cell>
          <cell r="DL24">
            <v>37.799999999999997</v>
          </cell>
          <cell r="DM24">
            <v>37.799999999999997</v>
          </cell>
          <cell r="DN24">
            <v>37.799999999999997</v>
          </cell>
          <cell r="DO24">
            <v>37.799999999999997</v>
          </cell>
          <cell r="DP24">
            <v>268.5</v>
          </cell>
          <cell r="DQ24">
            <v>268.5</v>
          </cell>
          <cell r="DR24">
            <v>268.5</v>
          </cell>
          <cell r="DS24">
            <v>268.5</v>
          </cell>
          <cell r="DT24">
            <v>268.5</v>
          </cell>
          <cell r="DU24">
            <v>268.5</v>
          </cell>
          <cell r="DV24">
            <v>268.5</v>
          </cell>
          <cell r="DW24">
            <v>268.5</v>
          </cell>
          <cell r="DX24">
            <v>268.5</v>
          </cell>
          <cell r="DY24">
            <v>268.5</v>
          </cell>
          <cell r="EM24">
            <v>0</v>
          </cell>
          <cell r="EN24">
            <v>248.89999999999998</v>
          </cell>
          <cell r="EO24">
            <v>816.20000000000016</v>
          </cell>
          <cell r="EP24">
            <v>1173.5999999999999</v>
          </cell>
          <cell r="EQ24">
            <v>1355.5999999999997</v>
          </cell>
          <cell r="ER24">
            <v>1222.2999999999997</v>
          </cell>
          <cell r="ES24">
            <v>1134.0000000000002</v>
          </cell>
        </row>
        <row r="25">
          <cell r="A25" t="str">
            <v>Base Revenues and OSS - Net</v>
          </cell>
          <cell r="B25" t="str">
            <v>Operating Revenue</v>
          </cell>
          <cell r="D25" t="str">
            <v>Residential Base Revenue Billed</v>
          </cell>
          <cell r="E25" t="str">
            <v>Operating Revenue</v>
          </cell>
          <cell r="F25" t="str">
            <v>4800010</v>
          </cell>
          <cell r="G25" t="str">
            <v>A_4800010</v>
          </cell>
          <cell r="H25" t="str">
            <v>Residential - 1</v>
          </cell>
          <cell r="J25">
            <v>1123.8</v>
          </cell>
          <cell r="K25">
            <v>1109</v>
          </cell>
          <cell r="L25">
            <v>1034.9000000000001</v>
          </cell>
          <cell r="M25">
            <v>1000.9</v>
          </cell>
          <cell r="N25">
            <v>988.8</v>
          </cell>
          <cell r="O25">
            <v>983.2</v>
          </cell>
          <cell r="P25">
            <v>955.6</v>
          </cell>
          <cell r="Q25">
            <v>962.9</v>
          </cell>
          <cell r="R25">
            <v>964.2</v>
          </cell>
          <cell r="S25">
            <v>977</v>
          </cell>
          <cell r="T25">
            <v>991</v>
          </cell>
          <cell r="U25">
            <v>1056.3</v>
          </cell>
          <cell r="V25">
            <v>1090.0999999999999</v>
          </cell>
          <cell r="W25">
            <v>1092.5999999999999</v>
          </cell>
          <cell r="X25">
            <v>1082.7</v>
          </cell>
          <cell r="Y25">
            <v>1007.3</v>
          </cell>
          <cell r="Z25">
            <v>978.7</v>
          </cell>
          <cell r="AA25">
            <v>990.3</v>
          </cell>
          <cell r="AB25">
            <v>1007.3</v>
          </cell>
          <cell r="AC25">
            <v>996.7</v>
          </cell>
          <cell r="AD25">
            <v>999.5</v>
          </cell>
          <cell r="AE25">
            <v>1009.1</v>
          </cell>
          <cell r="AF25">
            <v>1028.0999999999999</v>
          </cell>
          <cell r="AG25">
            <v>1066.7</v>
          </cell>
          <cell r="AH25">
            <v>1135.7</v>
          </cell>
          <cell r="AI25">
            <v>1147.5</v>
          </cell>
          <cell r="AJ25">
            <v>1102.5</v>
          </cell>
          <cell r="AK25">
            <v>1072.3</v>
          </cell>
          <cell r="AL25">
            <v>1041.2</v>
          </cell>
          <cell r="AM25">
            <v>1025.3</v>
          </cell>
          <cell r="AN25">
            <v>1198.4000000000001</v>
          </cell>
          <cell r="AO25">
            <v>1141.9000000000001</v>
          </cell>
          <cell r="AP25">
            <v>1147.8</v>
          </cell>
          <cell r="AQ25">
            <v>1150.8</v>
          </cell>
          <cell r="AR25">
            <v>1186.5999999999999</v>
          </cell>
          <cell r="AS25">
            <v>1239.5999999999999</v>
          </cell>
          <cell r="AT25">
            <v>1289.4000000000001</v>
          </cell>
          <cell r="AU25">
            <v>1258.5</v>
          </cell>
          <cell r="AV25">
            <v>1251.5</v>
          </cell>
          <cell r="AW25">
            <v>1247</v>
          </cell>
          <cell r="AX25">
            <v>1194.2</v>
          </cell>
          <cell r="AY25">
            <v>1170.2</v>
          </cell>
          <cell r="AZ25">
            <v>1421.5</v>
          </cell>
          <cell r="BA25">
            <v>1325.8</v>
          </cell>
          <cell r="BB25">
            <v>1357.9</v>
          </cell>
          <cell r="BC25">
            <v>1346.3</v>
          </cell>
          <cell r="BD25">
            <v>1393</v>
          </cell>
          <cell r="BE25">
            <v>1442.6</v>
          </cell>
          <cell r="BF25">
            <v>1699.6</v>
          </cell>
          <cell r="BG25">
            <v>1516.2</v>
          </cell>
          <cell r="BH25">
            <v>1394.4</v>
          </cell>
          <cell r="BI25">
            <v>1455</v>
          </cell>
          <cell r="BJ25">
            <v>1357.5</v>
          </cell>
          <cell r="BK25">
            <v>1361.6</v>
          </cell>
          <cell r="BL25">
            <v>1140.2</v>
          </cell>
          <cell r="BM25">
            <v>1207.2</v>
          </cell>
          <cell r="BN25">
            <v>1235.5</v>
          </cell>
          <cell r="BO25">
            <v>1229.5999999999999</v>
          </cell>
          <cell r="BP25">
            <v>1235.0999999999999</v>
          </cell>
          <cell r="BQ25">
            <v>1312</v>
          </cell>
          <cell r="BR25">
            <v>1279.2</v>
          </cell>
          <cell r="BS25">
            <v>1260</v>
          </cell>
          <cell r="BT25">
            <v>1244.2</v>
          </cell>
          <cell r="BU25">
            <v>1237.5</v>
          </cell>
          <cell r="BV25">
            <v>1190.4000000000001</v>
          </cell>
          <cell r="BW25">
            <v>1160.0999999999999</v>
          </cell>
          <cell r="BX25">
            <v>1249.5</v>
          </cell>
          <cell r="BY25">
            <v>1227</v>
          </cell>
          <cell r="BZ25">
            <v>1237</v>
          </cell>
          <cell r="CA25">
            <v>1232.4000000000001</v>
          </cell>
          <cell r="CB25">
            <v>1272.5</v>
          </cell>
          <cell r="CC25">
            <v>1332.8</v>
          </cell>
          <cell r="CD25">
            <v>1399.8</v>
          </cell>
          <cell r="CE25">
            <v>1351</v>
          </cell>
          <cell r="CF25">
            <v>1318</v>
          </cell>
          <cell r="CG25">
            <v>1314</v>
          </cell>
          <cell r="CH25">
            <v>1297.4000000000001</v>
          </cell>
          <cell r="CI25">
            <v>1278.8</v>
          </cell>
          <cell r="CJ25">
            <v>1233.7</v>
          </cell>
          <cell r="CK25">
            <v>1246.4000000000001</v>
          </cell>
          <cell r="CL25">
            <v>1241</v>
          </cell>
          <cell r="CM25">
            <v>1255.3</v>
          </cell>
          <cell r="CN25">
            <v>1288.5</v>
          </cell>
          <cell r="CO25">
            <v>1405.9</v>
          </cell>
          <cell r="CP25">
            <v>2060.4</v>
          </cell>
          <cell r="CQ25">
            <v>1756.6</v>
          </cell>
          <cell r="CR25">
            <v>1746</v>
          </cell>
          <cell r="CS25">
            <v>1737.2</v>
          </cell>
          <cell r="CT25">
            <v>1646.7</v>
          </cell>
          <cell r="CU25">
            <v>1641.7</v>
          </cell>
          <cell r="CV25">
            <v>1723.8</v>
          </cell>
          <cell r="CW25">
            <v>1687.7</v>
          </cell>
          <cell r="CX25">
            <v>1696.2</v>
          </cell>
          <cell r="CY25">
            <v>1694.5</v>
          </cell>
          <cell r="CZ25">
            <v>1727.8</v>
          </cell>
          <cell r="DA25">
            <v>1812.2</v>
          </cell>
          <cell r="DB25">
            <v>1869.2</v>
          </cell>
          <cell r="DC25">
            <v>1852.8</v>
          </cell>
          <cell r="DD25">
            <v>1783.2</v>
          </cell>
          <cell r="DE25">
            <v>1761.5</v>
          </cell>
          <cell r="DF25">
            <v>1728.7</v>
          </cell>
          <cell r="DG25">
            <v>1686</v>
          </cell>
          <cell r="DH25">
            <v>1932.3</v>
          </cell>
          <cell r="DI25">
            <v>1850.4</v>
          </cell>
          <cell r="DJ25">
            <v>1844.8</v>
          </cell>
          <cell r="DK25">
            <v>1909.7</v>
          </cell>
          <cell r="DL25">
            <v>1876.2</v>
          </cell>
          <cell r="DM25">
            <v>1941.9</v>
          </cell>
          <cell r="DN25">
            <v>2124.5</v>
          </cell>
          <cell r="DO25">
            <v>2081.5</v>
          </cell>
          <cell r="DP25">
            <v>2049.5</v>
          </cell>
          <cell r="DQ25">
            <v>2002.2</v>
          </cell>
          <cell r="DR25">
            <v>1950.5</v>
          </cell>
          <cell r="DS25">
            <v>1936.5</v>
          </cell>
          <cell r="DT25">
            <v>1845.5</v>
          </cell>
          <cell r="DU25">
            <v>1859.3</v>
          </cell>
          <cell r="DV25">
            <v>1887.7</v>
          </cell>
          <cell r="DW25">
            <v>1888</v>
          </cell>
          <cell r="DX25">
            <v>1951.7</v>
          </cell>
          <cell r="DY25">
            <v>2047.3</v>
          </cell>
          <cell r="EM25">
            <v>12349.100000000002</v>
          </cell>
          <cell r="EN25">
            <v>13589.599999999999</v>
          </cell>
          <cell r="EO25">
            <v>15697.899999999998</v>
          </cell>
          <cell r="EP25">
            <v>16143.900000000003</v>
          </cell>
          <cell r="EQ25">
            <v>14922.599999999999</v>
          </cell>
          <cell r="ER25">
            <v>15629.8</v>
          </cell>
          <cell r="ES25">
            <v>20930.800000000003</v>
          </cell>
        </row>
        <row r="26">
          <cell r="A26" t="str">
            <v>Other Operating Income / (Expense) Items</v>
          </cell>
          <cell r="B26" t="str">
            <v>Operating Revenue</v>
          </cell>
          <cell r="D26" t="str">
            <v>Residential Base Revenue Billed (PGA)</v>
          </cell>
          <cell r="E26" t="str">
            <v>Operating Revenue</v>
          </cell>
          <cell r="F26" t="str">
            <v>4800011</v>
          </cell>
          <cell r="G26" t="str">
            <v>A_4800011</v>
          </cell>
          <cell r="H26" t="str">
            <v>Residential - 1 FUEL</v>
          </cell>
          <cell r="J26">
            <v>770.8</v>
          </cell>
          <cell r="K26">
            <v>714.8</v>
          </cell>
          <cell r="L26">
            <v>467.5</v>
          </cell>
          <cell r="M26">
            <v>360.8</v>
          </cell>
          <cell r="N26">
            <v>336</v>
          </cell>
          <cell r="O26">
            <v>340.6</v>
          </cell>
          <cell r="P26">
            <v>213</v>
          </cell>
          <cell r="Q26">
            <v>256.60000000000002</v>
          </cell>
          <cell r="R26">
            <v>254.3</v>
          </cell>
          <cell r="S26">
            <v>295.7</v>
          </cell>
          <cell r="T26">
            <v>352.9</v>
          </cell>
          <cell r="U26">
            <v>557.20000000000005</v>
          </cell>
          <cell r="V26">
            <v>649.6</v>
          </cell>
          <cell r="W26">
            <v>565.6</v>
          </cell>
          <cell r="X26">
            <v>570.79999999999995</v>
          </cell>
          <cell r="Y26">
            <v>327.2</v>
          </cell>
          <cell r="Z26">
            <v>282.89999999999998</v>
          </cell>
          <cell r="AA26">
            <v>335.3</v>
          </cell>
          <cell r="AB26">
            <v>241.3</v>
          </cell>
          <cell r="AC26">
            <v>258.89999999999998</v>
          </cell>
          <cell r="AD26">
            <v>271.39999999999998</v>
          </cell>
          <cell r="AE26">
            <v>292.60000000000002</v>
          </cell>
          <cell r="AF26">
            <v>354.5</v>
          </cell>
          <cell r="AG26">
            <v>459.8</v>
          </cell>
          <cell r="AH26">
            <v>693.1</v>
          </cell>
          <cell r="AI26">
            <v>716.8</v>
          </cell>
          <cell r="AJ26">
            <v>566.9</v>
          </cell>
          <cell r="AK26">
            <v>448.7</v>
          </cell>
          <cell r="AL26">
            <v>356.9</v>
          </cell>
          <cell r="AM26">
            <v>285.8</v>
          </cell>
          <cell r="AN26">
            <v>253.6</v>
          </cell>
          <cell r="AO26">
            <v>273.3</v>
          </cell>
          <cell r="AP26">
            <v>276.3</v>
          </cell>
          <cell r="AQ26">
            <v>285.89999999999998</v>
          </cell>
          <cell r="AR26">
            <v>361.4</v>
          </cell>
          <cell r="AS26">
            <v>503.1</v>
          </cell>
          <cell r="AT26">
            <v>657.5</v>
          </cell>
          <cell r="AU26">
            <v>588</v>
          </cell>
          <cell r="AV26">
            <v>530.9</v>
          </cell>
          <cell r="AW26">
            <v>536.70000000000005</v>
          </cell>
          <cell r="AX26">
            <v>370.1</v>
          </cell>
          <cell r="AY26">
            <v>287.2</v>
          </cell>
          <cell r="AZ26">
            <v>318.3</v>
          </cell>
          <cell r="BA26">
            <v>339.1</v>
          </cell>
          <cell r="BB26">
            <v>454.3</v>
          </cell>
          <cell r="BC26">
            <v>429</v>
          </cell>
          <cell r="BD26">
            <v>583.70000000000005</v>
          </cell>
          <cell r="BE26">
            <v>733.5</v>
          </cell>
          <cell r="BF26">
            <v>1735.7</v>
          </cell>
          <cell r="BG26">
            <v>1082.5999999999999</v>
          </cell>
          <cell r="BH26">
            <v>526.6</v>
          </cell>
          <cell r="BI26">
            <v>754.3</v>
          </cell>
          <cell r="BJ26">
            <v>434.7</v>
          </cell>
          <cell r="BK26">
            <v>416.3</v>
          </cell>
          <cell r="BL26">
            <v>254.1</v>
          </cell>
          <cell r="BM26">
            <v>296.5</v>
          </cell>
          <cell r="BN26">
            <v>349</v>
          </cell>
          <cell r="BO26">
            <v>296.8</v>
          </cell>
          <cell r="BP26">
            <v>405.2</v>
          </cell>
          <cell r="BQ26">
            <v>578.79999999999995</v>
          </cell>
          <cell r="BR26">
            <v>795</v>
          </cell>
          <cell r="BS26">
            <v>672.4</v>
          </cell>
          <cell r="BT26">
            <v>685.5</v>
          </cell>
          <cell r="BU26">
            <v>705.9</v>
          </cell>
          <cell r="BV26">
            <v>503.9</v>
          </cell>
          <cell r="BW26">
            <v>397.9</v>
          </cell>
          <cell r="BX26">
            <v>360.6</v>
          </cell>
          <cell r="BY26">
            <v>296.60000000000002</v>
          </cell>
          <cell r="BZ26">
            <v>366.1</v>
          </cell>
          <cell r="CA26">
            <v>347.1</v>
          </cell>
          <cell r="CB26">
            <v>494.2</v>
          </cell>
          <cell r="CC26">
            <v>677.5</v>
          </cell>
          <cell r="CD26">
            <v>826.5</v>
          </cell>
          <cell r="CE26">
            <v>683.9</v>
          </cell>
          <cell r="CF26">
            <v>560</v>
          </cell>
          <cell r="CG26">
            <v>563.29999999999995</v>
          </cell>
          <cell r="CH26">
            <v>513.79999999999995</v>
          </cell>
          <cell r="CI26">
            <v>439.6</v>
          </cell>
          <cell r="CJ26">
            <v>327.5</v>
          </cell>
          <cell r="CK26">
            <v>356.8</v>
          </cell>
          <cell r="CL26">
            <v>346.1</v>
          </cell>
          <cell r="CM26">
            <v>430.1</v>
          </cell>
          <cell r="CN26">
            <v>576.70000000000005</v>
          </cell>
          <cell r="CO26">
            <v>998.9</v>
          </cell>
          <cell r="CP26">
            <v>1233.7</v>
          </cell>
          <cell r="CQ26">
            <v>880</v>
          </cell>
          <cell r="CR26">
            <v>1017.6</v>
          </cell>
          <cell r="CS26">
            <v>923.1</v>
          </cell>
          <cell r="CT26">
            <v>584.70000000000005</v>
          </cell>
          <cell r="CU26">
            <v>554.20000000000005</v>
          </cell>
          <cell r="CV26">
            <v>382.2</v>
          </cell>
          <cell r="CW26">
            <v>415.5</v>
          </cell>
          <cell r="CX26">
            <v>455.3</v>
          </cell>
          <cell r="CY26">
            <v>453.6</v>
          </cell>
          <cell r="CZ26">
            <v>584.20000000000005</v>
          </cell>
          <cell r="DA26">
            <v>903.2</v>
          </cell>
          <cell r="DB26">
            <v>1271.7</v>
          </cell>
          <cell r="DC26">
            <v>1144.9000000000001</v>
          </cell>
          <cell r="DD26">
            <v>826.6</v>
          </cell>
          <cell r="DE26">
            <v>755.4</v>
          </cell>
          <cell r="DF26">
            <v>633.4</v>
          </cell>
          <cell r="DG26">
            <v>471.7</v>
          </cell>
          <cell r="DH26">
            <v>454.7</v>
          </cell>
          <cell r="DI26">
            <v>783.9</v>
          </cell>
          <cell r="DJ26">
            <v>682.9</v>
          </cell>
          <cell r="DK26">
            <v>1003.4</v>
          </cell>
          <cell r="DL26">
            <v>336.3</v>
          </cell>
          <cell r="DM26">
            <v>724.3</v>
          </cell>
          <cell r="DN26">
            <v>1802.5</v>
          </cell>
          <cell r="DO26">
            <v>1649.4</v>
          </cell>
          <cell r="DP26">
            <v>1555.4</v>
          </cell>
          <cell r="DQ26">
            <v>1126.5</v>
          </cell>
          <cell r="DR26">
            <v>905.5</v>
          </cell>
          <cell r="DS26">
            <v>834.8</v>
          </cell>
          <cell r="DT26">
            <v>672.9</v>
          </cell>
          <cell r="DU26">
            <v>740.4</v>
          </cell>
          <cell r="DV26">
            <v>727.6</v>
          </cell>
          <cell r="DW26">
            <v>845.2</v>
          </cell>
          <cell r="DX26">
            <v>1013.8</v>
          </cell>
          <cell r="DY26">
            <v>1186.3</v>
          </cell>
          <cell r="EM26">
            <v>4609.9000000000005</v>
          </cell>
          <cell r="EN26">
            <v>5021.8</v>
          </cell>
          <cell r="EO26">
            <v>5828.3</v>
          </cell>
          <cell r="EP26">
            <v>7130.6</v>
          </cell>
          <cell r="EQ26">
            <v>6302.7000000000016</v>
          </cell>
          <cell r="ER26">
            <v>6623.2</v>
          </cell>
          <cell r="ES26">
            <v>8387.2999999999993</v>
          </cell>
        </row>
        <row r="27">
          <cell r="A27" t="str">
            <v>Base Revenues and OSS - Net</v>
          </cell>
          <cell r="B27" t="str">
            <v>Operating Revenue</v>
          </cell>
          <cell r="D27" t="str">
            <v>Residential Base Revenue Billed</v>
          </cell>
          <cell r="E27" t="str">
            <v>Operating Revenue</v>
          </cell>
          <cell r="F27" t="str">
            <v>4800020</v>
          </cell>
          <cell r="G27" t="str">
            <v>A_4800020</v>
          </cell>
          <cell r="H27" t="str">
            <v>Residential - 2</v>
          </cell>
          <cell r="J27">
            <v>3650.8</v>
          </cell>
          <cell r="K27">
            <v>3677.6</v>
          </cell>
          <cell r="L27">
            <v>2972.9</v>
          </cell>
          <cell r="M27">
            <v>2971.8</v>
          </cell>
          <cell r="N27">
            <v>2810.9</v>
          </cell>
          <cell r="O27">
            <v>2836.5</v>
          </cell>
          <cell r="P27">
            <v>2701.2</v>
          </cell>
          <cell r="Q27">
            <v>2694</v>
          </cell>
          <cell r="R27">
            <v>2760.4</v>
          </cell>
          <cell r="S27">
            <v>2796.1</v>
          </cell>
          <cell r="T27">
            <v>2909.4</v>
          </cell>
          <cell r="U27">
            <v>3324.1</v>
          </cell>
          <cell r="V27">
            <v>3460.4</v>
          </cell>
          <cell r="W27">
            <v>3530.8</v>
          </cell>
          <cell r="X27">
            <v>3324.3</v>
          </cell>
          <cell r="Y27">
            <v>2777.7</v>
          </cell>
          <cell r="Z27">
            <v>2797.6</v>
          </cell>
          <cell r="AA27">
            <v>2846.4</v>
          </cell>
          <cell r="AB27">
            <v>2626.5</v>
          </cell>
          <cell r="AC27">
            <v>2716.3</v>
          </cell>
          <cell r="AD27">
            <v>2710.3</v>
          </cell>
          <cell r="AE27">
            <v>2731.6</v>
          </cell>
          <cell r="AF27">
            <v>2824.2</v>
          </cell>
          <cell r="AG27">
            <v>2942.7</v>
          </cell>
          <cell r="AH27">
            <v>3348.2</v>
          </cell>
          <cell r="AI27">
            <v>3529.8</v>
          </cell>
          <cell r="AJ27">
            <v>3038.1</v>
          </cell>
          <cell r="AK27">
            <v>2867</v>
          </cell>
          <cell r="AL27">
            <v>2834.5</v>
          </cell>
          <cell r="AM27">
            <v>2793.1</v>
          </cell>
          <cell r="AN27">
            <v>2999.2</v>
          </cell>
          <cell r="AO27">
            <v>2926.5</v>
          </cell>
          <cell r="AP27">
            <v>2970.9</v>
          </cell>
          <cell r="AQ27">
            <v>2968.3</v>
          </cell>
          <cell r="AR27">
            <v>3094</v>
          </cell>
          <cell r="AS27">
            <v>3329.2</v>
          </cell>
          <cell r="AT27">
            <v>3557.5</v>
          </cell>
          <cell r="AU27">
            <v>3431.9</v>
          </cell>
          <cell r="AV27">
            <v>3237.2</v>
          </cell>
          <cell r="AW27">
            <v>3224.5</v>
          </cell>
          <cell r="AX27">
            <v>3057.6</v>
          </cell>
          <cell r="AY27">
            <v>3033.4</v>
          </cell>
          <cell r="AZ27">
            <v>2979</v>
          </cell>
          <cell r="BA27">
            <v>2961.4</v>
          </cell>
          <cell r="BB27">
            <v>3063.3</v>
          </cell>
          <cell r="BC27">
            <v>3017.8</v>
          </cell>
          <cell r="BD27">
            <v>3154.4</v>
          </cell>
          <cell r="BE27">
            <v>3460.8</v>
          </cell>
          <cell r="BF27">
            <v>4485.6000000000004</v>
          </cell>
          <cell r="BG27">
            <v>3676.2</v>
          </cell>
          <cell r="BH27">
            <v>3110.1</v>
          </cell>
          <cell r="BI27">
            <v>3359.6</v>
          </cell>
          <cell r="BJ27">
            <v>3044.3</v>
          </cell>
          <cell r="BK27">
            <v>3058.2</v>
          </cell>
          <cell r="BL27">
            <v>2897.7</v>
          </cell>
          <cell r="BM27">
            <v>2908.6</v>
          </cell>
          <cell r="BN27">
            <v>3005.6</v>
          </cell>
          <cell r="BO27">
            <v>2944.3</v>
          </cell>
          <cell r="BP27">
            <v>3020.6</v>
          </cell>
          <cell r="BQ27">
            <v>3415.1</v>
          </cell>
          <cell r="BR27">
            <v>3392.8</v>
          </cell>
          <cell r="BS27">
            <v>3334.1</v>
          </cell>
          <cell r="BT27">
            <v>2992.7</v>
          </cell>
          <cell r="BU27">
            <v>2974.9</v>
          </cell>
          <cell r="BV27">
            <v>2870</v>
          </cell>
          <cell r="BW27">
            <v>2788.6</v>
          </cell>
          <cell r="BX27">
            <v>2836.3</v>
          </cell>
          <cell r="BY27">
            <v>2823</v>
          </cell>
          <cell r="BZ27">
            <v>2881</v>
          </cell>
          <cell r="CA27">
            <v>2842.7</v>
          </cell>
          <cell r="CB27">
            <v>3010.2</v>
          </cell>
          <cell r="CC27">
            <v>3263.6</v>
          </cell>
          <cell r="CD27">
            <v>3444</v>
          </cell>
          <cell r="CE27">
            <v>3357</v>
          </cell>
          <cell r="CF27">
            <v>3122.6</v>
          </cell>
          <cell r="CG27">
            <v>3038.7</v>
          </cell>
          <cell r="CH27">
            <v>3022.1</v>
          </cell>
          <cell r="CI27">
            <v>2979.2</v>
          </cell>
          <cell r="CJ27">
            <v>2936.6</v>
          </cell>
          <cell r="CK27">
            <v>2952.2</v>
          </cell>
          <cell r="CL27">
            <v>2948.6</v>
          </cell>
          <cell r="CM27">
            <v>2978.2</v>
          </cell>
          <cell r="CN27">
            <v>3077</v>
          </cell>
          <cell r="CO27">
            <v>3578.3</v>
          </cell>
          <cell r="CP27">
            <v>5110.2</v>
          </cell>
          <cell r="CQ27">
            <v>4169.5</v>
          </cell>
          <cell r="CR27">
            <v>3979.3</v>
          </cell>
          <cell r="CS27">
            <v>3956.3</v>
          </cell>
          <cell r="CT27">
            <v>3736.9</v>
          </cell>
          <cell r="CU27">
            <v>3728.9</v>
          </cell>
          <cell r="CV27">
            <v>3700.4</v>
          </cell>
          <cell r="CW27">
            <v>3677.7</v>
          </cell>
          <cell r="CX27">
            <v>3732.8</v>
          </cell>
          <cell r="CY27">
            <v>3709.8</v>
          </cell>
          <cell r="CZ27">
            <v>3834.9</v>
          </cell>
          <cell r="DA27">
            <v>4173.6000000000004</v>
          </cell>
          <cell r="DB27">
            <v>4379.7</v>
          </cell>
          <cell r="DC27">
            <v>4548.5</v>
          </cell>
          <cell r="DD27">
            <v>3856.9</v>
          </cell>
          <cell r="DE27">
            <v>3871</v>
          </cell>
          <cell r="DF27">
            <v>3819.4</v>
          </cell>
          <cell r="DG27">
            <v>3726.9</v>
          </cell>
          <cell r="DH27">
            <v>3852.9</v>
          </cell>
          <cell r="DI27">
            <v>3829.9</v>
          </cell>
          <cell r="DJ27">
            <v>3817.2</v>
          </cell>
          <cell r="DK27">
            <v>4016.4</v>
          </cell>
          <cell r="DL27">
            <v>3952.1</v>
          </cell>
          <cell r="DM27">
            <v>4187.5</v>
          </cell>
          <cell r="DN27">
            <v>4874.6000000000004</v>
          </cell>
          <cell r="DO27">
            <v>4706.3999999999996</v>
          </cell>
          <cell r="DP27">
            <v>4344.7</v>
          </cell>
          <cell r="DQ27">
            <v>4135.1000000000004</v>
          </cell>
          <cell r="DR27">
            <v>4024.6</v>
          </cell>
          <cell r="DS27">
            <v>4006.5</v>
          </cell>
          <cell r="DT27">
            <v>4069.7</v>
          </cell>
          <cell r="DU27">
            <v>4085.4</v>
          </cell>
          <cell r="DV27">
            <v>4193.5</v>
          </cell>
          <cell r="DW27">
            <v>4161.6000000000004</v>
          </cell>
          <cell r="DX27">
            <v>4368.1000000000004</v>
          </cell>
          <cell r="DY27">
            <v>4805.8999999999996</v>
          </cell>
          <cell r="EM27">
            <v>35288.799999999996</v>
          </cell>
          <cell r="EN27">
            <v>36698.800000000003</v>
          </cell>
          <cell r="EO27">
            <v>38178.800000000003</v>
          </cell>
          <cell r="EP27">
            <v>38925.899999999994</v>
          </cell>
          <cell r="EQ27">
            <v>36009.9</v>
          </cell>
          <cell r="ER27">
            <v>37434.5</v>
          </cell>
          <cell r="ES27">
            <v>47510.30000000001</v>
          </cell>
        </row>
        <row r="28">
          <cell r="A28" t="str">
            <v>Other Operating Income / (Expense) Items</v>
          </cell>
          <cell r="B28" t="str">
            <v>Operating Revenue</v>
          </cell>
          <cell r="D28" t="str">
            <v>Residential Base Revenue Billed (PGA)</v>
          </cell>
          <cell r="E28" t="str">
            <v>Operating Revenue</v>
          </cell>
          <cell r="F28" t="str">
            <v>4800021</v>
          </cell>
          <cell r="G28" t="str">
            <v>A_4800021</v>
          </cell>
          <cell r="H28" t="str">
            <v>Residential - 2 FUEL</v>
          </cell>
          <cell r="J28">
            <v>4241.8</v>
          </cell>
          <cell r="K28">
            <v>4268.1000000000004</v>
          </cell>
          <cell r="L28">
            <v>1952.9</v>
          </cell>
          <cell r="M28">
            <v>1932.9</v>
          </cell>
          <cell r="N28">
            <v>1430.2</v>
          </cell>
          <cell r="O28">
            <v>1597.8</v>
          </cell>
          <cell r="P28">
            <v>1288.7</v>
          </cell>
          <cell r="Q28">
            <v>1204.3</v>
          </cell>
          <cell r="R28">
            <v>1380.3</v>
          </cell>
          <cell r="S28">
            <v>1485.5</v>
          </cell>
          <cell r="T28">
            <v>1844.6</v>
          </cell>
          <cell r="U28">
            <v>3255.7</v>
          </cell>
          <cell r="V28">
            <v>3554.3</v>
          </cell>
          <cell r="W28">
            <v>3309</v>
          </cell>
          <cell r="X28">
            <v>2830.2</v>
          </cell>
          <cell r="Y28">
            <v>1148.5</v>
          </cell>
          <cell r="Z28">
            <v>1357.2</v>
          </cell>
          <cell r="AA28">
            <v>1559.6</v>
          </cell>
          <cell r="AB28">
            <v>1175.3</v>
          </cell>
          <cell r="AC28">
            <v>1327.3</v>
          </cell>
          <cell r="AD28">
            <v>1318.2</v>
          </cell>
          <cell r="AE28">
            <v>1354.6</v>
          </cell>
          <cell r="AF28">
            <v>1639.9</v>
          </cell>
          <cell r="AG28">
            <v>1965.3</v>
          </cell>
          <cell r="AH28">
            <v>3327.6</v>
          </cell>
          <cell r="AI28">
            <v>3882.3</v>
          </cell>
          <cell r="AJ28">
            <v>2202.9</v>
          </cell>
          <cell r="AK28">
            <v>1593.1</v>
          </cell>
          <cell r="AL28">
            <v>1497.1</v>
          </cell>
          <cell r="AM28">
            <v>1295.0999999999999</v>
          </cell>
          <cell r="AN28">
            <v>1230.0999999999999</v>
          </cell>
          <cell r="AO28">
            <v>1248.9000000000001</v>
          </cell>
          <cell r="AP28">
            <v>1272</v>
          </cell>
          <cell r="AQ28">
            <v>1279.4000000000001</v>
          </cell>
          <cell r="AR28">
            <v>1495.4</v>
          </cell>
          <cell r="AS28">
            <v>2160.1999999999998</v>
          </cell>
          <cell r="AT28">
            <v>2818.5</v>
          </cell>
          <cell r="AU28">
            <v>2606</v>
          </cell>
          <cell r="AV28">
            <v>1929.1</v>
          </cell>
          <cell r="AW28">
            <v>1936.7</v>
          </cell>
          <cell r="AX28">
            <v>1405.9</v>
          </cell>
          <cell r="AY28">
            <v>1283</v>
          </cell>
          <cell r="AZ28">
            <v>1323.1</v>
          </cell>
          <cell r="BA28">
            <v>1349.6</v>
          </cell>
          <cell r="BB28">
            <v>1781.4</v>
          </cell>
          <cell r="BC28">
            <v>1614.3</v>
          </cell>
          <cell r="BD28">
            <v>2031.8</v>
          </cell>
          <cell r="BE28">
            <v>3028.5</v>
          </cell>
          <cell r="BF28">
            <v>7118.4</v>
          </cell>
          <cell r="BG28">
            <v>4185.3</v>
          </cell>
          <cell r="BH28">
            <v>1722.4</v>
          </cell>
          <cell r="BI28">
            <v>2652.9</v>
          </cell>
          <cell r="BJ28">
            <v>1588.2</v>
          </cell>
          <cell r="BK28">
            <v>1544.9</v>
          </cell>
          <cell r="BL28">
            <v>1328.1</v>
          </cell>
          <cell r="BM28">
            <v>1281.7</v>
          </cell>
          <cell r="BN28">
            <v>1510.1</v>
          </cell>
          <cell r="BO28">
            <v>1246.0999999999999</v>
          </cell>
          <cell r="BP28">
            <v>1574.4</v>
          </cell>
          <cell r="BQ28">
            <v>2724.4</v>
          </cell>
          <cell r="BR28">
            <v>3565.6</v>
          </cell>
          <cell r="BS28">
            <v>3224.2</v>
          </cell>
          <cell r="BT28">
            <v>2304.4</v>
          </cell>
          <cell r="BU28">
            <v>2374.9</v>
          </cell>
          <cell r="BV28">
            <v>1865.9</v>
          </cell>
          <cell r="BW28">
            <v>1567.9</v>
          </cell>
          <cell r="BX28">
            <v>1565.8</v>
          </cell>
          <cell r="BY28">
            <v>1212.9000000000001</v>
          </cell>
          <cell r="BZ28">
            <v>1523.9</v>
          </cell>
          <cell r="CA28">
            <v>1386</v>
          </cell>
          <cell r="CB28">
            <v>1950.2</v>
          </cell>
          <cell r="CC28">
            <v>2765.2</v>
          </cell>
          <cell r="CD28">
            <v>3184.4</v>
          </cell>
          <cell r="CE28">
            <v>2832.9</v>
          </cell>
          <cell r="CF28">
            <v>2027</v>
          </cell>
          <cell r="CG28">
            <v>1822.8</v>
          </cell>
          <cell r="CH28">
            <v>1752.6</v>
          </cell>
          <cell r="CI28">
            <v>1574.6</v>
          </cell>
          <cell r="CJ28">
            <v>1251.4000000000001</v>
          </cell>
          <cell r="CK28">
            <v>1353.8</v>
          </cell>
          <cell r="CL28">
            <v>1327.9</v>
          </cell>
          <cell r="CM28">
            <v>1561.6</v>
          </cell>
          <cell r="CN28">
            <v>1980.9</v>
          </cell>
          <cell r="CO28">
            <v>3774.3</v>
          </cell>
          <cell r="CP28">
            <v>5075.1000000000004</v>
          </cell>
          <cell r="CQ28">
            <v>3234.8</v>
          </cell>
          <cell r="CR28">
            <v>3175</v>
          </cell>
          <cell r="CS28">
            <v>2842.6</v>
          </cell>
          <cell r="CT28">
            <v>2001.8</v>
          </cell>
          <cell r="CU28">
            <v>1936.5</v>
          </cell>
          <cell r="CV28">
            <v>1789.6</v>
          </cell>
          <cell r="CW28">
            <v>1697.8</v>
          </cell>
          <cell r="CX28">
            <v>1911</v>
          </cell>
          <cell r="CY28">
            <v>1812.2</v>
          </cell>
          <cell r="CZ28">
            <v>2288.5</v>
          </cell>
          <cell r="DA28">
            <v>3563.5</v>
          </cell>
          <cell r="DB28">
            <v>4953.6000000000004</v>
          </cell>
          <cell r="DC28">
            <v>5410.5</v>
          </cell>
          <cell r="DD28">
            <v>2466.3000000000002</v>
          </cell>
          <cell r="DE28">
            <v>2530.8000000000002</v>
          </cell>
          <cell r="DF28">
            <v>2305</v>
          </cell>
          <cell r="DG28">
            <v>1918.9</v>
          </cell>
          <cell r="DH28">
            <v>1836.7</v>
          </cell>
          <cell r="DI28">
            <v>3209.6</v>
          </cell>
          <cell r="DJ28">
            <v>2752</v>
          </cell>
          <cell r="DK28">
            <v>3692.7</v>
          </cell>
          <cell r="DL28">
            <v>1396.5</v>
          </cell>
          <cell r="DM28">
            <v>2839.9</v>
          </cell>
          <cell r="DN28">
            <v>8084.4</v>
          </cell>
          <cell r="DO28">
            <v>7909.6</v>
          </cell>
          <cell r="DP28">
            <v>5228.7</v>
          </cell>
          <cell r="DQ28">
            <v>3790</v>
          </cell>
          <cell r="DR28">
            <v>3353.3</v>
          </cell>
          <cell r="DS28">
            <v>3289.2</v>
          </cell>
          <cell r="DT28">
            <v>2922</v>
          </cell>
          <cell r="DU28">
            <v>3027.8</v>
          </cell>
          <cell r="DV28">
            <v>3028.5</v>
          </cell>
          <cell r="DW28">
            <v>3374.8</v>
          </cell>
          <cell r="DX28">
            <v>4000.6</v>
          </cell>
          <cell r="DY28">
            <v>4841.8</v>
          </cell>
          <cell r="EM28">
            <v>22539.399999999998</v>
          </cell>
          <cell r="EN28">
            <v>22484.100000000002</v>
          </cell>
          <cell r="EO28">
            <v>23107.9</v>
          </cell>
          <cell r="EP28">
            <v>28476.9</v>
          </cell>
          <cell r="EQ28">
            <v>25306.9</v>
          </cell>
          <cell r="ER28">
            <v>24444.2</v>
          </cell>
          <cell r="ES28">
            <v>31328.400000000001</v>
          </cell>
        </row>
        <row r="29">
          <cell r="A29" t="str">
            <v>Base Revenues and OSS - Net</v>
          </cell>
          <cell r="B29" t="str">
            <v>Operating Revenue</v>
          </cell>
          <cell r="D29" t="str">
            <v>Residential Base Revenue Billed</v>
          </cell>
          <cell r="E29" t="str">
            <v>Operating Revenue</v>
          </cell>
          <cell r="F29" t="str">
            <v>4800030</v>
          </cell>
          <cell r="G29" t="str">
            <v>A_4800030</v>
          </cell>
          <cell r="H29" t="str">
            <v>Residential - 3</v>
          </cell>
          <cell r="J29">
            <v>3003.9</v>
          </cell>
          <cell r="K29">
            <v>2927.5</v>
          </cell>
          <cell r="L29">
            <v>2344.9</v>
          </cell>
          <cell r="M29">
            <v>2258.8000000000002</v>
          </cell>
          <cell r="N29">
            <v>1965.3</v>
          </cell>
          <cell r="O29">
            <v>1964.5</v>
          </cell>
          <cell r="P29">
            <v>1978.9</v>
          </cell>
          <cell r="Q29">
            <v>1913.6</v>
          </cell>
          <cell r="R29">
            <v>1988.2</v>
          </cell>
          <cell r="S29">
            <v>2048</v>
          </cell>
          <cell r="T29">
            <v>2316.9</v>
          </cell>
          <cell r="U29">
            <v>2832.9</v>
          </cell>
          <cell r="V29">
            <v>2996.6</v>
          </cell>
          <cell r="W29">
            <v>3001.1</v>
          </cell>
          <cell r="X29">
            <v>2820.2</v>
          </cell>
          <cell r="Y29">
            <v>2100.1</v>
          </cell>
          <cell r="Z29">
            <v>2035</v>
          </cell>
          <cell r="AA29">
            <v>2083.4</v>
          </cell>
          <cell r="AB29">
            <v>2087</v>
          </cell>
          <cell r="AC29">
            <v>2099.6</v>
          </cell>
          <cell r="AD29">
            <v>2099</v>
          </cell>
          <cell r="AE29">
            <v>2159.1</v>
          </cell>
          <cell r="AF29">
            <v>2323.9</v>
          </cell>
          <cell r="AG29">
            <v>2540.9</v>
          </cell>
          <cell r="AH29">
            <v>3113.9</v>
          </cell>
          <cell r="AI29">
            <v>3335</v>
          </cell>
          <cell r="AJ29">
            <v>2698.6</v>
          </cell>
          <cell r="AK29">
            <v>2397.5</v>
          </cell>
          <cell r="AL29">
            <v>2287.9</v>
          </cell>
          <cell r="AM29">
            <v>2170.1</v>
          </cell>
          <cell r="AN29">
            <v>1488.8</v>
          </cell>
          <cell r="AO29">
            <v>1726.6</v>
          </cell>
          <cell r="AP29">
            <v>1788.1</v>
          </cell>
          <cell r="AQ29">
            <v>1804.7</v>
          </cell>
          <cell r="AR29">
            <v>2071.4</v>
          </cell>
          <cell r="AS29">
            <v>2338.5</v>
          </cell>
          <cell r="AT29">
            <v>2577.1</v>
          </cell>
          <cell r="AU29">
            <v>2367</v>
          </cell>
          <cell r="AV29">
            <v>2278.6999999999998</v>
          </cell>
          <cell r="AW29">
            <v>2281.1</v>
          </cell>
          <cell r="AX29">
            <v>1994.1</v>
          </cell>
          <cell r="AY29">
            <v>1900</v>
          </cell>
          <cell r="AZ29">
            <v>1443.4</v>
          </cell>
          <cell r="BA29">
            <v>1593.9</v>
          </cell>
          <cell r="BB29">
            <v>1718.1</v>
          </cell>
          <cell r="BC29">
            <v>1704.4</v>
          </cell>
          <cell r="BD29">
            <v>1953.7</v>
          </cell>
          <cell r="BE29">
            <v>2257.5</v>
          </cell>
          <cell r="BF29">
            <v>3038.2</v>
          </cell>
          <cell r="BG29">
            <v>2344.6</v>
          </cell>
          <cell r="BH29">
            <v>2147.9</v>
          </cell>
          <cell r="BI29">
            <v>2377.4</v>
          </cell>
          <cell r="BJ29">
            <v>1897.6</v>
          </cell>
          <cell r="BK29">
            <v>1874.1</v>
          </cell>
          <cell r="BL29">
            <v>2318.5</v>
          </cell>
          <cell r="BM29">
            <v>2153.1</v>
          </cell>
          <cell r="BN29">
            <v>2267</v>
          </cell>
          <cell r="BO29">
            <v>2239.6</v>
          </cell>
          <cell r="BP29">
            <v>2491.8000000000002</v>
          </cell>
          <cell r="BQ29">
            <v>3071</v>
          </cell>
          <cell r="BR29">
            <v>3253.5</v>
          </cell>
          <cell r="BS29">
            <v>2969.9</v>
          </cell>
          <cell r="BT29">
            <v>2709.5</v>
          </cell>
          <cell r="BU29">
            <v>2728.4</v>
          </cell>
          <cell r="BV29">
            <v>2396.1</v>
          </cell>
          <cell r="BW29">
            <v>2207.6999999999998</v>
          </cell>
          <cell r="BX29">
            <v>2006.7</v>
          </cell>
          <cell r="BY29">
            <v>2117</v>
          </cell>
          <cell r="BZ29">
            <v>2182.1999999999998</v>
          </cell>
          <cell r="CA29">
            <v>2229.6999999999998</v>
          </cell>
          <cell r="CB29">
            <v>2502</v>
          </cell>
          <cell r="CC29">
            <v>3041.6</v>
          </cell>
          <cell r="CD29">
            <v>3234.4</v>
          </cell>
          <cell r="CE29">
            <v>3039.1</v>
          </cell>
          <cell r="CF29">
            <v>2877.9</v>
          </cell>
          <cell r="CG29">
            <v>2809.1</v>
          </cell>
          <cell r="CH29">
            <v>2690.5</v>
          </cell>
          <cell r="CI29">
            <v>2558.9</v>
          </cell>
          <cell r="CJ29">
            <v>2361.6</v>
          </cell>
          <cell r="CK29">
            <v>2460.6</v>
          </cell>
          <cell r="CL29">
            <v>2479.8000000000002</v>
          </cell>
          <cell r="CM29">
            <v>2611.6999999999998</v>
          </cell>
          <cell r="CN29">
            <v>2856.7</v>
          </cell>
          <cell r="CO29">
            <v>3639.9</v>
          </cell>
          <cell r="CP29">
            <v>5148.8999999999996</v>
          </cell>
          <cell r="CQ29">
            <v>4072.1</v>
          </cell>
          <cell r="CR29">
            <v>4100.5</v>
          </cell>
          <cell r="CS29">
            <v>4128.1000000000004</v>
          </cell>
          <cell r="CT29">
            <v>3542.5</v>
          </cell>
          <cell r="CU29">
            <v>3573.7</v>
          </cell>
          <cell r="CV29">
            <v>3266.4</v>
          </cell>
          <cell r="CW29">
            <v>3315.2</v>
          </cell>
          <cell r="CX29">
            <v>3436.9</v>
          </cell>
          <cell r="CY29">
            <v>3533.3</v>
          </cell>
          <cell r="CZ29">
            <v>3920.3</v>
          </cell>
          <cell r="DA29">
            <v>4611.2</v>
          </cell>
          <cell r="DB29">
            <v>4954.3999999999996</v>
          </cell>
          <cell r="DC29">
            <v>4870.3999999999996</v>
          </cell>
          <cell r="DD29">
            <v>4290.7</v>
          </cell>
          <cell r="DE29">
            <v>4211.6000000000004</v>
          </cell>
          <cell r="DF29">
            <v>4012.8</v>
          </cell>
          <cell r="DG29">
            <v>3731.7</v>
          </cell>
          <cell r="DH29">
            <v>3064.6</v>
          </cell>
          <cell r="DI29">
            <v>3385.4</v>
          </cell>
          <cell r="DJ29">
            <v>3426</v>
          </cell>
          <cell r="DK29">
            <v>3856.3</v>
          </cell>
          <cell r="DL29">
            <v>3928.4</v>
          </cell>
          <cell r="DM29">
            <v>4414.8</v>
          </cell>
          <cell r="DN29">
            <v>4812.1000000000004</v>
          </cell>
          <cell r="DO29">
            <v>4584.3</v>
          </cell>
          <cell r="DP29">
            <v>4331.5</v>
          </cell>
          <cell r="DQ29">
            <v>4043.8</v>
          </cell>
          <cell r="DR29">
            <v>3671.2</v>
          </cell>
          <cell r="DS29">
            <v>3525.3</v>
          </cell>
          <cell r="DT29">
            <v>3406.8</v>
          </cell>
          <cell r="DU29">
            <v>3421.2</v>
          </cell>
          <cell r="DV29">
            <v>3551.3</v>
          </cell>
          <cell r="DW29">
            <v>3579.6</v>
          </cell>
          <cell r="DX29">
            <v>3993.5</v>
          </cell>
          <cell r="DY29">
            <v>4736.1000000000004</v>
          </cell>
          <cell r="EM29">
            <v>28345.9</v>
          </cell>
          <cell r="EN29">
            <v>27221.1</v>
          </cell>
          <cell r="EO29">
            <v>24069</v>
          </cell>
          <cell r="EP29">
            <v>28220.799999999996</v>
          </cell>
          <cell r="EQ29">
            <v>30344.3</v>
          </cell>
          <cell r="ER29">
            <v>33620.199999999997</v>
          </cell>
          <cell r="ES29">
            <v>46649.100000000006</v>
          </cell>
        </row>
        <row r="30">
          <cell r="A30" t="str">
            <v>Other Operating Income / (Expense) Items</v>
          </cell>
          <cell r="B30" t="str">
            <v>Operating Revenue</v>
          </cell>
          <cell r="D30" t="str">
            <v>Residential Base Revenue Billed (PGA)</v>
          </cell>
          <cell r="E30" t="str">
            <v>Operating Revenue</v>
          </cell>
          <cell r="F30" t="str">
            <v>4800031</v>
          </cell>
          <cell r="G30" t="str">
            <v>A_4800031</v>
          </cell>
          <cell r="H30" t="str">
            <v>Residential - 3 FUEL</v>
          </cell>
          <cell r="J30">
            <v>4889.8999999999996</v>
          </cell>
          <cell r="K30">
            <v>4577.7</v>
          </cell>
          <cell r="L30">
            <v>2664.8</v>
          </cell>
          <cell r="M30">
            <v>2350.5</v>
          </cell>
          <cell r="N30">
            <v>1394.6</v>
          </cell>
          <cell r="O30">
            <v>1446.3</v>
          </cell>
          <cell r="P30">
            <v>1297.7</v>
          </cell>
          <cell r="Q30">
            <v>1131</v>
          </cell>
          <cell r="R30">
            <v>1318.2</v>
          </cell>
          <cell r="S30">
            <v>1514.6</v>
          </cell>
          <cell r="T30">
            <v>2385.8000000000002</v>
          </cell>
          <cell r="U30">
            <v>4177.3999999999996</v>
          </cell>
          <cell r="V30">
            <v>4526.1000000000004</v>
          </cell>
          <cell r="W30">
            <v>3976</v>
          </cell>
          <cell r="X30">
            <v>3600.2</v>
          </cell>
          <cell r="Y30">
            <v>1388.3</v>
          </cell>
          <cell r="Z30">
            <v>1328.9</v>
          </cell>
          <cell r="AA30">
            <v>1490.9</v>
          </cell>
          <cell r="AB30">
            <v>1239.7</v>
          </cell>
          <cell r="AC30">
            <v>1326.9</v>
          </cell>
          <cell r="AD30">
            <v>1321.3</v>
          </cell>
          <cell r="AE30">
            <v>1491.2</v>
          </cell>
          <cell r="AF30">
            <v>2023.6</v>
          </cell>
          <cell r="AG30">
            <v>2688.2</v>
          </cell>
          <cell r="AH30">
            <v>4614.3999999999996</v>
          </cell>
          <cell r="AI30">
            <v>5311.6</v>
          </cell>
          <cell r="AJ30">
            <v>3164.9</v>
          </cell>
          <cell r="AK30">
            <v>2049.3000000000002</v>
          </cell>
          <cell r="AL30">
            <v>1693.1</v>
          </cell>
          <cell r="AM30">
            <v>1220.5999999999999</v>
          </cell>
          <cell r="AN30">
            <v>877.4</v>
          </cell>
          <cell r="AO30">
            <v>1008.9</v>
          </cell>
          <cell r="AP30">
            <v>1088.3</v>
          </cell>
          <cell r="AQ30">
            <v>1132.4000000000001</v>
          </cell>
          <cell r="AR30">
            <v>1754</v>
          </cell>
          <cell r="AS30">
            <v>2493.3000000000002</v>
          </cell>
          <cell r="AT30">
            <v>3178.7</v>
          </cell>
          <cell r="AU30">
            <v>2729.2</v>
          </cell>
          <cell r="AV30">
            <v>2341</v>
          </cell>
          <cell r="AW30">
            <v>2325.8000000000002</v>
          </cell>
          <cell r="AX30">
            <v>1410.7</v>
          </cell>
          <cell r="AY30">
            <v>1035</v>
          </cell>
          <cell r="AZ30">
            <v>913.7</v>
          </cell>
          <cell r="BA30">
            <v>997</v>
          </cell>
          <cell r="BB30">
            <v>1394.7</v>
          </cell>
          <cell r="BC30">
            <v>1331.9</v>
          </cell>
          <cell r="BD30">
            <v>2085.1</v>
          </cell>
          <cell r="BE30">
            <v>3009.4</v>
          </cell>
          <cell r="BF30">
            <v>6058.6</v>
          </cell>
          <cell r="BG30">
            <v>3541</v>
          </cell>
          <cell r="BH30">
            <v>2344.8000000000002</v>
          </cell>
          <cell r="BI30">
            <v>3132.4</v>
          </cell>
          <cell r="BJ30">
            <v>1475.8</v>
          </cell>
          <cell r="BK30">
            <v>1217.5</v>
          </cell>
          <cell r="BL30">
            <v>1415.4</v>
          </cell>
          <cell r="BM30">
            <v>1235.2</v>
          </cell>
          <cell r="BN30">
            <v>1499.5</v>
          </cell>
          <cell r="BO30">
            <v>1266.8</v>
          </cell>
          <cell r="BP30">
            <v>2068.1</v>
          </cell>
          <cell r="BQ30">
            <v>3747</v>
          </cell>
          <cell r="BR30">
            <v>5212.3</v>
          </cell>
          <cell r="BS30">
            <v>4073</v>
          </cell>
          <cell r="BT30">
            <v>3481</v>
          </cell>
          <cell r="BU30">
            <v>3745.6</v>
          </cell>
          <cell r="BV30">
            <v>2236.6</v>
          </cell>
          <cell r="BW30">
            <v>1427.4</v>
          </cell>
          <cell r="BX30">
            <v>1442.4</v>
          </cell>
          <cell r="BY30">
            <v>1180.7</v>
          </cell>
          <cell r="BZ30">
            <v>1463.1</v>
          </cell>
          <cell r="CA30">
            <v>1529.1</v>
          </cell>
          <cell r="CB30">
            <v>2384</v>
          </cell>
          <cell r="CC30">
            <v>4088.4</v>
          </cell>
          <cell r="CD30">
            <v>4570.3999999999996</v>
          </cell>
          <cell r="CE30">
            <v>3659.4</v>
          </cell>
          <cell r="CF30">
            <v>2980.4</v>
          </cell>
          <cell r="CG30">
            <v>2760.9</v>
          </cell>
          <cell r="CH30">
            <v>2317</v>
          </cell>
          <cell r="CI30">
            <v>1802.5</v>
          </cell>
          <cell r="CJ30">
            <v>1147.2</v>
          </cell>
          <cell r="CK30">
            <v>1356.4</v>
          </cell>
          <cell r="CL30">
            <v>1347.5</v>
          </cell>
          <cell r="CM30">
            <v>1833.6</v>
          </cell>
          <cell r="CN30">
            <v>2682.7</v>
          </cell>
          <cell r="CO30">
            <v>5467.7</v>
          </cell>
          <cell r="CP30">
            <v>6798.2</v>
          </cell>
          <cell r="CQ30">
            <v>4344.1000000000004</v>
          </cell>
          <cell r="CR30">
            <v>5203.3</v>
          </cell>
          <cell r="CS30">
            <v>4875.3</v>
          </cell>
          <cell r="CT30">
            <v>2528</v>
          </cell>
          <cell r="CU30">
            <v>2459.1999999999998</v>
          </cell>
          <cell r="CV30">
            <v>2190.1999999999998</v>
          </cell>
          <cell r="CW30">
            <v>1899.5</v>
          </cell>
          <cell r="CX30">
            <v>2271.8000000000002</v>
          </cell>
          <cell r="CY30">
            <v>2428.1999999999998</v>
          </cell>
          <cell r="CZ30">
            <v>3811.8</v>
          </cell>
          <cell r="DA30">
            <v>6312.9</v>
          </cell>
          <cell r="DB30">
            <v>8543</v>
          </cell>
          <cell r="DC30">
            <v>7647.7</v>
          </cell>
          <cell r="DD30">
            <v>4977</v>
          </cell>
          <cell r="DE30">
            <v>4533</v>
          </cell>
          <cell r="DF30">
            <v>3499.6</v>
          </cell>
          <cell r="DG30">
            <v>2157.6</v>
          </cell>
          <cell r="DH30">
            <v>1815.3</v>
          </cell>
          <cell r="DI30">
            <v>3436.4</v>
          </cell>
          <cell r="DJ30">
            <v>3033.1</v>
          </cell>
          <cell r="DK30">
            <v>4991.7</v>
          </cell>
          <cell r="DL30">
            <v>2326.1</v>
          </cell>
          <cell r="DM30">
            <v>4683.3</v>
          </cell>
          <cell r="DN30">
            <v>11818.1</v>
          </cell>
          <cell r="DO30">
            <v>9991.7999999999993</v>
          </cell>
          <cell r="DP30">
            <v>7898.4</v>
          </cell>
          <cell r="DQ30">
            <v>5977.3</v>
          </cell>
          <cell r="DR30">
            <v>4019.4</v>
          </cell>
          <cell r="DS30">
            <v>2994.4</v>
          </cell>
          <cell r="DT30">
            <v>2691.7</v>
          </cell>
          <cell r="DU30">
            <v>2947.4</v>
          </cell>
          <cell r="DV30">
            <v>2907.6</v>
          </cell>
          <cell r="DW30">
            <v>3723.1</v>
          </cell>
          <cell r="DX30">
            <v>4890.6000000000004</v>
          </cell>
          <cell r="DY30">
            <v>7158.7</v>
          </cell>
          <cell r="EM30">
            <v>26401.3</v>
          </cell>
          <cell r="EN30">
            <v>26408.2</v>
          </cell>
          <cell r="EO30">
            <v>22752.200000000004</v>
          </cell>
          <cell r="EP30">
            <v>29002.100000000002</v>
          </cell>
          <cell r="EQ30">
            <v>32263.599999999999</v>
          </cell>
          <cell r="ER30">
            <v>31925.7</v>
          </cell>
          <cell r="ES30">
            <v>45122.5</v>
          </cell>
        </row>
        <row r="31">
          <cell r="A31" t="str">
            <v>Base Revenues and OSS - Net</v>
          </cell>
          <cell r="B31" t="str">
            <v>Operating Revenue</v>
          </cell>
          <cell r="D31" t="str">
            <v>Residential Base Revenue Billed</v>
          </cell>
          <cell r="E31" t="str">
            <v>Operating Revenue</v>
          </cell>
          <cell r="F31" t="str">
            <v>4800035</v>
          </cell>
          <cell r="G31" t="str">
            <v>A_4800035</v>
          </cell>
          <cell r="H31" t="str">
            <v>Residential Stand By Generator</v>
          </cell>
          <cell r="J31">
            <v>16.600000000000001</v>
          </cell>
          <cell r="K31">
            <v>16.5</v>
          </cell>
          <cell r="L31">
            <v>16.3</v>
          </cell>
          <cell r="M31">
            <v>16.399999999999999</v>
          </cell>
          <cell r="N31">
            <v>16.2</v>
          </cell>
          <cell r="O31">
            <v>15.8</v>
          </cell>
          <cell r="P31">
            <v>15.8</v>
          </cell>
          <cell r="Q31">
            <v>15.5</v>
          </cell>
          <cell r="R31">
            <v>15.4</v>
          </cell>
          <cell r="S31">
            <v>16.3</v>
          </cell>
          <cell r="T31">
            <v>16.399999999999999</v>
          </cell>
          <cell r="U31">
            <v>16.2</v>
          </cell>
          <cell r="V31">
            <v>16.899999999999999</v>
          </cell>
          <cell r="W31">
            <v>17</v>
          </cell>
          <cell r="X31">
            <v>16.3</v>
          </cell>
          <cell r="Y31">
            <v>16.5</v>
          </cell>
          <cell r="Z31">
            <v>16.399999999999999</v>
          </cell>
          <cell r="AA31">
            <v>16.5</v>
          </cell>
          <cell r="AB31">
            <v>15.7</v>
          </cell>
          <cell r="AC31">
            <v>16.100000000000001</v>
          </cell>
          <cell r="AD31">
            <v>16.3</v>
          </cell>
          <cell r="AE31">
            <v>16.2</v>
          </cell>
          <cell r="AF31">
            <v>16.600000000000001</v>
          </cell>
          <cell r="AG31">
            <v>16.3</v>
          </cell>
          <cell r="AH31">
            <v>16.600000000000001</v>
          </cell>
          <cell r="AI31">
            <v>16.600000000000001</v>
          </cell>
          <cell r="AJ31">
            <v>17.5</v>
          </cell>
          <cell r="AK31">
            <v>16.100000000000001</v>
          </cell>
          <cell r="AL31">
            <v>15.8</v>
          </cell>
          <cell r="AM31">
            <v>15.7</v>
          </cell>
          <cell r="AN31">
            <v>16.3</v>
          </cell>
          <cell r="AO31">
            <v>16.5</v>
          </cell>
          <cell r="AP31">
            <v>16.399999999999999</v>
          </cell>
          <cell r="AQ31">
            <v>16.600000000000001</v>
          </cell>
          <cell r="AR31">
            <v>16.7</v>
          </cell>
          <cell r="AS31">
            <v>16.600000000000001</v>
          </cell>
          <cell r="AT31">
            <v>16.600000000000001</v>
          </cell>
          <cell r="AU31">
            <v>16.7</v>
          </cell>
          <cell r="AV31">
            <v>17.5</v>
          </cell>
          <cell r="AW31">
            <v>17.5</v>
          </cell>
          <cell r="AX31">
            <v>16.600000000000001</v>
          </cell>
          <cell r="AY31">
            <v>17</v>
          </cell>
          <cell r="AZ31">
            <v>17.2</v>
          </cell>
          <cell r="BA31">
            <v>16.7</v>
          </cell>
          <cell r="BB31">
            <v>21.1</v>
          </cell>
          <cell r="BC31">
            <v>20.100000000000001</v>
          </cell>
          <cell r="BD31">
            <v>24.9</v>
          </cell>
          <cell r="BE31">
            <v>17</v>
          </cell>
          <cell r="BF31">
            <v>18.2</v>
          </cell>
          <cell r="BG31">
            <v>17.399999999999999</v>
          </cell>
          <cell r="BH31">
            <v>17</v>
          </cell>
          <cell r="BI31">
            <v>17.7</v>
          </cell>
          <cell r="BJ31">
            <v>17</v>
          </cell>
          <cell r="BK31">
            <v>17.7</v>
          </cell>
          <cell r="BL31">
            <v>16.8</v>
          </cell>
          <cell r="BM31">
            <v>17.2</v>
          </cell>
          <cell r="BN31">
            <v>18.100000000000001</v>
          </cell>
          <cell r="BO31">
            <v>18.5</v>
          </cell>
          <cell r="BP31">
            <v>19.3</v>
          </cell>
          <cell r="BQ31">
            <v>18.8</v>
          </cell>
          <cell r="BR31">
            <v>18</v>
          </cell>
          <cell r="BS31">
            <v>18.7</v>
          </cell>
          <cell r="BT31">
            <v>18.100000000000001</v>
          </cell>
          <cell r="BU31">
            <v>18.2</v>
          </cell>
          <cell r="BV31">
            <v>17.899999999999999</v>
          </cell>
          <cell r="BW31">
            <v>17.399999999999999</v>
          </cell>
          <cell r="BX31">
            <v>17</v>
          </cell>
          <cell r="BY31">
            <v>17.600000000000001</v>
          </cell>
          <cell r="BZ31">
            <v>17.3</v>
          </cell>
          <cell r="CA31">
            <v>17.8</v>
          </cell>
          <cell r="CB31">
            <v>17.899999999999999</v>
          </cell>
          <cell r="CC31">
            <v>19</v>
          </cell>
          <cell r="CD31">
            <v>19</v>
          </cell>
          <cell r="CE31">
            <v>18.2</v>
          </cell>
          <cell r="CF31">
            <v>18.8</v>
          </cell>
          <cell r="CG31">
            <v>17.899999999999999</v>
          </cell>
          <cell r="CH31">
            <v>17.899999999999999</v>
          </cell>
          <cell r="CI31">
            <v>19</v>
          </cell>
          <cell r="CJ31">
            <v>18.600000000000001</v>
          </cell>
          <cell r="CK31">
            <v>18.5</v>
          </cell>
          <cell r="CL31">
            <v>18.899999999999999</v>
          </cell>
          <cell r="CM31">
            <v>18.899999999999999</v>
          </cell>
          <cell r="CN31">
            <v>20.100000000000001</v>
          </cell>
          <cell r="CO31">
            <v>20.8</v>
          </cell>
          <cell r="CP31">
            <v>26.3</v>
          </cell>
          <cell r="CQ31">
            <v>26.2</v>
          </cell>
          <cell r="CR31">
            <v>26.7</v>
          </cell>
          <cell r="CS31">
            <v>26.4</v>
          </cell>
          <cell r="CT31">
            <v>26.4</v>
          </cell>
          <cell r="CU31">
            <v>26</v>
          </cell>
          <cell r="CV31">
            <v>25.8</v>
          </cell>
          <cell r="CW31">
            <v>25.1</v>
          </cell>
          <cell r="CX31">
            <v>26.2</v>
          </cell>
          <cell r="CY31">
            <v>26.5</v>
          </cell>
          <cell r="CZ31">
            <v>26</v>
          </cell>
          <cell r="DA31">
            <v>27.5</v>
          </cell>
          <cell r="DB31">
            <v>29.2</v>
          </cell>
          <cell r="DC31">
            <v>28.2</v>
          </cell>
          <cell r="DD31">
            <v>26.8</v>
          </cell>
          <cell r="DE31">
            <v>27.3</v>
          </cell>
          <cell r="DF31">
            <v>26.6</v>
          </cell>
          <cell r="DG31">
            <v>25.8</v>
          </cell>
          <cell r="DH31">
            <v>26</v>
          </cell>
          <cell r="DI31">
            <v>26.7</v>
          </cell>
          <cell r="DJ31">
            <v>26.8</v>
          </cell>
          <cell r="DK31">
            <v>27.8</v>
          </cell>
          <cell r="DL31">
            <v>27.2</v>
          </cell>
          <cell r="DM31">
            <v>28.9</v>
          </cell>
          <cell r="DN31">
            <v>25.4</v>
          </cell>
          <cell r="DO31">
            <v>25.5</v>
          </cell>
          <cell r="DP31">
            <v>25.5</v>
          </cell>
          <cell r="DQ31">
            <v>25.6</v>
          </cell>
          <cell r="DR31">
            <v>25.6</v>
          </cell>
          <cell r="DS31">
            <v>25.6</v>
          </cell>
          <cell r="DT31">
            <v>27.1</v>
          </cell>
          <cell r="DU31">
            <v>27.1</v>
          </cell>
          <cell r="DV31">
            <v>27.1</v>
          </cell>
          <cell r="DW31">
            <v>27.2</v>
          </cell>
          <cell r="DX31">
            <v>27.2</v>
          </cell>
          <cell r="DY31">
            <v>27.3</v>
          </cell>
          <cell r="EM31">
            <v>196.8</v>
          </cell>
          <cell r="EN31">
            <v>197.4</v>
          </cell>
          <cell r="EO31">
            <v>218.9</v>
          </cell>
          <cell r="EP31">
            <v>213.70000000000002</v>
          </cell>
          <cell r="EQ31">
            <v>214.90000000000003</v>
          </cell>
          <cell r="ER31">
            <v>226.60000000000002</v>
          </cell>
          <cell r="ES31">
            <v>315.10000000000002</v>
          </cell>
        </row>
        <row r="32">
          <cell r="A32" t="str">
            <v>Other Operating Income / (Expense) Items</v>
          </cell>
          <cell r="B32" t="str">
            <v>Operating Revenue</v>
          </cell>
          <cell r="D32" t="str">
            <v>Residential Base Revenue Billed (PGA)</v>
          </cell>
          <cell r="E32" t="str">
            <v>Operating Revenue</v>
          </cell>
          <cell r="F32" t="str">
            <v>4800036</v>
          </cell>
          <cell r="G32" t="str">
            <v>A_4800036</v>
          </cell>
          <cell r="H32" t="str">
            <v>Residential Stand By Generator FUEL</v>
          </cell>
          <cell r="J32">
            <v>4.5999999999999996</v>
          </cell>
          <cell r="K32">
            <v>4.5999999999999996</v>
          </cell>
          <cell r="L32">
            <v>3.7</v>
          </cell>
          <cell r="M32">
            <v>3.9</v>
          </cell>
          <cell r="N32">
            <v>3.2</v>
          </cell>
          <cell r="O32">
            <v>3</v>
          </cell>
          <cell r="P32">
            <v>2.7</v>
          </cell>
          <cell r="Q32">
            <v>2.1</v>
          </cell>
          <cell r="R32">
            <v>2.4</v>
          </cell>
          <cell r="S32">
            <v>2.9</v>
          </cell>
          <cell r="T32">
            <v>3.3</v>
          </cell>
          <cell r="U32">
            <v>4.2</v>
          </cell>
          <cell r="V32">
            <v>5.5</v>
          </cell>
          <cell r="W32">
            <v>4</v>
          </cell>
          <cell r="X32">
            <v>3.8</v>
          </cell>
          <cell r="Y32">
            <v>3.6</v>
          </cell>
          <cell r="Z32">
            <v>2.5</v>
          </cell>
          <cell r="AA32">
            <v>2.6</v>
          </cell>
          <cell r="AB32">
            <v>2.4</v>
          </cell>
          <cell r="AC32">
            <v>2.2000000000000002</v>
          </cell>
          <cell r="AD32">
            <v>2.5</v>
          </cell>
          <cell r="AE32">
            <v>2.6</v>
          </cell>
          <cell r="AF32">
            <v>3.1</v>
          </cell>
          <cell r="AG32">
            <v>3.9</v>
          </cell>
          <cell r="AH32">
            <v>4.9000000000000004</v>
          </cell>
          <cell r="AI32">
            <v>3.7</v>
          </cell>
          <cell r="AJ32">
            <v>5.2</v>
          </cell>
          <cell r="AK32">
            <v>3.7</v>
          </cell>
          <cell r="AL32">
            <v>3.6</v>
          </cell>
          <cell r="AM32">
            <v>2.7</v>
          </cell>
          <cell r="AN32">
            <v>2.6</v>
          </cell>
          <cell r="AO32">
            <v>2</v>
          </cell>
          <cell r="AP32">
            <v>2.1</v>
          </cell>
          <cell r="AQ32">
            <v>3.6</v>
          </cell>
          <cell r="AR32">
            <v>3.6</v>
          </cell>
          <cell r="AS32">
            <v>4.0999999999999996</v>
          </cell>
          <cell r="AT32">
            <v>4.2</v>
          </cell>
          <cell r="AU32">
            <v>4.5</v>
          </cell>
          <cell r="AV32">
            <v>4.3</v>
          </cell>
          <cell r="AW32">
            <v>4</v>
          </cell>
          <cell r="AX32">
            <v>3.4</v>
          </cell>
          <cell r="AY32">
            <v>2.4</v>
          </cell>
          <cell r="AZ32">
            <v>2.2000000000000002</v>
          </cell>
          <cell r="BA32">
            <v>2.1</v>
          </cell>
          <cell r="BB32">
            <v>19.5</v>
          </cell>
          <cell r="BC32">
            <v>19</v>
          </cell>
          <cell r="BD32">
            <v>33</v>
          </cell>
          <cell r="BE32">
            <v>4.9000000000000004</v>
          </cell>
          <cell r="BF32">
            <v>7.2</v>
          </cell>
          <cell r="BG32">
            <v>4.9000000000000004</v>
          </cell>
          <cell r="BH32">
            <v>4.0999999999999996</v>
          </cell>
          <cell r="BI32">
            <v>4.8</v>
          </cell>
          <cell r="BJ32">
            <v>3.5</v>
          </cell>
          <cell r="BK32">
            <v>3.7</v>
          </cell>
          <cell r="BL32">
            <v>3</v>
          </cell>
          <cell r="BM32">
            <v>2.2000000000000002</v>
          </cell>
          <cell r="BN32">
            <v>2.6</v>
          </cell>
          <cell r="BO32">
            <v>4.4000000000000004</v>
          </cell>
          <cell r="BP32">
            <v>7.8</v>
          </cell>
          <cell r="BQ32">
            <v>4.8</v>
          </cell>
          <cell r="BR32">
            <v>6.2</v>
          </cell>
          <cell r="BS32">
            <v>5.8</v>
          </cell>
          <cell r="BT32">
            <v>5.6</v>
          </cell>
          <cell r="BU32">
            <v>5.7</v>
          </cell>
          <cell r="BV32">
            <v>4.2</v>
          </cell>
          <cell r="BW32">
            <v>3.4</v>
          </cell>
          <cell r="BX32">
            <v>2.9</v>
          </cell>
          <cell r="BY32">
            <v>2.5</v>
          </cell>
          <cell r="BZ32">
            <v>2.5</v>
          </cell>
          <cell r="CA32">
            <v>2.6</v>
          </cell>
          <cell r="CB32">
            <v>3.4</v>
          </cell>
          <cell r="CC32">
            <v>5.7</v>
          </cell>
          <cell r="CD32">
            <v>6</v>
          </cell>
          <cell r="CE32">
            <v>4.8</v>
          </cell>
          <cell r="CF32">
            <v>4.2</v>
          </cell>
          <cell r="CG32">
            <v>4.3</v>
          </cell>
          <cell r="CH32">
            <v>3.6</v>
          </cell>
          <cell r="CI32">
            <v>3</v>
          </cell>
          <cell r="CJ32">
            <v>2.6</v>
          </cell>
          <cell r="CK32">
            <v>2.6</v>
          </cell>
          <cell r="CL32">
            <v>2.4</v>
          </cell>
          <cell r="CM32">
            <v>2.7</v>
          </cell>
          <cell r="CN32">
            <v>4.0999999999999996</v>
          </cell>
          <cell r="CO32">
            <v>7.5</v>
          </cell>
          <cell r="CP32">
            <v>10.199999999999999</v>
          </cell>
          <cell r="CQ32">
            <v>8.8000000000000007</v>
          </cell>
          <cell r="CR32">
            <v>8.6999999999999993</v>
          </cell>
          <cell r="CS32">
            <v>8.4</v>
          </cell>
          <cell r="CT32">
            <v>5.7</v>
          </cell>
          <cell r="CU32">
            <v>5.3</v>
          </cell>
          <cell r="CV32">
            <v>4.0999999999999996</v>
          </cell>
          <cell r="CW32">
            <v>3.7</v>
          </cell>
          <cell r="CX32">
            <v>3.5</v>
          </cell>
          <cell r="CY32">
            <v>4.2</v>
          </cell>
          <cell r="CZ32">
            <v>5.4</v>
          </cell>
          <cell r="DA32">
            <v>12</v>
          </cell>
          <cell r="DB32">
            <v>16.100000000000001</v>
          </cell>
          <cell r="DC32">
            <v>11.9</v>
          </cell>
          <cell r="DD32">
            <v>9</v>
          </cell>
          <cell r="DE32">
            <v>9.1</v>
          </cell>
          <cell r="DF32">
            <v>6.3</v>
          </cell>
          <cell r="DG32">
            <v>4.8</v>
          </cell>
          <cell r="DH32">
            <v>4</v>
          </cell>
          <cell r="DI32">
            <v>5.0999999999999996</v>
          </cell>
          <cell r="DJ32">
            <v>6.9</v>
          </cell>
          <cell r="DK32">
            <v>21.8</v>
          </cell>
          <cell r="DL32">
            <v>6.4</v>
          </cell>
          <cell r="DM32">
            <v>8.9</v>
          </cell>
          <cell r="DN32">
            <v>14</v>
          </cell>
          <cell r="DO32">
            <v>14.2</v>
          </cell>
          <cell r="DP32">
            <v>12.6</v>
          </cell>
          <cell r="DQ32">
            <v>9.1</v>
          </cell>
          <cell r="DR32">
            <v>7.5</v>
          </cell>
          <cell r="DS32">
            <v>7.2</v>
          </cell>
          <cell r="DT32">
            <v>5.5</v>
          </cell>
          <cell r="DU32">
            <v>6.4</v>
          </cell>
          <cell r="DV32">
            <v>5</v>
          </cell>
          <cell r="DW32">
            <v>6.4</v>
          </cell>
          <cell r="DX32">
            <v>7.1</v>
          </cell>
          <cell r="DY32">
            <v>10.199999999999999</v>
          </cell>
          <cell r="EM32">
            <v>38.700000000000003</v>
          </cell>
          <cell r="EN32">
            <v>41.800000000000004</v>
          </cell>
          <cell r="EO32">
            <v>103.5</v>
          </cell>
          <cell r="EP32">
            <v>53</v>
          </cell>
          <cell r="EQ32">
            <v>50.5</v>
          </cell>
          <cell r="ER32">
            <v>47.800000000000011</v>
          </cell>
          <cell r="ES32">
            <v>80.000000000000014</v>
          </cell>
        </row>
        <row r="33">
          <cell r="A33" t="str">
            <v>Base Revenues and OSS - Net</v>
          </cell>
          <cell r="B33" t="str">
            <v>Operating Revenue</v>
          </cell>
          <cell r="D33" t="str">
            <v>Residential Base Revenue Billed</v>
          </cell>
          <cell r="E33" t="str">
            <v>Operating Revenue</v>
          </cell>
          <cell r="F33" t="str">
            <v>4800037</v>
          </cell>
          <cell r="G33" t="str">
            <v>A_4800037</v>
          </cell>
          <cell r="H33" t="str">
            <v>Residential Gas Heat Pump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0.1</v>
          </cell>
          <cell r="CJ33">
            <v>0</v>
          </cell>
          <cell r="CK33">
            <v>0.1</v>
          </cell>
          <cell r="CL33">
            <v>-0.1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0.1</v>
          </cell>
          <cell r="DO33">
            <v>0.1</v>
          </cell>
          <cell r="DP33">
            <v>0.1</v>
          </cell>
          <cell r="DQ33">
            <v>0.1</v>
          </cell>
          <cell r="DR33">
            <v>0.1</v>
          </cell>
          <cell r="DS33">
            <v>0.1</v>
          </cell>
          <cell r="DT33">
            <v>0.1</v>
          </cell>
          <cell r="DU33">
            <v>0.1</v>
          </cell>
          <cell r="DV33">
            <v>0.1</v>
          </cell>
          <cell r="DW33">
            <v>0.1</v>
          </cell>
          <cell r="DX33">
            <v>0.1</v>
          </cell>
          <cell r="DY33">
            <v>0.1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0.1</v>
          </cell>
          <cell r="ES33">
            <v>0</v>
          </cell>
        </row>
        <row r="34">
          <cell r="A34" t="str">
            <v>Other Operating Income / (Expense) Items</v>
          </cell>
          <cell r="B34" t="str">
            <v>Operating Revenue</v>
          </cell>
          <cell r="D34" t="str">
            <v>Residential Base Revenue Billed (PGA)</v>
          </cell>
          <cell r="E34" t="str">
            <v>Operating Revenue</v>
          </cell>
          <cell r="F34" t="str">
            <v>4800038</v>
          </cell>
          <cell r="G34" t="str">
            <v>A_4800038</v>
          </cell>
          <cell r="H34" t="str">
            <v>Residential Gas Heat Pump FUEL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0.3</v>
          </cell>
          <cell r="CJ34">
            <v>0.2</v>
          </cell>
          <cell r="CK34">
            <v>0.3</v>
          </cell>
          <cell r="CL34">
            <v>-0.6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0.20000000000000007</v>
          </cell>
          <cell r="ES34">
            <v>0</v>
          </cell>
        </row>
        <row r="35">
          <cell r="A35" t="str">
            <v>Base Revenues and OSS - Net</v>
          </cell>
          <cell r="B35" t="str">
            <v>Operating Revenue</v>
          </cell>
          <cell r="D35" t="str">
            <v>Residential Base Revenue Billed</v>
          </cell>
          <cell r="E35" t="str">
            <v>Operating Revenue</v>
          </cell>
          <cell r="F35" t="str">
            <v>4800040</v>
          </cell>
          <cell r="G35" t="str">
            <v>A_4800040</v>
          </cell>
          <cell r="H35" t="str">
            <v>Residential General Service 1</v>
          </cell>
          <cell r="J35">
            <v>226.7</v>
          </cell>
          <cell r="K35">
            <v>160.9</v>
          </cell>
          <cell r="L35">
            <v>159.30000000000001</v>
          </cell>
          <cell r="M35">
            <v>147.19999999999999</v>
          </cell>
          <cell r="N35">
            <v>81.900000000000006</v>
          </cell>
          <cell r="O35">
            <v>69.099999999999994</v>
          </cell>
          <cell r="P35">
            <v>62.1</v>
          </cell>
          <cell r="Q35">
            <v>59.2</v>
          </cell>
          <cell r="R35">
            <v>67</v>
          </cell>
          <cell r="S35">
            <v>85.2</v>
          </cell>
          <cell r="T35">
            <v>153.19999999999999</v>
          </cell>
          <cell r="U35">
            <v>199.3</v>
          </cell>
          <cell r="V35">
            <v>191.2</v>
          </cell>
          <cell r="W35">
            <v>190.7</v>
          </cell>
          <cell r="X35">
            <v>165.7</v>
          </cell>
          <cell r="Y35">
            <v>101.5</v>
          </cell>
          <cell r="Z35">
            <v>67.5</v>
          </cell>
          <cell r="AA35">
            <v>71.400000000000006</v>
          </cell>
          <cell r="AB35">
            <v>61.9</v>
          </cell>
          <cell r="AC35">
            <v>71</v>
          </cell>
          <cell r="AD35">
            <v>66.3</v>
          </cell>
          <cell r="AE35">
            <v>84.9</v>
          </cell>
          <cell r="AF35">
            <v>114.4</v>
          </cell>
          <cell r="AG35">
            <v>167.9</v>
          </cell>
          <cell r="AH35">
            <v>208.5</v>
          </cell>
          <cell r="AI35">
            <v>209.1</v>
          </cell>
          <cell r="AJ35">
            <v>167.8</v>
          </cell>
          <cell r="AK35">
            <v>125.7</v>
          </cell>
          <cell r="AL35">
            <v>94.3</v>
          </cell>
          <cell r="AM35">
            <v>60.4</v>
          </cell>
          <cell r="AN35">
            <v>59.4</v>
          </cell>
          <cell r="AO35">
            <v>61.6</v>
          </cell>
          <cell r="AP35">
            <v>69.8</v>
          </cell>
          <cell r="AQ35">
            <v>76.900000000000006</v>
          </cell>
          <cell r="AR35">
            <v>150.6</v>
          </cell>
          <cell r="AS35">
            <v>187.3</v>
          </cell>
          <cell r="AT35">
            <v>191.2</v>
          </cell>
          <cell r="AU35">
            <v>188.1</v>
          </cell>
          <cell r="AV35">
            <v>160</v>
          </cell>
          <cell r="AW35">
            <v>149.1</v>
          </cell>
          <cell r="AX35">
            <v>94.9</v>
          </cell>
          <cell r="AY35">
            <v>64.7</v>
          </cell>
          <cell r="AZ35">
            <v>78.7</v>
          </cell>
          <cell r="BA35">
            <v>74.599999999999994</v>
          </cell>
          <cell r="BB35">
            <v>89.6</v>
          </cell>
          <cell r="BC35">
            <v>89.7</v>
          </cell>
          <cell r="BD35">
            <v>158.6</v>
          </cell>
          <cell r="BE35">
            <v>207.6</v>
          </cell>
          <cell r="BF35">
            <v>258.7</v>
          </cell>
          <cell r="BG35">
            <v>190.6</v>
          </cell>
          <cell r="BH35">
            <v>171</v>
          </cell>
          <cell r="BI35">
            <v>187.9</v>
          </cell>
          <cell r="BJ35">
            <v>96.7</v>
          </cell>
          <cell r="BK35">
            <v>84.5</v>
          </cell>
          <cell r="BL35">
            <v>77.8</v>
          </cell>
          <cell r="BM35">
            <v>78.3</v>
          </cell>
          <cell r="BN35">
            <v>90.1</v>
          </cell>
          <cell r="BO35">
            <v>87.3</v>
          </cell>
          <cell r="BP35">
            <v>149.4</v>
          </cell>
          <cell r="BQ35">
            <v>219.9</v>
          </cell>
          <cell r="BR35">
            <v>242</v>
          </cell>
          <cell r="BS35">
            <v>187.4</v>
          </cell>
          <cell r="BT35">
            <v>171.9</v>
          </cell>
          <cell r="BU35">
            <v>169.1</v>
          </cell>
          <cell r="BV35">
            <v>104.8</v>
          </cell>
          <cell r="BW35">
            <v>68</v>
          </cell>
          <cell r="BX35">
            <v>111.5</v>
          </cell>
          <cell r="BY35">
            <v>57.9</v>
          </cell>
          <cell r="BZ35">
            <v>75.3</v>
          </cell>
          <cell r="CA35">
            <v>48.3</v>
          </cell>
          <cell r="CB35">
            <v>140</v>
          </cell>
          <cell r="CC35">
            <v>213.7</v>
          </cell>
          <cell r="CD35">
            <v>232.5</v>
          </cell>
          <cell r="CE35">
            <v>185.2</v>
          </cell>
          <cell r="CF35">
            <v>169.4</v>
          </cell>
          <cell r="CG35">
            <v>120.4</v>
          </cell>
          <cell r="CH35">
            <v>99.7</v>
          </cell>
          <cell r="CI35">
            <v>94.2</v>
          </cell>
          <cell r="CJ35">
            <v>63.1</v>
          </cell>
          <cell r="CK35">
            <v>70.3</v>
          </cell>
          <cell r="CL35">
            <v>70.5</v>
          </cell>
          <cell r="CM35">
            <v>91.6</v>
          </cell>
          <cell r="CN35">
            <v>125.9</v>
          </cell>
          <cell r="CO35">
            <v>223.7</v>
          </cell>
          <cell r="CP35">
            <v>308.7</v>
          </cell>
          <cell r="CQ35">
            <v>218.8</v>
          </cell>
          <cell r="CR35">
            <v>221.2</v>
          </cell>
          <cell r="CS35">
            <v>201</v>
          </cell>
          <cell r="CT35">
            <v>109.3</v>
          </cell>
          <cell r="CU35">
            <v>114.9</v>
          </cell>
          <cell r="CV35">
            <v>184.3</v>
          </cell>
          <cell r="CW35">
            <v>136.1</v>
          </cell>
          <cell r="CX35">
            <v>150.19999999999999</v>
          </cell>
          <cell r="CY35">
            <v>169.8</v>
          </cell>
          <cell r="CZ35">
            <v>279.10000000000002</v>
          </cell>
          <cell r="DA35">
            <v>384.8</v>
          </cell>
          <cell r="DB35">
            <v>408.5</v>
          </cell>
          <cell r="DC35">
            <v>344.7</v>
          </cell>
          <cell r="DD35">
            <v>287.10000000000002</v>
          </cell>
          <cell r="DE35">
            <v>263.8</v>
          </cell>
          <cell r="DF35">
            <v>201.2</v>
          </cell>
          <cell r="DG35">
            <v>135.4</v>
          </cell>
          <cell r="DH35">
            <v>172.4</v>
          </cell>
          <cell r="DI35">
            <v>155</v>
          </cell>
          <cell r="DJ35">
            <v>159</v>
          </cell>
          <cell r="DK35">
            <v>232.3</v>
          </cell>
          <cell r="DL35">
            <v>287.7</v>
          </cell>
          <cell r="DM35">
            <v>393.5</v>
          </cell>
          <cell r="DN35">
            <v>420</v>
          </cell>
          <cell r="DO35">
            <v>388.1</v>
          </cell>
          <cell r="DP35">
            <v>356.9</v>
          </cell>
          <cell r="DQ35">
            <v>303.10000000000002</v>
          </cell>
          <cell r="DR35">
            <v>208.5</v>
          </cell>
          <cell r="DS35">
            <v>173.7</v>
          </cell>
          <cell r="DT35">
            <v>188.8</v>
          </cell>
          <cell r="DU35">
            <v>162.80000000000001</v>
          </cell>
          <cell r="DV35">
            <v>184</v>
          </cell>
          <cell r="DW35">
            <v>192.2</v>
          </cell>
          <cell r="DX35">
            <v>322.60000000000002</v>
          </cell>
          <cell r="DY35">
            <v>457.8</v>
          </cell>
          <cell r="EM35">
            <v>1354.4</v>
          </cell>
          <cell r="EN35">
            <v>1471.4</v>
          </cell>
          <cell r="EO35">
            <v>1546.8</v>
          </cell>
          <cell r="EP35">
            <v>1692.2</v>
          </cell>
          <cell r="EQ35">
            <v>1589.8999999999999</v>
          </cell>
          <cell r="ER35">
            <v>1546.5000000000002</v>
          </cell>
          <cell r="ES35">
            <v>2478.2000000000003</v>
          </cell>
        </row>
        <row r="36">
          <cell r="A36" t="str">
            <v>Other Operating Income / (Expense) Items</v>
          </cell>
          <cell r="B36" t="str">
            <v>Operating Revenue</v>
          </cell>
          <cell r="D36" t="str">
            <v>Residential Base Revenue Billed (PGA)</v>
          </cell>
          <cell r="E36" t="str">
            <v>Operating Revenue</v>
          </cell>
          <cell r="F36" t="str">
            <v>4800041</v>
          </cell>
          <cell r="G36" t="str">
            <v>A_4800041</v>
          </cell>
          <cell r="H36" t="str">
            <v>Residential General Service 1 FUEL</v>
          </cell>
          <cell r="J36">
            <v>629.20000000000005</v>
          </cell>
          <cell r="K36">
            <v>362.2</v>
          </cell>
          <cell r="L36">
            <v>339.2</v>
          </cell>
          <cell r="M36">
            <v>348.5</v>
          </cell>
          <cell r="N36">
            <v>114.9</v>
          </cell>
          <cell r="O36">
            <v>90.4</v>
          </cell>
          <cell r="P36">
            <v>68.599999999999994</v>
          </cell>
          <cell r="Q36">
            <v>60.9</v>
          </cell>
          <cell r="R36">
            <v>79.3</v>
          </cell>
          <cell r="S36">
            <v>128.9</v>
          </cell>
          <cell r="T36">
            <v>311.7</v>
          </cell>
          <cell r="U36">
            <v>446.3</v>
          </cell>
          <cell r="V36">
            <v>491.6</v>
          </cell>
          <cell r="W36">
            <v>445.4</v>
          </cell>
          <cell r="X36">
            <v>309.3</v>
          </cell>
          <cell r="Y36">
            <v>178.1</v>
          </cell>
          <cell r="Z36">
            <v>82.2</v>
          </cell>
          <cell r="AA36">
            <v>96.3</v>
          </cell>
          <cell r="AB36">
            <v>59.2</v>
          </cell>
          <cell r="AC36">
            <v>89.6</v>
          </cell>
          <cell r="AD36">
            <v>75.8</v>
          </cell>
          <cell r="AE36">
            <v>125.8</v>
          </cell>
          <cell r="AF36">
            <v>218.3</v>
          </cell>
          <cell r="AG36">
            <v>385.5</v>
          </cell>
          <cell r="AH36">
            <v>565.4</v>
          </cell>
          <cell r="AI36">
            <v>563.9</v>
          </cell>
          <cell r="AJ36">
            <v>396.2</v>
          </cell>
          <cell r="AK36">
            <v>283.2</v>
          </cell>
          <cell r="AL36">
            <v>175.2</v>
          </cell>
          <cell r="AM36">
            <v>57.5</v>
          </cell>
          <cell r="AN36">
            <v>55</v>
          </cell>
          <cell r="AO36">
            <v>62</v>
          </cell>
          <cell r="AP36">
            <v>81</v>
          </cell>
          <cell r="AQ36">
            <v>103.7</v>
          </cell>
          <cell r="AR36">
            <v>300.8</v>
          </cell>
          <cell r="AS36">
            <v>406.1</v>
          </cell>
          <cell r="AT36">
            <v>422.9</v>
          </cell>
          <cell r="AU36">
            <v>437.9</v>
          </cell>
          <cell r="AV36">
            <v>348</v>
          </cell>
          <cell r="AW36">
            <v>318.7</v>
          </cell>
          <cell r="AX36">
            <v>160</v>
          </cell>
          <cell r="AY36">
            <v>65.5</v>
          </cell>
          <cell r="AZ36">
            <v>77.5</v>
          </cell>
          <cell r="BA36">
            <v>78.7</v>
          </cell>
          <cell r="BB36">
            <v>140.19999999999999</v>
          </cell>
          <cell r="BC36">
            <v>140.4</v>
          </cell>
          <cell r="BD36">
            <v>368.4</v>
          </cell>
          <cell r="BE36">
            <v>530.5</v>
          </cell>
          <cell r="BF36">
            <v>793.6</v>
          </cell>
          <cell r="BG36">
            <v>530.1</v>
          </cell>
          <cell r="BH36">
            <v>400.3</v>
          </cell>
          <cell r="BI36">
            <v>467.3</v>
          </cell>
          <cell r="BJ36">
            <v>161.4</v>
          </cell>
          <cell r="BK36">
            <v>109.3</v>
          </cell>
          <cell r="BL36">
            <v>76.900000000000006</v>
          </cell>
          <cell r="BM36">
            <v>83.5</v>
          </cell>
          <cell r="BN36">
            <v>111.8</v>
          </cell>
          <cell r="BO36">
            <v>101.9</v>
          </cell>
          <cell r="BP36">
            <v>296.3</v>
          </cell>
          <cell r="BQ36">
            <v>511.4</v>
          </cell>
          <cell r="BR36">
            <v>665.7</v>
          </cell>
          <cell r="BS36">
            <v>470.6</v>
          </cell>
          <cell r="BT36">
            <v>465.1</v>
          </cell>
          <cell r="BU36">
            <v>490.2</v>
          </cell>
          <cell r="BV36">
            <v>220.6</v>
          </cell>
          <cell r="BW36">
            <v>74.400000000000006</v>
          </cell>
          <cell r="BX36">
            <v>259</v>
          </cell>
          <cell r="BY36">
            <v>22.5</v>
          </cell>
          <cell r="BZ36">
            <v>97.8</v>
          </cell>
          <cell r="CA36">
            <v>-8.6</v>
          </cell>
          <cell r="CB36">
            <v>311.8</v>
          </cell>
          <cell r="CC36">
            <v>561.70000000000005</v>
          </cell>
          <cell r="CD36">
            <v>621.1</v>
          </cell>
          <cell r="CE36">
            <v>426.8</v>
          </cell>
          <cell r="CF36">
            <v>370.1</v>
          </cell>
          <cell r="CG36">
            <v>227.3</v>
          </cell>
          <cell r="CH36">
            <v>163.9</v>
          </cell>
          <cell r="CI36">
            <v>146.5</v>
          </cell>
          <cell r="CJ36">
            <v>51.8</v>
          </cell>
          <cell r="CK36">
            <v>72.900000000000006</v>
          </cell>
          <cell r="CL36">
            <v>73.3</v>
          </cell>
          <cell r="CM36">
            <v>147.19999999999999</v>
          </cell>
          <cell r="CN36">
            <v>276.5</v>
          </cell>
          <cell r="CO36">
            <v>633.5</v>
          </cell>
          <cell r="CP36">
            <v>638.20000000000005</v>
          </cell>
          <cell r="CQ36">
            <v>457.3</v>
          </cell>
          <cell r="CR36">
            <v>563.4</v>
          </cell>
          <cell r="CS36">
            <v>464.3</v>
          </cell>
          <cell r="CT36">
            <v>158.69999999999999</v>
          </cell>
          <cell r="CU36">
            <v>176</v>
          </cell>
          <cell r="CV36">
            <v>245.5</v>
          </cell>
          <cell r="CW36">
            <v>138.19999999999999</v>
          </cell>
          <cell r="CX36">
            <v>183.6</v>
          </cell>
          <cell r="CY36">
            <v>249.8</v>
          </cell>
          <cell r="CZ36">
            <v>615.79999999999995</v>
          </cell>
          <cell r="DA36">
            <v>968.9</v>
          </cell>
          <cell r="DB36">
            <v>1202.5999999999999</v>
          </cell>
          <cell r="DC36">
            <v>904.9</v>
          </cell>
          <cell r="DD36">
            <v>696.5</v>
          </cell>
          <cell r="DE36">
            <v>612.6</v>
          </cell>
          <cell r="DF36">
            <v>384</v>
          </cell>
          <cell r="DG36">
            <v>144.9</v>
          </cell>
          <cell r="DH36">
            <v>188.2</v>
          </cell>
          <cell r="DI36">
            <v>276.7</v>
          </cell>
          <cell r="DJ36">
            <v>252</v>
          </cell>
          <cell r="DK36">
            <v>608</v>
          </cell>
          <cell r="DL36">
            <v>442.6</v>
          </cell>
          <cell r="DM36">
            <v>856.7</v>
          </cell>
          <cell r="DN36">
            <v>1509.5</v>
          </cell>
          <cell r="DO36">
            <v>1154.4000000000001</v>
          </cell>
          <cell r="DP36">
            <v>1055.4000000000001</v>
          </cell>
          <cell r="DQ36">
            <v>782.3</v>
          </cell>
          <cell r="DR36">
            <v>396.3</v>
          </cell>
          <cell r="DS36">
            <v>156</v>
          </cell>
          <cell r="DT36">
            <v>483.2</v>
          </cell>
          <cell r="DU36">
            <v>56.1</v>
          </cell>
          <cell r="DV36">
            <v>194.4</v>
          </cell>
          <cell r="DW36">
            <v>-20.8</v>
          </cell>
          <cell r="DX36">
            <v>639.6</v>
          </cell>
          <cell r="DY36">
            <v>983.5</v>
          </cell>
          <cell r="EM36">
            <v>2557.1</v>
          </cell>
          <cell r="EN36">
            <v>3050</v>
          </cell>
          <cell r="EO36">
            <v>3088.7000000000003</v>
          </cell>
          <cell r="EP36">
            <v>3643.8000000000011</v>
          </cell>
          <cell r="EQ36">
            <v>3630.8</v>
          </cell>
          <cell r="ER36">
            <v>3210.9</v>
          </cell>
          <cell r="ES36">
            <v>4859.7</v>
          </cell>
        </row>
        <row r="37">
          <cell r="A37" t="str">
            <v>Base Revenues and OSS - Net</v>
          </cell>
          <cell r="B37" t="str">
            <v>Operating Revenue</v>
          </cell>
          <cell r="D37" t="str">
            <v>Residential Base Revenue Billed</v>
          </cell>
          <cell r="E37" t="str">
            <v>Operating Revenue</v>
          </cell>
          <cell r="F37" t="str">
            <v>4800042</v>
          </cell>
          <cell r="G37" t="str">
            <v>A_4800042</v>
          </cell>
          <cell r="H37" t="str">
            <v>Residential General Service 2</v>
          </cell>
          <cell r="J37">
            <v>49</v>
          </cell>
          <cell r="K37">
            <v>36.799999999999997</v>
          </cell>
          <cell r="L37">
            <v>29.3</v>
          </cell>
          <cell r="M37">
            <v>27.5</v>
          </cell>
          <cell r="N37">
            <v>17.100000000000001</v>
          </cell>
          <cell r="O37">
            <v>14.2</v>
          </cell>
          <cell r="P37">
            <v>8.1999999999999993</v>
          </cell>
          <cell r="Q37">
            <v>10.7</v>
          </cell>
          <cell r="R37">
            <v>11.9</v>
          </cell>
          <cell r="S37">
            <v>14.9</v>
          </cell>
          <cell r="T37">
            <v>26.9</v>
          </cell>
          <cell r="U37">
            <v>36.6</v>
          </cell>
          <cell r="V37">
            <v>34.799999999999997</v>
          </cell>
          <cell r="W37">
            <v>38.200000000000003</v>
          </cell>
          <cell r="X37">
            <v>27.4</v>
          </cell>
          <cell r="Y37">
            <v>15.1</v>
          </cell>
          <cell r="Z37">
            <v>10.9</v>
          </cell>
          <cell r="AA37">
            <v>10.4</v>
          </cell>
          <cell r="AB37">
            <v>9.1999999999999993</v>
          </cell>
          <cell r="AC37">
            <v>9.3000000000000007</v>
          </cell>
          <cell r="AD37">
            <v>9.1</v>
          </cell>
          <cell r="AE37">
            <v>12.5</v>
          </cell>
          <cell r="AF37">
            <v>18.2</v>
          </cell>
          <cell r="AG37">
            <v>23.2</v>
          </cell>
          <cell r="AH37">
            <v>28.4</v>
          </cell>
          <cell r="AI37">
            <v>27.8</v>
          </cell>
          <cell r="AJ37">
            <v>19.8</v>
          </cell>
          <cell r="AK37">
            <v>16.5</v>
          </cell>
          <cell r="AL37">
            <v>11.2</v>
          </cell>
          <cell r="AM37">
            <v>5.6</v>
          </cell>
          <cell r="AN37">
            <v>6.5</v>
          </cell>
          <cell r="AO37">
            <v>6.7</v>
          </cell>
          <cell r="AP37">
            <v>8.5</v>
          </cell>
          <cell r="AQ37">
            <v>9.3000000000000007</v>
          </cell>
          <cell r="AR37">
            <v>17.899999999999999</v>
          </cell>
          <cell r="AS37">
            <v>19.3</v>
          </cell>
          <cell r="AT37">
            <v>2.5</v>
          </cell>
          <cell r="AU37">
            <v>41</v>
          </cell>
          <cell r="AV37">
            <v>15.7</v>
          </cell>
          <cell r="AW37">
            <v>16.100000000000001</v>
          </cell>
          <cell r="AX37">
            <v>11.5</v>
          </cell>
          <cell r="AY37">
            <v>8.6</v>
          </cell>
          <cell r="AZ37">
            <v>6.9</v>
          </cell>
          <cell r="BA37">
            <v>7.8</v>
          </cell>
          <cell r="BB37">
            <v>8</v>
          </cell>
          <cell r="BC37">
            <v>10.5</v>
          </cell>
          <cell r="BD37">
            <v>11.1</v>
          </cell>
          <cell r="BE37">
            <v>16.3</v>
          </cell>
          <cell r="BF37">
            <v>23.8</v>
          </cell>
          <cell r="BG37">
            <v>17.399999999999999</v>
          </cell>
          <cell r="BH37">
            <v>14.7</v>
          </cell>
          <cell r="BI37">
            <v>11.3</v>
          </cell>
          <cell r="BJ37">
            <v>10.3</v>
          </cell>
          <cell r="BK37">
            <v>7.5</v>
          </cell>
          <cell r="BL37">
            <v>6.2</v>
          </cell>
          <cell r="BM37">
            <v>4.2</v>
          </cell>
          <cell r="BN37">
            <v>6.7</v>
          </cell>
          <cell r="BO37">
            <v>6.6</v>
          </cell>
          <cell r="BP37">
            <v>14.6</v>
          </cell>
          <cell r="BQ37">
            <v>12.8</v>
          </cell>
          <cell r="BR37">
            <v>16.5</v>
          </cell>
          <cell r="BS37">
            <v>11.9</v>
          </cell>
          <cell r="BT37">
            <v>11.3</v>
          </cell>
          <cell r="BU37">
            <v>10.9</v>
          </cell>
          <cell r="BV37">
            <v>8.3000000000000007</v>
          </cell>
          <cell r="BW37">
            <v>5.6</v>
          </cell>
          <cell r="BX37">
            <v>4.2</v>
          </cell>
          <cell r="BY37">
            <v>4.4000000000000004</v>
          </cell>
          <cell r="BZ37">
            <v>5.6</v>
          </cell>
          <cell r="CA37">
            <v>8.8000000000000007</v>
          </cell>
          <cell r="CB37">
            <v>9.6</v>
          </cell>
          <cell r="CC37">
            <v>15.5</v>
          </cell>
          <cell r="CD37">
            <v>16.5</v>
          </cell>
          <cell r="CE37">
            <v>14</v>
          </cell>
          <cell r="CF37">
            <v>1</v>
          </cell>
          <cell r="CG37">
            <v>10</v>
          </cell>
          <cell r="CH37">
            <v>6.1</v>
          </cell>
          <cell r="CI37">
            <v>7</v>
          </cell>
          <cell r="CJ37">
            <v>5</v>
          </cell>
          <cell r="CK37">
            <v>5.9</v>
          </cell>
          <cell r="CL37">
            <v>5.3</v>
          </cell>
          <cell r="CM37">
            <v>7.8</v>
          </cell>
          <cell r="CN37">
            <v>10.7</v>
          </cell>
          <cell r="CO37">
            <v>15.6</v>
          </cell>
          <cell r="CP37">
            <v>21.8</v>
          </cell>
          <cell r="CQ37">
            <v>12</v>
          </cell>
          <cell r="CR37">
            <v>12.4</v>
          </cell>
          <cell r="CS37">
            <v>12.1</v>
          </cell>
          <cell r="CT37">
            <v>8.1</v>
          </cell>
          <cell r="CU37">
            <v>7.8</v>
          </cell>
          <cell r="CV37">
            <v>12.5</v>
          </cell>
          <cell r="CW37">
            <v>6.9</v>
          </cell>
          <cell r="CX37">
            <v>8.4</v>
          </cell>
          <cell r="CY37">
            <v>10.1</v>
          </cell>
          <cell r="CZ37">
            <v>19.600000000000001</v>
          </cell>
          <cell r="DA37">
            <v>23.6</v>
          </cell>
          <cell r="DB37">
            <v>26.7</v>
          </cell>
          <cell r="DC37">
            <v>25.1</v>
          </cell>
          <cell r="DD37">
            <v>17.3</v>
          </cell>
          <cell r="DE37">
            <v>17.2</v>
          </cell>
          <cell r="DF37">
            <v>14.7</v>
          </cell>
          <cell r="DG37">
            <v>8.6999999999999993</v>
          </cell>
          <cell r="DH37">
            <v>12.5</v>
          </cell>
          <cell r="DI37">
            <v>10</v>
          </cell>
          <cell r="DJ37">
            <v>11.4</v>
          </cell>
          <cell r="DK37">
            <v>15.4</v>
          </cell>
          <cell r="DL37">
            <v>20.8</v>
          </cell>
          <cell r="DM37">
            <v>26</v>
          </cell>
          <cell r="DN37">
            <v>25.1</v>
          </cell>
          <cell r="DO37">
            <v>30.5</v>
          </cell>
          <cell r="DP37">
            <v>18.7</v>
          </cell>
          <cell r="DQ37">
            <v>17.899999999999999</v>
          </cell>
          <cell r="DR37">
            <v>13.2</v>
          </cell>
          <cell r="DS37">
            <v>11.5</v>
          </cell>
          <cell r="DT37">
            <v>11.6</v>
          </cell>
          <cell r="DU37">
            <v>9.6999999999999993</v>
          </cell>
          <cell r="DV37">
            <v>11.1</v>
          </cell>
          <cell r="DW37">
            <v>14.4</v>
          </cell>
          <cell r="DX37">
            <v>20.3</v>
          </cell>
          <cell r="DY37">
            <v>26.7</v>
          </cell>
          <cell r="EM37">
            <v>218.29999999999998</v>
          </cell>
          <cell r="EN37">
            <v>177.50000000000003</v>
          </cell>
          <cell r="EO37">
            <v>156.00000000000003</v>
          </cell>
          <cell r="EP37">
            <v>136.1</v>
          </cell>
          <cell r="EQ37">
            <v>112.6</v>
          </cell>
          <cell r="ER37">
            <v>104.89999999999999</v>
          </cell>
          <cell r="ES37">
            <v>155.29999999999998</v>
          </cell>
        </row>
        <row r="38">
          <cell r="A38" t="str">
            <v>Other Operating Income / (Expense) Items</v>
          </cell>
          <cell r="B38" t="str">
            <v>Operating Revenue</v>
          </cell>
          <cell r="D38" t="str">
            <v>Residential Base Revenue Billed (PGA)</v>
          </cell>
          <cell r="E38" t="str">
            <v>Operating Revenue</v>
          </cell>
          <cell r="F38" t="str">
            <v>4800043</v>
          </cell>
          <cell r="G38" t="str">
            <v>A_4800043</v>
          </cell>
          <cell r="H38" t="str">
            <v>Residential General Service 2 FUEL</v>
          </cell>
          <cell r="J38">
            <v>182</v>
          </cell>
          <cell r="K38">
            <v>119</v>
          </cell>
          <cell r="L38">
            <v>86.8</v>
          </cell>
          <cell r="M38">
            <v>93.5</v>
          </cell>
          <cell r="N38">
            <v>45.5</v>
          </cell>
          <cell r="O38">
            <v>39.799999999999997</v>
          </cell>
          <cell r="P38">
            <v>20</v>
          </cell>
          <cell r="Q38">
            <v>28.3</v>
          </cell>
          <cell r="R38">
            <v>31.1</v>
          </cell>
          <cell r="S38">
            <v>40</v>
          </cell>
          <cell r="T38">
            <v>77.599999999999994</v>
          </cell>
          <cell r="U38">
            <v>110.9</v>
          </cell>
          <cell r="V38">
            <v>123.4</v>
          </cell>
          <cell r="W38">
            <v>123.5</v>
          </cell>
          <cell r="X38">
            <v>70.400000000000006</v>
          </cell>
          <cell r="Y38">
            <v>42.2</v>
          </cell>
          <cell r="Z38">
            <v>28</v>
          </cell>
          <cell r="AA38">
            <v>28.5</v>
          </cell>
          <cell r="AB38">
            <v>23.3</v>
          </cell>
          <cell r="AC38">
            <v>24.8</v>
          </cell>
          <cell r="AD38">
            <v>24.2</v>
          </cell>
          <cell r="AE38">
            <v>34.299999999999997</v>
          </cell>
          <cell r="AF38">
            <v>55.3</v>
          </cell>
          <cell r="AG38">
            <v>74.900000000000006</v>
          </cell>
          <cell r="AH38">
            <v>104.1</v>
          </cell>
          <cell r="AI38">
            <v>101.3</v>
          </cell>
          <cell r="AJ38">
            <v>64.3</v>
          </cell>
          <cell r="AK38">
            <v>56.7</v>
          </cell>
          <cell r="AL38">
            <v>35.299999999999997</v>
          </cell>
          <cell r="AM38">
            <v>12.6</v>
          </cell>
          <cell r="AN38">
            <v>16.399999999999999</v>
          </cell>
          <cell r="AO38">
            <v>17.5</v>
          </cell>
          <cell r="AP38">
            <v>21.7</v>
          </cell>
          <cell r="AQ38">
            <v>25.4</v>
          </cell>
          <cell r="AR38">
            <v>52</v>
          </cell>
          <cell r="AS38">
            <v>56.7</v>
          </cell>
          <cell r="AT38">
            <v>7.7</v>
          </cell>
          <cell r="AU38">
            <v>127.3</v>
          </cell>
          <cell r="AV38">
            <v>42.9</v>
          </cell>
          <cell r="AW38">
            <v>43.7</v>
          </cell>
          <cell r="AX38">
            <v>24.8</v>
          </cell>
          <cell r="AY38">
            <v>22.9</v>
          </cell>
          <cell r="AZ38">
            <v>14.6</v>
          </cell>
          <cell r="BA38">
            <v>18.2</v>
          </cell>
          <cell r="BB38">
            <v>20.8</v>
          </cell>
          <cell r="BC38">
            <v>30.8</v>
          </cell>
          <cell r="BD38">
            <v>33.700000000000003</v>
          </cell>
          <cell r="BE38">
            <v>52.6</v>
          </cell>
          <cell r="BF38">
            <v>88.9</v>
          </cell>
          <cell r="BG38">
            <v>62.9</v>
          </cell>
          <cell r="BH38">
            <v>44.8</v>
          </cell>
          <cell r="BI38">
            <v>33.700000000000003</v>
          </cell>
          <cell r="BJ38">
            <v>28.9</v>
          </cell>
          <cell r="BK38">
            <v>19.899999999999999</v>
          </cell>
          <cell r="BL38">
            <v>18.600000000000001</v>
          </cell>
          <cell r="BM38">
            <v>11.1</v>
          </cell>
          <cell r="BN38">
            <v>17.8</v>
          </cell>
          <cell r="BO38">
            <v>16.600000000000001</v>
          </cell>
          <cell r="BP38">
            <v>44.9</v>
          </cell>
          <cell r="BQ38">
            <v>40.6</v>
          </cell>
          <cell r="BR38">
            <v>60.5</v>
          </cell>
          <cell r="BS38">
            <v>41.2</v>
          </cell>
          <cell r="BT38">
            <v>43</v>
          </cell>
          <cell r="BU38">
            <v>44.9</v>
          </cell>
          <cell r="BV38">
            <v>31</v>
          </cell>
          <cell r="BW38">
            <v>18.600000000000001</v>
          </cell>
          <cell r="BX38">
            <v>12.6</v>
          </cell>
          <cell r="BY38">
            <v>10.5</v>
          </cell>
          <cell r="BZ38">
            <v>16.399999999999999</v>
          </cell>
          <cell r="CA38">
            <v>26.9</v>
          </cell>
          <cell r="CB38">
            <v>31.3</v>
          </cell>
          <cell r="CC38">
            <v>54.6</v>
          </cell>
          <cell r="CD38">
            <v>58.7</v>
          </cell>
          <cell r="CE38">
            <v>44.1</v>
          </cell>
          <cell r="CF38">
            <v>-2</v>
          </cell>
          <cell r="CG38">
            <v>29.9</v>
          </cell>
          <cell r="CH38">
            <v>16</v>
          </cell>
          <cell r="CI38">
            <v>18.5</v>
          </cell>
          <cell r="CJ38">
            <v>12.3</v>
          </cell>
          <cell r="CK38">
            <v>14.7</v>
          </cell>
          <cell r="CL38">
            <v>12.5</v>
          </cell>
          <cell r="CM38">
            <v>22.7</v>
          </cell>
          <cell r="CN38">
            <v>36.1</v>
          </cell>
          <cell r="CO38">
            <v>58.1</v>
          </cell>
          <cell r="CP38">
            <v>55.3</v>
          </cell>
          <cell r="CQ38">
            <v>30.9</v>
          </cell>
          <cell r="CR38">
            <v>39.1</v>
          </cell>
          <cell r="CS38">
            <v>35.5</v>
          </cell>
          <cell r="CT38">
            <v>20.2</v>
          </cell>
          <cell r="CU38">
            <v>18.899999999999999</v>
          </cell>
          <cell r="CV38">
            <v>36.6</v>
          </cell>
          <cell r="CW38">
            <v>15.5</v>
          </cell>
          <cell r="CX38">
            <v>20.6</v>
          </cell>
          <cell r="CY38">
            <v>27.4</v>
          </cell>
          <cell r="CZ38">
            <v>62.7</v>
          </cell>
          <cell r="DA38">
            <v>79.099999999999994</v>
          </cell>
          <cell r="DB38">
            <v>104.6</v>
          </cell>
          <cell r="DC38">
            <v>91.8</v>
          </cell>
          <cell r="DD38">
            <v>58.8</v>
          </cell>
          <cell r="DE38">
            <v>58.8</v>
          </cell>
          <cell r="DF38">
            <v>48</v>
          </cell>
          <cell r="DG38">
            <v>22.3</v>
          </cell>
          <cell r="DH38">
            <v>32.9</v>
          </cell>
          <cell r="DI38">
            <v>42.8</v>
          </cell>
          <cell r="DJ38">
            <v>43.7</v>
          </cell>
          <cell r="DK38">
            <v>64.7</v>
          </cell>
          <cell r="DL38">
            <v>48.1</v>
          </cell>
          <cell r="DM38">
            <v>77.8</v>
          </cell>
          <cell r="DN38">
            <v>137.1</v>
          </cell>
          <cell r="DO38">
            <v>100.9</v>
          </cell>
          <cell r="DP38">
            <v>97.5</v>
          </cell>
          <cell r="DQ38">
            <v>71.599999999999994</v>
          </cell>
          <cell r="DR38">
            <v>55.8</v>
          </cell>
          <cell r="DS38">
            <v>39</v>
          </cell>
          <cell r="DT38">
            <v>23.5</v>
          </cell>
          <cell r="DU38">
            <v>26.2</v>
          </cell>
          <cell r="DV38">
            <v>32.5</v>
          </cell>
          <cell r="DW38">
            <v>65.599999999999994</v>
          </cell>
          <cell r="DX38">
            <v>64.3</v>
          </cell>
          <cell r="DY38">
            <v>95.6</v>
          </cell>
          <cell r="EM38">
            <v>652.79999999999995</v>
          </cell>
          <cell r="EN38">
            <v>564</v>
          </cell>
          <cell r="EO38">
            <v>440.00000000000006</v>
          </cell>
          <cell r="EP38">
            <v>428.70000000000005</v>
          </cell>
          <cell r="EQ38">
            <v>391.49999999999994</v>
          </cell>
          <cell r="ER38">
            <v>321.60000000000002</v>
          </cell>
          <cell r="ES38">
            <v>441.79999999999995</v>
          </cell>
        </row>
        <row r="39">
          <cell r="A39" t="str">
            <v>Base Revenues and OSS - Net</v>
          </cell>
          <cell r="B39" t="str">
            <v>Operating Revenue</v>
          </cell>
          <cell r="D39" t="str">
            <v>Residential Base Revenue Billed</v>
          </cell>
          <cell r="E39" t="str">
            <v>Operating Revenue</v>
          </cell>
          <cell r="F39" t="str">
            <v>4800044</v>
          </cell>
          <cell r="G39" t="str">
            <v>A_4800044</v>
          </cell>
          <cell r="H39" t="str">
            <v>Residential General Service 3</v>
          </cell>
          <cell r="J39">
            <v>0</v>
          </cell>
          <cell r="K39">
            <v>0</v>
          </cell>
          <cell r="L39">
            <v>-0.1</v>
          </cell>
          <cell r="M39">
            <v>0</v>
          </cell>
          <cell r="N39">
            <v>0</v>
          </cell>
          <cell r="O39">
            <v>0.1</v>
          </cell>
          <cell r="P39">
            <v>1.2</v>
          </cell>
          <cell r="Q39">
            <v>0.7</v>
          </cell>
          <cell r="R39">
            <v>0.8</v>
          </cell>
          <cell r="S39">
            <v>0.3</v>
          </cell>
          <cell r="T39">
            <v>0.7</v>
          </cell>
          <cell r="U39">
            <v>1.4</v>
          </cell>
          <cell r="V39">
            <v>1.2</v>
          </cell>
          <cell r="W39">
            <v>3</v>
          </cell>
          <cell r="X39">
            <v>0.2</v>
          </cell>
          <cell r="Y39">
            <v>1.1000000000000001</v>
          </cell>
          <cell r="Z39">
            <v>-0.4</v>
          </cell>
          <cell r="AA39">
            <v>0.1</v>
          </cell>
          <cell r="AB39">
            <v>-0.2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0.2</v>
          </cell>
          <cell r="AJ39">
            <v>0</v>
          </cell>
          <cell r="AK39">
            <v>0.5</v>
          </cell>
          <cell r="AL39">
            <v>0.2</v>
          </cell>
          <cell r="AM39">
            <v>2.4</v>
          </cell>
          <cell r="AN39">
            <v>1.6</v>
          </cell>
          <cell r="AO39">
            <v>1.2</v>
          </cell>
          <cell r="AP39">
            <v>1.5</v>
          </cell>
          <cell r="AQ39">
            <v>1.3</v>
          </cell>
          <cell r="AR39">
            <v>1.2</v>
          </cell>
          <cell r="AS39">
            <v>2</v>
          </cell>
          <cell r="AT39">
            <v>-0.9</v>
          </cell>
          <cell r="AU39">
            <v>8.5</v>
          </cell>
          <cell r="AV39">
            <v>15.1</v>
          </cell>
          <cell r="AW39">
            <v>16.100000000000001</v>
          </cell>
          <cell r="AX39">
            <v>23.2</v>
          </cell>
          <cell r="AY39">
            <v>11.1</v>
          </cell>
          <cell r="AZ39">
            <v>-3.9</v>
          </cell>
          <cell r="BA39">
            <v>7.8</v>
          </cell>
          <cell r="BB39">
            <v>12.5</v>
          </cell>
          <cell r="BC39">
            <v>5.4</v>
          </cell>
          <cell r="BD39">
            <v>7.1</v>
          </cell>
          <cell r="BE39">
            <v>9.9</v>
          </cell>
          <cell r="BF39">
            <v>-22.8</v>
          </cell>
          <cell r="BG39">
            <v>-2.5</v>
          </cell>
          <cell r="BH39">
            <v>4.8</v>
          </cell>
          <cell r="BI39">
            <v>7.1</v>
          </cell>
          <cell r="BJ39">
            <v>6.6</v>
          </cell>
          <cell r="BK39">
            <v>1.6</v>
          </cell>
          <cell r="BL39">
            <v>3</v>
          </cell>
          <cell r="BM39">
            <v>3.4</v>
          </cell>
          <cell r="BN39">
            <v>4.2</v>
          </cell>
          <cell r="BO39">
            <v>2.9</v>
          </cell>
          <cell r="BP39">
            <v>3.6</v>
          </cell>
          <cell r="BQ39">
            <v>1.7</v>
          </cell>
          <cell r="BR39">
            <v>0.7</v>
          </cell>
          <cell r="BS39">
            <v>2.9</v>
          </cell>
          <cell r="BT39">
            <v>2.9</v>
          </cell>
          <cell r="BU39">
            <v>3.1</v>
          </cell>
          <cell r="BV39">
            <v>3.1</v>
          </cell>
          <cell r="BW39">
            <v>3.2</v>
          </cell>
          <cell r="BX39">
            <v>1.2</v>
          </cell>
          <cell r="BY39">
            <v>0.7</v>
          </cell>
          <cell r="BZ39">
            <v>5.3</v>
          </cell>
          <cell r="CA39">
            <v>-0.4</v>
          </cell>
          <cell r="CB39">
            <v>2.4</v>
          </cell>
          <cell r="CC39">
            <v>4.5999999999999996</v>
          </cell>
          <cell r="CD39">
            <v>4.8</v>
          </cell>
          <cell r="CE39">
            <v>3.8</v>
          </cell>
          <cell r="CF39">
            <v>4.5</v>
          </cell>
          <cell r="CG39">
            <v>3.7</v>
          </cell>
          <cell r="CH39">
            <v>3.9</v>
          </cell>
          <cell r="CI39">
            <v>3.8</v>
          </cell>
          <cell r="CJ39">
            <v>4</v>
          </cell>
          <cell r="CK39">
            <v>4.2</v>
          </cell>
          <cell r="CL39">
            <v>4</v>
          </cell>
          <cell r="CM39">
            <v>4.0999999999999996</v>
          </cell>
          <cell r="CN39">
            <v>4.0999999999999996</v>
          </cell>
          <cell r="CO39">
            <v>4.2</v>
          </cell>
          <cell r="CP39">
            <v>-28.7</v>
          </cell>
          <cell r="CQ39">
            <v>-25.6</v>
          </cell>
          <cell r="CR39">
            <v>1.5</v>
          </cell>
          <cell r="CS39">
            <v>0.2</v>
          </cell>
          <cell r="CT39">
            <v>0.4</v>
          </cell>
          <cell r="CU39">
            <v>0.4</v>
          </cell>
          <cell r="CV39">
            <v>0.2</v>
          </cell>
          <cell r="CW39">
            <v>39.299999999999997</v>
          </cell>
          <cell r="CX39">
            <v>35.1</v>
          </cell>
          <cell r="CY39">
            <v>-9.1999999999999993</v>
          </cell>
          <cell r="CZ39">
            <v>-3.4</v>
          </cell>
          <cell r="DA39">
            <v>0.3</v>
          </cell>
          <cell r="DB39">
            <v>0.9</v>
          </cell>
          <cell r="DC39">
            <v>0.3</v>
          </cell>
          <cell r="DD39">
            <v>2.5</v>
          </cell>
          <cell r="DE39">
            <v>1.3</v>
          </cell>
          <cell r="DF39">
            <v>1.1000000000000001</v>
          </cell>
          <cell r="DG39">
            <v>-1.5</v>
          </cell>
          <cell r="DH39">
            <v>0.6</v>
          </cell>
          <cell r="DI39">
            <v>2.5</v>
          </cell>
          <cell r="DJ39">
            <v>-1.1000000000000001</v>
          </cell>
          <cell r="DK39">
            <v>1.6</v>
          </cell>
          <cell r="DL39">
            <v>0.6</v>
          </cell>
          <cell r="DM39">
            <v>0</v>
          </cell>
          <cell r="DN39">
            <v>1.2</v>
          </cell>
          <cell r="DO39">
            <v>1.9</v>
          </cell>
          <cell r="DP39">
            <v>1.5</v>
          </cell>
          <cell r="DQ39">
            <v>1.1000000000000001</v>
          </cell>
          <cell r="DR39">
            <v>1.2</v>
          </cell>
          <cell r="DS39">
            <v>1.5</v>
          </cell>
          <cell r="DT39">
            <v>11.3</v>
          </cell>
          <cell r="DU39">
            <v>11.6</v>
          </cell>
          <cell r="DV39">
            <v>11.5</v>
          </cell>
          <cell r="DW39">
            <v>11.6</v>
          </cell>
          <cell r="DX39">
            <v>11.8</v>
          </cell>
          <cell r="DY39">
            <v>12</v>
          </cell>
          <cell r="EM39">
            <v>4.9999999999999991</v>
          </cell>
          <cell r="EN39">
            <v>12.1</v>
          </cell>
          <cell r="EO39">
            <v>111.89999999999999</v>
          </cell>
          <cell r="EP39">
            <v>13.599999999999998</v>
          </cell>
          <cell r="EQ39">
            <v>29.699999999999996</v>
          </cell>
          <cell r="ER39">
            <v>49.100000000000009</v>
          </cell>
          <cell r="ES39">
            <v>10.500000000000005</v>
          </cell>
        </row>
        <row r="40">
          <cell r="A40" t="str">
            <v>Other Operating Income / (Expense) Items</v>
          </cell>
          <cell r="B40" t="str">
            <v>Operating Revenue</v>
          </cell>
          <cell r="D40" t="str">
            <v>Residential Base Revenue Billed (PGA)</v>
          </cell>
          <cell r="E40" t="str">
            <v>Operating Revenue</v>
          </cell>
          <cell r="F40" t="str">
            <v>4800045</v>
          </cell>
          <cell r="G40" t="str">
            <v>A_4800045</v>
          </cell>
          <cell r="H40" t="str">
            <v>Residential General Service 3 FUEL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3.1</v>
          </cell>
          <cell r="Q40">
            <v>1.8</v>
          </cell>
          <cell r="R40">
            <v>2.5</v>
          </cell>
          <cell r="S40">
            <v>1.9</v>
          </cell>
          <cell r="T40">
            <v>2.4</v>
          </cell>
          <cell r="U40">
            <v>4.8</v>
          </cell>
          <cell r="V40">
            <v>4.8</v>
          </cell>
          <cell r="W40">
            <v>11.2</v>
          </cell>
          <cell r="X40">
            <v>-0.1</v>
          </cell>
          <cell r="Y40">
            <v>3.8</v>
          </cell>
          <cell r="Z40">
            <v>-1.7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1.2</v>
          </cell>
          <cell r="AL40">
            <v>1</v>
          </cell>
          <cell r="AM40">
            <v>9.1999999999999993</v>
          </cell>
          <cell r="AN40">
            <v>6.5</v>
          </cell>
          <cell r="AO40">
            <v>4.5999999999999996</v>
          </cell>
          <cell r="AP40">
            <v>5</v>
          </cell>
          <cell r="AQ40">
            <v>4.4000000000000004</v>
          </cell>
          <cell r="AR40">
            <v>4.5999999999999996</v>
          </cell>
          <cell r="AS40">
            <v>6.6</v>
          </cell>
          <cell r="AT40">
            <v>-2.9</v>
          </cell>
          <cell r="AU40">
            <v>22.8</v>
          </cell>
          <cell r="AV40">
            <v>0.8</v>
          </cell>
          <cell r="AW40">
            <v>-0.3</v>
          </cell>
          <cell r="AX40">
            <v>3.5</v>
          </cell>
          <cell r="AY40">
            <v>19.600000000000001</v>
          </cell>
          <cell r="AZ40">
            <v>0.1</v>
          </cell>
          <cell r="BA40">
            <v>6.7</v>
          </cell>
          <cell r="BB40">
            <v>5.4</v>
          </cell>
          <cell r="BC40">
            <v>5.5</v>
          </cell>
          <cell r="BD40">
            <v>7.7</v>
          </cell>
          <cell r="BE40">
            <v>7.9</v>
          </cell>
          <cell r="BF40">
            <v>4.5999999999999996</v>
          </cell>
          <cell r="BG40">
            <v>7.9</v>
          </cell>
          <cell r="BH40">
            <v>8.5</v>
          </cell>
          <cell r="BI40">
            <v>8.6</v>
          </cell>
          <cell r="BJ40">
            <v>6.7</v>
          </cell>
          <cell r="BK40">
            <v>-11.8</v>
          </cell>
          <cell r="BL40">
            <v>2.7</v>
          </cell>
          <cell r="BM40">
            <v>0.1</v>
          </cell>
          <cell r="BN40">
            <v>0.2</v>
          </cell>
          <cell r="BO40">
            <v>0</v>
          </cell>
          <cell r="BP40">
            <v>0.2</v>
          </cell>
          <cell r="BQ40">
            <v>0.8</v>
          </cell>
          <cell r="BR40">
            <v>1.2</v>
          </cell>
          <cell r="BS40">
            <v>0.3</v>
          </cell>
          <cell r="BT40">
            <v>1.2</v>
          </cell>
          <cell r="BU40">
            <v>0.8</v>
          </cell>
          <cell r="BV40">
            <v>0.8</v>
          </cell>
          <cell r="BW40">
            <v>1</v>
          </cell>
          <cell r="BX40">
            <v>0.1</v>
          </cell>
          <cell r="BY40">
            <v>-0.1</v>
          </cell>
          <cell r="BZ40">
            <v>0.2</v>
          </cell>
          <cell r="CA40">
            <v>0.2</v>
          </cell>
          <cell r="CB40">
            <v>0.3</v>
          </cell>
          <cell r="CC40">
            <v>0.7</v>
          </cell>
          <cell r="CD40">
            <v>1</v>
          </cell>
          <cell r="CE40">
            <v>0.3</v>
          </cell>
          <cell r="CF40">
            <v>0.8</v>
          </cell>
          <cell r="CG40">
            <v>0.3</v>
          </cell>
          <cell r="CH40">
            <v>0.4</v>
          </cell>
          <cell r="CI40">
            <v>0.3</v>
          </cell>
          <cell r="CJ40">
            <v>0.2</v>
          </cell>
          <cell r="CK40">
            <v>0.3</v>
          </cell>
          <cell r="CL40">
            <v>0.2</v>
          </cell>
          <cell r="CM40">
            <v>0.5</v>
          </cell>
          <cell r="CN40">
            <v>0.5</v>
          </cell>
          <cell r="CO40">
            <v>1.1000000000000001</v>
          </cell>
          <cell r="CP40">
            <v>-0.9</v>
          </cell>
          <cell r="CQ40">
            <v>-1.4</v>
          </cell>
          <cell r="CR40">
            <v>3.9</v>
          </cell>
          <cell r="CS40">
            <v>-1.1000000000000001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1.4</v>
          </cell>
          <cell r="DB40">
            <v>-1.9</v>
          </cell>
          <cell r="DC40">
            <v>0.5</v>
          </cell>
          <cell r="DD40">
            <v>0.1</v>
          </cell>
          <cell r="DE40">
            <v>0</v>
          </cell>
          <cell r="DF40">
            <v>0</v>
          </cell>
          <cell r="DG40">
            <v>-0.1</v>
          </cell>
          <cell r="DH40">
            <v>0.1</v>
          </cell>
          <cell r="DI40">
            <v>7.9</v>
          </cell>
          <cell r="DJ40">
            <v>-10.199999999999999</v>
          </cell>
          <cell r="DK40">
            <v>2.2999999999999998</v>
          </cell>
          <cell r="DL40">
            <v>0</v>
          </cell>
          <cell r="DM40">
            <v>0</v>
          </cell>
          <cell r="DN40">
            <v>2.7</v>
          </cell>
          <cell r="DO40">
            <v>0.8</v>
          </cell>
          <cell r="DP40">
            <v>2.7</v>
          </cell>
          <cell r="DQ40">
            <v>1.3</v>
          </cell>
          <cell r="DR40">
            <v>1.3</v>
          </cell>
          <cell r="DS40">
            <v>2</v>
          </cell>
          <cell r="DT40">
            <v>0.1</v>
          </cell>
          <cell r="DU40">
            <v>-0.1</v>
          </cell>
          <cell r="DV40">
            <v>0.4</v>
          </cell>
          <cell r="DW40">
            <v>0.5</v>
          </cell>
          <cell r="DX40">
            <v>0.6</v>
          </cell>
          <cell r="DY40">
            <v>1.2</v>
          </cell>
          <cell r="EM40">
            <v>18</v>
          </cell>
          <cell r="EN40">
            <v>43.1</v>
          </cell>
          <cell r="EO40">
            <v>76.800000000000011</v>
          </cell>
          <cell r="EP40">
            <v>28.500000000000004</v>
          </cell>
          <cell r="EQ40">
            <v>6.7</v>
          </cell>
          <cell r="ER40">
            <v>5.9</v>
          </cell>
          <cell r="ES40">
            <v>1.9</v>
          </cell>
        </row>
        <row r="41">
          <cell r="A41" t="str">
            <v>Base Revenues and OSS - Net</v>
          </cell>
          <cell r="B41" t="str">
            <v>Operating Revenue</v>
          </cell>
          <cell r="E41" t="str">
            <v>Operating Revenue</v>
          </cell>
          <cell r="F41" t="str">
            <v>Bas Adj</v>
          </cell>
          <cell r="G41" t="str">
            <v>Bas Adj</v>
          </cell>
          <cell r="H41" t="str">
            <v>Base Revenues -  INPUT FOR FORECAST</v>
          </cell>
          <cell r="I41" t="str">
            <v>INPUT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</row>
        <row r="42">
          <cell r="F42" t="str">
            <v>480</v>
          </cell>
          <cell r="G42">
            <v>480</v>
          </cell>
          <cell r="J42">
            <v>18789.099999999999</v>
          </cell>
          <cell r="K42">
            <v>17974.7</v>
          </cell>
          <cell r="L42">
            <v>12072.4</v>
          </cell>
          <cell r="M42">
            <v>11512.7</v>
          </cell>
          <cell r="N42">
            <v>9204.6</v>
          </cell>
          <cell r="O42">
            <v>9401.2999999999993</v>
          </cell>
          <cell r="P42">
            <v>8616.8000000000029</v>
          </cell>
          <cell r="Q42">
            <v>8341.6</v>
          </cell>
          <cell r="R42">
            <v>8875.9999999999982</v>
          </cell>
          <cell r="S42">
            <v>9407.2999999999975</v>
          </cell>
          <cell r="T42">
            <v>11392.8</v>
          </cell>
          <cell r="U42">
            <v>16023.299999999997</v>
          </cell>
          <cell r="V42">
            <v>17146.5</v>
          </cell>
          <cell r="W42">
            <v>16308.100000000002</v>
          </cell>
          <cell r="X42">
            <v>14821.4</v>
          </cell>
          <cell r="Y42">
            <v>9111</v>
          </cell>
          <cell r="Z42">
            <v>8985.6999999999989</v>
          </cell>
          <cell r="AA42">
            <v>9531.6999999999989</v>
          </cell>
          <cell r="AB42">
            <v>8548.6</v>
          </cell>
          <cell r="AC42">
            <v>8938.6999999999989</v>
          </cell>
          <cell r="AD42">
            <v>8913.9</v>
          </cell>
          <cell r="AE42">
            <v>9314.5</v>
          </cell>
          <cell r="AF42">
            <v>10620.099999999999</v>
          </cell>
          <cell r="AG42">
            <v>12335.299999999997</v>
          </cell>
          <cell r="AH42">
            <v>17160.800000000003</v>
          </cell>
          <cell r="AI42">
            <v>18845.599999999999</v>
          </cell>
          <cell r="AJ42">
            <v>13444.699999999999</v>
          </cell>
          <cell r="AK42">
            <v>10931.500000000005</v>
          </cell>
          <cell r="AL42">
            <v>10047.300000000001</v>
          </cell>
          <cell r="AM42">
            <v>8956.1000000000022</v>
          </cell>
          <cell r="AN42">
            <v>8211.7999999999993</v>
          </cell>
          <cell r="AO42">
            <v>8498.2000000000025</v>
          </cell>
          <cell r="AP42">
            <v>8749.4</v>
          </cell>
          <cell r="AQ42">
            <v>8862.6999999999989</v>
          </cell>
          <cell r="AR42">
            <v>10510.2</v>
          </cell>
          <cell r="AS42">
            <v>12762.599999999999</v>
          </cell>
          <cell r="AT42">
            <v>14720.000000000004</v>
          </cell>
          <cell r="AU42">
            <v>13827.399999999998</v>
          </cell>
          <cell r="AV42">
            <v>12172.7</v>
          </cell>
          <cell r="AW42">
            <v>12116.700000000003</v>
          </cell>
          <cell r="AX42">
            <v>9770.5</v>
          </cell>
          <cell r="AY42">
            <v>8920.6</v>
          </cell>
          <cell r="AZ42">
            <v>8592.3000000000029</v>
          </cell>
          <cell r="BA42">
            <v>8779.4000000000015</v>
          </cell>
          <cell r="BB42">
            <v>10086.800000000001</v>
          </cell>
          <cell r="BC42">
            <v>9765.1</v>
          </cell>
          <cell r="BD42">
            <v>11846.200000000003</v>
          </cell>
          <cell r="BE42">
            <v>14778.999999999998</v>
          </cell>
          <cell r="BF42">
            <v>25308.3</v>
          </cell>
          <cell r="BG42">
            <v>17174.600000000002</v>
          </cell>
          <cell r="BH42">
            <v>11911.4</v>
          </cell>
          <cell r="BI42">
            <v>14469.999999999998</v>
          </cell>
          <cell r="BJ42">
            <v>10129.199999999999</v>
          </cell>
          <cell r="BK42">
            <v>9705.0000000000018</v>
          </cell>
          <cell r="BL42">
            <v>9559</v>
          </cell>
          <cell r="BM42">
            <v>9282.3000000000029</v>
          </cell>
          <cell r="BN42">
            <v>10118.200000000003</v>
          </cell>
          <cell r="BO42">
            <v>9461.3999999999978</v>
          </cell>
          <cell r="BP42">
            <v>11331.299999999997</v>
          </cell>
          <cell r="BQ42">
            <v>15659.099999999997</v>
          </cell>
          <cell r="BR42">
            <v>18509.200000000004</v>
          </cell>
          <cell r="BS42">
            <v>16272.4</v>
          </cell>
          <cell r="BT42">
            <v>14136.4</v>
          </cell>
          <cell r="BU42">
            <v>14510.100000000002</v>
          </cell>
          <cell r="BV42">
            <v>11453.6</v>
          </cell>
          <cell r="BW42">
            <v>9741.2000000000007</v>
          </cell>
          <cell r="BX42">
            <v>9869.8000000000011</v>
          </cell>
          <cell r="BY42">
            <v>8973.2000000000007</v>
          </cell>
          <cell r="BZ42">
            <v>9873.6999999999971</v>
          </cell>
          <cell r="CA42">
            <v>9662.5999999999985</v>
          </cell>
          <cell r="CB42">
            <v>12129.799999999996</v>
          </cell>
          <cell r="CC42">
            <v>16044.600000000002</v>
          </cell>
          <cell r="CD42">
            <v>17619.099999999999</v>
          </cell>
          <cell r="CE42">
            <v>15620.499999999998</v>
          </cell>
          <cell r="CF42">
            <v>13452.699999999999</v>
          </cell>
          <cell r="CG42">
            <v>12722.599999999997</v>
          </cell>
          <cell r="CH42">
            <v>11904.9</v>
          </cell>
          <cell r="CI42">
            <v>10926.3</v>
          </cell>
          <cell r="CJ42">
            <v>9415.8000000000029</v>
          </cell>
          <cell r="CK42">
            <v>9915.9999999999982</v>
          </cell>
          <cell r="CL42">
            <v>9877.2999999999993</v>
          </cell>
          <cell r="CM42">
            <v>10966.000000000004</v>
          </cell>
          <cell r="CN42">
            <v>12940.500000000002</v>
          </cell>
          <cell r="CO42">
            <v>19829.499999999996</v>
          </cell>
          <cell r="CP42">
            <v>26457.399999999998</v>
          </cell>
          <cell r="CQ42">
            <v>19184.100000000002</v>
          </cell>
          <cell r="CR42">
            <v>20098.600000000006</v>
          </cell>
          <cell r="CS42">
            <v>19209.400000000005</v>
          </cell>
          <cell r="CT42">
            <v>14369.400000000001</v>
          </cell>
          <cell r="CU42">
            <v>14243.499999999998</v>
          </cell>
          <cell r="CV42">
            <v>13561.599999999999</v>
          </cell>
          <cell r="CW42">
            <v>13058.2</v>
          </cell>
          <cell r="CX42">
            <v>13931.600000000002</v>
          </cell>
          <cell r="CY42">
            <v>14110.199999999997</v>
          </cell>
          <cell r="CZ42">
            <v>17172.699999999997</v>
          </cell>
          <cell r="DA42">
            <v>22874.199999999997</v>
          </cell>
          <cell r="DB42">
            <v>27758.299999999996</v>
          </cell>
          <cell r="DC42">
            <v>26882.2</v>
          </cell>
          <cell r="DD42">
            <v>19298.799999999996</v>
          </cell>
          <cell r="DE42">
            <v>18653.399999999998</v>
          </cell>
          <cell r="DF42">
            <v>16680.8</v>
          </cell>
          <cell r="DG42">
            <v>14033.099999999999</v>
          </cell>
          <cell r="DH42">
            <v>13393.199999999999</v>
          </cell>
          <cell r="DI42">
            <v>17022.300000000003</v>
          </cell>
          <cell r="DJ42">
            <v>16044.499999999998</v>
          </cell>
          <cell r="DK42">
            <v>20444.099999999999</v>
          </cell>
          <cell r="DL42">
            <v>14649.000000000002</v>
          </cell>
          <cell r="DM42">
            <v>20183.500000000004</v>
          </cell>
          <cell r="DN42">
            <v>35651.299999999988</v>
          </cell>
          <cell r="DO42">
            <v>32639.4</v>
          </cell>
          <cell r="DP42">
            <v>26979.1</v>
          </cell>
          <cell r="DQ42">
            <v>22286.999999999989</v>
          </cell>
          <cell r="DR42">
            <v>18634</v>
          </cell>
          <cell r="DS42">
            <v>17003.3</v>
          </cell>
          <cell r="DT42">
            <v>16359.800000000003</v>
          </cell>
          <cell r="DU42">
            <v>16381.400000000003</v>
          </cell>
          <cell r="DV42">
            <v>16762.300000000003</v>
          </cell>
          <cell r="DW42">
            <v>17869.5</v>
          </cell>
          <cell r="DX42">
            <v>21311.899999999994</v>
          </cell>
          <cell r="DY42">
            <v>26390.5</v>
          </cell>
          <cell r="EM42">
            <v>134575.5</v>
          </cell>
          <cell r="EN42">
            <v>136980.9</v>
          </cell>
          <cell r="EO42">
            <v>135376.70000000001</v>
          </cell>
          <cell r="EP42">
            <v>154109.79999999999</v>
          </cell>
          <cell r="EQ42">
            <v>151176.6</v>
          </cell>
          <cell r="ER42">
            <v>155191.20000000001</v>
          </cell>
          <cell r="ES42">
            <v>208270.90000000008</v>
          </cell>
        </row>
        <row r="43">
          <cell r="A43" t="str">
            <v>Base Revenues and OSS - Net</v>
          </cell>
          <cell r="B43" t="str">
            <v>Operating Revenue</v>
          </cell>
          <cell r="D43" t="str">
            <v>Commercial Base Revenue Billed</v>
          </cell>
          <cell r="E43" t="str">
            <v>Operating Revenue</v>
          </cell>
          <cell r="F43" t="str">
            <v>4810001</v>
          </cell>
          <cell r="G43" t="str">
            <v>A_4810001</v>
          </cell>
          <cell r="H43" t="str">
            <v>Natural Gas Vehicles</v>
          </cell>
          <cell r="J43">
            <v>0.7</v>
          </cell>
          <cell r="K43">
            <v>1.8</v>
          </cell>
          <cell r="L43">
            <v>1.2</v>
          </cell>
          <cell r="M43">
            <v>2</v>
          </cell>
          <cell r="N43">
            <v>3.8</v>
          </cell>
          <cell r="O43">
            <v>6.5</v>
          </cell>
          <cell r="P43">
            <v>0.1</v>
          </cell>
          <cell r="Q43">
            <v>11.5</v>
          </cell>
          <cell r="R43">
            <v>6.9</v>
          </cell>
          <cell r="S43">
            <v>2.6</v>
          </cell>
          <cell r="T43">
            <v>1</v>
          </cell>
          <cell r="U43">
            <v>0.9</v>
          </cell>
          <cell r="V43">
            <v>2.7</v>
          </cell>
          <cell r="W43">
            <v>1.5</v>
          </cell>
          <cell r="X43">
            <v>-0.3</v>
          </cell>
          <cell r="Y43">
            <v>0.1</v>
          </cell>
          <cell r="Z43">
            <v>0.1</v>
          </cell>
          <cell r="AA43">
            <v>0.1</v>
          </cell>
          <cell r="AB43">
            <v>2.7</v>
          </cell>
          <cell r="AC43">
            <v>0.1</v>
          </cell>
          <cell r="AD43">
            <v>0.1</v>
          </cell>
          <cell r="AE43">
            <v>0.1</v>
          </cell>
          <cell r="AF43">
            <v>0.1</v>
          </cell>
          <cell r="AG43">
            <v>0.1</v>
          </cell>
          <cell r="AH43">
            <v>0.2</v>
          </cell>
          <cell r="AI43">
            <v>0.5</v>
          </cell>
          <cell r="AJ43">
            <v>0.3</v>
          </cell>
          <cell r="AK43">
            <v>0.3</v>
          </cell>
          <cell r="AL43">
            <v>-2.5</v>
          </cell>
          <cell r="AM43">
            <v>0.1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0.1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0.1</v>
          </cell>
          <cell r="CP43">
            <v>0.1</v>
          </cell>
          <cell r="CQ43">
            <v>-0.2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EM43">
            <v>7.3999999999999977</v>
          </cell>
          <cell r="EN43">
            <v>-1.0999999999999999</v>
          </cell>
          <cell r="EO43">
            <v>0.1</v>
          </cell>
          <cell r="EP43">
            <v>0</v>
          </cell>
          <cell r="EQ43">
            <v>0</v>
          </cell>
          <cell r="ER43">
            <v>0.1</v>
          </cell>
          <cell r="ES43">
            <v>-0.1</v>
          </cell>
        </row>
        <row r="44">
          <cell r="A44" t="str">
            <v>Other Operating Income / (Expense) Items</v>
          </cell>
          <cell r="B44" t="str">
            <v>Operating Revenue</v>
          </cell>
          <cell r="D44" t="str">
            <v>Commercial Base Revenue Billed (PGA)</v>
          </cell>
          <cell r="E44" t="str">
            <v>Operating Revenue</v>
          </cell>
          <cell r="F44" t="str">
            <v>4810002</v>
          </cell>
          <cell r="G44" t="str">
            <v>A_4810002</v>
          </cell>
          <cell r="H44" t="str">
            <v>Natural Gas Vehicles FUEL</v>
          </cell>
          <cell r="J44">
            <v>0</v>
          </cell>
          <cell r="K44">
            <v>3.5</v>
          </cell>
          <cell r="L44">
            <v>0.1</v>
          </cell>
          <cell r="M44">
            <v>2</v>
          </cell>
          <cell r="N44">
            <v>4.9000000000000004</v>
          </cell>
          <cell r="O44">
            <v>6.9</v>
          </cell>
          <cell r="P44">
            <v>-3.6</v>
          </cell>
          <cell r="Q44">
            <v>4</v>
          </cell>
          <cell r="R44">
            <v>-1.4</v>
          </cell>
          <cell r="S44">
            <v>-1.7</v>
          </cell>
          <cell r="T44">
            <v>-0.7</v>
          </cell>
          <cell r="U44">
            <v>-0.1</v>
          </cell>
          <cell r="V44">
            <v>0.7</v>
          </cell>
          <cell r="W44">
            <v>5.7</v>
          </cell>
          <cell r="X44">
            <v>-2.2000000000000002</v>
          </cell>
          <cell r="Y44">
            <v>0</v>
          </cell>
          <cell r="Z44">
            <v>0.1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0.1</v>
          </cell>
          <cell r="AG44">
            <v>0.3</v>
          </cell>
          <cell r="AH44">
            <v>0.2</v>
          </cell>
          <cell r="AI44">
            <v>1.3</v>
          </cell>
          <cell r="AJ44">
            <v>0.7</v>
          </cell>
          <cell r="AK44">
            <v>0.6</v>
          </cell>
          <cell r="AL44">
            <v>0.6</v>
          </cell>
          <cell r="AM44">
            <v>0.3</v>
          </cell>
          <cell r="AN44">
            <v>-0.2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0.3</v>
          </cell>
          <cell r="CP44">
            <v>0.3</v>
          </cell>
          <cell r="CQ44">
            <v>-0.6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EM44">
            <v>4.6999999999999993</v>
          </cell>
          <cell r="EN44">
            <v>3.5</v>
          </cell>
          <cell r="EO44">
            <v>0</v>
          </cell>
          <cell r="EP44">
            <v>0</v>
          </cell>
          <cell r="EQ44">
            <v>0</v>
          </cell>
          <cell r="ER44">
            <v>0.3</v>
          </cell>
          <cell r="ES44">
            <v>-0.3</v>
          </cell>
        </row>
        <row r="45">
          <cell r="A45" t="str">
            <v>Base Revenues and OSS - Net</v>
          </cell>
          <cell r="B45" t="str">
            <v>Operating Revenue</v>
          </cell>
          <cell r="D45" t="str">
            <v>Commercial Base Revenue Billed</v>
          </cell>
          <cell r="E45" t="str">
            <v>Operating Revenue</v>
          </cell>
          <cell r="F45" t="str">
            <v>4810004</v>
          </cell>
          <cell r="G45" t="str">
            <v>A_4810004</v>
          </cell>
          <cell r="H45" t="str">
            <v>Commercial Street Lighting</v>
          </cell>
          <cell r="J45">
            <v>1.2</v>
          </cell>
          <cell r="K45">
            <v>0.9</v>
          </cell>
          <cell r="L45">
            <v>0.8</v>
          </cell>
          <cell r="M45">
            <v>1</v>
          </cell>
          <cell r="N45">
            <v>1</v>
          </cell>
          <cell r="O45">
            <v>0.9</v>
          </cell>
          <cell r="P45">
            <v>0.9</v>
          </cell>
          <cell r="Q45">
            <v>0.9</v>
          </cell>
          <cell r="R45">
            <v>0.8</v>
          </cell>
          <cell r="S45">
            <v>0.9</v>
          </cell>
          <cell r="T45">
            <v>0.8</v>
          </cell>
          <cell r="U45">
            <v>1</v>
          </cell>
          <cell r="V45">
            <v>0.9</v>
          </cell>
          <cell r="W45">
            <v>0.6</v>
          </cell>
          <cell r="X45">
            <v>0.9</v>
          </cell>
          <cell r="Y45">
            <v>0.7</v>
          </cell>
          <cell r="Z45">
            <v>0.6</v>
          </cell>
          <cell r="AA45">
            <v>1</v>
          </cell>
          <cell r="AB45">
            <v>0.7</v>
          </cell>
          <cell r="AC45">
            <v>0.8</v>
          </cell>
          <cell r="AD45">
            <v>0.8</v>
          </cell>
          <cell r="AE45">
            <v>0.7</v>
          </cell>
          <cell r="AF45">
            <v>0.7</v>
          </cell>
          <cell r="AG45">
            <v>0.6</v>
          </cell>
          <cell r="AH45">
            <v>0.6</v>
          </cell>
          <cell r="AI45">
            <v>0.6</v>
          </cell>
          <cell r="AJ45">
            <v>0.6</v>
          </cell>
          <cell r="AK45">
            <v>0.7</v>
          </cell>
          <cell r="AL45">
            <v>0.6</v>
          </cell>
          <cell r="AM45">
            <v>0.7</v>
          </cell>
          <cell r="AN45">
            <v>0.7</v>
          </cell>
          <cell r="AO45">
            <v>0.6</v>
          </cell>
          <cell r="AP45">
            <v>0.7</v>
          </cell>
          <cell r="AQ45">
            <v>0.5</v>
          </cell>
          <cell r="AR45">
            <v>0.6</v>
          </cell>
          <cell r="AS45">
            <v>0.7</v>
          </cell>
          <cell r="AT45">
            <v>0.9</v>
          </cell>
          <cell r="AU45">
            <v>0.5</v>
          </cell>
          <cell r="AV45">
            <v>0.5</v>
          </cell>
          <cell r="AW45">
            <v>0.5</v>
          </cell>
          <cell r="AX45">
            <v>0.5</v>
          </cell>
          <cell r="AY45">
            <v>0.6</v>
          </cell>
          <cell r="AZ45">
            <v>0.6</v>
          </cell>
          <cell r="BA45">
            <v>1</v>
          </cell>
          <cell r="BB45">
            <v>0.5</v>
          </cell>
          <cell r="BC45">
            <v>0.5</v>
          </cell>
          <cell r="BD45">
            <v>0.5</v>
          </cell>
          <cell r="BE45">
            <v>0.5</v>
          </cell>
          <cell r="BF45">
            <v>0.6</v>
          </cell>
          <cell r="BG45">
            <v>0.4</v>
          </cell>
          <cell r="BH45">
            <v>0.5</v>
          </cell>
          <cell r="BI45">
            <v>0.5</v>
          </cell>
          <cell r="BJ45">
            <v>0.5</v>
          </cell>
          <cell r="BK45">
            <v>0.5</v>
          </cell>
          <cell r="BL45">
            <v>0.6</v>
          </cell>
          <cell r="BM45">
            <v>0.6</v>
          </cell>
          <cell r="BN45">
            <v>0.6</v>
          </cell>
          <cell r="BO45">
            <v>0.5</v>
          </cell>
          <cell r="BP45">
            <v>0.7</v>
          </cell>
          <cell r="BQ45">
            <v>0.6</v>
          </cell>
          <cell r="BR45">
            <v>0.6</v>
          </cell>
          <cell r="BS45">
            <v>0.5</v>
          </cell>
          <cell r="BT45">
            <v>0.6</v>
          </cell>
          <cell r="BU45">
            <v>0.5</v>
          </cell>
          <cell r="BV45">
            <v>0.5</v>
          </cell>
          <cell r="BW45">
            <v>0.5</v>
          </cell>
          <cell r="BX45">
            <v>0.5</v>
          </cell>
          <cell r="BY45">
            <v>0.5</v>
          </cell>
          <cell r="BZ45">
            <v>0.5</v>
          </cell>
          <cell r="CA45">
            <v>0.4</v>
          </cell>
          <cell r="CB45">
            <v>0.6</v>
          </cell>
          <cell r="CC45">
            <v>0.6</v>
          </cell>
          <cell r="CD45">
            <v>0.6</v>
          </cell>
          <cell r="CE45">
            <v>0.5</v>
          </cell>
          <cell r="CF45">
            <v>0.4</v>
          </cell>
          <cell r="CG45">
            <v>0.5</v>
          </cell>
          <cell r="CH45">
            <v>0.5</v>
          </cell>
          <cell r="CI45">
            <v>0.5</v>
          </cell>
          <cell r="CJ45">
            <v>0.4</v>
          </cell>
          <cell r="CK45">
            <v>0.4</v>
          </cell>
          <cell r="CL45">
            <v>0.4</v>
          </cell>
          <cell r="CM45">
            <v>0.4</v>
          </cell>
          <cell r="CN45">
            <v>0.4</v>
          </cell>
          <cell r="CO45">
            <v>0.6</v>
          </cell>
          <cell r="CP45">
            <v>1</v>
          </cell>
          <cell r="CQ45">
            <v>0.7</v>
          </cell>
          <cell r="CR45">
            <v>0.9</v>
          </cell>
          <cell r="CS45">
            <v>0.8</v>
          </cell>
          <cell r="CT45">
            <v>0.6</v>
          </cell>
          <cell r="CU45">
            <v>0.7</v>
          </cell>
          <cell r="CV45">
            <v>0.6</v>
          </cell>
          <cell r="CW45">
            <v>0.7</v>
          </cell>
          <cell r="CX45">
            <v>0.8</v>
          </cell>
          <cell r="CY45">
            <v>0.7</v>
          </cell>
          <cell r="CZ45">
            <v>0.8</v>
          </cell>
          <cell r="DA45">
            <v>0.9</v>
          </cell>
          <cell r="DB45">
            <v>1</v>
          </cell>
          <cell r="DC45">
            <v>0.6</v>
          </cell>
          <cell r="DD45">
            <v>0.8</v>
          </cell>
          <cell r="DE45">
            <v>0.7</v>
          </cell>
          <cell r="DF45">
            <v>0.7</v>
          </cell>
          <cell r="DG45">
            <v>0.7</v>
          </cell>
          <cell r="DH45">
            <v>0.7</v>
          </cell>
          <cell r="DI45">
            <v>0.7</v>
          </cell>
          <cell r="DJ45">
            <v>0.7</v>
          </cell>
          <cell r="DK45">
            <v>0.7</v>
          </cell>
          <cell r="DL45">
            <v>0.6</v>
          </cell>
          <cell r="DM45">
            <v>0.7</v>
          </cell>
          <cell r="DN45">
            <v>0.9</v>
          </cell>
          <cell r="DO45">
            <v>0.7</v>
          </cell>
          <cell r="DP45">
            <v>0.8</v>
          </cell>
          <cell r="DQ45">
            <v>0.8</v>
          </cell>
          <cell r="DR45">
            <v>0.6</v>
          </cell>
          <cell r="DS45">
            <v>0.7</v>
          </cell>
          <cell r="DT45">
            <v>0.6</v>
          </cell>
          <cell r="DU45">
            <v>0.9</v>
          </cell>
          <cell r="DV45">
            <v>0.8</v>
          </cell>
          <cell r="DW45">
            <v>0.8</v>
          </cell>
          <cell r="DX45">
            <v>0.8</v>
          </cell>
          <cell r="DY45">
            <v>0.8</v>
          </cell>
          <cell r="EM45">
            <v>8.9999999999999982</v>
          </cell>
          <cell r="EN45">
            <v>7.6</v>
          </cell>
          <cell r="EO45">
            <v>7.1</v>
          </cell>
          <cell r="EP45">
            <v>6.6</v>
          </cell>
          <cell r="EQ45">
            <v>6.3</v>
          </cell>
          <cell r="ER45">
            <v>5.6000000000000005</v>
          </cell>
          <cell r="ES45">
            <v>9.2000000000000011</v>
          </cell>
        </row>
        <row r="46">
          <cell r="A46" t="str">
            <v>Other Operating Income / (Expense) Items</v>
          </cell>
          <cell r="B46" t="str">
            <v>Operating Revenue</v>
          </cell>
          <cell r="D46" t="str">
            <v>Commercial Base Revenue Billed (PGA)</v>
          </cell>
          <cell r="E46" t="str">
            <v>Operating Revenue</v>
          </cell>
          <cell r="F46" t="str">
            <v>4810005</v>
          </cell>
          <cell r="G46" t="str">
            <v>A_4810005</v>
          </cell>
          <cell r="H46" t="str">
            <v>Commercial Street Lighting FUEL</v>
          </cell>
          <cell r="J46">
            <v>6</v>
          </cell>
          <cell r="K46">
            <v>3.9</v>
          </cell>
          <cell r="L46">
            <v>3.4</v>
          </cell>
          <cell r="M46">
            <v>4.7</v>
          </cell>
          <cell r="N46">
            <v>4.2</v>
          </cell>
          <cell r="O46">
            <v>4.2</v>
          </cell>
          <cell r="P46">
            <v>4</v>
          </cell>
          <cell r="Q46">
            <v>4.0999999999999996</v>
          </cell>
          <cell r="R46">
            <v>3.6</v>
          </cell>
          <cell r="S46">
            <v>3.5</v>
          </cell>
          <cell r="T46">
            <v>3</v>
          </cell>
          <cell r="U46">
            <v>4</v>
          </cell>
          <cell r="V46">
            <v>4.2</v>
          </cell>
          <cell r="W46">
            <v>2.5</v>
          </cell>
          <cell r="X46">
            <v>3.1</v>
          </cell>
          <cell r="Y46">
            <v>2.8</v>
          </cell>
          <cell r="Z46">
            <v>2.7</v>
          </cell>
          <cell r="AA46">
            <v>4.4000000000000004</v>
          </cell>
          <cell r="AB46">
            <v>3</v>
          </cell>
          <cell r="AC46">
            <v>3.8</v>
          </cell>
          <cell r="AD46">
            <v>3.7</v>
          </cell>
          <cell r="AE46">
            <v>3.1</v>
          </cell>
          <cell r="AF46">
            <v>3</v>
          </cell>
          <cell r="AG46">
            <v>2.8</v>
          </cell>
          <cell r="AH46">
            <v>3.1</v>
          </cell>
          <cell r="AI46">
            <v>3.1</v>
          </cell>
          <cell r="AJ46">
            <v>2.5</v>
          </cell>
          <cell r="AK46">
            <v>3.3</v>
          </cell>
          <cell r="AL46">
            <v>2.8</v>
          </cell>
          <cell r="AM46">
            <v>3.3</v>
          </cell>
          <cell r="AN46">
            <v>2.9</v>
          </cell>
          <cell r="AO46">
            <v>2.9</v>
          </cell>
          <cell r="AP46">
            <v>2.8</v>
          </cell>
          <cell r="AQ46">
            <v>2</v>
          </cell>
          <cell r="AR46">
            <v>2.5</v>
          </cell>
          <cell r="AS46">
            <v>2.8</v>
          </cell>
          <cell r="AT46">
            <v>3.4</v>
          </cell>
          <cell r="AU46">
            <v>2.1</v>
          </cell>
          <cell r="AV46">
            <v>2.2000000000000002</v>
          </cell>
          <cell r="AW46">
            <v>2.2999999999999998</v>
          </cell>
          <cell r="AX46">
            <v>2.2999999999999998</v>
          </cell>
          <cell r="AY46">
            <v>2.2000000000000002</v>
          </cell>
          <cell r="AZ46">
            <v>2.4</v>
          </cell>
          <cell r="BA46">
            <v>4.5999999999999996</v>
          </cell>
          <cell r="BB46">
            <v>2.4</v>
          </cell>
          <cell r="BC46">
            <v>2.5</v>
          </cell>
          <cell r="BD46">
            <v>2.5</v>
          </cell>
          <cell r="BE46">
            <v>2.2000000000000002</v>
          </cell>
          <cell r="BF46">
            <v>3.1</v>
          </cell>
          <cell r="BG46">
            <v>2.1</v>
          </cell>
          <cell r="BH46">
            <v>2.4</v>
          </cell>
          <cell r="BI46">
            <v>2.2999999999999998</v>
          </cell>
          <cell r="BJ46">
            <v>2.2999999999999998</v>
          </cell>
          <cell r="BK46">
            <v>2.2000000000000002</v>
          </cell>
          <cell r="BL46">
            <v>2.7</v>
          </cell>
          <cell r="BM46">
            <v>2.7</v>
          </cell>
          <cell r="BN46">
            <v>2.8</v>
          </cell>
          <cell r="BO46">
            <v>2.2999999999999998</v>
          </cell>
          <cell r="BP46">
            <v>2.8</v>
          </cell>
          <cell r="BQ46">
            <v>2.6</v>
          </cell>
          <cell r="BR46">
            <v>3</v>
          </cell>
          <cell r="BS46">
            <v>2.6</v>
          </cell>
          <cell r="BT46">
            <v>3.1</v>
          </cell>
          <cell r="BU46">
            <v>3.2</v>
          </cell>
          <cell r="BV46">
            <v>2.9</v>
          </cell>
          <cell r="BW46">
            <v>3</v>
          </cell>
          <cell r="BX46">
            <v>2.8</v>
          </cell>
          <cell r="BY46">
            <v>2.2000000000000002</v>
          </cell>
          <cell r="BZ46">
            <v>2.6</v>
          </cell>
          <cell r="CA46">
            <v>2.1</v>
          </cell>
          <cell r="CB46">
            <v>2.6</v>
          </cell>
          <cell r="CC46">
            <v>2.7</v>
          </cell>
          <cell r="CD46">
            <v>2.7</v>
          </cell>
          <cell r="CE46">
            <v>2.1</v>
          </cell>
          <cell r="CF46">
            <v>1.8</v>
          </cell>
          <cell r="CG46">
            <v>2</v>
          </cell>
          <cell r="CH46">
            <v>2</v>
          </cell>
          <cell r="CI46">
            <v>2</v>
          </cell>
          <cell r="CJ46">
            <v>1.9</v>
          </cell>
          <cell r="CK46">
            <v>1.9</v>
          </cell>
          <cell r="CL46">
            <v>1.8</v>
          </cell>
          <cell r="CM46">
            <v>1.9</v>
          </cell>
          <cell r="CN46">
            <v>2</v>
          </cell>
          <cell r="CO46">
            <v>3.1</v>
          </cell>
          <cell r="CP46">
            <v>2.8</v>
          </cell>
          <cell r="CQ46">
            <v>2.2000000000000002</v>
          </cell>
          <cell r="CR46">
            <v>3.5</v>
          </cell>
          <cell r="CS46">
            <v>2.9</v>
          </cell>
          <cell r="CT46">
            <v>2.2999999999999998</v>
          </cell>
          <cell r="CU46">
            <v>2.7</v>
          </cell>
          <cell r="CV46">
            <v>2.2999999999999998</v>
          </cell>
          <cell r="CW46">
            <v>2.5</v>
          </cell>
          <cell r="CX46">
            <v>3</v>
          </cell>
          <cell r="CY46">
            <v>2.6</v>
          </cell>
          <cell r="CZ46">
            <v>3.1</v>
          </cell>
          <cell r="DA46">
            <v>3.5</v>
          </cell>
          <cell r="DB46">
            <v>4.4000000000000004</v>
          </cell>
          <cell r="DC46">
            <v>2.6</v>
          </cell>
          <cell r="DD46">
            <v>3.4</v>
          </cell>
          <cell r="DE46">
            <v>3</v>
          </cell>
          <cell r="DF46">
            <v>2.9</v>
          </cell>
          <cell r="DG46">
            <v>3</v>
          </cell>
          <cell r="DH46">
            <v>3</v>
          </cell>
          <cell r="DI46">
            <v>4.5999999999999996</v>
          </cell>
          <cell r="DJ46">
            <v>4.2</v>
          </cell>
          <cell r="DK46">
            <v>3.9</v>
          </cell>
          <cell r="DL46">
            <v>1.4</v>
          </cell>
          <cell r="DM46">
            <v>2.5</v>
          </cell>
          <cell r="DN46">
            <v>6.9</v>
          </cell>
          <cell r="DO46">
            <v>6.4</v>
          </cell>
          <cell r="DP46">
            <v>7.1</v>
          </cell>
          <cell r="DQ46">
            <v>5</v>
          </cell>
          <cell r="DR46">
            <v>5.0999999999999996</v>
          </cell>
          <cell r="DS46">
            <v>6.4</v>
          </cell>
          <cell r="DT46">
            <v>5.2</v>
          </cell>
          <cell r="DU46">
            <v>5.3</v>
          </cell>
          <cell r="DV46">
            <v>5.2</v>
          </cell>
          <cell r="DW46">
            <v>5.0999999999999996</v>
          </cell>
          <cell r="DX46">
            <v>5.4</v>
          </cell>
          <cell r="DY46">
            <v>4.7</v>
          </cell>
          <cell r="EM46">
            <v>39.1</v>
          </cell>
          <cell r="EN46">
            <v>34</v>
          </cell>
          <cell r="EO46">
            <v>31.099999999999998</v>
          </cell>
          <cell r="EP46">
            <v>30.3</v>
          </cell>
          <cell r="EQ46">
            <v>32.800000000000004</v>
          </cell>
          <cell r="ER46">
            <v>25.200000000000003</v>
          </cell>
          <cell r="ES46">
            <v>33.400000000000006</v>
          </cell>
        </row>
        <row r="47">
          <cell r="A47" t="str">
            <v>Base Revenues and OSS - Net</v>
          </cell>
          <cell r="B47" t="str">
            <v>Operating Revenue</v>
          </cell>
          <cell r="D47" t="str">
            <v>Commercial Base Revenue Billed</v>
          </cell>
          <cell r="E47" t="str">
            <v>Operating Revenue</v>
          </cell>
          <cell r="F47" t="str">
            <v>4810008</v>
          </cell>
          <cell r="G47" t="str">
            <v>A_4810008</v>
          </cell>
          <cell r="H47" t="str">
            <v>General Service Small</v>
          </cell>
          <cell r="J47">
            <v>427.7</v>
          </cell>
          <cell r="K47">
            <v>428.7</v>
          </cell>
          <cell r="L47">
            <v>347.1</v>
          </cell>
          <cell r="M47">
            <v>338.5</v>
          </cell>
          <cell r="N47">
            <v>314.8</v>
          </cell>
          <cell r="O47">
            <v>313.60000000000002</v>
          </cell>
          <cell r="P47">
            <v>298.3</v>
          </cell>
          <cell r="Q47">
            <v>286</v>
          </cell>
          <cell r="R47">
            <v>307.89999999999998</v>
          </cell>
          <cell r="S47">
            <v>303.10000000000002</v>
          </cell>
          <cell r="T47">
            <v>316</v>
          </cell>
          <cell r="U47">
            <v>371.8</v>
          </cell>
          <cell r="V47">
            <v>379.5</v>
          </cell>
          <cell r="W47">
            <v>393.5</v>
          </cell>
          <cell r="X47">
            <v>376.5</v>
          </cell>
          <cell r="Y47">
            <v>305.3</v>
          </cell>
          <cell r="Z47">
            <v>287.2</v>
          </cell>
          <cell r="AA47">
            <v>313.2</v>
          </cell>
          <cell r="AB47">
            <v>286.10000000000002</v>
          </cell>
          <cell r="AC47">
            <v>296.2</v>
          </cell>
          <cell r="AD47">
            <v>287.60000000000002</v>
          </cell>
          <cell r="AE47">
            <v>301.10000000000002</v>
          </cell>
          <cell r="AF47">
            <v>307.10000000000002</v>
          </cell>
          <cell r="AG47">
            <v>331</v>
          </cell>
          <cell r="AH47">
            <v>370.6</v>
          </cell>
          <cell r="AI47">
            <v>396.3</v>
          </cell>
          <cell r="AJ47">
            <v>342.2</v>
          </cell>
          <cell r="AK47">
            <v>311</v>
          </cell>
          <cell r="AL47">
            <v>302.10000000000002</v>
          </cell>
          <cell r="AM47">
            <v>294.7</v>
          </cell>
          <cell r="AN47">
            <v>275.8</v>
          </cell>
          <cell r="AO47">
            <v>278.89999999999998</v>
          </cell>
          <cell r="AP47">
            <v>285.39999999999998</v>
          </cell>
          <cell r="AQ47">
            <v>283.39999999999998</v>
          </cell>
          <cell r="AR47">
            <v>299.5</v>
          </cell>
          <cell r="AS47">
            <v>327.3</v>
          </cell>
          <cell r="AT47">
            <v>342.7</v>
          </cell>
          <cell r="AU47">
            <v>329.4</v>
          </cell>
          <cell r="AV47">
            <v>317.5</v>
          </cell>
          <cell r="AW47">
            <v>311.60000000000002</v>
          </cell>
          <cell r="AX47">
            <v>290.8</v>
          </cell>
          <cell r="AY47">
            <v>283.60000000000002</v>
          </cell>
          <cell r="AZ47">
            <v>277.8</v>
          </cell>
          <cell r="BA47">
            <v>278.7</v>
          </cell>
          <cell r="BB47">
            <v>386.6</v>
          </cell>
          <cell r="BC47">
            <v>164.1</v>
          </cell>
          <cell r="BD47">
            <v>343.1</v>
          </cell>
          <cell r="BE47">
            <v>361.8</v>
          </cell>
          <cell r="BF47">
            <v>460.6</v>
          </cell>
          <cell r="BG47">
            <v>390.7</v>
          </cell>
          <cell r="BH47">
            <v>304.60000000000002</v>
          </cell>
          <cell r="BI47">
            <v>335.2</v>
          </cell>
          <cell r="BJ47">
            <v>289.89999999999998</v>
          </cell>
          <cell r="BK47">
            <v>293.5</v>
          </cell>
          <cell r="BL47">
            <v>289.60000000000002</v>
          </cell>
          <cell r="BM47">
            <v>281.8</v>
          </cell>
          <cell r="BN47">
            <v>307.60000000000002</v>
          </cell>
          <cell r="BO47">
            <v>302.89999999999998</v>
          </cell>
          <cell r="BP47">
            <v>310.7</v>
          </cell>
          <cell r="BQ47">
            <v>319.60000000000002</v>
          </cell>
          <cell r="BR47">
            <v>337.8</v>
          </cell>
          <cell r="BS47">
            <v>339.3</v>
          </cell>
          <cell r="BT47">
            <v>320.10000000000002</v>
          </cell>
          <cell r="BU47">
            <v>302.60000000000002</v>
          </cell>
          <cell r="BV47">
            <v>290.8</v>
          </cell>
          <cell r="BW47">
            <v>280.39999999999998</v>
          </cell>
          <cell r="BX47">
            <v>249.5</v>
          </cell>
          <cell r="BY47">
            <v>261.2</v>
          </cell>
          <cell r="BZ47">
            <v>276.7</v>
          </cell>
          <cell r="CA47">
            <v>254.1</v>
          </cell>
          <cell r="CB47">
            <v>288.7</v>
          </cell>
          <cell r="CC47">
            <v>299.8</v>
          </cell>
          <cell r="CD47">
            <v>325</v>
          </cell>
          <cell r="CE47">
            <v>318.7</v>
          </cell>
          <cell r="CF47">
            <v>294.3</v>
          </cell>
          <cell r="CG47">
            <v>253.1</v>
          </cell>
          <cell r="CH47">
            <v>249.7</v>
          </cell>
          <cell r="CI47">
            <v>267.7</v>
          </cell>
          <cell r="CJ47">
            <v>253.7</v>
          </cell>
          <cell r="CK47">
            <v>259.2</v>
          </cell>
          <cell r="CL47">
            <v>254.4</v>
          </cell>
          <cell r="CM47">
            <v>263.7</v>
          </cell>
          <cell r="CN47">
            <v>274.5</v>
          </cell>
          <cell r="CO47">
            <v>312.39999999999998</v>
          </cell>
          <cell r="CP47">
            <v>456</v>
          </cell>
          <cell r="CQ47">
            <v>382.6</v>
          </cell>
          <cell r="CR47">
            <v>376.9</v>
          </cell>
          <cell r="CS47">
            <v>367.8</v>
          </cell>
          <cell r="CT47">
            <v>339.4</v>
          </cell>
          <cell r="CU47">
            <v>335</v>
          </cell>
          <cell r="CV47">
            <v>342.4</v>
          </cell>
          <cell r="CW47">
            <v>333.3</v>
          </cell>
          <cell r="CX47">
            <v>470.3</v>
          </cell>
          <cell r="CY47">
            <v>176.3</v>
          </cell>
          <cell r="CZ47">
            <v>398.3</v>
          </cell>
          <cell r="DA47">
            <v>405.6</v>
          </cell>
          <cell r="DB47">
            <v>425</v>
          </cell>
          <cell r="DC47">
            <v>432.5</v>
          </cell>
          <cell r="DD47">
            <v>380.6</v>
          </cell>
          <cell r="DE47">
            <v>368.2</v>
          </cell>
          <cell r="DF47">
            <v>363</v>
          </cell>
          <cell r="DG47">
            <v>349.4</v>
          </cell>
          <cell r="DH47">
            <v>332.5</v>
          </cell>
          <cell r="DI47">
            <v>332.7</v>
          </cell>
          <cell r="DJ47">
            <v>345.7</v>
          </cell>
          <cell r="DK47">
            <v>371.9</v>
          </cell>
          <cell r="DL47">
            <v>358.6</v>
          </cell>
          <cell r="DM47">
            <v>394.3</v>
          </cell>
          <cell r="DN47">
            <v>486.6</v>
          </cell>
          <cell r="DO47">
            <v>483.5</v>
          </cell>
          <cell r="DP47">
            <v>424.1</v>
          </cell>
          <cell r="DQ47">
            <v>408.3</v>
          </cell>
          <cell r="DR47">
            <v>391</v>
          </cell>
          <cell r="DS47">
            <v>390.3</v>
          </cell>
          <cell r="DT47">
            <v>371.5</v>
          </cell>
          <cell r="DU47">
            <v>378.9</v>
          </cell>
          <cell r="DV47">
            <v>458.8</v>
          </cell>
          <cell r="DW47">
            <v>334.6</v>
          </cell>
          <cell r="DX47">
            <v>428.5</v>
          </cell>
          <cell r="DY47">
            <v>469.3</v>
          </cell>
          <cell r="EM47">
            <v>3864.2999999999993</v>
          </cell>
          <cell r="EN47">
            <v>3767.2000000000007</v>
          </cell>
          <cell r="EO47">
            <v>3687.7</v>
          </cell>
          <cell r="EP47">
            <v>3886.7</v>
          </cell>
          <cell r="EQ47">
            <v>3500.9999999999995</v>
          </cell>
          <cell r="ER47">
            <v>3326.4</v>
          </cell>
          <cell r="ES47">
            <v>4383.9000000000005</v>
          </cell>
        </row>
        <row r="48">
          <cell r="A48" t="str">
            <v>Other Operating Income / (Expense) Items</v>
          </cell>
          <cell r="B48" t="str">
            <v>Operating Revenue</v>
          </cell>
          <cell r="D48" t="str">
            <v>Commercial Base Revenue Billed (PGA)</v>
          </cell>
          <cell r="E48" t="str">
            <v>Operating Revenue</v>
          </cell>
          <cell r="F48" t="str">
            <v>4810009</v>
          </cell>
          <cell r="G48" t="str">
            <v>A_4810009</v>
          </cell>
          <cell r="H48" t="str">
            <v>General Service Small FUEL</v>
          </cell>
          <cell r="J48">
            <v>629.4</v>
          </cell>
          <cell r="K48">
            <v>571.20000000000005</v>
          </cell>
          <cell r="L48">
            <v>349.3</v>
          </cell>
          <cell r="M48">
            <v>380.9</v>
          </cell>
          <cell r="N48">
            <v>286.2</v>
          </cell>
          <cell r="O48">
            <v>309.5</v>
          </cell>
          <cell r="P48">
            <v>262.2</v>
          </cell>
          <cell r="Q48">
            <v>242.3</v>
          </cell>
          <cell r="R48">
            <v>279.39999999999998</v>
          </cell>
          <cell r="S48">
            <v>256.89999999999998</v>
          </cell>
          <cell r="T48">
            <v>275</v>
          </cell>
          <cell r="U48">
            <v>403.4</v>
          </cell>
          <cell r="V48">
            <v>490.4</v>
          </cell>
          <cell r="W48">
            <v>479</v>
          </cell>
          <cell r="X48">
            <v>369.6</v>
          </cell>
          <cell r="Y48">
            <v>266.60000000000002</v>
          </cell>
          <cell r="Z48">
            <v>232.1</v>
          </cell>
          <cell r="AA48">
            <v>306.5</v>
          </cell>
          <cell r="AB48">
            <v>230.8</v>
          </cell>
          <cell r="AC48">
            <v>268.7</v>
          </cell>
          <cell r="AD48">
            <v>250.9</v>
          </cell>
          <cell r="AE48">
            <v>260.5</v>
          </cell>
          <cell r="AF48">
            <v>296.7</v>
          </cell>
          <cell r="AG48">
            <v>345.1</v>
          </cell>
          <cell r="AH48">
            <v>497.6</v>
          </cell>
          <cell r="AI48">
            <v>558.9</v>
          </cell>
          <cell r="AJ48">
            <v>385.9</v>
          </cell>
          <cell r="AK48">
            <v>337.2</v>
          </cell>
          <cell r="AL48">
            <v>308.39999999999998</v>
          </cell>
          <cell r="AM48">
            <v>276.3</v>
          </cell>
          <cell r="AN48">
            <v>214.3</v>
          </cell>
          <cell r="AO48">
            <v>232.3</v>
          </cell>
          <cell r="AP48">
            <v>229.6</v>
          </cell>
          <cell r="AQ48">
            <v>230.5</v>
          </cell>
          <cell r="AR48">
            <v>251.1</v>
          </cell>
          <cell r="AS48">
            <v>314.39999999999998</v>
          </cell>
          <cell r="AT48">
            <v>355.6</v>
          </cell>
          <cell r="AU48">
            <v>347.6</v>
          </cell>
          <cell r="AV48">
            <v>313.39999999999998</v>
          </cell>
          <cell r="AW48">
            <v>305</v>
          </cell>
          <cell r="AX48">
            <v>251.9</v>
          </cell>
          <cell r="AY48">
            <v>229.4</v>
          </cell>
          <cell r="AZ48">
            <v>215.6</v>
          </cell>
          <cell r="BA48">
            <v>239.6</v>
          </cell>
          <cell r="BB48">
            <v>541.9</v>
          </cell>
          <cell r="BC48">
            <v>-46.9</v>
          </cell>
          <cell r="BD48">
            <v>418.4</v>
          </cell>
          <cell r="BE48">
            <v>455.9</v>
          </cell>
          <cell r="BF48">
            <v>811.7</v>
          </cell>
          <cell r="BG48">
            <v>606.6</v>
          </cell>
          <cell r="BH48">
            <v>307.39999999999998</v>
          </cell>
          <cell r="BI48">
            <v>406.8</v>
          </cell>
          <cell r="BJ48">
            <v>288.3</v>
          </cell>
          <cell r="BK48">
            <v>277.2</v>
          </cell>
          <cell r="BL48">
            <v>264.8</v>
          </cell>
          <cell r="BM48">
            <v>252.8</v>
          </cell>
          <cell r="BN48">
            <v>316.10000000000002</v>
          </cell>
          <cell r="BO48">
            <v>281.8</v>
          </cell>
          <cell r="BP48">
            <v>309.5</v>
          </cell>
          <cell r="BQ48">
            <v>333.7</v>
          </cell>
          <cell r="BR48">
            <v>462.7</v>
          </cell>
          <cell r="BS48">
            <v>452</v>
          </cell>
          <cell r="BT48">
            <v>444.5</v>
          </cell>
          <cell r="BU48">
            <v>430</v>
          </cell>
          <cell r="BV48">
            <v>373.9</v>
          </cell>
          <cell r="BW48">
            <v>352.7</v>
          </cell>
          <cell r="BX48">
            <v>258.5</v>
          </cell>
          <cell r="BY48">
            <v>227.1</v>
          </cell>
          <cell r="BZ48">
            <v>286.2</v>
          </cell>
          <cell r="CA48">
            <v>230.9</v>
          </cell>
          <cell r="CB48">
            <v>320.5</v>
          </cell>
          <cell r="CC48">
            <v>352.4</v>
          </cell>
          <cell r="CD48">
            <v>407.8</v>
          </cell>
          <cell r="CE48">
            <v>372.1</v>
          </cell>
          <cell r="CF48">
            <v>303.10000000000002</v>
          </cell>
          <cell r="CG48">
            <v>211.3</v>
          </cell>
          <cell r="CH48">
            <v>200.2</v>
          </cell>
          <cell r="CI48">
            <v>243.3</v>
          </cell>
          <cell r="CJ48">
            <v>211.9</v>
          </cell>
          <cell r="CK48">
            <v>222.3</v>
          </cell>
          <cell r="CL48">
            <v>209</v>
          </cell>
          <cell r="CM48">
            <v>256</v>
          </cell>
          <cell r="CN48">
            <v>301</v>
          </cell>
          <cell r="CO48">
            <v>416.8</v>
          </cell>
          <cell r="CP48">
            <v>468.5</v>
          </cell>
          <cell r="CQ48">
            <v>393</v>
          </cell>
          <cell r="CR48">
            <v>463.7</v>
          </cell>
          <cell r="CS48">
            <v>412.2</v>
          </cell>
          <cell r="CT48">
            <v>340.2</v>
          </cell>
          <cell r="CU48">
            <v>327.7</v>
          </cell>
          <cell r="CV48">
            <v>296.39999999999998</v>
          </cell>
          <cell r="CW48">
            <v>287.39999999999998</v>
          </cell>
          <cell r="CX48">
            <v>654.1</v>
          </cell>
          <cell r="CY48">
            <v>-123.3</v>
          </cell>
          <cell r="CZ48">
            <v>457.3</v>
          </cell>
          <cell r="DA48">
            <v>475.6</v>
          </cell>
          <cell r="DB48">
            <v>602.6</v>
          </cell>
          <cell r="DC48">
            <v>600.20000000000005</v>
          </cell>
          <cell r="DD48">
            <v>446.2</v>
          </cell>
          <cell r="DE48">
            <v>409.1</v>
          </cell>
          <cell r="DF48">
            <v>400.8</v>
          </cell>
          <cell r="DG48">
            <v>353.8</v>
          </cell>
          <cell r="DH48">
            <v>297.10000000000002</v>
          </cell>
          <cell r="DI48">
            <v>510.7</v>
          </cell>
          <cell r="DJ48">
            <v>492.4</v>
          </cell>
          <cell r="DK48">
            <v>565.4</v>
          </cell>
          <cell r="DL48">
            <v>213.1</v>
          </cell>
          <cell r="DM48">
            <v>402.4</v>
          </cell>
          <cell r="DN48">
            <v>1049.2</v>
          </cell>
          <cell r="DO48">
            <v>1109.0999999999999</v>
          </cell>
          <cell r="DP48">
            <v>1008.6</v>
          </cell>
          <cell r="DQ48">
            <v>686.2</v>
          </cell>
          <cell r="DR48">
            <v>671.8</v>
          </cell>
          <cell r="DS48">
            <v>739.9</v>
          </cell>
          <cell r="DT48">
            <v>482.4</v>
          </cell>
          <cell r="DU48">
            <v>567</v>
          </cell>
          <cell r="DV48">
            <v>568.70000000000005</v>
          </cell>
          <cell r="DW48">
            <v>562.20000000000005</v>
          </cell>
          <cell r="DX48">
            <v>657.6</v>
          </cell>
          <cell r="DY48">
            <v>617.1</v>
          </cell>
          <cell r="EM48">
            <v>3796.8999999999996</v>
          </cell>
          <cell r="EN48">
            <v>3836.5000000000005</v>
          </cell>
          <cell r="EO48">
            <v>3627.4</v>
          </cell>
          <cell r="EP48">
            <v>4456.7000000000007</v>
          </cell>
          <cell r="EQ48">
            <v>4191.3999999999996</v>
          </cell>
          <cell r="ER48">
            <v>3354.8</v>
          </cell>
          <cell r="ES48">
            <v>4452.8</v>
          </cell>
        </row>
        <row r="49">
          <cell r="A49" t="str">
            <v>Base Revenues and OSS - Net</v>
          </cell>
          <cell r="B49" t="str">
            <v>Operating Revenue</v>
          </cell>
          <cell r="D49" t="str">
            <v>Commercial Base Revenue Billed</v>
          </cell>
          <cell r="E49" t="str">
            <v>Operating Revenue</v>
          </cell>
          <cell r="F49" t="str">
            <v>4810033</v>
          </cell>
          <cell r="G49" t="str">
            <v>A_4810033</v>
          </cell>
          <cell r="H49" t="str">
            <v>Commercial Gas Heat Pump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0.1</v>
          </cell>
          <cell r="CC49">
            <v>0</v>
          </cell>
          <cell r="CD49">
            <v>0</v>
          </cell>
          <cell r="CE49">
            <v>0.1</v>
          </cell>
          <cell r="CF49">
            <v>0.1</v>
          </cell>
          <cell r="CG49">
            <v>0.1</v>
          </cell>
          <cell r="CH49">
            <v>0.1</v>
          </cell>
          <cell r="CI49">
            <v>0.1</v>
          </cell>
          <cell r="CJ49">
            <v>0.1</v>
          </cell>
          <cell r="CK49">
            <v>0.1</v>
          </cell>
          <cell r="CL49">
            <v>0.1</v>
          </cell>
          <cell r="CM49">
            <v>0.1</v>
          </cell>
          <cell r="CN49">
            <v>0.1</v>
          </cell>
          <cell r="CO49">
            <v>0.1</v>
          </cell>
          <cell r="CP49">
            <v>0.1</v>
          </cell>
          <cell r="CQ49">
            <v>0.1</v>
          </cell>
          <cell r="CR49">
            <v>0.1</v>
          </cell>
          <cell r="CS49">
            <v>0.1</v>
          </cell>
          <cell r="CT49">
            <v>0.1</v>
          </cell>
          <cell r="CU49">
            <v>0.1</v>
          </cell>
          <cell r="CV49">
            <v>0.1</v>
          </cell>
          <cell r="CW49">
            <v>0.1</v>
          </cell>
          <cell r="CX49">
            <v>0.1</v>
          </cell>
          <cell r="CY49">
            <v>0.1</v>
          </cell>
          <cell r="CZ49">
            <v>0</v>
          </cell>
          <cell r="DA49">
            <v>0.1</v>
          </cell>
          <cell r="DB49">
            <v>0.1</v>
          </cell>
          <cell r="DC49">
            <v>0.1</v>
          </cell>
          <cell r="DD49">
            <v>0.1</v>
          </cell>
          <cell r="DE49">
            <v>0.1</v>
          </cell>
          <cell r="DF49">
            <v>0.1</v>
          </cell>
          <cell r="DG49">
            <v>0.1</v>
          </cell>
          <cell r="DH49">
            <v>0.1</v>
          </cell>
          <cell r="DI49">
            <v>0.1</v>
          </cell>
          <cell r="DJ49">
            <v>0.1</v>
          </cell>
          <cell r="DK49">
            <v>0.1</v>
          </cell>
          <cell r="DL49">
            <v>0.1</v>
          </cell>
          <cell r="DM49">
            <v>0.1</v>
          </cell>
          <cell r="DN49">
            <v>0.1</v>
          </cell>
          <cell r="DO49">
            <v>0.1</v>
          </cell>
          <cell r="DP49">
            <v>0.1</v>
          </cell>
          <cell r="DQ49">
            <v>0.1</v>
          </cell>
          <cell r="DR49">
            <v>0.1</v>
          </cell>
          <cell r="DS49">
            <v>0.1</v>
          </cell>
          <cell r="DT49">
            <v>0.1</v>
          </cell>
          <cell r="DU49">
            <v>0.1</v>
          </cell>
          <cell r="DV49">
            <v>0.1</v>
          </cell>
          <cell r="DW49">
            <v>0.1</v>
          </cell>
          <cell r="DX49">
            <v>0.1</v>
          </cell>
          <cell r="DY49">
            <v>0.1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0.1</v>
          </cell>
          <cell r="ER49">
            <v>1.0999999999999999</v>
          </cell>
          <cell r="ES49">
            <v>1.0999999999999999</v>
          </cell>
        </row>
        <row r="50">
          <cell r="A50" t="str">
            <v>Other Operating Income / (Expense) Items</v>
          </cell>
          <cell r="B50" t="str">
            <v>Operating Revenue</v>
          </cell>
          <cell r="D50" t="str">
            <v>Commercial Base Revenue Billed (PGA)</v>
          </cell>
          <cell r="E50" t="str">
            <v>Operating Revenue</v>
          </cell>
          <cell r="F50" t="str">
            <v>4810034</v>
          </cell>
          <cell r="G50" t="str">
            <v>A_4810034</v>
          </cell>
          <cell r="H50" t="str">
            <v>Commercial Gas Heat Pump FUEL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0.1</v>
          </cell>
          <cell r="CE50">
            <v>0.1</v>
          </cell>
          <cell r="CF50">
            <v>0.2</v>
          </cell>
          <cell r="CG50">
            <v>0.1</v>
          </cell>
          <cell r="CH50">
            <v>0.2</v>
          </cell>
          <cell r="CI50">
            <v>0.3</v>
          </cell>
          <cell r="CJ50">
            <v>0.2</v>
          </cell>
          <cell r="CK50">
            <v>0.3</v>
          </cell>
          <cell r="CL50">
            <v>0.2</v>
          </cell>
          <cell r="CM50">
            <v>0.2</v>
          </cell>
          <cell r="CN50">
            <v>0.2</v>
          </cell>
          <cell r="CO50">
            <v>0</v>
          </cell>
          <cell r="CP50">
            <v>0</v>
          </cell>
          <cell r="CQ50">
            <v>0.1</v>
          </cell>
          <cell r="CR50">
            <v>0.1</v>
          </cell>
          <cell r="CS50">
            <v>0.2</v>
          </cell>
          <cell r="CT50">
            <v>0.2</v>
          </cell>
          <cell r="CU50">
            <v>0.4</v>
          </cell>
          <cell r="CV50">
            <v>0.4</v>
          </cell>
          <cell r="CW50">
            <v>0.3</v>
          </cell>
          <cell r="CX50">
            <v>0.2</v>
          </cell>
          <cell r="CY50">
            <v>0.2</v>
          </cell>
          <cell r="CZ50">
            <v>0</v>
          </cell>
          <cell r="DA50">
            <v>0.1</v>
          </cell>
          <cell r="DB50">
            <v>0</v>
          </cell>
          <cell r="DC50">
            <v>0.1</v>
          </cell>
          <cell r="DD50">
            <v>0.1</v>
          </cell>
          <cell r="DE50">
            <v>0.2</v>
          </cell>
          <cell r="DF50">
            <v>0.3</v>
          </cell>
          <cell r="DG50">
            <v>0.4</v>
          </cell>
          <cell r="DH50">
            <v>0.4</v>
          </cell>
          <cell r="DI50">
            <v>0.6</v>
          </cell>
          <cell r="DJ50">
            <v>0.6</v>
          </cell>
          <cell r="DK50">
            <v>0.4</v>
          </cell>
          <cell r="DL50">
            <v>0.2</v>
          </cell>
          <cell r="DM50">
            <v>0.1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2.1</v>
          </cell>
          <cell r="ES50">
            <v>2.2000000000000002</v>
          </cell>
        </row>
        <row r="51">
          <cell r="A51" t="str">
            <v>Base Revenues and OSS - Net</v>
          </cell>
          <cell r="B51" t="str">
            <v>Operating Revenue</v>
          </cell>
          <cell r="D51" t="str">
            <v>Commercial Base Revenue Billed</v>
          </cell>
          <cell r="E51" t="str">
            <v>Operating Revenue</v>
          </cell>
          <cell r="F51" t="str">
            <v>4810035</v>
          </cell>
          <cell r="G51" t="str">
            <v>A_4810035</v>
          </cell>
          <cell r="H51" t="str">
            <v>Commercial Standby Generator</v>
          </cell>
          <cell r="J51">
            <v>33.6</v>
          </cell>
          <cell r="K51">
            <v>31.8</v>
          </cell>
          <cell r="L51">
            <v>31.3</v>
          </cell>
          <cell r="M51">
            <v>31.7</v>
          </cell>
          <cell r="N51">
            <v>31.4</v>
          </cell>
          <cell r="O51">
            <v>30.8</v>
          </cell>
          <cell r="P51">
            <v>32.200000000000003</v>
          </cell>
          <cell r="Q51">
            <v>31.4</v>
          </cell>
          <cell r="R51">
            <v>31.2</v>
          </cell>
          <cell r="S51">
            <v>30.5</v>
          </cell>
          <cell r="T51">
            <v>31</v>
          </cell>
          <cell r="U51">
            <v>31.4</v>
          </cell>
          <cell r="V51">
            <v>31.8</v>
          </cell>
          <cell r="W51">
            <v>31.8</v>
          </cell>
          <cell r="X51">
            <v>32.299999999999997</v>
          </cell>
          <cell r="Y51">
            <v>31.8</v>
          </cell>
          <cell r="Z51">
            <v>31.3</v>
          </cell>
          <cell r="AA51">
            <v>32</v>
          </cell>
          <cell r="AB51">
            <v>30.7</v>
          </cell>
          <cell r="AC51">
            <v>31.4</v>
          </cell>
          <cell r="AD51">
            <v>33.200000000000003</v>
          </cell>
          <cell r="AE51">
            <v>34.700000000000003</v>
          </cell>
          <cell r="AF51">
            <v>30.1</v>
          </cell>
          <cell r="AG51">
            <v>30.5</v>
          </cell>
          <cell r="AH51">
            <v>33.299999999999997</v>
          </cell>
          <cell r="AI51">
            <v>30.8</v>
          </cell>
          <cell r="AJ51">
            <v>29.9</v>
          </cell>
          <cell r="AK51">
            <v>30.2</v>
          </cell>
          <cell r="AL51">
            <v>31.5</v>
          </cell>
          <cell r="AM51">
            <v>36</v>
          </cell>
          <cell r="AN51">
            <v>30.4</v>
          </cell>
          <cell r="AO51">
            <v>31.7</v>
          </cell>
          <cell r="AP51">
            <v>31.5</v>
          </cell>
          <cell r="AQ51">
            <v>31</v>
          </cell>
          <cell r="AR51">
            <v>30.4</v>
          </cell>
          <cell r="AS51">
            <v>30.3</v>
          </cell>
          <cell r="AT51">
            <v>29.8</v>
          </cell>
          <cell r="AU51">
            <v>30.2</v>
          </cell>
          <cell r="AV51">
            <v>30.3</v>
          </cell>
          <cell r="AW51">
            <v>30.2</v>
          </cell>
          <cell r="AX51">
            <v>30.2</v>
          </cell>
          <cell r="AY51">
            <v>30.5</v>
          </cell>
          <cell r="AZ51">
            <v>30.2</v>
          </cell>
          <cell r="BA51">
            <v>31.1</v>
          </cell>
          <cell r="BB51">
            <v>40.299999999999997</v>
          </cell>
          <cell r="BC51">
            <v>42.3</v>
          </cell>
          <cell r="BD51">
            <v>42.4</v>
          </cell>
          <cell r="BE51">
            <v>31.6</v>
          </cell>
          <cell r="BF51">
            <v>32.299999999999997</v>
          </cell>
          <cell r="BG51">
            <v>33.200000000000003</v>
          </cell>
          <cell r="BH51">
            <v>33.799999999999997</v>
          </cell>
          <cell r="BI51">
            <v>31.8</v>
          </cell>
          <cell r="BJ51">
            <v>31.5</v>
          </cell>
          <cell r="BK51">
            <v>32.9</v>
          </cell>
          <cell r="BL51">
            <v>31.7</v>
          </cell>
          <cell r="BM51">
            <v>32</v>
          </cell>
          <cell r="BN51">
            <v>33.200000000000003</v>
          </cell>
          <cell r="BO51">
            <v>32.799999999999997</v>
          </cell>
          <cell r="BP51">
            <v>37.5</v>
          </cell>
          <cell r="BQ51">
            <v>35.5</v>
          </cell>
          <cell r="BR51">
            <v>32.299999999999997</v>
          </cell>
          <cell r="BS51">
            <v>31</v>
          </cell>
          <cell r="BT51">
            <v>31.7</v>
          </cell>
          <cell r="BU51">
            <v>32.799999999999997</v>
          </cell>
          <cell r="BV51">
            <v>31.7</v>
          </cell>
          <cell r="BW51">
            <v>31.6</v>
          </cell>
          <cell r="BX51">
            <v>32.299999999999997</v>
          </cell>
          <cell r="BY51">
            <v>32.200000000000003</v>
          </cell>
          <cell r="BZ51">
            <v>34.5</v>
          </cell>
          <cell r="CA51">
            <v>35.6</v>
          </cell>
          <cell r="CB51">
            <v>35.299999999999997</v>
          </cell>
          <cell r="CC51">
            <v>35.299999999999997</v>
          </cell>
          <cell r="CD51">
            <v>34.9</v>
          </cell>
          <cell r="CE51">
            <v>36</v>
          </cell>
          <cell r="CF51">
            <v>36</v>
          </cell>
          <cell r="CG51">
            <v>34</v>
          </cell>
          <cell r="CH51">
            <v>33.299999999999997</v>
          </cell>
          <cell r="CI51">
            <v>34.6</v>
          </cell>
          <cell r="CJ51">
            <v>34.200000000000003</v>
          </cell>
          <cell r="CK51">
            <v>34.6</v>
          </cell>
          <cell r="CL51">
            <v>34.700000000000003</v>
          </cell>
          <cell r="CM51">
            <v>35.6</v>
          </cell>
          <cell r="CN51">
            <v>36</v>
          </cell>
          <cell r="CO51">
            <v>35.700000000000003</v>
          </cell>
          <cell r="CP51">
            <v>49.7</v>
          </cell>
          <cell r="CQ51">
            <v>48.3</v>
          </cell>
          <cell r="CR51">
            <v>49.7</v>
          </cell>
          <cell r="CS51">
            <v>49.4</v>
          </cell>
          <cell r="CT51">
            <v>48.1</v>
          </cell>
          <cell r="CU51">
            <v>49.8</v>
          </cell>
          <cell r="CV51">
            <v>47.2</v>
          </cell>
          <cell r="CW51">
            <v>48.4</v>
          </cell>
          <cell r="CX51">
            <v>48.9</v>
          </cell>
          <cell r="CY51">
            <v>49.5</v>
          </cell>
          <cell r="CZ51">
            <v>50.6</v>
          </cell>
          <cell r="DA51">
            <v>49</v>
          </cell>
          <cell r="DB51">
            <v>47.5</v>
          </cell>
          <cell r="DC51">
            <v>48.4</v>
          </cell>
          <cell r="DD51">
            <v>51.2</v>
          </cell>
          <cell r="DE51">
            <v>49.5</v>
          </cell>
          <cell r="DF51">
            <v>50.7</v>
          </cell>
          <cell r="DG51">
            <v>48.4</v>
          </cell>
          <cell r="DH51">
            <v>47.8</v>
          </cell>
          <cell r="DI51">
            <v>47.8</v>
          </cell>
          <cell r="DJ51">
            <v>48</v>
          </cell>
          <cell r="DK51">
            <v>55.2</v>
          </cell>
          <cell r="DL51">
            <v>58.3</v>
          </cell>
          <cell r="DM51">
            <v>50.3</v>
          </cell>
          <cell r="DN51">
            <v>50.3</v>
          </cell>
          <cell r="DO51">
            <v>49.9</v>
          </cell>
          <cell r="DP51">
            <v>50.1</v>
          </cell>
          <cell r="DQ51">
            <v>50.4</v>
          </cell>
          <cell r="DR51">
            <v>49.6</v>
          </cell>
          <cell r="DS51">
            <v>49.1</v>
          </cell>
          <cell r="DT51">
            <v>49.2</v>
          </cell>
          <cell r="DU51">
            <v>46.9</v>
          </cell>
          <cell r="DV51">
            <v>46.9</v>
          </cell>
          <cell r="DW51">
            <v>46.9</v>
          </cell>
          <cell r="DX51">
            <v>55.5</v>
          </cell>
          <cell r="DY51">
            <v>63.9</v>
          </cell>
          <cell r="EM51">
            <v>381.6</v>
          </cell>
          <cell r="EN51">
            <v>376.99999999999994</v>
          </cell>
          <cell r="EO51">
            <v>399.09999999999997</v>
          </cell>
          <cell r="EP51">
            <v>398.2</v>
          </cell>
          <cell r="EQ51">
            <v>396.3</v>
          </cell>
          <cell r="ER51">
            <v>419.6</v>
          </cell>
          <cell r="ES51">
            <v>588.59999999999991</v>
          </cell>
        </row>
        <row r="52">
          <cell r="A52" t="str">
            <v>Other Operating Income / (Expense) Items</v>
          </cell>
          <cell r="B52" t="str">
            <v>Operating Revenue</v>
          </cell>
          <cell r="D52" t="str">
            <v>Commercial Base Revenue Billed (PGA)</v>
          </cell>
          <cell r="E52" t="str">
            <v>Operating Revenue</v>
          </cell>
          <cell r="F52" t="str">
            <v>4810036</v>
          </cell>
          <cell r="G52" t="str">
            <v>A_4810036</v>
          </cell>
          <cell r="H52" t="str">
            <v>Commercial Standby Generator FUEL</v>
          </cell>
          <cell r="J52">
            <v>8.5</v>
          </cell>
          <cell r="K52">
            <v>7.4</v>
          </cell>
          <cell r="L52">
            <v>6.3</v>
          </cell>
          <cell r="M52">
            <v>7</v>
          </cell>
          <cell r="N52">
            <v>5.7</v>
          </cell>
          <cell r="O52">
            <v>6.6</v>
          </cell>
          <cell r="P52">
            <v>8.9</v>
          </cell>
          <cell r="Q52">
            <v>7.1</v>
          </cell>
          <cell r="R52">
            <v>6.9</v>
          </cell>
          <cell r="S52">
            <v>4.9000000000000004</v>
          </cell>
          <cell r="T52">
            <v>5.0999999999999996</v>
          </cell>
          <cell r="U52">
            <v>5.7</v>
          </cell>
          <cell r="V52">
            <v>7.5</v>
          </cell>
          <cell r="W52">
            <v>7</v>
          </cell>
          <cell r="X52">
            <v>6.4</v>
          </cell>
          <cell r="Y52">
            <v>6.6</v>
          </cell>
          <cell r="Z52">
            <v>5.9</v>
          </cell>
          <cell r="AA52">
            <v>7.2</v>
          </cell>
          <cell r="AB52">
            <v>4.3</v>
          </cell>
          <cell r="AC52">
            <v>5.5</v>
          </cell>
          <cell r="AD52">
            <v>11.7</v>
          </cell>
          <cell r="AE52">
            <v>6.7</v>
          </cell>
          <cell r="AF52">
            <v>5.8</v>
          </cell>
          <cell r="AG52">
            <v>4.5999999999999996</v>
          </cell>
          <cell r="AH52">
            <v>13.9</v>
          </cell>
          <cell r="AI52">
            <v>7.2</v>
          </cell>
          <cell r="AJ52">
            <v>5</v>
          </cell>
          <cell r="AK52">
            <v>6.5</v>
          </cell>
          <cell r="AL52">
            <v>9.3000000000000007</v>
          </cell>
          <cell r="AM52">
            <v>12.8</v>
          </cell>
          <cell r="AN52">
            <v>6.2</v>
          </cell>
          <cell r="AO52">
            <v>7.7</v>
          </cell>
          <cell r="AP52">
            <v>8.9</v>
          </cell>
          <cell r="AQ52">
            <v>6.5</v>
          </cell>
          <cell r="AR52">
            <v>5.2</v>
          </cell>
          <cell r="AS52">
            <v>4</v>
          </cell>
          <cell r="AT52">
            <v>4.0999999999999996</v>
          </cell>
          <cell r="AU52">
            <v>5.6</v>
          </cell>
          <cell r="AV52">
            <v>5</v>
          </cell>
          <cell r="AW52">
            <v>6.7</v>
          </cell>
          <cell r="AX52">
            <v>4.7</v>
          </cell>
          <cell r="AY52">
            <v>5.3</v>
          </cell>
          <cell r="AZ52">
            <v>7.4</v>
          </cell>
          <cell r="BA52">
            <v>6.9</v>
          </cell>
          <cell r="BB52">
            <v>33.799999999999997</v>
          </cell>
          <cell r="BC52">
            <v>41.5</v>
          </cell>
          <cell r="BD52">
            <v>39.4</v>
          </cell>
          <cell r="BE52">
            <v>6.3</v>
          </cell>
          <cell r="BF52">
            <v>9.1</v>
          </cell>
          <cell r="BG52">
            <v>13.4</v>
          </cell>
          <cell r="BH52">
            <v>12.3</v>
          </cell>
          <cell r="BI52">
            <v>8.1</v>
          </cell>
          <cell r="BJ52">
            <v>10.199999999999999</v>
          </cell>
          <cell r="BK52">
            <v>10.5</v>
          </cell>
          <cell r="BL52">
            <v>6.2</v>
          </cell>
          <cell r="BM52">
            <v>7.1</v>
          </cell>
          <cell r="BN52">
            <v>8.5</v>
          </cell>
          <cell r="BO52">
            <v>8.1</v>
          </cell>
          <cell r="BP52">
            <v>19.399999999999999</v>
          </cell>
          <cell r="BQ52">
            <v>10.3</v>
          </cell>
          <cell r="BR52">
            <v>10</v>
          </cell>
          <cell r="BS52">
            <v>10.1</v>
          </cell>
          <cell r="BT52">
            <v>11.1</v>
          </cell>
          <cell r="BU52">
            <v>11.4</v>
          </cell>
          <cell r="BV52">
            <v>11.7</v>
          </cell>
          <cell r="BW52">
            <v>10.6</v>
          </cell>
          <cell r="BX52">
            <v>11.5</v>
          </cell>
          <cell r="BY52">
            <v>9.5</v>
          </cell>
          <cell r="BZ52">
            <v>11.4</v>
          </cell>
          <cell r="CA52">
            <v>10.199999999999999</v>
          </cell>
          <cell r="CB52">
            <v>11.9</v>
          </cell>
          <cell r="CC52">
            <v>11.6</v>
          </cell>
          <cell r="CD52">
            <v>11.3</v>
          </cell>
          <cell r="CE52">
            <v>11.4</v>
          </cell>
          <cell r="CF52">
            <v>11.5</v>
          </cell>
          <cell r="CG52">
            <v>8.3000000000000007</v>
          </cell>
          <cell r="CH52">
            <v>5.9</v>
          </cell>
          <cell r="CI52">
            <v>8.1999999999999993</v>
          </cell>
          <cell r="CJ52">
            <v>7.9</v>
          </cell>
          <cell r="CK52">
            <v>9.5</v>
          </cell>
          <cell r="CL52">
            <v>9.4</v>
          </cell>
          <cell r="CM52">
            <v>10.8</v>
          </cell>
          <cell r="CN52">
            <v>13.2</v>
          </cell>
          <cell r="CO52">
            <v>13</v>
          </cell>
          <cell r="CP52">
            <v>13.4</v>
          </cell>
          <cell r="CQ52">
            <v>13.4</v>
          </cell>
          <cell r="CR52">
            <v>16.399999999999999</v>
          </cell>
          <cell r="CS52">
            <v>15.9</v>
          </cell>
          <cell r="CT52">
            <v>14.5</v>
          </cell>
          <cell r="CU52">
            <v>13.6</v>
          </cell>
          <cell r="CV52">
            <v>13.2</v>
          </cell>
          <cell r="CW52">
            <v>13.7</v>
          </cell>
          <cell r="CX52">
            <v>13.4</v>
          </cell>
          <cell r="CY52">
            <v>15.2</v>
          </cell>
          <cell r="CZ52">
            <v>14.6</v>
          </cell>
          <cell r="DA52">
            <v>14.8</v>
          </cell>
          <cell r="DB52">
            <v>15.6</v>
          </cell>
          <cell r="DC52">
            <v>16.899999999999999</v>
          </cell>
          <cell r="DD52">
            <v>21.8</v>
          </cell>
          <cell r="DE52">
            <v>16.8</v>
          </cell>
          <cell r="DF52">
            <v>18.399999999999999</v>
          </cell>
          <cell r="DG52">
            <v>14.3</v>
          </cell>
          <cell r="DH52">
            <v>14.2</v>
          </cell>
          <cell r="DI52">
            <v>22.8</v>
          </cell>
          <cell r="DJ52">
            <v>21.9</v>
          </cell>
          <cell r="DK52">
            <v>58</v>
          </cell>
          <cell r="DL52">
            <v>37.799999999999997</v>
          </cell>
          <cell r="DM52">
            <v>18.8</v>
          </cell>
          <cell r="DN52">
            <v>22.7</v>
          </cell>
          <cell r="DO52">
            <v>25</v>
          </cell>
          <cell r="DP52">
            <v>25.3</v>
          </cell>
          <cell r="DQ52">
            <v>18.2</v>
          </cell>
          <cell r="DR52">
            <v>21</v>
          </cell>
          <cell r="DS52">
            <v>22.2</v>
          </cell>
          <cell r="DT52">
            <v>21.4</v>
          </cell>
          <cell r="DU52">
            <v>23.7</v>
          </cell>
          <cell r="DV52">
            <v>22.6</v>
          </cell>
          <cell r="DW52">
            <v>24.9</v>
          </cell>
          <cell r="DX52">
            <v>24.4</v>
          </cell>
          <cell r="DY52">
            <v>20.3</v>
          </cell>
          <cell r="EM52">
            <v>79.199999999999989</v>
          </cell>
          <cell r="EN52">
            <v>93.200000000000017</v>
          </cell>
          <cell r="EO52">
            <v>166.70000000000002</v>
          </cell>
          <cell r="EP52">
            <v>123.19999999999997</v>
          </cell>
          <cell r="EQ52">
            <v>131</v>
          </cell>
          <cell r="ER52">
            <v>120.4</v>
          </cell>
          <cell r="ES52">
            <v>172.1</v>
          </cell>
        </row>
        <row r="53">
          <cell r="A53" t="str">
            <v>Base Revenues and OSS - Net</v>
          </cell>
          <cell r="B53" t="str">
            <v>Operating Revenue</v>
          </cell>
          <cell r="D53" t="str">
            <v>Commercial Base Revenue Billed</v>
          </cell>
          <cell r="E53" t="str">
            <v>Operating Revenue</v>
          </cell>
          <cell r="F53" t="str">
            <v>4810050</v>
          </cell>
          <cell r="G53" t="str">
            <v>A_4810050</v>
          </cell>
          <cell r="H53" t="str">
            <v>General Service Large Vol. 1</v>
          </cell>
          <cell r="J53">
            <v>619</v>
          </cell>
          <cell r="K53">
            <v>572.1</v>
          </cell>
          <cell r="L53">
            <v>492.3</v>
          </cell>
          <cell r="M53">
            <v>496.9</v>
          </cell>
          <cell r="N53">
            <v>428.9</v>
          </cell>
          <cell r="O53">
            <v>439.2</v>
          </cell>
          <cell r="P53">
            <v>409.9</v>
          </cell>
          <cell r="Q53">
            <v>388.7</v>
          </cell>
          <cell r="R53">
            <v>432.6</v>
          </cell>
          <cell r="S53">
            <v>419</v>
          </cell>
          <cell r="T53">
            <v>429.1</v>
          </cell>
          <cell r="U53">
            <v>517.9</v>
          </cell>
          <cell r="V53">
            <v>551.29999999999995</v>
          </cell>
          <cell r="W53">
            <v>551.1</v>
          </cell>
          <cell r="X53">
            <v>517.5</v>
          </cell>
          <cell r="Y53">
            <v>407.7</v>
          </cell>
          <cell r="Z53">
            <v>362.4</v>
          </cell>
          <cell r="AA53">
            <v>546.79999999999995</v>
          </cell>
          <cell r="AB53">
            <v>299.7</v>
          </cell>
          <cell r="AC53">
            <v>362.6</v>
          </cell>
          <cell r="AD53">
            <v>344.5</v>
          </cell>
          <cell r="AE53">
            <v>357.9</v>
          </cell>
          <cell r="AF53">
            <v>362.3</v>
          </cell>
          <cell r="AG53">
            <v>438.2</v>
          </cell>
          <cell r="AH53">
            <v>494.6</v>
          </cell>
          <cell r="AI53">
            <v>494</v>
          </cell>
          <cell r="AJ53">
            <v>428.1</v>
          </cell>
          <cell r="AK53">
            <v>408.6</v>
          </cell>
          <cell r="AL53">
            <v>360.6</v>
          </cell>
          <cell r="AM53">
            <v>341.3</v>
          </cell>
          <cell r="AN53">
            <v>320.39999999999998</v>
          </cell>
          <cell r="AO53">
            <v>329.2</v>
          </cell>
          <cell r="AP53">
            <v>338.7</v>
          </cell>
          <cell r="AQ53">
            <v>315.8</v>
          </cell>
          <cell r="AR53">
            <v>373.1</v>
          </cell>
          <cell r="AS53">
            <v>431.4</v>
          </cell>
          <cell r="AT53">
            <v>437.6</v>
          </cell>
          <cell r="AU53">
            <v>419.5</v>
          </cell>
          <cell r="AV53">
            <v>409.2</v>
          </cell>
          <cell r="AW53">
            <v>409.7</v>
          </cell>
          <cell r="AX53">
            <v>384.4</v>
          </cell>
          <cell r="AY53">
            <v>375.9</v>
          </cell>
          <cell r="AZ53">
            <v>283.8</v>
          </cell>
          <cell r="BA53">
            <v>330.3</v>
          </cell>
          <cell r="BB53">
            <v>365.1</v>
          </cell>
          <cell r="BC53">
            <v>340.3</v>
          </cell>
          <cell r="BD53">
            <v>367.9</v>
          </cell>
          <cell r="BE53">
            <v>567.9</v>
          </cell>
          <cell r="BF53">
            <v>453.9</v>
          </cell>
          <cell r="BG53">
            <v>462.7</v>
          </cell>
          <cell r="BH53">
            <v>432.9</v>
          </cell>
          <cell r="BI53">
            <v>429.5</v>
          </cell>
          <cell r="BJ53">
            <v>376.5</v>
          </cell>
          <cell r="BK53">
            <v>371.3</v>
          </cell>
          <cell r="BL53">
            <v>359.8</v>
          </cell>
          <cell r="BM53">
            <v>353</v>
          </cell>
          <cell r="BN53">
            <v>383.8</v>
          </cell>
          <cell r="BO53">
            <v>368.7</v>
          </cell>
          <cell r="BP53">
            <v>394.1</v>
          </cell>
          <cell r="BQ53">
            <v>450</v>
          </cell>
          <cell r="BR53">
            <v>450.5</v>
          </cell>
          <cell r="BS53">
            <v>413.5</v>
          </cell>
          <cell r="BT53">
            <v>444</v>
          </cell>
          <cell r="BU53">
            <v>426.7</v>
          </cell>
          <cell r="BV53">
            <v>358.5</v>
          </cell>
          <cell r="BW53">
            <v>372</v>
          </cell>
          <cell r="BX53">
            <v>335.2</v>
          </cell>
          <cell r="BY53">
            <v>343</v>
          </cell>
          <cell r="BZ53">
            <v>369.4</v>
          </cell>
          <cell r="CA53">
            <v>344.7</v>
          </cell>
          <cell r="CB53">
            <v>425.5</v>
          </cell>
          <cell r="CC53">
            <v>444.4</v>
          </cell>
          <cell r="CD53">
            <v>494.9</v>
          </cell>
          <cell r="CE53">
            <v>461.2</v>
          </cell>
          <cell r="CF53">
            <v>420.4</v>
          </cell>
          <cell r="CG53">
            <v>301.39999999999998</v>
          </cell>
          <cell r="CH53">
            <v>292.8</v>
          </cell>
          <cell r="CI53">
            <v>372.3</v>
          </cell>
          <cell r="CJ53">
            <v>348.7</v>
          </cell>
          <cell r="CK53">
            <v>371.4</v>
          </cell>
          <cell r="CL53">
            <v>387.8</v>
          </cell>
          <cell r="CM53">
            <v>350.3</v>
          </cell>
          <cell r="CN53">
            <v>435.2</v>
          </cell>
          <cell r="CO53">
            <v>500.6</v>
          </cell>
          <cell r="CP53">
            <v>722.3</v>
          </cell>
          <cell r="CQ53">
            <v>582.1</v>
          </cell>
          <cell r="CR53">
            <v>622.20000000000005</v>
          </cell>
          <cell r="CS53">
            <v>607.70000000000005</v>
          </cell>
          <cell r="CT53">
            <v>553.29999999999995</v>
          </cell>
          <cell r="CU53">
            <v>532.5</v>
          </cell>
          <cell r="CV53">
            <v>557.5</v>
          </cell>
          <cell r="CW53">
            <v>525.4</v>
          </cell>
          <cell r="CX53">
            <v>566.5</v>
          </cell>
          <cell r="CY53">
            <v>512.70000000000005</v>
          </cell>
          <cell r="CZ53">
            <v>564.1</v>
          </cell>
          <cell r="DA53">
            <v>684</v>
          </cell>
          <cell r="DB53">
            <v>717.3</v>
          </cell>
          <cell r="DC53">
            <v>622.29999999999995</v>
          </cell>
          <cell r="DD53">
            <v>618.9</v>
          </cell>
          <cell r="DE53">
            <v>612.4</v>
          </cell>
          <cell r="DF53">
            <v>603.5</v>
          </cell>
          <cell r="DG53">
            <v>548.29999999999995</v>
          </cell>
          <cell r="DH53">
            <v>514.1</v>
          </cell>
          <cell r="DI53">
            <v>520.70000000000005</v>
          </cell>
          <cell r="DJ53">
            <v>533.9</v>
          </cell>
          <cell r="DK53">
            <v>577.29999999999995</v>
          </cell>
          <cell r="DL53">
            <v>588.1</v>
          </cell>
          <cell r="DM53">
            <v>655.8</v>
          </cell>
          <cell r="DN53">
            <v>703.6</v>
          </cell>
          <cell r="DO53">
            <v>699.1</v>
          </cell>
          <cell r="DP53">
            <v>667.9</v>
          </cell>
          <cell r="DQ53">
            <v>618.6</v>
          </cell>
          <cell r="DR53">
            <v>584.9</v>
          </cell>
          <cell r="DS53">
            <v>591.29999999999995</v>
          </cell>
          <cell r="DT53">
            <v>546.6</v>
          </cell>
          <cell r="DU53">
            <v>542</v>
          </cell>
          <cell r="DV53">
            <v>601.29999999999995</v>
          </cell>
          <cell r="DW53">
            <v>538.5</v>
          </cell>
          <cell r="DX53">
            <v>625.5</v>
          </cell>
          <cell r="DY53">
            <v>768.1</v>
          </cell>
          <cell r="EM53">
            <v>5102</v>
          </cell>
          <cell r="EN53">
            <v>4635.8</v>
          </cell>
          <cell r="EO53">
            <v>4691.6000000000004</v>
          </cell>
          <cell r="EP53">
            <v>4836.2000000000007</v>
          </cell>
          <cell r="EQ53">
            <v>4727.3999999999996</v>
          </cell>
          <cell r="ER53">
            <v>4737.0000000000009</v>
          </cell>
          <cell r="ES53">
            <v>7030.3</v>
          </cell>
        </row>
        <row r="54">
          <cell r="A54" t="str">
            <v>Other Operating Income / (Expense) Items</v>
          </cell>
          <cell r="B54" t="str">
            <v>Operating Revenue</v>
          </cell>
          <cell r="D54" t="str">
            <v>Commercial Base Revenue Billed (PGA)</v>
          </cell>
          <cell r="E54" t="str">
            <v>Operating Revenue</v>
          </cell>
          <cell r="F54" t="str">
            <v>4810051</v>
          </cell>
          <cell r="G54" t="str">
            <v>A_4810051</v>
          </cell>
          <cell r="H54" t="str">
            <v>General Service Large Vol. 1 FUEL</v>
          </cell>
          <cell r="J54">
            <v>1675.9</v>
          </cell>
          <cell r="K54">
            <v>1349.8</v>
          </cell>
          <cell r="L54">
            <v>1044.8</v>
          </cell>
          <cell r="M54">
            <v>1212.5999999999999</v>
          </cell>
          <cell r="N54">
            <v>884.3</v>
          </cell>
          <cell r="O54">
            <v>993.1</v>
          </cell>
          <cell r="P54">
            <v>901.7</v>
          </cell>
          <cell r="Q54">
            <v>853.8</v>
          </cell>
          <cell r="R54">
            <v>932.2</v>
          </cell>
          <cell r="S54">
            <v>851.3</v>
          </cell>
          <cell r="T54">
            <v>843.5</v>
          </cell>
          <cell r="U54">
            <v>1114.4000000000001</v>
          </cell>
          <cell r="V54">
            <v>1399.8</v>
          </cell>
          <cell r="W54">
            <v>1274.5999999999999</v>
          </cell>
          <cell r="X54">
            <v>987.2</v>
          </cell>
          <cell r="Y54">
            <v>832.6</v>
          </cell>
          <cell r="Z54">
            <v>721.1</v>
          </cell>
          <cell r="AA54">
            <v>1308.8</v>
          </cell>
          <cell r="AB54">
            <v>597</v>
          </cell>
          <cell r="AC54">
            <v>799.1</v>
          </cell>
          <cell r="AD54">
            <v>742.4</v>
          </cell>
          <cell r="AE54">
            <v>727</v>
          </cell>
          <cell r="AF54">
            <v>820.6</v>
          </cell>
          <cell r="AG54">
            <v>972.4</v>
          </cell>
          <cell r="AH54">
            <v>1323.8</v>
          </cell>
          <cell r="AI54">
            <v>1302.4000000000001</v>
          </cell>
          <cell r="AJ54">
            <v>1007.8</v>
          </cell>
          <cell r="AK54">
            <v>1006.4</v>
          </cell>
          <cell r="AL54">
            <v>839.6</v>
          </cell>
          <cell r="AM54">
            <v>739.7</v>
          </cell>
          <cell r="AN54">
            <v>672.6</v>
          </cell>
          <cell r="AO54">
            <v>706.1</v>
          </cell>
          <cell r="AP54">
            <v>674.7</v>
          </cell>
          <cell r="AQ54">
            <v>631.5</v>
          </cell>
          <cell r="AR54">
            <v>738.3</v>
          </cell>
          <cell r="AS54">
            <v>917.8</v>
          </cell>
          <cell r="AT54">
            <v>945</v>
          </cell>
          <cell r="AU54">
            <v>945.9</v>
          </cell>
          <cell r="AV54">
            <v>887.5</v>
          </cell>
          <cell r="AW54">
            <v>890.6</v>
          </cell>
          <cell r="AX54">
            <v>795.3</v>
          </cell>
          <cell r="AY54">
            <v>742.2</v>
          </cell>
          <cell r="AZ54">
            <v>580.1</v>
          </cell>
          <cell r="BA54">
            <v>740.5</v>
          </cell>
          <cell r="BB54">
            <v>914.1</v>
          </cell>
          <cell r="BC54">
            <v>806.9</v>
          </cell>
          <cell r="BD54">
            <v>887</v>
          </cell>
          <cell r="BE54">
            <v>1467.6</v>
          </cell>
          <cell r="BF54">
            <v>1318.2</v>
          </cell>
          <cell r="BG54">
            <v>1328.2</v>
          </cell>
          <cell r="BH54">
            <v>1060</v>
          </cell>
          <cell r="BI54">
            <v>1077.3</v>
          </cell>
          <cell r="BJ54">
            <v>910.9</v>
          </cell>
          <cell r="BK54">
            <v>835.8</v>
          </cell>
          <cell r="BL54">
            <v>830.2</v>
          </cell>
          <cell r="BM54">
            <v>797.1</v>
          </cell>
          <cell r="BN54">
            <v>886.3</v>
          </cell>
          <cell r="BO54">
            <v>764.5</v>
          </cell>
          <cell r="BP54">
            <v>865.7</v>
          </cell>
          <cell r="BQ54">
            <v>1033.3</v>
          </cell>
          <cell r="BR54">
            <v>1210.0999999999999</v>
          </cell>
          <cell r="BS54">
            <v>1050.8</v>
          </cell>
          <cell r="BT54">
            <v>1272.5</v>
          </cell>
          <cell r="BU54">
            <v>1305</v>
          </cell>
          <cell r="BV54">
            <v>1008.2</v>
          </cell>
          <cell r="BW54">
            <v>1044</v>
          </cell>
          <cell r="BX54">
            <v>922.5</v>
          </cell>
          <cell r="BY54">
            <v>738.5</v>
          </cell>
          <cell r="BZ54">
            <v>880.2</v>
          </cell>
          <cell r="CA54">
            <v>797.9</v>
          </cell>
          <cell r="CB54">
            <v>1058.5999999999999</v>
          </cell>
          <cell r="CC54">
            <v>1124.3</v>
          </cell>
          <cell r="CD54">
            <v>1281.2</v>
          </cell>
          <cell r="CE54">
            <v>1073.7</v>
          </cell>
          <cell r="CF54">
            <v>919</v>
          </cell>
          <cell r="CG54">
            <v>572.1</v>
          </cell>
          <cell r="CH54">
            <v>538.6</v>
          </cell>
          <cell r="CI54">
            <v>770.1</v>
          </cell>
          <cell r="CJ54">
            <v>698.8</v>
          </cell>
          <cell r="CK54">
            <v>761.9</v>
          </cell>
          <cell r="CL54">
            <v>804.4</v>
          </cell>
          <cell r="CM54">
            <v>761.1</v>
          </cell>
          <cell r="CN54">
            <v>1088.8</v>
          </cell>
          <cell r="CO54">
            <v>1360</v>
          </cell>
          <cell r="CP54">
            <v>1389.5</v>
          </cell>
          <cell r="CQ54">
            <v>1195.5999999999999</v>
          </cell>
          <cell r="CR54">
            <v>1591.8</v>
          </cell>
          <cell r="CS54">
            <v>1457.5</v>
          </cell>
          <cell r="CT54">
            <v>1264.7</v>
          </cell>
          <cell r="CU54">
            <v>1202.9000000000001</v>
          </cell>
          <cell r="CV54">
            <v>1344.3</v>
          </cell>
          <cell r="CW54">
            <v>1214.2</v>
          </cell>
          <cell r="CX54">
            <v>1349</v>
          </cell>
          <cell r="CY54">
            <v>1165.0999999999999</v>
          </cell>
          <cell r="CZ54">
            <v>1332</v>
          </cell>
          <cell r="DA54">
            <v>1726.5</v>
          </cell>
          <cell r="DB54">
            <v>2110.5</v>
          </cell>
          <cell r="DC54">
            <v>1631.2</v>
          </cell>
          <cell r="DD54">
            <v>1625.4</v>
          </cell>
          <cell r="DE54">
            <v>1580.9</v>
          </cell>
          <cell r="DF54">
            <v>1558.6</v>
          </cell>
          <cell r="DG54">
            <v>1355.8</v>
          </cell>
          <cell r="DH54">
            <v>1266.0999999999999</v>
          </cell>
          <cell r="DI54">
            <v>2151.6</v>
          </cell>
          <cell r="DJ54">
            <v>1914.2</v>
          </cell>
          <cell r="DK54">
            <v>1992.7</v>
          </cell>
          <cell r="DL54">
            <v>871.4</v>
          </cell>
          <cell r="DM54">
            <v>1465.4</v>
          </cell>
          <cell r="DN54">
            <v>2743.8</v>
          </cell>
          <cell r="DO54">
            <v>2577.8000000000002</v>
          </cell>
          <cell r="DP54">
            <v>2887.2</v>
          </cell>
          <cell r="DQ54">
            <v>2082.5</v>
          </cell>
          <cell r="DR54">
            <v>1811.7</v>
          </cell>
          <cell r="DS54">
            <v>2190.1</v>
          </cell>
          <cell r="DT54">
            <v>1721.5</v>
          </cell>
          <cell r="DU54">
            <v>1843.5</v>
          </cell>
          <cell r="DV54">
            <v>1749.2</v>
          </cell>
          <cell r="DW54">
            <v>1942.8</v>
          </cell>
          <cell r="DX54">
            <v>2171.6</v>
          </cell>
          <cell r="DY54">
            <v>1968.7</v>
          </cell>
          <cell r="EM54">
            <v>11182.6</v>
          </cell>
          <cell r="EN54">
            <v>10560.699999999999</v>
          </cell>
          <cell r="EO54">
            <v>10602.7</v>
          </cell>
          <cell r="EP54">
            <v>11707.5</v>
          </cell>
          <cell r="EQ54">
            <v>12412.599999999999</v>
          </cell>
          <cell r="ER54">
            <v>10629.7</v>
          </cell>
          <cell r="ES54">
            <v>16233.1</v>
          </cell>
        </row>
        <row r="55">
          <cell r="A55" t="str">
            <v>Base Revenues and OSS - Net</v>
          </cell>
          <cell r="B55" t="str">
            <v>Operating Revenue</v>
          </cell>
          <cell r="D55" t="str">
            <v>Commercial Base Revenue Billed</v>
          </cell>
          <cell r="E55" t="str">
            <v>Operating Revenue</v>
          </cell>
          <cell r="F55" t="str">
            <v>4810052</v>
          </cell>
          <cell r="G55" t="str">
            <v>A_4810052</v>
          </cell>
          <cell r="H55" t="str">
            <v>General Service Large Vol. 2</v>
          </cell>
          <cell r="J55">
            <v>336.7</v>
          </cell>
          <cell r="K55">
            <v>310.89999999999998</v>
          </cell>
          <cell r="L55">
            <v>259.7</v>
          </cell>
          <cell r="M55">
            <v>249.7</v>
          </cell>
          <cell r="N55">
            <v>204.2</v>
          </cell>
          <cell r="O55">
            <v>217.6</v>
          </cell>
          <cell r="P55">
            <v>207.8</v>
          </cell>
          <cell r="Q55">
            <v>179.2</v>
          </cell>
          <cell r="R55">
            <v>211.3</v>
          </cell>
          <cell r="S55">
            <v>199.9</v>
          </cell>
          <cell r="T55">
            <v>223.1</v>
          </cell>
          <cell r="U55">
            <v>268.10000000000002</v>
          </cell>
          <cell r="V55">
            <v>282.89999999999998</v>
          </cell>
          <cell r="W55">
            <v>279.2</v>
          </cell>
          <cell r="X55">
            <v>255.5</v>
          </cell>
          <cell r="Y55">
            <v>207.4</v>
          </cell>
          <cell r="Z55">
            <v>166.2</v>
          </cell>
          <cell r="AA55">
            <v>204.3</v>
          </cell>
          <cell r="AB55">
            <v>179.8</v>
          </cell>
          <cell r="AC55">
            <v>179.5</v>
          </cell>
          <cell r="AD55">
            <v>165</v>
          </cell>
          <cell r="AE55">
            <v>172.6</v>
          </cell>
          <cell r="AF55">
            <v>180</v>
          </cell>
          <cell r="AG55">
            <v>226</v>
          </cell>
          <cell r="AH55">
            <v>242.1</v>
          </cell>
          <cell r="AI55">
            <v>231.5</v>
          </cell>
          <cell r="AJ55">
            <v>210</v>
          </cell>
          <cell r="AK55">
            <v>249.6</v>
          </cell>
          <cell r="AL55">
            <v>122</v>
          </cell>
          <cell r="AM55">
            <v>139.1</v>
          </cell>
          <cell r="AN55">
            <v>154.80000000000001</v>
          </cell>
          <cell r="AO55">
            <v>151.6</v>
          </cell>
          <cell r="AP55">
            <v>151.1</v>
          </cell>
          <cell r="AQ55">
            <v>146.9</v>
          </cell>
          <cell r="AR55">
            <v>163.30000000000001</v>
          </cell>
          <cell r="AS55">
            <v>195.9</v>
          </cell>
          <cell r="AT55">
            <v>217.4</v>
          </cell>
          <cell r="AU55">
            <v>198.3</v>
          </cell>
          <cell r="AV55">
            <v>187.9</v>
          </cell>
          <cell r="AW55">
            <v>174.4</v>
          </cell>
          <cell r="AX55">
            <v>173.8</v>
          </cell>
          <cell r="AY55">
            <v>151</v>
          </cell>
          <cell r="AZ55">
            <v>150.4</v>
          </cell>
          <cell r="BA55">
            <v>146.5</v>
          </cell>
          <cell r="BB55">
            <v>182.9</v>
          </cell>
          <cell r="BC55">
            <v>149.9</v>
          </cell>
          <cell r="BD55">
            <v>212.6</v>
          </cell>
          <cell r="BE55">
            <v>256.7</v>
          </cell>
          <cell r="BF55">
            <v>307.89999999999998</v>
          </cell>
          <cell r="BG55">
            <v>229.4</v>
          </cell>
          <cell r="BH55">
            <v>176.6</v>
          </cell>
          <cell r="BI55">
            <v>200.1</v>
          </cell>
          <cell r="BJ55">
            <v>181.4</v>
          </cell>
          <cell r="BK55">
            <v>181.5</v>
          </cell>
          <cell r="BL55">
            <v>165.5</v>
          </cell>
          <cell r="BM55">
            <v>150.19999999999999</v>
          </cell>
          <cell r="BN55">
            <v>176.1</v>
          </cell>
          <cell r="BO55">
            <v>157.69999999999999</v>
          </cell>
          <cell r="BP55">
            <v>182.3</v>
          </cell>
          <cell r="BQ55">
            <v>238.3</v>
          </cell>
          <cell r="BR55">
            <v>207.1</v>
          </cell>
          <cell r="BS55">
            <v>215</v>
          </cell>
          <cell r="BT55">
            <v>210.7</v>
          </cell>
          <cell r="BU55">
            <v>212.6</v>
          </cell>
          <cell r="BV55">
            <v>158.1</v>
          </cell>
          <cell r="BW55">
            <v>156.69999999999999</v>
          </cell>
          <cell r="BX55">
            <v>195.2</v>
          </cell>
          <cell r="BY55">
            <v>122.5</v>
          </cell>
          <cell r="BZ55">
            <v>200.9</v>
          </cell>
          <cell r="CA55">
            <v>160.69999999999999</v>
          </cell>
          <cell r="CB55">
            <v>232.9</v>
          </cell>
          <cell r="CC55">
            <v>242.9</v>
          </cell>
          <cell r="CD55">
            <v>284</v>
          </cell>
          <cell r="CE55">
            <v>238.7</v>
          </cell>
          <cell r="CF55">
            <v>230.3</v>
          </cell>
          <cell r="CG55">
            <v>130.69999999999999</v>
          </cell>
          <cell r="CH55">
            <v>116.4</v>
          </cell>
          <cell r="CI55">
            <v>174.2</v>
          </cell>
          <cell r="CJ55">
            <v>169.3</v>
          </cell>
          <cell r="CK55">
            <v>171.2</v>
          </cell>
          <cell r="CL55">
            <v>181.9</v>
          </cell>
          <cell r="CM55">
            <v>185.3</v>
          </cell>
          <cell r="CN55">
            <v>218.6</v>
          </cell>
          <cell r="CO55">
            <v>294.89999999999998</v>
          </cell>
          <cell r="CP55">
            <v>445.1</v>
          </cell>
          <cell r="CQ55">
            <v>351.2</v>
          </cell>
          <cell r="CR55">
            <v>342.5</v>
          </cell>
          <cell r="CS55">
            <v>346.1</v>
          </cell>
          <cell r="CT55">
            <v>283.5</v>
          </cell>
          <cell r="CU55">
            <v>293.2</v>
          </cell>
          <cell r="CV55">
            <v>280.89999999999998</v>
          </cell>
          <cell r="CW55">
            <v>267.5</v>
          </cell>
          <cell r="CX55">
            <v>264.89999999999998</v>
          </cell>
          <cell r="CY55">
            <v>264.60000000000002</v>
          </cell>
          <cell r="CZ55">
            <v>306.39999999999998</v>
          </cell>
          <cell r="DA55">
            <v>384.6</v>
          </cell>
          <cell r="DB55">
            <v>427.7</v>
          </cell>
          <cell r="DC55">
            <v>373.3</v>
          </cell>
          <cell r="DD55">
            <v>357.5</v>
          </cell>
          <cell r="DE55">
            <v>341.4</v>
          </cell>
          <cell r="DF55">
            <v>327.5</v>
          </cell>
          <cell r="DG55">
            <v>293.5</v>
          </cell>
          <cell r="DH55">
            <v>307.8</v>
          </cell>
          <cell r="DI55">
            <v>306.7</v>
          </cell>
          <cell r="DJ55">
            <v>308.2</v>
          </cell>
          <cell r="DK55">
            <v>344.1</v>
          </cell>
          <cell r="DL55">
            <v>375.1</v>
          </cell>
          <cell r="DM55">
            <v>415.5</v>
          </cell>
          <cell r="DN55">
            <v>415</v>
          </cell>
          <cell r="DO55">
            <v>400.4</v>
          </cell>
          <cell r="DP55">
            <v>362.2</v>
          </cell>
          <cell r="DQ55">
            <v>330.6</v>
          </cell>
          <cell r="DR55">
            <v>302.89999999999998</v>
          </cell>
          <cell r="DS55">
            <v>308.5</v>
          </cell>
          <cell r="DT55">
            <v>300.3</v>
          </cell>
          <cell r="DU55">
            <v>250.4</v>
          </cell>
          <cell r="DV55">
            <v>307.89999999999998</v>
          </cell>
          <cell r="DW55">
            <v>276.3</v>
          </cell>
          <cell r="DX55">
            <v>347</v>
          </cell>
          <cell r="DY55">
            <v>432.4</v>
          </cell>
          <cell r="EM55">
            <v>2498.4</v>
          </cell>
          <cell r="EN55">
            <v>2157.8999999999996</v>
          </cell>
          <cell r="EO55">
            <v>2201.8000000000002</v>
          </cell>
          <cell r="EP55">
            <v>2347.0000000000005</v>
          </cell>
          <cell r="EQ55">
            <v>2315.3000000000002</v>
          </cell>
          <cell r="ER55">
            <v>2395.5</v>
          </cell>
          <cell r="ES55">
            <v>3830.5</v>
          </cell>
        </row>
        <row r="56">
          <cell r="A56" t="str">
            <v>Other Operating Income / (Expense) Items</v>
          </cell>
          <cell r="B56" t="str">
            <v>Operating Revenue</v>
          </cell>
          <cell r="D56" t="str">
            <v>Commercial Base Revenue Billed (PGA)</v>
          </cell>
          <cell r="E56" t="str">
            <v>Operating Revenue</v>
          </cell>
          <cell r="F56" t="str">
            <v>4810053</v>
          </cell>
          <cell r="G56" t="str">
            <v>A_4810053</v>
          </cell>
          <cell r="H56" t="str">
            <v>General Service Large Vol. 2 FUEL</v>
          </cell>
          <cell r="J56">
            <v>1228.3</v>
          </cell>
          <cell r="K56">
            <v>1002.2</v>
          </cell>
          <cell r="L56">
            <v>772.2</v>
          </cell>
          <cell r="M56">
            <v>847.1</v>
          </cell>
          <cell r="N56">
            <v>595.9</v>
          </cell>
          <cell r="O56">
            <v>698.2</v>
          </cell>
          <cell r="P56">
            <v>661</v>
          </cell>
          <cell r="Q56">
            <v>570.79999999999995</v>
          </cell>
          <cell r="R56">
            <v>643.5</v>
          </cell>
          <cell r="S56">
            <v>573.5</v>
          </cell>
          <cell r="T56">
            <v>627.9</v>
          </cell>
          <cell r="U56">
            <v>794.8</v>
          </cell>
          <cell r="V56">
            <v>977.7</v>
          </cell>
          <cell r="W56">
            <v>874</v>
          </cell>
          <cell r="X56">
            <v>666.1</v>
          </cell>
          <cell r="Y56">
            <v>605.29999999999995</v>
          </cell>
          <cell r="Z56">
            <v>479.9</v>
          </cell>
          <cell r="AA56">
            <v>637.1</v>
          </cell>
          <cell r="AB56">
            <v>551.29999999999995</v>
          </cell>
          <cell r="AC56">
            <v>569.4</v>
          </cell>
          <cell r="AD56">
            <v>517</v>
          </cell>
          <cell r="AE56">
            <v>504.1</v>
          </cell>
          <cell r="AF56">
            <v>581.6</v>
          </cell>
          <cell r="AG56">
            <v>695.5</v>
          </cell>
          <cell r="AH56">
            <v>872.5</v>
          </cell>
          <cell r="AI56">
            <v>819.5</v>
          </cell>
          <cell r="AJ56">
            <v>682.7</v>
          </cell>
          <cell r="AK56">
            <v>869.2</v>
          </cell>
          <cell r="AL56">
            <v>378.8</v>
          </cell>
          <cell r="AM56">
            <v>423.5</v>
          </cell>
          <cell r="AN56">
            <v>480.6</v>
          </cell>
          <cell r="AO56">
            <v>470.7</v>
          </cell>
          <cell r="AP56">
            <v>429.1</v>
          </cell>
          <cell r="AQ56">
            <v>429.5</v>
          </cell>
          <cell r="AR56">
            <v>450</v>
          </cell>
          <cell r="AS56">
            <v>564.29999999999995</v>
          </cell>
          <cell r="AT56">
            <v>644.6</v>
          </cell>
          <cell r="AU56">
            <v>612.1</v>
          </cell>
          <cell r="AV56">
            <v>560.5</v>
          </cell>
          <cell r="AW56">
            <v>516.5</v>
          </cell>
          <cell r="AX56">
            <v>505.1</v>
          </cell>
          <cell r="AY56">
            <v>416.7</v>
          </cell>
          <cell r="AZ56">
            <v>450.9</v>
          </cell>
          <cell r="BA56">
            <v>461.5</v>
          </cell>
          <cell r="BB56">
            <v>638.20000000000005</v>
          </cell>
          <cell r="BC56">
            <v>496.6</v>
          </cell>
          <cell r="BD56">
            <v>726.1</v>
          </cell>
          <cell r="BE56">
            <v>879.1</v>
          </cell>
          <cell r="BF56">
            <v>1231.5</v>
          </cell>
          <cell r="BG56">
            <v>884.8</v>
          </cell>
          <cell r="BH56">
            <v>579</v>
          </cell>
          <cell r="BI56">
            <v>689.9</v>
          </cell>
          <cell r="BJ56">
            <v>608</v>
          </cell>
          <cell r="BK56">
            <v>578.79999999999995</v>
          </cell>
          <cell r="BL56">
            <v>528.20000000000005</v>
          </cell>
          <cell r="BM56">
            <v>480.6</v>
          </cell>
          <cell r="BN56">
            <v>567</v>
          </cell>
          <cell r="BO56">
            <v>454.9</v>
          </cell>
          <cell r="BP56">
            <v>557.79999999999995</v>
          </cell>
          <cell r="BQ56">
            <v>758.4</v>
          </cell>
          <cell r="BR56">
            <v>754.2</v>
          </cell>
          <cell r="BS56">
            <v>757</v>
          </cell>
          <cell r="BT56">
            <v>819.8</v>
          </cell>
          <cell r="BU56">
            <v>841.5</v>
          </cell>
          <cell r="BV56">
            <v>667.6</v>
          </cell>
          <cell r="BW56">
            <v>604.79999999999995</v>
          </cell>
          <cell r="BX56">
            <v>781.5</v>
          </cell>
          <cell r="BY56">
            <v>310.7</v>
          </cell>
          <cell r="BZ56">
            <v>679.4</v>
          </cell>
          <cell r="CA56">
            <v>524.6</v>
          </cell>
          <cell r="CB56">
            <v>801.7</v>
          </cell>
          <cell r="CC56">
            <v>846.8</v>
          </cell>
          <cell r="CD56">
            <v>1004.3</v>
          </cell>
          <cell r="CE56">
            <v>762.5</v>
          </cell>
          <cell r="CF56">
            <v>710.1</v>
          </cell>
          <cell r="CG56">
            <v>361.8</v>
          </cell>
          <cell r="CH56">
            <v>308.5</v>
          </cell>
          <cell r="CI56">
            <v>502.1</v>
          </cell>
          <cell r="CJ56">
            <v>480.8</v>
          </cell>
          <cell r="CK56">
            <v>484.4</v>
          </cell>
          <cell r="CL56">
            <v>518.20000000000005</v>
          </cell>
          <cell r="CM56">
            <v>583.4</v>
          </cell>
          <cell r="CN56">
            <v>746.8</v>
          </cell>
          <cell r="CO56">
            <v>1094.3</v>
          </cell>
          <cell r="CP56">
            <v>1130.9000000000001</v>
          </cell>
          <cell r="CQ56">
            <v>971.7</v>
          </cell>
          <cell r="CR56">
            <v>1148.8</v>
          </cell>
          <cell r="CS56">
            <v>1090.3</v>
          </cell>
          <cell r="CT56">
            <v>856</v>
          </cell>
          <cell r="CU56">
            <v>883</v>
          </cell>
          <cell r="CV56">
            <v>883.7</v>
          </cell>
          <cell r="CW56">
            <v>813.4</v>
          </cell>
          <cell r="CX56">
            <v>810.2</v>
          </cell>
          <cell r="CY56">
            <v>800</v>
          </cell>
          <cell r="CZ56">
            <v>960.8</v>
          </cell>
          <cell r="DA56">
            <v>1264.2</v>
          </cell>
          <cell r="DB56">
            <v>1628.1</v>
          </cell>
          <cell r="DC56">
            <v>1316.2</v>
          </cell>
          <cell r="DD56">
            <v>1234.0999999999999</v>
          </cell>
          <cell r="DE56">
            <v>1180.2</v>
          </cell>
          <cell r="DF56">
            <v>1107.0999999999999</v>
          </cell>
          <cell r="DG56">
            <v>958.2</v>
          </cell>
          <cell r="DH56">
            <v>1026.7</v>
          </cell>
          <cell r="DI56">
            <v>1700.5</v>
          </cell>
          <cell r="DJ56">
            <v>1477.1</v>
          </cell>
          <cell r="DK56">
            <v>1584.7</v>
          </cell>
          <cell r="DL56">
            <v>783.3</v>
          </cell>
          <cell r="DM56">
            <v>1223.2</v>
          </cell>
          <cell r="DN56">
            <v>1710.1</v>
          </cell>
          <cell r="DO56">
            <v>1857</v>
          </cell>
          <cell r="DP56">
            <v>1860.1</v>
          </cell>
          <cell r="DQ56">
            <v>1342.9</v>
          </cell>
          <cell r="DR56">
            <v>1199.7</v>
          </cell>
          <cell r="DS56">
            <v>1268.8</v>
          </cell>
          <cell r="DT56">
            <v>1458.3</v>
          </cell>
          <cell r="DU56">
            <v>775.4</v>
          </cell>
          <cell r="DV56">
            <v>1350.3</v>
          </cell>
          <cell r="DW56">
            <v>1277.4000000000001</v>
          </cell>
          <cell r="DX56">
            <v>1644.6</v>
          </cell>
          <cell r="DY56">
            <v>1482.7</v>
          </cell>
          <cell r="EM56">
            <v>7659.0000000000009</v>
          </cell>
          <cell r="EN56">
            <v>6870.4000000000005</v>
          </cell>
          <cell r="EO56">
            <v>6907.9000000000005</v>
          </cell>
          <cell r="EP56">
            <v>7918.9</v>
          </cell>
          <cell r="EQ56">
            <v>8389.5999999999985</v>
          </cell>
          <cell r="ER56">
            <v>7557.2</v>
          </cell>
          <cell r="ES56">
            <v>11613</v>
          </cell>
        </row>
        <row r="57">
          <cell r="A57" t="str">
            <v>Base Revenues and OSS - Net</v>
          </cell>
          <cell r="B57" t="str">
            <v>Operating Revenue</v>
          </cell>
          <cell r="D57" t="str">
            <v>Commercial Base Revenue Billed</v>
          </cell>
          <cell r="E57" t="str">
            <v>Operating Revenue</v>
          </cell>
          <cell r="F57" t="str">
            <v>4810054</v>
          </cell>
          <cell r="G57" t="str">
            <v>A_4810054</v>
          </cell>
          <cell r="H57" t="str">
            <v>General Service Large Vol. 3</v>
          </cell>
          <cell r="J57">
            <v>90.9</v>
          </cell>
          <cell r="K57">
            <v>75.099999999999994</v>
          </cell>
          <cell r="L57">
            <v>68.5</v>
          </cell>
          <cell r="M57">
            <v>54.3</v>
          </cell>
          <cell r="N57">
            <v>27.6</v>
          </cell>
          <cell r="O57">
            <v>51.1</v>
          </cell>
          <cell r="P57">
            <v>64.3</v>
          </cell>
          <cell r="Q57">
            <v>44</v>
          </cell>
          <cell r="R57">
            <v>53.5</v>
          </cell>
          <cell r="S57">
            <v>45</v>
          </cell>
          <cell r="T57">
            <v>69.8</v>
          </cell>
          <cell r="U57">
            <v>69.400000000000006</v>
          </cell>
          <cell r="V57">
            <v>84.4</v>
          </cell>
          <cell r="W57">
            <v>95.4</v>
          </cell>
          <cell r="X57">
            <v>83.3</v>
          </cell>
          <cell r="Y57">
            <v>46.8</v>
          </cell>
          <cell r="Z57">
            <v>41.5</v>
          </cell>
          <cell r="AA57">
            <v>55.8</v>
          </cell>
          <cell r="AB57">
            <v>64.099999999999994</v>
          </cell>
          <cell r="AC57">
            <v>39.299999999999997</v>
          </cell>
          <cell r="AD57">
            <v>48.8</v>
          </cell>
          <cell r="AE57">
            <v>45.2</v>
          </cell>
          <cell r="AF57">
            <v>35</v>
          </cell>
          <cell r="AG57">
            <v>59.1</v>
          </cell>
          <cell r="AH57">
            <v>70.900000000000006</v>
          </cell>
          <cell r="AI57">
            <v>77.8</v>
          </cell>
          <cell r="AJ57">
            <v>56.8</v>
          </cell>
          <cell r="AK57">
            <v>52.1</v>
          </cell>
          <cell r="AL57">
            <v>36.4</v>
          </cell>
          <cell r="AM57">
            <v>38.5</v>
          </cell>
          <cell r="AN57">
            <v>43.8</v>
          </cell>
          <cell r="AO57">
            <v>49.1</v>
          </cell>
          <cell r="AP57">
            <v>45.1</v>
          </cell>
          <cell r="AQ57">
            <v>42.4</v>
          </cell>
          <cell r="AR57">
            <v>58.6</v>
          </cell>
          <cell r="AS57">
            <v>56.5</v>
          </cell>
          <cell r="AT57">
            <v>74.3</v>
          </cell>
          <cell r="AU57">
            <v>79.2</v>
          </cell>
          <cell r="AV57">
            <v>29.7</v>
          </cell>
          <cell r="AW57">
            <v>66.5</v>
          </cell>
          <cell r="AX57">
            <v>89</v>
          </cell>
          <cell r="AY57">
            <v>54</v>
          </cell>
          <cell r="AZ57">
            <v>64.7</v>
          </cell>
          <cell r="BA57">
            <v>35.200000000000003</v>
          </cell>
          <cell r="BB57">
            <v>70.900000000000006</v>
          </cell>
          <cell r="BC57">
            <v>54.3</v>
          </cell>
          <cell r="BD57">
            <v>111</v>
          </cell>
          <cell r="BE57">
            <v>43.6</v>
          </cell>
          <cell r="BF57">
            <v>98.8</v>
          </cell>
          <cell r="BG57">
            <v>48.6</v>
          </cell>
          <cell r="BH57">
            <v>52.1</v>
          </cell>
          <cell r="BI57">
            <v>91.7</v>
          </cell>
          <cell r="BJ57">
            <v>30</v>
          </cell>
          <cell r="BK57">
            <v>102.2</v>
          </cell>
          <cell r="BL57">
            <v>43</v>
          </cell>
          <cell r="BM57">
            <v>51.6</v>
          </cell>
          <cell r="BN57">
            <v>47.7</v>
          </cell>
          <cell r="BO57">
            <v>61.5</v>
          </cell>
          <cell r="BP57">
            <v>61.4</v>
          </cell>
          <cell r="BQ57">
            <v>55.5</v>
          </cell>
          <cell r="BR57">
            <v>56.5</v>
          </cell>
          <cell r="BS57">
            <v>95.6</v>
          </cell>
          <cell r="BT57">
            <v>82.1</v>
          </cell>
          <cell r="BU57">
            <v>15.5</v>
          </cell>
          <cell r="BV57">
            <v>70.599999999999994</v>
          </cell>
          <cell r="BW57">
            <v>-8.5</v>
          </cell>
          <cell r="BX57">
            <v>43.9</v>
          </cell>
          <cell r="BY57">
            <v>55.9</v>
          </cell>
          <cell r="BZ57">
            <v>21.9</v>
          </cell>
          <cell r="CA57">
            <v>63.1</v>
          </cell>
          <cell r="CB57">
            <v>35.700000000000003</v>
          </cell>
          <cell r="CC57">
            <v>76.599999999999994</v>
          </cell>
          <cell r="CD57">
            <v>77.3</v>
          </cell>
          <cell r="CE57">
            <v>73.3</v>
          </cell>
          <cell r="CF57">
            <v>53.4</v>
          </cell>
          <cell r="CG57">
            <v>27.2</v>
          </cell>
          <cell r="CH57">
            <v>30.9</v>
          </cell>
          <cell r="CI57">
            <v>26.4</v>
          </cell>
          <cell r="CJ57">
            <v>35.4</v>
          </cell>
          <cell r="CK57">
            <v>42.7</v>
          </cell>
          <cell r="CL57">
            <v>27.9</v>
          </cell>
          <cell r="CM57">
            <v>36.4</v>
          </cell>
          <cell r="CN57">
            <v>45</v>
          </cell>
          <cell r="CO57">
            <v>-39.799999999999997</v>
          </cell>
          <cell r="CP57">
            <v>134.9</v>
          </cell>
          <cell r="CQ57">
            <v>72.099999999999994</v>
          </cell>
          <cell r="CR57">
            <v>68.3</v>
          </cell>
          <cell r="CS57">
            <v>73.7</v>
          </cell>
          <cell r="CT57">
            <v>56.3</v>
          </cell>
          <cell r="CU57">
            <v>53.1</v>
          </cell>
          <cell r="CV57">
            <v>68</v>
          </cell>
          <cell r="CW57">
            <v>51.6</v>
          </cell>
          <cell r="CX57">
            <v>65</v>
          </cell>
          <cell r="CY57">
            <v>64.2</v>
          </cell>
          <cell r="CZ57">
            <v>81.7</v>
          </cell>
          <cell r="DA57">
            <v>112.7</v>
          </cell>
          <cell r="DB57">
            <v>103.5</v>
          </cell>
          <cell r="DC57">
            <v>100.5</v>
          </cell>
          <cell r="DD57">
            <v>77.599999999999994</v>
          </cell>
          <cell r="DE57">
            <v>86.8</v>
          </cell>
          <cell r="DF57">
            <v>88.1</v>
          </cell>
          <cell r="DG57">
            <v>49</v>
          </cell>
          <cell r="DH57">
            <v>49.6</v>
          </cell>
          <cell r="DI57">
            <v>46.8</v>
          </cell>
          <cell r="DJ57">
            <v>51.1</v>
          </cell>
          <cell r="DK57">
            <v>51.7</v>
          </cell>
          <cell r="DL57">
            <v>42.9</v>
          </cell>
          <cell r="DM57">
            <v>72.5</v>
          </cell>
          <cell r="DN57">
            <v>110.5</v>
          </cell>
          <cell r="DO57">
            <v>101.5</v>
          </cell>
          <cell r="DP57">
            <v>84.2</v>
          </cell>
          <cell r="DQ57">
            <v>81.099999999999994</v>
          </cell>
          <cell r="DR57">
            <v>82</v>
          </cell>
          <cell r="DS57">
            <v>77.8</v>
          </cell>
          <cell r="DT57">
            <v>71.5</v>
          </cell>
          <cell r="DU57">
            <v>66.599999999999994</v>
          </cell>
          <cell r="DV57">
            <v>67.400000000000006</v>
          </cell>
          <cell r="DW57">
            <v>78.599999999999994</v>
          </cell>
          <cell r="DX57">
            <v>95.3</v>
          </cell>
          <cell r="DY57">
            <v>78.7</v>
          </cell>
          <cell r="EM57">
            <v>698.70000000000016</v>
          </cell>
          <cell r="EN57">
            <v>628.00000000000011</v>
          </cell>
          <cell r="EO57">
            <v>772.4</v>
          </cell>
          <cell r="EP57">
            <v>744.1</v>
          </cell>
          <cell r="EQ57">
            <v>608.9</v>
          </cell>
          <cell r="ER57">
            <v>436.09999999999985</v>
          </cell>
          <cell r="ES57">
            <v>901.60000000000025</v>
          </cell>
        </row>
        <row r="58">
          <cell r="A58" t="str">
            <v>Other Operating Income / (Expense) Items</v>
          </cell>
          <cell r="B58" t="str">
            <v>Operating Revenue</v>
          </cell>
          <cell r="D58" t="str">
            <v>Commercial Base Revenue Billed (PGA)</v>
          </cell>
          <cell r="E58" t="str">
            <v>Operating Revenue</v>
          </cell>
          <cell r="F58" t="str">
            <v>4810055</v>
          </cell>
          <cell r="G58" t="str">
            <v>A_4810055</v>
          </cell>
          <cell r="H58" t="str">
            <v>General Service Large 3 FUEL</v>
          </cell>
          <cell r="J58">
            <v>389.2</v>
          </cell>
          <cell r="K58">
            <v>279.8</v>
          </cell>
          <cell r="L58">
            <v>240.1</v>
          </cell>
          <cell r="M58">
            <v>214.2</v>
          </cell>
          <cell r="N58">
            <v>77.3</v>
          </cell>
          <cell r="O58">
            <v>186.8</v>
          </cell>
          <cell r="P58">
            <v>211.9</v>
          </cell>
          <cell r="Q58">
            <v>166.7</v>
          </cell>
          <cell r="R58">
            <v>194.5</v>
          </cell>
          <cell r="S58">
            <v>154.19999999999999</v>
          </cell>
          <cell r="T58">
            <v>237.2</v>
          </cell>
          <cell r="U58">
            <v>244.2</v>
          </cell>
          <cell r="V58">
            <v>347.3</v>
          </cell>
          <cell r="W58">
            <v>351.7</v>
          </cell>
          <cell r="X58">
            <v>262.10000000000002</v>
          </cell>
          <cell r="Y58">
            <v>162.4</v>
          </cell>
          <cell r="Z58">
            <v>142.19999999999999</v>
          </cell>
          <cell r="AA58">
            <v>198.4</v>
          </cell>
          <cell r="AB58">
            <v>232.1</v>
          </cell>
          <cell r="AC58">
            <v>141</v>
          </cell>
          <cell r="AD58">
            <v>183.8</v>
          </cell>
          <cell r="AE58">
            <v>153.1</v>
          </cell>
          <cell r="AF58">
            <v>127.2</v>
          </cell>
          <cell r="AG58">
            <v>209.8</v>
          </cell>
          <cell r="AH58">
            <v>299.89999999999998</v>
          </cell>
          <cell r="AI58">
            <v>322.7</v>
          </cell>
          <cell r="AJ58">
            <v>216</v>
          </cell>
          <cell r="AK58">
            <v>208</v>
          </cell>
          <cell r="AL58">
            <v>143.6</v>
          </cell>
          <cell r="AM58">
            <v>137.19999999999999</v>
          </cell>
          <cell r="AN58">
            <v>166.7</v>
          </cell>
          <cell r="AO58">
            <v>175.9</v>
          </cell>
          <cell r="AP58">
            <v>153.6</v>
          </cell>
          <cell r="AQ58">
            <v>148</v>
          </cell>
          <cell r="AR58">
            <v>199.6</v>
          </cell>
          <cell r="AS58">
            <v>195.2</v>
          </cell>
          <cell r="AT58">
            <v>210.4</v>
          </cell>
          <cell r="AU58">
            <v>298.7</v>
          </cell>
          <cell r="AV58">
            <v>96</v>
          </cell>
          <cell r="AW58">
            <v>241.4</v>
          </cell>
          <cell r="AX58">
            <v>322.8</v>
          </cell>
          <cell r="AY58">
            <v>179.9</v>
          </cell>
          <cell r="AZ58">
            <v>230.1</v>
          </cell>
          <cell r="BA58">
            <v>139.19999999999999</v>
          </cell>
          <cell r="BB58">
            <v>292.39999999999998</v>
          </cell>
          <cell r="BC58">
            <v>229.1</v>
          </cell>
          <cell r="BD58">
            <v>474.1</v>
          </cell>
          <cell r="BE58">
            <v>160.80000000000001</v>
          </cell>
          <cell r="BF58">
            <v>467.2</v>
          </cell>
          <cell r="BG58">
            <v>211.7</v>
          </cell>
          <cell r="BH58">
            <v>204.6</v>
          </cell>
          <cell r="BI58">
            <v>385.4</v>
          </cell>
          <cell r="BJ58">
            <v>109.6</v>
          </cell>
          <cell r="BK58">
            <v>423.8</v>
          </cell>
          <cell r="BL58">
            <v>168.2</v>
          </cell>
          <cell r="BM58">
            <v>204.8</v>
          </cell>
          <cell r="BN58">
            <v>188.3</v>
          </cell>
          <cell r="BO58">
            <v>229.4</v>
          </cell>
          <cell r="BP58">
            <v>226.6</v>
          </cell>
          <cell r="BQ58">
            <v>194.4</v>
          </cell>
          <cell r="BR58">
            <v>248.8</v>
          </cell>
          <cell r="BS58">
            <v>408.1</v>
          </cell>
          <cell r="BT58">
            <v>392</v>
          </cell>
          <cell r="BU58">
            <v>76.7</v>
          </cell>
          <cell r="BV58">
            <v>343</v>
          </cell>
          <cell r="BW58">
            <v>-53.5</v>
          </cell>
          <cell r="BX58">
            <v>219.5</v>
          </cell>
          <cell r="BY58">
            <v>220.9</v>
          </cell>
          <cell r="BZ58">
            <v>66</v>
          </cell>
          <cell r="CA58">
            <v>254.4</v>
          </cell>
          <cell r="CB58">
            <v>137.19999999999999</v>
          </cell>
          <cell r="CC58">
            <v>312.89999999999998</v>
          </cell>
          <cell r="CD58">
            <v>318.39999999999998</v>
          </cell>
          <cell r="CE58">
            <v>275.5</v>
          </cell>
          <cell r="CF58">
            <v>188.6</v>
          </cell>
          <cell r="CG58">
            <v>81.7</v>
          </cell>
          <cell r="CH58">
            <v>99.9</v>
          </cell>
          <cell r="CI58">
            <v>81.599999999999994</v>
          </cell>
          <cell r="CJ58">
            <v>116.2</v>
          </cell>
          <cell r="CK58">
            <v>135.80000000000001</v>
          </cell>
          <cell r="CL58">
            <v>81.8</v>
          </cell>
          <cell r="CM58">
            <v>127.4</v>
          </cell>
          <cell r="CN58">
            <v>174.2</v>
          </cell>
          <cell r="CO58">
            <v>-198.2</v>
          </cell>
          <cell r="CP58">
            <v>430.1</v>
          </cell>
          <cell r="CQ58">
            <v>185.7</v>
          </cell>
          <cell r="CR58">
            <v>232.6</v>
          </cell>
          <cell r="CS58">
            <v>230.7</v>
          </cell>
          <cell r="CT58">
            <v>158.5</v>
          </cell>
          <cell r="CU58">
            <v>143.80000000000001</v>
          </cell>
          <cell r="CV58">
            <v>245</v>
          </cell>
          <cell r="CW58">
            <v>154.80000000000001</v>
          </cell>
          <cell r="CX58">
            <v>209.4</v>
          </cell>
          <cell r="CY58">
            <v>209.4</v>
          </cell>
          <cell r="CZ58">
            <v>291.8</v>
          </cell>
          <cell r="DA58">
            <v>435.6</v>
          </cell>
          <cell r="DB58">
            <v>453.9</v>
          </cell>
          <cell r="DC58">
            <v>405.4</v>
          </cell>
          <cell r="DD58">
            <v>285</v>
          </cell>
          <cell r="DE58">
            <v>330.4</v>
          </cell>
          <cell r="DF58">
            <v>355.9</v>
          </cell>
          <cell r="DG58">
            <v>140.1</v>
          </cell>
          <cell r="DH58">
            <v>164</v>
          </cell>
          <cell r="DI58">
            <v>257.7</v>
          </cell>
          <cell r="DJ58">
            <v>218</v>
          </cell>
          <cell r="DK58">
            <v>261.10000000000002</v>
          </cell>
          <cell r="DL58">
            <v>38.299999999999997</v>
          </cell>
          <cell r="DM58">
            <v>243.8</v>
          </cell>
          <cell r="DN58">
            <v>564.29999999999995</v>
          </cell>
          <cell r="DO58">
            <v>1000.9</v>
          </cell>
          <cell r="DP58">
            <v>889.4</v>
          </cell>
          <cell r="DQ58">
            <v>122.4</v>
          </cell>
          <cell r="DR58">
            <v>616.5</v>
          </cell>
          <cell r="DS58">
            <v>-112.1</v>
          </cell>
          <cell r="DT58">
            <v>409.6</v>
          </cell>
          <cell r="DU58">
            <v>551.29999999999995</v>
          </cell>
          <cell r="DV58">
            <v>131.1</v>
          </cell>
          <cell r="DW58">
            <v>619.4</v>
          </cell>
          <cell r="DX58">
            <v>281.39999999999998</v>
          </cell>
          <cell r="DY58">
            <v>547.9</v>
          </cell>
          <cell r="EM58">
            <v>2511.1</v>
          </cell>
          <cell r="EN58">
            <v>2366.3999999999996</v>
          </cell>
          <cell r="EO58">
            <v>2874.9</v>
          </cell>
          <cell r="EP58">
            <v>3014.0000000000005</v>
          </cell>
          <cell r="EQ58">
            <v>2626</v>
          </cell>
          <cell r="ER58">
            <v>1482.9</v>
          </cell>
          <cell r="ES58">
            <v>2927.4</v>
          </cell>
        </row>
        <row r="59">
          <cell r="A59" t="str">
            <v>Base Revenues and OSS - Net</v>
          </cell>
          <cell r="B59" t="str">
            <v>Operating Revenue</v>
          </cell>
          <cell r="D59" t="str">
            <v>Commercial Base Revenue Billed</v>
          </cell>
          <cell r="E59" t="str">
            <v>Operating Revenue</v>
          </cell>
          <cell r="F59" t="str">
            <v>4810056</v>
          </cell>
          <cell r="G59" t="str">
            <v>A_4810056</v>
          </cell>
          <cell r="H59" t="str">
            <v>General Service Large Vol. 4</v>
          </cell>
          <cell r="J59">
            <v>4.8</v>
          </cell>
          <cell r="K59">
            <v>4.7</v>
          </cell>
          <cell r="L59">
            <v>8.3000000000000007</v>
          </cell>
          <cell r="M59">
            <v>11.4</v>
          </cell>
          <cell r="N59">
            <v>9.5</v>
          </cell>
          <cell r="O59">
            <v>10.7</v>
          </cell>
          <cell r="P59">
            <v>12.2</v>
          </cell>
          <cell r="Q59">
            <v>4.8</v>
          </cell>
          <cell r="R59">
            <v>13.3</v>
          </cell>
          <cell r="S59">
            <v>13.7</v>
          </cell>
          <cell r="T59">
            <v>13.1</v>
          </cell>
          <cell r="U59">
            <v>18</v>
          </cell>
          <cell r="V59">
            <v>19.8</v>
          </cell>
          <cell r="W59">
            <v>24.9</v>
          </cell>
          <cell r="X59">
            <v>20.6</v>
          </cell>
          <cell r="Y59">
            <v>21.5</v>
          </cell>
          <cell r="Z59">
            <v>24</v>
          </cell>
          <cell r="AA59">
            <v>25.5</v>
          </cell>
          <cell r="AB59">
            <v>12.7</v>
          </cell>
          <cell r="AC59">
            <v>14.2</v>
          </cell>
          <cell r="AD59">
            <v>13.4</v>
          </cell>
          <cell r="AE59">
            <v>13.3</v>
          </cell>
          <cell r="AF59">
            <v>12.9</v>
          </cell>
          <cell r="AG59">
            <v>17.2</v>
          </cell>
          <cell r="AH59">
            <v>18.8</v>
          </cell>
          <cell r="AI59">
            <v>21.2</v>
          </cell>
          <cell r="AJ59">
            <v>24.2</v>
          </cell>
          <cell r="AK59">
            <v>19.8</v>
          </cell>
          <cell r="AL59">
            <v>23.2</v>
          </cell>
          <cell r="AM59">
            <v>19.100000000000001</v>
          </cell>
          <cell r="AN59">
            <v>17.7</v>
          </cell>
          <cell r="AO59">
            <v>17.7</v>
          </cell>
          <cell r="AP59">
            <v>17.7</v>
          </cell>
          <cell r="AQ59">
            <v>20.2</v>
          </cell>
          <cell r="AR59">
            <v>19.100000000000001</v>
          </cell>
          <cell r="AS59">
            <v>20.2</v>
          </cell>
          <cell r="AT59">
            <v>23.9</v>
          </cell>
          <cell r="AU59">
            <v>28</v>
          </cell>
          <cell r="AV59">
            <v>21.8</v>
          </cell>
          <cell r="AW59">
            <v>26.4</v>
          </cell>
          <cell r="AX59">
            <v>22.4</v>
          </cell>
          <cell r="AY59">
            <v>31.2</v>
          </cell>
          <cell r="AZ59">
            <v>17.3</v>
          </cell>
          <cell r="BA59">
            <v>0</v>
          </cell>
          <cell r="BB59">
            <v>5.3</v>
          </cell>
          <cell r="BC59">
            <v>5.4</v>
          </cell>
          <cell r="BD59">
            <v>-5.3</v>
          </cell>
          <cell r="BE59">
            <v>2.2999999999999998</v>
          </cell>
          <cell r="BF59">
            <v>0</v>
          </cell>
          <cell r="BG59">
            <v>0.6</v>
          </cell>
          <cell r="BH59">
            <v>0</v>
          </cell>
          <cell r="BI59">
            <v>0</v>
          </cell>
          <cell r="BJ59">
            <v>0.3</v>
          </cell>
          <cell r="BK59">
            <v>0.3</v>
          </cell>
          <cell r="BL59">
            <v>8.1999999999999993</v>
          </cell>
          <cell r="BM59">
            <v>1.5</v>
          </cell>
          <cell r="BN59">
            <v>0.3</v>
          </cell>
          <cell r="BO59">
            <v>0.5</v>
          </cell>
          <cell r="BP59">
            <v>14.8</v>
          </cell>
          <cell r="BQ59">
            <v>5.9</v>
          </cell>
          <cell r="BR59">
            <v>2.8</v>
          </cell>
          <cell r="BS59">
            <v>4.8</v>
          </cell>
          <cell r="BT59">
            <v>2.9</v>
          </cell>
          <cell r="BU59">
            <v>21.5</v>
          </cell>
          <cell r="BV59">
            <v>0.4</v>
          </cell>
          <cell r="BW59">
            <v>0.3</v>
          </cell>
          <cell r="BX59">
            <v>3.2</v>
          </cell>
          <cell r="BY59">
            <v>-0.2</v>
          </cell>
          <cell r="BZ59">
            <v>1.5</v>
          </cell>
          <cell r="CA59">
            <v>2.7</v>
          </cell>
          <cell r="CB59">
            <v>13.7</v>
          </cell>
          <cell r="CC59">
            <v>9.3000000000000007</v>
          </cell>
          <cell r="CD59">
            <v>20.8</v>
          </cell>
          <cell r="CE59">
            <v>17.7</v>
          </cell>
          <cell r="CF59">
            <v>18</v>
          </cell>
          <cell r="CG59">
            <v>17.2</v>
          </cell>
          <cell r="CH59">
            <v>16.899999999999999</v>
          </cell>
          <cell r="CI59">
            <v>5.4</v>
          </cell>
          <cell r="CJ59">
            <v>9.6</v>
          </cell>
          <cell r="CK59">
            <v>10.6</v>
          </cell>
          <cell r="CL59">
            <v>7.4</v>
          </cell>
          <cell r="CM59">
            <v>8.9</v>
          </cell>
          <cell r="CN59">
            <v>23.4</v>
          </cell>
          <cell r="CO59">
            <v>16.899999999999999</v>
          </cell>
          <cell r="CP59">
            <v>2.2999999999999998</v>
          </cell>
          <cell r="CQ59">
            <v>8</v>
          </cell>
          <cell r="CR59">
            <v>34.700000000000003</v>
          </cell>
          <cell r="CS59">
            <v>9.1</v>
          </cell>
          <cell r="CT59">
            <v>8.9</v>
          </cell>
          <cell r="CU59">
            <v>7.4</v>
          </cell>
          <cell r="CV59">
            <v>2</v>
          </cell>
          <cell r="CW59">
            <v>1.8</v>
          </cell>
          <cell r="CX59">
            <v>12.2</v>
          </cell>
          <cell r="CY59">
            <v>2.5</v>
          </cell>
          <cell r="CZ59">
            <v>1.8</v>
          </cell>
          <cell r="DA59">
            <v>5.8</v>
          </cell>
          <cell r="DB59">
            <v>5.6</v>
          </cell>
          <cell r="DC59">
            <v>9.5</v>
          </cell>
          <cell r="DD59">
            <v>2.6</v>
          </cell>
          <cell r="DE59">
            <v>41</v>
          </cell>
          <cell r="DF59">
            <v>5.2</v>
          </cell>
          <cell r="DG59">
            <v>10.5</v>
          </cell>
          <cell r="DH59">
            <v>9</v>
          </cell>
          <cell r="DI59">
            <v>11.7</v>
          </cell>
          <cell r="DJ59">
            <v>8.6999999999999993</v>
          </cell>
          <cell r="DK59">
            <v>13.8</v>
          </cell>
          <cell r="DL59">
            <v>7.5</v>
          </cell>
          <cell r="DM59">
            <v>18.100000000000001</v>
          </cell>
          <cell r="DN59">
            <v>8.8000000000000007</v>
          </cell>
          <cell r="DO59">
            <v>6.9</v>
          </cell>
          <cell r="DP59">
            <v>7.3</v>
          </cell>
          <cell r="DQ59">
            <v>7.2</v>
          </cell>
          <cell r="DR59">
            <v>7.6</v>
          </cell>
          <cell r="DS59">
            <v>7.2</v>
          </cell>
          <cell r="DT59">
            <v>8.8000000000000007</v>
          </cell>
          <cell r="DU59">
            <v>6.3</v>
          </cell>
          <cell r="DV59">
            <v>7.1</v>
          </cell>
          <cell r="DW59">
            <v>6.9</v>
          </cell>
          <cell r="DX59">
            <v>6.1</v>
          </cell>
          <cell r="DY59">
            <v>8.1999999999999993</v>
          </cell>
          <cell r="EM59">
            <v>220</v>
          </cell>
          <cell r="EN59">
            <v>238.89999999999995</v>
          </cell>
          <cell r="EO59">
            <v>178.70000000000002</v>
          </cell>
          <cell r="EP59">
            <v>32.4</v>
          </cell>
          <cell r="EQ59">
            <v>62.899999999999991</v>
          </cell>
          <cell r="ER59">
            <v>172.8</v>
          </cell>
          <cell r="ES59">
            <v>96.5</v>
          </cell>
        </row>
        <row r="60">
          <cell r="A60" t="str">
            <v>Other Operating Income / (Expense) Items</v>
          </cell>
          <cell r="B60" t="str">
            <v>Operating Revenue</v>
          </cell>
          <cell r="D60" t="str">
            <v>Commercial Base Revenue Billed (PGA)</v>
          </cell>
          <cell r="E60" t="str">
            <v>Operating Revenue</v>
          </cell>
          <cell r="F60" t="str">
            <v>4810057</v>
          </cell>
          <cell r="G60" t="str">
            <v>A_4810057</v>
          </cell>
          <cell r="H60" t="str">
            <v>General Service Large Vol. 4 FUEL</v>
          </cell>
          <cell r="J60">
            <v>24.9</v>
          </cell>
          <cell r="K60">
            <v>24.1</v>
          </cell>
          <cell r="L60">
            <v>37.4</v>
          </cell>
          <cell r="M60">
            <v>58.4</v>
          </cell>
          <cell r="N60">
            <v>44.6</v>
          </cell>
          <cell r="O60">
            <v>54.3</v>
          </cell>
          <cell r="P60">
            <v>63.1</v>
          </cell>
          <cell r="Q60">
            <v>23.4</v>
          </cell>
          <cell r="R60">
            <v>68.900000000000006</v>
          </cell>
          <cell r="S60">
            <v>66.400000000000006</v>
          </cell>
          <cell r="T60">
            <v>60.4</v>
          </cell>
          <cell r="U60">
            <v>86.2</v>
          </cell>
          <cell r="V60">
            <v>105.2</v>
          </cell>
          <cell r="W60">
            <v>116.7</v>
          </cell>
          <cell r="X60">
            <v>94.5</v>
          </cell>
          <cell r="Y60">
            <v>101.7</v>
          </cell>
          <cell r="Z60">
            <v>117.2</v>
          </cell>
          <cell r="AA60">
            <v>132.30000000000001</v>
          </cell>
          <cell r="AB60">
            <v>65.7</v>
          </cell>
          <cell r="AC60">
            <v>74.900000000000006</v>
          </cell>
          <cell r="AD60">
            <v>71.5</v>
          </cell>
          <cell r="AE60">
            <v>68.7</v>
          </cell>
          <cell r="AF60">
            <v>67.599999999999994</v>
          </cell>
          <cell r="AG60">
            <v>88.3</v>
          </cell>
          <cell r="AH60">
            <v>107.4</v>
          </cell>
          <cell r="AI60">
            <v>119.1</v>
          </cell>
          <cell r="AJ60">
            <v>124.2</v>
          </cell>
          <cell r="AK60">
            <v>110.9</v>
          </cell>
          <cell r="AL60">
            <v>128.5</v>
          </cell>
          <cell r="AM60">
            <v>101.7</v>
          </cell>
          <cell r="AN60">
            <v>91.1</v>
          </cell>
          <cell r="AO60">
            <v>92.4</v>
          </cell>
          <cell r="AP60">
            <v>87.7</v>
          </cell>
          <cell r="AQ60">
            <v>99.5</v>
          </cell>
          <cell r="AR60">
            <v>90.1</v>
          </cell>
          <cell r="AS60">
            <v>95</v>
          </cell>
          <cell r="AT60">
            <v>114.1</v>
          </cell>
          <cell r="AU60">
            <v>130.69999999999999</v>
          </cell>
          <cell r="AV60">
            <v>109.1</v>
          </cell>
          <cell r="AW60">
            <v>121.7</v>
          </cell>
          <cell r="AX60">
            <v>112.1</v>
          </cell>
          <cell r="AY60">
            <v>148.1</v>
          </cell>
          <cell r="AZ60">
            <v>86.1</v>
          </cell>
          <cell r="BA60">
            <v>0</v>
          </cell>
          <cell r="BB60">
            <v>28.5</v>
          </cell>
          <cell r="BC60">
            <v>28.5</v>
          </cell>
          <cell r="BD60">
            <v>-28.4</v>
          </cell>
          <cell r="BE60">
            <v>8.9</v>
          </cell>
          <cell r="BF60">
            <v>0</v>
          </cell>
          <cell r="BG60">
            <v>2.4</v>
          </cell>
          <cell r="BH60">
            <v>0</v>
          </cell>
          <cell r="BI60">
            <v>0</v>
          </cell>
          <cell r="BJ60">
            <v>0</v>
          </cell>
          <cell r="BK60">
            <v>0.3</v>
          </cell>
          <cell r="BL60">
            <v>44</v>
          </cell>
          <cell r="BM60">
            <v>7.3</v>
          </cell>
          <cell r="BN60">
            <v>0</v>
          </cell>
          <cell r="BO60">
            <v>0</v>
          </cell>
          <cell r="BP60">
            <v>16</v>
          </cell>
          <cell r="BQ60">
            <v>48.3</v>
          </cell>
          <cell r="BR60">
            <v>12.7</v>
          </cell>
          <cell r="BS60">
            <v>19.100000000000001</v>
          </cell>
          <cell r="BT60">
            <v>12</v>
          </cell>
          <cell r="BU60">
            <v>17.399999999999999</v>
          </cell>
          <cell r="BV60">
            <v>0.1</v>
          </cell>
          <cell r="BW60">
            <v>1</v>
          </cell>
          <cell r="BX60">
            <v>-17</v>
          </cell>
          <cell r="BY60">
            <v>-4.9000000000000004</v>
          </cell>
          <cell r="BZ60">
            <v>3.8</v>
          </cell>
          <cell r="CA60">
            <v>11.9</v>
          </cell>
          <cell r="CB60">
            <v>71</v>
          </cell>
          <cell r="CC60">
            <v>47.7</v>
          </cell>
          <cell r="CD60">
            <v>112.8</v>
          </cell>
          <cell r="CE60">
            <v>90.3</v>
          </cell>
          <cell r="CF60">
            <v>89.9</v>
          </cell>
          <cell r="CG60">
            <v>84.8</v>
          </cell>
          <cell r="CH60">
            <v>69.900000000000006</v>
          </cell>
          <cell r="CI60">
            <v>22.5</v>
          </cell>
          <cell r="CJ60">
            <v>29.4</v>
          </cell>
          <cell r="CK60">
            <v>43.8</v>
          </cell>
          <cell r="CL60">
            <v>33</v>
          </cell>
          <cell r="CM60">
            <v>39.9</v>
          </cell>
          <cell r="CN60">
            <v>109.2</v>
          </cell>
          <cell r="CO60">
            <v>81.099999999999994</v>
          </cell>
          <cell r="CP60">
            <v>-46.3</v>
          </cell>
          <cell r="CQ60">
            <v>28.2</v>
          </cell>
          <cell r="CR60">
            <v>124.7</v>
          </cell>
          <cell r="CS60">
            <v>33.700000000000003</v>
          </cell>
          <cell r="CT60">
            <v>35.299999999999997</v>
          </cell>
          <cell r="CU60">
            <v>30.4</v>
          </cell>
          <cell r="CV60">
            <v>3.8</v>
          </cell>
          <cell r="CW60">
            <v>2.4</v>
          </cell>
          <cell r="CX60">
            <v>40.1</v>
          </cell>
          <cell r="CY60">
            <v>4.8</v>
          </cell>
          <cell r="CZ60">
            <v>2.6</v>
          </cell>
          <cell r="DA60">
            <v>17</v>
          </cell>
          <cell r="DB60">
            <v>17.100000000000001</v>
          </cell>
          <cell r="DC60">
            <v>38.5</v>
          </cell>
          <cell r="DD60">
            <v>3.6</v>
          </cell>
          <cell r="DE60">
            <v>170.9</v>
          </cell>
          <cell r="DF60">
            <v>18.2</v>
          </cell>
          <cell r="DG60">
            <v>44.3</v>
          </cell>
          <cell r="DH60">
            <v>44.4</v>
          </cell>
          <cell r="DI60">
            <v>29</v>
          </cell>
          <cell r="DJ60">
            <v>59.2</v>
          </cell>
          <cell r="DK60">
            <v>91.7</v>
          </cell>
          <cell r="DL60">
            <v>9.4</v>
          </cell>
          <cell r="DM60">
            <v>77.400000000000006</v>
          </cell>
          <cell r="DN60">
            <v>28.6</v>
          </cell>
          <cell r="DO60">
            <v>46.7</v>
          </cell>
          <cell r="DP60">
            <v>27.2</v>
          </cell>
          <cell r="DQ60">
            <v>27.7</v>
          </cell>
          <cell r="DR60">
            <v>0.1</v>
          </cell>
          <cell r="DS60">
            <v>2.1</v>
          </cell>
          <cell r="DT60">
            <v>0</v>
          </cell>
          <cell r="DU60">
            <v>0</v>
          </cell>
          <cell r="DV60">
            <v>7.5</v>
          </cell>
          <cell r="DW60">
            <v>28.9</v>
          </cell>
          <cell r="DX60">
            <v>145.69999999999999</v>
          </cell>
          <cell r="DY60">
            <v>83.4</v>
          </cell>
          <cell r="EM60">
            <v>1104.3</v>
          </cell>
          <cell r="EN60">
            <v>1247.5999999999999</v>
          </cell>
          <cell r="EO60">
            <v>859.4</v>
          </cell>
          <cell r="EP60">
            <v>118.3</v>
          </cell>
          <cell r="EQ60">
            <v>174.8</v>
          </cell>
          <cell r="ER60">
            <v>806.6</v>
          </cell>
          <cell r="ES60">
            <v>276.70000000000005</v>
          </cell>
        </row>
        <row r="61">
          <cell r="A61" t="str">
            <v>Base Revenues and OSS - Net</v>
          </cell>
          <cell r="B61" t="str">
            <v>Operating Revenue</v>
          </cell>
          <cell r="D61" t="str">
            <v>Commercial Base Revenue Billed</v>
          </cell>
          <cell r="E61" t="str">
            <v>Operating Revenue</v>
          </cell>
          <cell r="F61" t="str">
            <v>4810058</v>
          </cell>
          <cell r="G61" t="str">
            <v>A_4810058</v>
          </cell>
          <cell r="H61" t="str">
            <v>General Service Large Vol. 5</v>
          </cell>
          <cell r="J61">
            <v>3.7</v>
          </cell>
          <cell r="K61">
            <v>3.6</v>
          </cell>
          <cell r="L61">
            <v>3.3</v>
          </cell>
          <cell r="M61">
            <v>5.4</v>
          </cell>
          <cell r="N61">
            <v>2.2000000000000002</v>
          </cell>
          <cell r="O61">
            <v>2.8</v>
          </cell>
          <cell r="P61">
            <v>2.5</v>
          </cell>
          <cell r="Q61">
            <v>5.5</v>
          </cell>
          <cell r="R61">
            <v>2.8</v>
          </cell>
          <cell r="S61">
            <v>0</v>
          </cell>
          <cell r="T61">
            <v>6.6</v>
          </cell>
          <cell r="U61">
            <v>8.1999999999999993</v>
          </cell>
          <cell r="V61">
            <v>7</v>
          </cell>
          <cell r="W61">
            <v>4.3</v>
          </cell>
          <cell r="X61">
            <v>4</v>
          </cell>
          <cell r="Y61">
            <v>2.4</v>
          </cell>
          <cell r="Z61">
            <v>5.5</v>
          </cell>
          <cell r="AA61">
            <v>2.7</v>
          </cell>
          <cell r="AB61">
            <v>25</v>
          </cell>
          <cell r="AC61">
            <v>8.5</v>
          </cell>
          <cell r="AD61">
            <v>9.1</v>
          </cell>
          <cell r="AE61">
            <v>11.6</v>
          </cell>
          <cell r="AF61">
            <v>15.1</v>
          </cell>
          <cell r="AG61">
            <v>18.2</v>
          </cell>
          <cell r="AH61">
            <v>14.3</v>
          </cell>
          <cell r="AI61">
            <v>13.5</v>
          </cell>
          <cell r="AJ61">
            <v>11.1</v>
          </cell>
          <cell r="AK61">
            <v>2.2000000000000002</v>
          </cell>
          <cell r="AL61">
            <v>3.8</v>
          </cell>
          <cell r="AM61">
            <v>4.5999999999999996</v>
          </cell>
          <cell r="AN61">
            <v>5.5</v>
          </cell>
          <cell r="AO61">
            <v>2.7</v>
          </cell>
          <cell r="AP61">
            <v>0</v>
          </cell>
          <cell r="AQ61">
            <v>7.8</v>
          </cell>
          <cell r="AR61">
            <v>3.9</v>
          </cell>
          <cell r="AS61">
            <v>4.0999999999999996</v>
          </cell>
          <cell r="AT61">
            <v>3.6</v>
          </cell>
          <cell r="AU61">
            <v>4.7</v>
          </cell>
          <cell r="AV61">
            <v>4.8</v>
          </cell>
          <cell r="AW61">
            <v>7</v>
          </cell>
          <cell r="AX61">
            <v>2.6</v>
          </cell>
          <cell r="AY61">
            <v>2.6</v>
          </cell>
          <cell r="AZ61">
            <v>6.1</v>
          </cell>
          <cell r="BA61">
            <v>15.3</v>
          </cell>
          <cell r="BB61">
            <v>14.9</v>
          </cell>
          <cell r="BC61">
            <v>17.600000000000001</v>
          </cell>
          <cell r="BD61">
            <v>33.4</v>
          </cell>
          <cell r="BE61">
            <v>49.6</v>
          </cell>
          <cell r="BF61">
            <v>-5</v>
          </cell>
          <cell r="BG61">
            <v>19.399999999999999</v>
          </cell>
          <cell r="BH61">
            <v>18.3</v>
          </cell>
          <cell r="BI61">
            <v>19.600000000000001</v>
          </cell>
          <cell r="BJ61">
            <v>27.6</v>
          </cell>
          <cell r="BK61">
            <v>5.7</v>
          </cell>
          <cell r="BL61">
            <v>2.7</v>
          </cell>
          <cell r="BM61">
            <v>3.4</v>
          </cell>
          <cell r="BN61">
            <v>0.4</v>
          </cell>
          <cell r="BO61">
            <v>0.4</v>
          </cell>
          <cell r="BP61">
            <v>3</v>
          </cell>
          <cell r="BQ61">
            <v>21.8</v>
          </cell>
          <cell r="BR61">
            <v>4.3</v>
          </cell>
          <cell r="BS61">
            <v>3.7</v>
          </cell>
          <cell r="BT61">
            <v>6.5</v>
          </cell>
          <cell r="BU61">
            <v>4.3</v>
          </cell>
          <cell r="BV61">
            <v>0.3</v>
          </cell>
          <cell r="BW61">
            <v>2.7</v>
          </cell>
          <cell r="BX61">
            <v>7.1</v>
          </cell>
          <cell r="BY61">
            <v>0.3</v>
          </cell>
          <cell r="BZ61">
            <v>18</v>
          </cell>
          <cell r="CA61">
            <v>4.5</v>
          </cell>
          <cell r="CB61">
            <v>7.1</v>
          </cell>
          <cell r="CC61">
            <v>11.3</v>
          </cell>
          <cell r="CD61">
            <v>15</v>
          </cell>
          <cell r="CE61">
            <v>21</v>
          </cell>
          <cell r="CF61">
            <v>17.600000000000001</v>
          </cell>
          <cell r="CG61">
            <v>19</v>
          </cell>
          <cell r="CH61">
            <v>19.600000000000001</v>
          </cell>
          <cell r="CI61">
            <v>24.6</v>
          </cell>
          <cell r="CJ61">
            <v>19.899999999999999</v>
          </cell>
          <cell r="CK61">
            <v>19.3</v>
          </cell>
          <cell r="CL61">
            <v>15.9</v>
          </cell>
          <cell r="CM61">
            <v>17.2</v>
          </cell>
          <cell r="CN61">
            <v>18.5</v>
          </cell>
          <cell r="CO61">
            <v>9</v>
          </cell>
          <cell r="CP61">
            <v>66.5</v>
          </cell>
          <cell r="CQ61">
            <v>83.3</v>
          </cell>
          <cell r="CR61">
            <v>67.5</v>
          </cell>
          <cell r="CS61">
            <v>62.2</v>
          </cell>
          <cell r="CT61">
            <v>55</v>
          </cell>
          <cell r="CU61">
            <v>49.4</v>
          </cell>
          <cell r="CV61">
            <v>49.7</v>
          </cell>
          <cell r="CW61">
            <v>44.2</v>
          </cell>
          <cell r="CX61">
            <v>63.6</v>
          </cell>
          <cell r="CY61">
            <v>57.2</v>
          </cell>
          <cell r="CZ61">
            <v>34.6</v>
          </cell>
          <cell r="DA61">
            <v>48.3</v>
          </cell>
          <cell r="DB61">
            <v>87.3</v>
          </cell>
          <cell r="DC61">
            <v>-11.5</v>
          </cell>
          <cell r="DD61">
            <v>49.4</v>
          </cell>
          <cell r="DE61">
            <v>60.5</v>
          </cell>
          <cell r="DF61">
            <v>58.7</v>
          </cell>
          <cell r="DG61">
            <v>133.19999999999999</v>
          </cell>
          <cell r="DH61">
            <v>-59.8</v>
          </cell>
          <cell r="DI61">
            <v>46</v>
          </cell>
          <cell r="DJ61">
            <v>37.9</v>
          </cell>
          <cell r="DK61">
            <v>42</v>
          </cell>
          <cell r="DL61">
            <v>38.1</v>
          </cell>
          <cell r="DM61">
            <v>35.5</v>
          </cell>
          <cell r="DN61">
            <v>49.4</v>
          </cell>
          <cell r="DO61">
            <v>45.2</v>
          </cell>
          <cell r="DP61">
            <v>54.4</v>
          </cell>
          <cell r="DQ61">
            <v>35.799999999999997</v>
          </cell>
          <cell r="DR61">
            <v>52.7</v>
          </cell>
          <cell r="DS61">
            <v>48.4</v>
          </cell>
          <cell r="DT61">
            <v>53.8</v>
          </cell>
          <cell r="DU61">
            <v>48.9</v>
          </cell>
          <cell r="DV61">
            <v>56.1</v>
          </cell>
          <cell r="DW61">
            <v>51</v>
          </cell>
          <cell r="DX61">
            <v>47</v>
          </cell>
          <cell r="DY61">
            <v>56.4</v>
          </cell>
          <cell r="EM61">
            <v>113.39999999999999</v>
          </cell>
          <cell r="EN61">
            <v>73.5</v>
          </cell>
          <cell r="EO61">
            <v>162.19999999999999</v>
          </cell>
          <cell r="EP61">
            <v>117.30000000000003</v>
          </cell>
          <cell r="EQ61">
            <v>70.100000000000009</v>
          </cell>
          <cell r="ER61">
            <v>216.6</v>
          </cell>
          <cell r="ES61">
            <v>681.5</v>
          </cell>
        </row>
        <row r="62">
          <cell r="A62" t="str">
            <v>Other Operating Income / (Expense) Items</v>
          </cell>
          <cell r="B62" t="str">
            <v>Operating Revenue</v>
          </cell>
          <cell r="D62" t="str">
            <v>Commercial Base Revenue Billed (PGA)</v>
          </cell>
          <cell r="E62" t="str">
            <v>Operating Revenue</v>
          </cell>
          <cell r="F62" t="str">
            <v>4810059</v>
          </cell>
          <cell r="G62" t="str">
            <v>A_4810059</v>
          </cell>
          <cell r="H62" t="str">
            <v>General Service Large Vol. 5 FUEL</v>
          </cell>
          <cell r="J62">
            <v>28.3</v>
          </cell>
          <cell r="K62">
            <v>25.9</v>
          </cell>
          <cell r="L62">
            <v>23.1</v>
          </cell>
          <cell r="M62">
            <v>34.700000000000003</v>
          </cell>
          <cell r="N62">
            <v>15.1</v>
          </cell>
          <cell r="O62">
            <v>19.5</v>
          </cell>
          <cell r="P62">
            <v>17.899999999999999</v>
          </cell>
          <cell r="Q62">
            <v>35.6</v>
          </cell>
          <cell r="R62">
            <v>19.8</v>
          </cell>
          <cell r="S62">
            <v>0</v>
          </cell>
          <cell r="T62">
            <v>40.700000000000003</v>
          </cell>
          <cell r="U62">
            <v>52.2</v>
          </cell>
          <cell r="V62">
            <v>44</v>
          </cell>
          <cell r="W62">
            <v>31.2</v>
          </cell>
          <cell r="X62">
            <v>24.1</v>
          </cell>
          <cell r="Y62">
            <v>15.2</v>
          </cell>
          <cell r="Z62">
            <v>34.799999999999997</v>
          </cell>
          <cell r="AA62">
            <v>17.2</v>
          </cell>
          <cell r="AB62">
            <v>173.4</v>
          </cell>
          <cell r="AC62">
            <v>49.2</v>
          </cell>
          <cell r="AD62">
            <v>74</v>
          </cell>
          <cell r="AE62">
            <v>77.7</v>
          </cell>
          <cell r="AF62">
            <v>102.1</v>
          </cell>
          <cell r="AG62">
            <v>106.7</v>
          </cell>
          <cell r="AH62">
            <v>101.8</v>
          </cell>
          <cell r="AI62">
            <v>99.6</v>
          </cell>
          <cell r="AJ62">
            <v>77.3</v>
          </cell>
          <cell r="AK62">
            <v>16.600000000000001</v>
          </cell>
          <cell r="AL62">
            <v>11.7</v>
          </cell>
          <cell r="AM62">
            <v>25</v>
          </cell>
          <cell r="AN62">
            <v>35.200000000000003</v>
          </cell>
          <cell r="AO62">
            <v>17.600000000000001</v>
          </cell>
          <cell r="AP62">
            <v>0</v>
          </cell>
          <cell r="AQ62">
            <v>44</v>
          </cell>
          <cell r="AR62">
            <v>21</v>
          </cell>
          <cell r="AS62">
            <v>22.1</v>
          </cell>
          <cell r="AT62">
            <v>19.3</v>
          </cell>
          <cell r="AU62">
            <v>26.7</v>
          </cell>
          <cell r="AV62">
            <v>29.2</v>
          </cell>
          <cell r="AW62">
            <v>34.299999999999997</v>
          </cell>
          <cell r="AX62">
            <v>16</v>
          </cell>
          <cell r="AY62">
            <v>15.6</v>
          </cell>
          <cell r="AZ62">
            <v>30.8</v>
          </cell>
          <cell r="BA62">
            <v>108.5</v>
          </cell>
          <cell r="BB62">
            <v>113.7</v>
          </cell>
          <cell r="BC62">
            <v>133.6</v>
          </cell>
          <cell r="BD62">
            <v>209.7</v>
          </cell>
          <cell r="BE62">
            <v>311</v>
          </cell>
          <cell r="BF62">
            <v>38.1</v>
          </cell>
          <cell r="BG62">
            <v>158</v>
          </cell>
          <cell r="BH62">
            <v>138.9</v>
          </cell>
          <cell r="BI62">
            <v>151.1</v>
          </cell>
          <cell r="BJ62">
            <v>215.3</v>
          </cell>
          <cell r="BK62">
            <v>35.5</v>
          </cell>
          <cell r="BL62">
            <v>15.6</v>
          </cell>
          <cell r="BM62">
            <v>14.8</v>
          </cell>
          <cell r="BN62">
            <v>1.1000000000000001</v>
          </cell>
          <cell r="BO62">
            <v>0.3</v>
          </cell>
          <cell r="BP62">
            <v>12</v>
          </cell>
          <cell r="BQ62">
            <v>128.69999999999999</v>
          </cell>
          <cell r="BR62">
            <v>26.5</v>
          </cell>
          <cell r="BS62">
            <v>9.6</v>
          </cell>
          <cell r="BT62">
            <v>45.6</v>
          </cell>
          <cell r="BU62">
            <v>70.3</v>
          </cell>
          <cell r="BV62">
            <v>1.4</v>
          </cell>
          <cell r="BW62">
            <v>10.9</v>
          </cell>
          <cell r="BX62">
            <v>28</v>
          </cell>
          <cell r="BY62">
            <v>0.4</v>
          </cell>
          <cell r="BZ62">
            <v>144.4</v>
          </cell>
          <cell r="CA62">
            <v>31.2</v>
          </cell>
          <cell r="CB62">
            <v>45.2</v>
          </cell>
          <cell r="CC62">
            <v>70.2</v>
          </cell>
          <cell r="CD62">
            <v>88.5</v>
          </cell>
          <cell r="CE62">
            <v>149.1</v>
          </cell>
          <cell r="CF62">
            <v>119.6</v>
          </cell>
          <cell r="CG62">
            <v>129.30000000000001</v>
          </cell>
          <cell r="CH62">
            <v>131.80000000000001</v>
          </cell>
          <cell r="CI62">
            <v>161.30000000000001</v>
          </cell>
          <cell r="CJ62">
            <v>132</v>
          </cell>
          <cell r="CK62">
            <v>109.9</v>
          </cell>
          <cell r="CL62">
            <v>104.3</v>
          </cell>
          <cell r="CM62">
            <v>119.7</v>
          </cell>
          <cell r="CN62">
            <v>130.30000000000001</v>
          </cell>
          <cell r="CO62">
            <v>39.5</v>
          </cell>
          <cell r="CP62">
            <v>367.4</v>
          </cell>
          <cell r="CQ62">
            <v>506.6</v>
          </cell>
          <cell r="CR62">
            <v>490</v>
          </cell>
          <cell r="CS62">
            <v>425.3</v>
          </cell>
          <cell r="CT62">
            <v>309.10000000000002</v>
          </cell>
          <cell r="CU62">
            <v>361.4</v>
          </cell>
          <cell r="CV62">
            <v>296.7</v>
          </cell>
          <cell r="CW62">
            <v>328.5</v>
          </cell>
          <cell r="CX62">
            <v>466.9</v>
          </cell>
          <cell r="CY62">
            <v>397.4</v>
          </cell>
          <cell r="CZ62">
            <v>255.3</v>
          </cell>
          <cell r="DA62">
            <v>359.3</v>
          </cell>
          <cell r="DB62">
            <v>683.1</v>
          </cell>
          <cell r="DC62">
            <v>-90.7</v>
          </cell>
          <cell r="DD62">
            <v>405.1</v>
          </cell>
          <cell r="DE62">
            <v>464.6</v>
          </cell>
          <cell r="DF62">
            <v>373.9</v>
          </cell>
          <cell r="DG62">
            <v>1064.7</v>
          </cell>
          <cell r="DH62">
            <v>-368.1</v>
          </cell>
          <cell r="DI62">
            <v>390.1</v>
          </cell>
          <cell r="DJ62">
            <v>342.2</v>
          </cell>
          <cell r="DK62">
            <v>441.5</v>
          </cell>
          <cell r="DL62">
            <v>236</v>
          </cell>
          <cell r="DM62">
            <v>235.2</v>
          </cell>
          <cell r="DN62">
            <v>59.9</v>
          </cell>
          <cell r="DO62">
            <v>23.6</v>
          </cell>
          <cell r="DP62">
            <v>103.6</v>
          </cell>
          <cell r="DQ62">
            <v>112.1</v>
          </cell>
          <cell r="DR62">
            <v>2.4</v>
          </cell>
          <cell r="DS62">
            <v>22.8</v>
          </cell>
          <cell r="DT62">
            <v>52.3</v>
          </cell>
          <cell r="DU62">
            <v>0.9</v>
          </cell>
          <cell r="DV62">
            <v>287</v>
          </cell>
          <cell r="DW62">
            <v>76.099999999999994</v>
          </cell>
          <cell r="DX62">
            <v>92.6</v>
          </cell>
          <cell r="DY62">
            <v>122.9</v>
          </cell>
          <cell r="EM62">
            <v>749.6</v>
          </cell>
          <cell r="EN62">
            <v>471.90000000000003</v>
          </cell>
          <cell r="EO62">
            <v>1048.3999999999999</v>
          </cell>
          <cell r="EP62">
            <v>909.40000000000009</v>
          </cell>
          <cell r="EQ62">
            <v>483.7</v>
          </cell>
          <cell r="ER62">
            <v>1415.3</v>
          </cell>
          <cell r="ES62">
            <v>4563.9000000000005</v>
          </cell>
        </row>
        <row r="63">
          <cell r="A63" t="str">
            <v>Base Revenues and OSS - Net</v>
          </cell>
          <cell r="B63" t="str">
            <v>Operating Revenue</v>
          </cell>
          <cell r="D63" t="str">
            <v>Industrial Base Revenue Billed</v>
          </cell>
          <cell r="E63" t="str">
            <v>Operating Revenue</v>
          </cell>
          <cell r="F63" t="str">
            <v>4810060</v>
          </cell>
          <cell r="G63" t="str">
            <v>A_4810060</v>
          </cell>
          <cell r="H63" t="str">
            <v>Interruptible Service Small</v>
          </cell>
          <cell r="J63">
            <v>3.6</v>
          </cell>
          <cell r="K63">
            <v>7.4</v>
          </cell>
          <cell r="L63">
            <v>4.2</v>
          </cell>
          <cell r="M63">
            <v>6.6</v>
          </cell>
          <cell r="N63">
            <v>0.3</v>
          </cell>
          <cell r="O63">
            <v>0</v>
          </cell>
          <cell r="P63">
            <v>4.0999999999999996</v>
          </cell>
          <cell r="Q63">
            <v>0</v>
          </cell>
          <cell r="R63">
            <v>6</v>
          </cell>
          <cell r="S63">
            <v>0.3</v>
          </cell>
          <cell r="T63">
            <v>0.1</v>
          </cell>
          <cell r="U63">
            <v>8.8000000000000007</v>
          </cell>
          <cell r="V63">
            <v>1.5</v>
          </cell>
          <cell r="W63">
            <v>2.4</v>
          </cell>
          <cell r="X63">
            <v>12.2</v>
          </cell>
          <cell r="Y63">
            <v>3.2</v>
          </cell>
          <cell r="Z63">
            <v>2.6</v>
          </cell>
          <cell r="AA63">
            <v>0.5</v>
          </cell>
          <cell r="AB63">
            <v>6.7</v>
          </cell>
          <cell r="AC63">
            <v>3.6</v>
          </cell>
          <cell r="AD63">
            <v>1.1000000000000001</v>
          </cell>
          <cell r="AE63">
            <v>0.3</v>
          </cell>
          <cell r="AF63">
            <v>1.2</v>
          </cell>
          <cell r="AG63">
            <v>0.3</v>
          </cell>
          <cell r="AH63">
            <v>1.5</v>
          </cell>
          <cell r="AI63">
            <v>9.6999999999999993</v>
          </cell>
          <cell r="AJ63">
            <v>2.5</v>
          </cell>
          <cell r="AK63">
            <v>2.8</v>
          </cell>
          <cell r="AL63">
            <v>0</v>
          </cell>
          <cell r="AM63">
            <v>2.7</v>
          </cell>
          <cell r="AN63">
            <v>9.1999999999999993</v>
          </cell>
          <cell r="AO63">
            <v>18.600000000000001</v>
          </cell>
          <cell r="AP63">
            <v>0.1</v>
          </cell>
          <cell r="AQ63">
            <v>3.9</v>
          </cell>
          <cell r="AR63">
            <v>8.3000000000000007</v>
          </cell>
          <cell r="AS63">
            <v>6.8</v>
          </cell>
          <cell r="AT63">
            <v>8</v>
          </cell>
          <cell r="AU63">
            <v>3.5</v>
          </cell>
          <cell r="AV63">
            <v>4.9000000000000004</v>
          </cell>
          <cell r="AW63">
            <v>3.7</v>
          </cell>
          <cell r="AX63">
            <v>2.4</v>
          </cell>
          <cell r="AY63">
            <v>0.3</v>
          </cell>
          <cell r="AZ63">
            <v>1.1000000000000001</v>
          </cell>
          <cell r="BA63">
            <v>2.8</v>
          </cell>
          <cell r="BB63">
            <v>1.7</v>
          </cell>
          <cell r="BC63">
            <v>14.9</v>
          </cell>
          <cell r="BD63">
            <v>6.8</v>
          </cell>
          <cell r="BE63">
            <v>3.9</v>
          </cell>
          <cell r="BF63">
            <v>4.5999999999999996</v>
          </cell>
          <cell r="BG63">
            <v>0.9</v>
          </cell>
          <cell r="BH63">
            <v>0.3</v>
          </cell>
          <cell r="BI63">
            <v>0.8</v>
          </cell>
          <cell r="BJ63">
            <v>1.6</v>
          </cell>
          <cell r="BK63">
            <v>0.3</v>
          </cell>
          <cell r="BL63">
            <v>0.3</v>
          </cell>
          <cell r="BM63">
            <v>0</v>
          </cell>
          <cell r="BN63">
            <v>0</v>
          </cell>
          <cell r="BO63">
            <v>0.1</v>
          </cell>
          <cell r="BP63">
            <v>0.4</v>
          </cell>
          <cell r="BQ63">
            <v>14.2</v>
          </cell>
          <cell r="BR63">
            <v>0.6</v>
          </cell>
          <cell r="BS63">
            <v>1.4</v>
          </cell>
          <cell r="BT63">
            <v>0</v>
          </cell>
          <cell r="BU63">
            <v>1</v>
          </cell>
          <cell r="BV63">
            <v>0</v>
          </cell>
          <cell r="BW63">
            <v>0</v>
          </cell>
          <cell r="BX63">
            <v>0.4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2.2999999999999998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3.3</v>
          </cell>
          <cell r="CO63">
            <v>0</v>
          </cell>
          <cell r="CP63">
            <v>3.1</v>
          </cell>
          <cell r="CQ63">
            <v>0</v>
          </cell>
          <cell r="CR63">
            <v>0</v>
          </cell>
          <cell r="CS63">
            <v>0</v>
          </cell>
          <cell r="CT63">
            <v>0.4</v>
          </cell>
          <cell r="CU63">
            <v>0</v>
          </cell>
          <cell r="CV63">
            <v>0.2</v>
          </cell>
          <cell r="CW63">
            <v>-0.2</v>
          </cell>
          <cell r="CX63">
            <v>2.1</v>
          </cell>
          <cell r="CY63">
            <v>4.7</v>
          </cell>
          <cell r="CZ63">
            <v>0.5</v>
          </cell>
          <cell r="DA63">
            <v>3.5</v>
          </cell>
          <cell r="DB63">
            <v>0</v>
          </cell>
          <cell r="DC63">
            <v>18.7</v>
          </cell>
          <cell r="DD63">
            <v>0</v>
          </cell>
          <cell r="DE63">
            <v>0</v>
          </cell>
          <cell r="DF63">
            <v>24.1</v>
          </cell>
          <cell r="DG63">
            <v>0</v>
          </cell>
          <cell r="DH63">
            <v>0</v>
          </cell>
          <cell r="DI63">
            <v>3.1</v>
          </cell>
          <cell r="DJ63">
            <v>0</v>
          </cell>
          <cell r="DK63">
            <v>26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EM63">
            <v>35.599999999999994</v>
          </cell>
          <cell r="EN63">
            <v>66.099999999999994</v>
          </cell>
          <cell r="EO63">
            <v>53.999999999999993</v>
          </cell>
          <cell r="EP63">
            <v>23.5</v>
          </cell>
          <cell r="EQ63">
            <v>5.6999999999999993</v>
          </cell>
          <cell r="ER63">
            <v>3.3</v>
          </cell>
          <cell r="ES63">
            <v>14.3</v>
          </cell>
        </row>
        <row r="64">
          <cell r="A64" t="str">
            <v>Other Operating Income / (Expense) Items</v>
          </cell>
          <cell r="B64" t="str">
            <v>Operating Revenue</v>
          </cell>
          <cell r="D64" t="str">
            <v>Industrial Base Revenue Billed (PGA)</v>
          </cell>
          <cell r="E64" t="str">
            <v>Operating Revenue</v>
          </cell>
          <cell r="F64" t="str">
            <v>4810061</v>
          </cell>
          <cell r="G64" t="str">
            <v>A_4810061</v>
          </cell>
          <cell r="H64" t="str">
            <v>Interruptible Service Small FUEL</v>
          </cell>
          <cell r="J64">
            <v>40.5</v>
          </cell>
          <cell r="K64">
            <v>70</v>
          </cell>
          <cell r="L64">
            <v>43.2</v>
          </cell>
          <cell r="M64">
            <v>56.4</v>
          </cell>
          <cell r="N64">
            <v>0.1</v>
          </cell>
          <cell r="O64">
            <v>0</v>
          </cell>
          <cell r="P64">
            <v>41.1</v>
          </cell>
          <cell r="Q64">
            <v>0</v>
          </cell>
          <cell r="R64">
            <v>62.8</v>
          </cell>
          <cell r="S64">
            <v>3.5</v>
          </cell>
          <cell r="T64">
            <v>0.7</v>
          </cell>
          <cell r="U64">
            <v>71.099999999999994</v>
          </cell>
          <cell r="V64">
            <v>14.1</v>
          </cell>
          <cell r="W64">
            <v>24.2</v>
          </cell>
          <cell r="X64">
            <v>82.5</v>
          </cell>
          <cell r="Y64">
            <v>30.1</v>
          </cell>
          <cell r="Z64">
            <v>24.5</v>
          </cell>
          <cell r="AA64">
            <v>1.9</v>
          </cell>
          <cell r="AB64">
            <v>48.9</v>
          </cell>
          <cell r="AC64">
            <v>32.299999999999997</v>
          </cell>
          <cell r="AD64">
            <v>16.8</v>
          </cell>
          <cell r="AE64">
            <v>0</v>
          </cell>
          <cell r="AF64">
            <v>4.2</v>
          </cell>
          <cell r="AG64">
            <v>0.1</v>
          </cell>
          <cell r="AH64">
            <v>14</v>
          </cell>
          <cell r="AI64">
            <v>66</v>
          </cell>
          <cell r="AJ64">
            <v>28.3</v>
          </cell>
          <cell r="AK64">
            <v>31.5</v>
          </cell>
          <cell r="AL64">
            <v>0</v>
          </cell>
          <cell r="AM64">
            <v>79.8</v>
          </cell>
          <cell r="AN64">
            <v>93.4</v>
          </cell>
          <cell r="AO64">
            <v>99.2</v>
          </cell>
          <cell r="AP64">
            <v>0.4</v>
          </cell>
          <cell r="AQ64">
            <v>40.1</v>
          </cell>
          <cell r="AR64">
            <v>76.099999999999994</v>
          </cell>
          <cell r="AS64">
            <v>34.299999999999997</v>
          </cell>
          <cell r="AT64">
            <v>70.5</v>
          </cell>
          <cell r="AU64">
            <v>132.80000000000001</v>
          </cell>
          <cell r="AV64">
            <v>32.6</v>
          </cell>
          <cell r="AW64">
            <v>34.6</v>
          </cell>
          <cell r="AX64">
            <v>23</v>
          </cell>
          <cell r="AY64">
            <v>0</v>
          </cell>
          <cell r="AZ64">
            <v>8.5</v>
          </cell>
          <cell r="BA64">
            <v>29.4</v>
          </cell>
          <cell r="BB64">
            <v>16.7</v>
          </cell>
          <cell r="BC64">
            <v>2.8</v>
          </cell>
          <cell r="BD64">
            <v>58.4</v>
          </cell>
          <cell r="BE64">
            <v>31.2</v>
          </cell>
          <cell r="BF64">
            <v>51</v>
          </cell>
          <cell r="BG64">
            <v>9.8000000000000007</v>
          </cell>
          <cell r="BH64">
            <v>0.1</v>
          </cell>
          <cell r="BI64">
            <v>2.6</v>
          </cell>
          <cell r="BJ64">
            <v>16.100000000000001</v>
          </cell>
          <cell r="BK64">
            <v>0.2</v>
          </cell>
          <cell r="BL64">
            <v>0.1</v>
          </cell>
          <cell r="BM64">
            <v>0.3</v>
          </cell>
          <cell r="BN64">
            <v>0</v>
          </cell>
          <cell r="BO64">
            <v>0.6</v>
          </cell>
          <cell r="BP64">
            <v>3</v>
          </cell>
          <cell r="BQ64">
            <v>104.7</v>
          </cell>
          <cell r="BR64">
            <v>5.2</v>
          </cell>
          <cell r="BS64">
            <v>9.9</v>
          </cell>
          <cell r="BT64">
            <v>0</v>
          </cell>
          <cell r="BU64">
            <v>7.2</v>
          </cell>
          <cell r="BV64">
            <v>0</v>
          </cell>
          <cell r="BW64">
            <v>0</v>
          </cell>
          <cell r="BX64">
            <v>2.6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15.1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18.8</v>
          </cell>
          <cell r="CO64">
            <v>0</v>
          </cell>
          <cell r="CP64">
            <v>19.2</v>
          </cell>
          <cell r="CQ64">
            <v>0</v>
          </cell>
          <cell r="CR64">
            <v>0</v>
          </cell>
          <cell r="CS64">
            <v>0</v>
          </cell>
          <cell r="CT64">
            <v>2.2000000000000002</v>
          </cell>
          <cell r="CU64">
            <v>0</v>
          </cell>
          <cell r="CV64">
            <v>1.2</v>
          </cell>
          <cell r="CW64">
            <v>-1.2</v>
          </cell>
          <cell r="CX64">
            <v>13.4</v>
          </cell>
          <cell r="CY64">
            <v>43.1</v>
          </cell>
          <cell r="CZ64">
            <v>3.9</v>
          </cell>
          <cell r="DA64">
            <v>33.700000000000003</v>
          </cell>
          <cell r="DB64">
            <v>0</v>
          </cell>
          <cell r="DC64">
            <v>158.19999999999999</v>
          </cell>
          <cell r="DD64">
            <v>0</v>
          </cell>
          <cell r="DE64">
            <v>0</v>
          </cell>
          <cell r="DF64">
            <v>176.6</v>
          </cell>
          <cell r="DG64">
            <v>0</v>
          </cell>
          <cell r="DH64">
            <v>0</v>
          </cell>
          <cell r="DI64">
            <v>50.4</v>
          </cell>
          <cell r="DJ64">
            <v>0</v>
          </cell>
          <cell r="DK64">
            <v>295.2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EM64">
            <v>279.60000000000002</v>
          </cell>
          <cell r="EN64">
            <v>563.09999999999991</v>
          </cell>
          <cell r="EO64">
            <v>440.49999999999994</v>
          </cell>
          <cell r="EP64">
            <v>188.5</v>
          </cell>
          <cell r="EQ64">
            <v>40</v>
          </cell>
          <cell r="ER64">
            <v>18.8</v>
          </cell>
          <cell r="ES64">
            <v>115.50000000000001</v>
          </cell>
        </row>
        <row r="65">
          <cell r="A65" t="str">
            <v>Base Revenues and OSS - Net</v>
          </cell>
          <cell r="B65" t="str">
            <v>Operating Revenue</v>
          </cell>
          <cell r="D65" t="str">
            <v>Industrial Base Revenue Billed</v>
          </cell>
          <cell r="E65" t="str">
            <v>Operating Revenue</v>
          </cell>
          <cell r="F65" t="str">
            <v>4810070</v>
          </cell>
          <cell r="G65" t="str">
            <v>A_4810070</v>
          </cell>
          <cell r="H65" t="str">
            <v>Interruptible Service Large Vol. 1</v>
          </cell>
          <cell r="J65">
            <v>0</v>
          </cell>
          <cell r="K65">
            <v>0</v>
          </cell>
          <cell r="L65">
            <v>0.2</v>
          </cell>
          <cell r="M65">
            <v>0.9</v>
          </cell>
          <cell r="N65">
            <v>2.7</v>
          </cell>
          <cell r="O65">
            <v>0</v>
          </cell>
          <cell r="P65">
            <v>0.4</v>
          </cell>
          <cell r="Q65">
            <v>2.5</v>
          </cell>
          <cell r="R65">
            <v>0</v>
          </cell>
          <cell r="S65">
            <v>3.8</v>
          </cell>
          <cell r="T65">
            <v>0.3</v>
          </cell>
          <cell r="U65">
            <v>8.1999999999999993</v>
          </cell>
          <cell r="V65">
            <v>0</v>
          </cell>
          <cell r="W65">
            <v>0</v>
          </cell>
          <cell r="X65">
            <v>5</v>
          </cell>
          <cell r="Y65">
            <v>-5</v>
          </cell>
          <cell r="Z65">
            <v>0</v>
          </cell>
          <cell r="AA65">
            <v>3.1</v>
          </cell>
          <cell r="AB65">
            <v>0.1</v>
          </cell>
          <cell r="AC65">
            <v>0</v>
          </cell>
          <cell r="AD65">
            <v>0</v>
          </cell>
          <cell r="AE65">
            <v>2.7</v>
          </cell>
          <cell r="AF65">
            <v>0</v>
          </cell>
          <cell r="AG65">
            <v>1.1000000000000001</v>
          </cell>
          <cell r="AH65">
            <v>0.1</v>
          </cell>
          <cell r="AI65">
            <v>0</v>
          </cell>
          <cell r="AJ65">
            <v>0.1</v>
          </cell>
          <cell r="AK65">
            <v>1.5</v>
          </cell>
          <cell r="AL65">
            <v>0.3</v>
          </cell>
          <cell r="AM65">
            <v>6.4</v>
          </cell>
          <cell r="AN65">
            <v>0.7</v>
          </cell>
          <cell r="AO65">
            <v>5.4</v>
          </cell>
          <cell r="AP65">
            <v>0</v>
          </cell>
          <cell r="AQ65">
            <v>3.7</v>
          </cell>
          <cell r="AR65">
            <v>1</v>
          </cell>
          <cell r="AS65">
            <v>8.1</v>
          </cell>
          <cell r="AT65">
            <v>0</v>
          </cell>
          <cell r="AU65">
            <v>7.4</v>
          </cell>
          <cell r="AV65">
            <v>0.3</v>
          </cell>
          <cell r="AW65">
            <v>4.7</v>
          </cell>
          <cell r="AX65">
            <v>0.6</v>
          </cell>
          <cell r="AY65">
            <v>1</v>
          </cell>
          <cell r="AZ65">
            <v>1.7</v>
          </cell>
          <cell r="BA65">
            <v>0.2</v>
          </cell>
          <cell r="BB65">
            <v>1.1000000000000001</v>
          </cell>
          <cell r="BC65">
            <v>-4.2</v>
          </cell>
          <cell r="BD65">
            <v>2.1</v>
          </cell>
          <cell r="BE65">
            <v>7.2</v>
          </cell>
          <cell r="BF65">
            <v>11.7</v>
          </cell>
          <cell r="BG65">
            <v>1.7</v>
          </cell>
          <cell r="BH65">
            <v>0.5</v>
          </cell>
          <cell r="BI65">
            <v>4.8</v>
          </cell>
          <cell r="BJ65">
            <v>5.9</v>
          </cell>
          <cell r="BK65">
            <v>0</v>
          </cell>
          <cell r="BL65">
            <v>0</v>
          </cell>
          <cell r="BM65">
            <v>1.5</v>
          </cell>
          <cell r="BN65">
            <v>3.5</v>
          </cell>
          <cell r="BO65">
            <v>4.8</v>
          </cell>
          <cell r="BP65">
            <v>11</v>
          </cell>
          <cell r="BQ65">
            <v>0.6</v>
          </cell>
          <cell r="BR65">
            <v>2.7</v>
          </cell>
          <cell r="BS65">
            <v>0</v>
          </cell>
          <cell r="BT65">
            <v>0.2</v>
          </cell>
          <cell r="BU65">
            <v>-0.4</v>
          </cell>
          <cell r="BV65">
            <v>0.8</v>
          </cell>
          <cell r="BW65">
            <v>1.1000000000000001</v>
          </cell>
          <cell r="BX65">
            <v>0</v>
          </cell>
          <cell r="BY65">
            <v>0.2</v>
          </cell>
          <cell r="BZ65">
            <v>0</v>
          </cell>
          <cell r="CA65">
            <v>0</v>
          </cell>
          <cell r="CB65">
            <v>0.4</v>
          </cell>
          <cell r="CC65">
            <v>1.9</v>
          </cell>
          <cell r="CD65">
            <v>0</v>
          </cell>
          <cell r="CE65">
            <v>7.1</v>
          </cell>
          <cell r="CF65">
            <v>12.6</v>
          </cell>
          <cell r="CG65">
            <v>0</v>
          </cell>
          <cell r="CH65">
            <v>0</v>
          </cell>
          <cell r="CI65">
            <v>0</v>
          </cell>
          <cell r="CJ65">
            <v>2</v>
          </cell>
          <cell r="CK65">
            <v>0</v>
          </cell>
          <cell r="CL65">
            <v>0.9</v>
          </cell>
          <cell r="CM65">
            <v>0.8</v>
          </cell>
          <cell r="CN65">
            <v>0.3</v>
          </cell>
          <cell r="CO65">
            <v>0</v>
          </cell>
          <cell r="CP65">
            <v>13.5</v>
          </cell>
          <cell r="CQ65">
            <v>4.5999999999999996</v>
          </cell>
          <cell r="CR65">
            <v>0</v>
          </cell>
          <cell r="CS65">
            <v>0</v>
          </cell>
          <cell r="CT65">
            <v>1.1000000000000001</v>
          </cell>
          <cell r="CU65">
            <v>1.5</v>
          </cell>
          <cell r="CV65">
            <v>1.8</v>
          </cell>
          <cell r="CW65">
            <v>0.2</v>
          </cell>
          <cell r="CX65">
            <v>7.3</v>
          </cell>
          <cell r="CY65">
            <v>5.2</v>
          </cell>
          <cell r="CZ65">
            <v>8.6</v>
          </cell>
          <cell r="DA65">
            <v>3</v>
          </cell>
          <cell r="DB65">
            <v>2.1</v>
          </cell>
          <cell r="DC65">
            <v>4.5</v>
          </cell>
          <cell r="DD65">
            <v>5.9</v>
          </cell>
          <cell r="DE65">
            <v>0</v>
          </cell>
          <cell r="DF65">
            <v>2.8</v>
          </cell>
          <cell r="DG65">
            <v>0</v>
          </cell>
          <cell r="DH65">
            <v>6.1</v>
          </cell>
          <cell r="DI65">
            <v>0.2</v>
          </cell>
          <cell r="DJ65">
            <v>0.2</v>
          </cell>
          <cell r="DK65">
            <v>0</v>
          </cell>
          <cell r="DL65">
            <v>1.3</v>
          </cell>
          <cell r="DM65">
            <v>4.7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EM65">
            <v>7</v>
          </cell>
          <cell r="EN65">
            <v>27.299999999999997</v>
          </cell>
          <cell r="EO65">
            <v>22.1</v>
          </cell>
          <cell r="EP65">
            <v>46</v>
          </cell>
          <cell r="EQ65">
            <v>6.9</v>
          </cell>
          <cell r="ER65">
            <v>23.7</v>
          </cell>
          <cell r="ES65">
            <v>46.800000000000004</v>
          </cell>
        </row>
        <row r="66">
          <cell r="A66" t="str">
            <v>Other Operating Income / (Expense) Items</v>
          </cell>
          <cell r="B66" t="str">
            <v>Operating Revenue</v>
          </cell>
          <cell r="D66" t="str">
            <v>Industrial Base Revenue Billed (PGA)</v>
          </cell>
          <cell r="E66" t="str">
            <v>Operating Revenue</v>
          </cell>
          <cell r="F66" t="str">
            <v>4810071</v>
          </cell>
          <cell r="G66" t="str">
            <v>A_4810071</v>
          </cell>
          <cell r="H66" t="str">
            <v>Interruptible Service Large Vol. 1 FUEL</v>
          </cell>
          <cell r="J66">
            <v>0</v>
          </cell>
          <cell r="K66">
            <v>0</v>
          </cell>
          <cell r="L66">
            <v>3.5</v>
          </cell>
          <cell r="M66">
            <v>14</v>
          </cell>
          <cell r="N66">
            <v>41.3</v>
          </cell>
          <cell r="O66">
            <v>-6.1</v>
          </cell>
          <cell r="P66">
            <v>5.9</v>
          </cell>
          <cell r="Q66">
            <v>34.4</v>
          </cell>
          <cell r="R66">
            <v>17.3</v>
          </cell>
          <cell r="S66">
            <v>34</v>
          </cell>
          <cell r="T66">
            <v>3.2</v>
          </cell>
          <cell r="U66">
            <v>113.2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32.6</v>
          </cell>
          <cell r="AB66">
            <v>1.2</v>
          </cell>
          <cell r="AC66">
            <v>0</v>
          </cell>
          <cell r="AD66">
            <v>0</v>
          </cell>
          <cell r="AE66">
            <v>26.1</v>
          </cell>
          <cell r="AF66">
            <v>0</v>
          </cell>
          <cell r="AG66">
            <v>8.9</v>
          </cell>
          <cell r="AH66">
            <v>0.4</v>
          </cell>
          <cell r="AI66">
            <v>0</v>
          </cell>
          <cell r="AJ66">
            <v>0.6</v>
          </cell>
          <cell r="AK66">
            <v>10.3</v>
          </cell>
          <cell r="AL66">
            <v>2.5</v>
          </cell>
          <cell r="AM66">
            <v>0</v>
          </cell>
          <cell r="AN66">
            <v>2.4</v>
          </cell>
          <cell r="AO66">
            <v>61.2</v>
          </cell>
          <cell r="AP66">
            <v>0</v>
          </cell>
          <cell r="AQ66">
            <v>42.7</v>
          </cell>
          <cell r="AR66">
            <v>0</v>
          </cell>
          <cell r="AS66">
            <v>69.400000000000006</v>
          </cell>
          <cell r="AT66">
            <v>0</v>
          </cell>
          <cell r="AU66">
            <v>7.1</v>
          </cell>
          <cell r="AV66">
            <v>4</v>
          </cell>
          <cell r="AW66">
            <v>63.8</v>
          </cell>
          <cell r="AX66">
            <v>8.5</v>
          </cell>
          <cell r="AY66">
            <v>13.7</v>
          </cell>
          <cell r="AZ66">
            <v>22.5</v>
          </cell>
          <cell r="BA66">
            <v>2.9</v>
          </cell>
          <cell r="BB66">
            <v>13.8</v>
          </cell>
          <cell r="BC66">
            <v>38.4</v>
          </cell>
          <cell r="BD66">
            <v>27.1</v>
          </cell>
          <cell r="BE66">
            <v>98</v>
          </cell>
          <cell r="BF66">
            <v>152</v>
          </cell>
          <cell r="BG66">
            <v>27.6</v>
          </cell>
          <cell r="BH66">
            <v>7.8</v>
          </cell>
          <cell r="BI66">
            <v>65</v>
          </cell>
          <cell r="BJ66">
            <v>77.3</v>
          </cell>
          <cell r="BK66">
            <v>0</v>
          </cell>
          <cell r="BL66">
            <v>0</v>
          </cell>
          <cell r="BM66">
            <v>19.7</v>
          </cell>
          <cell r="BN66">
            <v>46.4</v>
          </cell>
          <cell r="BO66">
            <v>64.5</v>
          </cell>
          <cell r="BP66">
            <v>166.7</v>
          </cell>
          <cell r="BQ66">
            <v>9.5</v>
          </cell>
          <cell r="BR66">
            <v>48</v>
          </cell>
          <cell r="BS66">
            <v>0</v>
          </cell>
          <cell r="BT66">
            <v>3.1</v>
          </cell>
          <cell r="BU66">
            <v>6.1</v>
          </cell>
          <cell r="BV66">
            <v>23.8</v>
          </cell>
          <cell r="BW66">
            <v>-10.4</v>
          </cell>
          <cell r="BX66">
            <v>0</v>
          </cell>
          <cell r="BY66">
            <v>1.8</v>
          </cell>
          <cell r="BZ66">
            <v>0.8</v>
          </cell>
          <cell r="CA66">
            <v>0</v>
          </cell>
          <cell r="CB66">
            <v>5.0999999999999996</v>
          </cell>
          <cell r="CC66">
            <v>24.3</v>
          </cell>
          <cell r="CD66">
            <v>0</v>
          </cell>
          <cell r="CE66">
            <v>79.099999999999994</v>
          </cell>
          <cell r="CF66">
            <v>136.6</v>
          </cell>
          <cell r="CG66">
            <v>0</v>
          </cell>
          <cell r="CH66">
            <v>0</v>
          </cell>
          <cell r="CI66">
            <v>0</v>
          </cell>
          <cell r="CJ66">
            <v>18.3</v>
          </cell>
          <cell r="CK66">
            <v>0</v>
          </cell>
          <cell r="CL66">
            <v>9.6999999999999993</v>
          </cell>
          <cell r="CM66">
            <v>8.5</v>
          </cell>
          <cell r="CN66">
            <v>3.3</v>
          </cell>
          <cell r="CO66">
            <v>0.2</v>
          </cell>
          <cell r="CP66">
            <v>204.1</v>
          </cell>
          <cell r="CQ66">
            <v>45</v>
          </cell>
          <cell r="CR66">
            <v>0</v>
          </cell>
          <cell r="CS66">
            <v>0</v>
          </cell>
          <cell r="CT66">
            <v>9.9</v>
          </cell>
          <cell r="CU66">
            <v>13.8</v>
          </cell>
          <cell r="CV66">
            <v>18.7</v>
          </cell>
          <cell r="CW66">
            <v>2.9</v>
          </cell>
          <cell r="CX66">
            <v>98.6</v>
          </cell>
          <cell r="CY66">
            <v>76</v>
          </cell>
          <cell r="CZ66">
            <v>149.6</v>
          </cell>
          <cell r="DA66">
            <v>45.1</v>
          </cell>
          <cell r="DB66">
            <v>26.1</v>
          </cell>
          <cell r="DC66">
            <v>66.2</v>
          </cell>
          <cell r="DD66">
            <v>95.6</v>
          </cell>
          <cell r="DE66">
            <v>0</v>
          </cell>
          <cell r="DF66">
            <v>56.2</v>
          </cell>
          <cell r="DG66">
            <v>0</v>
          </cell>
          <cell r="DH66">
            <v>157.80000000000001</v>
          </cell>
          <cell r="DI66">
            <v>6.2</v>
          </cell>
          <cell r="DJ66">
            <v>5.5</v>
          </cell>
          <cell r="DK66">
            <v>0</v>
          </cell>
          <cell r="DL66">
            <v>22.1</v>
          </cell>
          <cell r="DM66">
            <v>146.4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EM66">
            <v>68.800000000000011</v>
          </cell>
          <cell r="EN66">
            <v>189.5</v>
          </cell>
          <cell r="EO66">
            <v>299.8</v>
          </cell>
          <cell r="EP66">
            <v>636.5</v>
          </cell>
          <cell r="EQ66">
            <v>102.59999999999998</v>
          </cell>
          <cell r="ER66">
            <v>255.7</v>
          </cell>
          <cell r="ES66">
            <v>663.7</v>
          </cell>
        </row>
        <row r="67">
          <cell r="A67" t="str">
            <v>Base Revenues and OSS - Net</v>
          </cell>
          <cell r="B67" t="str">
            <v>Operating Revenue</v>
          </cell>
          <cell r="D67" t="str">
            <v>Industrial Base Revenue Billed</v>
          </cell>
          <cell r="E67" t="str">
            <v>Operating Revenue</v>
          </cell>
          <cell r="F67" t="str">
            <v>4810080</v>
          </cell>
          <cell r="G67" t="str">
            <v>A_4810080</v>
          </cell>
          <cell r="H67" t="str">
            <v>Interruptible Service Large Vol. 2</v>
          </cell>
          <cell r="J67">
            <v>0.9</v>
          </cell>
          <cell r="K67">
            <v>0</v>
          </cell>
          <cell r="L67">
            <v>0.3</v>
          </cell>
          <cell r="M67">
            <v>0</v>
          </cell>
          <cell r="N67">
            <v>1.1000000000000001</v>
          </cell>
          <cell r="O67">
            <v>0</v>
          </cell>
          <cell r="P67">
            <v>0.6</v>
          </cell>
          <cell r="Q67">
            <v>0</v>
          </cell>
          <cell r="R67">
            <v>0</v>
          </cell>
          <cell r="S67">
            <v>0.1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0.2</v>
          </cell>
          <cell r="Y67">
            <v>1.2</v>
          </cell>
          <cell r="Z67">
            <v>0</v>
          </cell>
          <cell r="AA67">
            <v>0</v>
          </cell>
          <cell r="AB67">
            <v>2.4</v>
          </cell>
          <cell r="AC67">
            <v>0</v>
          </cell>
          <cell r="AD67">
            <v>0.2</v>
          </cell>
          <cell r="AE67">
            <v>1.1000000000000001</v>
          </cell>
          <cell r="AF67">
            <v>0</v>
          </cell>
          <cell r="AG67">
            <v>0.4</v>
          </cell>
          <cell r="AH67">
            <v>0.5</v>
          </cell>
          <cell r="AI67">
            <v>2.7</v>
          </cell>
          <cell r="AJ67">
            <v>1.5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0.1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2.4</v>
          </cell>
          <cell r="BB67">
            <v>0.9</v>
          </cell>
          <cell r="BC67">
            <v>-2.4</v>
          </cell>
          <cell r="BD67">
            <v>2</v>
          </cell>
          <cell r="BE67">
            <v>-2</v>
          </cell>
          <cell r="BF67">
            <v>0</v>
          </cell>
          <cell r="BG67">
            <v>0.1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0.5</v>
          </cell>
          <cell r="BQ67">
            <v>0.2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EM67">
            <v>5.5</v>
          </cell>
          <cell r="EN67">
            <v>4.7</v>
          </cell>
          <cell r="EO67">
            <v>1</v>
          </cell>
          <cell r="EP67">
            <v>0.8</v>
          </cell>
          <cell r="EQ67">
            <v>0</v>
          </cell>
          <cell r="ER67">
            <v>0</v>
          </cell>
          <cell r="ES67">
            <v>0</v>
          </cell>
        </row>
        <row r="68">
          <cell r="A68" t="str">
            <v>Other Operating Income / (Expense) Items</v>
          </cell>
          <cell r="B68" t="str">
            <v>Operating Revenue</v>
          </cell>
          <cell r="D68" t="str">
            <v>Industrial Base Revenue Billed (PGA)</v>
          </cell>
          <cell r="E68" t="str">
            <v>Operating Revenue</v>
          </cell>
          <cell r="F68" t="str">
            <v>4810081</v>
          </cell>
          <cell r="G68" t="str">
            <v>A_4810081</v>
          </cell>
          <cell r="H68" t="str">
            <v>Interruptible Service Large Vol. 2 FUEL</v>
          </cell>
          <cell r="J68">
            <v>-10</v>
          </cell>
          <cell r="K68">
            <v>-55</v>
          </cell>
          <cell r="L68">
            <v>-34.4</v>
          </cell>
          <cell r="M68">
            <v>-55</v>
          </cell>
          <cell r="N68">
            <v>2.8</v>
          </cell>
          <cell r="O68">
            <v>-55</v>
          </cell>
          <cell r="P68">
            <v>-23.7</v>
          </cell>
          <cell r="Q68">
            <v>-55</v>
          </cell>
          <cell r="R68">
            <v>-55</v>
          </cell>
          <cell r="S68">
            <v>-52.4</v>
          </cell>
          <cell r="T68">
            <v>-55</v>
          </cell>
          <cell r="U68">
            <v>-55</v>
          </cell>
          <cell r="V68">
            <v>-55</v>
          </cell>
          <cell r="W68">
            <v>-55</v>
          </cell>
          <cell r="X68">
            <v>-48.4</v>
          </cell>
          <cell r="Y68">
            <v>-14.5</v>
          </cell>
          <cell r="Z68">
            <v>-55</v>
          </cell>
          <cell r="AA68">
            <v>-55</v>
          </cell>
          <cell r="AB68">
            <v>36.4</v>
          </cell>
          <cell r="AC68">
            <v>-55</v>
          </cell>
          <cell r="AD68">
            <v>-46.6</v>
          </cell>
          <cell r="AE68">
            <v>-18.899999999999999</v>
          </cell>
          <cell r="AF68">
            <v>-55</v>
          </cell>
          <cell r="AG68">
            <v>-44.2</v>
          </cell>
          <cell r="AH68">
            <v>-39</v>
          </cell>
          <cell r="AI68">
            <v>30</v>
          </cell>
          <cell r="AJ68">
            <v>-13.6</v>
          </cell>
          <cell r="AK68">
            <v>-54.6</v>
          </cell>
          <cell r="AL68">
            <v>-55</v>
          </cell>
          <cell r="AM68">
            <v>-55</v>
          </cell>
          <cell r="AN68">
            <v>-55</v>
          </cell>
          <cell r="AO68">
            <v>-55</v>
          </cell>
          <cell r="AP68">
            <v>-55</v>
          </cell>
          <cell r="AQ68">
            <v>-53.1</v>
          </cell>
          <cell r="AR68">
            <v>-55</v>
          </cell>
          <cell r="AS68">
            <v>-55</v>
          </cell>
          <cell r="AT68">
            <v>-3.1</v>
          </cell>
          <cell r="AU68">
            <v>-16.899999999999999</v>
          </cell>
          <cell r="AV68">
            <v>-10</v>
          </cell>
          <cell r="AW68">
            <v>-10</v>
          </cell>
          <cell r="AX68">
            <v>-10</v>
          </cell>
          <cell r="AY68">
            <v>-10</v>
          </cell>
          <cell r="AZ68">
            <v>-10</v>
          </cell>
          <cell r="BA68">
            <v>-10</v>
          </cell>
          <cell r="BB68">
            <v>-10</v>
          </cell>
          <cell r="BC68">
            <v>-10</v>
          </cell>
          <cell r="BD68">
            <v>-10</v>
          </cell>
          <cell r="BE68">
            <v>-10</v>
          </cell>
          <cell r="BF68">
            <v>-10</v>
          </cell>
          <cell r="BG68">
            <v>-1.9</v>
          </cell>
          <cell r="BH68">
            <v>-10</v>
          </cell>
          <cell r="BI68">
            <v>-10</v>
          </cell>
          <cell r="BJ68">
            <v>-10</v>
          </cell>
          <cell r="BK68">
            <v>-10</v>
          </cell>
          <cell r="BL68">
            <v>-10</v>
          </cell>
          <cell r="BM68">
            <v>-10</v>
          </cell>
          <cell r="BN68">
            <v>-10</v>
          </cell>
          <cell r="BO68">
            <v>-10</v>
          </cell>
          <cell r="BP68">
            <v>12.4</v>
          </cell>
          <cell r="BQ68">
            <v>2.4</v>
          </cell>
          <cell r="BR68">
            <v>-10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EM68">
            <v>-466.2</v>
          </cell>
          <cell r="EN68">
            <v>-515.29999999999995</v>
          </cell>
          <cell r="EO68">
            <v>-120</v>
          </cell>
          <cell r="EP68">
            <v>-77.099999999999994</v>
          </cell>
          <cell r="EQ68">
            <v>-10</v>
          </cell>
          <cell r="ER68">
            <v>0</v>
          </cell>
          <cell r="ES68">
            <v>0</v>
          </cell>
        </row>
        <row r="69">
          <cell r="A69" t="str">
            <v>Base Revenues and OSS - Net</v>
          </cell>
          <cell r="B69" t="str">
            <v>Operating Revenue</v>
          </cell>
          <cell r="D69" t="str">
            <v>Industrial Base Revenue Billed (PGA)</v>
          </cell>
          <cell r="E69" t="str">
            <v>Operating Revenue</v>
          </cell>
          <cell r="F69" t="str">
            <v>4810090</v>
          </cell>
          <cell r="G69" t="str">
            <v>A_4810090</v>
          </cell>
          <cell r="H69" t="str">
            <v>Interruptible Contract Service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1.5</v>
          </cell>
          <cell r="BD69">
            <v>0</v>
          </cell>
          <cell r="BE69">
            <v>2.8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0.6</v>
          </cell>
          <cell r="BM69">
            <v>0</v>
          </cell>
          <cell r="BN69">
            <v>0</v>
          </cell>
          <cell r="BO69">
            <v>0.2</v>
          </cell>
          <cell r="BP69">
            <v>0</v>
          </cell>
          <cell r="BQ69">
            <v>6.3</v>
          </cell>
          <cell r="BR69">
            <v>2.1</v>
          </cell>
          <cell r="BS69">
            <v>0.1</v>
          </cell>
          <cell r="BT69">
            <v>3.9</v>
          </cell>
          <cell r="BU69">
            <v>2.6</v>
          </cell>
          <cell r="BV69">
            <v>0</v>
          </cell>
          <cell r="BW69">
            <v>0.4</v>
          </cell>
          <cell r="BX69">
            <v>0</v>
          </cell>
          <cell r="BY69">
            <v>42.5</v>
          </cell>
          <cell r="BZ69">
            <v>8.8000000000000007</v>
          </cell>
          <cell r="CA69">
            <v>-23.8</v>
          </cell>
          <cell r="CB69">
            <v>2.2999999999999998</v>
          </cell>
          <cell r="CC69">
            <v>1</v>
          </cell>
          <cell r="CD69">
            <v>0.4</v>
          </cell>
          <cell r="CE69">
            <v>19</v>
          </cell>
          <cell r="CF69">
            <v>0.9</v>
          </cell>
          <cell r="CG69">
            <v>0</v>
          </cell>
          <cell r="CH69">
            <v>0.1</v>
          </cell>
          <cell r="CI69">
            <v>0.1</v>
          </cell>
          <cell r="CJ69">
            <v>27.3</v>
          </cell>
          <cell r="CK69">
            <v>1.4</v>
          </cell>
          <cell r="CL69">
            <v>2.4</v>
          </cell>
          <cell r="CM69">
            <v>0.7</v>
          </cell>
          <cell r="CN69">
            <v>0.2</v>
          </cell>
          <cell r="CO69">
            <v>2</v>
          </cell>
          <cell r="CP69">
            <v>13.7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0.5</v>
          </cell>
          <cell r="CV69">
            <v>0</v>
          </cell>
          <cell r="CW69">
            <v>0</v>
          </cell>
          <cell r="CX69">
            <v>0</v>
          </cell>
          <cell r="CY69">
            <v>1.4</v>
          </cell>
          <cell r="CZ69">
            <v>0.9</v>
          </cell>
          <cell r="DA69">
            <v>0.2</v>
          </cell>
          <cell r="DB69">
            <v>0</v>
          </cell>
          <cell r="DC69">
            <v>0.3</v>
          </cell>
          <cell r="DD69">
            <v>2.2000000000000002</v>
          </cell>
          <cell r="DE69">
            <v>0</v>
          </cell>
          <cell r="DF69">
            <v>0.1</v>
          </cell>
          <cell r="DG69">
            <v>0</v>
          </cell>
          <cell r="DH69">
            <v>0.3</v>
          </cell>
          <cell r="DI69">
            <v>0</v>
          </cell>
          <cell r="DJ69">
            <v>0.1</v>
          </cell>
          <cell r="DK69">
            <v>0</v>
          </cell>
          <cell r="DL69">
            <v>2.6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EM69">
            <v>0</v>
          </cell>
          <cell r="EN69">
            <v>0</v>
          </cell>
          <cell r="EO69">
            <v>4.3</v>
          </cell>
          <cell r="EP69">
            <v>7.1</v>
          </cell>
          <cell r="EQ69">
            <v>39.900000000000006</v>
          </cell>
          <cell r="ER69">
            <v>54.5</v>
          </cell>
          <cell r="ES69">
            <v>16.7</v>
          </cell>
        </row>
        <row r="70">
          <cell r="A70" t="str">
            <v>Other Operating Income / (Expense) Items</v>
          </cell>
          <cell r="B70" t="str">
            <v>Operating Revenue</v>
          </cell>
          <cell r="D70" t="str">
            <v>Industrial Base Revenue Billed (PGA)</v>
          </cell>
          <cell r="E70" t="str">
            <v>Operating Revenue</v>
          </cell>
          <cell r="F70" t="str">
            <v>4810091</v>
          </cell>
          <cell r="G70" t="str">
            <v>A_4810091</v>
          </cell>
          <cell r="H70" t="str">
            <v>Interruptible Contract Service Fuel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-53.8</v>
          </cell>
          <cell r="AU70">
            <v>-103.3</v>
          </cell>
          <cell r="AV70">
            <v>-103.3</v>
          </cell>
          <cell r="AW70">
            <v>-100.3</v>
          </cell>
          <cell r="AX70">
            <v>-103.3</v>
          </cell>
          <cell r="AY70">
            <v>-103.3</v>
          </cell>
          <cell r="AZ70">
            <v>-103.3</v>
          </cell>
          <cell r="BA70">
            <v>12.2</v>
          </cell>
          <cell r="BB70">
            <v>-64.2</v>
          </cell>
          <cell r="BC70">
            <v>-145</v>
          </cell>
          <cell r="BD70">
            <v>-17.8</v>
          </cell>
          <cell r="BE70">
            <v>-65.7</v>
          </cell>
          <cell r="BF70">
            <v>-103.3</v>
          </cell>
          <cell r="BG70">
            <v>-103.3</v>
          </cell>
          <cell r="BH70">
            <v>-103.3</v>
          </cell>
          <cell r="BI70">
            <v>-103.3</v>
          </cell>
          <cell r="BJ70">
            <v>-103.3</v>
          </cell>
          <cell r="BK70">
            <v>-103.3</v>
          </cell>
          <cell r="BL70">
            <v>-77.7</v>
          </cell>
          <cell r="BM70">
            <v>-103.3</v>
          </cell>
          <cell r="BN70">
            <v>-103.3</v>
          </cell>
          <cell r="BO70">
            <v>-92.3</v>
          </cell>
          <cell r="BP70">
            <v>-103.3</v>
          </cell>
          <cell r="BQ70">
            <v>311.8</v>
          </cell>
          <cell r="BR70">
            <v>20.399999999999999</v>
          </cell>
          <cell r="BS70">
            <v>-98.5</v>
          </cell>
          <cell r="BT70">
            <v>66.2</v>
          </cell>
          <cell r="BU70">
            <v>19.8</v>
          </cell>
          <cell r="BV70">
            <v>-123.3</v>
          </cell>
          <cell r="BW70">
            <v>-111</v>
          </cell>
          <cell r="BX70">
            <v>-113.3</v>
          </cell>
          <cell r="BY70">
            <v>155.69999999999999</v>
          </cell>
          <cell r="BZ70">
            <v>-76.5</v>
          </cell>
          <cell r="CA70">
            <v>-340.7</v>
          </cell>
          <cell r="CB70">
            <v>-100</v>
          </cell>
          <cell r="CC70">
            <v>-106.9</v>
          </cell>
          <cell r="CD70">
            <v>-111.2</v>
          </cell>
          <cell r="CE70">
            <v>-77.599999999999994</v>
          </cell>
          <cell r="CF70">
            <v>-65.400000000000006</v>
          </cell>
          <cell r="CG70">
            <v>-148.69999999999999</v>
          </cell>
          <cell r="CH70">
            <v>-109.7</v>
          </cell>
          <cell r="CI70">
            <v>-110.5</v>
          </cell>
          <cell r="CJ70">
            <v>-68.099999999999994</v>
          </cell>
          <cell r="CK70">
            <v>-106.1</v>
          </cell>
          <cell r="CL70">
            <v>-87.3</v>
          </cell>
          <cell r="CM70">
            <v>-84.1</v>
          </cell>
          <cell r="CN70">
            <v>-112.8</v>
          </cell>
          <cell r="CO70">
            <v>-109</v>
          </cell>
          <cell r="CP70">
            <v>-104</v>
          </cell>
          <cell r="CQ70">
            <v>-87.5</v>
          </cell>
          <cell r="CR70">
            <v>-106.3</v>
          </cell>
          <cell r="CS70">
            <v>-103.3</v>
          </cell>
          <cell r="CT70">
            <v>-103.3</v>
          </cell>
          <cell r="CU70">
            <v>-101.6</v>
          </cell>
          <cell r="CV70">
            <v>-97.2</v>
          </cell>
          <cell r="CW70">
            <v>-103.3</v>
          </cell>
          <cell r="CX70">
            <v>-103.3</v>
          </cell>
          <cell r="CY70">
            <v>-11.4</v>
          </cell>
          <cell r="CZ70">
            <v>-11.9</v>
          </cell>
          <cell r="DA70">
            <v>-90.7</v>
          </cell>
          <cell r="DB70">
            <v>-102.4</v>
          </cell>
          <cell r="DC70">
            <v>-85.8</v>
          </cell>
          <cell r="DD70">
            <v>-86.5</v>
          </cell>
          <cell r="DE70">
            <v>-22.3</v>
          </cell>
          <cell r="DF70">
            <v>-89.5</v>
          </cell>
          <cell r="DG70">
            <v>-103.3</v>
          </cell>
          <cell r="DH70">
            <v>-74.400000000000006</v>
          </cell>
          <cell r="DI70">
            <v>-73.599999999999994</v>
          </cell>
          <cell r="DJ70">
            <v>-94.2</v>
          </cell>
          <cell r="DK70">
            <v>84.7</v>
          </cell>
          <cell r="DL70">
            <v>65.2</v>
          </cell>
          <cell r="DM70">
            <v>-103.3</v>
          </cell>
          <cell r="DN70">
            <v>-103.3</v>
          </cell>
          <cell r="DO70">
            <v>-103.3</v>
          </cell>
          <cell r="DP70">
            <v>-103.3</v>
          </cell>
          <cell r="DQ70">
            <v>-103.3</v>
          </cell>
          <cell r="DR70">
            <v>-103.3</v>
          </cell>
          <cell r="DS70">
            <v>-103.3</v>
          </cell>
          <cell r="DT70">
            <v>-103.3</v>
          </cell>
          <cell r="DU70">
            <v>-103.3</v>
          </cell>
          <cell r="DV70">
            <v>-103.3</v>
          </cell>
          <cell r="DW70">
            <v>-103.3</v>
          </cell>
          <cell r="DX70">
            <v>-103.3</v>
          </cell>
          <cell r="DY70">
            <v>-103.3</v>
          </cell>
          <cell r="EM70">
            <v>0</v>
          </cell>
          <cell r="EN70">
            <v>0</v>
          </cell>
          <cell r="EO70">
            <v>-951.09999999999991</v>
          </cell>
          <cell r="EP70">
            <v>-787.89999999999986</v>
          </cell>
          <cell r="EQ70">
            <v>-808.1</v>
          </cell>
          <cell r="ER70">
            <v>-1190.5</v>
          </cell>
          <cell r="ES70">
            <v>-1023.8</v>
          </cell>
        </row>
        <row r="71">
          <cell r="A71" t="str">
            <v>Other Operating Income / (Expense) Items</v>
          </cell>
          <cell r="B71" t="str">
            <v>Operating Revenue</v>
          </cell>
          <cell r="D71" t="str">
            <v>Total Mutual Beneficial Sales (PGA)</v>
          </cell>
          <cell r="E71" t="str">
            <v>Operating Revenue</v>
          </cell>
          <cell r="F71" t="str">
            <v>4810500</v>
          </cell>
          <cell r="G71" t="str">
            <v>A_4810500</v>
          </cell>
          <cell r="H71" t="str">
            <v>Mutually Beneficial (to PGA) - Non RP Reseller</v>
          </cell>
          <cell r="J71">
            <v>698</v>
          </cell>
          <cell r="K71">
            <v>31.7</v>
          </cell>
          <cell r="L71">
            <v>356</v>
          </cell>
          <cell r="M71">
            <v>1909.9</v>
          </cell>
          <cell r="N71">
            <v>1070.4000000000001</v>
          </cell>
          <cell r="O71">
            <v>1219</v>
          </cell>
          <cell r="P71">
            <v>1128.0999999999999</v>
          </cell>
          <cell r="Q71">
            <v>1513.9</v>
          </cell>
          <cell r="R71">
            <v>18.5</v>
          </cell>
          <cell r="S71">
            <v>-10.3</v>
          </cell>
          <cell r="T71">
            <v>0</v>
          </cell>
          <cell r="U71">
            <v>0</v>
          </cell>
          <cell r="V71">
            <v>3.1</v>
          </cell>
          <cell r="W71">
            <v>10.7</v>
          </cell>
          <cell r="X71">
            <v>0.7</v>
          </cell>
          <cell r="Y71">
            <v>20.8</v>
          </cell>
          <cell r="Z71">
            <v>0</v>
          </cell>
          <cell r="AA71">
            <v>357</v>
          </cell>
          <cell r="AB71">
            <v>-25.9</v>
          </cell>
          <cell r="AC71">
            <v>0</v>
          </cell>
          <cell r="AD71">
            <v>33.700000000000003</v>
          </cell>
          <cell r="AE71">
            <v>0</v>
          </cell>
          <cell r="AF71">
            <v>0</v>
          </cell>
          <cell r="AG71">
            <v>0</v>
          </cell>
          <cell r="AH71">
            <v>170.5</v>
          </cell>
          <cell r="AI71">
            <v>20.5</v>
          </cell>
          <cell r="AJ71">
            <v>0</v>
          </cell>
          <cell r="AK71">
            <v>0</v>
          </cell>
          <cell r="AL71">
            <v>34.4</v>
          </cell>
          <cell r="AM71">
            <v>69.900000000000006</v>
          </cell>
          <cell r="AN71">
            <v>42.9</v>
          </cell>
          <cell r="AO71">
            <v>87.8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392.3</v>
          </cell>
          <cell r="AV71">
            <v>11.8</v>
          </cell>
          <cell r="AW71">
            <v>0</v>
          </cell>
          <cell r="AX71">
            <v>97.3</v>
          </cell>
          <cell r="AY71">
            <v>0</v>
          </cell>
          <cell r="AZ71">
            <v>11.9</v>
          </cell>
          <cell r="BA71">
            <v>0</v>
          </cell>
          <cell r="BB71">
            <v>63</v>
          </cell>
          <cell r="BC71">
            <v>139.69999999999999</v>
          </cell>
          <cell r="BD71">
            <v>794.2</v>
          </cell>
          <cell r="BE71">
            <v>3.7</v>
          </cell>
          <cell r="BF71">
            <v>0</v>
          </cell>
          <cell r="BG71">
            <v>1.2</v>
          </cell>
          <cell r="BH71">
            <v>0</v>
          </cell>
          <cell r="BI71">
            <v>1.2</v>
          </cell>
          <cell r="BJ71">
            <v>0</v>
          </cell>
          <cell r="BK71">
            <v>1</v>
          </cell>
          <cell r="BL71">
            <v>316.89999999999998</v>
          </cell>
          <cell r="BM71">
            <v>40.9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440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939.8</v>
          </cell>
          <cell r="CI71">
            <v>462.4</v>
          </cell>
          <cell r="CJ71">
            <v>890.2</v>
          </cell>
          <cell r="CK71">
            <v>0</v>
          </cell>
          <cell r="CL71">
            <v>0</v>
          </cell>
          <cell r="CM71">
            <v>16.5</v>
          </cell>
          <cell r="CN71">
            <v>0</v>
          </cell>
          <cell r="CO71">
            <v>0</v>
          </cell>
          <cell r="CP71">
            <v>0</v>
          </cell>
          <cell r="CQ71">
            <v>284.3</v>
          </cell>
          <cell r="CR71">
            <v>13.5</v>
          </cell>
          <cell r="CS71">
            <v>25.5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204.2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18.8</v>
          </cell>
          <cell r="DH71">
            <v>7.4</v>
          </cell>
          <cell r="DI71">
            <v>82.9</v>
          </cell>
          <cell r="DJ71">
            <v>12.5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EM71">
            <v>400.1</v>
          </cell>
          <cell r="EN71">
            <v>426</v>
          </cell>
          <cell r="EO71">
            <v>1513.9</v>
          </cell>
          <cell r="EP71">
            <v>361.19999999999993</v>
          </cell>
          <cell r="EQ71">
            <v>440</v>
          </cell>
          <cell r="ER71">
            <v>2308.8999999999996</v>
          </cell>
          <cell r="ES71">
            <v>527.5</v>
          </cell>
        </row>
        <row r="72">
          <cell r="A72" t="str">
            <v>Other Operating Income / (Expense) Items</v>
          </cell>
          <cell r="B72" t="str">
            <v>Operating Revenue</v>
          </cell>
          <cell r="D72" t="str">
            <v>Total Gas Off System Sales (PGA)</v>
          </cell>
          <cell r="E72" t="str">
            <v>Operating Revenue</v>
          </cell>
          <cell r="F72" t="str">
            <v>4810600</v>
          </cell>
          <cell r="G72" t="str">
            <v>A_4810600</v>
          </cell>
          <cell r="H72" t="str">
            <v>Off System Sales (to PGA) - Non RP Reseller</v>
          </cell>
          <cell r="J72">
            <v>2960.1</v>
          </cell>
          <cell r="K72">
            <v>1006.8</v>
          </cell>
          <cell r="L72">
            <v>2101</v>
          </cell>
          <cell r="M72">
            <v>3847.8</v>
          </cell>
          <cell r="N72">
            <v>-569</v>
          </cell>
          <cell r="O72">
            <v>-192.2</v>
          </cell>
          <cell r="P72">
            <v>2488.3000000000002</v>
          </cell>
          <cell r="Q72">
            <v>4551.3</v>
          </cell>
          <cell r="R72">
            <v>2729.8</v>
          </cell>
          <cell r="S72">
            <v>3286.3</v>
          </cell>
          <cell r="T72">
            <v>2686</v>
          </cell>
          <cell r="U72">
            <v>-6884.4</v>
          </cell>
          <cell r="V72">
            <v>1193</v>
          </cell>
          <cell r="W72">
            <v>1463.2</v>
          </cell>
          <cell r="X72">
            <v>880.3</v>
          </cell>
          <cell r="Y72">
            <v>5458.9</v>
          </cell>
          <cell r="Z72">
            <v>-1211</v>
          </cell>
          <cell r="AA72">
            <v>3602.1</v>
          </cell>
          <cell r="AB72">
            <v>1642.7</v>
          </cell>
          <cell r="AC72">
            <v>4710.3</v>
          </cell>
          <cell r="AD72">
            <v>874.2</v>
          </cell>
          <cell r="AE72">
            <v>2270.6999999999998</v>
          </cell>
          <cell r="AF72">
            <v>5054.8</v>
          </cell>
          <cell r="AG72">
            <v>-2526.5</v>
          </cell>
          <cell r="AH72">
            <v>3143.8</v>
          </cell>
          <cell r="AI72">
            <v>3303.7</v>
          </cell>
          <cell r="AJ72">
            <v>4147.8999999999996</v>
          </cell>
          <cell r="AK72">
            <v>4952.5</v>
          </cell>
          <cell r="AL72">
            <v>512.79999999999995</v>
          </cell>
          <cell r="AM72">
            <v>2886.2</v>
          </cell>
          <cell r="AN72">
            <v>5567</v>
          </cell>
          <cell r="AO72">
            <v>995.3</v>
          </cell>
          <cell r="AP72">
            <v>919</v>
          </cell>
          <cell r="AQ72">
            <v>1960.4</v>
          </cell>
          <cell r="AR72">
            <v>-1692.2</v>
          </cell>
          <cell r="AS72">
            <v>2336.5</v>
          </cell>
          <cell r="AT72">
            <v>3136.8</v>
          </cell>
          <cell r="AU72">
            <v>1806.3</v>
          </cell>
          <cell r="AV72">
            <v>2524.4</v>
          </cell>
          <cell r="AW72">
            <v>4898.5</v>
          </cell>
          <cell r="AX72">
            <v>4217.2</v>
          </cell>
          <cell r="AY72">
            <v>2168.5</v>
          </cell>
          <cell r="AZ72">
            <v>5110.2</v>
          </cell>
          <cell r="BA72">
            <v>9368</v>
          </cell>
          <cell r="BB72">
            <v>7142.1</v>
          </cell>
          <cell r="BC72">
            <v>2385.6999999999998</v>
          </cell>
          <cell r="BD72">
            <v>1318</v>
          </cell>
          <cell r="BE72">
            <v>4010.9</v>
          </cell>
          <cell r="BF72">
            <v>7235.5</v>
          </cell>
          <cell r="BG72">
            <v>1551.1</v>
          </cell>
          <cell r="BH72">
            <v>2477.3000000000002</v>
          </cell>
          <cell r="BI72">
            <v>3167</v>
          </cell>
          <cell r="BJ72">
            <v>4290.8999999999996</v>
          </cell>
          <cell r="BK72">
            <v>6203.3</v>
          </cell>
          <cell r="BL72">
            <v>7298.4</v>
          </cell>
          <cell r="BM72">
            <v>2220.5</v>
          </cell>
          <cell r="BN72">
            <v>5079.3999999999996</v>
          </cell>
          <cell r="BO72">
            <v>8476.9</v>
          </cell>
          <cell r="BP72">
            <v>3994.1</v>
          </cell>
          <cell r="BQ72">
            <v>2892.4</v>
          </cell>
          <cell r="BR72">
            <v>4718.7</v>
          </cell>
          <cell r="BS72">
            <v>2365.6</v>
          </cell>
          <cell r="BT72">
            <v>3742.1</v>
          </cell>
          <cell r="BU72">
            <v>3628.5</v>
          </cell>
          <cell r="BV72">
            <v>5516.3</v>
          </cell>
          <cell r="BW72">
            <v>1930.9</v>
          </cell>
          <cell r="BX72">
            <v>1995.3</v>
          </cell>
          <cell r="BY72">
            <v>2780.8</v>
          </cell>
          <cell r="BZ72">
            <v>5757.3</v>
          </cell>
          <cell r="CA72">
            <v>3646.8</v>
          </cell>
          <cell r="CB72">
            <v>1772.6</v>
          </cell>
          <cell r="CC72">
            <v>1681.1</v>
          </cell>
          <cell r="CD72">
            <v>3750.7</v>
          </cell>
          <cell r="CE72">
            <v>2230</v>
          </cell>
          <cell r="CF72">
            <v>2585.6999999999998</v>
          </cell>
          <cell r="CG72">
            <v>1286.5999999999999</v>
          </cell>
          <cell r="CH72">
            <v>1.7</v>
          </cell>
          <cell r="CI72">
            <v>1889.5</v>
          </cell>
          <cell r="CJ72">
            <v>1209.0999999999999</v>
          </cell>
          <cell r="CK72">
            <v>74</v>
          </cell>
          <cell r="CL72">
            <v>1903.7</v>
          </cell>
          <cell r="CM72">
            <v>890.4</v>
          </cell>
          <cell r="CN72">
            <v>1499.8</v>
          </cell>
          <cell r="CO72">
            <v>2024.9</v>
          </cell>
          <cell r="CP72">
            <v>1384.1</v>
          </cell>
          <cell r="CQ72">
            <v>1699.3</v>
          </cell>
          <cell r="CR72">
            <v>1373.2</v>
          </cell>
          <cell r="CS72">
            <v>536.9</v>
          </cell>
          <cell r="CT72">
            <v>1048.8</v>
          </cell>
          <cell r="CU72">
            <v>691.4</v>
          </cell>
          <cell r="CV72">
            <v>2358.9</v>
          </cell>
          <cell r="CW72">
            <v>2519.4</v>
          </cell>
          <cell r="CX72">
            <v>1183.9000000000001</v>
          </cell>
          <cell r="CY72">
            <v>4844.8</v>
          </cell>
          <cell r="CZ72">
            <v>-3032.8</v>
          </cell>
          <cell r="DA72">
            <v>27.4</v>
          </cell>
          <cell r="DB72">
            <v>5199.7</v>
          </cell>
          <cell r="DC72">
            <v>119.4</v>
          </cell>
          <cell r="DD72">
            <v>1567.2</v>
          </cell>
          <cell r="DE72">
            <v>867.8</v>
          </cell>
          <cell r="DF72">
            <v>7941.4</v>
          </cell>
          <cell r="DG72">
            <v>6527.3</v>
          </cell>
          <cell r="DH72">
            <v>7689.4</v>
          </cell>
          <cell r="DI72">
            <v>2609</v>
          </cell>
          <cell r="DJ72">
            <v>153.69999999999999</v>
          </cell>
          <cell r="DK72">
            <v>-1690.6</v>
          </cell>
          <cell r="DL72">
            <v>194.6</v>
          </cell>
          <cell r="DM72">
            <v>2021.8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EM72">
            <v>23412.7</v>
          </cell>
          <cell r="EN72">
            <v>29032.899999999998</v>
          </cell>
          <cell r="EO72">
            <v>48086.6</v>
          </cell>
          <cell r="EP72">
            <v>54886.8</v>
          </cell>
          <cell r="EQ72">
            <v>39536</v>
          </cell>
          <cell r="ER72">
            <v>19346.100000000002</v>
          </cell>
          <cell r="ES72">
            <v>14635.299999999997</v>
          </cell>
        </row>
        <row r="73">
          <cell r="A73" t="str">
            <v>Other Operating Income / (Expense) Items</v>
          </cell>
          <cell r="B73" t="str">
            <v>Operating Revenue</v>
          </cell>
          <cell r="D73" t="str">
            <v>Total Gas Off System Sales (PGA)</v>
          </cell>
          <cell r="E73" t="str">
            <v>Operating Revenue</v>
          </cell>
          <cell r="F73" t="str">
            <v>4810601</v>
          </cell>
          <cell r="G73" t="str">
            <v>A_4810601</v>
          </cell>
          <cell r="H73" t="str">
            <v xml:space="preserve"> Off System Sales (to PGA) - Non RP End User </v>
          </cell>
          <cell r="J73">
            <v>0</v>
          </cell>
          <cell r="K73">
            <v>1100.5999999999999</v>
          </cell>
          <cell r="L73">
            <v>0</v>
          </cell>
          <cell r="M73">
            <v>42.6</v>
          </cell>
          <cell r="N73">
            <v>1370.4</v>
          </cell>
          <cell r="O73">
            <v>0</v>
          </cell>
          <cell r="P73">
            <v>246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8786.6</v>
          </cell>
          <cell r="V73">
            <v>919.2</v>
          </cell>
          <cell r="W73">
            <v>1243</v>
          </cell>
          <cell r="X73">
            <v>943.9</v>
          </cell>
          <cell r="Y73">
            <v>18.5</v>
          </cell>
          <cell r="Z73">
            <v>4417.5</v>
          </cell>
          <cell r="AA73">
            <v>1109.7</v>
          </cell>
          <cell r="AB73">
            <v>1456.1</v>
          </cell>
          <cell r="AC73">
            <v>1070</v>
          </cell>
          <cell r="AD73">
            <v>3357.8</v>
          </cell>
          <cell r="AE73">
            <v>2267.4</v>
          </cell>
          <cell r="AF73">
            <v>2084.4</v>
          </cell>
          <cell r="AG73">
            <v>4507.6000000000004</v>
          </cell>
          <cell r="AH73">
            <v>628.4</v>
          </cell>
          <cell r="AI73">
            <v>475.1</v>
          </cell>
          <cell r="AJ73">
            <v>580.20000000000005</v>
          </cell>
          <cell r="AK73">
            <v>1797.7</v>
          </cell>
          <cell r="AL73">
            <v>4033.8</v>
          </cell>
          <cell r="AM73">
            <v>3318.1</v>
          </cell>
          <cell r="AN73">
            <v>4605.8</v>
          </cell>
          <cell r="AO73">
            <v>7897.5</v>
          </cell>
          <cell r="AP73">
            <v>6539.2</v>
          </cell>
          <cell r="AQ73">
            <v>5803.8</v>
          </cell>
          <cell r="AR73">
            <v>4304.7</v>
          </cell>
          <cell r="AS73">
            <v>623.6</v>
          </cell>
          <cell r="AT73">
            <v>624.1</v>
          </cell>
          <cell r="AU73">
            <v>907.2</v>
          </cell>
          <cell r="AV73">
            <v>525.9</v>
          </cell>
          <cell r="AW73">
            <v>519.5</v>
          </cell>
          <cell r="AX73">
            <v>2023.2</v>
          </cell>
          <cell r="AY73">
            <v>2387.8000000000002</v>
          </cell>
          <cell r="AZ73">
            <v>1745</v>
          </cell>
          <cell r="BA73">
            <v>2487.4</v>
          </cell>
          <cell r="BB73">
            <v>2025.2</v>
          </cell>
          <cell r="BC73">
            <v>2078.4</v>
          </cell>
          <cell r="BD73">
            <v>1536.9</v>
          </cell>
          <cell r="BE73">
            <v>1492.4</v>
          </cell>
          <cell r="BF73">
            <v>884.7</v>
          </cell>
          <cell r="BG73">
            <v>2245.3000000000002</v>
          </cell>
          <cell r="BH73">
            <v>0</v>
          </cell>
          <cell r="BI73">
            <v>112.3</v>
          </cell>
          <cell r="BJ73">
            <v>448.3</v>
          </cell>
          <cell r="BK73">
            <v>1603.1</v>
          </cell>
          <cell r="BL73">
            <v>2160.1999999999998</v>
          </cell>
          <cell r="BM73">
            <v>4608.7</v>
          </cell>
          <cell r="BN73">
            <v>3041.7</v>
          </cell>
          <cell r="BO73">
            <v>2035.3</v>
          </cell>
          <cell r="BP73">
            <v>2743.3</v>
          </cell>
          <cell r="BQ73">
            <v>983.5</v>
          </cell>
          <cell r="BR73">
            <v>476.1</v>
          </cell>
          <cell r="BS73">
            <v>584.4</v>
          </cell>
          <cell r="BT73">
            <v>0</v>
          </cell>
          <cell r="BU73">
            <v>226.1</v>
          </cell>
          <cell r="BV73">
            <v>965.9</v>
          </cell>
          <cell r="BW73">
            <v>2020.7</v>
          </cell>
          <cell r="BX73">
            <v>1603.3</v>
          </cell>
          <cell r="BY73">
            <v>1062.5</v>
          </cell>
          <cell r="BZ73">
            <v>1232</v>
          </cell>
          <cell r="CA73">
            <v>2429.1</v>
          </cell>
          <cell r="CB73">
            <v>1936.6</v>
          </cell>
          <cell r="CC73">
            <v>1417.6</v>
          </cell>
          <cell r="CD73">
            <v>199</v>
          </cell>
          <cell r="CE73">
            <v>193.1</v>
          </cell>
          <cell r="CF73">
            <v>318.39999999999998</v>
          </cell>
          <cell r="CG73">
            <v>767.5</v>
          </cell>
          <cell r="CH73">
            <v>1019.9</v>
          </cell>
          <cell r="CI73">
            <v>885.2</v>
          </cell>
          <cell r="CJ73">
            <v>1444.7</v>
          </cell>
          <cell r="CK73">
            <v>1607.8</v>
          </cell>
          <cell r="CL73">
            <v>161.4</v>
          </cell>
          <cell r="CM73">
            <v>554.9</v>
          </cell>
          <cell r="CN73">
            <v>174.6</v>
          </cell>
          <cell r="CO73">
            <v>0</v>
          </cell>
          <cell r="CP73">
            <v>257.3</v>
          </cell>
          <cell r="CQ73">
            <v>194.8</v>
          </cell>
          <cell r="CR73">
            <v>339.3</v>
          </cell>
          <cell r="CS73">
            <v>13.2</v>
          </cell>
          <cell r="CT73">
            <v>406.2</v>
          </cell>
          <cell r="CU73">
            <v>966.7</v>
          </cell>
          <cell r="CV73">
            <v>164.4</v>
          </cell>
          <cell r="CW73">
            <v>0</v>
          </cell>
          <cell r="CX73">
            <v>179.1</v>
          </cell>
          <cell r="CY73">
            <v>218.9</v>
          </cell>
          <cell r="CZ73">
            <v>3449.9</v>
          </cell>
          <cell r="DA73">
            <v>202.8</v>
          </cell>
          <cell r="DB73">
            <v>0</v>
          </cell>
          <cell r="DC73">
            <v>2937.4</v>
          </cell>
          <cell r="DD73">
            <v>2717.8</v>
          </cell>
          <cell r="DE73">
            <v>3193.3</v>
          </cell>
          <cell r="DF73">
            <v>3910.8</v>
          </cell>
          <cell r="DG73">
            <v>7333.7</v>
          </cell>
          <cell r="DH73">
            <v>7143.3</v>
          </cell>
          <cell r="DI73">
            <v>10400.5</v>
          </cell>
          <cell r="DJ73">
            <v>8359.9</v>
          </cell>
          <cell r="DK73">
            <v>5463.4</v>
          </cell>
          <cell r="DL73">
            <v>3445.3</v>
          </cell>
          <cell r="DM73">
            <v>3303.3</v>
          </cell>
          <cell r="DN73">
            <v>337.9</v>
          </cell>
          <cell r="DO73">
            <v>316.39999999999998</v>
          </cell>
          <cell r="DP73">
            <v>337.9</v>
          </cell>
          <cell r="DQ73">
            <v>330.8</v>
          </cell>
          <cell r="DR73">
            <v>337.9</v>
          </cell>
          <cell r="DS73">
            <v>330.8</v>
          </cell>
          <cell r="DT73">
            <v>337.9</v>
          </cell>
          <cell r="DU73">
            <v>337.9</v>
          </cell>
          <cell r="DV73">
            <v>330.8</v>
          </cell>
          <cell r="DW73">
            <v>337.9</v>
          </cell>
          <cell r="DX73">
            <v>330.8</v>
          </cell>
          <cell r="DY73">
            <v>337.9</v>
          </cell>
          <cell r="EM73">
            <v>23395.100000000006</v>
          </cell>
          <cell r="EN73">
            <v>40607.9</v>
          </cell>
          <cell r="EO73">
            <v>18353.000000000004</v>
          </cell>
          <cell r="EP73">
            <v>20866.399999999998</v>
          </cell>
          <cell r="EQ73">
            <v>13954.300000000001</v>
          </cell>
          <cell r="ER73">
            <v>7326.5</v>
          </cell>
          <cell r="ES73">
            <v>6392.6</v>
          </cell>
        </row>
        <row r="74">
          <cell r="A74" t="str">
            <v>Other Operating Income / (Expense) Items</v>
          </cell>
          <cell r="B74" t="str">
            <v>Operating Revenue</v>
          </cell>
          <cell r="D74" t="str">
            <v>Total Gas Off System Sales (PGA)</v>
          </cell>
          <cell r="E74" t="str">
            <v>Operating Revenue</v>
          </cell>
          <cell r="F74" t="str">
            <v>4810602</v>
          </cell>
          <cell r="G74" t="str">
            <v>A_4810602</v>
          </cell>
          <cell r="H74" t="str">
            <v>Off System Sales (to PGA) - Receipt Point</v>
          </cell>
          <cell r="J74">
            <v>0</v>
          </cell>
          <cell r="K74">
            <v>34.4</v>
          </cell>
          <cell r="L74">
            <v>0</v>
          </cell>
          <cell r="M74">
            <v>0</v>
          </cell>
          <cell r="N74">
            <v>10.3</v>
          </cell>
          <cell r="O74">
            <v>629.9</v>
          </cell>
          <cell r="P74">
            <v>0</v>
          </cell>
          <cell r="Q74">
            <v>154.6</v>
          </cell>
          <cell r="R74">
            <v>12.8</v>
          </cell>
          <cell r="S74">
            <v>0</v>
          </cell>
          <cell r="T74">
            <v>319.3</v>
          </cell>
          <cell r="U74">
            <v>269</v>
          </cell>
          <cell r="V74">
            <v>331.9</v>
          </cell>
          <cell r="W74">
            <v>341.1</v>
          </cell>
          <cell r="X74">
            <v>245.6</v>
          </cell>
          <cell r="Y74">
            <v>90.2</v>
          </cell>
          <cell r="Z74">
            <v>0</v>
          </cell>
          <cell r="AA74">
            <v>22.4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45.7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54.5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15.1</v>
          </cell>
          <cell r="BP74">
            <v>0</v>
          </cell>
          <cell r="BQ74">
            <v>0.1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47.6</v>
          </cell>
          <cell r="DC74">
            <v>930.6</v>
          </cell>
          <cell r="DD74">
            <v>659.4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1800</v>
          </cell>
          <cell r="DO74">
            <v>1620</v>
          </cell>
          <cell r="DP74">
            <v>1260</v>
          </cell>
          <cell r="DQ74">
            <v>1260</v>
          </cell>
          <cell r="DR74">
            <v>1260</v>
          </cell>
          <cell r="DS74">
            <v>1620</v>
          </cell>
          <cell r="DT74">
            <v>1620</v>
          </cell>
          <cell r="DU74">
            <v>1620</v>
          </cell>
          <cell r="DV74">
            <v>1980</v>
          </cell>
          <cell r="DW74">
            <v>1620</v>
          </cell>
          <cell r="DX74">
            <v>1260</v>
          </cell>
          <cell r="DY74">
            <v>1080</v>
          </cell>
          <cell r="EM74">
            <v>1031.2</v>
          </cell>
          <cell r="EN74">
            <v>0</v>
          </cell>
          <cell r="EO74">
            <v>45.7</v>
          </cell>
          <cell r="EP74">
            <v>69.699999999999989</v>
          </cell>
          <cell r="EQ74">
            <v>0</v>
          </cell>
          <cell r="ER74">
            <v>0</v>
          </cell>
          <cell r="ES74">
            <v>0</v>
          </cell>
        </row>
        <row r="75">
          <cell r="A75" t="str">
            <v>Off System Sales - Net</v>
          </cell>
          <cell r="B75" t="str">
            <v>Operating Revenue</v>
          </cell>
          <cell r="D75" t="str">
            <v>Total Gas Off System Sales</v>
          </cell>
          <cell r="E75" t="str">
            <v>Operating Revenue</v>
          </cell>
          <cell r="F75" t="str">
            <v>4810610</v>
          </cell>
          <cell r="G75" t="str">
            <v>A_4810610</v>
          </cell>
          <cell r="H75" t="str">
            <v>Off System Sales (margin) - Non RP Reseller</v>
          </cell>
          <cell r="J75">
            <v>79.8</v>
          </cell>
          <cell r="K75">
            <v>22.3</v>
          </cell>
          <cell r="L75">
            <v>33.200000000000003</v>
          </cell>
          <cell r="M75">
            <v>35.9</v>
          </cell>
          <cell r="N75">
            <v>-21.7</v>
          </cell>
          <cell r="O75">
            <v>0.3</v>
          </cell>
          <cell r="P75">
            <v>41</v>
          </cell>
          <cell r="Q75">
            <v>83.2</v>
          </cell>
          <cell r="R75">
            <v>28.2</v>
          </cell>
          <cell r="S75">
            <v>31.4</v>
          </cell>
          <cell r="T75">
            <v>29.8</v>
          </cell>
          <cell r="U75">
            <v>-75.5</v>
          </cell>
          <cell r="V75">
            <v>36.700000000000003</v>
          </cell>
          <cell r="W75">
            <v>66.099999999999994</v>
          </cell>
          <cell r="X75">
            <v>-9.3000000000000007</v>
          </cell>
          <cell r="Y75">
            <v>192.7</v>
          </cell>
          <cell r="Z75">
            <v>-88.5</v>
          </cell>
          <cell r="AA75">
            <v>192.2</v>
          </cell>
          <cell r="AB75">
            <v>34.299999999999997</v>
          </cell>
          <cell r="AC75">
            <v>156.19999999999999</v>
          </cell>
          <cell r="AD75">
            <v>58.8</v>
          </cell>
          <cell r="AE75">
            <v>41.4</v>
          </cell>
          <cell r="AF75">
            <v>268.89999999999998</v>
          </cell>
          <cell r="AG75">
            <v>-150.69999999999999</v>
          </cell>
          <cell r="AH75">
            <v>96.6</v>
          </cell>
          <cell r="AI75">
            <v>118.5</v>
          </cell>
          <cell r="AJ75">
            <v>161.9</v>
          </cell>
          <cell r="AK75">
            <v>191.3</v>
          </cell>
          <cell r="AL75">
            <v>83.4</v>
          </cell>
          <cell r="AM75">
            <v>158.6</v>
          </cell>
          <cell r="AN75">
            <v>240.4</v>
          </cell>
          <cell r="AO75">
            <v>17.600000000000001</v>
          </cell>
          <cell r="AP75">
            <v>-50.3</v>
          </cell>
          <cell r="AQ75">
            <v>57.3</v>
          </cell>
          <cell r="AR75">
            <v>-37.4</v>
          </cell>
          <cell r="AS75">
            <v>62</v>
          </cell>
          <cell r="AT75">
            <v>106.2</v>
          </cell>
          <cell r="AU75">
            <v>81.5</v>
          </cell>
          <cell r="AV75">
            <v>87.4</v>
          </cell>
          <cell r="AW75">
            <v>106.2</v>
          </cell>
          <cell r="AX75">
            <v>145.30000000000001</v>
          </cell>
          <cell r="AY75">
            <v>74.599999999999994</v>
          </cell>
          <cell r="AZ75">
            <v>134.9</v>
          </cell>
          <cell r="BA75">
            <v>228.1</v>
          </cell>
          <cell r="BB75">
            <v>165.7</v>
          </cell>
          <cell r="BC75">
            <v>106.8</v>
          </cell>
          <cell r="BD75">
            <v>19.600000000000001</v>
          </cell>
          <cell r="BE75">
            <v>132</v>
          </cell>
          <cell r="BF75">
            <v>443.3</v>
          </cell>
          <cell r="BG75">
            <v>-13.4</v>
          </cell>
          <cell r="BH75">
            <v>74.599999999999994</v>
          </cell>
          <cell r="BI75">
            <v>75.8</v>
          </cell>
          <cell r="BJ75">
            <v>120.5</v>
          </cell>
          <cell r="BK75">
            <v>165.6</v>
          </cell>
          <cell r="BL75">
            <v>205</v>
          </cell>
          <cell r="BM75">
            <v>96.2</v>
          </cell>
          <cell r="BN75">
            <v>206.5</v>
          </cell>
          <cell r="BO75">
            <v>236.9</v>
          </cell>
          <cell r="BP75">
            <v>-17.100000000000001</v>
          </cell>
          <cell r="BQ75">
            <v>51.9</v>
          </cell>
          <cell r="BR75">
            <v>79.7</v>
          </cell>
          <cell r="BS75">
            <v>50.8</v>
          </cell>
          <cell r="BT75">
            <v>75.099999999999994</v>
          </cell>
          <cell r="BU75">
            <v>71.900000000000006</v>
          </cell>
          <cell r="BV75">
            <v>173.9</v>
          </cell>
          <cell r="BW75">
            <v>74.5</v>
          </cell>
          <cell r="BX75">
            <v>58.9</v>
          </cell>
          <cell r="BY75">
            <v>50.5</v>
          </cell>
          <cell r="BZ75">
            <v>137.1</v>
          </cell>
          <cell r="CA75">
            <v>97.2</v>
          </cell>
          <cell r="CB75">
            <v>36.4</v>
          </cell>
          <cell r="CC75">
            <v>89.7</v>
          </cell>
          <cell r="CD75">
            <v>87.7</v>
          </cell>
          <cell r="CE75">
            <v>80.900000000000006</v>
          </cell>
          <cell r="CF75">
            <v>63</v>
          </cell>
          <cell r="CG75">
            <v>46.7</v>
          </cell>
          <cell r="CH75">
            <v>57</v>
          </cell>
          <cell r="CI75">
            <v>102.8</v>
          </cell>
          <cell r="CJ75">
            <v>40.299999999999997</v>
          </cell>
          <cell r="CK75">
            <v>42.6</v>
          </cell>
          <cell r="CL75">
            <v>97.8</v>
          </cell>
          <cell r="CM75">
            <v>69.7</v>
          </cell>
          <cell r="CN75">
            <v>105.6</v>
          </cell>
          <cell r="CO75">
            <v>119.6</v>
          </cell>
          <cell r="CP75">
            <v>84.4</v>
          </cell>
          <cell r="CQ75">
            <v>121.4</v>
          </cell>
          <cell r="CR75">
            <v>97.2</v>
          </cell>
          <cell r="CS75">
            <v>60.5</v>
          </cell>
          <cell r="CT75">
            <v>68.7</v>
          </cell>
          <cell r="CU75">
            <v>62.8</v>
          </cell>
          <cell r="CV75">
            <v>82.9</v>
          </cell>
          <cell r="CW75">
            <v>89.6</v>
          </cell>
          <cell r="CX75">
            <v>79.599999999999994</v>
          </cell>
          <cell r="CY75">
            <v>121.4</v>
          </cell>
          <cell r="CZ75">
            <v>48.6</v>
          </cell>
          <cell r="DA75">
            <v>59.7</v>
          </cell>
          <cell r="DB75">
            <v>299.10000000000002</v>
          </cell>
          <cell r="DC75">
            <v>67.900000000000006</v>
          </cell>
          <cell r="DD75">
            <v>155.69999999999999</v>
          </cell>
          <cell r="DE75">
            <v>41.8</v>
          </cell>
          <cell r="DF75">
            <v>133.80000000000001</v>
          </cell>
          <cell r="DG75">
            <v>294.7</v>
          </cell>
          <cell r="DH75">
            <v>275.5</v>
          </cell>
          <cell r="DI75">
            <v>1244.5999999999999</v>
          </cell>
          <cell r="DJ75">
            <v>-217.3</v>
          </cell>
          <cell r="DK75">
            <v>29</v>
          </cell>
          <cell r="DL75">
            <v>100</v>
          </cell>
          <cell r="DM75">
            <v>241.9</v>
          </cell>
          <cell r="DN75">
            <v>151.69999999999999</v>
          </cell>
          <cell r="DO75">
            <v>144.80000000000001</v>
          </cell>
          <cell r="DP75">
            <v>151.69999999999999</v>
          </cell>
          <cell r="DQ75">
            <v>149.4</v>
          </cell>
          <cell r="DR75">
            <v>151.69999999999999</v>
          </cell>
          <cell r="DS75">
            <v>149.4</v>
          </cell>
          <cell r="DT75">
            <v>151.69999999999999</v>
          </cell>
          <cell r="DU75">
            <v>151.69999999999999</v>
          </cell>
          <cell r="DV75">
            <v>149.4</v>
          </cell>
          <cell r="DW75">
            <v>151.69999999999999</v>
          </cell>
          <cell r="DX75">
            <v>149.4</v>
          </cell>
          <cell r="DY75">
            <v>151.69999999999999</v>
          </cell>
          <cell r="EM75">
            <v>798.8</v>
          </cell>
          <cell r="EN75">
            <v>1099.8999999999999</v>
          </cell>
          <cell r="EO75">
            <v>1388.3</v>
          </cell>
          <cell r="EP75">
            <v>1645.8000000000004</v>
          </cell>
          <cell r="EQ75">
            <v>995.7</v>
          </cell>
          <cell r="ER75">
            <v>913.7</v>
          </cell>
          <cell r="ES75">
            <v>976.80000000000007</v>
          </cell>
        </row>
        <row r="76">
          <cell r="A76" t="str">
            <v>Off System Sales - Net</v>
          </cell>
          <cell r="B76" t="str">
            <v>Operating Revenue</v>
          </cell>
          <cell r="D76" t="str">
            <v>Total Gas Off System Sales</v>
          </cell>
          <cell r="E76" t="str">
            <v>Operating Revenue</v>
          </cell>
          <cell r="F76" t="str">
            <v>4810611</v>
          </cell>
          <cell r="G76" t="str">
            <v>A_4810611</v>
          </cell>
          <cell r="H76" t="str">
            <v xml:space="preserve"> Off System Sales (margin) - Non RP End User </v>
          </cell>
          <cell r="J76">
            <v>0</v>
          </cell>
          <cell r="K76">
            <v>25.5</v>
          </cell>
          <cell r="L76">
            <v>0</v>
          </cell>
          <cell r="M76">
            <v>0.4</v>
          </cell>
          <cell r="N76">
            <v>23.4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93.3</v>
          </cell>
          <cell r="V76">
            <v>53.7</v>
          </cell>
          <cell r="W76">
            <v>32.5</v>
          </cell>
          <cell r="X76">
            <v>46.6</v>
          </cell>
          <cell r="Y76">
            <v>0.3</v>
          </cell>
          <cell r="Z76">
            <v>169.4</v>
          </cell>
          <cell r="AA76">
            <v>23.7</v>
          </cell>
          <cell r="AB76">
            <v>40</v>
          </cell>
          <cell r="AC76">
            <v>13.5</v>
          </cell>
          <cell r="AD76">
            <v>97.7</v>
          </cell>
          <cell r="AE76">
            <v>83.1</v>
          </cell>
          <cell r="AF76">
            <v>67.5</v>
          </cell>
          <cell r="AG76">
            <v>154.9</v>
          </cell>
          <cell r="AH76">
            <v>11.4</v>
          </cell>
          <cell r="AI76">
            <v>8.8000000000000007</v>
          </cell>
          <cell r="AJ76">
            <v>15</v>
          </cell>
          <cell r="AK76">
            <v>62.1</v>
          </cell>
          <cell r="AL76">
            <v>137.5</v>
          </cell>
          <cell r="AM76">
            <v>154.19999999999999</v>
          </cell>
          <cell r="AN76">
            <v>218</v>
          </cell>
          <cell r="AO76">
            <v>361.2</v>
          </cell>
          <cell r="AP76">
            <v>256.10000000000002</v>
          </cell>
          <cell r="AQ76">
            <v>169.1</v>
          </cell>
          <cell r="AR76">
            <v>126.3</v>
          </cell>
          <cell r="AS76">
            <v>16.7</v>
          </cell>
          <cell r="AT76">
            <v>13.4</v>
          </cell>
          <cell r="AU76">
            <v>19.5</v>
          </cell>
          <cell r="AV76">
            <v>14.6</v>
          </cell>
          <cell r="AW76">
            <v>18.399999999999999</v>
          </cell>
          <cell r="AX76">
            <v>30.2</v>
          </cell>
          <cell r="AY76">
            <v>60.6</v>
          </cell>
          <cell r="AZ76">
            <v>47.4</v>
          </cell>
          <cell r="BA76">
            <v>58</v>
          </cell>
          <cell r="BB76">
            <v>37.6</v>
          </cell>
          <cell r="BC76">
            <v>36.5</v>
          </cell>
          <cell r="BD76">
            <v>49.1</v>
          </cell>
          <cell r="BE76">
            <v>20.8</v>
          </cell>
          <cell r="BF76">
            <v>23.2</v>
          </cell>
          <cell r="BG76">
            <v>118.2</v>
          </cell>
          <cell r="BH76">
            <v>0</v>
          </cell>
          <cell r="BI76">
            <v>1.8</v>
          </cell>
          <cell r="BJ76">
            <v>4.2</v>
          </cell>
          <cell r="BK76">
            <v>17</v>
          </cell>
          <cell r="BL76">
            <v>37.299999999999997</v>
          </cell>
          <cell r="BM76">
            <v>84.5</v>
          </cell>
          <cell r="BN76">
            <v>60.3</v>
          </cell>
          <cell r="BO76">
            <v>63.5</v>
          </cell>
          <cell r="BP76">
            <v>93.8</v>
          </cell>
          <cell r="BQ76">
            <v>7.6</v>
          </cell>
          <cell r="BR76">
            <v>6.1</v>
          </cell>
          <cell r="BS76">
            <v>9</v>
          </cell>
          <cell r="BT76">
            <v>0</v>
          </cell>
          <cell r="BU76">
            <v>2.8</v>
          </cell>
          <cell r="BV76">
            <v>12.3</v>
          </cell>
          <cell r="BW76">
            <v>59.9</v>
          </cell>
          <cell r="BX76">
            <v>51.8</v>
          </cell>
          <cell r="BY76">
            <v>29</v>
          </cell>
          <cell r="BZ76">
            <v>21.8</v>
          </cell>
          <cell r="CA76">
            <v>61.4</v>
          </cell>
          <cell r="CB76">
            <v>44.6</v>
          </cell>
          <cell r="CC76">
            <v>18.3</v>
          </cell>
          <cell r="CD76">
            <v>2.2000000000000002</v>
          </cell>
          <cell r="CE76">
            <v>3.3</v>
          </cell>
          <cell r="CF76">
            <v>2.9</v>
          </cell>
          <cell r="CG76">
            <v>4.2</v>
          </cell>
          <cell r="CH76">
            <v>9.4</v>
          </cell>
          <cell r="CI76">
            <v>6.9</v>
          </cell>
          <cell r="CJ76">
            <v>45.2</v>
          </cell>
          <cell r="CK76">
            <v>42.2</v>
          </cell>
          <cell r="CL76">
            <v>3.1</v>
          </cell>
          <cell r="CM76">
            <v>6.1</v>
          </cell>
          <cell r="CN76">
            <v>1.2</v>
          </cell>
          <cell r="CO76">
            <v>0</v>
          </cell>
          <cell r="CP76">
            <v>1.8</v>
          </cell>
          <cell r="CQ76">
            <v>4.7</v>
          </cell>
          <cell r="CR76">
            <v>3</v>
          </cell>
          <cell r="CS76">
            <v>0.1</v>
          </cell>
          <cell r="CT76">
            <v>3.1</v>
          </cell>
          <cell r="CU76">
            <v>7.8</v>
          </cell>
          <cell r="CV76">
            <v>2.1</v>
          </cell>
          <cell r="CW76">
            <v>0</v>
          </cell>
          <cell r="CX76">
            <v>0.9</v>
          </cell>
          <cell r="CY76">
            <v>0.5</v>
          </cell>
          <cell r="CZ76">
            <v>18.8</v>
          </cell>
          <cell r="DA76">
            <v>1</v>
          </cell>
          <cell r="DB76">
            <v>0</v>
          </cell>
          <cell r="DC76">
            <v>91.6</v>
          </cell>
          <cell r="DD76">
            <v>68.5</v>
          </cell>
          <cell r="DE76">
            <v>132.9</v>
          </cell>
          <cell r="DF76">
            <v>84.9</v>
          </cell>
          <cell r="DG76">
            <v>100.7</v>
          </cell>
          <cell r="DH76">
            <v>137.9</v>
          </cell>
          <cell r="DI76">
            <v>223.7</v>
          </cell>
          <cell r="DJ76">
            <v>570.70000000000005</v>
          </cell>
          <cell r="DK76">
            <v>145.69999999999999</v>
          </cell>
          <cell r="DL76">
            <v>81</v>
          </cell>
          <cell r="DM76">
            <v>88.7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EM76">
            <v>782.9</v>
          </cell>
          <cell r="EN76">
            <v>1536.4</v>
          </cell>
          <cell r="EO76">
            <v>406.10000000000008</v>
          </cell>
          <cell r="EP76">
            <v>511.40000000000003</v>
          </cell>
          <cell r="EQ76">
            <v>317</v>
          </cell>
          <cell r="ER76">
            <v>126.69999999999999</v>
          </cell>
          <cell r="ES76">
            <v>43.8</v>
          </cell>
        </row>
        <row r="77">
          <cell r="A77" t="str">
            <v>Off System Sales - Net</v>
          </cell>
          <cell r="B77" t="str">
            <v>Operating Revenue</v>
          </cell>
          <cell r="D77" t="str">
            <v>Total Gas Off System Sales</v>
          </cell>
          <cell r="E77" t="str">
            <v>Operating Revenue</v>
          </cell>
          <cell r="F77" t="str">
            <v>4810612</v>
          </cell>
          <cell r="G77" t="str">
            <v>A_4810612</v>
          </cell>
          <cell r="H77" t="str">
            <v>Off System Sales (margin) - Receipt Point</v>
          </cell>
          <cell r="J77">
            <v>0</v>
          </cell>
          <cell r="K77">
            <v>1.2</v>
          </cell>
          <cell r="L77">
            <v>0</v>
          </cell>
          <cell r="M77">
            <v>0</v>
          </cell>
          <cell r="N77">
            <v>0</v>
          </cell>
          <cell r="O77">
            <v>1.3</v>
          </cell>
          <cell r="P77">
            <v>0</v>
          </cell>
          <cell r="Q77">
            <v>0.1</v>
          </cell>
          <cell r="R77">
            <v>0</v>
          </cell>
          <cell r="S77">
            <v>0</v>
          </cell>
          <cell r="T77">
            <v>0.3</v>
          </cell>
          <cell r="U77">
            <v>0.1</v>
          </cell>
          <cell r="V77">
            <v>0.1</v>
          </cell>
          <cell r="W77">
            <v>0.3</v>
          </cell>
          <cell r="X77">
            <v>0.6</v>
          </cell>
          <cell r="Y77">
            <v>0.3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0.1</v>
          </cell>
          <cell r="DC77">
            <v>67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175</v>
          </cell>
          <cell r="DO77">
            <v>175</v>
          </cell>
          <cell r="DP77">
            <v>175</v>
          </cell>
          <cell r="DQ77">
            <v>175</v>
          </cell>
          <cell r="DR77">
            <v>175</v>
          </cell>
          <cell r="DS77">
            <v>175</v>
          </cell>
          <cell r="DT77">
            <v>175</v>
          </cell>
          <cell r="DU77">
            <v>175</v>
          </cell>
          <cell r="DV77">
            <v>175</v>
          </cell>
          <cell r="DW77">
            <v>175</v>
          </cell>
          <cell r="DX77">
            <v>175</v>
          </cell>
          <cell r="DY77">
            <v>175</v>
          </cell>
          <cell r="EM77">
            <v>1.3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</row>
        <row r="78">
          <cell r="F78" t="str">
            <v>481</v>
          </cell>
          <cell r="G78">
            <v>481</v>
          </cell>
          <cell r="J78">
            <v>9281.6999999999989</v>
          </cell>
          <cell r="K78">
            <v>6942.3000000000011</v>
          </cell>
          <cell r="L78">
            <v>6196.4</v>
          </cell>
          <cell r="M78">
            <v>9811.9999999999982</v>
          </cell>
          <cell r="N78">
            <v>4873.7000000000007</v>
          </cell>
          <cell r="O78">
            <v>4949.5000000000009</v>
          </cell>
          <cell r="P78">
            <v>7088.1</v>
          </cell>
          <cell r="Q78">
            <v>9144.8000000000029</v>
          </cell>
          <cell r="R78">
            <v>6028.1000000000013</v>
          </cell>
          <cell r="S78">
            <v>6220.4</v>
          </cell>
          <cell r="T78">
            <v>6167.3</v>
          </cell>
          <cell r="U78">
            <v>6326.9000000000005</v>
          </cell>
          <cell r="V78">
            <v>7235.4000000000005</v>
          </cell>
          <cell r="W78">
            <v>7653.1999999999989</v>
          </cell>
          <cell r="X78">
            <v>5861.0999999999995</v>
          </cell>
          <cell r="Y78">
            <v>8813.5999999999985</v>
          </cell>
          <cell r="Z78">
            <v>5914.2999999999993</v>
          </cell>
          <cell r="AA78">
            <v>9083.5000000000018</v>
          </cell>
          <cell r="AB78">
            <v>6001.9999999999991</v>
          </cell>
          <cell r="AC78">
            <v>8775.1</v>
          </cell>
          <cell r="AD78">
            <v>7151.2000000000007</v>
          </cell>
          <cell r="AE78">
            <v>7411.9999999999982</v>
          </cell>
          <cell r="AF78">
            <v>10373.999999999998</v>
          </cell>
          <cell r="AG78">
            <v>5498.3</v>
          </cell>
          <cell r="AH78">
            <v>8493.7999999999993</v>
          </cell>
          <cell r="AI78">
            <v>8535</v>
          </cell>
          <cell r="AJ78">
            <v>8529.6999999999989</v>
          </cell>
          <cell r="AK78">
            <v>10628.300000000001</v>
          </cell>
          <cell r="AL78">
            <v>7450.7</v>
          </cell>
          <cell r="AM78">
            <v>9214.8000000000011</v>
          </cell>
          <cell r="AN78">
            <v>13243.3</v>
          </cell>
          <cell r="AO78">
            <v>12055.9</v>
          </cell>
          <cell r="AP78">
            <v>10066.1</v>
          </cell>
          <cell r="AQ78">
            <v>10467.4</v>
          </cell>
          <cell r="AR78">
            <v>5438.1</v>
          </cell>
          <cell r="AS78">
            <v>6284.4</v>
          </cell>
          <cell r="AT78">
            <v>7328.9000000000005</v>
          </cell>
          <cell r="AU78">
            <v>6696.6999999999989</v>
          </cell>
          <cell r="AV78">
            <v>6097.2</v>
          </cell>
          <cell r="AW78">
            <v>8729.6</v>
          </cell>
          <cell r="AX78">
            <v>9438.3000000000011</v>
          </cell>
          <cell r="AY78">
            <v>7262.0000000000009</v>
          </cell>
          <cell r="AZ78">
            <v>9404.1999999999989</v>
          </cell>
          <cell r="BA78">
            <v>14720.3</v>
          </cell>
          <cell r="BB78">
            <v>13025.100000000002</v>
          </cell>
          <cell r="BC78">
            <v>7109.3</v>
          </cell>
          <cell r="BD78">
            <v>7620.7999999999993</v>
          </cell>
          <cell r="BE78">
            <v>10330.999999999998</v>
          </cell>
          <cell r="BF78">
            <v>13920.7</v>
          </cell>
          <cell r="BG78">
            <v>8284</v>
          </cell>
          <cell r="BH78">
            <v>5770.7000000000007</v>
          </cell>
          <cell r="BI78">
            <v>7147.3</v>
          </cell>
          <cell r="BJ78">
            <v>7933.7999999999993</v>
          </cell>
          <cell r="BK78">
            <v>11029.2</v>
          </cell>
          <cell r="BL78">
            <v>12692.099999999999</v>
          </cell>
          <cell r="BM78">
            <v>9600.3000000000011</v>
          </cell>
          <cell r="BN78">
            <v>11244.3</v>
          </cell>
          <cell r="BO78">
            <v>13461.899999999998</v>
          </cell>
          <cell r="BP78">
            <v>9919.1</v>
          </cell>
          <cell r="BQ78">
            <v>8022.1</v>
          </cell>
          <cell r="BR78">
            <v>9609.5</v>
          </cell>
          <cell r="BS78">
            <v>6735.4</v>
          </cell>
          <cell r="BT78">
            <v>7989.7999999999993</v>
          </cell>
          <cell r="BU78">
            <v>7737.5999999999995</v>
          </cell>
          <cell r="BV78">
            <v>9889.3999999999978</v>
          </cell>
          <cell r="BW78">
            <v>6775.3</v>
          </cell>
          <cell r="BX78">
            <v>6673.2</v>
          </cell>
          <cell r="BY78">
            <v>6442.8000000000011</v>
          </cell>
          <cell r="BZ78">
            <v>10078.700000000001</v>
          </cell>
          <cell r="CA78">
            <v>8599</v>
          </cell>
          <cell r="CB78">
            <v>7186.2999999999993</v>
          </cell>
          <cell r="CC78">
            <v>7033.2000000000007</v>
          </cell>
          <cell r="CD78">
            <v>8408.4000000000015</v>
          </cell>
          <cell r="CE78">
            <v>6438.9000000000005</v>
          </cell>
          <cell r="CF78">
            <v>6468.9999999999991</v>
          </cell>
          <cell r="CG78">
            <v>4190.8999999999996</v>
          </cell>
          <cell r="CH78">
            <v>4035.4000000000005</v>
          </cell>
          <cell r="CI78">
            <v>5933.6</v>
          </cell>
          <cell r="CJ78">
            <v>6159.4000000000005</v>
          </cell>
          <cell r="CK78">
            <v>4341.2000000000007</v>
          </cell>
          <cell r="CL78">
            <v>4764.3000000000011</v>
          </cell>
          <cell r="CM78">
            <v>4261.8</v>
          </cell>
          <cell r="CN78">
            <v>5311.7000000000007</v>
          </cell>
          <cell r="CO78">
            <v>5978.1</v>
          </cell>
          <cell r="CP78">
            <v>7511.7999999999993</v>
          </cell>
          <cell r="CQ78">
            <v>7090.7000000000007</v>
          </cell>
          <cell r="CR78">
            <v>7354.3</v>
          </cell>
          <cell r="CS78">
            <v>5718.4999999999991</v>
          </cell>
          <cell r="CT78">
            <v>5763.1</v>
          </cell>
          <cell r="CU78">
            <v>5930</v>
          </cell>
          <cell r="CV78">
            <v>6967.1999999999989</v>
          </cell>
          <cell r="CW78">
            <v>6597.6</v>
          </cell>
          <cell r="CX78">
            <v>6704.4000000000015</v>
          </cell>
          <cell r="CY78">
            <v>8903.7999999999993</v>
          </cell>
          <cell r="CZ78">
            <v>5391.9000000000024</v>
          </cell>
          <cell r="DA78">
            <v>6273.3</v>
          </cell>
          <cell r="DB78">
            <v>12802.600000000002</v>
          </cell>
          <cell r="DC78">
            <v>9872.1</v>
          </cell>
          <cell r="DD78">
            <v>10749.200000000003</v>
          </cell>
          <cell r="DE78">
            <v>9930.1999999999989</v>
          </cell>
          <cell r="DF78">
            <v>17574.8</v>
          </cell>
          <cell r="DG78">
            <v>19539.600000000002</v>
          </cell>
          <cell r="DH78">
            <v>18992.900000000001</v>
          </cell>
          <cell r="DI78">
            <v>20927.8</v>
          </cell>
          <cell r="DJ78">
            <v>14655.2</v>
          </cell>
          <cell r="DK78">
            <v>10809.6</v>
          </cell>
          <cell r="DL78">
            <v>7572.3</v>
          </cell>
          <cell r="DM78">
            <v>11015.1</v>
          </cell>
          <cell r="DN78">
            <v>10372.000000000002</v>
          </cell>
          <cell r="DO78">
            <v>10586.7</v>
          </cell>
          <cell r="DP78">
            <v>10280.9</v>
          </cell>
          <cell r="DQ78">
            <v>7741.8</v>
          </cell>
          <cell r="DR78">
            <v>7621</v>
          </cell>
          <cell r="DS78">
            <v>7785.4999999999991</v>
          </cell>
          <cell r="DT78">
            <v>7734.4000000000005</v>
          </cell>
          <cell r="DU78">
            <v>7289.4</v>
          </cell>
          <cell r="DV78">
            <v>8199.9000000000015</v>
          </cell>
          <cell r="DW78">
            <v>8051.7999999999993</v>
          </cell>
          <cell r="DX78">
            <v>8441</v>
          </cell>
          <cell r="DY78">
            <v>8366.8999999999978</v>
          </cell>
          <cell r="EM78">
            <v>89773.7</v>
          </cell>
          <cell r="EN78">
            <v>110407.5</v>
          </cell>
          <cell r="EO78">
            <v>107763.40000000001</v>
          </cell>
          <cell r="EP78">
            <v>119025.5</v>
          </cell>
          <cell r="EQ78">
            <v>94750.2</v>
          </cell>
          <cell r="ER78">
            <v>66292.700000000012</v>
          </cell>
          <cell r="ES78">
            <v>80206.600000000006</v>
          </cell>
        </row>
        <row r="79">
          <cell r="A79" t="str">
            <v>Base Revenues and OSS - Net</v>
          </cell>
          <cell r="B79" t="str">
            <v>Operating Revenue</v>
          </cell>
          <cell r="D79" t="str">
            <v>Wholesale Base Revenue Billed</v>
          </cell>
          <cell r="E79" t="str">
            <v>Operating Revenue</v>
          </cell>
          <cell r="F79" t="str">
            <v>4830091</v>
          </cell>
          <cell r="G79" t="str">
            <v>A_4830091</v>
          </cell>
          <cell r="H79" t="str">
            <v>Wholesale Sales for Resale</v>
          </cell>
          <cell r="J79">
            <v>21.7</v>
          </cell>
          <cell r="K79">
            <v>22.8</v>
          </cell>
          <cell r="L79">
            <v>16.600000000000001</v>
          </cell>
          <cell r="M79">
            <v>14.8</v>
          </cell>
          <cell r="N79">
            <v>11.8</v>
          </cell>
          <cell r="O79">
            <v>13.4</v>
          </cell>
          <cell r="P79">
            <v>10.4</v>
          </cell>
          <cell r="Q79">
            <v>9.6999999999999993</v>
          </cell>
          <cell r="R79">
            <v>10.9</v>
          </cell>
          <cell r="S79">
            <v>9.9</v>
          </cell>
          <cell r="T79">
            <v>12</v>
          </cell>
          <cell r="U79">
            <v>18.600000000000001</v>
          </cell>
          <cell r="V79">
            <v>21.4</v>
          </cell>
          <cell r="W79">
            <v>23.4</v>
          </cell>
          <cell r="X79">
            <v>22.4</v>
          </cell>
          <cell r="Y79">
            <v>13.4</v>
          </cell>
          <cell r="Z79">
            <v>7.6</v>
          </cell>
          <cell r="AA79">
            <v>8.3000000000000007</v>
          </cell>
          <cell r="AB79">
            <v>8.3000000000000007</v>
          </cell>
          <cell r="AC79">
            <v>15.5</v>
          </cell>
          <cell r="AD79">
            <v>9.4</v>
          </cell>
          <cell r="AE79">
            <v>12.4</v>
          </cell>
          <cell r="AF79">
            <v>10.7</v>
          </cell>
          <cell r="AG79">
            <v>13.8</v>
          </cell>
          <cell r="AH79">
            <v>19.899999999999999</v>
          </cell>
          <cell r="AI79">
            <v>24.9</v>
          </cell>
          <cell r="AJ79">
            <v>17.8</v>
          </cell>
          <cell r="AK79">
            <v>16.2</v>
          </cell>
          <cell r="AL79">
            <v>14.6</v>
          </cell>
          <cell r="AM79">
            <v>10.7</v>
          </cell>
          <cell r="AN79">
            <v>9.6999999999999993</v>
          </cell>
          <cell r="AO79">
            <v>12.2</v>
          </cell>
          <cell r="AP79">
            <v>12.9</v>
          </cell>
          <cell r="AQ79">
            <v>16.3</v>
          </cell>
          <cell r="AR79">
            <v>11.9</v>
          </cell>
          <cell r="AS79">
            <v>12.1</v>
          </cell>
          <cell r="AT79">
            <v>30.4</v>
          </cell>
          <cell r="AU79">
            <v>1.9</v>
          </cell>
          <cell r="AV79">
            <v>26.3</v>
          </cell>
          <cell r="AW79">
            <v>10.3</v>
          </cell>
          <cell r="AX79">
            <v>10.6</v>
          </cell>
          <cell r="AY79">
            <v>10.3</v>
          </cell>
          <cell r="AZ79">
            <v>23.8</v>
          </cell>
          <cell r="BA79">
            <v>-38.6</v>
          </cell>
          <cell r="BB79">
            <v>51.1</v>
          </cell>
          <cell r="BC79">
            <v>10.4</v>
          </cell>
          <cell r="BD79">
            <v>15.8</v>
          </cell>
          <cell r="BE79">
            <v>18.600000000000001</v>
          </cell>
          <cell r="BF79">
            <v>35.700000000000003</v>
          </cell>
          <cell r="BG79">
            <v>24.7</v>
          </cell>
          <cell r="BH79">
            <v>14.4</v>
          </cell>
          <cell r="BI79">
            <v>19.399999999999999</v>
          </cell>
          <cell r="BJ79">
            <v>14.7</v>
          </cell>
          <cell r="BK79">
            <v>13.6</v>
          </cell>
          <cell r="BL79">
            <v>11.4</v>
          </cell>
          <cell r="BM79">
            <v>2.7</v>
          </cell>
          <cell r="BN79">
            <v>8.6</v>
          </cell>
          <cell r="BO79">
            <v>7.9</v>
          </cell>
          <cell r="BP79">
            <v>0.3</v>
          </cell>
          <cell r="BQ79">
            <v>35</v>
          </cell>
          <cell r="BR79">
            <v>18.899999999999999</v>
          </cell>
          <cell r="BS79">
            <v>22.5</v>
          </cell>
          <cell r="BT79">
            <v>11.6</v>
          </cell>
          <cell r="BU79">
            <v>11.3</v>
          </cell>
          <cell r="BV79">
            <v>9.5</v>
          </cell>
          <cell r="BW79">
            <v>7.9</v>
          </cell>
          <cell r="BX79">
            <v>7.2</v>
          </cell>
          <cell r="BY79">
            <v>6.5</v>
          </cell>
          <cell r="BZ79">
            <v>11.6</v>
          </cell>
          <cell r="CA79">
            <v>7.7</v>
          </cell>
          <cell r="CB79">
            <v>9.4</v>
          </cell>
          <cell r="CC79">
            <v>40</v>
          </cell>
          <cell r="CD79">
            <v>23.4</v>
          </cell>
          <cell r="CE79">
            <v>31.7</v>
          </cell>
          <cell r="CF79">
            <v>24.3</v>
          </cell>
          <cell r="CG79">
            <v>15.6</v>
          </cell>
          <cell r="CH79">
            <v>15.7</v>
          </cell>
          <cell r="CI79">
            <v>13.9</v>
          </cell>
          <cell r="CJ79">
            <v>13.6</v>
          </cell>
          <cell r="CK79">
            <v>13.8</v>
          </cell>
          <cell r="CL79">
            <v>15.6</v>
          </cell>
          <cell r="CM79">
            <v>16.399999999999999</v>
          </cell>
          <cell r="CN79">
            <v>23.8</v>
          </cell>
          <cell r="CO79">
            <v>26.3</v>
          </cell>
          <cell r="CP79">
            <v>53.4</v>
          </cell>
          <cell r="CQ79">
            <v>48.1</v>
          </cell>
          <cell r="CR79">
            <v>29.7</v>
          </cell>
          <cell r="CS79">
            <v>37.200000000000003</v>
          </cell>
          <cell r="CT79">
            <v>31.5</v>
          </cell>
          <cell r="CU79">
            <v>26.3</v>
          </cell>
          <cell r="CV79">
            <v>18.899999999999999</v>
          </cell>
          <cell r="CW79">
            <v>32.799999999999997</v>
          </cell>
          <cell r="CX79">
            <v>27.6</v>
          </cell>
          <cell r="CY79">
            <v>27.8</v>
          </cell>
          <cell r="CZ79">
            <v>29.4</v>
          </cell>
          <cell r="DA79">
            <v>33.6</v>
          </cell>
          <cell r="DB79">
            <v>36.299999999999997</v>
          </cell>
          <cell r="DC79">
            <v>81.400000000000006</v>
          </cell>
          <cell r="DD79">
            <v>36.299999999999997</v>
          </cell>
          <cell r="DE79">
            <v>38.4</v>
          </cell>
          <cell r="DF79">
            <v>28.9</v>
          </cell>
          <cell r="DG79">
            <v>27.1</v>
          </cell>
          <cell r="DH79">
            <v>19.899999999999999</v>
          </cell>
          <cell r="DI79">
            <v>19.899999999999999</v>
          </cell>
          <cell r="DJ79">
            <v>22.7</v>
          </cell>
          <cell r="DK79">
            <v>28.3</v>
          </cell>
          <cell r="DL79">
            <v>38.1</v>
          </cell>
          <cell r="DM79">
            <v>35.4</v>
          </cell>
          <cell r="DN79">
            <v>55.2</v>
          </cell>
          <cell r="DO79">
            <v>50.2</v>
          </cell>
          <cell r="DP79">
            <v>35.1</v>
          </cell>
          <cell r="DQ79">
            <v>39.9</v>
          </cell>
          <cell r="DR79">
            <v>29.8</v>
          </cell>
          <cell r="DS79">
            <v>26.3</v>
          </cell>
          <cell r="DT79">
            <v>21.1</v>
          </cell>
          <cell r="DU79">
            <v>24.2</v>
          </cell>
          <cell r="DV79">
            <v>21.8</v>
          </cell>
          <cell r="DW79">
            <v>27.4</v>
          </cell>
          <cell r="DX79">
            <v>29.1</v>
          </cell>
          <cell r="DY79">
            <v>39.9</v>
          </cell>
          <cell r="EM79">
            <v>166.6</v>
          </cell>
          <cell r="EN79">
            <v>179.20000000000002</v>
          </cell>
          <cell r="EO79">
            <v>170.89999999999998</v>
          </cell>
          <cell r="EP79">
            <v>188.4</v>
          </cell>
          <cell r="EQ79">
            <v>164.10000000000002</v>
          </cell>
          <cell r="ER79">
            <v>234.10000000000002</v>
          </cell>
          <cell r="ES79">
            <v>396.3</v>
          </cell>
        </row>
        <row r="80">
          <cell r="A80" t="str">
            <v>Other Operating Income / (Expense) Items</v>
          </cell>
          <cell r="B80" t="str">
            <v>Operating Revenue</v>
          </cell>
          <cell r="D80" t="str">
            <v>Wholesale Base Revenue Billed (PGA)</v>
          </cell>
          <cell r="E80" t="str">
            <v>Operating Revenue</v>
          </cell>
          <cell r="F80" t="str">
            <v>4830092</v>
          </cell>
          <cell r="G80" t="str">
            <v>A_4830092</v>
          </cell>
          <cell r="H80" t="str">
            <v>Wholesale Sales for Resale FUEL</v>
          </cell>
          <cell r="J80">
            <v>122.3</v>
          </cell>
          <cell r="K80">
            <v>125.4</v>
          </cell>
          <cell r="L80">
            <v>83.6</v>
          </cell>
          <cell r="M80">
            <v>79.400000000000006</v>
          </cell>
          <cell r="N80">
            <v>59.3</v>
          </cell>
          <cell r="O80">
            <v>84.2</v>
          </cell>
          <cell r="P80">
            <v>53.6</v>
          </cell>
          <cell r="Q80">
            <v>50.6</v>
          </cell>
          <cell r="R80">
            <v>55.9</v>
          </cell>
          <cell r="S80">
            <v>47.4</v>
          </cell>
          <cell r="T80">
            <v>55.8</v>
          </cell>
          <cell r="U80">
            <v>89.6</v>
          </cell>
          <cell r="V80">
            <v>115.4</v>
          </cell>
          <cell r="W80">
            <v>122.4</v>
          </cell>
          <cell r="X80">
            <v>103.4</v>
          </cell>
          <cell r="Y80">
            <v>62.6</v>
          </cell>
          <cell r="Z80">
            <v>34.799999999999997</v>
          </cell>
          <cell r="AA80">
            <v>40.200000000000003</v>
          </cell>
          <cell r="AB80">
            <v>40.200000000000003</v>
          </cell>
          <cell r="AC80">
            <v>81.3</v>
          </cell>
          <cell r="AD80">
            <v>47.8</v>
          </cell>
          <cell r="AE80">
            <v>61</v>
          </cell>
          <cell r="AF80">
            <v>52.7</v>
          </cell>
          <cell r="AG80">
            <v>70.8</v>
          </cell>
          <cell r="AH80">
            <v>112.9</v>
          </cell>
          <cell r="AI80">
            <v>144.5</v>
          </cell>
          <cell r="AJ80">
            <v>97.4</v>
          </cell>
          <cell r="AK80">
            <v>90.4</v>
          </cell>
          <cell r="AL80">
            <v>80.7</v>
          </cell>
          <cell r="AM80">
            <v>55.8</v>
          </cell>
          <cell r="AN80">
            <v>48.9</v>
          </cell>
          <cell r="AO80">
            <v>62.9</v>
          </cell>
          <cell r="AP80">
            <v>63.2</v>
          </cell>
          <cell r="AQ80">
            <v>80.900000000000006</v>
          </cell>
          <cell r="AR80">
            <v>54.7</v>
          </cell>
          <cell r="AS80">
            <v>54.6</v>
          </cell>
          <cell r="AT80">
            <v>145.5</v>
          </cell>
          <cell r="AU80">
            <v>10</v>
          </cell>
          <cell r="AV80">
            <v>130.9</v>
          </cell>
          <cell r="AW80">
            <v>51.4</v>
          </cell>
          <cell r="AX80">
            <v>52.2</v>
          </cell>
          <cell r="AY80">
            <v>48.1</v>
          </cell>
          <cell r="AZ80">
            <v>121</v>
          </cell>
          <cell r="BA80">
            <v>-191.3</v>
          </cell>
          <cell r="BB80">
            <v>259.2</v>
          </cell>
          <cell r="BC80">
            <v>57.4</v>
          </cell>
          <cell r="BD80">
            <v>89.3</v>
          </cell>
          <cell r="BE80">
            <v>106.2</v>
          </cell>
          <cell r="BF80">
            <v>227.7</v>
          </cell>
          <cell r="BG80">
            <v>160.19999999999999</v>
          </cell>
          <cell r="BH80">
            <v>81.3</v>
          </cell>
          <cell r="BI80">
            <v>110.5</v>
          </cell>
          <cell r="BJ80">
            <v>82</v>
          </cell>
          <cell r="BK80">
            <v>72.900000000000006</v>
          </cell>
          <cell r="BL80">
            <v>59.9</v>
          </cell>
          <cell r="BM80">
            <v>10.199999999999999</v>
          </cell>
          <cell r="BN80">
            <v>43</v>
          </cell>
          <cell r="BO80">
            <v>37.299999999999997</v>
          </cell>
          <cell r="BP80">
            <v>1.9</v>
          </cell>
          <cell r="BQ80">
            <v>187.7</v>
          </cell>
          <cell r="BR80">
            <v>111.9</v>
          </cell>
          <cell r="BS80">
            <v>133.69999999999999</v>
          </cell>
          <cell r="BT80">
            <v>72.599999999999994</v>
          </cell>
          <cell r="BU80">
            <v>76.400000000000006</v>
          </cell>
          <cell r="BV80">
            <v>63</v>
          </cell>
          <cell r="BW80">
            <v>52.2</v>
          </cell>
          <cell r="BX80">
            <v>47.3</v>
          </cell>
          <cell r="BY80">
            <v>36.200000000000003</v>
          </cell>
          <cell r="BZ80">
            <v>56.5</v>
          </cell>
          <cell r="CA80">
            <v>41.9</v>
          </cell>
          <cell r="CB80">
            <v>53.6</v>
          </cell>
          <cell r="CC80">
            <v>237.1</v>
          </cell>
          <cell r="CD80">
            <v>136.30000000000001</v>
          </cell>
          <cell r="CE80">
            <v>175.8</v>
          </cell>
          <cell r="CF80">
            <v>129.1</v>
          </cell>
          <cell r="CG80">
            <v>81.3</v>
          </cell>
          <cell r="CH80">
            <v>81.8</v>
          </cell>
          <cell r="CI80">
            <v>71.8</v>
          </cell>
          <cell r="CJ80">
            <v>70.5</v>
          </cell>
          <cell r="CK80">
            <v>71.8</v>
          </cell>
          <cell r="CL80">
            <v>81.3</v>
          </cell>
          <cell r="CM80">
            <v>91.3</v>
          </cell>
          <cell r="CN80">
            <v>133.5</v>
          </cell>
          <cell r="CO80">
            <v>163.6</v>
          </cell>
          <cell r="CP80">
            <v>272.5</v>
          </cell>
          <cell r="CQ80">
            <v>244.2</v>
          </cell>
          <cell r="CR80">
            <v>168.7</v>
          </cell>
          <cell r="CS80">
            <v>214.4</v>
          </cell>
          <cell r="CT80">
            <v>171</v>
          </cell>
          <cell r="CU80">
            <v>138.6</v>
          </cell>
          <cell r="CV80">
            <v>101</v>
          </cell>
          <cell r="CW80">
            <v>187.8</v>
          </cell>
          <cell r="CX80">
            <v>155.69999999999999</v>
          </cell>
          <cell r="CY80">
            <v>157.1</v>
          </cell>
          <cell r="CZ80">
            <v>166.8</v>
          </cell>
          <cell r="DA80">
            <v>192.2</v>
          </cell>
          <cell r="DB80">
            <v>226</v>
          </cell>
          <cell r="DC80">
            <v>517.70000000000005</v>
          </cell>
          <cell r="DD80">
            <v>225.9</v>
          </cell>
          <cell r="DE80">
            <v>239.5</v>
          </cell>
          <cell r="DF80">
            <v>176.7</v>
          </cell>
          <cell r="DG80">
            <v>169.4</v>
          </cell>
          <cell r="DH80">
            <v>121.7</v>
          </cell>
          <cell r="DI80">
            <v>170.7</v>
          </cell>
          <cell r="DJ80">
            <v>193.8</v>
          </cell>
          <cell r="DK80">
            <v>230.3</v>
          </cell>
          <cell r="DL80">
            <v>193.4</v>
          </cell>
          <cell r="DM80">
            <v>183.1</v>
          </cell>
          <cell r="DN80">
            <v>253.7</v>
          </cell>
          <cell r="DO80">
            <v>328</v>
          </cell>
          <cell r="DP80">
            <v>164.6</v>
          </cell>
          <cell r="DQ80">
            <v>121.9</v>
          </cell>
          <cell r="DR80">
            <v>113.2</v>
          </cell>
          <cell r="DS80">
            <v>109.5</v>
          </cell>
          <cell r="DT80">
            <v>88.3</v>
          </cell>
          <cell r="DU80">
            <v>90.3</v>
          </cell>
          <cell r="DV80">
            <v>112.2</v>
          </cell>
          <cell r="DW80">
            <v>102</v>
          </cell>
          <cell r="DX80">
            <v>109.9</v>
          </cell>
          <cell r="DY80">
            <v>415.2</v>
          </cell>
          <cell r="EM80">
            <v>832.6</v>
          </cell>
          <cell r="EN80">
            <v>946.9</v>
          </cell>
          <cell r="EO80">
            <v>879.89999999999986</v>
          </cell>
          <cell r="EP80">
            <v>1074.5999999999999</v>
          </cell>
          <cell r="EQ80">
            <v>982.40000000000009</v>
          </cell>
          <cell r="ER80">
            <v>1288.0999999999997</v>
          </cell>
          <cell r="ES80">
            <v>2170</v>
          </cell>
        </row>
        <row r="81">
          <cell r="A81" t="str">
            <v>Base Revenues and OSS - Net</v>
          </cell>
          <cell r="B81" t="str">
            <v>Operating Revenue</v>
          </cell>
          <cell r="D81" t="str">
            <v>Wholesale Base Revenue Billed</v>
          </cell>
          <cell r="E81" t="str">
            <v>Operating Revenue</v>
          </cell>
          <cell r="F81" t="str">
            <v>4833091</v>
          </cell>
          <cell r="G81" t="str">
            <v>A_4833091</v>
          </cell>
          <cell r="H81" t="str">
            <v>Wholesale Sales for Resale Transportation</v>
          </cell>
          <cell r="J81">
            <v>21.9</v>
          </cell>
          <cell r="K81">
            <v>18.7</v>
          </cell>
          <cell r="L81">
            <v>21.1</v>
          </cell>
          <cell r="M81">
            <v>18</v>
          </cell>
          <cell r="N81">
            <v>16.899999999999999</v>
          </cell>
          <cell r="O81">
            <v>15.6</v>
          </cell>
          <cell r="P81">
            <v>15.7</v>
          </cell>
          <cell r="Q81">
            <v>15.3</v>
          </cell>
          <cell r="R81">
            <v>14.6</v>
          </cell>
          <cell r="S81">
            <v>17.3</v>
          </cell>
          <cell r="T81">
            <v>19.7</v>
          </cell>
          <cell r="U81">
            <v>20.3</v>
          </cell>
          <cell r="V81">
            <v>22.6</v>
          </cell>
          <cell r="W81">
            <v>21.1</v>
          </cell>
          <cell r="X81">
            <v>20.2</v>
          </cell>
          <cell r="Y81">
            <v>17.8</v>
          </cell>
          <cell r="Z81">
            <v>17.399999999999999</v>
          </cell>
          <cell r="AA81">
            <v>15.8</v>
          </cell>
          <cell r="AB81">
            <v>16.3</v>
          </cell>
          <cell r="AC81">
            <v>16.100000000000001</v>
          </cell>
          <cell r="AD81">
            <v>15.6</v>
          </cell>
          <cell r="AE81">
            <v>18.2</v>
          </cell>
          <cell r="AF81">
            <v>18.100000000000001</v>
          </cell>
          <cell r="AG81">
            <v>19.600000000000001</v>
          </cell>
          <cell r="AH81">
            <v>24.1</v>
          </cell>
          <cell r="AI81">
            <v>22.2</v>
          </cell>
          <cell r="AJ81">
            <v>20.7</v>
          </cell>
          <cell r="AK81">
            <v>19.5</v>
          </cell>
          <cell r="AL81">
            <v>18.3</v>
          </cell>
          <cell r="AM81">
            <v>16.7</v>
          </cell>
          <cell r="AN81">
            <v>16.7</v>
          </cell>
          <cell r="AO81">
            <v>16.3</v>
          </cell>
          <cell r="AP81">
            <v>15.9</v>
          </cell>
          <cell r="AQ81">
            <v>17</v>
          </cell>
          <cell r="AR81">
            <v>19.3</v>
          </cell>
          <cell r="AS81">
            <v>20.9</v>
          </cell>
          <cell r="AT81">
            <v>22.7</v>
          </cell>
          <cell r="AU81">
            <v>19.2</v>
          </cell>
          <cell r="AV81">
            <v>22.7</v>
          </cell>
          <cell r="AW81">
            <v>19</v>
          </cell>
          <cell r="AX81">
            <v>17.899999999999999</v>
          </cell>
          <cell r="AY81">
            <v>16.7</v>
          </cell>
          <cell r="AZ81">
            <v>18.399999999999999</v>
          </cell>
          <cell r="BA81">
            <v>15.6</v>
          </cell>
          <cell r="BB81">
            <v>14.8</v>
          </cell>
          <cell r="BC81">
            <v>19.100000000000001</v>
          </cell>
          <cell r="BD81">
            <v>20.2</v>
          </cell>
          <cell r="BE81">
            <v>24.4</v>
          </cell>
          <cell r="BF81">
            <v>25.4</v>
          </cell>
          <cell r="BG81">
            <v>19.7</v>
          </cell>
          <cell r="BH81">
            <v>23.5</v>
          </cell>
          <cell r="BI81">
            <v>20.2</v>
          </cell>
          <cell r="BJ81">
            <v>18.8</v>
          </cell>
          <cell r="BK81">
            <v>17.3</v>
          </cell>
          <cell r="BL81">
            <v>17.8</v>
          </cell>
          <cell r="BM81">
            <v>16.5</v>
          </cell>
          <cell r="BN81">
            <v>16.100000000000001</v>
          </cell>
          <cell r="BO81">
            <v>18.3</v>
          </cell>
          <cell r="BP81">
            <v>26.8</v>
          </cell>
          <cell r="BQ81">
            <v>29.5</v>
          </cell>
          <cell r="BR81">
            <v>30.4</v>
          </cell>
          <cell r="BS81">
            <v>26.5</v>
          </cell>
          <cell r="BT81">
            <v>28.3</v>
          </cell>
          <cell r="BU81">
            <v>25.6</v>
          </cell>
          <cell r="BV81">
            <v>23.2</v>
          </cell>
          <cell r="BW81">
            <v>22.3</v>
          </cell>
          <cell r="BX81">
            <v>22</v>
          </cell>
          <cell r="BY81">
            <v>21.7</v>
          </cell>
          <cell r="BZ81">
            <v>20.9</v>
          </cell>
          <cell r="CA81">
            <v>23</v>
          </cell>
          <cell r="CB81">
            <v>24.3</v>
          </cell>
          <cell r="CC81">
            <v>29.4</v>
          </cell>
          <cell r="CD81">
            <v>28.8</v>
          </cell>
          <cell r="CE81">
            <v>27</v>
          </cell>
          <cell r="CF81">
            <v>22.6</v>
          </cell>
          <cell r="CG81">
            <v>17.5</v>
          </cell>
          <cell r="CH81">
            <v>19.399999999999999</v>
          </cell>
          <cell r="CI81">
            <v>19.7</v>
          </cell>
          <cell r="CJ81">
            <v>18.8</v>
          </cell>
          <cell r="CK81">
            <v>19.3</v>
          </cell>
          <cell r="CL81">
            <v>19.399999999999999</v>
          </cell>
          <cell r="CM81">
            <v>22.7</v>
          </cell>
          <cell r="CN81">
            <v>20.3</v>
          </cell>
          <cell r="CO81">
            <v>33.299999999999997</v>
          </cell>
          <cell r="CP81">
            <v>23.9</v>
          </cell>
          <cell r="CQ81">
            <v>30.2</v>
          </cell>
          <cell r="CR81">
            <v>32.200000000000003</v>
          </cell>
          <cell r="CS81">
            <v>33.5</v>
          </cell>
          <cell r="CT81">
            <v>28</v>
          </cell>
          <cell r="CU81">
            <v>18.8</v>
          </cell>
          <cell r="CV81">
            <v>20.399999999999999</v>
          </cell>
          <cell r="CW81">
            <v>21.2</v>
          </cell>
          <cell r="CX81">
            <v>19.7</v>
          </cell>
          <cell r="CY81">
            <v>21.8</v>
          </cell>
          <cell r="CZ81">
            <v>25.1</v>
          </cell>
          <cell r="DA81">
            <v>25.8</v>
          </cell>
          <cell r="DB81">
            <v>28.8</v>
          </cell>
          <cell r="DC81">
            <v>18.600000000000001</v>
          </cell>
          <cell r="DD81">
            <v>33.4</v>
          </cell>
          <cell r="DE81">
            <v>27.2</v>
          </cell>
          <cell r="DF81">
            <v>22.4</v>
          </cell>
          <cell r="DG81">
            <v>19.3</v>
          </cell>
          <cell r="DH81">
            <v>17.8</v>
          </cell>
          <cell r="DI81">
            <v>19</v>
          </cell>
          <cell r="DJ81">
            <v>18.2</v>
          </cell>
          <cell r="DK81">
            <v>20.8</v>
          </cell>
          <cell r="DL81">
            <v>20.9</v>
          </cell>
          <cell r="DM81">
            <v>29.6</v>
          </cell>
          <cell r="DN81">
            <v>11.5</v>
          </cell>
          <cell r="DO81">
            <v>10.6</v>
          </cell>
          <cell r="DP81">
            <v>11.2</v>
          </cell>
          <cell r="DQ81">
            <v>10.7</v>
          </cell>
          <cell r="DR81">
            <v>10.4</v>
          </cell>
          <cell r="DS81">
            <v>9.9</v>
          </cell>
          <cell r="DT81">
            <v>9.9</v>
          </cell>
          <cell r="DU81">
            <v>10</v>
          </cell>
          <cell r="DV81">
            <v>9.6999999999999993</v>
          </cell>
          <cell r="DW81">
            <v>10.1</v>
          </cell>
          <cell r="DX81">
            <v>10.3</v>
          </cell>
          <cell r="DY81">
            <v>11</v>
          </cell>
          <cell r="EM81">
            <v>218.79999999999995</v>
          </cell>
          <cell r="EN81">
            <v>227.60000000000002</v>
          </cell>
          <cell r="EO81">
            <v>230.7</v>
          </cell>
          <cell r="EP81">
            <v>249.9</v>
          </cell>
          <cell r="EQ81">
            <v>297.59999999999997</v>
          </cell>
          <cell r="ER81">
            <v>268.8</v>
          </cell>
          <cell r="ES81">
            <v>300.60000000000002</v>
          </cell>
        </row>
        <row r="82">
          <cell r="F82" t="str">
            <v>483</v>
          </cell>
          <cell r="G82">
            <v>483</v>
          </cell>
          <cell r="J82">
            <v>165.9</v>
          </cell>
          <cell r="K82">
            <v>166.9</v>
          </cell>
          <cell r="L82">
            <v>121.29999999999998</v>
          </cell>
          <cell r="M82">
            <v>112.2</v>
          </cell>
          <cell r="N82">
            <v>88</v>
          </cell>
          <cell r="O82">
            <v>113.2</v>
          </cell>
          <cell r="P82">
            <v>79.7</v>
          </cell>
          <cell r="Q82">
            <v>75.599999999999994</v>
          </cell>
          <cell r="R82">
            <v>81.399999999999991</v>
          </cell>
          <cell r="S82">
            <v>74.599999999999994</v>
          </cell>
          <cell r="T82">
            <v>87.5</v>
          </cell>
          <cell r="U82">
            <v>128.5</v>
          </cell>
          <cell r="V82">
            <v>159.4</v>
          </cell>
          <cell r="W82">
            <v>166.9</v>
          </cell>
          <cell r="X82">
            <v>146</v>
          </cell>
          <cell r="Y82">
            <v>93.8</v>
          </cell>
          <cell r="Z82">
            <v>59.8</v>
          </cell>
          <cell r="AA82">
            <v>64.3</v>
          </cell>
          <cell r="AB82">
            <v>64.8</v>
          </cell>
          <cell r="AC82">
            <v>112.9</v>
          </cell>
          <cell r="AD82">
            <v>72.8</v>
          </cell>
          <cell r="AE82">
            <v>91.600000000000009</v>
          </cell>
          <cell r="AF82">
            <v>81.5</v>
          </cell>
          <cell r="AG82">
            <v>104.19999999999999</v>
          </cell>
          <cell r="AH82">
            <v>156.9</v>
          </cell>
          <cell r="AI82">
            <v>191.6</v>
          </cell>
          <cell r="AJ82">
            <v>135.9</v>
          </cell>
          <cell r="AK82">
            <v>126.10000000000001</v>
          </cell>
          <cell r="AL82">
            <v>113.6</v>
          </cell>
          <cell r="AM82">
            <v>83.2</v>
          </cell>
          <cell r="AN82">
            <v>75.3</v>
          </cell>
          <cell r="AO82">
            <v>91.399999999999991</v>
          </cell>
          <cell r="AP82">
            <v>92.000000000000014</v>
          </cell>
          <cell r="AQ82">
            <v>114.2</v>
          </cell>
          <cell r="AR82">
            <v>85.9</v>
          </cell>
          <cell r="AS82">
            <v>87.6</v>
          </cell>
          <cell r="AT82">
            <v>198.6</v>
          </cell>
          <cell r="AU82">
            <v>31.1</v>
          </cell>
          <cell r="AV82">
            <v>179.9</v>
          </cell>
          <cell r="AW82">
            <v>80.7</v>
          </cell>
          <cell r="AX82">
            <v>80.7</v>
          </cell>
          <cell r="AY82">
            <v>75.100000000000009</v>
          </cell>
          <cell r="AZ82">
            <v>163.20000000000002</v>
          </cell>
          <cell r="BA82">
            <v>-214.3</v>
          </cell>
          <cell r="BB82">
            <v>325.10000000000002</v>
          </cell>
          <cell r="BC82">
            <v>86.9</v>
          </cell>
          <cell r="BD82">
            <v>125.3</v>
          </cell>
          <cell r="BE82">
            <v>149.20000000000002</v>
          </cell>
          <cell r="BF82">
            <v>288.79999999999995</v>
          </cell>
          <cell r="BG82">
            <v>204.59999999999997</v>
          </cell>
          <cell r="BH82">
            <v>119.2</v>
          </cell>
          <cell r="BI82">
            <v>150.1</v>
          </cell>
          <cell r="BJ82">
            <v>115.5</v>
          </cell>
          <cell r="BK82">
            <v>103.8</v>
          </cell>
          <cell r="BL82">
            <v>89.1</v>
          </cell>
          <cell r="BM82">
            <v>29.4</v>
          </cell>
          <cell r="BN82">
            <v>67.7</v>
          </cell>
          <cell r="BO82">
            <v>63.5</v>
          </cell>
          <cell r="BP82">
            <v>29</v>
          </cell>
          <cell r="BQ82">
            <v>252.2</v>
          </cell>
          <cell r="BR82">
            <v>161.20000000000002</v>
          </cell>
          <cell r="BS82">
            <v>182.7</v>
          </cell>
          <cell r="BT82">
            <v>112.49999999999999</v>
          </cell>
          <cell r="BU82">
            <v>113.30000000000001</v>
          </cell>
          <cell r="BV82">
            <v>95.7</v>
          </cell>
          <cell r="BW82">
            <v>82.4</v>
          </cell>
          <cell r="BX82">
            <v>76.5</v>
          </cell>
          <cell r="BY82">
            <v>64.400000000000006</v>
          </cell>
          <cell r="BZ82">
            <v>89</v>
          </cell>
          <cell r="CA82">
            <v>72.599999999999994</v>
          </cell>
          <cell r="CB82">
            <v>87.3</v>
          </cell>
          <cell r="CC82">
            <v>306.5</v>
          </cell>
          <cell r="CD82">
            <v>188.50000000000003</v>
          </cell>
          <cell r="CE82">
            <v>234.5</v>
          </cell>
          <cell r="CF82">
            <v>176</v>
          </cell>
          <cell r="CG82">
            <v>114.39999999999999</v>
          </cell>
          <cell r="CH82">
            <v>116.9</v>
          </cell>
          <cell r="CI82">
            <v>105.4</v>
          </cell>
          <cell r="CJ82">
            <v>102.89999999999999</v>
          </cell>
          <cell r="CK82">
            <v>104.89999999999999</v>
          </cell>
          <cell r="CL82">
            <v>116.29999999999998</v>
          </cell>
          <cell r="CM82">
            <v>130.39999999999998</v>
          </cell>
          <cell r="CN82">
            <v>177.60000000000002</v>
          </cell>
          <cell r="CO82">
            <v>223.2</v>
          </cell>
          <cell r="CP82">
            <v>349.79999999999995</v>
          </cell>
          <cell r="CQ82">
            <v>322.5</v>
          </cell>
          <cell r="CR82">
            <v>230.59999999999997</v>
          </cell>
          <cell r="CS82">
            <v>285.10000000000002</v>
          </cell>
          <cell r="CT82">
            <v>230.5</v>
          </cell>
          <cell r="CU82">
            <v>183.70000000000002</v>
          </cell>
          <cell r="CV82">
            <v>140.30000000000001</v>
          </cell>
          <cell r="CW82">
            <v>241.8</v>
          </cell>
          <cell r="CX82">
            <v>202.99999999999997</v>
          </cell>
          <cell r="CY82">
            <v>206.70000000000002</v>
          </cell>
          <cell r="CZ82">
            <v>221.3</v>
          </cell>
          <cell r="DA82">
            <v>251.6</v>
          </cell>
          <cell r="DB82">
            <v>291.10000000000002</v>
          </cell>
          <cell r="DC82">
            <v>617.70000000000005</v>
          </cell>
          <cell r="DD82">
            <v>295.59999999999997</v>
          </cell>
          <cell r="DE82">
            <v>305.09999999999997</v>
          </cell>
          <cell r="DF82">
            <v>228</v>
          </cell>
          <cell r="DG82">
            <v>215.8</v>
          </cell>
          <cell r="DH82">
            <v>159.4</v>
          </cell>
          <cell r="DI82">
            <v>209.6</v>
          </cell>
          <cell r="DJ82">
            <v>234.7</v>
          </cell>
          <cell r="DK82">
            <v>279.40000000000003</v>
          </cell>
          <cell r="DL82">
            <v>252.4</v>
          </cell>
          <cell r="DM82">
            <v>248.1</v>
          </cell>
          <cell r="DN82">
            <v>320.39999999999998</v>
          </cell>
          <cell r="DO82">
            <v>388.8</v>
          </cell>
          <cell r="DP82">
            <v>210.89999999999998</v>
          </cell>
          <cell r="DQ82">
            <v>172.5</v>
          </cell>
          <cell r="DR82">
            <v>153.4</v>
          </cell>
          <cell r="DS82">
            <v>145.70000000000002</v>
          </cell>
          <cell r="DT82">
            <v>119.30000000000001</v>
          </cell>
          <cell r="DU82">
            <v>124.5</v>
          </cell>
          <cell r="DV82">
            <v>143.69999999999999</v>
          </cell>
          <cell r="DW82">
            <v>139.5</v>
          </cell>
          <cell r="DX82">
            <v>149.30000000000001</v>
          </cell>
          <cell r="DY82">
            <v>466.09999999999997</v>
          </cell>
          <cell r="EM82">
            <v>1217.9999999999998</v>
          </cell>
          <cell r="EN82">
            <v>1353.7</v>
          </cell>
          <cell r="EO82">
            <v>1281.5</v>
          </cell>
          <cell r="EP82">
            <v>1512.9</v>
          </cell>
          <cell r="EQ82">
            <v>1444.1</v>
          </cell>
          <cell r="ER82">
            <v>1790.9999999999998</v>
          </cell>
          <cell r="ES82">
            <v>2866.8999999999996</v>
          </cell>
        </row>
        <row r="83">
          <cell r="A83" t="str">
            <v>Misc Operating Revenues (excl Clause &amp; gr/ff)</v>
          </cell>
          <cell r="B83" t="str">
            <v>Operating Revenue</v>
          </cell>
          <cell r="D83" t="str">
            <v>Late Fees</v>
          </cell>
          <cell r="E83" t="str">
            <v>Operating Revenue</v>
          </cell>
          <cell r="F83" t="str">
            <v>4870000</v>
          </cell>
          <cell r="G83" t="str">
            <v>A_4870000</v>
          </cell>
          <cell r="H83" t="str">
            <v>Forfeited Discounts</v>
          </cell>
          <cell r="J83">
            <v>87.2</v>
          </cell>
          <cell r="K83">
            <v>96.3</v>
          </cell>
          <cell r="L83">
            <v>92.1</v>
          </cell>
          <cell r="M83">
            <v>89.2</v>
          </cell>
          <cell r="N83">
            <v>77.5</v>
          </cell>
          <cell r="O83">
            <v>61.4</v>
          </cell>
          <cell r="P83">
            <v>83</v>
          </cell>
          <cell r="Q83">
            <v>63.7</v>
          </cell>
          <cell r="R83">
            <v>66.900000000000006</v>
          </cell>
          <cell r="S83">
            <v>65.900000000000006</v>
          </cell>
          <cell r="T83">
            <v>55.4</v>
          </cell>
          <cell r="U83">
            <v>84.6</v>
          </cell>
          <cell r="V83">
            <v>87.4</v>
          </cell>
          <cell r="W83">
            <v>89.2</v>
          </cell>
          <cell r="X83">
            <v>84.7</v>
          </cell>
          <cell r="Y83">
            <v>80.400000000000006</v>
          </cell>
          <cell r="Z83">
            <v>72.900000000000006</v>
          </cell>
          <cell r="AA83">
            <v>62</v>
          </cell>
          <cell r="AB83">
            <v>67.400000000000006</v>
          </cell>
          <cell r="AC83">
            <v>65.5</v>
          </cell>
          <cell r="AD83">
            <v>64.5</v>
          </cell>
          <cell r="AE83">
            <v>67.599999999999994</v>
          </cell>
          <cell r="AF83">
            <v>55.5</v>
          </cell>
          <cell r="AG83">
            <v>85.3</v>
          </cell>
          <cell r="AH83">
            <v>83.4</v>
          </cell>
          <cell r="AI83">
            <v>83.2</v>
          </cell>
          <cell r="AJ83">
            <v>101.9</v>
          </cell>
          <cell r="AK83">
            <v>82.9</v>
          </cell>
          <cell r="AL83">
            <v>74.400000000000006</v>
          </cell>
          <cell r="AM83">
            <v>88.3</v>
          </cell>
          <cell r="AN83">
            <v>71.599999999999994</v>
          </cell>
          <cell r="AO83">
            <v>67.2</v>
          </cell>
          <cell r="AP83">
            <v>66.8</v>
          </cell>
          <cell r="AQ83">
            <v>72.3</v>
          </cell>
          <cell r="AR83">
            <v>72.7</v>
          </cell>
          <cell r="AS83">
            <v>77.599999999999994</v>
          </cell>
          <cell r="AT83">
            <v>59.3</v>
          </cell>
          <cell r="AU83">
            <v>151.30000000000001</v>
          </cell>
          <cell r="AV83">
            <v>128.9</v>
          </cell>
          <cell r="AW83">
            <v>124.3</v>
          </cell>
          <cell r="AX83">
            <v>124.5</v>
          </cell>
          <cell r="AY83">
            <v>113.3</v>
          </cell>
          <cell r="AZ83">
            <v>96.8</v>
          </cell>
          <cell r="BA83">
            <v>85.4</v>
          </cell>
          <cell r="BB83">
            <v>58.1</v>
          </cell>
          <cell r="BC83">
            <v>87.6</v>
          </cell>
          <cell r="BD83">
            <v>92.3</v>
          </cell>
          <cell r="BE83">
            <v>100.7</v>
          </cell>
          <cell r="BF83">
            <v>136.9</v>
          </cell>
          <cell r="BG83">
            <v>152.4</v>
          </cell>
          <cell r="BH83">
            <v>135.30000000000001</v>
          </cell>
          <cell r="BI83">
            <v>120.4</v>
          </cell>
          <cell r="BJ83">
            <v>107.5</v>
          </cell>
          <cell r="BK83">
            <v>108.2</v>
          </cell>
          <cell r="BL83">
            <v>81</v>
          </cell>
          <cell r="BM83">
            <v>93.1</v>
          </cell>
          <cell r="BN83">
            <v>93.8</v>
          </cell>
          <cell r="BO83">
            <v>92.9</v>
          </cell>
          <cell r="BP83">
            <v>92.3</v>
          </cell>
          <cell r="BQ83">
            <v>102.4</v>
          </cell>
          <cell r="BR83">
            <v>122.5</v>
          </cell>
          <cell r="BS83">
            <v>104.7</v>
          </cell>
          <cell r="BT83">
            <v>101.2</v>
          </cell>
          <cell r="BU83">
            <v>90.2</v>
          </cell>
          <cell r="BV83">
            <v>95.4</v>
          </cell>
          <cell r="BW83">
            <v>81.8</v>
          </cell>
          <cell r="BX83">
            <v>79.099999999999994</v>
          </cell>
          <cell r="BY83">
            <v>82.6</v>
          </cell>
          <cell r="BZ83">
            <v>80.2</v>
          </cell>
          <cell r="CA83">
            <v>78.8</v>
          </cell>
          <cell r="CB83">
            <v>75.7</v>
          </cell>
          <cell r="CC83">
            <v>86.1</v>
          </cell>
          <cell r="CD83">
            <v>109.4</v>
          </cell>
          <cell r="CE83">
            <v>96.2</v>
          </cell>
          <cell r="CF83">
            <v>95.2</v>
          </cell>
          <cell r="CG83">
            <v>125.2</v>
          </cell>
          <cell r="CH83">
            <v>125.4</v>
          </cell>
          <cell r="CI83">
            <v>118.2</v>
          </cell>
          <cell r="CJ83">
            <v>111.3</v>
          </cell>
          <cell r="CK83">
            <v>107.1</v>
          </cell>
          <cell r="CL83">
            <v>77.099999999999994</v>
          </cell>
          <cell r="CM83">
            <v>100</v>
          </cell>
          <cell r="CN83">
            <v>96.4</v>
          </cell>
          <cell r="CO83">
            <v>96.7</v>
          </cell>
          <cell r="CP83">
            <v>119.2</v>
          </cell>
          <cell r="CQ83">
            <v>130.6</v>
          </cell>
          <cell r="CR83">
            <v>133.30000000000001</v>
          </cell>
          <cell r="CS83">
            <v>103.6</v>
          </cell>
          <cell r="CT83">
            <v>116.8</v>
          </cell>
          <cell r="CU83">
            <v>114.3</v>
          </cell>
          <cell r="CV83">
            <v>88.3</v>
          </cell>
          <cell r="CW83">
            <v>97.5</v>
          </cell>
          <cell r="CX83">
            <v>98.5</v>
          </cell>
          <cell r="CY83">
            <v>86.1</v>
          </cell>
          <cell r="CZ83">
            <v>95.4</v>
          </cell>
          <cell r="DA83">
            <v>112.7</v>
          </cell>
          <cell r="DB83">
            <v>129.69999999999999</v>
          </cell>
          <cell r="DC83">
            <v>126.9</v>
          </cell>
          <cell r="DD83">
            <v>129.69999999999999</v>
          </cell>
          <cell r="DE83">
            <v>110.7</v>
          </cell>
          <cell r="DF83">
            <v>113.6</v>
          </cell>
          <cell r="DG83">
            <v>112.8</v>
          </cell>
          <cell r="DH83">
            <v>108.1</v>
          </cell>
          <cell r="DI83">
            <v>105.9</v>
          </cell>
          <cell r="DJ83">
            <v>117.8</v>
          </cell>
          <cell r="DK83">
            <v>111.4</v>
          </cell>
          <cell r="DL83">
            <v>118.9</v>
          </cell>
          <cell r="DM83">
            <v>118.4</v>
          </cell>
          <cell r="DN83">
            <v>119</v>
          </cell>
          <cell r="DO83">
            <v>118.2</v>
          </cell>
          <cell r="DP83">
            <v>121.5</v>
          </cell>
          <cell r="DQ83">
            <v>119.7</v>
          </cell>
          <cell r="DR83">
            <v>118.1</v>
          </cell>
          <cell r="DS83">
            <v>116.3</v>
          </cell>
          <cell r="DT83">
            <v>115.8</v>
          </cell>
          <cell r="DU83">
            <v>115.8</v>
          </cell>
          <cell r="DV83">
            <v>115.1</v>
          </cell>
          <cell r="DW83">
            <v>115.8</v>
          </cell>
          <cell r="DX83">
            <v>115.1</v>
          </cell>
          <cell r="DY83">
            <v>115.8</v>
          </cell>
          <cell r="EM83">
            <v>882.4</v>
          </cell>
          <cell r="EN83">
            <v>942.3</v>
          </cell>
          <cell r="EO83">
            <v>1222.4999999999998</v>
          </cell>
          <cell r="EP83">
            <v>1316.2000000000003</v>
          </cell>
          <cell r="EQ83">
            <v>1078.3</v>
          </cell>
          <cell r="ER83">
            <v>1258.2</v>
          </cell>
          <cell r="ES83">
            <v>1296.3</v>
          </cell>
        </row>
        <row r="84">
          <cell r="F84" t="str">
            <v>487</v>
          </cell>
          <cell r="G84">
            <v>487</v>
          </cell>
          <cell r="J84">
            <v>87.2</v>
          </cell>
          <cell r="K84">
            <v>96.3</v>
          </cell>
          <cell r="L84">
            <v>92.1</v>
          </cell>
          <cell r="M84">
            <v>89.2</v>
          </cell>
          <cell r="N84">
            <v>77.5</v>
          </cell>
          <cell r="O84">
            <v>61.4</v>
          </cell>
          <cell r="P84">
            <v>83</v>
          </cell>
          <cell r="Q84">
            <v>63.7</v>
          </cell>
          <cell r="R84">
            <v>66.900000000000006</v>
          </cell>
          <cell r="S84">
            <v>65.900000000000006</v>
          </cell>
          <cell r="T84">
            <v>55.4</v>
          </cell>
          <cell r="U84">
            <v>84.6</v>
          </cell>
          <cell r="V84">
            <v>87.4</v>
          </cell>
          <cell r="W84">
            <v>89.2</v>
          </cell>
          <cell r="X84">
            <v>84.7</v>
          </cell>
          <cell r="Y84">
            <v>80.400000000000006</v>
          </cell>
          <cell r="Z84">
            <v>72.900000000000006</v>
          </cell>
          <cell r="AA84">
            <v>62</v>
          </cell>
          <cell r="AB84">
            <v>67.400000000000006</v>
          </cell>
          <cell r="AC84">
            <v>65.5</v>
          </cell>
          <cell r="AD84">
            <v>64.5</v>
          </cell>
          <cell r="AE84">
            <v>67.599999999999994</v>
          </cell>
          <cell r="AF84">
            <v>55.5</v>
          </cell>
          <cell r="AG84">
            <v>85.3</v>
          </cell>
          <cell r="AH84">
            <v>83.4</v>
          </cell>
          <cell r="AI84">
            <v>83.2</v>
          </cell>
          <cell r="AJ84">
            <v>101.9</v>
          </cell>
          <cell r="AK84">
            <v>82.9</v>
          </cell>
          <cell r="AL84">
            <v>74.400000000000006</v>
          </cell>
          <cell r="AM84">
            <v>88.3</v>
          </cell>
          <cell r="AN84">
            <v>71.599999999999994</v>
          </cell>
          <cell r="AO84">
            <v>67.2</v>
          </cell>
          <cell r="AP84">
            <v>66.8</v>
          </cell>
          <cell r="AQ84">
            <v>72.3</v>
          </cell>
          <cell r="AR84">
            <v>72.7</v>
          </cell>
          <cell r="AS84">
            <v>77.599999999999994</v>
          </cell>
          <cell r="AT84">
            <v>59.3</v>
          </cell>
          <cell r="AU84">
            <v>151.30000000000001</v>
          </cell>
          <cell r="AV84">
            <v>128.9</v>
          </cell>
          <cell r="AW84">
            <v>124.3</v>
          </cell>
          <cell r="AX84">
            <v>124.5</v>
          </cell>
          <cell r="AY84">
            <v>113.3</v>
          </cell>
          <cell r="AZ84">
            <v>96.8</v>
          </cell>
          <cell r="BA84">
            <v>85.4</v>
          </cell>
          <cell r="BB84">
            <v>58.1</v>
          </cell>
          <cell r="BC84">
            <v>87.6</v>
          </cell>
          <cell r="BD84">
            <v>92.3</v>
          </cell>
          <cell r="BE84">
            <v>100.7</v>
          </cell>
          <cell r="BF84">
            <v>136.9</v>
          </cell>
          <cell r="BG84">
            <v>152.4</v>
          </cell>
          <cell r="BH84">
            <v>135.30000000000001</v>
          </cell>
          <cell r="BI84">
            <v>120.4</v>
          </cell>
          <cell r="BJ84">
            <v>107.5</v>
          </cell>
          <cell r="BK84">
            <v>108.2</v>
          </cell>
          <cell r="BL84">
            <v>81</v>
          </cell>
          <cell r="BM84">
            <v>93.1</v>
          </cell>
          <cell r="BN84">
            <v>93.8</v>
          </cell>
          <cell r="BO84">
            <v>92.9</v>
          </cell>
          <cell r="BP84">
            <v>92.3</v>
          </cell>
          <cell r="BQ84">
            <v>102.4</v>
          </cell>
          <cell r="BR84">
            <v>122.5</v>
          </cell>
          <cell r="BS84">
            <v>104.7</v>
          </cell>
          <cell r="BT84">
            <v>101.2</v>
          </cell>
          <cell r="BU84">
            <v>90.2</v>
          </cell>
          <cell r="BV84">
            <v>95.4</v>
          </cell>
          <cell r="BW84">
            <v>81.8</v>
          </cell>
          <cell r="BX84">
            <v>79.099999999999994</v>
          </cell>
          <cell r="BY84">
            <v>82.6</v>
          </cell>
          <cell r="BZ84">
            <v>80.2</v>
          </cell>
          <cell r="CA84">
            <v>78.8</v>
          </cell>
          <cell r="CB84">
            <v>75.7</v>
          </cell>
          <cell r="CC84">
            <v>86.1</v>
          </cell>
          <cell r="CD84">
            <v>109.4</v>
          </cell>
          <cell r="CE84">
            <v>96.2</v>
          </cell>
          <cell r="CF84">
            <v>95.2</v>
          </cell>
          <cell r="CG84">
            <v>125.2</v>
          </cell>
          <cell r="CH84">
            <v>125.4</v>
          </cell>
          <cell r="CI84">
            <v>118.2</v>
          </cell>
          <cell r="CJ84">
            <v>111.3</v>
          </cell>
          <cell r="CK84">
            <v>107.1</v>
          </cell>
          <cell r="CL84">
            <v>77.099999999999994</v>
          </cell>
          <cell r="CM84">
            <v>100</v>
          </cell>
          <cell r="CN84">
            <v>96.4</v>
          </cell>
          <cell r="CO84">
            <v>96.7</v>
          </cell>
          <cell r="CP84">
            <v>119.2</v>
          </cell>
          <cell r="CQ84">
            <v>130.6</v>
          </cell>
          <cell r="CR84">
            <v>133.30000000000001</v>
          </cell>
          <cell r="CS84">
            <v>103.6</v>
          </cell>
          <cell r="CT84">
            <v>116.8</v>
          </cell>
          <cell r="CU84">
            <v>114.3</v>
          </cell>
          <cell r="CV84">
            <v>88.3</v>
          </cell>
          <cell r="CW84">
            <v>97.5</v>
          </cell>
          <cell r="CX84">
            <v>98.5</v>
          </cell>
          <cell r="CY84">
            <v>86.1</v>
          </cell>
          <cell r="CZ84">
            <v>95.4</v>
          </cell>
          <cell r="DA84">
            <v>112.7</v>
          </cell>
          <cell r="DB84">
            <v>129.69999999999999</v>
          </cell>
          <cell r="DC84">
            <v>126.9</v>
          </cell>
          <cell r="DD84">
            <v>129.69999999999999</v>
          </cell>
          <cell r="DE84">
            <v>110.7</v>
          </cell>
          <cell r="DF84">
            <v>113.6</v>
          </cell>
          <cell r="DG84">
            <v>112.8</v>
          </cell>
          <cell r="DH84">
            <v>108.1</v>
          </cell>
          <cell r="DI84">
            <v>105.9</v>
          </cell>
          <cell r="DJ84">
            <v>117.8</v>
          </cell>
          <cell r="DK84">
            <v>111.4</v>
          </cell>
          <cell r="DL84">
            <v>118.9</v>
          </cell>
          <cell r="DM84">
            <v>118.4</v>
          </cell>
          <cell r="DN84">
            <v>119</v>
          </cell>
          <cell r="DO84">
            <v>118.2</v>
          </cell>
          <cell r="DP84">
            <v>121.5</v>
          </cell>
          <cell r="DQ84">
            <v>119.7</v>
          </cell>
          <cell r="DR84">
            <v>118.1</v>
          </cell>
          <cell r="DS84">
            <v>116.3</v>
          </cell>
          <cell r="DT84">
            <v>115.8</v>
          </cell>
          <cell r="DU84">
            <v>115.8</v>
          </cell>
          <cell r="DV84">
            <v>115.1</v>
          </cell>
          <cell r="DW84">
            <v>115.8</v>
          </cell>
          <cell r="DX84">
            <v>115.1</v>
          </cell>
          <cell r="DY84">
            <v>115.8</v>
          </cell>
          <cell r="EM84">
            <v>882.4</v>
          </cell>
          <cell r="EN84">
            <v>942.3</v>
          </cell>
          <cell r="EO84">
            <v>1222.4999999999998</v>
          </cell>
          <cell r="EP84">
            <v>1316.2000000000003</v>
          </cell>
          <cell r="EQ84">
            <v>1078.3</v>
          </cell>
          <cell r="ER84">
            <v>1258.2</v>
          </cell>
          <cell r="ES84">
            <v>1296.3</v>
          </cell>
        </row>
        <row r="85">
          <cell r="A85" t="str">
            <v>Misc Operating Revenues (excl Clause &amp; gr/ff)</v>
          </cell>
          <cell r="B85" t="str">
            <v>Operating Revenue</v>
          </cell>
          <cell r="D85" t="str">
            <v>Miscellaneous Service Revenues</v>
          </cell>
          <cell r="E85" t="str">
            <v>Operating Revenue</v>
          </cell>
          <cell r="F85" t="str">
            <v>4880101</v>
          </cell>
          <cell r="G85" t="str">
            <v>A_4880101</v>
          </cell>
          <cell r="H85" t="str">
            <v>Misc Svc Rev - Residential Connect/Reconnect</v>
          </cell>
          <cell r="J85">
            <v>168.1</v>
          </cell>
          <cell r="K85">
            <v>178.9</v>
          </cell>
          <cell r="L85">
            <v>161.1</v>
          </cell>
          <cell r="M85">
            <v>149.5</v>
          </cell>
          <cell r="N85">
            <v>133.9</v>
          </cell>
          <cell r="O85">
            <v>156.5</v>
          </cell>
          <cell r="P85">
            <v>156.80000000000001</v>
          </cell>
          <cell r="Q85">
            <v>156.6</v>
          </cell>
          <cell r="R85">
            <v>164</v>
          </cell>
          <cell r="S85">
            <v>184.1</v>
          </cell>
          <cell r="T85">
            <v>194.6</v>
          </cell>
          <cell r="U85">
            <v>167.5</v>
          </cell>
          <cell r="V85">
            <v>148.4</v>
          </cell>
          <cell r="W85">
            <v>172.3</v>
          </cell>
          <cell r="X85">
            <v>151.19999999999999</v>
          </cell>
          <cell r="Y85">
            <v>133.4</v>
          </cell>
          <cell r="Z85">
            <v>134.30000000000001</v>
          </cell>
          <cell r="AA85">
            <v>148</v>
          </cell>
          <cell r="AB85">
            <v>144.4</v>
          </cell>
          <cell r="AC85">
            <v>159.9</v>
          </cell>
          <cell r="AD85">
            <v>147.4</v>
          </cell>
          <cell r="AE85">
            <v>168.1</v>
          </cell>
          <cell r="AF85">
            <v>165.3</v>
          </cell>
          <cell r="AG85">
            <v>159.1</v>
          </cell>
          <cell r="AH85">
            <v>141</v>
          </cell>
          <cell r="AI85">
            <v>152.30000000000001</v>
          </cell>
          <cell r="AJ85">
            <v>144.9</v>
          </cell>
          <cell r="AK85">
            <v>126.8</v>
          </cell>
          <cell r="AL85">
            <v>140.30000000000001</v>
          </cell>
          <cell r="AM85">
            <v>139.4</v>
          </cell>
          <cell r="AN85">
            <v>147.6</v>
          </cell>
          <cell r="AO85">
            <v>152.80000000000001</v>
          </cell>
          <cell r="AP85">
            <v>142.30000000000001</v>
          </cell>
          <cell r="AQ85">
            <v>147.6</v>
          </cell>
          <cell r="AR85">
            <v>168.5</v>
          </cell>
          <cell r="AS85">
            <v>166.5</v>
          </cell>
          <cell r="AT85">
            <v>183.5</v>
          </cell>
          <cell r="AU85">
            <v>200.9</v>
          </cell>
          <cell r="AV85">
            <v>297</v>
          </cell>
          <cell r="AW85">
            <v>290.10000000000002</v>
          </cell>
          <cell r="AX85">
            <v>343.9</v>
          </cell>
          <cell r="AY85">
            <v>360.3</v>
          </cell>
          <cell r="AZ85">
            <v>312.5</v>
          </cell>
          <cell r="BA85">
            <v>339.3</v>
          </cell>
          <cell r="BB85">
            <v>212.1</v>
          </cell>
          <cell r="BC85">
            <v>304.10000000000002</v>
          </cell>
          <cell r="BD85">
            <v>305.8</v>
          </cell>
          <cell r="BE85">
            <v>288.2</v>
          </cell>
          <cell r="BF85">
            <v>293.5</v>
          </cell>
          <cell r="BG85">
            <v>300.3</v>
          </cell>
          <cell r="BH85">
            <v>357.3</v>
          </cell>
          <cell r="BI85">
            <v>326</v>
          </cell>
          <cell r="BJ85">
            <v>337.1</v>
          </cell>
          <cell r="BK85">
            <v>348.7</v>
          </cell>
          <cell r="BL85">
            <v>353.8</v>
          </cell>
          <cell r="BM85">
            <v>371.7</v>
          </cell>
          <cell r="BN85">
            <v>285.60000000000002</v>
          </cell>
          <cell r="BO85">
            <v>321.8</v>
          </cell>
          <cell r="BP85">
            <v>306.5</v>
          </cell>
          <cell r="BQ85">
            <v>287</v>
          </cell>
          <cell r="BR85">
            <v>363.1</v>
          </cell>
          <cell r="BS85">
            <v>346.7</v>
          </cell>
          <cell r="BT85">
            <v>377.1</v>
          </cell>
          <cell r="BU85">
            <v>347.3</v>
          </cell>
          <cell r="BV85">
            <v>352.3</v>
          </cell>
          <cell r="BW85">
            <v>248</v>
          </cell>
          <cell r="BX85">
            <v>261.8</v>
          </cell>
          <cell r="BY85">
            <v>269.60000000000002</v>
          </cell>
          <cell r="BZ85">
            <v>220.1</v>
          </cell>
          <cell r="CA85">
            <v>272.60000000000002</v>
          </cell>
          <cell r="CB85">
            <v>237.7</v>
          </cell>
          <cell r="CC85">
            <v>221</v>
          </cell>
          <cell r="CD85">
            <v>231.1</v>
          </cell>
          <cell r="CE85">
            <v>243.9</v>
          </cell>
          <cell r="CF85">
            <v>235.9</v>
          </cell>
          <cell r="CG85">
            <v>159.9</v>
          </cell>
          <cell r="CH85">
            <v>158.4</v>
          </cell>
          <cell r="CI85">
            <v>167.6</v>
          </cell>
          <cell r="CJ85">
            <v>172.1</v>
          </cell>
          <cell r="CK85">
            <v>166.4</v>
          </cell>
          <cell r="CL85">
            <v>182.9</v>
          </cell>
          <cell r="CM85">
            <v>216.9</v>
          </cell>
          <cell r="CN85">
            <v>179.7</v>
          </cell>
          <cell r="CO85">
            <v>209.4</v>
          </cell>
          <cell r="CP85">
            <v>250.4</v>
          </cell>
          <cell r="CQ85">
            <v>268.5</v>
          </cell>
          <cell r="CR85">
            <v>301.10000000000002</v>
          </cell>
          <cell r="CS85">
            <v>257.5</v>
          </cell>
          <cell r="CT85">
            <v>255.8</v>
          </cell>
          <cell r="CU85">
            <v>273</v>
          </cell>
          <cell r="CV85">
            <v>252.1</v>
          </cell>
          <cell r="CW85">
            <v>281.8</v>
          </cell>
          <cell r="CX85">
            <v>267.60000000000002</v>
          </cell>
          <cell r="CY85">
            <v>285.7</v>
          </cell>
          <cell r="CZ85">
            <v>290.39999999999998</v>
          </cell>
          <cell r="DA85">
            <v>247.7</v>
          </cell>
          <cell r="DB85">
            <v>259.8</v>
          </cell>
          <cell r="DC85">
            <v>304.5</v>
          </cell>
          <cell r="DD85">
            <v>333</v>
          </cell>
          <cell r="DE85">
            <v>304.89999999999998</v>
          </cell>
          <cell r="DF85">
            <v>285.8</v>
          </cell>
          <cell r="DG85">
            <v>335.5</v>
          </cell>
          <cell r="DH85">
            <v>305.60000000000002</v>
          </cell>
          <cell r="DI85">
            <v>331.9</v>
          </cell>
          <cell r="DJ85">
            <v>288.39999999999998</v>
          </cell>
          <cell r="DK85">
            <v>341.1</v>
          </cell>
          <cell r="DL85">
            <v>344.3</v>
          </cell>
          <cell r="DM85">
            <v>288.2</v>
          </cell>
          <cell r="DN85">
            <v>260.60000000000002</v>
          </cell>
          <cell r="DO85">
            <v>305.7</v>
          </cell>
          <cell r="DP85">
            <v>332.9</v>
          </cell>
          <cell r="DQ85">
            <v>302.7</v>
          </cell>
          <cell r="DR85">
            <v>288.7</v>
          </cell>
          <cell r="DS85">
            <v>334.1</v>
          </cell>
          <cell r="DT85">
            <v>306.2</v>
          </cell>
          <cell r="DU85">
            <v>311</v>
          </cell>
          <cell r="DV85">
            <v>299.7</v>
          </cell>
          <cell r="DW85">
            <v>314.5</v>
          </cell>
          <cell r="DX85">
            <v>302.39999999999998</v>
          </cell>
          <cell r="DY85">
            <v>301.89999999999998</v>
          </cell>
          <cell r="EM85">
            <v>1831.8000000000002</v>
          </cell>
          <cell r="EN85">
            <v>1769.9999999999998</v>
          </cell>
          <cell r="EO85">
            <v>3437.7</v>
          </cell>
          <cell r="EP85">
            <v>3889.2999999999997</v>
          </cell>
          <cell r="EQ85">
            <v>3517.2999999999997</v>
          </cell>
          <cell r="ER85">
            <v>2324.2000000000003</v>
          </cell>
          <cell r="ES85">
            <v>3231.5999999999995</v>
          </cell>
        </row>
        <row r="86">
          <cell r="A86" t="str">
            <v>Misc Operating Revenues (excl Clause &amp; gr/ff)</v>
          </cell>
          <cell r="B86" t="str">
            <v>Operating Revenue</v>
          </cell>
          <cell r="D86" t="str">
            <v>Miscellaneous Service Revenues</v>
          </cell>
          <cell r="E86" t="str">
            <v>Operating Revenue</v>
          </cell>
          <cell r="F86" t="str">
            <v>4880102</v>
          </cell>
          <cell r="G86" t="str">
            <v>A_4880102</v>
          </cell>
          <cell r="H86" t="str">
            <v>Misc Svc Rev - Commercial Connect/Reconnect</v>
          </cell>
          <cell r="J86">
            <v>17.5</v>
          </cell>
          <cell r="K86">
            <v>15.9</v>
          </cell>
          <cell r="L86">
            <v>14.6</v>
          </cell>
          <cell r="M86">
            <v>17.7</v>
          </cell>
          <cell r="N86">
            <v>14.3</v>
          </cell>
          <cell r="O86">
            <v>17</v>
          </cell>
          <cell r="P86">
            <v>13.4</v>
          </cell>
          <cell r="Q86">
            <v>16.100000000000001</v>
          </cell>
          <cell r="R86">
            <v>18.2</v>
          </cell>
          <cell r="S86">
            <v>19</v>
          </cell>
          <cell r="T86">
            <v>21.1</v>
          </cell>
          <cell r="U86">
            <v>14.7</v>
          </cell>
          <cell r="V86">
            <v>14</v>
          </cell>
          <cell r="W86">
            <v>15.9</v>
          </cell>
          <cell r="X86">
            <v>13</v>
          </cell>
          <cell r="Y86">
            <v>12.4</v>
          </cell>
          <cell r="Z86">
            <v>13.2</v>
          </cell>
          <cell r="AA86">
            <v>12.8</v>
          </cell>
          <cell r="AB86">
            <v>14.2</v>
          </cell>
          <cell r="AC86">
            <v>13.9</v>
          </cell>
          <cell r="AD86">
            <v>14.9</v>
          </cell>
          <cell r="AE86">
            <v>17.899999999999999</v>
          </cell>
          <cell r="AF86">
            <v>16.899999999999999</v>
          </cell>
          <cell r="AG86">
            <v>14.2</v>
          </cell>
          <cell r="AH86">
            <v>14.6</v>
          </cell>
          <cell r="AI86">
            <v>14.2</v>
          </cell>
          <cell r="AJ86">
            <v>12.7</v>
          </cell>
          <cell r="AK86">
            <v>12.3</v>
          </cell>
          <cell r="AL86">
            <v>13.9</v>
          </cell>
          <cell r="AM86">
            <v>15.2</v>
          </cell>
          <cell r="AN86">
            <v>14.3</v>
          </cell>
          <cell r="AO86">
            <v>14.1</v>
          </cell>
          <cell r="AP86">
            <v>12.4</v>
          </cell>
          <cell r="AQ86">
            <v>15.9</v>
          </cell>
          <cell r="AR86">
            <v>17.7</v>
          </cell>
          <cell r="AS86">
            <v>16.8</v>
          </cell>
          <cell r="AT86">
            <v>13.2</v>
          </cell>
          <cell r="AU86">
            <v>15.8</v>
          </cell>
          <cell r="AV86">
            <v>27.3</v>
          </cell>
          <cell r="AW86">
            <v>23.6</v>
          </cell>
          <cell r="AX86">
            <v>24.9</v>
          </cell>
          <cell r="AY86">
            <v>28.9</v>
          </cell>
          <cell r="AZ86">
            <v>24.2</v>
          </cell>
          <cell r="BA86">
            <v>29.3</v>
          </cell>
          <cell r="BB86">
            <v>12.8</v>
          </cell>
          <cell r="BC86">
            <v>27.7</v>
          </cell>
          <cell r="BD86">
            <v>19</v>
          </cell>
          <cell r="BE86">
            <v>21</v>
          </cell>
          <cell r="BF86">
            <v>31.6</v>
          </cell>
          <cell r="BG86">
            <v>20.8</v>
          </cell>
          <cell r="BH86">
            <v>28.2</v>
          </cell>
          <cell r="BI86">
            <v>27.9</v>
          </cell>
          <cell r="BJ86">
            <v>23.7</v>
          </cell>
          <cell r="BK86">
            <v>22.8</v>
          </cell>
          <cell r="BL86">
            <v>24.4</v>
          </cell>
          <cell r="BM86">
            <v>26</v>
          </cell>
          <cell r="BN86">
            <v>22.7</v>
          </cell>
          <cell r="BO86">
            <v>25.8</v>
          </cell>
          <cell r="BP86">
            <v>22.8</v>
          </cell>
          <cell r="BQ86">
            <v>23.8</v>
          </cell>
          <cell r="BR86">
            <v>61.2</v>
          </cell>
          <cell r="BS86">
            <v>40.4</v>
          </cell>
          <cell r="BT86">
            <v>43.4</v>
          </cell>
          <cell r="BU86">
            <v>38.299999999999997</v>
          </cell>
          <cell r="BV86">
            <v>34.6</v>
          </cell>
          <cell r="BW86">
            <v>26.2</v>
          </cell>
          <cell r="BX86">
            <v>24.4</v>
          </cell>
          <cell r="BY86">
            <v>26</v>
          </cell>
          <cell r="BZ86">
            <v>25.7</v>
          </cell>
          <cell r="CA86">
            <v>31</v>
          </cell>
          <cell r="CB86">
            <v>29.6</v>
          </cell>
          <cell r="CC86">
            <v>24.5</v>
          </cell>
          <cell r="CD86">
            <v>22.4</v>
          </cell>
          <cell r="CE86">
            <v>24.2</v>
          </cell>
          <cell r="CF86">
            <v>17.3</v>
          </cell>
          <cell r="CG86">
            <v>10.4</v>
          </cell>
          <cell r="CH86">
            <v>16.600000000000001</v>
          </cell>
          <cell r="CI86">
            <v>16.7</v>
          </cell>
          <cell r="CJ86">
            <v>14.1</v>
          </cell>
          <cell r="CK86">
            <v>15.2</v>
          </cell>
          <cell r="CL86">
            <v>20.6</v>
          </cell>
          <cell r="CM86">
            <v>30.9</v>
          </cell>
          <cell r="CN86">
            <v>24.5</v>
          </cell>
          <cell r="CO86">
            <v>23.6</v>
          </cell>
          <cell r="CP86">
            <v>25.5</v>
          </cell>
          <cell r="CQ86">
            <v>23</v>
          </cell>
          <cell r="CR86">
            <v>28.9</v>
          </cell>
          <cell r="CS86">
            <v>19.2</v>
          </cell>
          <cell r="CT86">
            <v>23</v>
          </cell>
          <cell r="CU86">
            <v>29.9</v>
          </cell>
          <cell r="CV86">
            <v>25.2</v>
          </cell>
          <cell r="CW86">
            <v>28.7</v>
          </cell>
          <cell r="CX86">
            <v>28.6</v>
          </cell>
          <cell r="CY86">
            <v>28.8</v>
          </cell>
          <cell r="CZ86">
            <v>23.4</v>
          </cell>
          <cell r="DA86">
            <v>23.4</v>
          </cell>
          <cell r="DB86">
            <v>22.7</v>
          </cell>
          <cell r="DC86">
            <v>24.4</v>
          </cell>
          <cell r="DD86">
            <v>29.8</v>
          </cell>
          <cell r="DE86">
            <v>29.2</v>
          </cell>
          <cell r="DF86">
            <v>27.2</v>
          </cell>
          <cell r="DG86">
            <v>25.7</v>
          </cell>
          <cell r="DH86">
            <v>20.100000000000001</v>
          </cell>
          <cell r="DI86">
            <v>24.6</v>
          </cell>
          <cell r="DJ86">
            <v>23.6</v>
          </cell>
          <cell r="DK86">
            <v>25.9</v>
          </cell>
          <cell r="DL86">
            <v>28.6</v>
          </cell>
          <cell r="DM86">
            <v>21.3</v>
          </cell>
          <cell r="DN86">
            <v>24.1</v>
          </cell>
          <cell r="DO86">
            <v>23.7</v>
          </cell>
          <cell r="DP86">
            <v>29.3</v>
          </cell>
          <cell r="DQ86">
            <v>24.2</v>
          </cell>
          <cell r="DR86">
            <v>25.1</v>
          </cell>
          <cell r="DS86">
            <v>27.9</v>
          </cell>
          <cell r="DT86">
            <v>22.7</v>
          </cell>
          <cell r="DU86">
            <v>28.7</v>
          </cell>
          <cell r="DV86">
            <v>28.7</v>
          </cell>
          <cell r="DW86">
            <v>28.9</v>
          </cell>
          <cell r="DX86">
            <v>23.4</v>
          </cell>
          <cell r="DY86">
            <v>23.5</v>
          </cell>
          <cell r="EM86">
            <v>173.3</v>
          </cell>
          <cell r="EN86">
            <v>174.1</v>
          </cell>
          <cell r="EO86">
            <v>267.70000000000005</v>
          </cell>
          <cell r="EP86">
            <v>300.5</v>
          </cell>
          <cell r="EQ86">
            <v>405.3</v>
          </cell>
          <cell r="ER86">
            <v>236.5</v>
          </cell>
          <cell r="ES86">
            <v>307.59999999999991</v>
          </cell>
        </row>
        <row r="87">
          <cell r="A87" t="str">
            <v>Misc Operating Revenues (excl Clause &amp; gr/ff)</v>
          </cell>
          <cell r="B87" t="str">
            <v>Operating Revenue</v>
          </cell>
          <cell r="D87" t="str">
            <v>Miscellaneous Service Revenues</v>
          </cell>
          <cell r="E87" t="str">
            <v>Operating Revenue</v>
          </cell>
          <cell r="F87" t="str">
            <v>4880103</v>
          </cell>
          <cell r="G87" t="str">
            <v>A_4880103</v>
          </cell>
          <cell r="H87" t="str">
            <v>Misc Svc Rev - Change Out</v>
          </cell>
          <cell r="J87">
            <v>55</v>
          </cell>
          <cell r="K87">
            <v>58.6</v>
          </cell>
          <cell r="L87">
            <v>68</v>
          </cell>
          <cell r="M87">
            <v>67.900000000000006</v>
          </cell>
          <cell r="N87">
            <v>66.599999999999994</v>
          </cell>
          <cell r="O87">
            <v>78</v>
          </cell>
          <cell r="P87">
            <v>77</v>
          </cell>
          <cell r="Q87">
            <v>72.099999999999994</v>
          </cell>
          <cell r="R87">
            <v>70</v>
          </cell>
          <cell r="S87">
            <v>75.3</v>
          </cell>
          <cell r="T87">
            <v>60.7</v>
          </cell>
          <cell r="U87">
            <v>65.7</v>
          </cell>
          <cell r="V87">
            <v>54.3</v>
          </cell>
          <cell r="W87">
            <v>62.7</v>
          </cell>
          <cell r="X87">
            <v>74.7</v>
          </cell>
          <cell r="Y87">
            <v>70.400000000000006</v>
          </cell>
          <cell r="Z87">
            <v>82.7</v>
          </cell>
          <cell r="AA87">
            <v>89.9</v>
          </cell>
          <cell r="AB87">
            <v>82.8</v>
          </cell>
          <cell r="AC87">
            <v>85.6</v>
          </cell>
          <cell r="AD87">
            <v>72.5</v>
          </cell>
          <cell r="AE87">
            <v>67.5</v>
          </cell>
          <cell r="AF87">
            <v>67.599999999999994</v>
          </cell>
          <cell r="AG87">
            <v>70.8</v>
          </cell>
          <cell r="AH87">
            <v>58</v>
          </cell>
          <cell r="AI87">
            <v>68.7</v>
          </cell>
          <cell r="AJ87">
            <v>87.1</v>
          </cell>
          <cell r="AK87">
            <v>79.5</v>
          </cell>
          <cell r="AL87">
            <v>89.2</v>
          </cell>
          <cell r="AM87">
            <v>90.2</v>
          </cell>
          <cell r="AN87">
            <v>98.4</v>
          </cell>
          <cell r="AO87">
            <v>84.3</v>
          </cell>
          <cell r="AP87">
            <v>80.5</v>
          </cell>
          <cell r="AQ87">
            <v>75.7</v>
          </cell>
          <cell r="AR87">
            <v>77.7</v>
          </cell>
          <cell r="AS87">
            <v>71.5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29.7</v>
          </cell>
          <cell r="BQ87">
            <v>-0.2</v>
          </cell>
          <cell r="BR87">
            <v>-0.1</v>
          </cell>
          <cell r="BS87">
            <v>0</v>
          </cell>
          <cell r="BT87">
            <v>0</v>
          </cell>
          <cell r="BU87">
            <v>0</v>
          </cell>
          <cell r="BV87">
            <v>18.399999999999999</v>
          </cell>
          <cell r="BW87">
            <v>100.1</v>
          </cell>
          <cell r="BX87">
            <v>105.9</v>
          </cell>
          <cell r="BY87">
            <v>104.4</v>
          </cell>
          <cell r="BZ87">
            <v>80.400000000000006</v>
          </cell>
          <cell r="CA87">
            <v>89.5</v>
          </cell>
          <cell r="CB87">
            <v>82.3</v>
          </cell>
          <cell r="CC87">
            <v>94.4</v>
          </cell>
          <cell r="CD87">
            <v>80</v>
          </cell>
          <cell r="CE87">
            <v>78.5</v>
          </cell>
          <cell r="CF87">
            <v>95.1</v>
          </cell>
          <cell r="CG87">
            <v>85.3</v>
          </cell>
          <cell r="CH87">
            <v>88.3</v>
          </cell>
          <cell r="CI87">
            <v>116.3</v>
          </cell>
          <cell r="CJ87">
            <v>141.30000000000001</v>
          </cell>
          <cell r="CK87">
            <v>125.3</v>
          </cell>
          <cell r="CL87">
            <v>121.1</v>
          </cell>
          <cell r="CM87">
            <v>124.8</v>
          </cell>
          <cell r="CN87">
            <v>110.8</v>
          </cell>
          <cell r="CO87">
            <v>132.19999999999999</v>
          </cell>
          <cell r="CP87">
            <v>79.900000000000006</v>
          </cell>
          <cell r="CQ87">
            <v>91</v>
          </cell>
          <cell r="CR87">
            <v>113.4</v>
          </cell>
          <cell r="CS87">
            <v>118.9</v>
          </cell>
          <cell r="CT87">
            <v>115.2</v>
          </cell>
          <cell r="CU87">
            <v>128.19999999999999</v>
          </cell>
          <cell r="CV87">
            <v>105.2</v>
          </cell>
          <cell r="CW87">
            <v>110.8</v>
          </cell>
          <cell r="CX87">
            <v>95.8</v>
          </cell>
          <cell r="CY87">
            <v>99.8</v>
          </cell>
          <cell r="CZ87">
            <v>97.4</v>
          </cell>
          <cell r="DA87">
            <v>110.6</v>
          </cell>
          <cell r="DB87">
            <v>91.4</v>
          </cell>
          <cell r="DC87">
            <v>90</v>
          </cell>
          <cell r="DD87">
            <v>108.2</v>
          </cell>
          <cell r="DE87">
            <v>111</v>
          </cell>
          <cell r="DF87">
            <v>114.6</v>
          </cell>
          <cell r="DG87">
            <v>118.8</v>
          </cell>
          <cell r="DH87">
            <v>113.7</v>
          </cell>
          <cell r="DI87">
            <v>108.3</v>
          </cell>
          <cell r="DJ87">
            <v>91.8</v>
          </cell>
          <cell r="DK87">
            <v>87.3</v>
          </cell>
          <cell r="DL87">
            <v>85.8</v>
          </cell>
          <cell r="DM87">
            <v>104.2</v>
          </cell>
          <cell r="DN87">
            <v>85.6</v>
          </cell>
          <cell r="DO87">
            <v>90.5</v>
          </cell>
          <cell r="DP87">
            <v>110.8</v>
          </cell>
          <cell r="DQ87">
            <v>114.9</v>
          </cell>
          <cell r="DR87">
            <v>114.9</v>
          </cell>
          <cell r="DS87">
            <v>123.5</v>
          </cell>
          <cell r="DT87">
            <v>109.5</v>
          </cell>
          <cell r="DU87">
            <v>110.8</v>
          </cell>
          <cell r="DV87">
            <v>95.8</v>
          </cell>
          <cell r="DW87">
            <v>99.8</v>
          </cell>
          <cell r="DX87">
            <v>97.4</v>
          </cell>
          <cell r="DY87">
            <v>110.6</v>
          </cell>
          <cell r="EM87">
            <v>881.5</v>
          </cell>
          <cell r="EN87">
            <v>960.80000000000007</v>
          </cell>
          <cell r="EO87">
            <v>0</v>
          </cell>
          <cell r="EP87">
            <v>29.5</v>
          </cell>
          <cell r="EQ87">
            <v>675.3</v>
          </cell>
          <cell r="ER87">
            <v>1299</v>
          </cell>
          <cell r="ES87">
            <v>1266.2</v>
          </cell>
        </row>
        <row r="88">
          <cell r="A88" t="str">
            <v>Misc Operating Revenues (excl Clause &amp; gr/ff)</v>
          </cell>
          <cell r="B88" t="str">
            <v>Operating Revenue</v>
          </cell>
          <cell r="D88" t="str">
            <v>Miscellaneous Service Revenues</v>
          </cell>
          <cell r="E88" t="str">
            <v>Operating Revenue</v>
          </cell>
          <cell r="F88" t="str">
            <v>4880104</v>
          </cell>
          <cell r="G88" t="str">
            <v>A_4880104</v>
          </cell>
          <cell r="H88" t="str">
            <v>Misc Svc Rev - Trip Charge</v>
          </cell>
          <cell r="J88">
            <v>109.1</v>
          </cell>
          <cell r="K88">
            <v>148.30000000000001</v>
          </cell>
          <cell r="L88">
            <v>154.80000000000001</v>
          </cell>
          <cell r="M88">
            <v>121</v>
          </cell>
          <cell r="N88">
            <v>131.6</v>
          </cell>
          <cell r="O88">
            <v>140.1</v>
          </cell>
          <cell r="P88">
            <v>105.7</v>
          </cell>
          <cell r="Q88">
            <v>114</v>
          </cell>
          <cell r="R88">
            <v>114</v>
          </cell>
          <cell r="S88">
            <v>107.7</v>
          </cell>
          <cell r="T88">
            <v>78.099999999999994</v>
          </cell>
          <cell r="U88">
            <v>80.400000000000006</v>
          </cell>
          <cell r="V88">
            <v>133.19999999999999</v>
          </cell>
          <cell r="W88">
            <v>127.7</v>
          </cell>
          <cell r="X88">
            <v>116.2</v>
          </cell>
          <cell r="Y88">
            <v>116.2</v>
          </cell>
          <cell r="Z88">
            <v>125.2</v>
          </cell>
          <cell r="AA88">
            <v>102.5</v>
          </cell>
          <cell r="AB88">
            <v>102</v>
          </cell>
          <cell r="AC88">
            <v>95.9</v>
          </cell>
          <cell r="AD88">
            <v>81.3</v>
          </cell>
          <cell r="AE88">
            <v>93.5</v>
          </cell>
          <cell r="AF88">
            <v>79.400000000000006</v>
          </cell>
          <cell r="AG88">
            <v>65.8</v>
          </cell>
          <cell r="AH88">
            <v>80.5</v>
          </cell>
          <cell r="AI88">
            <v>78.7</v>
          </cell>
          <cell r="AJ88">
            <v>97.8</v>
          </cell>
          <cell r="AK88">
            <v>96.8</v>
          </cell>
          <cell r="AL88">
            <v>82.6</v>
          </cell>
          <cell r="AM88">
            <v>80.8</v>
          </cell>
          <cell r="AN88">
            <v>84.1</v>
          </cell>
          <cell r="AO88">
            <v>87.1</v>
          </cell>
          <cell r="AP88">
            <v>71.7</v>
          </cell>
          <cell r="AQ88">
            <v>71.2</v>
          </cell>
          <cell r="AR88">
            <v>76.900000000000006</v>
          </cell>
          <cell r="AS88">
            <v>39.6</v>
          </cell>
          <cell r="AT88">
            <v>0</v>
          </cell>
          <cell r="AU88">
            <v>0</v>
          </cell>
          <cell r="AV88">
            <v>1.5</v>
          </cell>
          <cell r="AW88">
            <v>2</v>
          </cell>
          <cell r="AX88">
            <v>5</v>
          </cell>
          <cell r="AY88">
            <v>6.3</v>
          </cell>
          <cell r="AZ88">
            <v>4.2</v>
          </cell>
          <cell r="BA88">
            <v>6.3</v>
          </cell>
          <cell r="BB88">
            <v>0.4</v>
          </cell>
          <cell r="BC88">
            <v>2.7</v>
          </cell>
          <cell r="BD88">
            <v>1.2</v>
          </cell>
          <cell r="BE88">
            <v>0.8</v>
          </cell>
          <cell r="BF88">
            <v>2.8</v>
          </cell>
          <cell r="BG88">
            <v>2.6</v>
          </cell>
          <cell r="BH88">
            <v>3.4</v>
          </cell>
          <cell r="BI88">
            <v>2.9</v>
          </cell>
          <cell r="BJ88">
            <v>3.8</v>
          </cell>
          <cell r="BK88">
            <v>3.8</v>
          </cell>
          <cell r="BL88">
            <v>2.9</v>
          </cell>
          <cell r="BM88">
            <v>2.6</v>
          </cell>
          <cell r="BN88">
            <v>3.3</v>
          </cell>
          <cell r="BO88">
            <v>2.6</v>
          </cell>
          <cell r="BP88">
            <v>1.3</v>
          </cell>
          <cell r="BQ88">
            <v>2.2000000000000002</v>
          </cell>
          <cell r="BR88">
            <v>8.1</v>
          </cell>
          <cell r="BS88">
            <v>9</v>
          </cell>
          <cell r="BT88">
            <v>6.5</v>
          </cell>
          <cell r="BU88">
            <v>6.6</v>
          </cell>
          <cell r="BV88">
            <v>6.7</v>
          </cell>
          <cell r="BW88">
            <v>4.5</v>
          </cell>
          <cell r="BX88">
            <v>2.2999999999999998</v>
          </cell>
          <cell r="BY88">
            <v>2.5</v>
          </cell>
          <cell r="BZ88">
            <v>2.4</v>
          </cell>
          <cell r="CA88">
            <v>4.4000000000000004</v>
          </cell>
          <cell r="CB88">
            <v>2.2999999999999998</v>
          </cell>
          <cell r="CC88">
            <v>3.7</v>
          </cell>
          <cell r="CD88">
            <v>2.8</v>
          </cell>
          <cell r="CE88">
            <v>6.3</v>
          </cell>
          <cell r="CF88">
            <v>1.4</v>
          </cell>
          <cell r="CG88">
            <v>-0.1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0.5</v>
          </cell>
          <cell r="CM88">
            <v>0.2</v>
          </cell>
          <cell r="CN88">
            <v>0.6</v>
          </cell>
          <cell r="CO88">
            <v>0.3</v>
          </cell>
          <cell r="CP88">
            <v>0.9</v>
          </cell>
          <cell r="CQ88">
            <v>1.1000000000000001</v>
          </cell>
          <cell r="CR88">
            <v>1.5</v>
          </cell>
          <cell r="CS88">
            <v>0.7</v>
          </cell>
          <cell r="CT88">
            <v>1.3</v>
          </cell>
          <cell r="CU88">
            <v>1.8</v>
          </cell>
          <cell r="CV88">
            <v>1.4</v>
          </cell>
          <cell r="CW88">
            <v>1.1000000000000001</v>
          </cell>
          <cell r="CX88">
            <v>1.8</v>
          </cell>
          <cell r="CY88">
            <v>2.2999999999999998</v>
          </cell>
          <cell r="CZ88">
            <v>1.7</v>
          </cell>
          <cell r="DA88">
            <v>1</v>
          </cell>
          <cell r="DB88">
            <v>2.2000000000000002</v>
          </cell>
          <cell r="DC88">
            <v>4</v>
          </cell>
          <cell r="DD88">
            <v>5.7</v>
          </cell>
          <cell r="DE88">
            <v>3.4</v>
          </cell>
          <cell r="DF88">
            <v>4.4000000000000004</v>
          </cell>
          <cell r="DG88">
            <v>4.0999999999999996</v>
          </cell>
          <cell r="DH88">
            <v>3</v>
          </cell>
          <cell r="DI88">
            <v>4.5999999999999996</v>
          </cell>
          <cell r="DJ88">
            <v>5.2</v>
          </cell>
          <cell r="DK88">
            <v>7.1</v>
          </cell>
          <cell r="DL88">
            <v>6.3</v>
          </cell>
          <cell r="DM88">
            <v>6.8</v>
          </cell>
          <cell r="DN88">
            <v>2.5</v>
          </cell>
          <cell r="DO88">
            <v>2.8</v>
          </cell>
          <cell r="DP88">
            <v>3.5</v>
          </cell>
          <cell r="DQ88">
            <v>2.7</v>
          </cell>
          <cell r="DR88">
            <v>2.8</v>
          </cell>
          <cell r="DS88">
            <v>2.7</v>
          </cell>
          <cell r="DT88">
            <v>2.5</v>
          </cell>
          <cell r="DU88">
            <v>2.2999999999999998</v>
          </cell>
          <cell r="DV88">
            <v>2.2000000000000002</v>
          </cell>
          <cell r="DW88">
            <v>2.6</v>
          </cell>
          <cell r="DX88">
            <v>2.4</v>
          </cell>
          <cell r="DY88">
            <v>2.2000000000000002</v>
          </cell>
          <cell r="EM88">
            <v>1238.8999999999999</v>
          </cell>
          <cell r="EN88">
            <v>947.80000000000007</v>
          </cell>
          <cell r="EO88">
            <v>30.4</v>
          </cell>
          <cell r="EP88">
            <v>34.200000000000003</v>
          </cell>
          <cell r="EQ88">
            <v>59</v>
          </cell>
          <cell r="ER88">
            <v>12</v>
          </cell>
          <cell r="ES88">
            <v>16.599999999999998</v>
          </cell>
        </row>
        <row r="89">
          <cell r="A89" t="str">
            <v>Misc Operating Revenues (excl Clause &amp; gr/ff)</v>
          </cell>
          <cell r="B89" t="str">
            <v>Operating Revenue</v>
          </cell>
          <cell r="D89" t="str">
            <v>Miscellaneous Service Revenues</v>
          </cell>
          <cell r="E89" t="str">
            <v>Operating Revenue</v>
          </cell>
          <cell r="F89" t="str">
            <v>4880105</v>
          </cell>
          <cell r="G89" t="str">
            <v>A_4880105</v>
          </cell>
          <cell r="H89" t="str">
            <v>Misc Svc Rev - NSF Fee</v>
          </cell>
          <cell r="J89">
            <v>18.8</v>
          </cell>
          <cell r="K89">
            <v>18.2</v>
          </cell>
          <cell r="L89">
            <v>15</v>
          </cell>
          <cell r="M89">
            <v>16.899999999999999</v>
          </cell>
          <cell r="N89">
            <v>16.2</v>
          </cell>
          <cell r="O89">
            <v>19</v>
          </cell>
          <cell r="P89">
            <v>17.5</v>
          </cell>
          <cell r="Q89">
            <v>19.100000000000001</v>
          </cell>
          <cell r="R89">
            <v>19.3</v>
          </cell>
          <cell r="S89">
            <v>19.2</v>
          </cell>
          <cell r="T89">
            <v>18.7</v>
          </cell>
          <cell r="U89">
            <v>20</v>
          </cell>
          <cell r="V89">
            <v>18.8</v>
          </cell>
          <cell r="W89">
            <v>18.7</v>
          </cell>
          <cell r="X89">
            <v>18.5</v>
          </cell>
          <cell r="Y89">
            <v>17.399999999999999</v>
          </cell>
          <cell r="Z89">
            <v>15.7</v>
          </cell>
          <cell r="AA89">
            <v>17.2</v>
          </cell>
          <cell r="AB89">
            <v>17.7</v>
          </cell>
          <cell r="AC89">
            <v>17.100000000000001</v>
          </cell>
          <cell r="AD89">
            <v>19.5</v>
          </cell>
          <cell r="AE89">
            <v>18.8</v>
          </cell>
          <cell r="AF89">
            <v>19.899999999999999</v>
          </cell>
          <cell r="AG89">
            <v>19.7</v>
          </cell>
          <cell r="AH89">
            <v>21.9</v>
          </cell>
          <cell r="AI89">
            <v>19.100000000000001</v>
          </cell>
          <cell r="AJ89">
            <v>18.8</v>
          </cell>
          <cell r="AK89">
            <v>16.7</v>
          </cell>
          <cell r="AL89">
            <v>17.5</v>
          </cell>
          <cell r="AM89">
            <v>20.2</v>
          </cell>
          <cell r="AN89">
            <v>17.899999999999999</v>
          </cell>
          <cell r="AO89">
            <v>20.7</v>
          </cell>
          <cell r="AP89">
            <v>20.399999999999999</v>
          </cell>
          <cell r="AQ89">
            <v>17.600000000000001</v>
          </cell>
          <cell r="AR89">
            <v>19.399999999999999</v>
          </cell>
          <cell r="AS89">
            <v>26.1</v>
          </cell>
          <cell r="AT89">
            <v>21.4</v>
          </cell>
          <cell r="AU89">
            <v>15</v>
          </cell>
          <cell r="AV89">
            <v>9.4</v>
          </cell>
          <cell r="AW89">
            <v>13.3</v>
          </cell>
          <cell r="AX89">
            <v>13.7</v>
          </cell>
          <cell r="AY89">
            <v>17.2</v>
          </cell>
          <cell r="AZ89">
            <v>16.100000000000001</v>
          </cell>
          <cell r="BA89">
            <v>14.9</v>
          </cell>
          <cell r="BB89">
            <v>11.9</v>
          </cell>
          <cell r="BC89">
            <v>15</v>
          </cell>
          <cell r="BD89">
            <v>17.100000000000001</v>
          </cell>
          <cell r="BE89">
            <v>7.2</v>
          </cell>
          <cell r="BF89">
            <v>16.5</v>
          </cell>
          <cell r="BG89">
            <v>15.8</v>
          </cell>
          <cell r="BH89">
            <v>16</v>
          </cell>
          <cell r="BI89">
            <v>13.4</v>
          </cell>
          <cell r="BJ89">
            <v>17.100000000000001</v>
          </cell>
          <cell r="BK89">
            <v>14.5</v>
          </cell>
          <cell r="BL89">
            <v>17.100000000000001</v>
          </cell>
          <cell r="BM89">
            <v>16.8</v>
          </cell>
          <cell r="BN89">
            <v>15</v>
          </cell>
          <cell r="BO89">
            <v>18.399999999999999</v>
          </cell>
          <cell r="BP89">
            <v>12.5</v>
          </cell>
          <cell r="BQ89">
            <v>15.1</v>
          </cell>
          <cell r="BR89">
            <v>18.600000000000001</v>
          </cell>
          <cell r="BS89">
            <v>17.100000000000001</v>
          </cell>
          <cell r="BT89">
            <v>12.9</v>
          </cell>
          <cell r="BU89">
            <v>12.8</v>
          </cell>
          <cell r="BV89">
            <v>15.6</v>
          </cell>
          <cell r="BW89">
            <v>15.7</v>
          </cell>
          <cell r="BX89">
            <v>18.899999999999999</v>
          </cell>
          <cell r="BY89">
            <v>15.2</v>
          </cell>
          <cell r="BZ89">
            <v>15.4</v>
          </cell>
          <cell r="CA89">
            <v>19.3</v>
          </cell>
          <cell r="CB89">
            <v>14.4</v>
          </cell>
          <cell r="CC89">
            <v>20.9</v>
          </cell>
          <cell r="CD89">
            <v>19.399999999999999</v>
          </cell>
          <cell r="CE89">
            <v>16.899999999999999</v>
          </cell>
          <cell r="CF89">
            <v>15.7</v>
          </cell>
          <cell r="CG89">
            <v>15</v>
          </cell>
          <cell r="CH89">
            <v>9.8000000000000007</v>
          </cell>
          <cell r="CI89">
            <v>9.1</v>
          </cell>
          <cell r="CJ89">
            <v>11.1</v>
          </cell>
          <cell r="CK89">
            <v>8.1999999999999993</v>
          </cell>
          <cell r="CL89">
            <v>11.2</v>
          </cell>
          <cell r="CM89">
            <v>13.9</v>
          </cell>
          <cell r="CN89">
            <v>14.1</v>
          </cell>
          <cell r="CO89">
            <v>16.7</v>
          </cell>
          <cell r="CP89">
            <v>13.3</v>
          </cell>
          <cell r="CQ89">
            <v>13.4</v>
          </cell>
          <cell r="CR89">
            <v>14.6</v>
          </cell>
          <cell r="CS89">
            <v>13.5</v>
          </cell>
          <cell r="CT89">
            <v>12.7</v>
          </cell>
          <cell r="CU89">
            <v>15.1</v>
          </cell>
          <cell r="CV89">
            <v>14.4</v>
          </cell>
          <cell r="CW89">
            <v>16.600000000000001</v>
          </cell>
          <cell r="CX89">
            <v>16.2</v>
          </cell>
          <cell r="CY89">
            <v>16.399999999999999</v>
          </cell>
          <cell r="CZ89">
            <v>17</v>
          </cell>
          <cell r="DA89">
            <v>19.399999999999999</v>
          </cell>
          <cell r="DB89">
            <v>21.4</v>
          </cell>
          <cell r="DC89">
            <v>23</v>
          </cell>
          <cell r="DD89">
            <v>21.5</v>
          </cell>
          <cell r="DE89">
            <v>26.2</v>
          </cell>
          <cell r="DF89">
            <v>19.8</v>
          </cell>
          <cell r="DG89">
            <v>23</v>
          </cell>
          <cell r="DH89">
            <v>24.8</v>
          </cell>
          <cell r="DI89">
            <v>21.8</v>
          </cell>
          <cell r="DJ89">
            <v>25.4</v>
          </cell>
          <cell r="DK89">
            <v>23.8</v>
          </cell>
          <cell r="DL89">
            <v>27.6</v>
          </cell>
          <cell r="DM89">
            <v>25.8</v>
          </cell>
          <cell r="DN89">
            <v>22.8</v>
          </cell>
          <cell r="DO89">
            <v>22.8</v>
          </cell>
          <cell r="DP89">
            <v>22.8</v>
          </cell>
          <cell r="DQ89">
            <v>22.8</v>
          </cell>
          <cell r="DR89">
            <v>22.8</v>
          </cell>
          <cell r="DS89">
            <v>22.8</v>
          </cell>
          <cell r="DT89">
            <v>22.8</v>
          </cell>
          <cell r="DU89">
            <v>22.8</v>
          </cell>
          <cell r="DV89">
            <v>22.8</v>
          </cell>
          <cell r="DW89">
            <v>22.8</v>
          </cell>
          <cell r="DX89">
            <v>22.8</v>
          </cell>
          <cell r="DY89">
            <v>22.8</v>
          </cell>
          <cell r="EM89">
            <v>219.00000000000003</v>
          </cell>
          <cell r="EN89">
            <v>236.29999999999998</v>
          </cell>
          <cell r="EO89">
            <v>172.2</v>
          </cell>
          <cell r="EP89">
            <v>188.2</v>
          </cell>
          <cell r="EQ89">
            <v>196.8</v>
          </cell>
          <cell r="ER89">
            <v>161.09999999999997</v>
          </cell>
          <cell r="ES89">
            <v>182.6</v>
          </cell>
        </row>
        <row r="90">
          <cell r="A90" t="str">
            <v>Misc Operating Revenues (excl Clause &amp; gr/ff)</v>
          </cell>
          <cell r="B90" t="str">
            <v>Operating Revenue</v>
          </cell>
          <cell r="D90" t="str">
            <v>Miscellaneous Service Revenues</v>
          </cell>
          <cell r="E90" t="str">
            <v>Operating Revenue</v>
          </cell>
          <cell r="F90" t="str">
            <v>4880106</v>
          </cell>
          <cell r="G90" t="str">
            <v>A_4880106</v>
          </cell>
          <cell r="H90" t="str">
            <v>Misc Svc Rev - Failed Trip Charge</v>
          </cell>
          <cell r="J90">
            <v>5.8</v>
          </cell>
          <cell r="K90">
            <v>7.5</v>
          </cell>
          <cell r="L90">
            <v>6.7</v>
          </cell>
          <cell r="M90">
            <v>5.7</v>
          </cell>
          <cell r="N90">
            <v>7.3</v>
          </cell>
          <cell r="O90">
            <v>8.3000000000000007</v>
          </cell>
          <cell r="P90">
            <v>7.4</v>
          </cell>
          <cell r="Q90">
            <v>8.4</v>
          </cell>
          <cell r="R90">
            <v>6.6</v>
          </cell>
          <cell r="S90">
            <v>8.1999999999999993</v>
          </cell>
          <cell r="T90">
            <v>6.2</v>
          </cell>
          <cell r="U90">
            <v>7.5</v>
          </cell>
          <cell r="V90">
            <v>6.2</v>
          </cell>
          <cell r="W90">
            <v>8.3000000000000007</v>
          </cell>
          <cell r="X90">
            <v>7.8</v>
          </cell>
          <cell r="Y90">
            <v>5.9</v>
          </cell>
          <cell r="Z90">
            <v>6.6</v>
          </cell>
          <cell r="AA90">
            <v>5.9</v>
          </cell>
          <cell r="AB90">
            <v>5.9</v>
          </cell>
          <cell r="AC90">
            <v>6.4</v>
          </cell>
          <cell r="AD90">
            <v>6.9</v>
          </cell>
          <cell r="AE90">
            <v>8</v>
          </cell>
          <cell r="AF90">
            <v>6.1</v>
          </cell>
          <cell r="AG90">
            <v>6</v>
          </cell>
          <cell r="AH90">
            <v>5.9</v>
          </cell>
          <cell r="AI90">
            <v>6.7</v>
          </cell>
          <cell r="AJ90">
            <v>6.9</v>
          </cell>
          <cell r="AK90">
            <v>6</v>
          </cell>
          <cell r="AL90">
            <v>6.2</v>
          </cell>
          <cell r="AM90">
            <v>7.2</v>
          </cell>
          <cell r="AN90">
            <v>5.6</v>
          </cell>
          <cell r="AO90">
            <v>7.7</v>
          </cell>
          <cell r="AP90">
            <v>6.4</v>
          </cell>
          <cell r="AQ90">
            <v>6.4</v>
          </cell>
          <cell r="AR90">
            <v>7.3</v>
          </cell>
          <cell r="AS90">
            <v>7</v>
          </cell>
          <cell r="AT90">
            <v>7.6</v>
          </cell>
          <cell r="AU90">
            <v>6.6</v>
          </cell>
          <cell r="AV90">
            <v>6.8</v>
          </cell>
          <cell r="AW90">
            <v>4.5999999999999996</v>
          </cell>
          <cell r="AX90">
            <v>6.5</v>
          </cell>
          <cell r="AY90">
            <v>5.7</v>
          </cell>
          <cell r="AZ90">
            <v>4.9000000000000004</v>
          </cell>
          <cell r="BA90">
            <v>6.3</v>
          </cell>
          <cell r="BB90">
            <v>5.5</v>
          </cell>
          <cell r="BC90">
            <v>5.3</v>
          </cell>
          <cell r="BD90">
            <v>4.5999999999999996</v>
          </cell>
          <cell r="BE90">
            <v>4.4000000000000004</v>
          </cell>
          <cell r="BF90">
            <v>4.8</v>
          </cell>
          <cell r="BG90">
            <v>5.9</v>
          </cell>
          <cell r="BH90">
            <v>6.7</v>
          </cell>
          <cell r="BI90">
            <v>6.1</v>
          </cell>
          <cell r="BJ90">
            <v>6</v>
          </cell>
          <cell r="BK90">
            <v>6.5</v>
          </cell>
          <cell r="BL90">
            <v>6.4</v>
          </cell>
          <cell r="BM90">
            <v>7.1</v>
          </cell>
          <cell r="BN90">
            <v>5.9</v>
          </cell>
          <cell r="BO90">
            <v>6.4</v>
          </cell>
          <cell r="BP90">
            <v>6.3</v>
          </cell>
          <cell r="BQ90">
            <v>5.0999999999999996</v>
          </cell>
          <cell r="BR90">
            <v>4.5999999999999996</v>
          </cell>
          <cell r="BS90">
            <v>5.3</v>
          </cell>
          <cell r="BT90">
            <v>6.5</v>
          </cell>
          <cell r="BU90">
            <v>6.3</v>
          </cell>
          <cell r="BV90">
            <v>6.8</v>
          </cell>
          <cell r="BW90">
            <v>5.3</v>
          </cell>
          <cell r="BX90">
            <v>7</v>
          </cell>
          <cell r="BY90">
            <v>6.8</v>
          </cell>
          <cell r="BZ90">
            <v>5.9</v>
          </cell>
          <cell r="CA90">
            <v>5.7</v>
          </cell>
          <cell r="CB90">
            <v>5.9</v>
          </cell>
          <cell r="CC90">
            <v>5.7</v>
          </cell>
          <cell r="CD90">
            <v>5.2</v>
          </cell>
          <cell r="CE90">
            <v>4.5999999999999996</v>
          </cell>
          <cell r="CF90">
            <v>5</v>
          </cell>
          <cell r="CG90">
            <v>2.2999999999999998</v>
          </cell>
          <cell r="CH90">
            <v>2.5</v>
          </cell>
          <cell r="CI90">
            <v>3.1</v>
          </cell>
          <cell r="CJ90">
            <v>3.3</v>
          </cell>
          <cell r="CK90">
            <v>2.7</v>
          </cell>
          <cell r="CL90">
            <v>3.2</v>
          </cell>
          <cell r="CM90">
            <v>3.4</v>
          </cell>
          <cell r="CN90">
            <v>3.3</v>
          </cell>
          <cell r="CO90">
            <v>3.3</v>
          </cell>
          <cell r="CP90">
            <v>2.6</v>
          </cell>
          <cell r="CQ90">
            <v>3.4</v>
          </cell>
          <cell r="CR90">
            <v>4.0999999999999996</v>
          </cell>
          <cell r="CS90">
            <v>4.8</v>
          </cell>
          <cell r="CT90">
            <v>3.7</v>
          </cell>
          <cell r="CU90">
            <v>4.3</v>
          </cell>
          <cell r="CV90">
            <v>4</v>
          </cell>
          <cell r="CW90">
            <v>4.7</v>
          </cell>
          <cell r="CX90">
            <v>3.8</v>
          </cell>
          <cell r="CY90">
            <v>4.0999999999999996</v>
          </cell>
          <cell r="CZ90">
            <v>3.7</v>
          </cell>
          <cell r="DA90">
            <v>3.5</v>
          </cell>
          <cell r="DB90">
            <v>2.2000000000000002</v>
          </cell>
          <cell r="DC90">
            <v>3.2</v>
          </cell>
          <cell r="DD90">
            <v>3.4</v>
          </cell>
          <cell r="DE90">
            <v>2.8</v>
          </cell>
          <cell r="DF90">
            <v>3.1</v>
          </cell>
          <cell r="DG90">
            <v>4.2</v>
          </cell>
          <cell r="DH90">
            <v>4.0999999999999996</v>
          </cell>
          <cell r="DI90">
            <v>4.2</v>
          </cell>
          <cell r="DJ90">
            <v>3.5</v>
          </cell>
          <cell r="DK90">
            <v>4</v>
          </cell>
          <cell r="DL90">
            <v>3.7</v>
          </cell>
          <cell r="DM90">
            <v>4</v>
          </cell>
          <cell r="DN90">
            <v>2.4</v>
          </cell>
          <cell r="DO90">
            <v>3.3</v>
          </cell>
          <cell r="DP90">
            <v>3.8</v>
          </cell>
          <cell r="DQ90">
            <v>3.8</v>
          </cell>
          <cell r="DR90">
            <v>3.4</v>
          </cell>
          <cell r="DS90">
            <v>4.4000000000000004</v>
          </cell>
          <cell r="DT90">
            <v>4</v>
          </cell>
          <cell r="DU90">
            <v>4.7</v>
          </cell>
          <cell r="DV90">
            <v>3.8</v>
          </cell>
          <cell r="DW90">
            <v>4.0999999999999996</v>
          </cell>
          <cell r="DX90">
            <v>3.7</v>
          </cell>
          <cell r="DY90">
            <v>3.5</v>
          </cell>
          <cell r="EM90">
            <v>80</v>
          </cell>
          <cell r="EN90">
            <v>79.3</v>
          </cell>
          <cell r="EO90">
            <v>68.8</v>
          </cell>
          <cell r="EP90">
            <v>73.199999999999989</v>
          </cell>
          <cell r="EQ90">
            <v>71.8</v>
          </cell>
          <cell r="ER90">
            <v>41.9</v>
          </cell>
          <cell r="ES90">
            <v>46.7</v>
          </cell>
        </row>
        <row r="91">
          <cell r="A91" t="str">
            <v>Misc Operating Revenues (excl Clause &amp; gr/ff)</v>
          </cell>
          <cell r="B91" t="str">
            <v>Operating Revenue</v>
          </cell>
          <cell r="D91" t="str">
            <v>Miscellaneous Service Revenues</v>
          </cell>
          <cell r="E91" t="str">
            <v>Operating Revenue</v>
          </cell>
          <cell r="F91" t="str">
            <v>4880107</v>
          </cell>
          <cell r="G91" t="str">
            <v>A_4880107</v>
          </cell>
          <cell r="H91" t="str">
            <v>Misc Svc Rev - Temporary Disconnect</v>
          </cell>
          <cell r="J91">
            <v>1.8</v>
          </cell>
          <cell r="K91">
            <v>1.8</v>
          </cell>
          <cell r="L91">
            <v>5.2</v>
          </cell>
          <cell r="M91">
            <v>13.2</v>
          </cell>
          <cell r="N91">
            <v>7.7</v>
          </cell>
          <cell r="O91">
            <v>5</v>
          </cell>
          <cell r="P91">
            <v>4.7</v>
          </cell>
          <cell r="Q91">
            <v>3</v>
          </cell>
          <cell r="R91">
            <v>2.6</v>
          </cell>
          <cell r="S91">
            <v>2.7</v>
          </cell>
          <cell r="T91">
            <v>2.1</v>
          </cell>
          <cell r="U91">
            <v>1.1000000000000001</v>
          </cell>
          <cell r="V91">
            <v>1.1000000000000001</v>
          </cell>
          <cell r="W91">
            <v>1.8</v>
          </cell>
          <cell r="X91">
            <v>6.9</v>
          </cell>
          <cell r="Y91">
            <v>11.5</v>
          </cell>
          <cell r="Z91">
            <v>8</v>
          </cell>
          <cell r="AA91">
            <v>7.5</v>
          </cell>
          <cell r="AB91">
            <v>3.5</v>
          </cell>
          <cell r="AC91">
            <v>3.4</v>
          </cell>
          <cell r="AD91">
            <v>2.9</v>
          </cell>
          <cell r="AE91">
            <v>2.2000000000000002</v>
          </cell>
          <cell r="AF91">
            <v>2.2999999999999998</v>
          </cell>
          <cell r="AG91">
            <v>1.7</v>
          </cell>
          <cell r="AH91">
            <v>1.9</v>
          </cell>
          <cell r="AI91">
            <v>2</v>
          </cell>
          <cell r="AJ91">
            <v>5.7</v>
          </cell>
          <cell r="AK91">
            <v>10.199999999999999</v>
          </cell>
          <cell r="AL91">
            <v>7.5</v>
          </cell>
          <cell r="AM91">
            <v>5.3</v>
          </cell>
          <cell r="AN91">
            <v>4.7</v>
          </cell>
          <cell r="AO91">
            <v>4.4000000000000004</v>
          </cell>
          <cell r="AP91">
            <v>3.8</v>
          </cell>
          <cell r="AQ91">
            <v>3.3</v>
          </cell>
          <cell r="AR91">
            <v>2.5</v>
          </cell>
          <cell r="AS91">
            <v>1.3</v>
          </cell>
          <cell r="AT91">
            <v>0.3</v>
          </cell>
          <cell r="AU91">
            <v>0.3</v>
          </cell>
          <cell r="AV91">
            <v>0.8</v>
          </cell>
          <cell r="AW91">
            <v>1.2</v>
          </cell>
          <cell r="AX91">
            <v>1.3</v>
          </cell>
          <cell r="AY91">
            <v>1.1000000000000001</v>
          </cell>
          <cell r="AZ91">
            <v>0.9</v>
          </cell>
          <cell r="BA91">
            <v>0.8</v>
          </cell>
          <cell r="BB91">
            <v>0.5</v>
          </cell>
          <cell r="BC91">
            <v>0.4</v>
          </cell>
          <cell r="BD91">
            <v>0.4</v>
          </cell>
          <cell r="BE91">
            <v>0.2</v>
          </cell>
          <cell r="BF91">
            <v>0.3</v>
          </cell>
          <cell r="BG91">
            <v>0.3</v>
          </cell>
          <cell r="BH91">
            <v>0.4</v>
          </cell>
          <cell r="BI91">
            <v>1.2</v>
          </cell>
          <cell r="BJ91">
            <v>0.8</v>
          </cell>
          <cell r="BK91">
            <v>0.6</v>
          </cell>
          <cell r="BL91">
            <v>0.6</v>
          </cell>
          <cell r="BM91">
            <v>0.7</v>
          </cell>
          <cell r="BN91">
            <v>0.3</v>
          </cell>
          <cell r="BO91">
            <v>0.6</v>
          </cell>
          <cell r="BP91">
            <v>0.2</v>
          </cell>
          <cell r="BQ91">
            <v>0.1</v>
          </cell>
          <cell r="BR91">
            <v>0.2</v>
          </cell>
          <cell r="BS91">
            <v>0.2</v>
          </cell>
          <cell r="BT91">
            <v>0.3</v>
          </cell>
          <cell r="BU91">
            <v>0.9</v>
          </cell>
          <cell r="BV91">
            <v>0.8</v>
          </cell>
          <cell r="BW91">
            <v>0.5</v>
          </cell>
          <cell r="BX91">
            <v>0.3</v>
          </cell>
          <cell r="BY91">
            <v>0.3</v>
          </cell>
          <cell r="BZ91">
            <v>0.2</v>
          </cell>
          <cell r="CA91">
            <v>0.4</v>
          </cell>
          <cell r="CB91">
            <v>0.2</v>
          </cell>
          <cell r="CC91">
            <v>0.2</v>
          </cell>
          <cell r="CD91">
            <v>0.2</v>
          </cell>
          <cell r="CE91">
            <v>0.2</v>
          </cell>
          <cell r="CF91">
            <v>0.6</v>
          </cell>
          <cell r="CG91">
            <v>0.3</v>
          </cell>
          <cell r="CH91">
            <v>0.5</v>
          </cell>
          <cell r="CI91">
            <v>0.6</v>
          </cell>
          <cell r="CJ91">
            <v>1.6</v>
          </cell>
          <cell r="CK91">
            <v>1.2</v>
          </cell>
          <cell r="CL91">
            <v>1</v>
          </cell>
          <cell r="CM91">
            <v>0.9</v>
          </cell>
          <cell r="CN91">
            <v>1.2</v>
          </cell>
          <cell r="CO91">
            <v>0.7</v>
          </cell>
          <cell r="CP91">
            <v>1.2</v>
          </cell>
          <cell r="CQ91">
            <v>0.8</v>
          </cell>
          <cell r="CR91">
            <v>1.2</v>
          </cell>
          <cell r="CS91">
            <v>1.7</v>
          </cell>
          <cell r="CT91">
            <v>2.2000000000000002</v>
          </cell>
          <cell r="CU91">
            <v>2.9</v>
          </cell>
          <cell r="CV91">
            <v>2.2000000000000002</v>
          </cell>
          <cell r="CW91">
            <v>3.2</v>
          </cell>
          <cell r="CX91">
            <v>2.6</v>
          </cell>
          <cell r="CY91">
            <v>2</v>
          </cell>
          <cell r="CZ91">
            <v>1.2</v>
          </cell>
          <cell r="DA91">
            <v>1.7</v>
          </cell>
          <cell r="DB91">
            <v>1.3</v>
          </cell>
          <cell r="DC91">
            <v>1.2</v>
          </cell>
          <cell r="DD91">
            <v>1.5</v>
          </cell>
          <cell r="DE91">
            <v>2.2999999999999998</v>
          </cell>
          <cell r="DF91">
            <v>3.5</v>
          </cell>
          <cell r="DG91">
            <v>3.3</v>
          </cell>
          <cell r="DH91">
            <v>2.9</v>
          </cell>
          <cell r="DI91">
            <v>3</v>
          </cell>
          <cell r="DJ91">
            <v>1.8</v>
          </cell>
          <cell r="DK91">
            <v>2.1</v>
          </cell>
          <cell r="DL91">
            <v>1.6</v>
          </cell>
          <cell r="DM91">
            <v>0.5</v>
          </cell>
          <cell r="DN91">
            <v>1.3</v>
          </cell>
          <cell r="DO91">
            <v>1</v>
          </cell>
          <cell r="DP91">
            <v>1.4</v>
          </cell>
          <cell r="DQ91">
            <v>2</v>
          </cell>
          <cell r="DR91">
            <v>2.9</v>
          </cell>
          <cell r="DS91">
            <v>3.1</v>
          </cell>
          <cell r="DT91">
            <v>2.5</v>
          </cell>
          <cell r="DU91">
            <v>3.2</v>
          </cell>
          <cell r="DV91">
            <v>2.6</v>
          </cell>
          <cell r="DW91">
            <v>2</v>
          </cell>
          <cell r="DX91">
            <v>1.2</v>
          </cell>
          <cell r="DY91">
            <v>1.7</v>
          </cell>
          <cell r="EM91">
            <v>52.8</v>
          </cell>
          <cell r="EN91">
            <v>52.599999999999987</v>
          </cell>
          <cell r="EO91">
            <v>8.1999999999999993</v>
          </cell>
          <cell r="EP91">
            <v>6.1</v>
          </cell>
          <cell r="EQ91">
            <v>4.5000000000000009</v>
          </cell>
          <cell r="ER91">
            <v>9</v>
          </cell>
          <cell r="ES91">
            <v>22.9</v>
          </cell>
        </row>
        <row r="92">
          <cell r="A92" t="str">
            <v>Misc Operating Revenues (excl Clause &amp; gr/ff)</v>
          </cell>
          <cell r="B92" t="str">
            <v>Operating Revenue</v>
          </cell>
          <cell r="D92" t="str">
            <v>Miscellaneous Service Revenues</v>
          </cell>
          <cell r="E92" t="str">
            <v>Operating Revenue</v>
          </cell>
          <cell r="F92" t="str">
            <v>4880108</v>
          </cell>
          <cell r="G92" t="str">
            <v>A_4880108</v>
          </cell>
          <cell r="H92" t="str">
            <v>Misc Svc Rev - CRM Legacy Adjustment (Gas)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-43.1</v>
          </cell>
          <cell r="AU92">
            <v>-5.3</v>
          </cell>
          <cell r="AV92">
            <v>3.4</v>
          </cell>
          <cell r="AW92">
            <v>-10.1</v>
          </cell>
          <cell r="AX92">
            <v>10.5</v>
          </cell>
          <cell r="AY92">
            <v>-2.9</v>
          </cell>
          <cell r="AZ92">
            <v>-3.7</v>
          </cell>
          <cell r="BA92">
            <v>-4</v>
          </cell>
          <cell r="BB92">
            <v>-5.4</v>
          </cell>
          <cell r="BC92">
            <v>-4</v>
          </cell>
          <cell r="BD92">
            <v>-3.7</v>
          </cell>
          <cell r="BE92">
            <v>5.0999999999999996</v>
          </cell>
          <cell r="BF92">
            <v>-0.5</v>
          </cell>
          <cell r="BG92">
            <v>-0.5</v>
          </cell>
          <cell r="BH92">
            <v>-6.8</v>
          </cell>
          <cell r="BI92">
            <v>-0.3</v>
          </cell>
          <cell r="BJ92">
            <v>-7.7</v>
          </cell>
          <cell r="BK92">
            <v>-0.3</v>
          </cell>
          <cell r="BL92">
            <v>-7.7</v>
          </cell>
          <cell r="BM92">
            <v>-3.3</v>
          </cell>
          <cell r="BN92">
            <v>-5.6</v>
          </cell>
          <cell r="BO92">
            <v>-56.4</v>
          </cell>
          <cell r="BP92">
            <v>-0.4</v>
          </cell>
          <cell r="BQ92">
            <v>-0.6</v>
          </cell>
          <cell r="BR92">
            <v>-0.8</v>
          </cell>
          <cell r="BS92">
            <v>-0.9</v>
          </cell>
          <cell r="BT92">
            <v>-2.2000000000000002</v>
          </cell>
          <cell r="BU92">
            <v>-0.8</v>
          </cell>
          <cell r="BV92">
            <v>-2.4</v>
          </cell>
          <cell r="BW92">
            <v>0</v>
          </cell>
          <cell r="BX92">
            <v>-2.2000000000000002</v>
          </cell>
          <cell r="BY92">
            <v>-0.3</v>
          </cell>
          <cell r="BZ92">
            <v>-0.2</v>
          </cell>
          <cell r="CA92">
            <v>-8.3000000000000007</v>
          </cell>
          <cell r="CB92">
            <v>-0.1</v>
          </cell>
          <cell r="CC92">
            <v>-0.2</v>
          </cell>
          <cell r="CD92">
            <v>-0.9</v>
          </cell>
          <cell r="CE92">
            <v>0.5</v>
          </cell>
          <cell r="CF92">
            <v>-0.1</v>
          </cell>
          <cell r="CG92">
            <v>0</v>
          </cell>
          <cell r="CH92">
            <v>-0.1</v>
          </cell>
          <cell r="CI92">
            <v>-0.2</v>
          </cell>
          <cell r="CJ92">
            <v>0</v>
          </cell>
          <cell r="CK92">
            <v>-2.4</v>
          </cell>
          <cell r="CL92">
            <v>0.9</v>
          </cell>
          <cell r="CM92">
            <v>-0.1</v>
          </cell>
          <cell r="CN92">
            <v>0</v>
          </cell>
          <cell r="CO92">
            <v>-1.4</v>
          </cell>
          <cell r="CP92">
            <v>2</v>
          </cell>
          <cell r="CQ92">
            <v>-16.3</v>
          </cell>
          <cell r="CR92">
            <v>-387.5</v>
          </cell>
          <cell r="CS92">
            <v>-2.8</v>
          </cell>
          <cell r="CT92">
            <v>-66.599999999999994</v>
          </cell>
          <cell r="CU92">
            <v>9.4</v>
          </cell>
          <cell r="CV92">
            <v>-0.1</v>
          </cell>
          <cell r="CW92">
            <v>1.6</v>
          </cell>
          <cell r="CX92">
            <v>-0.1</v>
          </cell>
          <cell r="CY92">
            <v>-3.9</v>
          </cell>
          <cell r="CZ92">
            <v>-18.600000000000001</v>
          </cell>
          <cell r="DA92">
            <v>-0.2</v>
          </cell>
          <cell r="DB92">
            <v>-1.9</v>
          </cell>
          <cell r="DC92">
            <v>-0.1</v>
          </cell>
          <cell r="DD92">
            <v>-0.5</v>
          </cell>
          <cell r="DE92">
            <v>-3.2</v>
          </cell>
          <cell r="DF92">
            <v>-1.3</v>
          </cell>
          <cell r="DG92">
            <v>-6.1</v>
          </cell>
          <cell r="DH92">
            <v>-0.8</v>
          </cell>
          <cell r="DI92">
            <v>-0.2</v>
          </cell>
          <cell r="DJ92">
            <v>-0.2</v>
          </cell>
          <cell r="DK92">
            <v>-0.1</v>
          </cell>
          <cell r="DL92">
            <v>-0.4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EM92">
            <v>0</v>
          </cell>
          <cell r="EN92">
            <v>0</v>
          </cell>
          <cell r="EO92">
            <v>-63.199999999999996</v>
          </cell>
          <cell r="EP92">
            <v>-90.1</v>
          </cell>
          <cell r="EQ92">
            <v>-18.400000000000002</v>
          </cell>
          <cell r="ER92">
            <v>-3.8000000000000003</v>
          </cell>
          <cell r="ES92">
            <v>-483.10000000000008</v>
          </cell>
        </row>
        <row r="93">
          <cell r="A93" t="str">
            <v>Misc Operating Revenues (excl Clause &amp; gr/ff)</v>
          </cell>
          <cell r="B93" t="str">
            <v>Operating Revenue</v>
          </cell>
          <cell r="D93" t="str">
            <v>Miscellaneous Service Revenues</v>
          </cell>
          <cell r="E93" t="str">
            <v>Operating Revenue</v>
          </cell>
          <cell r="F93" t="str">
            <v>4880111</v>
          </cell>
          <cell r="G93" t="str">
            <v>A_4880111</v>
          </cell>
          <cell r="H93" t="str">
            <v>Misc Svc Rev - ITS Fee</v>
          </cell>
          <cell r="J93">
            <v>44.9</v>
          </cell>
          <cell r="K93">
            <v>46.7</v>
          </cell>
          <cell r="L93">
            <v>45.8</v>
          </cell>
          <cell r="M93">
            <v>46.1</v>
          </cell>
          <cell r="N93">
            <v>46.7</v>
          </cell>
          <cell r="O93">
            <v>46.8</v>
          </cell>
          <cell r="P93">
            <v>43.9</v>
          </cell>
          <cell r="Q93">
            <v>44.8</v>
          </cell>
          <cell r="R93">
            <v>47.7</v>
          </cell>
          <cell r="S93">
            <v>46.1</v>
          </cell>
          <cell r="T93">
            <v>44.8</v>
          </cell>
          <cell r="U93">
            <v>47.1</v>
          </cell>
          <cell r="V93">
            <v>46.2</v>
          </cell>
          <cell r="W93">
            <v>45.2</v>
          </cell>
          <cell r="X93">
            <v>46.9</v>
          </cell>
          <cell r="Y93">
            <v>45.4</v>
          </cell>
          <cell r="Z93">
            <v>47.1</v>
          </cell>
          <cell r="AA93">
            <v>42.6</v>
          </cell>
          <cell r="AB93">
            <v>45.4</v>
          </cell>
          <cell r="AC93">
            <v>46.5</v>
          </cell>
          <cell r="AD93">
            <v>45.9</v>
          </cell>
          <cell r="AE93">
            <v>45.5</v>
          </cell>
          <cell r="AF93">
            <v>46.4</v>
          </cell>
          <cell r="AG93">
            <v>45.8</v>
          </cell>
          <cell r="AH93">
            <v>46.4</v>
          </cell>
          <cell r="AI93">
            <v>46.4</v>
          </cell>
          <cell r="AJ93">
            <v>45.9</v>
          </cell>
          <cell r="AK93">
            <v>45.5</v>
          </cell>
          <cell r="AL93">
            <v>45.8</v>
          </cell>
          <cell r="AM93">
            <v>45.6</v>
          </cell>
          <cell r="AN93">
            <v>45.6</v>
          </cell>
          <cell r="AO93">
            <v>45.6</v>
          </cell>
          <cell r="AP93">
            <v>45.6</v>
          </cell>
          <cell r="AQ93">
            <v>45.4</v>
          </cell>
          <cell r="AR93">
            <v>44.5</v>
          </cell>
          <cell r="AS93">
            <v>48.1</v>
          </cell>
          <cell r="AT93">
            <v>44.9</v>
          </cell>
          <cell r="AU93">
            <v>43.5</v>
          </cell>
          <cell r="AV93">
            <v>50.3</v>
          </cell>
          <cell r="AW93">
            <v>46.8</v>
          </cell>
          <cell r="AX93">
            <v>45.6</v>
          </cell>
          <cell r="AY93">
            <v>47.1</v>
          </cell>
          <cell r="AZ93">
            <v>46.4</v>
          </cell>
          <cell r="BA93">
            <v>46.6</v>
          </cell>
          <cell r="BB93">
            <v>46.8</v>
          </cell>
          <cell r="BC93">
            <v>46.4</v>
          </cell>
          <cell r="BD93">
            <v>47.5</v>
          </cell>
          <cell r="BE93">
            <v>47.2</v>
          </cell>
          <cell r="BF93">
            <v>46.8</v>
          </cell>
          <cell r="BG93">
            <v>46.7</v>
          </cell>
          <cell r="BH93">
            <v>48.4</v>
          </cell>
          <cell r="BI93">
            <v>56.1</v>
          </cell>
          <cell r="BJ93">
            <v>49</v>
          </cell>
          <cell r="BK93">
            <v>48.6</v>
          </cell>
          <cell r="BL93">
            <v>48.4</v>
          </cell>
          <cell r="BM93">
            <v>48.7</v>
          </cell>
          <cell r="BN93">
            <v>47.2</v>
          </cell>
          <cell r="BO93">
            <v>48.7</v>
          </cell>
          <cell r="BP93">
            <v>48.2</v>
          </cell>
          <cell r="BQ93">
            <v>46</v>
          </cell>
          <cell r="BR93">
            <v>50.3</v>
          </cell>
          <cell r="BS93">
            <v>48.2</v>
          </cell>
          <cell r="BT93">
            <v>46.7</v>
          </cell>
          <cell r="BU93">
            <v>47.7</v>
          </cell>
          <cell r="BV93">
            <v>49.1</v>
          </cell>
          <cell r="BW93">
            <v>47.7</v>
          </cell>
          <cell r="BX93">
            <v>48</v>
          </cell>
          <cell r="BY93">
            <v>46.7</v>
          </cell>
          <cell r="BZ93">
            <v>50.1</v>
          </cell>
          <cell r="CA93">
            <v>48.4</v>
          </cell>
          <cell r="CB93">
            <v>48.9</v>
          </cell>
          <cell r="CC93">
            <v>48.6</v>
          </cell>
          <cell r="CD93">
            <v>46</v>
          </cell>
          <cell r="CE93">
            <v>47.4</v>
          </cell>
          <cell r="CF93">
            <v>46.5</v>
          </cell>
          <cell r="CG93">
            <v>46.5</v>
          </cell>
          <cell r="CH93">
            <v>48.3</v>
          </cell>
          <cell r="CI93">
            <v>45.5</v>
          </cell>
          <cell r="CJ93">
            <v>47.2</v>
          </cell>
          <cell r="CK93">
            <v>46.5</v>
          </cell>
          <cell r="CL93">
            <v>47.8</v>
          </cell>
          <cell r="CM93">
            <v>46.7</v>
          </cell>
          <cell r="CN93">
            <v>47.9</v>
          </cell>
          <cell r="CO93">
            <v>45.9</v>
          </cell>
          <cell r="CP93">
            <v>70.599999999999994</v>
          </cell>
          <cell r="CQ93">
            <v>74.8</v>
          </cell>
          <cell r="CR93">
            <v>69.8</v>
          </cell>
          <cell r="CS93">
            <v>80</v>
          </cell>
          <cell r="CT93">
            <v>66.400000000000006</v>
          </cell>
          <cell r="CU93">
            <v>70.8</v>
          </cell>
          <cell r="CV93">
            <v>73.7</v>
          </cell>
          <cell r="CW93">
            <v>71.599999999999994</v>
          </cell>
          <cell r="CX93">
            <v>71.099999999999994</v>
          </cell>
          <cell r="CY93">
            <v>72.2</v>
          </cell>
          <cell r="CZ93">
            <v>71.099999999999994</v>
          </cell>
          <cell r="DA93">
            <v>71.3</v>
          </cell>
          <cell r="DB93">
            <v>72.3</v>
          </cell>
          <cell r="DC93">
            <v>72.599999999999994</v>
          </cell>
          <cell r="DD93">
            <v>72.099999999999994</v>
          </cell>
          <cell r="DE93">
            <v>72.400000000000006</v>
          </cell>
          <cell r="DF93">
            <v>71.900000000000006</v>
          </cell>
          <cell r="DG93">
            <v>73.7</v>
          </cell>
          <cell r="DH93">
            <v>73</v>
          </cell>
          <cell r="DI93">
            <v>72.400000000000006</v>
          </cell>
          <cell r="DJ93">
            <v>73.099999999999994</v>
          </cell>
          <cell r="DK93">
            <v>72.099999999999994</v>
          </cell>
          <cell r="DL93">
            <v>72.599999999999994</v>
          </cell>
          <cell r="DM93">
            <v>73.7</v>
          </cell>
          <cell r="DN93">
            <v>73.400000000000006</v>
          </cell>
          <cell r="DO93">
            <v>73.400000000000006</v>
          </cell>
          <cell r="DP93">
            <v>73.400000000000006</v>
          </cell>
          <cell r="DQ93">
            <v>73.400000000000006</v>
          </cell>
          <cell r="DR93">
            <v>73.400000000000006</v>
          </cell>
          <cell r="DS93">
            <v>73.400000000000006</v>
          </cell>
          <cell r="DT93">
            <v>73.400000000000006</v>
          </cell>
          <cell r="DU93">
            <v>73.400000000000006</v>
          </cell>
          <cell r="DV93">
            <v>73.400000000000006</v>
          </cell>
          <cell r="DW93">
            <v>73.400000000000006</v>
          </cell>
          <cell r="DX93">
            <v>73.400000000000006</v>
          </cell>
          <cell r="DY93">
            <v>73.400000000000006</v>
          </cell>
          <cell r="EM93">
            <v>548.9</v>
          </cell>
          <cell r="EN93">
            <v>550.40000000000009</v>
          </cell>
          <cell r="EO93">
            <v>559.1</v>
          </cell>
          <cell r="EP93">
            <v>582.79999999999995</v>
          </cell>
          <cell r="EQ93">
            <v>580.4</v>
          </cell>
          <cell r="ER93">
            <v>562.19999999999993</v>
          </cell>
          <cell r="ES93">
            <v>863.40000000000009</v>
          </cell>
        </row>
        <row r="94">
          <cell r="A94" t="str">
            <v>Misc Operating Revenues (excl Clause &amp; gr/ff)</v>
          </cell>
          <cell r="B94" t="str">
            <v>Operating Revenue</v>
          </cell>
          <cell r="D94" t="str">
            <v>Miscellaneous Service Revenues</v>
          </cell>
          <cell r="E94" t="str">
            <v>Operating Revenue</v>
          </cell>
          <cell r="F94" t="str">
            <v>4880850</v>
          </cell>
          <cell r="G94" t="str">
            <v>A_4880850</v>
          </cell>
          <cell r="H94" t="str">
            <v>Miscellaneous Service Revenues - Other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21.9</v>
          </cell>
          <cell r="AI94">
            <v>18.399999999999999</v>
          </cell>
          <cell r="AJ94">
            <v>25.4</v>
          </cell>
          <cell r="AK94">
            <v>21.9</v>
          </cell>
          <cell r="AL94">
            <v>-87.7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EM94">
            <v>0</v>
          </cell>
          <cell r="EN94">
            <v>-0.10000000000000853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</row>
        <row r="95">
          <cell r="A95" t="str">
            <v>Misc Operating Revenues (excl Clause &amp; gr/ff)</v>
          </cell>
          <cell r="B95" t="str">
            <v>Operating Revenue</v>
          </cell>
          <cell r="D95" t="str">
            <v>Miscellaneous Service Revenues</v>
          </cell>
          <cell r="E95" t="str">
            <v>Operating Revenue</v>
          </cell>
          <cell r="F95" t="str">
            <v>4880800</v>
          </cell>
          <cell r="G95" t="str">
            <v>A_4880800</v>
          </cell>
          <cell r="H95" t="str">
            <v>Misc Svc Rev - NGVS-2 Facilities Charge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94</v>
          </cell>
          <cell r="R95">
            <v>0</v>
          </cell>
          <cell r="S95">
            <v>17</v>
          </cell>
          <cell r="T95">
            <v>17.100000000000001</v>
          </cell>
          <cell r="U95">
            <v>12.5</v>
          </cell>
          <cell r="V95">
            <v>17.100000000000001</v>
          </cell>
          <cell r="W95">
            <v>17.100000000000001</v>
          </cell>
          <cell r="X95">
            <v>14.1</v>
          </cell>
          <cell r="Y95">
            <v>8.9</v>
          </cell>
          <cell r="Z95">
            <v>16.5</v>
          </cell>
          <cell r="AA95">
            <v>16.5</v>
          </cell>
          <cell r="AB95">
            <v>16.5</v>
          </cell>
          <cell r="AC95">
            <v>14.1</v>
          </cell>
          <cell r="AD95">
            <v>16</v>
          </cell>
          <cell r="AE95">
            <v>14</v>
          </cell>
          <cell r="AF95">
            <v>17.2</v>
          </cell>
          <cell r="AG95">
            <v>17.100000000000001</v>
          </cell>
          <cell r="AH95">
            <v>17.2</v>
          </cell>
          <cell r="AI95">
            <v>17.100000000000001</v>
          </cell>
          <cell r="AJ95">
            <v>16.5</v>
          </cell>
          <cell r="AK95">
            <v>8.9</v>
          </cell>
          <cell r="AL95">
            <v>16.7</v>
          </cell>
          <cell r="AM95">
            <v>15.2</v>
          </cell>
          <cell r="AN95">
            <v>16.3</v>
          </cell>
          <cell r="AO95">
            <v>16.600000000000001</v>
          </cell>
          <cell r="AP95">
            <v>16.7</v>
          </cell>
          <cell r="AQ95">
            <v>16.399999999999999</v>
          </cell>
          <cell r="AR95">
            <v>17.600000000000001</v>
          </cell>
          <cell r="AS95">
            <v>13.6</v>
          </cell>
          <cell r="AT95">
            <v>15.7</v>
          </cell>
          <cell r="AU95">
            <v>17.3</v>
          </cell>
          <cell r="AV95">
            <v>16.899999999999999</v>
          </cell>
          <cell r="AW95">
            <v>17.3</v>
          </cell>
          <cell r="AX95">
            <v>15.7</v>
          </cell>
          <cell r="AY95">
            <v>13.5</v>
          </cell>
          <cell r="AZ95">
            <v>18</v>
          </cell>
          <cell r="BA95">
            <v>17.3</v>
          </cell>
          <cell r="BB95">
            <v>17.3</v>
          </cell>
          <cell r="BC95">
            <v>16.2</v>
          </cell>
          <cell r="BD95">
            <v>17.100000000000001</v>
          </cell>
          <cell r="BE95">
            <v>16.899999999999999</v>
          </cell>
          <cell r="BF95">
            <v>17.100000000000001</v>
          </cell>
          <cell r="BG95">
            <v>17.100000000000001</v>
          </cell>
          <cell r="BH95">
            <v>9.5</v>
          </cell>
          <cell r="BI95">
            <v>11.9</v>
          </cell>
          <cell r="BJ95">
            <v>17.2</v>
          </cell>
          <cell r="BK95">
            <v>10.9</v>
          </cell>
          <cell r="BL95">
            <v>12.5</v>
          </cell>
          <cell r="BM95">
            <v>16</v>
          </cell>
          <cell r="BN95">
            <v>9.3000000000000007</v>
          </cell>
          <cell r="BO95">
            <v>16.600000000000001</v>
          </cell>
          <cell r="BP95">
            <v>15.3</v>
          </cell>
          <cell r="BQ95">
            <v>14.7</v>
          </cell>
          <cell r="BR95">
            <v>-32.700000000000003</v>
          </cell>
          <cell r="BS95">
            <v>17</v>
          </cell>
          <cell r="BT95">
            <v>15.8</v>
          </cell>
          <cell r="BU95">
            <v>7.6</v>
          </cell>
          <cell r="BV95">
            <v>17.100000000000001</v>
          </cell>
          <cell r="BW95">
            <v>16.100000000000001</v>
          </cell>
          <cell r="BX95">
            <v>16.8</v>
          </cell>
          <cell r="BY95">
            <v>16</v>
          </cell>
          <cell r="BZ95">
            <v>16.899999999999999</v>
          </cell>
          <cell r="CA95">
            <v>16.5</v>
          </cell>
          <cell r="CB95">
            <v>14.8</v>
          </cell>
          <cell r="CC95">
            <v>17.100000000000001</v>
          </cell>
          <cell r="CD95">
            <v>17</v>
          </cell>
          <cell r="CE95">
            <v>16.600000000000001</v>
          </cell>
          <cell r="CF95">
            <v>9.1999999999999993</v>
          </cell>
          <cell r="CG95">
            <v>16.399999999999999</v>
          </cell>
          <cell r="CH95">
            <v>-1.4</v>
          </cell>
          <cell r="CI95">
            <v>15.8</v>
          </cell>
          <cell r="CJ95">
            <v>14.2</v>
          </cell>
          <cell r="CK95">
            <v>13.6</v>
          </cell>
          <cell r="CL95">
            <v>16</v>
          </cell>
          <cell r="CM95">
            <v>7</v>
          </cell>
          <cell r="CN95">
            <v>15</v>
          </cell>
          <cell r="CO95">
            <v>16.600000000000001</v>
          </cell>
          <cell r="CP95">
            <v>15.9</v>
          </cell>
          <cell r="CQ95">
            <v>16.399999999999999</v>
          </cell>
          <cell r="CR95">
            <v>16.5</v>
          </cell>
          <cell r="CS95">
            <v>7.7</v>
          </cell>
          <cell r="CT95">
            <v>16.8</v>
          </cell>
          <cell r="CU95">
            <v>16.2</v>
          </cell>
          <cell r="CV95">
            <v>16.399999999999999</v>
          </cell>
          <cell r="CW95">
            <v>14.3</v>
          </cell>
          <cell r="CX95">
            <v>17</v>
          </cell>
          <cell r="CY95">
            <v>16.600000000000001</v>
          </cell>
          <cell r="CZ95">
            <v>15.7</v>
          </cell>
          <cell r="DA95">
            <v>16.399999999999999</v>
          </cell>
          <cell r="DB95">
            <v>16.399999999999999</v>
          </cell>
          <cell r="DC95">
            <v>17.600000000000001</v>
          </cell>
          <cell r="DD95">
            <v>17</v>
          </cell>
          <cell r="DE95">
            <v>16.5</v>
          </cell>
          <cell r="DF95">
            <v>16.8</v>
          </cell>
          <cell r="DG95">
            <v>7.8</v>
          </cell>
          <cell r="DH95">
            <v>16.8</v>
          </cell>
          <cell r="DI95">
            <v>10</v>
          </cell>
          <cell r="DJ95">
            <v>13.2</v>
          </cell>
          <cell r="DK95">
            <v>17.5</v>
          </cell>
          <cell r="DL95">
            <v>17.3</v>
          </cell>
          <cell r="DM95">
            <v>17</v>
          </cell>
          <cell r="DN95">
            <v>15.2</v>
          </cell>
          <cell r="DO95">
            <v>15.2</v>
          </cell>
          <cell r="DP95">
            <v>15.2</v>
          </cell>
          <cell r="DQ95">
            <v>15.2</v>
          </cell>
          <cell r="DR95">
            <v>15.2</v>
          </cell>
          <cell r="DS95">
            <v>15.2</v>
          </cell>
          <cell r="DT95">
            <v>15.2</v>
          </cell>
          <cell r="DU95">
            <v>15.2</v>
          </cell>
          <cell r="DV95">
            <v>15.2</v>
          </cell>
          <cell r="DW95">
            <v>15.2</v>
          </cell>
          <cell r="DX95">
            <v>15.2</v>
          </cell>
          <cell r="DY95">
            <v>15.2</v>
          </cell>
          <cell r="EM95">
            <v>185.1</v>
          </cell>
          <cell r="EN95">
            <v>188.79999999999998</v>
          </cell>
          <cell r="EO95">
            <v>199.20000000000002</v>
          </cell>
          <cell r="EP95">
            <v>168.1</v>
          </cell>
          <cell r="EQ95">
            <v>139</v>
          </cell>
          <cell r="ER95">
            <v>155.99999999999997</v>
          </cell>
          <cell r="ES95">
            <v>185.89999999999998</v>
          </cell>
        </row>
        <row r="96">
          <cell r="A96" t="str">
            <v>Misc Operating Revenues (excl Clause &amp; gr/ff)</v>
          </cell>
          <cell r="B96" t="str">
            <v>Operating Revenue</v>
          </cell>
          <cell r="E96" t="str">
            <v>Operating Revenue</v>
          </cell>
          <cell r="F96" t="str">
            <v>Svc Adj</v>
          </cell>
          <cell r="G96" t="str">
            <v>Svc Adj</v>
          </cell>
          <cell r="H96" t="str">
            <v>Misc Service Revenues - OOR</v>
          </cell>
          <cell r="I96" t="str">
            <v>INPUT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</row>
        <row r="97">
          <cell r="F97" t="str">
            <v>488</v>
          </cell>
          <cell r="G97">
            <v>488</v>
          </cell>
          <cell r="J97">
            <v>421</v>
          </cell>
          <cell r="K97">
            <v>475.90000000000003</v>
          </cell>
          <cell r="L97">
            <v>471.2</v>
          </cell>
          <cell r="M97">
            <v>438</v>
          </cell>
          <cell r="N97">
            <v>424.29999999999995</v>
          </cell>
          <cell r="O97">
            <v>470.70000000000005</v>
          </cell>
          <cell r="P97">
            <v>426.4</v>
          </cell>
          <cell r="Q97">
            <v>528.09999999999991</v>
          </cell>
          <cell r="R97">
            <v>442.40000000000003</v>
          </cell>
          <cell r="S97">
            <v>479.29999999999995</v>
          </cell>
          <cell r="T97">
            <v>443.40000000000003</v>
          </cell>
          <cell r="U97">
            <v>416.5</v>
          </cell>
          <cell r="V97">
            <v>439.3</v>
          </cell>
          <cell r="W97">
            <v>469.70000000000005</v>
          </cell>
          <cell r="X97">
            <v>449.29999999999995</v>
          </cell>
          <cell r="Y97">
            <v>421.49999999999994</v>
          </cell>
          <cell r="Z97">
            <v>449.3</v>
          </cell>
          <cell r="AA97">
            <v>442.90000000000003</v>
          </cell>
          <cell r="AB97">
            <v>432.39999999999992</v>
          </cell>
          <cell r="AC97">
            <v>442.79999999999995</v>
          </cell>
          <cell r="AD97">
            <v>407.29999999999995</v>
          </cell>
          <cell r="AE97">
            <v>435.5</v>
          </cell>
          <cell r="AF97">
            <v>421.1</v>
          </cell>
          <cell r="AG97">
            <v>400.2</v>
          </cell>
          <cell r="AH97">
            <v>409.2999999999999</v>
          </cell>
          <cell r="AI97">
            <v>423.59999999999997</v>
          </cell>
          <cell r="AJ97">
            <v>461.69999999999993</v>
          </cell>
          <cell r="AK97">
            <v>424.59999999999991</v>
          </cell>
          <cell r="AL97">
            <v>332</v>
          </cell>
          <cell r="AM97">
            <v>419.1</v>
          </cell>
          <cell r="AN97">
            <v>434.5</v>
          </cell>
          <cell r="AO97">
            <v>433.29999999999995</v>
          </cell>
          <cell r="AP97">
            <v>399.8</v>
          </cell>
          <cell r="AQ97">
            <v>399.49999999999994</v>
          </cell>
          <cell r="AR97">
            <v>432.09999999999997</v>
          </cell>
          <cell r="AS97">
            <v>390.50000000000011</v>
          </cell>
          <cell r="AT97">
            <v>243.5</v>
          </cell>
          <cell r="AU97">
            <v>294.10000000000002</v>
          </cell>
          <cell r="AV97">
            <v>413.4</v>
          </cell>
          <cell r="AW97">
            <v>388.80000000000007</v>
          </cell>
          <cell r="AX97">
            <v>467.09999999999997</v>
          </cell>
          <cell r="AY97">
            <v>477.20000000000005</v>
          </cell>
          <cell r="AZ97">
            <v>423.49999999999994</v>
          </cell>
          <cell r="BA97">
            <v>456.80000000000007</v>
          </cell>
          <cell r="BB97">
            <v>301.90000000000003</v>
          </cell>
          <cell r="BC97">
            <v>413.79999999999995</v>
          </cell>
          <cell r="BD97">
            <v>409.00000000000006</v>
          </cell>
          <cell r="BE97">
            <v>390.99999999999994</v>
          </cell>
          <cell r="BF97">
            <v>412.90000000000009</v>
          </cell>
          <cell r="BG97">
            <v>409.00000000000006</v>
          </cell>
          <cell r="BH97">
            <v>463.09999999999991</v>
          </cell>
          <cell r="BI97">
            <v>445.19999999999993</v>
          </cell>
          <cell r="BJ97">
            <v>447.00000000000006</v>
          </cell>
          <cell r="BK97">
            <v>456.1</v>
          </cell>
          <cell r="BL97">
            <v>458.4</v>
          </cell>
          <cell r="BM97">
            <v>486.3</v>
          </cell>
          <cell r="BN97">
            <v>383.7</v>
          </cell>
          <cell r="BO97">
            <v>384.50000000000006</v>
          </cell>
          <cell r="BP97">
            <v>442.40000000000003</v>
          </cell>
          <cell r="BQ97">
            <v>393.20000000000005</v>
          </cell>
          <cell r="BR97">
            <v>472.50000000000006</v>
          </cell>
          <cell r="BS97">
            <v>483</v>
          </cell>
          <cell r="BT97">
            <v>507</v>
          </cell>
          <cell r="BU97">
            <v>466.70000000000005</v>
          </cell>
          <cell r="BV97">
            <v>499.00000000000011</v>
          </cell>
          <cell r="BW97">
            <v>464.09999999999997</v>
          </cell>
          <cell r="BX97">
            <v>483.20000000000005</v>
          </cell>
          <cell r="BY97">
            <v>487.2</v>
          </cell>
          <cell r="BZ97">
            <v>416.89999999999992</v>
          </cell>
          <cell r="CA97">
            <v>479.49999999999994</v>
          </cell>
          <cell r="CB97">
            <v>435.99999999999994</v>
          </cell>
          <cell r="CC97">
            <v>435.9</v>
          </cell>
          <cell r="CD97">
            <v>423.2</v>
          </cell>
          <cell r="CE97">
            <v>439.1</v>
          </cell>
          <cell r="CF97">
            <v>426.59999999999997</v>
          </cell>
          <cell r="CG97">
            <v>336</v>
          </cell>
          <cell r="CH97">
            <v>322.90000000000003</v>
          </cell>
          <cell r="CI97">
            <v>374.50000000000006</v>
          </cell>
          <cell r="CJ97">
            <v>404.90000000000003</v>
          </cell>
          <cell r="CK97">
            <v>376.7</v>
          </cell>
          <cell r="CL97">
            <v>405.2</v>
          </cell>
          <cell r="CM97">
            <v>444.59999999999991</v>
          </cell>
          <cell r="CN97">
            <v>397.1</v>
          </cell>
          <cell r="CO97">
            <v>447.3</v>
          </cell>
          <cell r="CP97">
            <v>462.29999999999995</v>
          </cell>
          <cell r="CQ97">
            <v>476.09999999999997</v>
          </cell>
          <cell r="CR97">
            <v>163.60000000000002</v>
          </cell>
          <cell r="CS97">
            <v>501.2</v>
          </cell>
          <cell r="CT97">
            <v>430.49999999999994</v>
          </cell>
          <cell r="CU97">
            <v>551.6</v>
          </cell>
          <cell r="CV97">
            <v>494.49999999999989</v>
          </cell>
          <cell r="CW97">
            <v>534.4</v>
          </cell>
          <cell r="CX97">
            <v>504.40000000000009</v>
          </cell>
          <cell r="CY97">
            <v>524</v>
          </cell>
          <cell r="CZ97">
            <v>502.99999999999983</v>
          </cell>
          <cell r="DA97">
            <v>494.7999999999999</v>
          </cell>
          <cell r="DB97">
            <v>487.79999999999995</v>
          </cell>
          <cell r="DC97">
            <v>540.4</v>
          </cell>
          <cell r="DD97">
            <v>591.69999999999993</v>
          </cell>
          <cell r="DE97">
            <v>565.5</v>
          </cell>
          <cell r="DF97">
            <v>545.79999999999995</v>
          </cell>
          <cell r="DG97">
            <v>590</v>
          </cell>
          <cell r="DH97">
            <v>563.20000000000005</v>
          </cell>
          <cell r="DI97">
            <v>580.6</v>
          </cell>
          <cell r="DJ97">
            <v>525.80000000000007</v>
          </cell>
          <cell r="DK97">
            <v>580.80000000000007</v>
          </cell>
          <cell r="DL97">
            <v>587.40000000000009</v>
          </cell>
          <cell r="DM97">
            <v>541.5</v>
          </cell>
          <cell r="DN97">
            <v>487.90000000000003</v>
          </cell>
          <cell r="DO97">
            <v>538.40000000000009</v>
          </cell>
          <cell r="DP97">
            <v>593.1</v>
          </cell>
          <cell r="DQ97">
            <v>561.70000000000005</v>
          </cell>
          <cell r="DR97">
            <v>549.20000000000005</v>
          </cell>
          <cell r="DS97">
            <v>607.1</v>
          </cell>
          <cell r="DT97">
            <v>558.80000000000007</v>
          </cell>
          <cell r="DU97">
            <v>572.1</v>
          </cell>
          <cell r="DV97">
            <v>544.20000000000005</v>
          </cell>
          <cell r="DW97">
            <v>563.30000000000007</v>
          </cell>
          <cell r="DX97">
            <v>541.9</v>
          </cell>
          <cell r="DY97">
            <v>554.80000000000007</v>
          </cell>
          <cell r="EM97">
            <v>5211.3</v>
          </cell>
          <cell r="EN97">
            <v>4960</v>
          </cell>
          <cell r="EO97">
            <v>4680.1000000000004</v>
          </cell>
          <cell r="EP97">
            <v>5181.7999999999993</v>
          </cell>
          <cell r="EQ97">
            <v>5630.9999999999991</v>
          </cell>
          <cell r="ER97">
            <v>4798.1000000000004</v>
          </cell>
          <cell r="ES97">
            <v>5640.4000000000005</v>
          </cell>
        </row>
        <row r="98">
          <cell r="A98" t="str">
            <v>Base Revenues and OSS - Net</v>
          </cell>
          <cell r="B98" t="str">
            <v>Operating Revenue</v>
          </cell>
          <cell r="D98" t="str">
            <v>Commercial Base Revenue Billed</v>
          </cell>
          <cell r="E98" t="str">
            <v>Operating Revenue</v>
          </cell>
          <cell r="F98" t="str">
            <v>4893001</v>
          </cell>
          <cell r="G98" t="str">
            <v>A_4893001</v>
          </cell>
          <cell r="H98" t="str">
            <v>Natural Gas Vehicle Sales Transportation</v>
          </cell>
          <cell r="J98">
            <v>2.9</v>
          </cell>
          <cell r="K98">
            <v>2.8</v>
          </cell>
          <cell r="L98">
            <v>3</v>
          </cell>
          <cell r="M98">
            <v>3</v>
          </cell>
          <cell r="N98">
            <v>3.8</v>
          </cell>
          <cell r="O98">
            <v>2.6</v>
          </cell>
          <cell r="P98">
            <v>3.6</v>
          </cell>
          <cell r="Q98">
            <v>1.6</v>
          </cell>
          <cell r="R98">
            <v>1.7</v>
          </cell>
          <cell r="S98">
            <v>3.6</v>
          </cell>
          <cell r="T98">
            <v>2.7</v>
          </cell>
          <cell r="U98">
            <v>2.9</v>
          </cell>
          <cell r="V98">
            <v>3.5</v>
          </cell>
          <cell r="W98">
            <v>4</v>
          </cell>
          <cell r="X98">
            <v>3.5</v>
          </cell>
          <cell r="Y98">
            <v>3.5</v>
          </cell>
          <cell r="Z98">
            <v>2.9</v>
          </cell>
          <cell r="AA98">
            <v>3.7</v>
          </cell>
          <cell r="AB98">
            <v>3.1</v>
          </cell>
          <cell r="AC98">
            <v>3.5</v>
          </cell>
          <cell r="AD98">
            <v>3.5</v>
          </cell>
          <cell r="AE98">
            <v>2.1</v>
          </cell>
          <cell r="AF98">
            <v>2</v>
          </cell>
          <cell r="AG98">
            <v>2.4</v>
          </cell>
          <cell r="AH98">
            <v>2.7</v>
          </cell>
          <cell r="AI98">
            <v>2.1</v>
          </cell>
          <cell r="AJ98">
            <v>2.2000000000000002</v>
          </cell>
          <cell r="AK98">
            <v>3.2</v>
          </cell>
          <cell r="AL98">
            <v>2.7</v>
          </cell>
          <cell r="AM98">
            <v>2.7</v>
          </cell>
          <cell r="AN98">
            <v>1.6</v>
          </cell>
          <cell r="AO98">
            <v>0.9</v>
          </cell>
          <cell r="AP98">
            <v>0.7</v>
          </cell>
          <cell r="AQ98">
            <v>0.6</v>
          </cell>
          <cell r="AR98">
            <v>0.7</v>
          </cell>
          <cell r="AS98">
            <v>0.7</v>
          </cell>
          <cell r="AT98">
            <v>0.8</v>
          </cell>
          <cell r="AU98">
            <v>0.7</v>
          </cell>
          <cell r="AV98">
            <v>0.5</v>
          </cell>
          <cell r="AW98">
            <v>0.6</v>
          </cell>
          <cell r="AX98">
            <v>0.9</v>
          </cell>
          <cell r="AY98">
            <v>0.7</v>
          </cell>
          <cell r="AZ98">
            <v>0.7</v>
          </cell>
          <cell r="BA98">
            <v>1.4</v>
          </cell>
          <cell r="BB98">
            <v>1.1000000000000001</v>
          </cell>
          <cell r="BC98">
            <v>0.7</v>
          </cell>
          <cell r="BD98">
            <v>1</v>
          </cell>
          <cell r="BE98">
            <v>0.9</v>
          </cell>
          <cell r="BF98">
            <v>0.9</v>
          </cell>
          <cell r="BG98">
            <v>0.9</v>
          </cell>
          <cell r="BH98">
            <v>1</v>
          </cell>
          <cell r="BI98">
            <v>1</v>
          </cell>
          <cell r="BJ98">
            <v>1</v>
          </cell>
          <cell r="BK98">
            <v>1.1000000000000001</v>
          </cell>
          <cell r="BL98">
            <v>1.1000000000000001</v>
          </cell>
          <cell r="BM98">
            <v>1</v>
          </cell>
          <cell r="BN98">
            <v>1.2</v>
          </cell>
          <cell r="BO98">
            <v>1.2</v>
          </cell>
          <cell r="BP98">
            <v>1</v>
          </cell>
          <cell r="BQ98">
            <v>0.9</v>
          </cell>
          <cell r="BR98">
            <v>0.5</v>
          </cell>
          <cell r="BS98">
            <v>0.8</v>
          </cell>
          <cell r="BT98">
            <v>0.9</v>
          </cell>
          <cell r="BU98">
            <v>0.9</v>
          </cell>
          <cell r="BV98">
            <v>0.9</v>
          </cell>
          <cell r="BW98">
            <v>1.1000000000000001</v>
          </cell>
          <cell r="BX98">
            <v>0.9</v>
          </cell>
          <cell r="BY98">
            <v>0.7</v>
          </cell>
          <cell r="BZ98">
            <v>0.8</v>
          </cell>
          <cell r="CA98">
            <v>1</v>
          </cell>
          <cell r="CB98">
            <v>0.9</v>
          </cell>
          <cell r="CC98">
            <v>1</v>
          </cell>
          <cell r="CD98">
            <v>0.9</v>
          </cell>
          <cell r="CE98">
            <v>0.8</v>
          </cell>
          <cell r="CF98">
            <v>1</v>
          </cell>
          <cell r="CG98">
            <v>1</v>
          </cell>
          <cell r="CH98">
            <v>0.9</v>
          </cell>
          <cell r="CI98">
            <v>0.7</v>
          </cell>
          <cell r="CJ98">
            <v>0.8</v>
          </cell>
          <cell r="CK98">
            <v>0.9</v>
          </cell>
          <cell r="CL98">
            <v>0.8</v>
          </cell>
          <cell r="CM98">
            <v>0.8</v>
          </cell>
          <cell r="CN98">
            <v>0.9</v>
          </cell>
          <cell r="CO98">
            <v>0.7</v>
          </cell>
          <cell r="CP98">
            <v>0.7</v>
          </cell>
          <cell r="CQ98">
            <v>-0.7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EM98">
            <v>37.699999999999996</v>
          </cell>
          <cell r="EN98">
            <v>20.8</v>
          </cell>
          <cell r="EO98">
            <v>10</v>
          </cell>
          <cell r="EP98">
            <v>12.299999999999999</v>
          </cell>
          <cell r="EQ98">
            <v>10.4</v>
          </cell>
          <cell r="ER98">
            <v>10.200000000000001</v>
          </cell>
          <cell r="ES98">
            <v>0</v>
          </cell>
        </row>
        <row r="99">
          <cell r="A99" t="str">
            <v>Other Operating Income / (Expense) Items</v>
          </cell>
          <cell r="B99" t="str">
            <v>Operating Revenue</v>
          </cell>
          <cell r="D99" t="str">
            <v>Commercial Base Revenue Billed (PGA)</v>
          </cell>
          <cell r="E99" t="str">
            <v>Operating Revenue</v>
          </cell>
          <cell r="F99" t="str">
            <v>4893002</v>
          </cell>
          <cell r="G99" t="str">
            <v>A_4893002</v>
          </cell>
          <cell r="H99" t="str">
            <v>Natural Gas Vehicle Sales Transportation-Swing</v>
          </cell>
          <cell r="J99">
            <v>0.4</v>
          </cell>
          <cell r="K99">
            <v>0.4</v>
          </cell>
          <cell r="L99">
            <v>0.4</v>
          </cell>
          <cell r="M99">
            <v>0.4</v>
          </cell>
          <cell r="N99">
            <v>0.5</v>
          </cell>
          <cell r="O99">
            <v>0.3</v>
          </cell>
          <cell r="P99">
            <v>0.5</v>
          </cell>
          <cell r="Q99">
            <v>0.2</v>
          </cell>
          <cell r="R99">
            <v>0.2</v>
          </cell>
          <cell r="S99">
            <v>0.5</v>
          </cell>
          <cell r="T99">
            <v>0.4</v>
          </cell>
          <cell r="U99">
            <v>0.4</v>
          </cell>
          <cell r="V99">
            <v>0.5</v>
          </cell>
          <cell r="W99">
            <v>0.6</v>
          </cell>
          <cell r="X99">
            <v>0.5</v>
          </cell>
          <cell r="Y99">
            <v>0.5</v>
          </cell>
          <cell r="Z99">
            <v>0.4</v>
          </cell>
          <cell r="AA99">
            <v>0.5</v>
          </cell>
          <cell r="AB99">
            <v>0.4</v>
          </cell>
          <cell r="AC99">
            <v>0.5</v>
          </cell>
          <cell r="AD99">
            <v>0.5</v>
          </cell>
          <cell r="AE99">
            <v>0.3</v>
          </cell>
          <cell r="AF99">
            <v>0.3</v>
          </cell>
          <cell r="AG99">
            <v>0.5</v>
          </cell>
          <cell r="AH99">
            <v>0.6</v>
          </cell>
          <cell r="AI99">
            <v>0.5</v>
          </cell>
          <cell r="AJ99">
            <v>0.5</v>
          </cell>
          <cell r="AK99">
            <v>0.7</v>
          </cell>
          <cell r="AL99">
            <v>0.6</v>
          </cell>
          <cell r="AM99">
            <v>0.6</v>
          </cell>
          <cell r="AN99">
            <v>0.3</v>
          </cell>
          <cell r="AO99">
            <v>0.2</v>
          </cell>
          <cell r="AP99">
            <v>0.1</v>
          </cell>
          <cell r="AQ99">
            <v>0.1</v>
          </cell>
          <cell r="AR99">
            <v>0.1</v>
          </cell>
          <cell r="AS99">
            <v>0.1</v>
          </cell>
          <cell r="AT99">
            <v>0.1</v>
          </cell>
          <cell r="AU99">
            <v>0.1</v>
          </cell>
          <cell r="AV99">
            <v>0.1</v>
          </cell>
          <cell r="AW99">
            <v>0.1</v>
          </cell>
          <cell r="AX99">
            <v>0.2</v>
          </cell>
          <cell r="AY99">
            <v>0.1</v>
          </cell>
          <cell r="AZ99">
            <v>0.1</v>
          </cell>
          <cell r="BA99">
            <v>0.3</v>
          </cell>
          <cell r="BB99">
            <v>0.2</v>
          </cell>
          <cell r="BC99">
            <v>0.1</v>
          </cell>
          <cell r="BD99">
            <v>0.2</v>
          </cell>
          <cell r="BE99">
            <v>0.2</v>
          </cell>
          <cell r="BF99">
            <v>0.2</v>
          </cell>
          <cell r="BG99">
            <v>0.2</v>
          </cell>
          <cell r="BH99">
            <v>0.2</v>
          </cell>
          <cell r="BI99">
            <v>0.2</v>
          </cell>
          <cell r="BJ99">
            <v>0.2</v>
          </cell>
          <cell r="BK99">
            <v>0.2</v>
          </cell>
          <cell r="BL99">
            <v>0.2</v>
          </cell>
          <cell r="BM99">
            <v>0.2</v>
          </cell>
          <cell r="BN99">
            <v>0.2</v>
          </cell>
          <cell r="BO99">
            <v>0.2</v>
          </cell>
          <cell r="BP99">
            <v>0.2</v>
          </cell>
          <cell r="BQ99">
            <v>0.2</v>
          </cell>
          <cell r="BR99">
            <v>0.1</v>
          </cell>
          <cell r="BS99">
            <v>0.2</v>
          </cell>
          <cell r="BT99">
            <v>0.2</v>
          </cell>
          <cell r="BU99">
            <v>0.2</v>
          </cell>
          <cell r="BV99">
            <v>0.2</v>
          </cell>
          <cell r="BW99">
            <v>0.2</v>
          </cell>
          <cell r="BX99">
            <v>0.2</v>
          </cell>
          <cell r="BY99">
            <v>0.1</v>
          </cell>
          <cell r="BZ99">
            <v>0.2</v>
          </cell>
          <cell r="CA99">
            <v>0.2</v>
          </cell>
          <cell r="CB99">
            <v>0.2</v>
          </cell>
          <cell r="CC99">
            <v>0.2</v>
          </cell>
          <cell r="CD99">
            <v>0.2</v>
          </cell>
          <cell r="CE99">
            <v>0.2</v>
          </cell>
          <cell r="CF99">
            <v>0.2</v>
          </cell>
          <cell r="CG99">
            <v>0.2</v>
          </cell>
          <cell r="CH99">
            <v>0.2</v>
          </cell>
          <cell r="CI99">
            <v>0.1</v>
          </cell>
          <cell r="CJ99">
            <v>0.2</v>
          </cell>
          <cell r="CK99">
            <v>0.2</v>
          </cell>
          <cell r="CL99">
            <v>0.2</v>
          </cell>
          <cell r="CM99">
            <v>0.1</v>
          </cell>
          <cell r="CN99">
            <v>0.2</v>
          </cell>
          <cell r="CO99">
            <v>0.1</v>
          </cell>
          <cell r="CP99">
            <v>0.1</v>
          </cell>
          <cell r="CQ99">
            <v>-0.1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EM99">
            <v>5.5</v>
          </cell>
          <cell r="EN99">
            <v>4.3999999999999986</v>
          </cell>
          <cell r="EO99">
            <v>1.8</v>
          </cell>
          <cell r="EP99">
            <v>2.4</v>
          </cell>
          <cell r="EQ99">
            <v>2.1999999999999997</v>
          </cell>
          <cell r="ER99">
            <v>2.1</v>
          </cell>
          <cell r="ES99">
            <v>0</v>
          </cell>
        </row>
        <row r="100">
          <cell r="A100" t="str">
            <v>Base Revenues and OSS - Net</v>
          </cell>
          <cell r="B100" t="str">
            <v>Operating Revenue</v>
          </cell>
          <cell r="D100" t="str">
            <v>Commercial Base Revenue Billed</v>
          </cell>
          <cell r="E100" t="str">
            <v>Operating Revenue</v>
          </cell>
          <cell r="F100" t="str">
            <v>4893004</v>
          </cell>
          <cell r="G100" t="str">
            <v>A_4893004</v>
          </cell>
          <cell r="H100" t="str">
            <v>Commercial Street Lighting Transportation</v>
          </cell>
          <cell r="J100">
            <v>8.9</v>
          </cell>
          <cell r="K100">
            <v>8.5</v>
          </cell>
          <cell r="L100">
            <v>8.1</v>
          </cell>
          <cell r="M100">
            <v>8.3000000000000007</v>
          </cell>
          <cell r="N100">
            <v>8.1999999999999993</v>
          </cell>
          <cell r="O100">
            <v>9.1</v>
          </cell>
          <cell r="P100">
            <v>8.5</v>
          </cell>
          <cell r="Q100">
            <v>8.5</v>
          </cell>
          <cell r="R100">
            <v>9.1999999999999993</v>
          </cell>
          <cell r="S100">
            <v>8.8000000000000007</v>
          </cell>
          <cell r="T100">
            <v>8.5</v>
          </cell>
          <cell r="U100">
            <v>8</v>
          </cell>
          <cell r="V100">
            <v>9.4</v>
          </cell>
          <cell r="W100">
            <v>8.8000000000000007</v>
          </cell>
          <cell r="X100">
            <v>8.8000000000000007</v>
          </cell>
          <cell r="Y100">
            <v>8.3000000000000007</v>
          </cell>
          <cell r="Z100">
            <v>8.4</v>
          </cell>
          <cell r="AA100">
            <v>9.6</v>
          </cell>
          <cell r="AB100">
            <v>8.3000000000000007</v>
          </cell>
          <cell r="AC100">
            <v>9.3000000000000007</v>
          </cell>
          <cell r="AD100">
            <v>8.6</v>
          </cell>
          <cell r="AE100">
            <v>8.6999999999999993</v>
          </cell>
          <cell r="AF100">
            <v>7.7</v>
          </cell>
          <cell r="AG100">
            <v>8.3000000000000007</v>
          </cell>
          <cell r="AH100">
            <v>9.1</v>
          </cell>
          <cell r="AI100">
            <v>8.3000000000000007</v>
          </cell>
          <cell r="AJ100">
            <v>8</v>
          </cell>
          <cell r="AK100">
            <v>8.5</v>
          </cell>
          <cell r="AL100">
            <v>8.6</v>
          </cell>
          <cell r="AM100">
            <v>8.4</v>
          </cell>
          <cell r="AN100">
            <v>8.1999999999999993</v>
          </cell>
          <cell r="AO100">
            <v>8</v>
          </cell>
          <cell r="AP100">
            <v>8.6999999999999993</v>
          </cell>
          <cell r="AQ100">
            <v>8</v>
          </cell>
          <cell r="AR100">
            <v>7.4</v>
          </cell>
          <cell r="AS100">
            <v>7.3</v>
          </cell>
          <cell r="AT100">
            <v>8.5</v>
          </cell>
          <cell r="AU100">
            <v>8.3000000000000007</v>
          </cell>
          <cell r="AV100">
            <v>8.1</v>
          </cell>
          <cell r="AW100">
            <v>7.8</v>
          </cell>
          <cell r="AX100">
            <v>8.6999999999999993</v>
          </cell>
          <cell r="AY100">
            <v>8.3000000000000007</v>
          </cell>
          <cell r="AZ100">
            <v>8.1</v>
          </cell>
          <cell r="BA100">
            <v>8.1999999999999993</v>
          </cell>
          <cell r="BB100">
            <v>8.1</v>
          </cell>
          <cell r="BC100">
            <v>7</v>
          </cell>
          <cell r="BD100">
            <v>7.7</v>
          </cell>
          <cell r="BE100">
            <v>8.4</v>
          </cell>
          <cell r="BF100">
            <v>11.3</v>
          </cell>
          <cell r="BG100">
            <v>8.6</v>
          </cell>
          <cell r="BH100">
            <v>7.9</v>
          </cell>
          <cell r="BI100">
            <v>8.6</v>
          </cell>
          <cell r="BJ100">
            <v>8.1999999999999993</v>
          </cell>
          <cell r="BK100">
            <v>9.1</v>
          </cell>
          <cell r="BL100">
            <v>8.4</v>
          </cell>
          <cell r="BM100">
            <v>-3.7</v>
          </cell>
          <cell r="BN100">
            <v>8.6</v>
          </cell>
          <cell r="BO100">
            <v>7.4</v>
          </cell>
          <cell r="BP100">
            <v>8.3000000000000007</v>
          </cell>
          <cell r="BQ100">
            <v>7.9</v>
          </cell>
          <cell r="BR100">
            <v>8.1999999999999993</v>
          </cell>
          <cell r="BS100">
            <v>7.3</v>
          </cell>
          <cell r="BT100">
            <v>7.5</v>
          </cell>
          <cell r="BU100">
            <v>3.7</v>
          </cell>
          <cell r="BV100">
            <v>7.7</v>
          </cell>
          <cell r="BW100">
            <v>7.2</v>
          </cell>
          <cell r="BX100">
            <v>7</v>
          </cell>
          <cell r="BY100">
            <v>7.2</v>
          </cell>
          <cell r="BZ100">
            <v>7</v>
          </cell>
          <cell r="CA100">
            <v>6.8</v>
          </cell>
          <cell r="CB100">
            <v>7.1</v>
          </cell>
          <cell r="CC100">
            <v>6.8</v>
          </cell>
          <cell r="CD100">
            <v>7.9</v>
          </cell>
          <cell r="CE100">
            <v>6.9</v>
          </cell>
          <cell r="CF100">
            <v>7</v>
          </cell>
          <cell r="CG100">
            <v>6.3</v>
          </cell>
          <cell r="CH100">
            <v>6.8</v>
          </cell>
          <cell r="CI100">
            <v>6.7</v>
          </cell>
          <cell r="CJ100">
            <v>7</v>
          </cell>
          <cell r="CK100">
            <v>7</v>
          </cell>
          <cell r="CL100">
            <v>6.7</v>
          </cell>
          <cell r="CM100">
            <v>6.9</v>
          </cell>
          <cell r="CN100">
            <v>7.1</v>
          </cell>
          <cell r="CO100">
            <v>7.3</v>
          </cell>
          <cell r="CP100">
            <v>11.2</v>
          </cell>
          <cell r="CQ100">
            <v>9.6999999999999993</v>
          </cell>
          <cell r="CR100">
            <v>10.5</v>
          </cell>
          <cell r="CS100">
            <v>10.8</v>
          </cell>
          <cell r="CT100">
            <v>10.1</v>
          </cell>
          <cell r="CU100">
            <v>10</v>
          </cell>
          <cell r="CV100">
            <v>10.5</v>
          </cell>
          <cell r="CW100">
            <v>10.5</v>
          </cell>
          <cell r="CX100">
            <v>11.2</v>
          </cell>
          <cell r="CY100">
            <v>10.1</v>
          </cell>
          <cell r="CZ100">
            <v>10.9</v>
          </cell>
          <cell r="DA100">
            <v>10.4</v>
          </cell>
          <cell r="DB100">
            <v>11.1</v>
          </cell>
          <cell r="DC100">
            <v>9.8000000000000007</v>
          </cell>
          <cell r="DD100">
            <v>10</v>
          </cell>
          <cell r="DE100">
            <v>10</v>
          </cell>
          <cell r="DF100">
            <v>11.2</v>
          </cell>
          <cell r="DG100">
            <v>9.5</v>
          </cell>
          <cell r="DH100">
            <v>10.1</v>
          </cell>
          <cell r="DI100">
            <v>10.199999999999999</v>
          </cell>
          <cell r="DJ100">
            <v>10.7</v>
          </cell>
          <cell r="DK100">
            <v>11.8</v>
          </cell>
          <cell r="DL100">
            <v>9.5</v>
          </cell>
          <cell r="DM100">
            <v>10.8</v>
          </cell>
          <cell r="DN100">
            <v>10.5</v>
          </cell>
          <cell r="DO100">
            <v>9</v>
          </cell>
          <cell r="DP100">
            <v>10.9</v>
          </cell>
          <cell r="DQ100">
            <v>10.9</v>
          </cell>
          <cell r="DR100">
            <v>9.6999999999999993</v>
          </cell>
          <cell r="DS100">
            <v>9.9</v>
          </cell>
          <cell r="DT100">
            <v>10.9</v>
          </cell>
          <cell r="DU100">
            <v>11.1</v>
          </cell>
          <cell r="DV100">
            <v>10.9</v>
          </cell>
          <cell r="DW100">
            <v>10.9</v>
          </cell>
          <cell r="DX100">
            <v>13.1</v>
          </cell>
          <cell r="DY100">
            <v>14.5</v>
          </cell>
          <cell r="EM100">
            <v>104.2</v>
          </cell>
          <cell r="EN100">
            <v>98.5</v>
          </cell>
          <cell r="EO100">
            <v>97.199999999999989</v>
          </cell>
          <cell r="EP100">
            <v>90.6</v>
          </cell>
          <cell r="EQ100">
            <v>83.5</v>
          </cell>
          <cell r="ER100">
            <v>83.6</v>
          </cell>
          <cell r="ES100">
            <v>125.90000000000002</v>
          </cell>
        </row>
        <row r="101">
          <cell r="A101" t="str">
            <v>Other Operating Income / (Expense) Items</v>
          </cell>
          <cell r="B101" t="str">
            <v>Operating Revenue</v>
          </cell>
          <cell r="D101" t="str">
            <v>Commercial Base Revenue Billed (PGA)</v>
          </cell>
          <cell r="E101" t="str">
            <v>Operating Revenue</v>
          </cell>
          <cell r="F101" t="str">
            <v>4893005</v>
          </cell>
          <cell r="G101" t="str">
            <v>A_4893005</v>
          </cell>
          <cell r="H101" t="str">
            <v>Commercial Street Lighting Transportation-Swing</v>
          </cell>
          <cell r="J101">
            <v>0.6</v>
          </cell>
          <cell r="K101">
            <v>0.5</v>
          </cell>
          <cell r="L101">
            <v>0.5</v>
          </cell>
          <cell r="M101">
            <v>0.5</v>
          </cell>
          <cell r="N101">
            <v>0.5</v>
          </cell>
          <cell r="O101">
            <v>0.6</v>
          </cell>
          <cell r="P101">
            <v>0.5</v>
          </cell>
          <cell r="Q101">
            <v>0.5</v>
          </cell>
          <cell r="R101">
            <v>0.6</v>
          </cell>
          <cell r="S101">
            <v>0.6</v>
          </cell>
          <cell r="T101">
            <v>0.5</v>
          </cell>
          <cell r="U101">
            <v>0.5</v>
          </cell>
          <cell r="V101">
            <v>0.6</v>
          </cell>
          <cell r="W101">
            <v>0.6</v>
          </cell>
          <cell r="X101">
            <v>0.5</v>
          </cell>
          <cell r="Y101">
            <v>0.5</v>
          </cell>
          <cell r="Z101">
            <v>0.5</v>
          </cell>
          <cell r="AA101">
            <v>0.6</v>
          </cell>
          <cell r="AB101">
            <v>0.5</v>
          </cell>
          <cell r="AC101">
            <v>0.6</v>
          </cell>
          <cell r="AD101">
            <v>0.5</v>
          </cell>
          <cell r="AE101">
            <v>0.5</v>
          </cell>
          <cell r="AF101">
            <v>0.5</v>
          </cell>
          <cell r="AG101">
            <v>0.3</v>
          </cell>
          <cell r="AH101">
            <v>0.3</v>
          </cell>
          <cell r="AI101">
            <v>0.3</v>
          </cell>
          <cell r="AJ101">
            <v>0.3</v>
          </cell>
          <cell r="AK101">
            <v>0.3</v>
          </cell>
          <cell r="AL101">
            <v>0.3</v>
          </cell>
          <cell r="AM101">
            <v>0.3</v>
          </cell>
          <cell r="AN101">
            <v>0.3</v>
          </cell>
          <cell r="AO101">
            <v>0.3</v>
          </cell>
          <cell r="AP101">
            <v>0.3</v>
          </cell>
          <cell r="AQ101">
            <v>0.3</v>
          </cell>
          <cell r="AR101">
            <v>0.3</v>
          </cell>
          <cell r="AS101">
            <v>0.3</v>
          </cell>
          <cell r="AT101">
            <v>0.3</v>
          </cell>
          <cell r="AU101">
            <v>0.3</v>
          </cell>
          <cell r="AV101">
            <v>0.3</v>
          </cell>
          <cell r="AW101">
            <v>0.3</v>
          </cell>
          <cell r="AX101">
            <v>0.3</v>
          </cell>
          <cell r="AY101">
            <v>0.3</v>
          </cell>
          <cell r="AZ101">
            <v>0.3</v>
          </cell>
          <cell r="BA101">
            <v>0.3</v>
          </cell>
          <cell r="BB101">
            <v>0.3</v>
          </cell>
          <cell r="BC101">
            <v>0.3</v>
          </cell>
          <cell r="BD101">
            <v>0.3</v>
          </cell>
          <cell r="BE101">
            <v>0.3</v>
          </cell>
          <cell r="BF101">
            <v>0.4</v>
          </cell>
          <cell r="BG101">
            <v>0.3</v>
          </cell>
          <cell r="BH101">
            <v>0.3</v>
          </cell>
          <cell r="BI101">
            <v>0.3</v>
          </cell>
          <cell r="BJ101">
            <v>0.3</v>
          </cell>
          <cell r="BK101">
            <v>0.3</v>
          </cell>
          <cell r="BL101">
            <v>0.3</v>
          </cell>
          <cell r="BM101">
            <v>-0.1</v>
          </cell>
          <cell r="BN101">
            <v>0.3</v>
          </cell>
          <cell r="BO101">
            <v>0.3</v>
          </cell>
          <cell r="BP101">
            <v>0.3</v>
          </cell>
          <cell r="BQ101">
            <v>0.3</v>
          </cell>
          <cell r="BR101">
            <v>0.3</v>
          </cell>
          <cell r="BS101">
            <v>0.3</v>
          </cell>
          <cell r="BT101">
            <v>0.3</v>
          </cell>
          <cell r="BU101">
            <v>0.2</v>
          </cell>
          <cell r="BV101">
            <v>0.3</v>
          </cell>
          <cell r="BW101">
            <v>0.3</v>
          </cell>
          <cell r="BX101">
            <v>0.3</v>
          </cell>
          <cell r="BY101">
            <v>0.3</v>
          </cell>
          <cell r="BZ101">
            <v>0.3</v>
          </cell>
          <cell r="CA101">
            <v>0.3</v>
          </cell>
          <cell r="CB101">
            <v>0.3</v>
          </cell>
          <cell r="CC101">
            <v>0.3</v>
          </cell>
          <cell r="CD101">
            <v>0.3</v>
          </cell>
          <cell r="CE101">
            <v>0.3</v>
          </cell>
          <cell r="CF101">
            <v>0.3</v>
          </cell>
          <cell r="CG101">
            <v>0.2</v>
          </cell>
          <cell r="CH101">
            <v>0.3</v>
          </cell>
          <cell r="CI101">
            <v>0.3</v>
          </cell>
          <cell r="CJ101">
            <v>0.3</v>
          </cell>
          <cell r="CK101">
            <v>0.3</v>
          </cell>
          <cell r="CL101">
            <v>0.3</v>
          </cell>
          <cell r="CM101">
            <v>0.3</v>
          </cell>
          <cell r="CN101">
            <v>0.3</v>
          </cell>
          <cell r="CO101">
            <v>0.3</v>
          </cell>
          <cell r="CP101">
            <v>0.3</v>
          </cell>
          <cell r="CQ101">
            <v>0.3</v>
          </cell>
          <cell r="CR101">
            <v>0.3</v>
          </cell>
          <cell r="CS101">
            <v>0.3</v>
          </cell>
          <cell r="CT101">
            <v>0.3</v>
          </cell>
          <cell r="CU101">
            <v>0.3</v>
          </cell>
          <cell r="CV101">
            <v>0.3</v>
          </cell>
          <cell r="CW101">
            <v>0.3</v>
          </cell>
          <cell r="CX101">
            <v>0.3</v>
          </cell>
          <cell r="CY101">
            <v>0.3</v>
          </cell>
          <cell r="CZ101">
            <v>0.3</v>
          </cell>
          <cell r="DA101">
            <v>0.3</v>
          </cell>
          <cell r="DB101">
            <v>0.3</v>
          </cell>
          <cell r="DC101">
            <v>0.3</v>
          </cell>
          <cell r="DD101">
            <v>0.3</v>
          </cell>
          <cell r="DE101">
            <v>0.3</v>
          </cell>
          <cell r="DF101">
            <v>0.3</v>
          </cell>
          <cell r="DG101">
            <v>0.2</v>
          </cell>
          <cell r="DH101">
            <v>0.3</v>
          </cell>
          <cell r="DI101">
            <v>0.3</v>
          </cell>
          <cell r="DJ101">
            <v>0.3</v>
          </cell>
          <cell r="DK101">
            <v>0.3</v>
          </cell>
          <cell r="DL101">
            <v>0.2</v>
          </cell>
          <cell r="DM101">
            <v>0.3</v>
          </cell>
          <cell r="DN101">
            <v>0.3</v>
          </cell>
          <cell r="DO101">
            <v>0.3</v>
          </cell>
          <cell r="DP101">
            <v>0.3</v>
          </cell>
          <cell r="DQ101">
            <v>0.2</v>
          </cell>
          <cell r="DR101">
            <v>0.3</v>
          </cell>
          <cell r="DS101">
            <v>0.3</v>
          </cell>
          <cell r="DT101">
            <v>0.3</v>
          </cell>
          <cell r="DU101">
            <v>0.3</v>
          </cell>
          <cell r="DV101">
            <v>0.3</v>
          </cell>
          <cell r="DW101">
            <v>0.3</v>
          </cell>
          <cell r="DX101">
            <v>0.3</v>
          </cell>
          <cell r="DY101">
            <v>0.3</v>
          </cell>
          <cell r="EM101">
            <v>6.2</v>
          </cell>
          <cell r="EN101">
            <v>3.5999999999999992</v>
          </cell>
          <cell r="EO101">
            <v>3.5999999999999992</v>
          </cell>
          <cell r="EP101">
            <v>3.2999999999999994</v>
          </cell>
          <cell r="EQ101">
            <v>3.4999999999999991</v>
          </cell>
          <cell r="ER101">
            <v>3.4999999999999991</v>
          </cell>
          <cell r="ES101">
            <v>3.5999999999999992</v>
          </cell>
        </row>
        <row r="102">
          <cell r="A102" t="str">
            <v>Base Revenues and OSS - Net</v>
          </cell>
          <cell r="B102" t="str">
            <v>Operating Revenue</v>
          </cell>
          <cell r="D102" t="str">
            <v>Commercial Base Revenue Billed</v>
          </cell>
          <cell r="E102" t="str">
            <v>Operating Revenue</v>
          </cell>
          <cell r="F102" t="str">
            <v>4893008</v>
          </cell>
          <cell r="G102" t="str">
            <v>A_4893008</v>
          </cell>
          <cell r="H102" t="str">
            <v>General Service Small Transportation</v>
          </cell>
          <cell r="J102">
            <v>214.8</v>
          </cell>
          <cell r="K102">
            <v>226.8</v>
          </cell>
          <cell r="L102">
            <v>173.2</v>
          </cell>
          <cell r="M102">
            <v>162.19999999999999</v>
          </cell>
          <cell r="N102">
            <v>147.6</v>
          </cell>
          <cell r="O102">
            <v>148.4</v>
          </cell>
          <cell r="P102">
            <v>144.1</v>
          </cell>
          <cell r="Q102">
            <v>140.80000000000001</v>
          </cell>
          <cell r="R102">
            <v>169.8</v>
          </cell>
          <cell r="S102">
            <v>158.6</v>
          </cell>
          <cell r="T102">
            <v>170.4</v>
          </cell>
          <cell r="U102">
            <v>196.2</v>
          </cell>
          <cell r="V102">
            <v>212.3</v>
          </cell>
          <cell r="W102">
            <v>214.2</v>
          </cell>
          <cell r="X102">
            <v>214.9</v>
          </cell>
          <cell r="Y102">
            <v>162.80000000000001</v>
          </cell>
          <cell r="Z102">
            <v>159.5</v>
          </cell>
          <cell r="AA102">
            <v>170.2</v>
          </cell>
          <cell r="AB102">
            <v>170.8</v>
          </cell>
          <cell r="AC102">
            <v>175.5</v>
          </cell>
          <cell r="AD102">
            <v>172.8</v>
          </cell>
          <cell r="AE102">
            <v>194.1</v>
          </cell>
          <cell r="AF102">
            <v>210.5</v>
          </cell>
          <cell r="AG102">
            <v>223.3</v>
          </cell>
          <cell r="AH102">
            <v>244.9</v>
          </cell>
          <cell r="AI102">
            <v>264.2</v>
          </cell>
          <cell r="AJ102">
            <v>194</v>
          </cell>
          <cell r="AK102">
            <v>197</v>
          </cell>
          <cell r="AL102">
            <v>187.3</v>
          </cell>
          <cell r="AM102">
            <v>178.8</v>
          </cell>
          <cell r="AN102">
            <v>164.7</v>
          </cell>
          <cell r="AO102">
            <v>172.2</v>
          </cell>
          <cell r="AP102">
            <v>198.8</v>
          </cell>
          <cell r="AQ102">
            <v>180.9</v>
          </cell>
          <cell r="AR102">
            <v>200.9</v>
          </cell>
          <cell r="AS102">
            <v>225.3</v>
          </cell>
          <cell r="AT102">
            <v>246.3</v>
          </cell>
          <cell r="AU102">
            <v>233.5</v>
          </cell>
          <cell r="AV102">
            <v>224.4</v>
          </cell>
          <cell r="AW102">
            <v>240.7</v>
          </cell>
          <cell r="AX102">
            <v>205.6</v>
          </cell>
          <cell r="AY102">
            <v>199.2</v>
          </cell>
          <cell r="AZ102">
            <v>189.7</v>
          </cell>
          <cell r="BA102">
            <v>192.2</v>
          </cell>
          <cell r="BB102">
            <v>214.3</v>
          </cell>
          <cell r="BC102">
            <v>205.2</v>
          </cell>
          <cell r="BD102">
            <v>230.4</v>
          </cell>
          <cell r="BE102">
            <v>243.3</v>
          </cell>
          <cell r="BF102">
            <v>394.7</v>
          </cell>
          <cell r="BG102">
            <v>431.6</v>
          </cell>
          <cell r="BH102">
            <v>49.8</v>
          </cell>
          <cell r="BI102">
            <v>323.7</v>
          </cell>
          <cell r="BJ102">
            <v>218.3</v>
          </cell>
          <cell r="BK102">
            <v>220.9</v>
          </cell>
          <cell r="BL102">
            <v>211.6</v>
          </cell>
          <cell r="BM102">
            <v>204.9</v>
          </cell>
          <cell r="BN102">
            <v>235.2</v>
          </cell>
          <cell r="BO102">
            <v>220.5</v>
          </cell>
          <cell r="BP102">
            <v>236</v>
          </cell>
          <cell r="BQ102">
            <v>275</v>
          </cell>
          <cell r="BR102">
            <v>294.10000000000002</v>
          </cell>
          <cell r="BS102">
            <v>259.89999999999998</v>
          </cell>
          <cell r="BT102">
            <v>253.3</v>
          </cell>
          <cell r="BU102">
            <v>242.6</v>
          </cell>
          <cell r="BV102">
            <v>222</v>
          </cell>
          <cell r="BW102">
            <v>219.2</v>
          </cell>
          <cell r="BX102">
            <v>189.4</v>
          </cell>
          <cell r="BY102">
            <v>254.8</v>
          </cell>
          <cell r="BZ102">
            <v>128.5</v>
          </cell>
          <cell r="CA102">
            <v>230.1</v>
          </cell>
          <cell r="CB102">
            <v>243.3</v>
          </cell>
          <cell r="CC102">
            <v>252</v>
          </cell>
          <cell r="CD102">
            <v>273.3</v>
          </cell>
          <cell r="CE102">
            <v>274.3</v>
          </cell>
          <cell r="CF102">
            <v>245.1</v>
          </cell>
          <cell r="CG102">
            <v>177</v>
          </cell>
          <cell r="CH102">
            <v>168</v>
          </cell>
          <cell r="CI102">
            <v>193.6</v>
          </cell>
          <cell r="CJ102">
            <v>183.9</v>
          </cell>
          <cell r="CK102">
            <v>188.5</v>
          </cell>
          <cell r="CL102">
            <v>186.2</v>
          </cell>
          <cell r="CM102">
            <v>198.9</v>
          </cell>
          <cell r="CN102">
            <v>210.3</v>
          </cell>
          <cell r="CO102">
            <v>263.89999999999998</v>
          </cell>
          <cell r="CP102">
            <v>388.6</v>
          </cell>
          <cell r="CQ102">
            <v>329.6</v>
          </cell>
          <cell r="CR102">
            <v>340.8</v>
          </cell>
          <cell r="CS102">
            <v>283</v>
          </cell>
          <cell r="CT102">
            <v>266.3</v>
          </cell>
          <cell r="CU102">
            <v>253.5</v>
          </cell>
          <cell r="CV102">
            <v>295.5</v>
          </cell>
          <cell r="CW102">
            <v>277.5</v>
          </cell>
          <cell r="CX102">
            <v>309.10000000000002</v>
          </cell>
          <cell r="CY102">
            <v>301.60000000000002</v>
          </cell>
          <cell r="CZ102">
            <v>345.3</v>
          </cell>
          <cell r="DA102">
            <v>385.6</v>
          </cell>
          <cell r="DB102">
            <v>377.4</v>
          </cell>
          <cell r="DC102">
            <v>420.7</v>
          </cell>
          <cell r="DD102">
            <v>348.2</v>
          </cell>
          <cell r="DE102">
            <v>342.3</v>
          </cell>
          <cell r="DF102">
            <v>329.8</v>
          </cell>
          <cell r="DG102">
            <v>287.60000000000002</v>
          </cell>
          <cell r="DH102">
            <v>242.1</v>
          </cell>
          <cell r="DI102">
            <v>257.5</v>
          </cell>
          <cell r="DJ102">
            <v>274.2</v>
          </cell>
          <cell r="DK102">
            <v>311.2</v>
          </cell>
          <cell r="DL102">
            <v>293.5</v>
          </cell>
          <cell r="DM102">
            <v>340</v>
          </cell>
          <cell r="DN102">
            <v>392.9</v>
          </cell>
          <cell r="DO102">
            <v>414.8</v>
          </cell>
          <cell r="DP102">
            <v>305.39999999999998</v>
          </cell>
          <cell r="DQ102">
            <v>332.5</v>
          </cell>
          <cell r="DR102">
            <v>299.5</v>
          </cell>
          <cell r="DS102">
            <v>296.10000000000002</v>
          </cell>
          <cell r="DT102">
            <v>255.9</v>
          </cell>
          <cell r="DU102">
            <v>279.7</v>
          </cell>
          <cell r="DV102">
            <v>288.89999999999998</v>
          </cell>
          <cell r="DW102">
            <v>283.5</v>
          </cell>
          <cell r="DX102">
            <v>322.89999999999998</v>
          </cell>
          <cell r="DY102">
            <v>369.8</v>
          </cell>
          <cell r="EM102">
            <v>2280.9</v>
          </cell>
          <cell r="EN102">
            <v>2409.0000000000005</v>
          </cell>
          <cell r="EO102">
            <v>2624.8</v>
          </cell>
          <cell r="EP102">
            <v>3022.2</v>
          </cell>
          <cell r="EQ102">
            <v>2789.2000000000003</v>
          </cell>
          <cell r="ER102">
            <v>2563.0000000000005</v>
          </cell>
          <cell r="ES102">
            <v>3776.4</v>
          </cell>
        </row>
        <row r="103">
          <cell r="A103" t="str">
            <v>Other Operating Income / (Expense) Items</v>
          </cell>
          <cell r="B103" t="str">
            <v>Operating Revenue</v>
          </cell>
          <cell r="D103" t="str">
            <v>Commercial Base Revenue Billed (PGA)</v>
          </cell>
          <cell r="E103" t="str">
            <v>Operating Revenue</v>
          </cell>
          <cell r="F103" t="str">
            <v>4893009</v>
          </cell>
          <cell r="G103" t="str">
            <v>A_4893009</v>
          </cell>
          <cell r="H103" t="str">
            <v>General Service Small Transportation-Swing</v>
          </cell>
          <cell r="J103">
            <v>10.7</v>
          </cell>
          <cell r="K103">
            <v>12.3</v>
          </cell>
          <cell r="L103">
            <v>9.8000000000000007</v>
          </cell>
          <cell r="M103">
            <v>8.5</v>
          </cell>
          <cell r="N103">
            <v>7.2</v>
          </cell>
          <cell r="O103">
            <v>6.8</v>
          </cell>
          <cell r="P103">
            <v>5.8</v>
          </cell>
          <cell r="Q103">
            <v>5.5</v>
          </cell>
          <cell r="R103">
            <v>7</v>
          </cell>
          <cell r="S103">
            <v>6.9</v>
          </cell>
          <cell r="T103">
            <v>7.5</v>
          </cell>
          <cell r="U103">
            <v>9.1999999999999993</v>
          </cell>
          <cell r="V103">
            <v>10.6</v>
          </cell>
          <cell r="W103">
            <v>11.2</v>
          </cell>
          <cell r="X103">
            <v>11.4</v>
          </cell>
          <cell r="Y103">
            <v>8.6</v>
          </cell>
          <cell r="Z103">
            <v>7.5</v>
          </cell>
          <cell r="AA103">
            <v>7.7</v>
          </cell>
          <cell r="AB103">
            <v>6.1</v>
          </cell>
          <cell r="AC103">
            <v>6.6</v>
          </cell>
          <cell r="AD103">
            <v>6.7</v>
          </cell>
          <cell r="AE103">
            <v>7.3</v>
          </cell>
          <cell r="AF103">
            <v>7.8</v>
          </cell>
          <cell r="AG103">
            <v>12.7</v>
          </cell>
          <cell r="AH103">
            <v>14.9</v>
          </cell>
          <cell r="AI103">
            <v>18.399999999999999</v>
          </cell>
          <cell r="AJ103">
            <v>15.9</v>
          </cell>
          <cell r="AK103">
            <v>13.5</v>
          </cell>
          <cell r="AL103">
            <v>12.3</v>
          </cell>
          <cell r="AM103">
            <v>11.3</v>
          </cell>
          <cell r="AN103">
            <v>8.9</v>
          </cell>
          <cell r="AO103">
            <v>9</v>
          </cell>
          <cell r="AP103">
            <v>11</v>
          </cell>
          <cell r="AQ103">
            <v>10.3</v>
          </cell>
          <cell r="AR103">
            <v>11.6</v>
          </cell>
          <cell r="AS103">
            <v>13.9</v>
          </cell>
          <cell r="AT103">
            <v>16.3</v>
          </cell>
          <cell r="AU103">
            <v>16.100000000000001</v>
          </cell>
          <cell r="AV103">
            <v>15.2</v>
          </cell>
          <cell r="AW103">
            <v>16.2</v>
          </cell>
          <cell r="AX103">
            <v>13.9</v>
          </cell>
          <cell r="AY103">
            <v>12.6</v>
          </cell>
          <cell r="AZ103">
            <v>10</v>
          </cell>
          <cell r="BA103">
            <v>9.9</v>
          </cell>
          <cell r="BB103">
            <v>11.8</v>
          </cell>
          <cell r="BC103">
            <v>11.2</v>
          </cell>
          <cell r="BD103">
            <v>13.6</v>
          </cell>
          <cell r="BE103">
            <v>15.6</v>
          </cell>
          <cell r="BF103">
            <v>27.2</v>
          </cell>
          <cell r="BG103">
            <v>34.1</v>
          </cell>
          <cell r="BH103">
            <v>7.2</v>
          </cell>
          <cell r="BI103">
            <v>19.2</v>
          </cell>
          <cell r="BJ103">
            <v>15.1</v>
          </cell>
          <cell r="BK103">
            <v>14.4</v>
          </cell>
          <cell r="BL103">
            <v>11.7</v>
          </cell>
          <cell r="BM103">
            <v>11.1</v>
          </cell>
          <cell r="BN103">
            <v>13.5</v>
          </cell>
          <cell r="BO103">
            <v>12.4</v>
          </cell>
          <cell r="BP103">
            <v>13.5</v>
          </cell>
          <cell r="BQ103">
            <v>17.7</v>
          </cell>
          <cell r="BR103">
            <v>21.6</v>
          </cell>
          <cell r="BS103">
            <v>21.4</v>
          </cell>
          <cell r="BT103">
            <v>17.8</v>
          </cell>
          <cell r="BU103">
            <v>17.3</v>
          </cell>
          <cell r="BV103">
            <v>15.5</v>
          </cell>
          <cell r="BW103">
            <v>14.6</v>
          </cell>
          <cell r="BX103">
            <v>11.5</v>
          </cell>
          <cell r="BY103">
            <v>15.9</v>
          </cell>
          <cell r="BZ103">
            <v>7.3</v>
          </cell>
          <cell r="CA103">
            <v>12.6</v>
          </cell>
          <cell r="CB103">
            <v>14.1</v>
          </cell>
          <cell r="CC103">
            <v>17.8</v>
          </cell>
          <cell r="CD103">
            <v>19.3</v>
          </cell>
          <cell r="CE103">
            <v>20.2</v>
          </cell>
          <cell r="CF103">
            <v>18.8</v>
          </cell>
          <cell r="CG103">
            <v>11.6</v>
          </cell>
          <cell r="CH103">
            <v>9.1</v>
          </cell>
          <cell r="CI103">
            <v>10.4</v>
          </cell>
          <cell r="CJ103">
            <v>10.1</v>
          </cell>
          <cell r="CK103">
            <v>10.3</v>
          </cell>
          <cell r="CL103">
            <v>10.3</v>
          </cell>
          <cell r="CM103">
            <v>11.2</v>
          </cell>
          <cell r="CN103">
            <v>12.8</v>
          </cell>
          <cell r="CO103">
            <v>16.2</v>
          </cell>
          <cell r="CP103">
            <v>21.9</v>
          </cell>
          <cell r="CQ103">
            <v>21.9</v>
          </cell>
          <cell r="CR103">
            <v>20.5</v>
          </cell>
          <cell r="CS103">
            <v>17.2</v>
          </cell>
          <cell r="CT103">
            <v>15</v>
          </cell>
          <cell r="CU103">
            <v>13.4</v>
          </cell>
          <cell r="CV103">
            <v>12.8</v>
          </cell>
          <cell r="CW103">
            <v>12.4</v>
          </cell>
          <cell r="CX103">
            <v>14.4</v>
          </cell>
          <cell r="CY103">
            <v>14.5</v>
          </cell>
          <cell r="CZ103">
            <v>17.8</v>
          </cell>
          <cell r="DA103">
            <v>21.5</v>
          </cell>
          <cell r="DB103">
            <v>20.9</v>
          </cell>
          <cell r="DC103">
            <v>26.3</v>
          </cell>
          <cell r="DD103">
            <v>21.9</v>
          </cell>
          <cell r="DE103">
            <v>20.100000000000001</v>
          </cell>
          <cell r="DF103">
            <v>18.7</v>
          </cell>
          <cell r="DG103">
            <v>15.5</v>
          </cell>
          <cell r="DH103">
            <v>11.1</v>
          </cell>
          <cell r="DI103">
            <v>10.9</v>
          </cell>
          <cell r="DJ103">
            <v>12.6</v>
          </cell>
          <cell r="DK103">
            <v>14.3</v>
          </cell>
          <cell r="DL103">
            <v>14.4</v>
          </cell>
          <cell r="DM103">
            <v>17.5</v>
          </cell>
          <cell r="DN103">
            <v>20.6</v>
          </cell>
          <cell r="DO103">
            <v>20.8</v>
          </cell>
          <cell r="DP103">
            <v>17.2</v>
          </cell>
          <cell r="DQ103">
            <v>17.399999999999999</v>
          </cell>
          <cell r="DR103">
            <v>15.3</v>
          </cell>
          <cell r="DS103">
            <v>14.3</v>
          </cell>
          <cell r="DT103">
            <v>12</v>
          </cell>
          <cell r="DU103">
            <v>15.1</v>
          </cell>
          <cell r="DV103">
            <v>7.3</v>
          </cell>
          <cell r="DW103">
            <v>12.3</v>
          </cell>
          <cell r="DX103">
            <v>14</v>
          </cell>
          <cell r="DY103">
            <v>17.5</v>
          </cell>
          <cell r="EM103">
            <v>104.2</v>
          </cell>
          <cell r="EN103">
            <v>151</v>
          </cell>
          <cell r="EO103">
            <v>162.4</v>
          </cell>
          <cell r="EP103">
            <v>197.1</v>
          </cell>
          <cell r="EQ103">
            <v>187.4</v>
          </cell>
          <cell r="ER103">
            <v>160.29999999999998</v>
          </cell>
          <cell r="ES103">
            <v>203.3</v>
          </cell>
        </row>
        <row r="104">
          <cell r="A104" t="str">
            <v>Base Revenues and OSS - Net</v>
          </cell>
          <cell r="B104" t="str">
            <v>Operating Revenue</v>
          </cell>
          <cell r="D104" t="str">
            <v>Commercial Base Revenue Billed</v>
          </cell>
          <cell r="E104" t="str">
            <v>Operating Revenue</v>
          </cell>
          <cell r="F104" t="str">
            <v>4893033</v>
          </cell>
          <cell r="G104" t="str">
            <v>A_4893033</v>
          </cell>
          <cell r="H104" t="str">
            <v>Commercial Gas Heat Pump Transportation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1.6</v>
          </cell>
          <cell r="BN104">
            <v>-1.6</v>
          </cell>
          <cell r="BO104">
            <v>0</v>
          </cell>
          <cell r="BP104">
            <v>0.2</v>
          </cell>
          <cell r="BQ104">
            <v>-0.2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0.1</v>
          </cell>
          <cell r="DB104">
            <v>0.1</v>
          </cell>
          <cell r="DC104">
            <v>0.1</v>
          </cell>
          <cell r="DD104">
            <v>0.1</v>
          </cell>
          <cell r="DE104">
            <v>0.1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0.1</v>
          </cell>
          <cell r="DL104">
            <v>0.2</v>
          </cell>
          <cell r="DM104">
            <v>0.3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0.1</v>
          </cell>
        </row>
        <row r="105">
          <cell r="A105" t="str">
            <v>Other Operating Income / (Expense) Items</v>
          </cell>
          <cell r="B105" t="str">
            <v>Operating Revenue</v>
          </cell>
          <cell r="D105" t="str">
            <v>Commercial Base Revenue Billed (PGA)</v>
          </cell>
          <cell r="E105" t="str">
            <v>Operating Revenue</v>
          </cell>
          <cell r="F105" t="str">
            <v>4893034</v>
          </cell>
          <cell r="G105" t="str">
            <v>A_4893034</v>
          </cell>
          <cell r="H105" t="str">
            <v>Commercial Gas Heat Pump Transportation-Swing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</row>
        <row r="106">
          <cell r="A106" t="str">
            <v>Base Revenues and OSS - Net</v>
          </cell>
          <cell r="B106" t="str">
            <v>Operating Revenue</v>
          </cell>
          <cell r="D106" t="str">
            <v>Commercial Base Revenue Billed</v>
          </cell>
          <cell r="E106" t="str">
            <v>Operating Revenue</v>
          </cell>
          <cell r="F106" t="str">
            <v>4893035</v>
          </cell>
          <cell r="G106" t="str">
            <v>A_4893035</v>
          </cell>
          <cell r="H106" t="str">
            <v>Commercial Transportation Standby Generator</v>
          </cell>
          <cell r="J106">
            <v>4.0999999999999996</v>
          </cell>
          <cell r="K106">
            <v>4.0999999999999996</v>
          </cell>
          <cell r="L106">
            <v>4</v>
          </cell>
          <cell r="M106">
            <v>4</v>
          </cell>
          <cell r="N106">
            <v>4.2</v>
          </cell>
          <cell r="O106">
            <v>4.4000000000000004</v>
          </cell>
          <cell r="P106">
            <v>4.0999999999999996</v>
          </cell>
          <cell r="Q106">
            <v>4.3</v>
          </cell>
          <cell r="R106">
            <v>4.5</v>
          </cell>
          <cell r="S106">
            <v>4.9000000000000004</v>
          </cell>
          <cell r="T106">
            <v>5</v>
          </cell>
          <cell r="U106">
            <v>5.5</v>
          </cell>
          <cell r="V106">
            <v>5</v>
          </cell>
          <cell r="W106">
            <v>5.0999999999999996</v>
          </cell>
          <cell r="X106">
            <v>5.5</v>
          </cell>
          <cell r="Y106">
            <v>5.0999999999999996</v>
          </cell>
          <cell r="Z106">
            <v>5.2</v>
          </cell>
          <cell r="AA106">
            <v>5</v>
          </cell>
          <cell r="AB106">
            <v>4.9000000000000004</v>
          </cell>
          <cell r="AC106">
            <v>4.7</v>
          </cell>
          <cell r="AD106">
            <v>4.5999999999999996</v>
          </cell>
          <cell r="AE106">
            <v>4.8</v>
          </cell>
          <cell r="AF106">
            <v>5.5</v>
          </cell>
          <cell r="AG106">
            <v>5.8</v>
          </cell>
          <cell r="AH106">
            <v>6.1</v>
          </cell>
          <cell r="AI106">
            <v>6.5</v>
          </cell>
          <cell r="AJ106">
            <v>6.6</v>
          </cell>
          <cell r="AK106">
            <v>6.6</v>
          </cell>
          <cell r="AL106">
            <v>6.7</v>
          </cell>
          <cell r="AM106">
            <v>6.6</v>
          </cell>
          <cell r="AN106">
            <v>6.8</v>
          </cell>
          <cell r="AO106">
            <v>6.6</v>
          </cell>
          <cell r="AP106">
            <v>6.4</v>
          </cell>
          <cell r="AQ106">
            <v>6.5</v>
          </cell>
          <cell r="AR106">
            <v>6.6</v>
          </cell>
          <cell r="AS106">
            <v>5.8</v>
          </cell>
          <cell r="AT106">
            <v>5.9</v>
          </cell>
          <cell r="AU106">
            <v>6.7</v>
          </cell>
          <cell r="AV106">
            <v>6.2</v>
          </cell>
          <cell r="AW106">
            <v>6.3</v>
          </cell>
          <cell r="AX106">
            <v>6.3</v>
          </cell>
          <cell r="AY106">
            <v>6.1</v>
          </cell>
          <cell r="AZ106">
            <v>6.3</v>
          </cell>
          <cell r="BA106">
            <v>6.3</v>
          </cell>
          <cell r="BB106">
            <v>7</v>
          </cell>
          <cell r="BC106">
            <v>6.7</v>
          </cell>
          <cell r="BD106">
            <v>7.9</v>
          </cell>
          <cell r="BE106">
            <v>5.3</v>
          </cell>
          <cell r="BF106">
            <v>6</v>
          </cell>
          <cell r="BG106">
            <v>6</v>
          </cell>
          <cell r="BH106">
            <v>9.4</v>
          </cell>
          <cell r="BI106">
            <v>13.6</v>
          </cell>
          <cell r="BJ106">
            <v>12.5</v>
          </cell>
          <cell r="BK106">
            <v>8.6</v>
          </cell>
          <cell r="BL106">
            <v>9.1999999999999993</v>
          </cell>
          <cell r="BM106">
            <v>9.1999999999999993</v>
          </cell>
          <cell r="BN106">
            <v>8.6</v>
          </cell>
          <cell r="BO106">
            <v>8.6999999999999993</v>
          </cell>
          <cell r="BP106">
            <v>0.3</v>
          </cell>
          <cell r="BQ106">
            <v>7.7</v>
          </cell>
          <cell r="BR106">
            <v>8.1999999999999993</v>
          </cell>
          <cell r="BS106">
            <v>8.1</v>
          </cell>
          <cell r="BT106">
            <v>8.4</v>
          </cell>
          <cell r="BU106">
            <v>7.6</v>
          </cell>
          <cell r="BV106">
            <v>7.7</v>
          </cell>
          <cell r="BW106">
            <v>7.7</v>
          </cell>
          <cell r="BX106">
            <v>8.1999999999999993</v>
          </cell>
          <cell r="BY106">
            <v>8.4</v>
          </cell>
          <cell r="BZ106">
            <v>9.1</v>
          </cell>
          <cell r="CA106">
            <v>7.5</v>
          </cell>
          <cell r="CB106">
            <v>8.1999999999999993</v>
          </cell>
          <cell r="CC106">
            <v>9.8000000000000007</v>
          </cell>
          <cell r="CD106">
            <v>8.8000000000000007</v>
          </cell>
          <cell r="CE106">
            <v>8.6999999999999993</v>
          </cell>
          <cell r="CF106">
            <v>14.8</v>
          </cell>
          <cell r="CG106">
            <v>10</v>
          </cell>
          <cell r="CH106">
            <v>10.4</v>
          </cell>
          <cell r="CI106">
            <v>8.8000000000000007</v>
          </cell>
          <cell r="CJ106">
            <v>9.5</v>
          </cell>
          <cell r="CK106">
            <v>9.8000000000000007</v>
          </cell>
          <cell r="CL106">
            <v>10.1</v>
          </cell>
          <cell r="CM106">
            <v>10.5</v>
          </cell>
          <cell r="CN106">
            <v>10.9</v>
          </cell>
          <cell r="CO106">
            <v>12.5</v>
          </cell>
          <cell r="CP106">
            <v>19</v>
          </cell>
          <cell r="CQ106">
            <v>18.2</v>
          </cell>
          <cell r="CR106">
            <v>17.5</v>
          </cell>
          <cell r="CS106">
            <v>18</v>
          </cell>
          <cell r="CT106">
            <v>16.5</v>
          </cell>
          <cell r="CU106">
            <v>14.7</v>
          </cell>
          <cell r="CV106">
            <v>14.2</v>
          </cell>
          <cell r="CW106">
            <v>13.4</v>
          </cell>
          <cell r="CX106">
            <v>13.8</v>
          </cell>
          <cell r="CY106">
            <v>14.2</v>
          </cell>
          <cell r="CZ106">
            <v>15.2</v>
          </cell>
          <cell r="DA106">
            <v>16.399999999999999</v>
          </cell>
          <cell r="DB106">
            <v>18</v>
          </cell>
          <cell r="DC106">
            <v>17</v>
          </cell>
          <cell r="DD106">
            <v>17</v>
          </cell>
          <cell r="DE106">
            <v>15.9</v>
          </cell>
          <cell r="DF106">
            <v>14.9</v>
          </cell>
          <cell r="DG106">
            <v>15.6</v>
          </cell>
          <cell r="DH106">
            <v>14.2</v>
          </cell>
          <cell r="DI106">
            <v>15.9</v>
          </cell>
          <cell r="DJ106">
            <v>13.7</v>
          </cell>
          <cell r="DK106">
            <v>21.1</v>
          </cell>
          <cell r="DL106">
            <v>24.7</v>
          </cell>
          <cell r="DM106">
            <v>18.8</v>
          </cell>
          <cell r="DN106">
            <v>13.8</v>
          </cell>
          <cell r="DO106">
            <v>14.1</v>
          </cell>
          <cell r="DP106">
            <v>13.2</v>
          </cell>
          <cell r="DQ106">
            <v>13.6</v>
          </cell>
          <cell r="DR106">
            <v>14.6</v>
          </cell>
          <cell r="DS106">
            <v>13.6</v>
          </cell>
          <cell r="DT106">
            <v>13.5</v>
          </cell>
          <cell r="DU106">
            <v>12.1</v>
          </cell>
          <cell r="DV106">
            <v>12.1</v>
          </cell>
          <cell r="DW106">
            <v>12.1</v>
          </cell>
          <cell r="DX106">
            <v>19.3</v>
          </cell>
          <cell r="DY106">
            <v>26.5</v>
          </cell>
          <cell r="EM106">
            <v>61.199999999999996</v>
          </cell>
          <cell r="EN106">
            <v>77.8</v>
          </cell>
          <cell r="EO106">
            <v>77</v>
          </cell>
          <cell r="EP106">
            <v>99.8</v>
          </cell>
          <cell r="EQ106">
            <v>98.9</v>
          </cell>
          <cell r="ER106">
            <v>124.8</v>
          </cell>
          <cell r="ES106">
            <v>191.1</v>
          </cell>
        </row>
        <row r="107">
          <cell r="A107" t="str">
            <v>Other Operating Income / (Expense) Items</v>
          </cell>
          <cell r="B107" t="str">
            <v>Operating Revenue</v>
          </cell>
          <cell r="D107" t="str">
            <v>Commercial Base Revenue Billed (PGA)</v>
          </cell>
          <cell r="E107" t="str">
            <v>Operating Revenue</v>
          </cell>
          <cell r="F107" t="str">
            <v>4893036</v>
          </cell>
          <cell r="G107" t="str">
            <v>A_4893036</v>
          </cell>
          <cell r="H107" t="str">
            <v>Commercial Transportation Standby Generator-Swing</v>
          </cell>
          <cell r="J107">
            <v>0.1</v>
          </cell>
          <cell r="K107">
            <v>0.1</v>
          </cell>
          <cell r="L107">
            <v>0.1</v>
          </cell>
          <cell r="M107">
            <v>0.1</v>
          </cell>
          <cell r="N107">
            <v>0.1</v>
          </cell>
          <cell r="O107">
            <v>0.2</v>
          </cell>
          <cell r="P107">
            <v>0.1</v>
          </cell>
          <cell r="Q107">
            <v>0.1</v>
          </cell>
          <cell r="R107">
            <v>0.1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C107">
            <v>0.1</v>
          </cell>
          <cell r="AD107">
            <v>0.1</v>
          </cell>
          <cell r="AE107">
            <v>0.1</v>
          </cell>
          <cell r="AF107">
            <v>0.2</v>
          </cell>
          <cell r="AG107">
            <v>0.3</v>
          </cell>
          <cell r="AH107">
            <v>0.3</v>
          </cell>
          <cell r="AI107">
            <v>0.3</v>
          </cell>
          <cell r="AJ107">
            <v>0.3</v>
          </cell>
          <cell r="AK107">
            <v>0.3</v>
          </cell>
          <cell r="AL107">
            <v>0.3</v>
          </cell>
          <cell r="AM107">
            <v>0.3</v>
          </cell>
          <cell r="AN107">
            <v>0.3</v>
          </cell>
          <cell r="AO107">
            <v>0.3</v>
          </cell>
          <cell r="AP107">
            <v>0.3</v>
          </cell>
          <cell r="AQ107">
            <v>0.3</v>
          </cell>
          <cell r="AR107">
            <v>0.3</v>
          </cell>
          <cell r="AS107">
            <v>0.2</v>
          </cell>
          <cell r="AT107">
            <v>0.3</v>
          </cell>
          <cell r="AU107">
            <v>0.3</v>
          </cell>
          <cell r="AV107">
            <v>0.3</v>
          </cell>
          <cell r="AW107">
            <v>0.3</v>
          </cell>
          <cell r="AX107">
            <v>0.3</v>
          </cell>
          <cell r="AY107">
            <v>0.3</v>
          </cell>
          <cell r="AZ107">
            <v>0.2</v>
          </cell>
          <cell r="BA107">
            <v>0.2</v>
          </cell>
          <cell r="BB107">
            <v>0.4</v>
          </cell>
          <cell r="BC107">
            <v>0.3</v>
          </cell>
          <cell r="BD107">
            <v>0.5</v>
          </cell>
          <cell r="BE107">
            <v>0.2</v>
          </cell>
          <cell r="BF107">
            <v>0.2</v>
          </cell>
          <cell r="BG107">
            <v>0.3</v>
          </cell>
          <cell r="BH107">
            <v>0.6</v>
          </cell>
          <cell r="BI107">
            <v>0.6</v>
          </cell>
          <cell r="BJ107">
            <v>0.9</v>
          </cell>
          <cell r="BK107">
            <v>0.5</v>
          </cell>
          <cell r="BL107">
            <v>0.6</v>
          </cell>
          <cell r="BM107">
            <v>0.6</v>
          </cell>
          <cell r="BN107">
            <v>0.5</v>
          </cell>
          <cell r="BO107">
            <v>0.5</v>
          </cell>
          <cell r="BP107">
            <v>-0.4</v>
          </cell>
          <cell r="BQ107">
            <v>0.4</v>
          </cell>
          <cell r="BR107">
            <v>0.3</v>
          </cell>
          <cell r="BS107">
            <v>0.2</v>
          </cell>
          <cell r="BT107">
            <v>0.3</v>
          </cell>
          <cell r="BU107">
            <v>0.2</v>
          </cell>
          <cell r="BV107">
            <v>0.2</v>
          </cell>
          <cell r="BW107">
            <v>0.2</v>
          </cell>
          <cell r="BX107">
            <v>0.2</v>
          </cell>
          <cell r="BY107">
            <v>0.3</v>
          </cell>
          <cell r="BZ107">
            <v>0.3</v>
          </cell>
          <cell r="CA107">
            <v>0.2</v>
          </cell>
          <cell r="CB107">
            <v>0.2</v>
          </cell>
          <cell r="CC107">
            <v>0.3</v>
          </cell>
          <cell r="CD107">
            <v>0.3</v>
          </cell>
          <cell r="CE107">
            <v>0.3</v>
          </cell>
          <cell r="CF107">
            <v>0.6</v>
          </cell>
          <cell r="CG107">
            <v>0.3</v>
          </cell>
          <cell r="CH107">
            <v>0.3</v>
          </cell>
          <cell r="CI107">
            <v>0.3</v>
          </cell>
          <cell r="CJ107">
            <v>0.3</v>
          </cell>
          <cell r="CK107">
            <v>0.3</v>
          </cell>
          <cell r="CL107">
            <v>0.3</v>
          </cell>
          <cell r="CM107">
            <v>0.3</v>
          </cell>
          <cell r="CN107">
            <v>0.4</v>
          </cell>
          <cell r="CO107">
            <v>0.5</v>
          </cell>
          <cell r="CP107">
            <v>0.6</v>
          </cell>
          <cell r="CQ107">
            <v>0.6</v>
          </cell>
          <cell r="CR107">
            <v>0.5</v>
          </cell>
          <cell r="CS107">
            <v>0.6</v>
          </cell>
          <cell r="CT107">
            <v>0.5</v>
          </cell>
          <cell r="CU107">
            <v>0.4</v>
          </cell>
          <cell r="CV107">
            <v>0.4</v>
          </cell>
          <cell r="CW107">
            <v>0.3</v>
          </cell>
          <cell r="CX107">
            <v>0.4</v>
          </cell>
          <cell r="CY107">
            <v>0.4</v>
          </cell>
          <cell r="CZ107">
            <v>0.4</v>
          </cell>
          <cell r="DA107">
            <v>0.5</v>
          </cell>
          <cell r="DB107">
            <v>0.6</v>
          </cell>
          <cell r="DC107">
            <v>0.5</v>
          </cell>
          <cell r="DD107">
            <v>0.5</v>
          </cell>
          <cell r="DE107">
            <v>0.5</v>
          </cell>
          <cell r="DF107">
            <v>0.4</v>
          </cell>
          <cell r="DG107">
            <v>0.4</v>
          </cell>
          <cell r="DH107">
            <v>0.4</v>
          </cell>
          <cell r="DI107">
            <v>0.4</v>
          </cell>
          <cell r="DJ107">
            <v>0.3</v>
          </cell>
          <cell r="DK107">
            <v>0.7</v>
          </cell>
          <cell r="DL107">
            <v>0.9</v>
          </cell>
          <cell r="DM107">
            <v>0.6</v>
          </cell>
          <cell r="DN107">
            <v>0.2</v>
          </cell>
          <cell r="DO107">
            <v>0.2</v>
          </cell>
          <cell r="DP107">
            <v>0.2</v>
          </cell>
          <cell r="DQ107">
            <v>0.2</v>
          </cell>
          <cell r="DR107">
            <v>0.2</v>
          </cell>
          <cell r="DS107">
            <v>0.2</v>
          </cell>
          <cell r="DT107">
            <v>0.3</v>
          </cell>
          <cell r="DU107">
            <v>0.2</v>
          </cell>
          <cell r="DV107">
            <v>0.3</v>
          </cell>
          <cell r="DW107">
            <v>0.2</v>
          </cell>
          <cell r="DX107">
            <v>0.2</v>
          </cell>
          <cell r="DY107">
            <v>0.3</v>
          </cell>
          <cell r="EM107">
            <v>2.2000000000000002</v>
          </cell>
          <cell r="EN107">
            <v>3.4999999999999996</v>
          </cell>
          <cell r="EO107">
            <v>3.6</v>
          </cell>
          <cell r="EP107">
            <v>5.3</v>
          </cell>
          <cell r="EQ107">
            <v>2.9</v>
          </cell>
          <cell r="ER107">
            <v>4.1999999999999993</v>
          </cell>
          <cell r="ES107">
            <v>5.6000000000000005</v>
          </cell>
        </row>
        <row r="108">
          <cell r="A108" t="str">
            <v>Base Revenues and OSS - Net</v>
          </cell>
          <cell r="B108" t="str">
            <v>Operating Revenue</v>
          </cell>
          <cell r="D108" t="str">
            <v>Residential Base Revenue Billed</v>
          </cell>
          <cell r="E108" t="str">
            <v>Operating Revenue</v>
          </cell>
          <cell r="F108" t="str">
            <v>4893037</v>
          </cell>
          <cell r="G108" t="str">
            <v>A_4893037</v>
          </cell>
          <cell r="H108" t="str">
            <v>Residential Transportation Gas Heat Pump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1.6</v>
          </cell>
          <cell r="BN108">
            <v>-1.6</v>
          </cell>
          <cell r="BO108">
            <v>0</v>
          </cell>
          <cell r="BP108">
            <v>0.2</v>
          </cell>
          <cell r="BQ108">
            <v>-0.2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0.2</v>
          </cell>
          <cell r="CM108">
            <v>0</v>
          </cell>
          <cell r="CN108">
            <v>0.1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0.1</v>
          </cell>
          <cell r="CV108">
            <v>0.2</v>
          </cell>
          <cell r="CW108">
            <v>0.1</v>
          </cell>
          <cell r="CX108">
            <v>0.1</v>
          </cell>
          <cell r="CY108">
            <v>0.1</v>
          </cell>
          <cell r="CZ108">
            <v>0.1</v>
          </cell>
          <cell r="DA108">
            <v>0.1</v>
          </cell>
          <cell r="DB108">
            <v>0.1</v>
          </cell>
          <cell r="DC108">
            <v>0.1</v>
          </cell>
          <cell r="DD108">
            <v>0.1</v>
          </cell>
          <cell r="DE108">
            <v>0.1</v>
          </cell>
          <cell r="DF108">
            <v>0.1</v>
          </cell>
          <cell r="DG108">
            <v>0.1</v>
          </cell>
          <cell r="DH108">
            <v>0.1</v>
          </cell>
          <cell r="DI108">
            <v>0.1</v>
          </cell>
          <cell r="DJ108">
            <v>0.1</v>
          </cell>
          <cell r="DK108">
            <v>0.1</v>
          </cell>
          <cell r="DL108">
            <v>0.1</v>
          </cell>
          <cell r="DM108">
            <v>0.1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0.30000000000000004</v>
          </cell>
          <cell r="ES108">
            <v>0.79999999999999993</v>
          </cell>
        </row>
        <row r="109">
          <cell r="A109" t="str">
            <v>Base Revenues and OSS - Net</v>
          </cell>
          <cell r="B109" t="str">
            <v>Operating Revenue</v>
          </cell>
          <cell r="D109" t="str">
            <v>Residential Base Revenue Billed (PGA)</v>
          </cell>
          <cell r="E109" t="str">
            <v>Operating Revenue</v>
          </cell>
          <cell r="F109" t="str">
            <v>4893038</v>
          </cell>
          <cell r="G109" t="str">
            <v>A_4893038</v>
          </cell>
          <cell r="H109" t="str">
            <v>Residential Transportation Gas Heat Pump-Swing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1.6</v>
          </cell>
          <cell r="BN109">
            <v>-1.6</v>
          </cell>
          <cell r="BO109">
            <v>0</v>
          </cell>
          <cell r="BP109">
            <v>0.2</v>
          </cell>
          <cell r="BQ109">
            <v>-0.2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</row>
        <row r="110">
          <cell r="A110" t="str">
            <v>Base Revenues and OSS - Net</v>
          </cell>
          <cell r="B110" t="str">
            <v>Operating Revenue</v>
          </cell>
          <cell r="D110" t="str">
            <v>Residential Base Revenue Billed</v>
          </cell>
          <cell r="E110" t="str">
            <v>Operating Revenue</v>
          </cell>
          <cell r="F110" t="str">
            <v>4893040</v>
          </cell>
          <cell r="G110" t="str">
            <v>A_4893040</v>
          </cell>
          <cell r="H110" t="str">
            <v>Residential Transportation General Service 1</v>
          </cell>
          <cell r="J110">
            <v>87.2</v>
          </cell>
          <cell r="K110">
            <v>71</v>
          </cell>
          <cell r="L110">
            <v>54.3</v>
          </cell>
          <cell r="M110">
            <v>52.4</v>
          </cell>
          <cell r="N110">
            <v>27.1</v>
          </cell>
          <cell r="O110">
            <v>20.3</v>
          </cell>
          <cell r="P110">
            <v>18.3</v>
          </cell>
          <cell r="Q110">
            <v>18.2</v>
          </cell>
          <cell r="R110">
            <v>19.8</v>
          </cell>
          <cell r="S110">
            <v>27.1</v>
          </cell>
          <cell r="T110">
            <v>57.8</v>
          </cell>
          <cell r="U110">
            <v>82.6</v>
          </cell>
          <cell r="V110">
            <v>76.3</v>
          </cell>
          <cell r="W110">
            <v>84.1</v>
          </cell>
          <cell r="X110">
            <v>65.8</v>
          </cell>
          <cell r="Y110">
            <v>29.7</v>
          </cell>
          <cell r="Z110">
            <v>22.2</v>
          </cell>
          <cell r="AA110">
            <v>20.9</v>
          </cell>
          <cell r="AB110">
            <v>20.100000000000001</v>
          </cell>
          <cell r="AC110">
            <v>21.9</v>
          </cell>
          <cell r="AD110">
            <v>44.6</v>
          </cell>
          <cell r="AE110">
            <v>22</v>
          </cell>
          <cell r="AF110">
            <v>44.2</v>
          </cell>
          <cell r="AG110">
            <v>76.3</v>
          </cell>
          <cell r="AH110">
            <v>91.7</v>
          </cell>
          <cell r="AI110">
            <v>108.9</v>
          </cell>
          <cell r="AJ110">
            <v>72.400000000000006</v>
          </cell>
          <cell r="AK110">
            <v>50.3</v>
          </cell>
          <cell r="AL110">
            <v>33.4</v>
          </cell>
          <cell r="AM110">
            <v>20.2</v>
          </cell>
          <cell r="AN110">
            <v>20.399999999999999</v>
          </cell>
          <cell r="AO110">
            <v>22.1</v>
          </cell>
          <cell r="AP110">
            <v>25.3</v>
          </cell>
          <cell r="AQ110">
            <v>28.7</v>
          </cell>
          <cell r="AR110">
            <v>82.5</v>
          </cell>
          <cell r="AS110">
            <v>90.3</v>
          </cell>
          <cell r="AT110">
            <v>94.2</v>
          </cell>
          <cell r="AU110">
            <v>94.5</v>
          </cell>
          <cell r="AV110">
            <v>71.599999999999994</v>
          </cell>
          <cell r="AW110">
            <v>73.400000000000006</v>
          </cell>
          <cell r="AX110">
            <v>37.1</v>
          </cell>
          <cell r="AY110">
            <v>24.5</v>
          </cell>
          <cell r="AZ110">
            <v>22.2</v>
          </cell>
          <cell r="BA110">
            <v>22.5</v>
          </cell>
          <cell r="BB110">
            <v>26.5</v>
          </cell>
          <cell r="BC110">
            <v>30</v>
          </cell>
          <cell r="BD110">
            <v>68.400000000000006</v>
          </cell>
          <cell r="BE110">
            <v>90.1</v>
          </cell>
          <cell r="BF110">
            <v>129.80000000000001</v>
          </cell>
          <cell r="BG110">
            <v>107.3</v>
          </cell>
          <cell r="BH110">
            <v>62.3</v>
          </cell>
          <cell r="BI110">
            <v>82.9</v>
          </cell>
          <cell r="BJ110">
            <v>40.1</v>
          </cell>
          <cell r="BK110">
            <v>33.1</v>
          </cell>
          <cell r="BL110">
            <v>20.6</v>
          </cell>
          <cell r="BM110">
            <v>26</v>
          </cell>
          <cell r="BN110">
            <v>30.9</v>
          </cell>
          <cell r="BO110">
            <v>28.7</v>
          </cell>
          <cell r="BP110">
            <v>49</v>
          </cell>
          <cell r="BQ110">
            <v>100.2</v>
          </cell>
          <cell r="BR110">
            <v>115.7</v>
          </cell>
          <cell r="BS110">
            <v>92.8</v>
          </cell>
          <cell r="BT110">
            <v>69.599999999999994</v>
          </cell>
          <cell r="BU110">
            <v>68.7</v>
          </cell>
          <cell r="BV110">
            <v>41</v>
          </cell>
          <cell r="BW110">
            <v>25.8</v>
          </cell>
          <cell r="BX110">
            <v>22</v>
          </cell>
          <cell r="BY110">
            <v>25.6</v>
          </cell>
          <cell r="BZ110">
            <v>26.4</v>
          </cell>
          <cell r="CA110">
            <v>33.1</v>
          </cell>
          <cell r="CB110">
            <v>49.9</v>
          </cell>
          <cell r="CC110">
            <v>100.2</v>
          </cell>
          <cell r="CD110">
            <v>106.6</v>
          </cell>
          <cell r="CE110">
            <v>90.7</v>
          </cell>
          <cell r="CF110">
            <v>76.900000000000006</v>
          </cell>
          <cell r="CG110">
            <v>28.7</v>
          </cell>
          <cell r="CH110">
            <v>27.9</v>
          </cell>
          <cell r="CI110">
            <v>30</v>
          </cell>
          <cell r="CJ110">
            <v>21.7</v>
          </cell>
          <cell r="CK110">
            <v>25.1</v>
          </cell>
          <cell r="CL110">
            <v>24.6</v>
          </cell>
          <cell r="CM110">
            <v>33.6</v>
          </cell>
          <cell r="CN110">
            <v>56</v>
          </cell>
          <cell r="CO110">
            <v>110.4</v>
          </cell>
          <cell r="CP110">
            <v>156</v>
          </cell>
          <cell r="CQ110">
            <v>104.1</v>
          </cell>
          <cell r="CR110">
            <v>96.7</v>
          </cell>
          <cell r="CS110">
            <v>81.3</v>
          </cell>
          <cell r="CT110">
            <v>47.1</v>
          </cell>
          <cell r="CU110">
            <v>44.1</v>
          </cell>
          <cell r="CV110">
            <v>36.299999999999997</v>
          </cell>
          <cell r="CW110">
            <v>30.6</v>
          </cell>
          <cell r="CX110">
            <v>36.6</v>
          </cell>
          <cell r="CY110">
            <v>40.799999999999997</v>
          </cell>
          <cell r="CZ110">
            <v>82.3</v>
          </cell>
          <cell r="DA110">
            <v>121</v>
          </cell>
          <cell r="DB110">
            <v>123.7</v>
          </cell>
          <cell r="DC110">
            <v>134</v>
          </cell>
          <cell r="DD110">
            <v>77.5</v>
          </cell>
          <cell r="DE110">
            <v>77.7</v>
          </cell>
          <cell r="DF110">
            <v>50.5</v>
          </cell>
          <cell r="DG110">
            <v>32</v>
          </cell>
          <cell r="DH110">
            <v>28.5</v>
          </cell>
          <cell r="DI110">
            <v>31</v>
          </cell>
          <cell r="DJ110">
            <v>31.3</v>
          </cell>
          <cell r="DK110">
            <v>45.9</v>
          </cell>
          <cell r="DL110">
            <v>70.099999999999994</v>
          </cell>
          <cell r="DM110">
            <v>92.3</v>
          </cell>
          <cell r="DN110">
            <v>148.69999999999999</v>
          </cell>
          <cell r="DO110">
            <v>140</v>
          </cell>
          <cell r="DP110">
            <v>104</v>
          </cell>
          <cell r="DQ110">
            <v>82</v>
          </cell>
          <cell r="DR110">
            <v>50.8</v>
          </cell>
          <cell r="DS110">
            <v>41.1</v>
          </cell>
          <cell r="DT110">
            <v>30.7</v>
          </cell>
          <cell r="DU110">
            <v>33.9</v>
          </cell>
          <cell r="DV110">
            <v>38.9</v>
          </cell>
          <cell r="DW110">
            <v>45</v>
          </cell>
          <cell r="DX110">
            <v>86.3</v>
          </cell>
          <cell r="DY110">
            <v>145.80000000000001</v>
          </cell>
          <cell r="EM110">
            <v>528.09999999999991</v>
          </cell>
          <cell r="EN110">
            <v>646.19999999999993</v>
          </cell>
          <cell r="EO110">
            <v>655</v>
          </cell>
          <cell r="EP110">
            <v>710.9000000000002</v>
          </cell>
          <cell r="EQ110">
            <v>670.80000000000007</v>
          </cell>
          <cell r="ER110">
            <v>632.20000000000005</v>
          </cell>
          <cell r="ES110">
            <v>876.9</v>
          </cell>
        </row>
        <row r="111">
          <cell r="A111" t="str">
            <v>Other Operating Income / (Expense) Items</v>
          </cell>
          <cell r="B111" t="str">
            <v>Operating Revenue</v>
          </cell>
          <cell r="D111" t="str">
            <v>Residential Base Revenue Billed (PGA)</v>
          </cell>
          <cell r="E111" t="str">
            <v>Operating Revenue</v>
          </cell>
          <cell r="F111" t="str">
            <v>4893041</v>
          </cell>
          <cell r="G111" t="str">
            <v>A_4893041</v>
          </cell>
          <cell r="H111" t="str">
            <v>Residential Transportation General Service 1-Swing</v>
          </cell>
          <cell r="J111">
            <v>3.7</v>
          </cell>
          <cell r="K111">
            <v>3.4</v>
          </cell>
          <cell r="L111">
            <v>2.7</v>
          </cell>
          <cell r="M111">
            <v>2.4</v>
          </cell>
          <cell r="N111">
            <v>1.4</v>
          </cell>
          <cell r="O111">
            <v>0.8</v>
          </cell>
          <cell r="P111">
            <v>0.5</v>
          </cell>
          <cell r="Q111">
            <v>0.4</v>
          </cell>
          <cell r="R111">
            <v>0.5</v>
          </cell>
          <cell r="S111">
            <v>0.7</v>
          </cell>
          <cell r="T111">
            <v>2</v>
          </cell>
          <cell r="U111">
            <v>3.2</v>
          </cell>
          <cell r="V111">
            <v>3.5</v>
          </cell>
          <cell r="W111">
            <v>3.8</v>
          </cell>
          <cell r="X111">
            <v>3.3</v>
          </cell>
          <cell r="Y111">
            <v>1.8</v>
          </cell>
          <cell r="Z111">
            <v>1</v>
          </cell>
          <cell r="AA111">
            <v>0.7</v>
          </cell>
          <cell r="AB111">
            <v>0.5</v>
          </cell>
          <cell r="AC111">
            <v>0.5</v>
          </cell>
          <cell r="AD111">
            <v>1.4</v>
          </cell>
          <cell r="AE111">
            <v>0.8</v>
          </cell>
          <cell r="AF111">
            <v>1.4</v>
          </cell>
          <cell r="AG111">
            <v>4</v>
          </cell>
          <cell r="AH111">
            <v>5.5</v>
          </cell>
          <cell r="AI111">
            <v>6.8</v>
          </cell>
          <cell r="AJ111">
            <v>5.4</v>
          </cell>
          <cell r="AK111">
            <v>3.8</v>
          </cell>
          <cell r="AL111">
            <v>2.2999999999999998</v>
          </cell>
          <cell r="AM111">
            <v>1.2</v>
          </cell>
          <cell r="AN111">
            <v>0.8</v>
          </cell>
          <cell r="AO111">
            <v>0.7</v>
          </cell>
          <cell r="AP111">
            <v>0.9</v>
          </cell>
          <cell r="AQ111">
            <v>1.1000000000000001</v>
          </cell>
          <cell r="AR111">
            <v>3.9</v>
          </cell>
          <cell r="AS111">
            <v>5.3</v>
          </cell>
          <cell r="AT111">
            <v>6</v>
          </cell>
          <cell r="AU111">
            <v>6.2</v>
          </cell>
          <cell r="AV111">
            <v>5.0999999999999996</v>
          </cell>
          <cell r="AW111">
            <v>4.8</v>
          </cell>
          <cell r="AX111">
            <v>2.8</v>
          </cell>
          <cell r="AY111">
            <v>1.5</v>
          </cell>
          <cell r="AZ111">
            <v>1</v>
          </cell>
          <cell r="BA111">
            <v>0.8</v>
          </cell>
          <cell r="BB111">
            <v>1</v>
          </cell>
          <cell r="BC111">
            <v>1.1000000000000001</v>
          </cell>
          <cell r="BD111">
            <v>3.2</v>
          </cell>
          <cell r="BE111">
            <v>5.0999999999999996</v>
          </cell>
          <cell r="BF111">
            <v>7.7</v>
          </cell>
          <cell r="BG111">
            <v>7.4</v>
          </cell>
          <cell r="BH111">
            <v>5</v>
          </cell>
          <cell r="BI111">
            <v>5.2</v>
          </cell>
          <cell r="BJ111">
            <v>3.1</v>
          </cell>
          <cell r="BK111">
            <v>2.1</v>
          </cell>
          <cell r="BL111">
            <v>1</v>
          </cell>
          <cell r="BM111">
            <v>1</v>
          </cell>
          <cell r="BN111">
            <v>1.3</v>
          </cell>
          <cell r="BO111">
            <v>1.2</v>
          </cell>
          <cell r="BP111">
            <v>2.2000000000000002</v>
          </cell>
          <cell r="BQ111">
            <v>5.3</v>
          </cell>
          <cell r="BR111">
            <v>7.5</v>
          </cell>
          <cell r="BS111">
            <v>7.4</v>
          </cell>
          <cell r="BT111">
            <v>5</v>
          </cell>
          <cell r="BU111">
            <v>4.7</v>
          </cell>
          <cell r="BV111">
            <v>3.1</v>
          </cell>
          <cell r="BW111">
            <v>1.7</v>
          </cell>
          <cell r="BX111">
            <v>1</v>
          </cell>
          <cell r="BY111">
            <v>1</v>
          </cell>
          <cell r="BZ111">
            <v>1</v>
          </cell>
          <cell r="CA111">
            <v>1.4</v>
          </cell>
          <cell r="CB111">
            <v>2.2999999999999998</v>
          </cell>
          <cell r="CC111">
            <v>5.7</v>
          </cell>
          <cell r="CD111">
            <v>6.9</v>
          </cell>
          <cell r="CE111">
            <v>6.5</v>
          </cell>
          <cell r="CF111">
            <v>5.8</v>
          </cell>
          <cell r="CG111">
            <v>2.6</v>
          </cell>
          <cell r="CH111">
            <v>1.6</v>
          </cell>
          <cell r="CI111">
            <v>1.4</v>
          </cell>
          <cell r="CJ111">
            <v>0.9</v>
          </cell>
          <cell r="CK111">
            <v>0.9</v>
          </cell>
          <cell r="CL111">
            <v>0.9</v>
          </cell>
          <cell r="CM111">
            <v>1.4</v>
          </cell>
          <cell r="CN111">
            <v>2.8</v>
          </cell>
          <cell r="CO111">
            <v>5.7</v>
          </cell>
          <cell r="CP111">
            <v>7.9</v>
          </cell>
          <cell r="CQ111">
            <v>6.8</v>
          </cell>
          <cell r="CR111">
            <v>5.4</v>
          </cell>
          <cell r="CS111">
            <v>4.5999999999999996</v>
          </cell>
          <cell r="CT111">
            <v>2.8</v>
          </cell>
          <cell r="CU111">
            <v>2.1</v>
          </cell>
          <cell r="CV111">
            <v>1.5</v>
          </cell>
          <cell r="CW111">
            <v>1.1000000000000001</v>
          </cell>
          <cell r="CX111">
            <v>1.2</v>
          </cell>
          <cell r="CY111">
            <v>1.4</v>
          </cell>
          <cell r="CZ111">
            <v>3.3</v>
          </cell>
          <cell r="DA111">
            <v>5.7</v>
          </cell>
          <cell r="DB111">
            <v>6.2</v>
          </cell>
          <cell r="DC111">
            <v>7.6</v>
          </cell>
          <cell r="DD111">
            <v>5.2</v>
          </cell>
          <cell r="DE111">
            <v>4.4000000000000004</v>
          </cell>
          <cell r="DF111">
            <v>2.9</v>
          </cell>
          <cell r="DG111">
            <v>1.6</v>
          </cell>
          <cell r="DH111">
            <v>1</v>
          </cell>
          <cell r="DI111">
            <v>0.9</v>
          </cell>
          <cell r="DJ111">
            <v>0.9</v>
          </cell>
          <cell r="DK111">
            <v>1.5</v>
          </cell>
          <cell r="DL111">
            <v>2.8</v>
          </cell>
          <cell r="DM111">
            <v>4.2</v>
          </cell>
          <cell r="DN111">
            <v>7.1</v>
          </cell>
          <cell r="DO111">
            <v>7.2</v>
          </cell>
          <cell r="DP111">
            <v>4.8</v>
          </cell>
          <cell r="DQ111">
            <v>4.7</v>
          </cell>
          <cell r="DR111">
            <v>3</v>
          </cell>
          <cell r="DS111">
            <v>1.7</v>
          </cell>
          <cell r="DT111">
            <v>1.1000000000000001</v>
          </cell>
          <cell r="DU111">
            <v>0.9</v>
          </cell>
          <cell r="DV111">
            <v>1</v>
          </cell>
          <cell r="DW111">
            <v>1.4</v>
          </cell>
          <cell r="DX111">
            <v>2.2000000000000002</v>
          </cell>
          <cell r="DY111">
            <v>5.5</v>
          </cell>
          <cell r="EM111">
            <v>22.7</v>
          </cell>
          <cell r="EN111">
            <v>37.700000000000003</v>
          </cell>
          <cell r="EO111">
            <v>38.6</v>
          </cell>
          <cell r="EP111">
            <v>42.5</v>
          </cell>
          <cell r="EQ111">
            <v>41.8</v>
          </cell>
          <cell r="ER111">
            <v>37.4</v>
          </cell>
          <cell r="ES111">
            <v>43.800000000000004</v>
          </cell>
        </row>
        <row r="112">
          <cell r="A112" t="str">
            <v>Base Revenues and OSS - Net</v>
          </cell>
          <cell r="B112" t="str">
            <v>Operating Revenue</v>
          </cell>
          <cell r="D112" t="str">
            <v>Residential Base Revenue Billed</v>
          </cell>
          <cell r="E112" t="str">
            <v>Operating Revenue</v>
          </cell>
          <cell r="F112" t="str">
            <v>4893042</v>
          </cell>
          <cell r="G112" t="str">
            <v>A_4893042</v>
          </cell>
          <cell r="H112" t="str">
            <v>Residential Transportation General Service 2</v>
          </cell>
          <cell r="J112">
            <v>168.7</v>
          </cell>
          <cell r="K112">
            <v>137.5</v>
          </cell>
          <cell r="L112">
            <v>111.9</v>
          </cell>
          <cell r="M112">
            <v>109</v>
          </cell>
          <cell r="N112">
            <v>78.2</v>
          </cell>
          <cell r="O112">
            <v>60.9</v>
          </cell>
          <cell r="P112">
            <v>45</v>
          </cell>
          <cell r="Q112">
            <v>48.7</v>
          </cell>
          <cell r="R112">
            <v>56.1</v>
          </cell>
          <cell r="S112">
            <v>71.3</v>
          </cell>
          <cell r="T112">
            <v>117.8</v>
          </cell>
          <cell r="U112">
            <v>154</v>
          </cell>
          <cell r="V112">
            <v>154.6</v>
          </cell>
          <cell r="W112">
            <v>164.7</v>
          </cell>
          <cell r="X112">
            <v>134.69999999999999</v>
          </cell>
          <cell r="Y112">
            <v>78.5</v>
          </cell>
          <cell r="Z112">
            <v>57.3</v>
          </cell>
          <cell r="AA112">
            <v>68.5</v>
          </cell>
          <cell r="AB112">
            <v>50.3</v>
          </cell>
          <cell r="AC112">
            <v>56.9</v>
          </cell>
          <cell r="AD112">
            <v>55</v>
          </cell>
          <cell r="AE112">
            <v>71.099999999999994</v>
          </cell>
          <cell r="AF112">
            <v>96.1</v>
          </cell>
          <cell r="AG112">
            <v>139.19999999999999</v>
          </cell>
          <cell r="AH112">
            <v>158.6</v>
          </cell>
          <cell r="AI112">
            <v>182.1</v>
          </cell>
          <cell r="AJ112">
            <v>137.30000000000001</v>
          </cell>
          <cell r="AK112">
            <v>106</v>
          </cell>
          <cell r="AL112">
            <v>84.9</v>
          </cell>
          <cell r="AM112">
            <v>62.5</v>
          </cell>
          <cell r="AN112">
            <v>50.2</v>
          </cell>
          <cell r="AO112">
            <v>52.4</v>
          </cell>
          <cell r="AP112">
            <v>60.5</v>
          </cell>
          <cell r="AQ112">
            <v>71.400000000000006</v>
          </cell>
          <cell r="AR112">
            <v>128.1</v>
          </cell>
          <cell r="AS112">
            <v>153.4</v>
          </cell>
          <cell r="AT112">
            <v>150.4</v>
          </cell>
          <cell r="AU112">
            <v>167</v>
          </cell>
          <cell r="AV112">
            <v>131.6</v>
          </cell>
          <cell r="AW112">
            <v>131</v>
          </cell>
          <cell r="AX112">
            <v>86.2</v>
          </cell>
          <cell r="AY112">
            <v>68.400000000000006</v>
          </cell>
          <cell r="AZ112">
            <v>63</v>
          </cell>
          <cell r="BA112">
            <v>67.8</v>
          </cell>
          <cell r="BB112">
            <v>69.7</v>
          </cell>
          <cell r="BC112">
            <v>77.099999999999994</v>
          </cell>
          <cell r="BD112">
            <v>137.1</v>
          </cell>
          <cell r="BE112">
            <v>176.5</v>
          </cell>
          <cell r="BF112">
            <v>229.2</v>
          </cell>
          <cell r="BG112">
            <v>174.7</v>
          </cell>
          <cell r="BH112">
            <v>143.9</v>
          </cell>
          <cell r="BI112">
            <v>158.80000000000001</v>
          </cell>
          <cell r="BJ112">
            <v>102.5</v>
          </cell>
          <cell r="BK112">
            <v>86</v>
          </cell>
          <cell r="BL112">
            <v>53.7</v>
          </cell>
          <cell r="BM112">
            <v>64</v>
          </cell>
          <cell r="BN112">
            <v>78.099999999999994</v>
          </cell>
          <cell r="BO112">
            <v>77.3</v>
          </cell>
          <cell r="BP112">
            <v>116.2</v>
          </cell>
          <cell r="BQ112">
            <v>175.2</v>
          </cell>
          <cell r="BR112">
            <v>211.1</v>
          </cell>
          <cell r="BS112">
            <v>167.8</v>
          </cell>
          <cell r="BT112">
            <v>144.69999999999999</v>
          </cell>
          <cell r="BU112">
            <v>141</v>
          </cell>
          <cell r="BV112">
            <v>92.8</v>
          </cell>
          <cell r="BW112">
            <v>69.599999999999994</v>
          </cell>
          <cell r="BX112">
            <v>60.9</v>
          </cell>
          <cell r="BY112">
            <v>66.7</v>
          </cell>
          <cell r="BZ112">
            <v>71.7</v>
          </cell>
          <cell r="CA112">
            <v>81.599999999999994</v>
          </cell>
          <cell r="CB112">
            <v>111.8</v>
          </cell>
          <cell r="CC112">
            <v>167.7</v>
          </cell>
          <cell r="CD112">
            <v>207.6</v>
          </cell>
          <cell r="CE112">
            <v>163.6</v>
          </cell>
          <cell r="CF112">
            <v>150.5</v>
          </cell>
          <cell r="CG112">
            <v>61.3</v>
          </cell>
          <cell r="CH112">
            <v>64.099999999999994</v>
          </cell>
          <cell r="CI112">
            <v>80.8</v>
          </cell>
          <cell r="CJ112">
            <v>56.5</v>
          </cell>
          <cell r="CK112">
            <v>64.5</v>
          </cell>
          <cell r="CL112">
            <v>63.1</v>
          </cell>
          <cell r="CM112">
            <v>89.6</v>
          </cell>
          <cell r="CN112">
            <v>123.6</v>
          </cell>
          <cell r="CO112">
            <v>195.2</v>
          </cell>
          <cell r="CP112">
            <v>265</v>
          </cell>
          <cell r="CQ112">
            <v>197.8</v>
          </cell>
          <cell r="CR112">
            <v>197</v>
          </cell>
          <cell r="CS112">
            <v>174.4</v>
          </cell>
          <cell r="CT112">
            <v>125.7</v>
          </cell>
          <cell r="CU112">
            <v>117.3</v>
          </cell>
          <cell r="CV112">
            <v>86.4</v>
          </cell>
          <cell r="CW112">
            <v>76.599999999999994</v>
          </cell>
          <cell r="CX112">
            <v>87.9</v>
          </cell>
          <cell r="CY112">
            <v>101.8</v>
          </cell>
          <cell r="CZ112">
            <v>155.9</v>
          </cell>
          <cell r="DA112">
            <v>202.3</v>
          </cell>
          <cell r="DB112">
            <v>192.2</v>
          </cell>
          <cell r="DC112">
            <v>205.9</v>
          </cell>
          <cell r="DD112">
            <v>161.69999999999999</v>
          </cell>
          <cell r="DE112">
            <v>148.9</v>
          </cell>
          <cell r="DF112">
            <v>132.19999999999999</v>
          </cell>
          <cell r="DG112">
            <v>88.2</v>
          </cell>
          <cell r="DH112">
            <v>78.8</v>
          </cell>
          <cell r="DI112">
            <v>78.599999999999994</v>
          </cell>
          <cell r="DJ112">
            <v>83.4</v>
          </cell>
          <cell r="DK112">
            <v>108.7</v>
          </cell>
          <cell r="DL112">
            <v>148.1</v>
          </cell>
          <cell r="DM112">
            <v>183.8</v>
          </cell>
          <cell r="DN112">
            <v>249</v>
          </cell>
          <cell r="DO112">
            <v>226.9</v>
          </cell>
          <cell r="DP112">
            <v>202.2</v>
          </cell>
          <cell r="DQ112">
            <v>159.4</v>
          </cell>
          <cell r="DR112">
            <v>123.2</v>
          </cell>
          <cell r="DS112">
            <v>108.3</v>
          </cell>
          <cell r="DT112">
            <v>83.6</v>
          </cell>
          <cell r="DU112">
            <v>88.7</v>
          </cell>
          <cell r="DV112">
            <v>102.8</v>
          </cell>
          <cell r="DW112">
            <v>120.2</v>
          </cell>
          <cell r="DX112">
            <v>174</v>
          </cell>
          <cell r="DY112">
            <v>246.8</v>
          </cell>
          <cell r="EM112">
            <v>1126.8999999999999</v>
          </cell>
          <cell r="EN112">
            <v>1247.4000000000001</v>
          </cell>
          <cell r="EO112">
            <v>1325.8</v>
          </cell>
          <cell r="EP112">
            <v>1459.6</v>
          </cell>
          <cell r="EQ112">
            <v>1387.3999999999999</v>
          </cell>
          <cell r="ER112">
            <v>1320.4</v>
          </cell>
          <cell r="ES112">
            <v>1788.1000000000001</v>
          </cell>
        </row>
        <row r="113">
          <cell r="A113" t="str">
            <v>Other Operating Income / (Expense) Items</v>
          </cell>
          <cell r="B113" t="str">
            <v>Operating Revenue</v>
          </cell>
          <cell r="D113" t="str">
            <v>Residential Base Revenue Billed (PGA)</v>
          </cell>
          <cell r="E113" t="str">
            <v>Operating Revenue</v>
          </cell>
          <cell r="F113" t="str">
            <v>4893043</v>
          </cell>
          <cell r="G113" t="str">
            <v>A_4893043</v>
          </cell>
          <cell r="H113" t="str">
            <v>Residential Transportation General Service 2-Swing</v>
          </cell>
          <cell r="J113">
            <v>8</v>
          </cell>
          <cell r="K113">
            <v>7.4</v>
          </cell>
          <cell r="L113">
            <v>6.2</v>
          </cell>
          <cell r="M113">
            <v>5.7</v>
          </cell>
          <cell r="N113">
            <v>4.4000000000000004</v>
          </cell>
          <cell r="O113">
            <v>3.3</v>
          </cell>
          <cell r="P113">
            <v>2.4</v>
          </cell>
          <cell r="Q113">
            <v>2.2000000000000002</v>
          </cell>
          <cell r="R113">
            <v>2.4</v>
          </cell>
          <cell r="S113">
            <v>3.1</v>
          </cell>
          <cell r="T113">
            <v>5</v>
          </cell>
          <cell r="U113">
            <v>7</v>
          </cell>
          <cell r="V113">
            <v>7.7</v>
          </cell>
          <cell r="W113">
            <v>8.3000000000000007</v>
          </cell>
          <cell r="X113">
            <v>7.4</v>
          </cell>
          <cell r="Y113">
            <v>5</v>
          </cell>
          <cell r="Z113">
            <v>3.4</v>
          </cell>
          <cell r="AA113">
            <v>3.3</v>
          </cell>
          <cell r="AB113">
            <v>2.5</v>
          </cell>
          <cell r="AC113">
            <v>2.5</v>
          </cell>
          <cell r="AD113">
            <v>2.5</v>
          </cell>
          <cell r="AE113">
            <v>3</v>
          </cell>
          <cell r="AF113">
            <v>4.2</v>
          </cell>
          <cell r="AG113">
            <v>10.4</v>
          </cell>
          <cell r="AH113">
            <v>12.9</v>
          </cell>
          <cell r="AI113">
            <v>15.1</v>
          </cell>
          <cell r="AJ113">
            <v>13</v>
          </cell>
          <cell r="AK113">
            <v>10.3</v>
          </cell>
          <cell r="AL113">
            <v>8.1</v>
          </cell>
          <cell r="AM113">
            <v>5.9</v>
          </cell>
          <cell r="AN113">
            <v>4.4000000000000004</v>
          </cell>
          <cell r="AO113">
            <v>4.0999999999999996</v>
          </cell>
          <cell r="AP113">
            <v>4.5</v>
          </cell>
          <cell r="AQ113">
            <v>5.3</v>
          </cell>
          <cell r="AR113">
            <v>9.1999999999999993</v>
          </cell>
          <cell r="AS113">
            <v>12.1</v>
          </cell>
          <cell r="AT113">
            <v>12.9</v>
          </cell>
          <cell r="AU113">
            <v>14.1</v>
          </cell>
          <cell r="AV113">
            <v>12.3</v>
          </cell>
          <cell r="AW113">
            <v>11.7</v>
          </cell>
          <cell r="AX113">
            <v>8.6</v>
          </cell>
          <cell r="AY113">
            <v>6.4</v>
          </cell>
          <cell r="AZ113">
            <v>5.3</v>
          </cell>
          <cell r="BA113">
            <v>5.3</v>
          </cell>
          <cell r="BB113">
            <v>5.7</v>
          </cell>
          <cell r="BC113">
            <v>5.4</v>
          </cell>
          <cell r="BD113">
            <v>10</v>
          </cell>
          <cell r="BE113">
            <v>13.7</v>
          </cell>
          <cell r="BF113">
            <v>18.3</v>
          </cell>
          <cell r="BG113">
            <v>16.399999999999999</v>
          </cell>
          <cell r="BH113">
            <v>13.8</v>
          </cell>
          <cell r="BI113">
            <v>13.9</v>
          </cell>
          <cell r="BJ113">
            <v>10.3</v>
          </cell>
          <cell r="BK113">
            <v>8.4</v>
          </cell>
          <cell r="BL113">
            <v>5</v>
          </cell>
          <cell r="BM113">
            <v>4.9000000000000004</v>
          </cell>
          <cell r="BN113">
            <v>5.9</v>
          </cell>
          <cell r="BO113">
            <v>5.8</v>
          </cell>
          <cell r="BP113">
            <v>8.1999999999999993</v>
          </cell>
          <cell r="BQ113">
            <v>13.3</v>
          </cell>
          <cell r="BR113">
            <v>17.899999999999999</v>
          </cell>
          <cell r="BS113">
            <v>17.600000000000001</v>
          </cell>
          <cell r="BT113">
            <v>13.4</v>
          </cell>
          <cell r="BU113">
            <v>13</v>
          </cell>
          <cell r="BV113">
            <v>9.6999999999999993</v>
          </cell>
          <cell r="BW113">
            <v>7</v>
          </cell>
          <cell r="BX113">
            <v>5.6</v>
          </cell>
          <cell r="BY113">
            <v>5.5</v>
          </cell>
          <cell r="BZ113">
            <v>5.8</v>
          </cell>
          <cell r="CA113">
            <v>6.6</v>
          </cell>
          <cell r="CB113">
            <v>8.1999999999999993</v>
          </cell>
          <cell r="CC113">
            <v>13.8</v>
          </cell>
          <cell r="CD113">
            <v>17.7</v>
          </cell>
          <cell r="CE113">
            <v>16</v>
          </cell>
          <cell r="CF113">
            <v>15</v>
          </cell>
          <cell r="CG113">
            <v>7.8</v>
          </cell>
          <cell r="CH113">
            <v>6.1</v>
          </cell>
          <cell r="CI113">
            <v>6.6</v>
          </cell>
          <cell r="CJ113">
            <v>5.2</v>
          </cell>
          <cell r="CK113">
            <v>5.2</v>
          </cell>
          <cell r="CL113">
            <v>5.0999999999999996</v>
          </cell>
          <cell r="CM113">
            <v>6.9</v>
          </cell>
          <cell r="CN113">
            <v>9.8000000000000007</v>
          </cell>
          <cell r="CO113">
            <v>14.3</v>
          </cell>
          <cell r="CP113">
            <v>17.8</v>
          </cell>
          <cell r="CQ113">
            <v>16.399999999999999</v>
          </cell>
          <cell r="CR113">
            <v>14.1</v>
          </cell>
          <cell r="CS113">
            <v>13</v>
          </cell>
          <cell r="CT113">
            <v>10</v>
          </cell>
          <cell r="CU113">
            <v>8.6</v>
          </cell>
          <cell r="CV113">
            <v>6.4</v>
          </cell>
          <cell r="CW113">
            <v>5.0999999999999996</v>
          </cell>
          <cell r="CX113">
            <v>5.3</v>
          </cell>
          <cell r="CY113">
            <v>6.2</v>
          </cell>
          <cell r="CZ113">
            <v>9.4</v>
          </cell>
          <cell r="DA113">
            <v>13</v>
          </cell>
          <cell r="DB113">
            <v>12.9</v>
          </cell>
          <cell r="DC113">
            <v>15.2</v>
          </cell>
          <cell r="DD113">
            <v>12.8</v>
          </cell>
          <cell r="DE113">
            <v>11.2</v>
          </cell>
          <cell r="DF113">
            <v>9.8000000000000007</v>
          </cell>
          <cell r="DG113">
            <v>6.9</v>
          </cell>
          <cell r="DH113">
            <v>5.5</v>
          </cell>
          <cell r="DI113">
            <v>5</v>
          </cell>
          <cell r="DJ113">
            <v>5.3</v>
          </cell>
          <cell r="DK113">
            <v>6.3</v>
          </cell>
          <cell r="DL113">
            <v>9</v>
          </cell>
          <cell r="DM113">
            <v>11.9</v>
          </cell>
          <cell r="DN113">
            <v>17.100000000000001</v>
          </cell>
          <cell r="DO113">
            <v>17.100000000000001</v>
          </cell>
          <cell r="DP113">
            <v>12.9</v>
          </cell>
          <cell r="DQ113">
            <v>13.1</v>
          </cell>
          <cell r="DR113">
            <v>9.5</v>
          </cell>
          <cell r="DS113">
            <v>6.8</v>
          </cell>
          <cell r="DT113">
            <v>5.8</v>
          </cell>
          <cell r="DU113">
            <v>5.2</v>
          </cell>
          <cell r="DV113">
            <v>5.8</v>
          </cell>
          <cell r="DW113">
            <v>6.4</v>
          </cell>
          <cell r="DX113">
            <v>8.1</v>
          </cell>
          <cell r="DY113">
            <v>13.5</v>
          </cell>
          <cell r="EM113">
            <v>60.199999999999996</v>
          </cell>
          <cell r="EN113">
            <v>104.89999999999999</v>
          </cell>
          <cell r="EO113">
            <v>111.4</v>
          </cell>
          <cell r="EP113">
            <v>124.20000000000002</v>
          </cell>
          <cell r="EQ113">
            <v>124.09999999999998</v>
          </cell>
          <cell r="ER113">
            <v>115.7</v>
          </cell>
          <cell r="ES113">
            <v>125.30000000000001</v>
          </cell>
        </row>
        <row r="114">
          <cell r="A114" t="str">
            <v>Base Revenues and OSS - Net</v>
          </cell>
          <cell r="B114" t="str">
            <v>Operating Revenue</v>
          </cell>
          <cell r="D114" t="str">
            <v>Residential Base Revenue Billed</v>
          </cell>
          <cell r="E114" t="str">
            <v>Operating Revenue</v>
          </cell>
          <cell r="F114" t="str">
            <v>4893044</v>
          </cell>
          <cell r="G114" t="str">
            <v>A_4893044</v>
          </cell>
          <cell r="H114" t="str">
            <v>Residential Transportation General Service 3</v>
          </cell>
          <cell r="J114">
            <v>92.6</v>
          </cell>
          <cell r="K114">
            <v>72.8</v>
          </cell>
          <cell r="L114">
            <v>66.3</v>
          </cell>
          <cell r="M114">
            <v>65.900000000000006</v>
          </cell>
          <cell r="N114">
            <v>59.1</v>
          </cell>
          <cell r="O114">
            <v>47.3</v>
          </cell>
          <cell r="P114">
            <v>33.1</v>
          </cell>
          <cell r="Q114">
            <v>41.7</v>
          </cell>
          <cell r="R114">
            <v>42</v>
          </cell>
          <cell r="S114">
            <v>42.4</v>
          </cell>
          <cell r="T114">
            <v>59.3</v>
          </cell>
          <cell r="U114">
            <v>68.2</v>
          </cell>
          <cell r="V114">
            <v>79.3</v>
          </cell>
          <cell r="W114">
            <v>92.4</v>
          </cell>
          <cell r="X114">
            <v>81.3</v>
          </cell>
          <cell r="Y114">
            <v>54.1</v>
          </cell>
          <cell r="Z114">
            <v>40.700000000000003</v>
          </cell>
          <cell r="AA114">
            <v>56.8</v>
          </cell>
          <cell r="AB114">
            <v>30.8</v>
          </cell>
          <cell r="AC114">
            <v>39.1</v>
          </cell>
          <cell r="AD114">
            <v>35.700000000000003</v>
          </cell>
          <cell r="AE114">
            <v>41.8</v>
          </cell>
          <cell r="AF114">
            <v>49.7</v>
          </cell>
          <cell r="AG114">
            <v>68.2</v>
          </cell>
          <cell r="AH114">
            <v>79.2</v>
          </cell>
          <cell r="AI114">
            <v>75.8</v>
          </cell>
          <cell r="AJ114">
            <v>61.9</v>
          </cell>
          <cell r="AK114">
            <v>53.9</v>
          </cell>
          <cell r="AL114">
            <v>46.9</v>
          </cell>
          <cell r="AM114">
            <v>33.9</v>
          </cell>
          <cell r="AN114">
            <v>36.5</v>
          </cell>
          <cell r="AO114">
            <v>35.4</v>
          </cell>
          <cell r="AP114">
            <v>39.799999999999997</v>
          </cell>
          <cell r="AQ114">
            <v>39.4</v>
          </cell>
          <cell r="AR114">
            <v>59.1</v>
          </cell>
          <cell r="AS114">
            <v>66.2</v>
          </cell>
          <cell r="AT114">
            <v>13.5</v>
          </cell>
          <cell r="AU114">
            <v>138</v>
          </cell>
          <cell r="AV114">
            <v>50.4</v>
          </cell>
          <cell r="AW114">
            <v>69.900000000000006</v>
          </cell>
          <cell r="AX114">
            <v>47.5</v>
          </cell>
          <cell r="AY114">
            <v>38.1</v>
          </cell>
          <cell r="AZ114">
            <v>31</v>
          </cell>
          <cell r="BA114">
            <v>32</v>
          </cell>
          <cell r="BB114">
            <v>34.799999999999997</v>
          </cell>
          <cell r="BC114">
            <v>39.6</v>
          </cell>
          <cell r="BD114">
            <v>48.3</v>
          </cell>
          <cell r="BE114">
            <v>52.6</v>
          </cell>
          <cell r="BF114">
            <v>70.599999999999994</v>
          </cell>
          <cell r="BG114">
            <v>55.4</v>
          </cell>
          <cell r="BH114">
            <v>60.2</v>
          </cell>
          <cell r="BI114">
            <v>73.400000000000006</v>
          </cell>
          <cell r="BJ114">
            <v>37.6</v>
          </cell>
          <cell r="BK114">
            <v>46.1</v>
          </cell>
          <cell r="BL114">
            <v>34.9</v>
          </cell>
          <cell r="BM114">
            <v>40.4</v>
          </cell>
          <cell r="BN114">
            <v>46.1</v>
          </cell>
          <cell r="BO114">
            <v>48.1</v>
          </cell>
          <cell r="BP114">
            <v>55.8</v>
          </cell>
          <cell r="BQ114">
            <v>72.400000000000006</v>
          </cell>
          <cell r="BR114">
            <v>83.1</v>
          </cell>
          <cell r="BS114">
            <v>69</v>
          </cell>
          <cell r="BT114">
            <v>65.5</v>
          </cell>
          <cell r="BU114">
            <v>63.9</v>
          </cell>
          <cell r="BV114">
            <v>55.2</v>
          </cell>
          <cell r="BW114">
            <v>44.5</v>
          </cell>
          <cell r="BX114">
            <v>37.9</v>
          </cell>
          <cell r="BY114">
            <v>40</v>
          </cell>
          <cell r="BZ114">
            <v>44.4</v>
          </cell>
          <cell r="CA114">
            <v>54.6</v>
          </cell>
          <cell r="CB114">
            <v>55.5</v>
          </cell>
          <cell r="CC114">
            <v>73.5</v>
          </cell>
          <cell r="CD114">
            <v>89.1</v>
          </cell>
          <cell r="CE114">
            <v>73.099999999999994</v>
          </cell>
          <cell r="CF114">
            <v>67.900000000000006</v>
          </cell>
          <cell r="CG114">
            <v>37.299999999999997</v>
          </cell>
          <cell r="CH114">
            <v>33.5</v>
          </cell>
          <cell r="CI114">
            <v>46.6</v>
          </cell>
          <cell r="CJ114">
            <v>38.1</v>
          </cell>
          <cell r="CK114">
            <v>44.5</v>
          </cell>
          <cell r="CL114">
            <v>38.700000000000003</v>
          </cell>
          <cell r="CM114">
            <v>46.7</v>
          </cell>
          <cell r="CN114">
            <v>63.1</v>
          </cell>
          <cell r="CO114">
            <v>73.2</v>
          </cell>
          <cell r="CP114">
            <v>122.3</v>
          </cell>
          <cell r="CQ114">
            <v>87.4</v>
          </cell>
          <cell r="CR114">
            <v>89.8</v>
          </cell>
          <cell r="CS114">
            <v>91</v>
          </cell>
          <cell r="CT114">
            <v>74.099999999999994</v>
          </cell>
          <cell r="CU114">
            <v>73.400000000000006</v>
          </cell>
          <cell r="CV114">
            <v>75.5</v>
          </cell>
          <cell r="CW114">
            <v>59.2</v>
          </cell>
          <cell r="CX114">
            <v>69.400000000000006</v>
          </cell>
          <cell r="CY114">
            <v>74</v>
          </cell>
          <cell r="CZ114">
            <v>94.2</v>
          </cell>
          <cell r="DA114">
            <v>112.4</v>
          </cell>
          <cell r="DB114">
            <v>117.7</v>
          </cell>
          <cell r="DC114">
            <v>105.1</v>
          </cell>
          <cell r="DD114">
            <v>102.4</v>
          </cell>
          <cell r="DE114">
            <v>85.5</v>
          </cell>
          <cell r="DF114">
            <v>85.7</v>
          </cell>
          <cell r="DG114">
            <v>65.5</v>
          </cell>
          <cell r="DH114">
            <v>73.7</v>
          </cell>
          <cell r="DI114">
            <v>60.1</v>
          </cell>
          <cell r="DJ114">
            <v>70</v>
          </cell>
          <cell r="DK114">
            <v>75.2</v>
          </cell>
          <cell r="DL114">
            <v>91.2</v>
          </cell>
          <cell r="DM114">
            <v>104.2</v>
          </cell>
          <cell r="DN114">
            <v>98</v>
          </cell>
          <cell r="DO114">
            <v>109.7</v>
          </cell>
          <cell r="DP114">
            <v>94</v>
          </cell>
          <cell r="DQ114">
            <v>85.9</v>
          </cell>
          <cell r="DR114">
            <v>71.3</v>
          </cell>
          <cell r="DS114">
            <v>69.599999999999994</v>
          </cell>
          <cell r="DT114">
            <v>62.3</v>
          </cell>
          <cell r="DU114">
            <v>58.2</v>
          </cell>
          <cell r="DV114">
            <v>67.900000000000006</v>
          </cell>
          <cell r="DW114">
            <v>75.3</v>
          </cell>
          <cell r="DX114">
            <v>84.5</v>
          </cell>
          <cell r="DY114">
            <v>102.4</v>
          </cell>
          <cell r="EM114">
            <v>669.90000000000009</v>
          </cell>
          <cell r="EN114">
            <v>628</v>
          </cell>
          <cell r="EO114">
            <v>595.70000000000005</v>
          </cell>
          <cell r="EP114">
            <v>641</v>
          </cell>
          <cell r="EQ114">
            <v>687.09999999999991</v>
          </cell>
          <cell r="ER114">
            <v>651.80000000000007</v>
          </cell>
          <cell r="ES114">
            <v>1022.7</v>
          </cell>
        </row>
        <row r="115">
          <cell r="A115" t="str">
            <v>Other Operating Income / (Expense) Items</v>
          </cell>
          <cell r="B115" t="str">
            <v>Operating Revenue</v>
          </cell>
          <cell r="D115" t="str">
            <v>Residential Base Revenue Billed (PGA)</v>
          </cell>
          <cell r="E115" t="str">
            <v>Operating Revenue</v>
          </cell>
          <cell r="F115" t="str">
            <v>4893045</v>
          </cell>
          <cell r="G115" t="str">
            <v>A_4893045</v>
          </cell>
          <cell r="H115" t="str">
            <v>Residential Transportation General Service 3-Swing</v>
          </cell>
          <cell r="J115">
            <v>5</v>
          </cell>
          <cell r="K115">
            <v>4.5</v>
          </cell>
          <cell r="L115">
            <v>4.0999999999999996</v>
          </cell>
          <cell r="M115">
            <v>3.9</v>
          </cell>
          <cell r="N115">
            <v>3.6</v>
          </cell>
          <cell r="O115">
            <v>2.9</v>
          </cell>
          <cell r="P115">
            <v>2.1</v>
          </cell>
          <cell r="Q115">
            <v>2.2000000000000002</v>
          </cell>
          <cell r="R115">
            <v>2.2999999999999998</v>
          </cell>
          <cell r="S115">
            <v>2.2999999999999998</v>
          </cell>
          <cell r="T115">
            <v>3</v>
          </cell>
          <cell r="U115">
            <v>3.7</v>
          </cell>
          <cell r="V115">
            <v>4.4000000000000004</v>
          </cell>
          <cell r="W115">
            <v>5.0999999999999996</v>
          </cell>
          <cell r="X115">
            <v>4.9000000000000004</v>
          </cell>
          <cell r="Y115">
            <v>3.7</v>
          </cell>
          <cell r="Z115">
            <v>2.7</v>
          </cell>
          <cell r="AA115">
            <v>3.1</v>
          </cell>
          <cell r="AB115">
            <v>2.1</v>
          </cell>
          <cell r="AC115">
            <v>2.1</v>
          </cell>
          <cell r="AD115">
            <v>2</v>
          </cell>
          <cell r="AE115">
            <v>2.2000000000000002</v>
          </cell>
          <cell r="AF115">
            <v>2.6</v>
          </cell>
          <cell r="AG115">
            <v>6.6</v>
          </cell>
          <cell r="AH115">
            <v>8</v>
          </cell>
          <cell r="AI115">
            <v>8.1999999999999993</v>
          </cell>
          <cell r="AJ115">
            <v>7.2</v>
          </cell>
          <cell r="AK115">
            <v>6.2</v>
          </cell>
          <cell r="AL115">
            <v>5.3</v>
          </cell>
          <cell r="AM115">
            <v>4</v>
          </cell>
          <cell r="AN115">
            <v>3.7</v>
          </cell>
          <cell r="AO115">
            <v>3.5</v>
          </cell>
          <cell r="AP115">
            <v>3.8</v>
          </cell>
          <cell r="AQ115">
            <v>3.9</v>
          </cell>
          <cell r="AR115">
            <v>5.5</v>
          </cell>
          <cell r="AS115">
            <v>6.5</v>
          </cell>
          <cell r="AT115">
            <v>3.1</v>
          </cell>
          <cell r="AU115">
            <v>11.1</v>
          </cell>
          <cell r="AV115">
            <v>7.1</v>
          </cell>
          <cell r="AW115">
            <v>7.4</v>
          </cell>
          <cell r="AX115">
            <v>5.7</v>
          </cell>
          <cell r="AY115">
            <v>4.3</v>
          </cell>
          <cell r="AZ115">
            <v>3.5</v>
          </cell>
          <cell r="BA115">
            <v>3.2</v>
          </cell>
          <cell r="BB115">
            <v>3.6</v>
          </cell>
          <cell r="BC115">
            <v>3.5</v>
          </cell>
          <cell r="BD115">
            <v>4.7</v>
          </cell>
          <cell r="BE115">
            <v>5.3</v>
          </cell>
          <cell r="BF115">
            <v>6.9</v>
          </cell>
          <cell r="BG115">
            <v>6.2</v>
          </cell>
          <cell r="BH115">
            <v>6.4</v>
          </cell>
          <cell r="BI115">
            <v>7.5</v>
          </cell>
          <cell r="BJ115">
            <v>5</v>
          </cell>
          <cell r="BK115">
            <v>5</v>
          </cell>
          <cell r="BL115">
            <v>3.7</v>
          </cell>
          <cell r="BM115">
            <v>3.9</v>
          </cell>
          <cell r="BN115">
            <v>4.5999999999999996</v>
          </cell>
          <cell r="BO115">
            <v>4.7</v>
          </cell>
          <cell r="BP115">
            <v>5.2</v>
          </cell>
          <cell r="BQ115">
            <v>7.1</v>
          </cell>
          <cell r="BR115">
            <v>8.9</v>
          </cell>
          <cell r="BS115">
            <v>8.8000000000000007</v>
          </cell>
          <cell r="BT115">
            <v>7.2</v>
          </cell>
          <cell r="BU115">
            <v>7.2</v>
          </cell>
          <cell r="BV115">
            <v>6.4</v>
          </cell>
          <cell r="BW115">
            <v>5.3</v>
          </cell>
          <cell r="BX115">
            <v>4.4000000000000004</v>
          </cell>
          <cell r="BY115">
            <v>4.3</v>
          </cell>
          <cell r="BZ115">
            <v>4.5999999999999996</v>
          </cell>
          <cell r="CA115">
            <v>5.5</v>
          </cell>
          <cell r="CB115">
            <v>5.5</v>
          </cell>
          <cell r="CC115">
            <v>7.9</v>
          </cell>
          <cell r="CD115">
            <v>9.5</v>
          </cell>
          <cell r="CE115">
            <v>8.6999999999999993</v>
          </cell>
          <cell r="CF115">
            <v>8.3000000000000007</v>
          </cell>
          <cell r="CG115">
            <v>5.0999999999999996</v>
          </cell>
          <cell r="CH115">
            <v>3.9</v>
          </cell>
          <cell r="CI115">
            <v>4.7</v>
          </cell>
          <cell r="CJ115">
            <v>4.2</v>
          </cell>
          <cell r="CK115">
            <v>4.5</v>
          </cell>
          <cell r="CL115">
            <v>4.2</v>
          </cell>
          <cell r="CM115">
            <v>4.7</v>
          </cell>
          <cell r="CN115">
            <v>6.3</v>
          </cell>
          <cell r="CO115">
            <v>7.1</v>
          </cell>
          <cell r="CP115">
            <v>9.4</v>
          </cell>
          <cell r="CQ115">
            <v>8.5</v>
          </cell>
          <cell r="CR115">
            <v>7.4</v>
          </cell>
          <cell r="CS115">
            <v>7.6</v>
          </cell>
          <cell r="CT115">
            <v>6.4</v>
          </cell>
          <cell r="CU115">
            <v>6</v>
          </cell>
          <cell r="CV115">
            <v>5.8</v>
          </cell>
          <cell r="CW115">
            <v>4.7</v>
          </cell>
          <cell r="CX115">
            <v>5</v>
          </cell>
          <cell r="CY115">
            <v>5.5</v>
          </cell>
          <cell r="CZ115">
            <v>7.1</v>
          </cell>
          <cell r="DA115">
            <v>8.9</v>
          </cell>
          <cell r="DB115">
            <v>9.3000000000000007</v>
          </cell>
          <cell r="DC115">
            <v>9.6999999999999993</v>
          </cell>
          <cell r="DD115">
            <v>9.1</v>
          </cell>
          <cell r="DE115">
            <v>7.6</v>
          </cell>
          <cell r="DF115">
            <v>7.2</v>
          </cell>
          <cell r="DG115">
            <v>5.6</v>
          </cell>
          <cell r="DH115">
            <v>5.6</v>
          </cell>
          <cell r="DI115">
            <v>4.7</v>
          </cell>
          <cell r="DJ115">
            <v>5.3</v>
          </cell>
          <cell r="DK115">
            <v>5.3</v>
          </cell>
          <cell r="DL115">
            <v>6.8</v>
          </cell>
          <cell r="DM115">
            <v>8.1999999999999993</v>
          </cell>
          <cell r="DN115">
            <v>8.5</v>
          </cell>
          <cell r="DO115">
            <v>8.5</v>
          </cell>
          <cell r="DP115">
            <v>6.9</v>
          </cell>
          <cell r="DQ115">
            <v>7.2</v>
          </cell>
          <cell r="DR115">
            <v>6.3</v>
          </cell>
          <cell r="DS115">
            <v>5.2</v>
          </cell>
          <cell r="DT115">
            <v>4.5999999999999996</v>
          </cell>
          <cell r="DU115">
            <v>4</v>
          </cell>
          <cell r="DV115">
            <v>4.5999999999999996</v>
          </cell>
          <cell r="DW115">
            <v>5.4</v>
          </cell>
          <cell r="DX115">
            <v>5.4</v>
          </cell>
          <cell r="DY115">
            <v>7.7</v>
          </cell>
          <cell r="EM115">
            <v>41.500000000000007</v>
          </cell>
          <cell r="EN115">
            <v>65.8</v>
          </cell>
          <cell r="EO115">
            <v>62.5</v>
          </cell>
          <cell r="EP115">
            <v>66.2</v>
          </cell>
          <cell r="EQ115">
            <v>76</v>
          </cell>
          <cell r="ER115">
            <v>71.2</v>
          </cell>
          <cell r="ES115">
            <v>82.3</v>
          </cell>
        </row>
        <row r="116">
          <cell r="A116" t="str">
            <v>Base Revenues and OSS - Net</v>
          </cell>
          <cell r="B116" t="str">
            <v>Operating Revenue</v>
          </cell>
          <cell r="D116" t="str">
            <v>Commercial Base Revenue Billed</v>
          </cell>
          <cell r="E116" t="str">
            <v>Operating Revenue</v>
          </cell>
          <cell r="F116" t="str">
            <v>4893050</v>
          </cell>
          <cell r="G116" t="str">
            <v>A_4893050</v>
          </cell>
          <cell r="H116" t="str">
            <v>General Service Large Vol. 1 Transportation</v>
          </cell>
          <cell r="J116">
            <v>2031.6</v>
          </cell>
          <cell r="K116">
            <v>1781.4</v>
          </cell>
          <cell r="L116">
            <v>1783.5</v>
          </cell>
          <cell r="M116">
            <v>1695.5</v>
          </cell>
          <cell r="N116">
            <v>1522.4</v>
          </cell>
          <cell r="O116">
            <v>1609.8</v>
          </cell>
          <cell r="P116">
            <v>1426.1</v>
          </cell>
          <cell r="Q116">
            <v>1421.4</v>
          </cell>
          <cell r="R116">
            <v>1568.3</v>
          </cell>
          <cell r="S116">
            <v>1537</v>
          </cell>
          <cell r="T116">
            <v>1589.7</v>
          </cell>
          <cell r="U116">
            <v>1841.8</v>
          </cell>
          <cell r="V116">
            <v>2021.8</v>
          </cell>
          <cell r="W116">
            <v>1928.9</v>
          </cell>
          <cell r="X116">
            <v>1997.1</v>
          </cell>
          <cell r="Y116">
            <v>1720.9</v>
          </cell>
          <cell r="Z116">
            <v>1522.4</v>
          </cell>
          <cell r="AA116">
            <v>1592.3</v>
          </cell>
          <cell r="AB116">
            <v>1594</v>
          </cell>
          <cell r="AC116">
            <v>1629.8</v>
          </cell>
          <cell r="AD116">
            <v>1571.8</v>
          </cell>
          <cell r="AE116">
            <v>1622.9</v>
          </cell>
          <cell r="AF116">
            <v>1736.1</v>
          </cell>
          <cell r="AG116">
            <v>1880.8</v>
          </cell>
          <cell r="AH116">
            <v>2142.9</v>
          </cell>
          <cell r="AI116">
            <v>2068.3000000000002</v>
          </cell>
          <cell r="AJ116">
            <v>1962</v>
          </cell>
          <cell r="AK116">
            <v>1911.8</v>
          </cell>
          <cell r="AL116">
            <v>1780.3</v>
          </cell>
          <cell r="AM116">
            <v>1704.2</v>
          </cell>
          <cell r="AN116">
            <v>1614.2</v>
          </cell>
          <cell r="AO116">
            <v>1655.7</v>
          </cell>
          <cell r="AP116">
            <v>1708.4</v>
          </cell>
          <cell r="AQ116">
            <v>1642</v>
          </cell>
          <cell r="AR116">
            <v>1874</v>
          </cell>
          <cell r="AS116">
            <v>2048.4</v>
          </cell>
          <cell r="AT116">
            <v>2226.6999999999998</v>
          </cell>
          <cell r="AU116">
            <v>1981.8</v>
          </cell>
          <cell r="AV116">
            <v>1957.8</v>
          </cell>
          <cell r="AW116">
            <v>2030.1</v>
          </cell>
          <cell r="AX116">
            <v>1769.2</v>
          </cell>
          <cell r="AY116">
            <v>1779.9</v>
          </cell>
          <cell r="AZ116">
            <v>1720.1</v>
          </cell>
          <cell r="BA116">
            <v>1725.2</v>
          </cell>
          <cell r="BB116">
            <v>1808.3</v>
          </cell>
          <cell r="BC116">
            <v>1679.5</v>
          </cell>
          <cell r="BD116">
            <v>1847.4</v>
          </cell>
          <cell r="BE116">
            <v>1989.9</v>
          </cell>
          <cell r="BF116">
            <v>2544.5</v>
          </cell>
          <cell r="BG116">
            <v>2120.6999999999998</v>
          </cell>
          <cell r="BH116">
            <v>2030.6</v>
          </cell>
          <cell r="BI116">
            <v>2152.6</v>
          </cell>
          <cell r="BJ116">
            <v>1857.3</v>
          </cell>
          <cell r="BK116">
            <v>1862.1</v>
          </cell>
          <cell r="BL116">
            <v>1788.4</v>
          </cell>
          <cell r="BM116">
            <v>1749.7</v>
          </cell>
          <cell r="BN116">
            <v>1910.6</v>
          </cell>
          <cell r="BO116">
            <v>1744.2</v>
          </cell>
          <cell r="BP116">
            <v>1898.6</v>
          </cell>
          <cell r="BQ116">
            <v>2159.1</v>
          </cell>
          <cell r="BR116">
            <v>2191.8000000000002</v>
          </cell>
          <cell r="BS116">
            <v>1940.6</v>
          </cell>
          <cell r="BT116">
            <v>2153.1999999999998</v>
          </cell>
          <cell r="BU116">
            <v>2019.8</v>
          </cell>
          <cell r="BV116">
            <v>1840.8</v>
          </cell>
          <cell r="BW116">
            <v>1754.7</v>
          </cell>
          <cell r="BX116">
            <v>1670.4</v>
          </cell>
          <cell r="BY116">
            <v>1706.7</v>
          </cell>
          <cell r="BZ116">
            <v>1783.3</v>
          </cell>
          <cell r="CA116">
            <v>1695.5</v>
          </cell>
          <cell r="CB116">
            <v>2034.8</v>
          </cell>
          <cell r="CC116">
            <v>1997.5</v>
          </cell>
          <cell r="CD116">
            <v>2264.9</v>
          </cell>
          <cell r="CE116">
            <v>2117.3000000000002</v>
          </cell>
          <cell r="CF116">
            <v>1939.3</v>
          </cell>
          <cell r="CG116">
            <v>1349.2</v>
          </cell>
          <cell r="CH116">
            <v>1291.5</v>
          </cell>
          <cell r="CI116">
            <v>1682.8</v>
          </cell>
          <cell r="CJ116">
            <v>1582.3</v>
          </cell>
          <cell r="CK116">
            <v>1613.3</v>
          </cell>
          <cell r="CL116">
            <v>1609.3</v>
          </cell>
          <cell r="CM116">
            <v>1616.8</v>
          </cell>
          <cell r="CN116">
            <v>1813.6</v>
          </cell>
          <cell r="CO116">
            <v>2200.3000000000002</v>
          </cell>
          <cell r="CP116">
            <v>3006.1</v>
          </cell>
          <cell r="CQ116">
            <v>2445.6</v>
          </cell>
          <cell r="CR116">
            <v>2612.3000000000002</v>
          </cell>
          <cell r="CS116">
            <v>2598.1</v>
          </cell>
          <cell r="CT116">
            <v>2287.8000000000002</v>
          </cell>
          <cell r="CU116">
            <v>2300.9</v>
          </cell>
          <cell r="CV116">
            <v>2410</v>
          </cell>
          <cell r="CW116">
            <v>2300.6999999999998</v>
          </cell>
          <cell r="CX116">
            <v>2390.3000000000002</v>
          </cell>
          <cell r="CY116">
            <v>2284</v>
          </cell>
          <cell r="CZ116">
            <v>2494.9</v>
          </cell>
          <cell r="DA116">
            <v>2975.9</v>
          </cell>
          <cell r="DB116">
            <v>3158.6</v>
          </cell>
          <cell r="DC116">
            <v>2653.2</v>
          </cell>
          <cell r="DD116">
            <v>2703.6</v>
          </cell>
          <cell r="DE116">
            <v>2627.6</v>
          </cell>
          <cell r="DF116">
            <v>2557.8000000000002</v>
          </cell>
          <cell r="DG116">
            <v>2361.1999999999998</v>
          </cell>
          <cell r="DH116">
            <v>2160.6999999999998</v>
          </cell>
          <cell r="DI116">
            <v>2199.8000000000002</v>
          </cell>
          <cell r="DJ116">
            <v>2187.3000000000002</v>
          </cell>
          <cell r="DK116">
            <v>2381.3000000000002</v>
          </cell>
          <cell r="DL116">
            <v>2355.3000000000002</v>
          </cell>
          <cell r="DM116">
            <v>2665.2</v>
          </cell>
          <cell r="DN116">
            <v>2917.7</v>
          </cell>
          <cell r="DO116">
            <v>2747.9</v>
          </cell>
          <cell r="DP116">
            <v>2656.7</v>
          </cell>
          <cell r="DQ116">
            <v>2488</v>
          </cell>
          <cell r="DR116">
            <v>2332.6999999999998</v>
          </cell>
          <cell r="DS116">
            <v>2386.6</v>
          </cell>
          <cell r="DT116">
            <v>2243.8000000000002</v>
          </cell>
          <cell r="DU116">
            <v>2234.1999999999998</v>
          </cell>
          <cell r="DV116">
            <v>2434.1</v>
          </cell>
          <cell r="DW116">
            <v>2207.6999999999998</v>
          </cell>
          <cell r="DX116">
            <v>2532.3000000000002</v>
          </cell>
          <cell r="DY116">
            <v>2910.6</v>
          </cell>
          <cell r="EM116">
            <v>20818.799999999996</v>
          </cell>
          <cell r="EN116">
            <v>22112.200000000004</v>
          </cell>
          <cell r="EO116">
            <v>22515.900000000005</v>
          </cell>
          <cell r="EP116">
            <v>23818.399999999998</v>
          </cell>
          <cell r="EQ116">
            <v>22789.1</v>
          </cell>
          <cell r="ER116">
            <v>21080.599999999995</v>
          </cell>
          <cell r="ES116">
            <v>30106.600000000006</v>
          </cell>
        </row>
        <row r="117">
          <cell r="A117" t="str">
            <v>Other Operating Income / (Expense) Items</v>
          </cell>
          <cell r="B117" t="str">
            <v>Operating Revenue</v>
          </cell>
          <cell r="D117" t="str">
            <v>Commercial Base Revenue Billed (PGA)</v>
          </cell>
          <cell r="E117" t="str">
            <v>Operating Revenue</v>
          </cell>
          <cell r="F117" t="str">
            <v>4893051</v>
          </cell>
          <cell r="G117" t="str">
            <v>A_4893051</v>
          </cell>
          <cell r="H117" t="str">
            <v>General Service Large Vol. 1 Transportation-Swing</v>
          </cell>
          <cell r="J117">
            <v>83.6</v>
          </cell>
          <cell r="K117">
            <v>79.599999999999994</v>
          </cell>
          <cell r="L117">
            <v>78</v>
          </cell>
          <cell r="M117">
            <v>73.900000000000006</v>
          </cell>
          <cell r="N117">
            <v>66.8</v>
          </cell>
          <cell r="O117">
            <v>67.400000000000006</v>
          </cell>
          <cell r="P117">
            <v>61.5</v>
          </cell>
          <cell r="Q117">
            <v>59</v>
          </cell>
          <cell r="R117">
            <v>63.4</v>
          </cell>
          <cell r="S117">
            <v>63.6</v>
          </cell>
          <cell r="T117">
            <v>65.5</v>
          </cell>
          <cell r="U117">
            <v>75.2</v>
          </cell>
          <cell r="V117">
            <v>84.9</v>
          </cell>
          <cell r="W117">
            <v>84.7</v>
          </cell>
          <cell r="X117">
            <v>86.9</v>
          </cell>
          <cell r="Y117">
            <v>77.5</v>
          </cell>
          <cell r="Z117">
            <v>67.099999999999994</v>
          </cell>
          <cell r="AA117">
            <v>69.2</v>
          </cell>
          <cell r="AB117">
            <v>66</v>
          </cell>
          <cell r="AC117">
            <v>67.099999999999994</v>
          </cell>
          <cell r="AD117">
            <v>65.3</v>
          </cell>
          <cell r="AE117">
            <v>66.3</v>
          </cell>
          <cell r="AF117">
            <v>70.2</v>
          </cell>
          <cell r="AG117">
            <v>110.7</v>
          </cell>
          <cell r="AH117">
            <v>127</v>
          </cell>
          <cell r="AI117">
            <v>128.5</v>
          </cell>
          <cell r="AJ117">
            <v>123.4</v>
          </cell>
          <cell r="AK117">
            <v>119</v>
          </cell>
          <cell r="AL117">
            <v>110.6</v>
          </cell>
          <cell r="AM117">
            <v>103.6</v>
          </cell>
          <cell r="AN117">
            <v>97.1</v>
          </cell>
          <cell r="AO117">
            <v>96.8</v>
          </cell>
          <cell r="AP117">
            <v>99.4</v>
          </cell>
          <cell r="AQ117">
            <v>96.6</v>
          </cell>
          <cell r="AR117">
            <v>107.5</v>
          </cell>
          <cell r="AS117">
            <v>120.1</v>
          </cell>
          <cell r="AT117">
            <v>133.6</v>
          </cell>
          <cell r="AU117">
            <v>125.4</v>
          </cell>
          <cell r="AV117">
            <v>121.2</v>
          </cell>
          <cell r="AW117">
            <v>123.4</v>
          </cell>
          <cell r="AX117">
            <v>110.8</v>
          </cell>
          <cell r="AY117">
            <v>106.9</v>
          </cell>
          <cell r="AZ117">
            <v>103</v>
          </cell>
          <cell r="BA117">
            <v>101.6</v>
          </cell>
          <cell r="BB117">
            <v>107.2</v>
          </cell>
          <cell r="BC117">
            <v>96.6</v>
          </cell>
          <cell r="BD117">
            <v>108.1</v>
          </cell>
          <cell r="BE117">
            <v>118.6</v>
          </cell>
          <cell r="BF117">
            <v>148.5</v>
          </cell>
          <cell r="BG117">
            <v>137.4</v>
          </cell>
          <cell r="BH117">
            <v>128.6</v>
          </cell>
          <cell r="BI117">
            <v>132</v>
          </cell>
          <cell r="BJ117">
            <v>117.7</v>
          </cell>
          <cell r="BK117">
            <v>116.9</v>
          </cell>
          <cell r="BL117">
            <v>105.5</v>
          </cell>
          <cell r="BM117">
            <v>103.4</v>
          </cell>
          <cell r="BN117">
            <v>114.5</v>
          </cell>
          <cell r="BO117">
            <v>102.2</v>
          </cell>
          <cell r="BP117">
            <v>106.6</v>
          </cell>
          <cell r="BQ117">
            <v>128.1</v>
          </cell>
          <cell r="BR117">
            <v>141.9</v>
          </cell>
          <cell r="BS117">
            <v>140.6</v>
          </cell>
          <cell r="BT117">
            <v>131</v>
          </cell>
          <cell r="BU117">
            <v>130.80000000000001</v>
          </cell>
          <cell r="BV117">
            <v>120.9</v>
          </cell>
          <cell r="BW117">
            <v>112.9</v>
          </cell>
          <cell r="BX117">
            <v>105.8</v>
          </cell>
          <cell r="BY117">
            <v>105.1</v>
          </cell>
          <cell r="BZ117">
            <v>109.2</v>
          </cell>
          <cell r="CA117">
            <v>105.6</v>
          </cell>
          <cell r="CB117">
            <v>113</v>
          </cell>
          <cell r="CC117">
            <v>132.80000000000001</v>
          </cell>
          <cell r="CD117">
            <v>143.69999999999999</v>
          </cell>
          <cell r="CE117">
            <v>139.80000000000001</v>
          </cell>
          <cell r="CF117">
            <v>133</v>
          </cell>
          <cell r="CG117">
            <v>89.9</v>
          </cell>
          <cell r="CH117">
            <v>76.8</v>
          </cell>
          <cell r="CI117">
            <v>93.7</v>
          </cell>
          <cell r="CJ117">
            <v>93.9</v>
          </cell>
          <cell r="CK117">
            <v>95.7</v>
          </cell>
          <cell r="CL117">
            <v>96.1</v>
          </cell>
          <cell r="CM117">
            <v>96.9</v>
          </cell>
          <cell r="CN117">
            <v>107.5</v>
          </cell>
          <cell r="CO117">
            <v>122.1</v>
          </cell>
          <cell r="CP117">
            <v>145.30000000000001</v>
          </cell>
          <cell r="CQ117">
            <v>138.69999999999999</v>
          </cell>
          <cell r="CR117">
            <v>128.6</v>
          </cell>
          <cell r="CS117">
            <v>131.9</v>
          </cell>
          <cell r="CT117">
            <v>119.4</v>
          </cell>
          <cell r="CU117">
            <v>115.4</v>
          </cell>
          <cell r="CV117">
            <v>119.2</v>
          </cell>
          <cell r="CW117">
            <v>115.3</v>
          </cell>
          <cell r="CX117">
            <v>118</v>
          </cell>
          <cell r="CY117">
            <v>114</v>
          </cell>
          <cell r="CZ117">
            <v>121.9</v>
          </cell>
          <cell r="DA117">
            <v>145.80000000000001</v>
          </cell>
          <cell r="DB117">
            <v>151.69999999999999</v>
          </cell>
          <cell r="DC117">
            <v>151.6</v>
          </cell>
          <cell r="DD117">
            <v>143.5</v>
          </cell>
          <cell r="DE117">
            <v>137.4</v>
          </cell>
          <cell r="DF117">
            <v>132.1</v>
          </cell>
          <cell r="DG117">
            <v>121.4</v>
          </cell>
          <cell r="DH117">
            <v>110.1</v>
          </cell>
          <cell r="DI117">
            <v>107.6</v>
          </cell>
          <cell r="DJ117">
            <v>111.9</v>
          </cell>
          <cell r="DK117">
            <v>110.6</v>
          </cell>
          <cell r="DL117">
            <v>114.6</v>
          </cell>
          <cell r="DM117">
            <v>129.80000000000001</v>
          </cell>
          <cell r="DN117">
            <v>135.4</v>
          </cell>
          <cell r="DO117">
            <v>136.9</v>
          </cell>
          <cell r="DP117">
            <v>126.7</v>
          </cell>
          <cell r="DQ117">
            <v>131.5</v>
          </cell>
          <cell r="DR117">
            <v>118.8</v>
          </cell>
          <cell r="DS117">
            <v>110</v>
          </cell>
          <cell r="DT117">
            <v>110.3</v>
          </cell>
          <cell r="DU117">
            <v>99.7</v>
          </cell>
          <cell r="DV117">
            <v>108.6</v>
          </cell>
          <cell r="DW117">
            <v>103.4</v>
          </cell>
          <cell r="DX117">
            <v>111.6</v>
          </cell>
          <cell r="DY117">
            <v>130.19999999999999</v>
          </cell>
          <cell r="EL117" t="str">
            <v>Alliance?</v>
          </cell>
          <cell r="EM117">
            <v>915.9</v>
          </cell>
          <cell r="EN117">
            <v>1329.6</v>
          </cell>
          <cell r="EO117">
            <v>1356.3999999999996</v>
          </cell>
          <cell r="EP117">
            <v>1441.3999999999999</v>
          </cell>
          <cell r="EQ117">
            <v>1449.5999999999997</v>
          </cell>
          <cell r="ER117">
            <v>1289.0999999999999</v>
          </cell>
          <cell r="ES117">
            <v>1513.5</v>
          </cell>
        </row>
        <row r="118">
          <cell r="A118" t="str">
            <v>Base Revenues and OSS - Net</v>
          </cell>
          <cell r="B118" t="str">
            <v>Operating Revenue</v>
          </cell>
          <cell r="D118" t="str">
            <v>Commercial Base Revenue Billed</v>
          </cell>
          <cell r="E118" t="str">
            <v>Operating Revenue</v>
          </cell>
          <cell r="F118" t="str">
            <v>4893052</v>
          </cell>
          <cell r="G118" t="str">
            <v>A_4893052</v>
          </cell>
          <cell r="H118" t="str">
            <v>General Service Large Vol. 2 Transportation</v>
          </cell>
          <cell r="J118">
            <v>3169.1</v>
          </cell>
          <cell r="K118">
            <v>2723</v>
          </cell>
          <cell r="L118">
            <v>2632</v>
          </cell>
          <cell r="M118">
            <v>2536.1</v>
          </cell>
          <cell r="N118">
            <v>2197.6</v>
          </cell>
          <cell r="O118">
            <v>2382.4</v>
          </cell>
          <cell r="P118">
            <v>2151.6999999999998</v>
          </cell>
          <cell r="Q118">
            <v>2058.3000000000002</v>
          </cell>
          <cell r="R118">
            <v>2279.9</v>
          </cell>
          <cell r="S118">
            <v>2223.3000000000002</v>
          </cell>
          <cell r="T118">
            <v>2393.5</v>
          </cell>
          <cell r="U118">
            <v>2884.9</v>
          </cell>
          <cell r="V118">
            <v>3178.7</v>
          </cell>
          <cell r="W118">
            <v>2967.2</v>
          </cell>
          <cell r="X118">
            <v>3044.5</v>
          </cell>
          <cell r="Y118">
            <v>2528.6</v>
          </cell>
          <cell r="Z118">
            <v>2096.1</v>
          </cell>
          <cell r="AA118">
            <v>2484.4</v>
          </cell>
          <cell r="AB118">
            <v>2198.8000000000002</v>
          </cell>
          <cell r="AC118">
            <v>2321.6999999999998</v>
          </cell>
          <cell r="AD118">
            <v>2208.3000000000002</v>
          </cell>
          <cell r="AE118">
            <v>2273.1999999999998</v>
          </cell>
          <cell r="AF118">
            <v>2459.8000000000002</v>
          </cell>
          <cell r="AG118">
            <v>2804.3</v>
          </cell>
          <cell r="AH118">
            <v>3320</v>
          </cell>
          <cell r="AI118">
            <v>3106.7</v>
          </cell>
          <cell r="AJ118">
            <v>2891.3</v>
          </cell>
          <cell r="AK118">
            <v>2758.1</v>
          </cell>
          <cell r="AL118">
            <v>2484.5</v>
          </cell>
          <cell r="AM118">
            <v>2375.1</v>
          </cell>
          <cell r="AN118">
            <v>2234.4</v>
          </cell>
          <cell r="AO118">
            <v>2304.6999999999998</v>
          </cell>
          <cell r="AP118">
            <v>2340</v>
          </cell>
          <cell r="AQ118">
            <v>2229.1999999999998</v>
          </cell>
          <cell r="AR118">
            <v>2624</v>
          </cell>
          <cell r="AS118">
            <v>2997.1</v>
          </cell>
          <cell r="AT118">
            <v>3290.1</v>
          </cell>
          <cell r="AU118">
            <v>2786.6</v>
          </cell>
          <cell r="AV118">
            <v>2828.6</v>
          </cell>
          <cell r="AW118">
            <v>2849.4</v>
          </cell>
          <cell r="AX118">
            <v>2455.6999999999998</v>
          </cell>
          <cell r="AY118">
            <v>2400.1999999999998</v>
          </cell>
          <cell r="AZ118">
            <v>2272.6999999999998</v>
          </cell>
          <cell r="BA118">
            <v>2331.1</v>
          </cell>
          <cell r="BB118">
            <v>2422.1</v>
          </cell>
          <cell r="BC118">
            <v>2167.6999999999998</v>
          </cell>
          <cell r="BD118">
            <v>2538.9</v>
          </cell>
          <cell r="BE118">
            <v>2935.3</v>
          </cell>
          <cell r="BF118">
            <v>3563.1</v>
          </cell>
          <cell r="BG118">
            <v>2912.7</v>
          </cell>
          <cell r="BH118">
            <v>2836.6</v>
          </cell>
          <cell r="BI118">
            <v>3049.6</v>
          </cell>
          <cell r="BJ118">
            <v>2447.8000000000002</v>
          </cell>
          <cell r="BK118">
            <v>2483.4</v>
          </cell>
          <cell r="BL118">
            <v>2430.6999999999998</v>
          </cell>
          <cell r="BM118">
            <v>2325.1</v>
          </cell>
          <cell r="BN118">
            <v>2526.8000000000002</v>
          </cell>
          <cell r="BO118">
            <v>2264.5</v>
          </cell>
          <cell r="BP118">
            <v>2606.4</v>
          </cell>
          <cell r="BQ118">
            <v>3012.1</v>
          </cell>
          <cell r="BR118">
            <v>3112.2</v>
          </cell>
          <cell r="BS118">
            <v>2740.4</v>
          </cell>
          <cell r="BT118">
            <v>2912.6</v>
          </cell>
          <cell r="BU118">
            <v>2677.6</v>
          </cell>
          <cell r="BV118">
            <v>2517.5</v>
          </cell>
          <cell r="BW118">
            <v>2224.4</v>
          </cell>
          <cell r="BX118">
            <v>2264.4</v>
          </cell>
          <cell r="BY118">
            <v>2250.9</v>
          </cell>
          <cell r="BZ118">
            <v>2359.9</v>
          </cell>
          <cell r="CA118">
            <v>2242.1999999999998</v>
          </cell>
          <cell r="CB118">
            <v>2781.8</v>
          </cell>
          <cell r="CC118">
            <v>2789.9</v>
          </cell>
          <cell r="CD118">
            <v>3219.6</v>
          </cell>
          <cell r="CE118">
            <v>2884.7</v>
          </cell>
          <cell r="CF118">
            <v>2645.7</v>
          </cell>
          <cell r="CG118">
            <v>1641.5</v>
          </cell>
          <cell r="CH118">
            <v>1388.6</v>
          </cell>
          <cell r="CI118">
            <v>1989.9</v>
          </cell>
          <cell r="CJ118">
            <v>1892.1</v>
          </cell>
          <cell r="CK118">
            <v>1919.6</v>
          </cell>
          <cell r="CL118">
            <v>1889.3</v>
          </cell>
          <cell r="CM118">
            <v>2006.2</v>
          </cell>
          <cell r="CN118">
            <v>2278.4</v>
          </cell>
          <cell r="CO118">
            <v>2816.5</v>
          </cell>
          <cell r="CP118">
            <v>4108.2</v>
          </cell>
          <cell r="CQ118">
            <v>3191.2</v>
          </cell>
          <cell r="CR118">
            <v>3394.6</v>
          </cell>
          <cell r="CS118">
            <v>3495.7</v>
          </cell>
          <cell r="CT118">
            <v>2930.1</v>
          </cell>
          <cell r="CU118">
            <v>2881.4</v>
          </cell>
          <cell r="CV118">
            <v>2793.6</v>
          </cell>
          <cell r="CW118">
            <v>2705</v>
          </cell>
          <cell r="CX118">
            <v>2851.4</v>
          </cell>
          <cell r="CY118">
            <v>2744.4</v>
          </cell>
          <cell r="CZ118">
            <v>2984.5</v>
          </cell>
          <cell r="DA118">
            <v>3833.7</v>
          </cell>
          <cell r="DB118">
            <v>3960.6</v>
          </cell>
          <cell r="DC118">
            <v>3395</v>
          </cell>
          <cell r="DD118">
            <v>3346.8</v>
          </cell>
          <cell r="DE118">
            <v>3178.1</v>
          </cell>
          <cell r="DF118">
            <v>3052.7</v>
          </cell>
          <cell r="DG118">
            <v>2723.7</v>
          </cell>
          <cell r="DH118">
            <v>2841.2</v>
          </cell>
          <cell r="DI118">
            <v>2741.4</v>
          </cell>
          <cell r="DJ118">
            <v>2765.1</v>
          </cell>
          <cell r="DK118">
            <v>3053.3</v>
          </cell>
          <cell r="DL118">
            <v>3179.4</v>
          </cell>
          <cell r="DM118">
            <v>3616.4</v>
          </cell>
          <cell r="DN118">
            <v>4039.7</v>
          </cell>
          <cell r="DO118">
            <v>3736.1</v>
          </cell>
          <cell r="DP118">
            <v>3595.1</v>
          </cell>
          <cell r="DQ118">
            <v>3295.4</v>
          </cell>
          <cell r="DR118">
            <v>3001.9</v>
          </cell>
          <cell r="DS118">
            <v>3031.4</v>
          </cell>
          <cell r="DT118">
            <v>2918.8</v>
          </cell>
          <cell r="DU118">
            <v>2907.9</v>
          </cell>
          <cell r="DV118">
            <v>3138</v>
          </cell>
          <cell r="DW118">
            <v>2874.1</v>
          </cell>
          <cell r="DX118">
            <v>3381.1</v>
          </cell>
          <cell r="DY118">
            <v>4031.8</v>
          </cell>
          <cell r="EM118">
            <v>30565.599999999999</v>
          </cell>
          <cell r="EN118">
            <v>31665.100000000002</v>
          </cell>
          <cell r="EO118">
            <v>31278.399999999998</v>
          </cell>
          <cell r="EP118">
            <v>32458.799999999999</v>
          </cell>
          <cell r="EQ118">
            <v>30873.800000000007</v>
          </cell>
          <cell r="ER118">
            <v>26572.100000000002</v>
          </cell>
          <cell r="ES118">
            <v>37913.800000000003</v>
          </cell>
        </row>
        <row r="119">
          <cell r="A119" t="str">
            <v>Other Operating Income / (Expense) Items</v>
          </cell>
          <cell r="B119" t="str">
            <v>Operating Revenue</v>
          </cell>
          <cell r="D119" t="str">
            <v>Commercial Base Revenue Billed (PGA)</v>
          </cell>
          <cell r="E119" t="str">
            <v>Operating Revenue</v>
          </cell>
          <cell r="F119" t="str">
            <v>4893053</v>
          </cell>
          <cell r="G119" t="str">
            <v>A_4893053</v>
          </cell>
          <cell r="H119" t="str">
            <v>General Service Large Vol. 2 Transportation-Swing</v>
          </cell>
          <cell r="J119">
            <v>147.19999999999999</v>
          </cell>
          <cell r="K119">
            <v>139.4</v>
          </cell>
          <cell r="L119">
            <v>133.30000000000001</v>
          </cell>
          <cell r="M119">
            <v>127.7</v>
          </cell>
          <cell r="N119">
            <v>113.2</v>
          </cell>
          <cell r="O119">
            <v>115.1</v>
          </cell>
          <cell r="P119">
            <v>107.1</v>
          </cell>
          <cell r="Q119">
            <v>100.9</v>
          </cell>
          <cell r="R119">
            <v>107.1</v>
          </cell>
          <cell r="S119">
            <v>106.9</v>
          </cell>
          <cell r="T119">
            <v>113.2</v>
          </cell>
          <cell r="U119">
            <v>133.5</v>
          </cell>
          <cell r="V119">
            <v>151.1</v>
          </cell>
          <cell r="W119">
            <v>149.1</v>
          </cell>
          <cell r="X119">
            <v>151.19999999999999</v>
          </cell>
          <cell r="Y119">
            <v>132.69999999999999</v>
          </cell>
          <cell r="Z119">
            <v>110.3</v>
          </cell>
          <cell r="AA119">
            <v>117.4</v>
          </cell>
          <cell r="AB119">
            <v>109.3</v>
          </cell>
          <cell r="AC119">
            <v>111</v>
          </cell>
          <cell r="AD119">
            <v>107.3</v>
          </cell>
          <cell r="AE119">
            <v>108.5</v>
          </cell>
          <cell r="AF119">
            <v>115.4</v>
          </cell>
          <cell r="AG119">
            <v>224</v>
          </cell>
          <cell r="AH119">
            <v>258.2</v>
          </cell>
          <cell r="AI119">
            <v>262.8</v>
          </cell>
          <cell r="AJ119">
            <v>250.7</v>
          </cell>
          <cell r="AK119">
            <v>238</v>
          </cell>
          <cell r="AL119">
            <v>216.6</v>
          </cell>
          <cell r="AM119">
            <v>202.3</v>
          </cell>
          <cell r="AN119">
            <v>189</v>
          </cell>
          <cell r="AO119">
            <v>188.7</v>
          </cell>
          <cell r="AP119">
            <v>191.1</v>
          </cell>
          <cell r="AQ119">
            <v>184.6</v>
          </cell>
          <cell r="AR119">
            <v>207.4</v>
          </cell>
          <cell r="AS119">
            <v>238.8</v>
          </cell>
          <cell r="AT119">
            <v>268</v>
          </cell>
          <cell r="AU119">
            <v>245.6</v>
          </cell>
          <cell r="AV119">
            <v>240.5</v>
          </cell>
          <cell r="AW119">
            <v>240.2</v>
          </cell>
          <cell r="AX119">
            <v>215.4</v>
          </cell>
          <cell r="AY119">
            <v>203.1</v>
          </cell>
          <cell r="AZ119">
            <v>191.8</v>
          </cell>
          <cell r="BA119">
            <v>191.2</v>
          </cell>
          <cell r="BB119">
            <v>203.3</v>
          </cell>
          <cell r="BC119">
            <v>171.9</v>
          </cell>
          <cell r="BD119">
            <v>204.8</v>
          </cell>
          <cell r="BE119">
            <v>234.7</v>
          </cell>
          <cell r="BF119">
            <v>283.5</v>
          </cell>
          <cell r="BG119">
            <v>259</v>
          </cell>
          <cell r="BH119">
            <v>245.6</v>
          </cell>
          <cell r="BI119">
            <v>254.7</v>
          </cell>
          <cell r="BJ119">
            <v>219.4</v>
          </cell>
          <cell r="BK119">
            <v>217.1</v>
          </cell>
          <cell r="BL119">
            <v>198.7</v>
          </cell>
          <cell r="BM119">
            <v>192.9</v>
          </cell>
          <cell r="BN119">
            <v>210.6</v>
          </cell>
          <cell r="BO119">
            <v>186</v>
          </cell>
          <cell r="BP119">
            <v>199.8</v>
          </cell>
          <cell r="BQ119">
            <v>243.6</v>
          </cell>
          <cell r="BR119">
            <v>272.60000000000002</v>
          </cell>
          <cell r="BS119">
            <v>272.8</v>
          </cell>
          <cell r="BT119">
            <v>244.2</v>
          </cell>
          <cell r="BU119">
            <v>239.7</v>
          </cell>
          <cell r="BV119">
            <v>225.7</v>
          </cell>
          <cell r="BW119">
            <v>202.8</v>
          </cell>
          <cell r="BX119">
            <v>197.5</v>
          </cell>
          <cell r="BY119">
            <v>194.7</v>
          </cell>
          <cell r="BZ119">
            <v>201.1</v>
          </cell>
          <cell r="CA119">
            <v>195.2</v>
          </cell>
          <cell r="CB119">
            <v>211.1</v>
          </cell>
          <cell r="CC119">
            <v>253.5</v>
          </cell>
          <cell r="CD119">
            <v>277.39999999999998</v>
          </cell>
          <cell r="CE119">
            <v>263.39999999999998</v>
          </cell>
          <cell r="CF119">
            <v>251.2</v>
          </cell>
          <cell r="CG119">
            <v>163.1</v>
          </cell>
          <cell r="CH119">
            <v>125.5</v>
          </cell>
          <cell r="CI119">
            <v>153.1</v>
          </cell>
          <cell r="CJ119">
            <v>155.9</v>
          </cell>
          <cell r="CK119">
            <v>158.80000000000001</v>
          </cell>
          <cell r="CL119">
            <v>157.69999999999999</v>
          </cell>
          <cell r="CM119">
            <v>165.2</v>
          </cell>
          <cell r="CN119">
            <v>185.8</v>
          </cell>
          <cell r="CO119">
            <v>211.8</v>
          </cell>
          <cell r="CP119">
            <v>257.2</v>
          </cell>
          <cell r="CQ119">
            <v>241.6</v>
          </cell>
          <cell r="CR119">
            <v>221.1</v>
          </cell>
          <cell r="CS119">
            <v>233</v>
          </cell>
          <cell r="CT119">
            <v>206.2</v>
          </cell>
          <cell r="CU119">
            <v>194.6</v>
          </cell>
          <cell r="CV119">
            <v>191.3</v>
          </cell>
          <cell r="CW119">
            <v>183.5</v>
          </cell>
          <cell r="CX119">
            <v>188.8</v>
          </cell>
          <cell r="CY119">
            <v>184.6</v>
          </cell>
          <cell r="CZ119">
            <v>196.3</v>
          </cell>
          <cell r="DA119">
            <v>246.2</v>
          </cell>
          <cell r="DB119">
            <v>252.7</v>
          </cell>
          <cell r="DC119">
            <v>257.89999999999998</v>
          </cell>
          <cell r="DD119">
            <v>240.2</v>
          </cell>
          <cell r="DE119">
            <v>225</v>
          </cell>
          <cell r="DF119">
            <v>213.1</v>
          </cell>
          <cell r="DG119">
            <v>191.2</v>
          </cell>
          <cell r="DH119">
            <v>188.1</v>
          </cell>
          <cell r="DI119">
            <v>182.3</v>
          </cell>
          <cell r="DJ119">
            <v>191.2</v>
          </cell>
          <cell r="DK119">
            <v>190.9</v>
          </cell>
          <cell r="DL119">
            <v>206.9</v>
          </cell>
          <cell r="DM119">
            <v>235.9</v>
          </cell>
          <cell r="DN119">
            <v>260.2</v>
          </cell>
          <cell r="DO119">
            <v>265.5</v>
          </cell>
          <cell r="DP119">
            <v>236.3</v>
          </cell>
          <cell r="DQ119">
            <v>240.9</v>
          </cell>
          <cell r="DR119">
            <v>221.8</v>
          </cell>
          <cell r="DS119">
            <v>197.7</v>
          </cell>
          <cell r="DT119">
            <v>205.9</v>
          </cell>
          <cell r="DU119">
            <v>184.7</v>
          </cell>
          <cell r="DV119">
            <v>199.9</v>
          </cell>
          <cell r="DW119">
            <v>191</v>
          </cell>
          <cell r="DX119">
            <v>208.4</v>
          </cell>
          <cell r="DY119">
            <v>248.4</v>
          </cell>
          <cell r="EM119">
            <v>1587.3</v>
          </cell>
          <cell r="EN119">
            <v>2628.2000000000003</v>
          </cell>
          <cell r="EO119">
            <v>2610.5</v>
          </cell>
          <cell r="EP119">
            <v>2710.9</v>
          </cell>
          <cell r="EQ119">
            <v>2710.9</v>
          </cell>
          <cell r="ER119">
            <v>2268.9</v>
          </cell>
          <cell r="ES119">
            <v>2544.3999999999996</v>
          </cell>
        </row>
        <row r="120">
          <cell r="A120" t="str">
            <v>Base Revenues and OSS - Net</v>
          </cell>
          <cell r="B120" t="str">
            <v>Operating Revenue</v>
          </cell>
          <cell r="D120" t="str">
            <v>Commercial Base Revenue Billed</v>
          </cell>
          <cell r="E120" t="str">
            <v>Operating Revenue</v>
          </cell>
          <cell r="F120" t="str">
            <v>4893054</v>
          </cell>
          <cell r="G120" t="str">
            <v>A_4893054</v>
          </cell>
          <cell r="H120" t="str">
            <v>General Service Large Vol. 3 Transportation</v>
          </cell>
          <cell r="J120">
            <v>1796.5</v>
          </cell>
          <cell r="K120">
            <v>1628.4</v>
          </cell>
          <cell r="L120">
            <v>1479</v>
          </cell>
          <cell r="M120">
            <v>1471.7</v>
          </cell>
          <cell r="N120">
            <v>1256.2</v>
          </cell>
          <cell r="O120">
            <v>1268.5</v>
          </cell>
          <cell r="P120">
            <v>1128.5999999999999</v>
          </cell>
          <cell r="Q120">
            <v>1098.2</v>
          </cell>
          <cell r="R120">
            <v>1296</v>
          </cell>
          <cell r="S120">
            <v>1241.9000000000001</v>
          </cell>
          <cell r="T120">
            <v>1347.3</v>
          </cell>
          <cell r="U120">
            <v>1581.7</v>
          </cell>
          <cell r="V120">
            <v>1681.8</v>
          </cell>
          <cell r="W120">
            <v>1590.6</v>
          </cell>
          <cell r="X120">
            <v>1639.1</v>
          </cell>
          <cell r="Y120">
            <v>1386.1</v>
          </cell>
          <cell r="Z120">
            <v>1132.4000000000001</v>
          </cell>
          <cell r="AA120">
            <v>1300.7</v>
          </cell>
          <cell r="AB120">
            <v>1214.2</v>
          </cell>
          <cell r="AC120">
            <v>1256.3</v>
          </cell>
          <cell r="AD120">
            <v>1112.3</v>
          </cell>
          <cell r="AE120">
            <v>1232.9000000000001</v>
          </cell>
          <cell r="AF120">
            <v>1311.5</v>
          </cell>
          <cell r="AG120">
            <v>1455.6</v>
          </cell>
          <cell r="AH120">
            <v>1666.8</v>
          </cell>
          <cell r="AI120">
            <v>1695.9</v>
          </cell>
          <cell r="AJ120">
            <v>1512.1</v>
          </cell>
          <cell r="AK120">
            <v>1469.6</v>
          </cell>
          <cell r="AL120">
            <v>1318.3</v>
          </cell>
          <cell r="AM120">
            <v>1220</v>
          </cell>
          <cell r="AN120">
            <v>1103.4000000000001</v>
          </cell>
          <cell r="AO120">
            <v>1127.5999999999999</v>
          </cell>
          <cell r="AP120">
            <v>1193.4000000000001</v>
          </cell>
          <cell r="AQ120">
            <v>1089.9000000000001</v>
          </cell>
          <cell r="AR120">
            <v>1347.4</v>
          </cell>
          <cell r="AS120">
            <v>1533.4</v>
          </cell>
          <cell r="AT120">
            <v>1600.5</v>
          </cell>
          <cell r="AU120">
            <v>1405.6</v>
          </cell>
          <cell r="AV120">
            <v>1415.9</v>
          </cell>
          <cell r="AW120">
            <v>1382.9</v>
          </cell>
          <cell r="AX120">
            <v>1224.9000000000001</v>
          </cell>
          <cell r="AY120">
            <v>1138.8</v>
          </cell>
          <cell r="AZ120">
            <v>1081.5999999999999</v>
          </cell>
          <cell r="BA120">
            <v>1123.9000000000001</v>
          </cell>
          <cell r="BB120">
            <v>1181.5999999999999</v>
          </cell>
          <cell r="BC120">
            <v>1163</v>
          </cell>
          <cell r="BD120">
            <v>1216.5</v>
          </cell>
          <cell r="BE120">
            <v>1497.7</v>
          </cell>
          <cell r="BF120">
            <v>1747.6</v>
          </cell>
          <cell r="BG120">
            <v>1555.4</v>
          </cell>
          <cell r="BH120">
            <v>1331.6</v>
          </cell>
          <cell r="BI120">
            <v>1534.1</v>
          </cell>
          <cell r="BJ120">
            <v>1209</v>
          </cell>
          <cell r="BK120">
            <v>1168.8</v>
          </cell>
          <cell r="BL120">
            <v>1199.8</v>
          </cell>
          <cell r="BM120">
            <v>1167.7</v>
          </cell>
          <cell r="BN120">
            <v>1231.0999999999999</v>
          </cell>
          <cell r="BO120">
            <v>1143.9000000000001</v>
          </cell>
          <cell r="BP120">
            <v>1329.9</v>
          </cell>
          <cell r="BQ120">
            <v>1495.3</v>
          </cell>
          <cell r="BR120">
            <v>1557.3</v>
          </cell>
          <cell r="BS120">
            <v>1336.9</v>
          </cell>
          <cell r="BT120">
            <v>1825.2</v>
          </cell>
          <cell r="BU120">
            <v>865.6</v>
          </cell>
          <cell r="BV120">
            <v>1333.1</v>
          </cell>
          <cell r="BW120">
            <v>1100.4000000000001</v>
          </cell>
          <cell r="BX120">
            <v>1111.3</v>
          </cell>
          <cell r="BY120">
            <v>1085.0999999999999</v>
          </cell>
          <cell r="BZ120">
            <v>1130.4000000000001</v>
          </cell>
          <cell r="CA120">
            <v>1114.9000000000001</v>
          </cell>
          <cell r="CB120">
            <v>1413.2</v>
          </cell>
          <cell r="CC120">
            <v>1389.5</v>
          </cell>
          <cell r="CD120">
            <v>1588.3</v>
          </cell>
          <cell r="CE120">
            <v>1409</v>
          </cell>
          <cell r="CF120">
            <v>1341.2</v>
          </cell>
          <cell r="CG120">
            <v>926.9</v>
          </cell>
          <cell r="CH120">
            <v>886.4</v>
          </cell>
          <cell r="CI120">
            <v>1048.9000000000001</v>
          </cell>
          <cell r="CJ120">
            <v>1015.2</v>
          </cell>
          <cell r="CK120">
            <v>1012.9</v>
          </cell>
          <cell r="CL120">
            <v>911.2</v>
          </cell>
          <cell r="CM120">
            <v>993.9</v>
          </cell>
          <cell r="CN120">
            <v>1209.5999999999999</v>
          </cell>
          <cell r="CO120">
            <v>1387.7</v>
          </cell>
          <cell r="CP120">
            <v>2104.8000000000002</v>
          </cell>
          <cell r="CQ120">
            <v>1732.5</v>
          </cell>
          <cell r="CR120">
            <v>1763.3</v>
          </cell>
          <cell r="CS120">
            <v>1520.2</v>
          </cell>
          <cell r="CT120">
            <v>1497.1</v>
          </cell>
          <cell r="CU120">
            <v>1463.3</v>
          </cell>
          <cell r="CV120">
            <v>1431.9</v>
          </cell>
          <cell r="CW120">
            <v>1112.4000000000001</v>
          </cell>
          <cell r="CX120">
            <v>1377</v>
          </cell>
          <cell r="CY120">
            <v>1286.0999999999999</v>
          </cell>
          <cell r="CZ120">
            <v>1521.1</v>
          </cell>
          <cell r="DA120">
            <v>1838</v>
          </cell>
          <cell r="DB120">
            <v>1975.7</v>
          </cell>
          <cell r="DC120">
            <v>1564.3</v>
          </cell>
          <cell r="DD120">
            <v>1682.7</v>
          </cell>
          <cell r="DE120">
            <v>1435.8</v>
          </cell>
          <cell r="DF120">
            <v>1475.4</v>
          </cell>
          <cell r="DG120">
            <v>1346.7</v>
          </cell>
          <cell r="DH120">
            <v>1448.4</v>
          </cell>
          <cell r="DI120">
            <v>1331.9</v>
          </cell>
          <cell r="DJ120">
            <v>1333.1</v>
          </cell>
          <cell r="DK120">
            <v>1642.1</v>
          </cell>
          <cell r="DL120">
            <v>1605.5</v>
          </cell>
          <cell r="DM120">
            <v>1776.7</v>
          </cell>
          <cell r="DN120">
            <v>2011.5</v>
          </cell>
          <cell r="DO120">
            <v>1882.6</v>
          </cell>
          <cell r="DP120">
            <v>1863</v>
          </cell>
          <cell r="DQ120">
            <v>1589.7</v>
          </cell>
          <cell r="DR120">
            <v>1546.2</v>
          </cell>
          <cell r="DS120">
            <v>1519.4</v>
          </cell>
          <cell r="DT120">
            <v>1498.7</v>
          </cell>
          <cell r="DU120">
            <v>1432.7</v>
          </cell>
          <cell r="DV120">
            <v>1510.3</v>
          </cell>
          <cell r="DW120">
            <v>1517</v>
          </cell>
          <cell r="DX120">
            <v>1729.2</v>
          </cell>
          <cell r="DY120">
            <v>2011.9</v>
          </cell>
          <cell r="EM120">
            <v>16313.5</v>
          </cell>
          <cell r="EN120">
            <v>16277.8</v>
          </cell>
          <cell r="EO120">
            <v>15432.9</v>
          </cell>
          <cell r="EP120">
            <v>16114.199999999999</v>
          </cell>
          <cell r="EQ120">
            <v>15262.9</v>
          </cell>
          <cell r="ER120">
            <v>13731.2</v>
          </cell>
          <cell r="ES120">
            <v>18647.699999999997</v>
          </cell>
        </row>
        <row r="121">
          <cell r="A121" t="str">
            <v>Other Operating Income / (Expense) Items</v>
          </cell>
          <cell r="B121" t="str">
            <v>Operating Revenue</v>
          </cell>
          <cell r="D121" t="str">
            <v>Commercial Base Revenue Billed (PGA)</v>
          </cell>
          <cell r="E121" t="str">
            <v>Operating Revenue</v>
          </cell>
          <cell r="F121" t="str">
            <v>4893055</v>
          </cell>
          <cell r="G121" t="str">
            <v>A_4893055</v>
          </cell>
          <cell r="H121" t="str">
            <v>General Service Large Vol. 3 Transportation-Swing</v>
          </cell>
          <cell r="J121">
            <v>88.5</v>
          </cell>
          <cell r="K121">
            <v>88.9</v>
          </cell>
          <cell r="L121">
            <v>81.099999999999994</v>
          </cell>
          <cell r="M121">
            <v>79.2</v>
          </cell>
          <cell r="N121">
            <v>70.099999999999994</v>
          </cell>
          <cell r="O121">
            <v>67.2</v>
          </cell>
          <cell r="P121">
            <v>61.6</v>
          </cell>
          <cell r="Q121">
            <v>57.8</v>
          </cell>
          <cell r="R121">
            <v>60.1</v>
          </cell>
          <cell r="S121">
            <v>62.6</v>
          </cell>
          <cell r="T121">
            <v>68.7</v>
          </cell>
          <cell r="U121">
            <v>79.3</v>
          </cell>
          <cell r="V121">
            <v>86.8</v>
          </cell>
          <cell r="W121">
            <v>86.5</v>
          </cell>
          <cell r="X121">
            <v>87.8</v>
          </cell>
          <cell r="Y121">
            <v>77.8</v>
          </cell>
          <cell r="Z121">
            <v>62.7</v>
          </cell>
          <cell r="AA121">
            <v>66.599999999999994</v>
          </cell>
          <cell r="AB121">
            <v>64.099999999999994</v>
          </cell>
          <cell r="AC121">
            <v>65.3</v>
          </cell>
          <cell r="AD121">
            <v>60.5</v>
          </cell>
          <cell r="AE121">
            <v>61.4</v>
          </cell>
          <cell r="AF121">
            <v>67.400000000000006</v>
          </cell>
          <cell r="AG121">
            <v>137.5</v>
          </cell>
          <cell r="AH121">
            <v>157.4</v>
          </cell>
          <cell r="AI121">
            <v>167.8</v>
          </cell>
          <cell r="AJ121">
            <v>155.80000000000001</v>
          </cell>
          <cell r="AK121">
            <v>148.69999999999999</v>
          </cell>
          <cell r="AL121">
            <v>134.1</v>
          </cell>
          <cell r="AM121">
            <v>123.2</v>
          </cell>
          <cell r="AN121">
            <v>113.1</v>
          </cell>
          <cell r="AO121">
            <v>111</v>
          </cell>
          <cell r="AP121">
            <v>114.9</v>
          </cell>
          <cell r="AQ121">
            <v>105.7</v>
          </cell>
          <cell r="AR121">
            <v>123.6</v>
          </cell>
          <cell r="AS121">
            <v>140.6</v>
          </cell>
          <cell r="AT121">
            <v>155.5</v>
          </cell>
          <cell r="AU121">
            <v>144.9</v>
          </cell>
          <cell r="AV121">
            <v>140.80000000000001</v>
          </cell>
          <cell r="AW121">
            <v>140</v>
          </cell>
          <cell r="AX121">
            <v>125.8</v>
          </cell>
          <cell r="AY121">
            <v>115</v>
          </cell>
          <cell r="AZ121">
            <v>107.8</v>
          </cell>
          <cell r="BA121">
            <v>102.5</v>
          </cell>
          <cell r="BB121">
            <v>128</v>
          </cell>
          <cell r="BC121">
            <v>95.5</v>
          </cell>
          <cell r="BD121">
            <v>118.5</v>
          </cell>
          <cell r="BE121">
            <v>137.80000000000001</v>
          </cell>
          <cell r="BF121">
            <v>163.19999999999999</v>
          </cell>
          <cell r="BG121">
            <v>159.5</v>
          </cell>
          <cell r="BH121">
            <v>137.69999999999999</v>
          </cell>
          <cell r="BI121">
            <v>149.4</v>
          </cell>
          <cell r="BJ121">
            <v>127.8</v>
          </cell>
          <cell r="BK121">
            <v>122.4</v>
          </cell>
          <cell r="BL121">
            <v>114.7</v>
          </cell>
          <cell r="BM121">
            <v>113.1</v>
          </cell>
          <cell r="BN121">
            <v>123.5</v>
          </cell>
          <cell r="BO121">
            <v>109</v>
          </cell>
          <cell r="BP121">
            <v>119.1</v>
          </cell>
          <cell r="BQ121">
            <v>145.1</v>
          </cell>
          <cell r="BR121">
            <v>160.30000000000001</v>
          </cell>
          <cell r="BS121">
            <v>161</v>
          </cell>
          <cell r="BT121">
            <v>174.6</v>
          </cell>
          <cell r="BU121">
            <v>112.5</v>
          </cell>
          <cell r="BV121">
            <v>132.6</v>
          </cell>
          <cell r="BW121">
            <v>119.9</v>
          </cell>
          <cell r="BX121">
            <v>115.2</v>
          </cell>
          <cell r="BY121">
            <v>112.4</v>
          </cell>
          <cell r="BZ121">
            <v>114.7</v>
          </cell>
          <cell r="CA121">
            <v>113.7</v>
          </cell>
          <cell r="CB121">
            <v>124.7</v>
          </cell>
          <cell r="CC121">
            <v>150.6</v>
          </cell>
          <cell r="CD121">
            <v>165.1</v>
          </cell>
          <cell r="CE121">
            <v>156.1</v>
          </cell>
          <cell r="CF121">
            <v>152.9</v>
          </cell>
          <cell r="CG121">
            <v>109.4</v>
          </cell>
          <cell r="CH121">
            <v>94.8</v>
          </cell>
          <cell r="CI121">
            <v>104.2</v>
          </cell>
          <cell r="CJ121">
            <v>100.9</v>
          </cell>
          <cell r="CK121">
            <v>103.8</v>
          </cell>
          <cell r="CL121">
            <v>96</v>
          </cell>
          <cell r="CM121">
            <v>98.7</v>
          </cell>
          <cell r="CN121">
            <v>117.7</v>
          </cell>
          <cell r="CO121">
            <v>127.9</v>
          </cell>
          <cell r="CP121">
            <v>161.5</v>
          </cell>
          <cell r="CQ121">
            <v>158.1</v>
          </cell>
          <cell r="CR121">
            <v>140.9</v>
          </cell>
          <cell r="CS121">
            <v>121.3</v>
          </cell>
          <cell r="CT121">
            <v>120.4</v>
          </cell>
          <cell r="CU121">
            <v>115.2</v>
          </cell>
          <cell r="CV121">
            <v>118.2</v>
          </cell>
          <cell r="CW121">
            <v>93.6</v>
          </cell>
          <cell r="CX121">
            <v>104.9</v>
          </cell>
          <cell r="CY121">
            <v>100.7</v>
          </cell>
          <cell r="CZ121">
            <v>115</v>
          </cell>
          <cell r="DA121">
            <v>143.80000000000001</v>
          </cell>
          <cell r="DB121">
            <v>150.69999999999999</v>
          </cell>
          <cell r="DC121">
            <v>147.30000000000001</v>
          </cell>
          <cell r="DD121">
            <v>140.5</v>
          </cell>
          <cell r="DE121">
            <v>125.3</v>
          </cell>
          <cell r="DF121">
            <v>119.7</v>
          </cell>
          <cell r="DG121">
            <v>110.2</v>
          </cell>
          <cell r="DH121">
            <v>109.3</v>
          </cell>
          <cell r="DI121">
            <v>101.9</v>
          </cell>
          <cell r="DJ121">
            <v>107.7</v>
          </cell>
          <cell r="DK121">
            <v>115.8</v>
          </cell>
          <cell r="DL121">
            <v>122.9</v>
          </cell>
          <cell r="DM121">
            <v>134.69999999999999</v>
          </cell>
          <cell r="DN121">
            <v>153</v>
          </cell>
          <cell r="DO121">
            <v>156.69999999999999</v>
          </cell>
          <cell r="DP121">
            <v>168.9</v>
          </cell>
          <cell r="DQ121">
            <v>113</v>
          </cell>
          <cell r="DR121">
            <v>130.30000000000001</v>
          </cell>
          <cell r="DS121">
            <v>116.9</v>
          </cell>
          <cell r="DT121">
            <v>120.1</v>
          </cell>
          <cell r="DU121">
            <v>106.6</v>
          </cell>
          <cell r="DV121">
            <v>114</v>
          </cell>
          <cell r="DW121">
            <v>111.3</v>
          </cell>
          <cell r="DX121">
            <v>123.1</v>
          </cell>
          <cell r="DY121">
            <v>147.5</v>
          </cell>
          <cell r="EM121">
            <v>924.4</v>
          </cell>
          <cell r="EN121">
            <v>1595.9</v>
          </cell>
          <cell r="EO121">
            <v>1512.1</v>
          </cell>
          <cell r="EP121">
            <v>1584.4999999999998</v>
          </cell>
          <cell r="EQ121">
            <v>1592.2</v>
          </cell>
          <cell r="ER121">
            <v>1427.5</v>
          </cell>
          <cell r="ES121">
            <v>1493.6000000000001</v>
          </cell>
        </row>
        <row r="122">
          <cell r="A122" t="str">
            <v>Base Revenues and OSS - Net</v>
          </cell>
          <cell r="B122" t="str">
            <v>Operating Revenue</v>
          </cell>
          <cell r="D122" t="str">
            <v>Commercial Base Revenue Billed</v>
          </cell>
          <cell r="E122" t="str">
            <v>Operating Revenue</v>
          </cell>
          <cell r="F122" t="str">
            <v>4893056</v>
          </cell>
          <cell r="G122" t="str">
            <v>A_4893056</v>
          </cell>
          <cell r="H122" t="str">
            <v>General Service Large Vol. 4 Transportation</v>
          </cell>
          <cell r="J122">
            <v>806</v>
          </cell>
          <cell r="K122">
            <v>786.1</v>
          </cell>
          <cell r="L122">
            <v>806.1</v>
          </cell>
          <cell r="M122">
            <v>790.4</v>
          </cell>
          <cell r="N122">
            <v>705.8</v>
          </cell>
          <cell r="O122">
            <v>733.4</v>
          </cell>
          <cell r="P122">
            <v>775.1</v>
          </cell>
          <cell r="Q122">
            <v>721.3</v>
          </cell>
          <cell r="R122">
            <v>774.2</v>
          </cell>
          <cell r="S122">
            <v>793.6</v>
          </cell>
          <cell r="T122">
            <v>814.3</v>
          </cell>
          <cell r="U122">
            <v>838.7</v>
          </cell>
          <cell r="V122">
            <v>903.4</v>
          </cell>
          <cell r="W122">
            <v>861</v>
          </cell>
          <cell r="X122">
            <v>887.9</v>
          </cell>
          <cell r="Y122">
            <v>839.7</v>
          </cell>
          <cell r="Z122">
            <v>737.9</v>
          </cell>
          <cell r="AA122">
            <v>820.7</v>
          </cell>
          <cell r="AB122">
            <v>785.3</v>
          </cell>
          <cell r="AC122">
            <v>879.6</v>
          </cell>
          <cell r="AD122">
            <v>813.2</v>
          </cell>
          <cell r="AE122">
            <v>813.5</v>
          </cell>
          <cell r="AF122">
            <v>797.1</v>
          </cell>
          <cell r="AG122">
            <v>864.6</v>
          </cell>
          <cell r="AH122">
            <v>994.8</v>
          </cell>
          <cell r="AI122">
            <v>998.1</v>
          </cell>
          <cell r="AJ122">
            <v>986.5</v>
          </cell>
          <cell r="AK122">
            <v>929.6</v>
          </cell>
          <cell r="AL122">
            <v>860.8</v>
          </cell>
          <cell r="AM122">
            <v>860.2</v>
          </cell>
          <cell r="AN122">
            <v>1187.5</v>
          </cell>
          <cell r="AO122">
            <v>573.1</v>
          </cell>
          <cell r="AP122">
            <v>935.3</v>
          </cell>
          <cell r="AQ122">
            <v>879.2</v>
          </cell>
          <cell r="AR122">
            <v>886</v>
          </cell>
          <cell r="AS122">
            <v>929.3</v>
          </cell>
          <cell r="AT122">
            <v>1042.2</v>
          </cell>
          <cell r="AU122">
            <v>873.6</v>
          </cell>
          <cell r="AV122">
            <v>957</v>
          </cell>
          <cell r="AW122">
            <v>951.4</v>
          </cell>
          <cell r="AX122">
            <v>891.5</v>
          </cell>
          <cell r="AY122">
            <v>900.9</v>
          </cell>
          <cell r="AZ122">
            <v>847.2</v>
          </cell>
          <cell r="BA122">
            <v>856.8</v>
          </cell>
          <cell r="BB122">
            <v>964.6</v>
          </cell>
          <cell r="BC122">
            <v>870.1</v>
          </cell>
          <cell r="BD122">
            <v>913.8</v>
          </cell>
          <cell r="BE122">
            <v>1022.2</v>
          </cell>
          <cell r="BF122">
            <v>930.3</v>
          </cell>
          <cell r="BG122">
            <v>855.5</v>
          </cell>
          <cell r="BH122">
            <v>1069.3</v>
          </cell>
          <cell r="BI122">
            <v>920.2</v>
          </cell>
          <cell r="BJ122">
            <v>880.4</v>
          </cell>
          <cell r="BK122">
            <v>898.3</v>
          </cell>
          <cell r="BL122">
            <v>903.4</v>
          </cell>
          <cell r="BM122">
            <v>882.1</v>
          </cell>
          <cell r="BN122">
            <v>935</v>
          </cell>
          <cell r="BO122">
            <v>891.7</v>
          </cell>
          <cell r="BP122">
            <v>818.7</v>
          </cell>
          <cell r="BQ122">
            <v>941.6</v>
          </cell>
          <cell r="BR122">
            <v>1002.2</v>
          </cell>
          <cell r="BS122">
            <v>923.2</v>
          </cell>
          <cell r="BT122">
            <v>934.1</v>
          </cell>
          <cell r="BU122">
            <v>803</v>
          </cell>
          <cell r="BV122">
            <v>830.7</v>
          </cell>
          <cell r="BW122">
            <v>820.5</v>
          </cell>
          <cell r="BX122">
            <v>880.5</v>
          </cell>
          <cell r="BY122">
            <v>937.5</v>
          </cell>
          <cell r="BZ122">
            <v>879.4</v>
          </cell>
          <cell r="CA122">
            <v>823.8</v>
          </cell>
          <cell r="CB122">
            <v>893.9</v>
          </cell>
          <cell r="CC122">
            <v>1088.5</v>
          </cell>
          <cell r="CD122">
            <v>813.9</v>
          </cell>
          <cell r="CE122">
            <v>911.1</v>
          </cell>
          <cell r="CF122">
            <v>894.4</v>
          </cell>
          <cell r="CG122">
            <v>789.7</v>
          </cell>
          <cell r="CH122">
            <v>865.1</v>
          </cell>
          <cell r="CI122">
            <v>850</v>
          </cell>
          <cell r="CJ122">
            <v>850.6</v>
          </cell>
          <cell r="CK122">
            <v>837.7</v>
          </cell>
          <cell r="CL122">
            <v>878.9</v>
          </cell>
          <cell r="CM122">
            <v>959.1</v>
          </cell>
          <cell r="CN122">
            <v>985.4</v>
          </cell>
          <cell r="CO122">
            <v>934.1</v>
          </cell>
          <cell r="CP122">
            <v>1344</v>
          </cell>
          <cell r="CQ122">
            <v>1213.5</v>
          </cell>
          <cell r="CR122">
            <v>1133.7</v>
          </cell>
          <cell r="CS122">
            <v>1275.9000000000001</v>
          </cell>
          <cell r="CT122">
            <v>1142.4000000000001</v>
          </cell>
          <cell r="CU122">
            <v>1181.9000000000001</v>
          </cell>
          <cell r="CV122">
            <v>1011.4</v>
          </cell>
          <cell r="CW122">
            <v>994.3</v>
          </cell>
          <cell r="CX122">
            <v>1005.6</v>
          </cell>
          <cell r="CY122">
            <v>1031.0999999999999</v>
          </cell>
          <cell r="CZ122">
            <v>977.9</v>
          </cell>
          <cell r="DA122">
            <v>990</v>
          </cell>
          <cell r="DB122">
            <v>1079</v>
          </cell>
          <cell r="DC122">
            <v>1028.5999999999999</v>
          </cell>
          <cell r="DD122">
            <v>1073.5999999999999</v>
          </cell>
          <cell r="DE122">
            <v>926.2</v>
          </cell>
          <cell r="DF122">
            <v>1011.5</v>
          </cell>
          <cell r="DG122">
            <v>977.8</v>
          </cell>
          <cell r="DH122">
            <v>877.7</v>
          </cell>
          <cell r="DI122">
            <v>899.5</v>
          </cell>
          <cell r="DJ122">
            <v>841</v>
          </cell>
          <cell r="DK122">
            <v>935.5</v>
          </cell>
          <cell r="DL122">
            <v>840.2</v>
          </cell>
          <cell r="DM122">
            <v>979.3</v>
          </cell>
          <cell r="DN122">
            <v>981.7</v>
          </cell>
          <cell r="DO122">
            <v>904.3</v>
          </cell>
          <cell r="DP122">
            <v>932.9</v>
          </cell>
          <cell r="DQ122">
            <v>929</v>
          </cell>
          <cell r="DR122">
            <v>914.3</v>
          </cell>
          <cell r="DS122">
            <v>881.9</v>
          </cell>
          <cell r="DT122">
            <v>922.1</v>
          </cell>
          <cell r="DU122">
            <v>908.2</v>
          </cell>
          <cell r="DV122">
            <v>894.9</v>
          </cell>
          <cell r="DW122">
            <v>854.1</v>
          </cell>
          <cell r="DX122">
            <v>878.7</v>
          </cell>
          <cell r="DY122">
            <v>913.8</v>
          </cell>
          <cell r="EM122">
            <v>10003.900000000001</v>
          </cell>
          <cell r="EN122">
            <v>11020.4</v>
          </cell>
          <cell r="EO122">
            <v>11091.300000000001</v>
          </cell>
          <cell r="EP122">
            <v>10926.500000000002</v>
          </cell>
          <cell r="EQ122">
            <v>10817.3</v>
          </cell>
          <cell r="ER122">
            <v>10570</v>
          </cell>
          <cell r="ES122">
            <v>13301.699999999999</v>
          </cell>
        </row>
        <row r="123">
          <cell r="A123" t="str">
            <v>Other Operating Income / (Expense) Items</v>
          </cell>
          <cell r="B123" t="str">
            <v>Operating Revenue</v>
          </cell>
          <cell r="D123" t="str">
            <v>Commercial Base Revenue Billed (PGA)</v>
          </cell>
          <cell r="E123" t="str">
            <v>Operating Revenue</v>
          </cell>
          <cell r="F123" t="str">
            <v>4893057</v>
          </cell>
          <cell r="G123" t="str">
            <v>A_4893057</v>
          </cell>
          <cell r="H123" t="str">
            <v>General Service Large Vol. 4 Transportation-Swing</v>
          </cell>
          <cell r="J123">
            <v>35.799999999999997</v>
          </cell>
          <cell r="K123">
            <v>34.700000000000003</v>
          </cell>
          <cell r="L123">
            <v>34.5</v>
          </cell>
          <cell r="M123">
            <v>34.9</v>
          </cell>
          <cell r="N123">
            <v>30.5</v>
          </cell>
          <cell r="O123">
            <v>32.299999999999997</v>
          </cell>
          <cell r="P123">
            <v>32.1</v>
          </cell>
          <cell r="Q123">
            <v>32.4</v>
          </cell>
          <cell r="R123">
            <v>33.5</v>
          </cell>
          <cell r="S123">
            <v>34.299999999999997</v>
          </cell>
          <cell r="T123">
            <v>36.6</v>
          </cell>
          <cell r="U123">
            <v>36.799999999999997</v>
          </cell>
          <cell r="V123">
            <v>39.5</v>
          </cell>
          <cell r="W123">
            <v>37.4</v>
          </cell>
          <cell r="X123">
            <v>39.6</v>
          </cell>
          <cell r="Y123">
            <v>37.799999999999997</v>
          </cell>
          <cell r="Z123">
            <v>29.9</v>
          </cell>
          <cell r="AA123">
            <v>37.299999999999997</v>
          </cell>
          <cell r="AB123">
            <v>33.6</v>
          </cell>
          <cell r="AC123">
            <v>39.6</v>
          </cell>
          <cell r="AD123">
            <v>34.1</v>
          </cell>
          <cell r="AE123">
            <v>32.799999999999997</v>
          </cell>
          <cell r="AF123">
            <v>33.200000000000003</v>
          </cell>
          <cell r="AG123">
            <v>22.2</v>
          </cell>
          <cell r="AH123">
            <v>27.2</v>
          </cell>
          <cell r="AI123">
            <v>26.8</v>
          </cell>
          <cell r="AJ123">
            <v>26.3</v>
          </cell>
          <cell r="AK123">
            <v>25.5</v>
          </cell>
          <cell r="AL123">
            <v>20.2</v>
          </cell>
          <cell r="AM123">
            <v>21.6</v>
          </cell>
          <cell r="AN123">
            <v>39.299999999999997</v>
          </cell>
          <cell r="AO123">
            <v>5.8</v>
          </cell>
          <cell r="AP123">
            <v>24.5</v>
          </cell>
          <cell r="AQ123">
            <v>21.8</v>
          </cell>
          <cell r="AR123">
            <v>22.3</v>
          </cell>
          <cell r="AS123">
            <v>23.9</v>
          </cell>
          <cell r="AT123">
            <v>29</v>
          </cell>
          <cell r="AU123">
            <v>22.8</v>
          </cell>
          <cell r="AV123">
            <v>24.2</v>
          </cell>
          <cell r="AW123">
            <v>25.2</v>
          </cell>
          <cell r="AX123">
            <v>21.9</v>
          </cell>
          <cell r="AY123">
            <v>22</v>
          </cell>
          <cell r="AZ123">
            <v>20.2</v>
          </cell>
          <cell r="BA123">
            <v>19.399999999999999</v>
          </cell>
          <cell r="BB123">
            <v>26</v>
          </cell>
          <cell r="BC123">
            <v>18.3</v>
          </cell>
          <cell r="BD123">
            <v>20.6</v>
          </cell>
          <cell r="BE123">
            <v>27.3</v>
          </cell>
          <cell r="BF123">
            <v>18.899999999999999</v>
          </cell>
          <cell r="BG123">
            <v>22.9</v>
          </cell>
          <cell r="BH123">
            <v>20.7</v>
          </cell>
          <cell r="BI123">
            <v>21.3</v>
          </cell>
          <cell r="BJ123">
            <v>19</v>
          </cell>
          <cell r="BK123">
            <v>20.6</v>
          </cell>
          <cell r="BL123">
            <v>20.3</v>
          </cell>
          <cell r="BM123">
            <v>19.100000000000001</v>
          </cell>
          <cell r="BN123">
            <v>22.8</v>
          </cell>
          <cell r="BO123">
            <v>20.100000000000001</v>
          </cell>
          <cell r="BP123">
            <v>18.2</v>
          </cell>
          <cell r="BQ123">
            <v>23.6</v>
          </cell>
          <cell r="BR123">
            <v>27.1</v>
          </cell>
          <cell r="BS123">
            <v>25.7</v>
          </cell>
          <cell r="BT123">
            <v>23.3</v>
          </cell>
          <cell r="BU123">
            <v>22.8</v>
          </cell>
          <cell r="BV123">
            <v>21.1</v>
          </cell>
          <cell r="BW123">
            <v>21.6</v>
          </cell>
          <cell r="BX123">
            <v>23.1</v>
          </cell>
          <cell r="BY123">
            <v>24.1</v>
          </cell>
          <cell r="BZ123">
            <v>24.2</v>
          </cell>
          <cell r="CA123">
            <v>18.100000000000001</v>
          </cell>
          <cell r="CB123">
            <v>22.2</v>
          </cell>
          <cell r="CC123">
            <v>33.1</v>
          </cell>
          <cell r="CD123">
            <v>17.899999999999999</v>
          </cell>
          <cell r="CE123">
            <v>23.4</v>
          </cell>
          <cell r="CF123">
            <v>24.1</v>
          </cell>
          <cell r="CG123">
            <v>20.3</v>
          </cell>
          <cell r="CH123">
            <v>22.2</v>
          </cell>
          <cell r="CI123">
            <v>21.4</v>
          </cell>
          <cell r="CJ123">
            <v>22.4</v>
          </cell>
          <cell r="CK123">
            <v>21.6</v>
          </cell>
          <cell r="CL123">
            <v>21.2</v>
          </cell>
          <cell r="CM123">
            <v>22</v>
          </cell>
          <cell r="CN123">
            <v>23</v>
          </cell>
          <cell r="CO123">
            <v>23</v>
          </cell>
          <cell r="CP123">
            <v>27.8</v>
          </cell>
          <cell r="CQ123">
            <v>23.6</v>
          </cell>
          <cell r="CR123">
            <v>22.9</v>
          </cell>
          <cell r="CS123">
            <v>24.4</v>
          </cell>
          <cell r="CT123">
            <v>23.4</v>
          </cell>
          <cell r="CU123">
            <v>22.8</v>
          </cell>
          <cell r="CV123">
            <v>24.1</v>
          </cell>
          <cell r="CW123">
            <v>24</v>
          </cell>
          <cell r="CX123">
            <v>26.1</v>
          </cell>
          <cell r="CY123">
            <v>25.1</v>
          </cell>
          <cell r="CZ123">
            <v>22.6</v>
          </cell>
          <cell r="DA123">
            <v>23.4</v>
          </cell>
          <cell r="DB123">
            <v>24.7</v>
          </cell>
          <cell r="DC123">
            <v>23.3</v>
          </cell>
          <cell r="DD123">
            <v>24.1</v>
          </cell>
          <cell r="DE123">
            <v>20.8</v>
          </cell>
          <cell r="DF123">
            <v>21.9</v>
          </cell>
          <cell r="DG123">
            <v>22</v>
          </cell>
          <cell r="DH123">
            <v>23.4</v>
          </cell>
          <cell r="DI123">
            <v>23.5</v>
          </cell>
          <cell r="DJ123">
            <v>22.2</v>
          </cell>
          <cell r="DK123">
            <v>23.8</v>
          </cell>
          <cell r="DL123">
            <v>22.6</v>
          </cell>
          <cell r="DM123">
            <v>25.6</v>
          </cell>
          <cell r="DN123">
            <v>25.9</v>
          </cell>
          <cell r="DO123">
            <v>25</v>
          </cell>
          <cell r="DP123">
            <v>22.5</v>
          </cell>
          <cell r="DQ123">
            <v>22.9</v>
          </cell>
          <cell r="DR123">
            <v>20.7</v>
          </cell>
          <cell r="DS123">
            <v>21.1</v>
          </cell>
          <cell r="DT123">
            <v>24</v>
          </cell>
          <cell r="DU123">
            <v>22.8</v>
          </cell>
          <cell r="DV123">
            <v>24</v>
          </cell>
          <cell r="DW123">
            <v>17.8</v>
          </cell>
          <cell r="DX123">
            <v>21.9</v>
          </cell>
          <cell r="DY123">
            <v>32.4</v>
          </cell>
          <cell r="EM123">
            <v>417</v>
          </cell>
          <cell r="EN123">
            <v>285.2</v>
          </cell>
          <cell r="EO123">
            <v>276.89999999999998</v>
          </cell>
          <cell r="EP123">
            <v>247.5</v>
          </cell>
          <cell r="EQ123">
            <v>286.39999999999998</v>
          </cell>
          <cell r="ER123">
            <v>262.5</v>
          </cell>
          <cell r="ES123">
            <v>290.2</v>
          </cell>
        </row>
        <row r="124">
          <cell r="A124" t="str">
            <v>Base Revenues and OSS - Net</v>
          </cell>
          <cell r="B124" t="str">
            <v>Operating Revenue</v>
          </cell>
          <cell r="D124" t="str">
            <v>Commercial Base Revenue Billed</v>
          </cell>
          <cell r="E124" t="str">
            <v>Operating Revenue</v>
          </cell>
          <cell r="F124" t="str">
            <v>4893058</v>
          </cell>
          <cell r="G124" t="str">
            <v>A_4893058</v>
          </cell>
          <cell r="H124" t="str">
            <v>General Service Large Vol. 5 Transportation</v>
          </cell>
          <cell r="J124">
            <v>1129</v>
          </cell>
          <cell r="K124">
            <v>1061.9000000000001</v>
          </cell>
          <cell r="L124">
            <v>1126.5</v>
          </cell>
          <cell r="M124">
            <v>1095.8</v>
          </cell>
          <cell r="N124">
            <v>1038.2</v>
          </cell>
          <cell r="O124">
            <v>1065.4000000000001</v>
          </cell>
          <cell r="P124">
            <v>1018.5</v>
          </cell>
          <cell r="Q124">
            <v>985</v>
          </cell>
          <cell r="R124">
            <v>1001.3</v>
          </cell>
          <cell r="S124">
            <v>1094.4000000000001</v>
          </cell>
          <cell r="T124">
            <v>1090.2</v>
          </cell>
          <cell r="U124">
            <v>1124.8</v>
          </cell>
          <cell r="V124">
            <v>1216.9000000000001</v>
          </cell>
          <cell r="W124">
            <v>1132.3</v>
          </cell>
          <cell r="X124">
            <v>1225.4000000000001</v>
          </cell>
          <cell r="Y124">
            <v>1071.4000000000001</v>
          </cell>
          <cell r="Z124">
            <v>1067.9000000000001</v>
          </cell>
          <cell r="AA124">
            <v>1013.5</v>
          </cell>
          <cell r="AB124">
            <v>1038.0999999999999</v>
          </cell>
          <cell r="AC124">
            <v>1048.7</v>
          </cell>
          <cell r="AD124">
            <v>1026.2</v>
          </cell>
          <cell r="AE124">
            <v>1111.2</v>
          </cell>
          <cell r="AF124">
            <v>1043.5999999999999</v>
          </cell>
          <cell r="AG124">
            <v>1215.8</v>
          </cell>
          <cell r="AH124">
            <v>1304.9000000000001</v>
          </cell>
          <cell r="AI124">
            <v>1240.7</v>
          </cell>
          <cell r="AJ124">
            <v>1294.3</v>
          </cell>
          <cell r="AK124">
            <v>1130.5999999999999</v>
          </cell>
          <cell r="AL124">
            <v>1160.9000000000001</v>
          </cell>
          <cell r="AM124">
            <v>1128.7</v>
          </cell>
          <cell r="AN124">
            <v>1080.5999999999999</v>
          </cell>
          <cell r="AO124">
            <v>1105.9000000000001</v>
          </cell>
          <cell r="AP124">
            <v>1113</v>
          </cell>
          <cell r="AQ124">
            <v>1183.3</v>
          </cell>
          <cell r="AR124">
            <v>1210.3</v>
          </cell>
          <cell r="AS124">
            <v>1195.7</v>
          </cell>
          <cell r="AT124">
            <v>1276.5999999999999</v>
          </cell>
          <cell r="AU124">
            <v>1131.9000000000001</v>
          </cell>
          <cell r="AV124">
            <v>1322.8</v>
          </cell>
          <cell r="AW124">
            <v>1202.8</v>
          </cell>
          <cell r="AX124">
            <v>1207.4000000000001</v>
          </cell>
          <cell r="AY124">
            <v>1175.3</v>
          </cell>
          <cell r="AZ124">
            <v>1214.8</v>
          </cell>
          <cell r="BA124">
            <v>1205.0999999999999</v>
          </cell>
          <cell r="BB124">
            <v>1183.9000000000001</v>
          </cell>
          <cell r="BC124">
            <v>1169.4000000000001</v>
          </cell>
          <cell r="BD124">
            <v>1255.7</v>
          </cell>
          <cell r="BE124">
            <v>1312.7</v>
          </cell>
          <cell r="BF124">
            <v>1488.4</v>
          </cell>
          <cell r="BG124">
            <v>1245.4000000000001</v>
          </cell>
          <cell r="BH124">
            <v>1391.7</v>
          </cell>
          <cell r="BI124">
            <v>1374.8</v>
          </cell>
          <cell r="BJ124">
            <v>1170.5</v>
          </cell>
          <cell r="BK124">
            <v>1298.9000000000001</v>
          </cell>
          <cell r="BL124">
            <v>1266.2</v>
          </cell>
          <cell r="BM124">
            <v>1260.5</v>
          </cell>
          <cell r="BN124">
            <v>1197.0999999999999</v>
          </cell>
          <cell r="BO124">
            <v>1321.5</v>
          </cell>
          <cell r="BP124">
            <v>1332.1</v>
          </cell>
          <cell r="BQ124">
            <v>1365.6</v>
          </cell>
          <cell r="BR124">
            <v>1362</v>
          </cell>
          <cell r="BS124">
            <v>1295.3</v>
          </cell>
          <cell r="BT124">
            <v>1340.3</v>
          </cell>
          <cell r="BU124">
            <v>1343</v>
          </cell>
          <cell r="BV124">
            <v>1310.5</v>
          </cell>
          <cell r="BW124">
            <v>1217.9000000000001</v>
          </cell>
          <cell r="BX124">
            <v>1209.8</v>
          </cell>
          <cell r="BY124">
            <v>1222.8</v>
          </cell>
          <cell r="BZ124">
            <v>1188.4000000000001</v>
          </cell>
          <cell r="CA124">
            <v>1308.8</v>
          </cell>
          <cell r="CB124">
            <v>1315.4</v>
          </cell>
          <cell r="CC124">
            <v>1424.8</v>
          </cell>
          <cell r="CD124">
            <v>1497.3</v>
          </cell>
          <cell r="CE124">
            <v>1408.5</v>
          </cell>
          <cell r="CF124">
            <v>1383.9</v>
          </cell>
          <cell r="CG124">
            <v>1192.3</v>
          </cell>
          <cell r="CH124">
            <v>1216.8</v>
          </cell>
          <cell r="CI124">
            <v>1171</v>
          </cell>
          <cell r="CJ124">
            <v>1282.5</v>
          </cell>
          <cell r="CK124">
            <v>1193.3</v>
          </cell>
          <cell r="CL124">
            <v>1161.7</v>
          </cell>
          <cell r="CM124">
            <v>1278.7</v>
          </cell>
          <cell r="CN124">
            <v>1214.5999999999999</v>
          </cell>
          <cell r="CO124">
            <v>1343.2</v>
          </cell>
          <cell r="CP124">
            <v>1636.5</v>
          </cell>
          <cell r="CQ124">
            <v>1528.9</v>
          </cell>
          <cell r="CR124">
            <v>1661.7</v>
          </cell>
          <cell r="CS124">
            <v>1797.7</v>
          </cell>
          <cell r="CT124">
            <v>1505.8</v>
          </cell>
          <cell r="CU124">
            <v>1634.4</v>
          </cell>
          <cell r="CV124">
            <v>1747.8</v>
          </cell>
          <cell r="CW124">
            <v>1683.8</v>
          </cell>
          <cell r="CX124">
            <v>1689</v>
          </cell>
          <cell r="CY124">
            <v>1751</v>
          </cell>
          <cell r="CZ124">
            <v>1768</v>
          </cell>
          <cell r="DA124">
            <v>1832.9</v>
          </cell>
          <cell r="DB124">
            <v>1824.8</v>
          </cell>
          <cell r="DC124">
            <v>1937.6</v>
          </cell>
          <cell r="DD124">
            <v>1916.9</v>
          </cell>
          <cell r="DE124">
            <v>1879.9</v>
          </cell>
          <cell r="DF124">
            <v>1810.9</v>
          </cell>
          <cell r="DG124">
            <v>1868.6</v>
          </cell>
          <cell r="DH124">
            <v>1943.2</v>
          </cell>
          <cell r="DI124">
            <v>1832.2</v>
          </cell>
          <cell r="DJ124">
            <v>1837.3</v>
          </cell>
          <cell r="DK124">
            <v>1968.3</v>
          </cell>
          <cell r="DL124">
            <v>1920</v>
          </cell>
          <cell r="DM124">
            <v>2050.3000000000002</v>
          </cell>
          <cell r="DN124">
            <v>1895.8</v>
          </cell>
          <cell r="DO124">
            <v>1739.6</v>
          </cell>
          <cell r="DP124">
            <v>1918.5</v>
          </cell>
          <cell r="DQ124">
            <v>1863.9</v>
          </cell>
          <cell r="DR124">
            <v>1851.2</v>
          </cell>
          <cell r="DS124">
            <v>1842.9</v>
          </cell>
          <cell r="DT124">
            <v>1814.3</v>
          </cell>
          <cell r="DU124">
            <v>1861.3</v>
          </cell>
          <cell r="DV124">
            <v>1805.3</v>
          </cell>
          <cell r="DW124">
            <v>1896</v>
          </cell>
          <cell r="DX124">
            <v>1913.1</v>
          </cell>
          <cell r="DY124">
            <v>1905.9</v>
          </cell>
          <cell r="EM124">
            <v>13211.000000000002</v>
          </cell>
          <cell r="EN124">
            <v>14148.899999999998</v>
          </cell>
          <cell r="EO124">
            <v>14658.400000000001</v>
          </cell>
          <cell r="EP124">
            <v>15712.700000000003</v>
          </cell>
          <cell r="EQ124">
            <v>15538.999999999996</v>
          </cell>
          <cell r="ER124">
            <v>15343.800000000003</v>
          </cell>
          <cell r="ES124">
            <v>20237.5</v>
          </cell>
        </row>
        <row r="125">
          <cell r="A125" t="str">
            <v>Other Operating Income / (Expense) Items</v>
          </cell>
          <cell r="B125" t="str">
            <v>Operating Revenue</v>
          </cell>
          <cell r="D125" t="str">
            <v>Commercial Base Revenue Billed (PGA)</v>
          </cell>
          <cell r="E125" t="str">
            <v>Operating Revenue</v>
          </cell>
          <cell r="F125" t="str">
            <v>4893059</v>
          </cell>
          <cell r="G125" t="str">
            <v>A_4893059</v>
          </cell>
          <cell r="H125" t="str">
            <v>General Service Large Vol. 5 Transportation-Swing</v>
          </cell>
          <cell r="J125">
            <v>17.2</v>
          </cell>
          <cell r="K125">
            <v>18.399999999999999</v>
          </cell>
          <cell r="L125">
            <v>16.8</v>
          </cell>
          <cell r="M125">
            <v>17.3</v>
          </cell>
          <cell r="N125">
            <v>15.4</v>
          </cell>
          <cell r="O125">
            <v>21.1</v>
          </cell>
          <cell r="P125">
            <v>17.3</v>
          </cell>
          <cell r="Q125">
            <v>12.7</v>
          </cell>
          <cell r="R125">
            <v>15.1</v>
          </cell>
          <cell r="S125">
            <v>15</v>
          </cell>
          <cell r="T125">
            <v>15.4</v>
          </cell>
          <cell r="U125">
            <v>17</v>
          </cell>
          <cell r="V125">
            <v>18.8</v>
          </cell>
          <cell r="W125">
            <v>18.3</v>
          </cell>
          <cell r="X125">
            <v>18.8</v>
          </cell>
          <cell r="Y125">
            <v>18.3</v>
          </cell>
          <cell r="Z125">
            <v>15.5</v>
          </cell>
          <cell r="AA125">
            <v>16.899999999999999</v>
          </cell>
          <cell r="AB125">
            <v>17.2</v>
          </cell>
          <cell r="AC125">
            <v>17.100000000000001</v>
          </cell>
          <cell r="AD125">
            <v>16</v>
          </cell>
          <cell r="AE125">
            <v>16</v>
          </cell>
          <cell r="AF125">
            <v>13.3</v>
          </cell>
          <cell r="AG125">
            <v>16.7</v>
          </cell>
          <cell r="AH125">
            <v>10.1</v>
          </cell>
          <cell r="AI125">
            <v>12.8</v>
          </cell>
          <cell r="AJ125">
            <v>13.4</v>
          </cell>
          <cell r="AK125">
            <v>10.7</v>
          </cell>
          <cell r="AL125">
            <v>12.7</v>
          </cell>
          <cell r="AM125">
            <v>13.1</v>
          </cell>
          <cell r="AN125">
            <v>11.6</v>
          </cell>
          <cell r="AO125">
            <v>12</v>
          </cell>
          <cell r="AP125">
            <v>13.1</v>
          </cell>
          <cell r="AQ125">
            <v>11.6</v>
          </cell>
          <cell r="AR125">
            <v>12.4</v>
          </cell>
          <cell r="AS125">
            <v>12.7</v>
          </cell>
          <cell r="AT125">
            <v>14.7</v>
          </cell>
          <cell r="AU125">
            <v>12.4</v>
          </cell>
          <cell r="AV125">
            <v>13.1</v>
          </cell>
          <cell r="AW125">
            <v>12.7</v>
          </cell>
          <cell r="AX125">
            <v>12.5</v>
          </cell>
          <cell r="AY125">
            <v>13.2</v>
          </cell>
          <cell r="AZ125">
            <v>15.4</v>
          </cell>
          <cell r="BA125">
            <v>11.5</v>
          </cell>
          <cell r="BB125">
            <v>17.7</v>
          </cell>
          <cell r="BC125">
            <v>7.4</v>
          </cell>
          <cell r="BD125">
            <v>13.2</v>
          </cell>
          <cell r="BE125">
            <v>13.2</v>
          </cell>
          <cell r="BF125">
            <v>15</v>
          </cell>
          <cell r="BG125">
            <v>12.3</v>
          </cell>
          <cell r="BH125">
            <v>12.9</v>
          </cell>
          <cell r="BI125">
            <v>17.7</v>
          </cell>
          <cell r="BJ125">
            <v>5.9</v>
          </cell>
          <cell r="BK125">
            <v>11</v>
          </cell>
          <cell r="BL125">
            <v>10.3</v>
          </cell>
          <cell r="BM125">
            <v>10.7</v>
          </cell>
          <cell r="BN125">
            <v>11.6</v>
          </cell>
          <cell r="BO125">
            <v>11.1</v>
          </cell>
          <cell r="BP125">
            <v>11.1</v>
          </cell>
          <cell r="BQ125">
            <v>12.4</v>
          </cell>
          <cell r="BR125">
            <v>13</v>
          </cell>
          <cell r="BS125">
            <v>12.8</v>
          </cell>
          <cell r="BT125">
            <v>12.2</v>
          </cell>
          <cell r="BU125">
            <v>12.3</v>
          </cell>
          <cell r="BV125">
            <v>12.7</v>
          </cell>
          <cell r="BW125">
            <v>10.9</v>
          </cell>
          <cell r="BX125">
            <v>10</v>
          </cell>
          <cell r="BY125">
            <v>10.4</v>
          </cell>
          <cell r="BZ125">
            <v>10.1</v>
          </cell>
          <cell r="CA125">
            <v>14.2</v>
          </cell>
          <cell r="CB125">
            <v>10.8</v>
          </cell>
          <cell r="CC125">
            <v>18.7</v>
          </cell>
          <cell r="CD125">
            <v>15.6</v>
          </cell>
          <cell r="CE125">
            <v>14.5</v>
          </cell>
          <cell r="CF125">
            <v>13.7</v>
          </cell>
          <cell r="CG125">
            <v>12.4</v>
          </cell>
          <cell r="CH125">
            <v>12.4</v>
          </cell>
          <cell r="CI125">
            <v>12.4</v>
          </cell>
          <cell r="CJ125">
            <v>13.8</v>
          </cell>
          <cell r="CK125">
            <v>10.6</v>
          </cell>
          <cell r="CL125">
            <v>10.1</v>
          </cell>
          <cell r="CM125">
            <v>11.8</v>
          </cell>
          <cell r="CN125">
            <v>11.4</v>
          </cell>
          <cell r="CO125">
            <v>14.6</v>
          </cell>
          <cell r="CP125">
            <v>14.3</v>
          </cell>
          <cell r="CQ125">
            <v>13.2</v>
          </cell>
          <cell r="CR125">
            <v>11.2</v>
          </cell>
          <cell r="CS125">
            <v>16.399999999999999</v>
          </cell>
          <cell r="CT125">
            <v>10.3</v>
          </cell>
          <cell r="CU125">
            <v>13.3</v>
          </cell>
          <cell r="CV125">
            <v>14.9</v>
          </cell>
          <cell r="CW125">
            <v>9.3000000000000007</v>
          </cell>
          <cell r="CX125">
            <v>11.2</v>
          </cell>
          <cell r="CY125">
            <v>10.9</v>
          </cell>
          <cell r="CZ125">
            <v>11.7</v>
          </cell>
          <cell r="DA125">
            <v>12.7</v>
          </cell>
          <cell r="DB125">
            <v>10.8</v>
          </cell>
          <cell r="DC125">
            <v>11</v>
          </cell>
          <cell r="DD125">
            <v>10.8</v>
          </cell>
          <cell r="DE125">
            <v>10.9</v>
          </cell>
          <cell r="DF125">
            <v>12.7</v>
          </cell>
          <cell r="DG125">
            <v>10.199999999999999</v>
          </cell>
          <cell r="DH125">
            <v>11.7</v>
          </cell>
          <cell r="DI125">
            <v>12.4</v>
          </cell>
          <cell r="DJ125">
            <v>11.9</v>
          </cell>
          <cell r="DK125">
            <v>12.5</v>
          </cell>
          <cell r="DL125">
            <v>13.4</v>
          </cell>
          <cell r="DM125">
            <v>12.7</v>
          </cell>
          <cell r="DN125">
            <v>12.4</v>
          </cell>
          <cell r="DO125">
            <v>12.5</v>
          </cell>
          <cell r="DP125">
            <v>11.8</v>
          </cell>
          <cell r="DQ125">
            <v>12.4</v>
          </cell>
          <cell r="DR125">
            <v>12.4</v>
          </cell>
          <cell r="DS125">
            <v>10.6</v>
          </cell>
          <cell r="DT125">
            <v>10.4</v>
          </cell>
          <cell r="DU125">
            <v>9.9</v>
          </cell>
          <cell r="DV125">
            <v>10</v>
          </cell>
          <cell r="DW125">
            <v>13.9</v>
          </cell>
          <cell r="DX125">
            <v>10.7</v>
          </cell>
          <cell r="DY125">
            <v>18.399999999999999</v>
          </cell>
          <cell r="EM125">
            <v>202.9</v>
          </cell>
          <cell r="EN125">
            <v>146.19999999999996</v>
          </cell>
          <cell r="EO125">
            <v>157</v>
          </cell>
          <cell r="EP125">
            <v>142</v>
          </cell>
          <cell r="EQ125">
            <v>148.1</v>
          </cell>
          <cell r="ER125">
            <v>153.29999999999998</v>
          </cell>
          <cell r="ES125">
            <v>149.4</v>
          </cell>
        </row>
        <row r="126">
          <cell r="A126" t="str">
            <v>Base Revenues and OSS - Net</v>
          </cell>
          <cell r="B126" t="str">
            <v>Operating Revenue</v>
          </cell>
          <cell r="D126" t="str">
            <v>Industrial Base Revenue Billed</v>
          </cell>
          <cell r="E126" t="str">
            <v>Operating Revenue</v>
          </cell>
          <cell r="F126" t="str">
            <v>4893060</v>
          </cell>
          <cell r="G126" t="str">
            <v>A_4893060</v>
          </cell>
          <cell r="H126" t="str">
            <v>Interruptible Service Small Transportation</v>
          </cell>
          <cell r="J126">
            <v>533.20000000000005</v>
          </cell>
          <cell r="K126">
            <v>476.7</v>
          </cell>
          <cell r="L126">
            <v>514.4</v>
          </cell>
          <cell r="M126">
            <v>473.8</v>
          </cell>
          <cell r="N126">
            <v>476.9</v>
          </cell>
          <cell r="O126">
            <v>440.3</v>
          </cell>
          <cell r="P126">
            <v>437</v>
          </cell>
          <cell r="Q126">
            <v>431.2</v>
          </cell>
          <cell r="R126">
            <v>419.7</v>
          </cell>
          <cell r="S126">
            <v>447.3</v>
          </cell>
          <cell r="T126">
            <v>461.9</v>
          </cell>
          <cell r="U126">
            <v>454.1</v>
          </cell>
          <cell r="V126">
            <v>496.6</v>
          </cell>
          <cell r="W126">
            <v>487</v>
          </cell>
          <cell r="X126">
            <v>450.1</v>
          </cell>
          <cell r="Y126">
            <v>435.8</v>
          </cell>
          <cell r="Z126">
            <v>430</v>
          </cell>
          <cell r="AA126">
            <v>431.2</v>
          </cell>
          <cell r="AB126">
            <v>416.4</v>
          </cell>
          <cell r="AC126">
            <v>424.2</v>
          </cell>
          <cell r="AD126">
            <v>430.3</v>
          </cell>
          <cell r="AE126">
            <v>418.3</v>
          </cell>
          <cell r="AF126">
            <v>421.9</v>
          </cell>
          <cell r="AG126">
            <v>428.2</v>
          </cell>
          <cell r="AH126">
            <v>483.2</v>
          </cell>
          <cell r="AI126">
            <v>460.6</v>
          </cell>
          <cell r="AJ126">
            <v>461.8</v>
          </cell>
          <cell r="AK126">
            <v>450</v>
          </cell>
          <cell r="AL126">
            <v>440</v>
          </cell>
          <cell r="AM126">
            <v>427.5</v>
          </cell>
          <cell r="AN126">
            <v>419.4</v>
          </cell>
          <cell r="AO126">
            <v>406</v>
          </cell>
          <cell r="AP126">
            <v>409.1</v>
          </cell>
          <cell r="AQ126">
            <v>428.5</v>
          </cell>
          <cell r="AR126">
            <v>425.2</v>
          </cell>
          <cell r="AS126">
            <v>466.2</v>
          </cell>
          <cell r="AT126">
            <v>451</v>
          </cell>
          <cell r="AU126">
            <v>432.8</v>
          </cell>
          <cell r="AV126">
            <v>441.5</v>
          </cell>
          <cell r="AW126">
            <v>403.9</v>
          </cell>
          <cell r="AX126">
            <v>399</v>
          </cell>
          <cell r="AY126">
            <v>390.8</v>
          </cell>
          <cell r="AZ126">
            <v>387.8</v>
          </cell>
          <cell r="BA126">
            <v>403.6</v>
          </cell>
          <cell r="BB126">
            <v>364.1</v>
          </cell>
          <cell r="BC126">
            <v>395.1</v>
          </cell>
          <cell r="BD126">
            <v>419.4</v>
          </cell>
          <cell r="BE126">
            <v>563.4</v>
          </cell>
          <cell r="BF126">
            <v>481</v>
          </cell>
          <cell r="BG126">
            <v>409.9</v>
          </cell>
          <cell r="BH126">
            <v>449.2</v>
          </cell>
          <cell r="BI126">
            <v>418.8</v>
          </cell>
          <cell r="BJ126">
            <v>412.8</v>
          </cell>
          <cell r="BK126">
            <v>409</v>
          </cell>
          <cell r="BL126">
            <v>409.4</v>
          </cell>
          <cell r="BM126">
            <v>413.5</v>
          </cell>
          <cell r="BN126">
            <v>396.6</v>
          </cell>
          <cell r="BO126">
            <v>400.2</v>
          </cell>
          <cell r="BP126">
            <v>399.1</v>
          </cell>
          <cell r="BQ126">
            <v>423.2</v>
          </cell>
          <cell r="BR126">
            <v>444.9</v>
          </cell>
          <cell r="BS126">
            <v>232.3</v>
          </cell>
          <cell r="BT126">
            <v>252.9</v>
          </cell>
          <cell r="BU126">
            <v>234.4</v>
          </cell>
          <cell r="BV126">
            <v>221.8</v>
          </cell>
          <cell r="BW126">
            <v>205.8</v>
          </cell>
          <cell r="BX126">
            <v>218.7</v>
          </cell>
          <cell r="BY126">
            <v>217.1</v>
          </cell>
          <cell r="BZ126">
            <v>209.9</v>
          </cell>
          <cell r="CA126">
            <v>225.3</v>
          </cell>
          <cell r="CB126">
            <v>252.3</v>
          </cell>
          <cell r="CC126">
            <v>231.9</v>
          </cell>
          <cell r="CD126">
            <v>260.2</v>
          </cell>
          <cell r="CE126">
            <v>234.1</v>
          </cell>
          <cell r="CF126">
            <v>210.6</v>
          </cell>
          <cell r="CG126">
            <v>248.8</v>
          </cell>
          <cell r="CH126">
            <v>309.7</v>
          </cell>
          <cell r="CI126">
            <v>184.4</v>
          </cell>
          <cell r="CJ126">
            <v>246.8</v>
          </cell>
          <cell r="CK126">
            <v>231.4</v>
          </cell>
          <cell r="CL126">
            <v>231</v>
          </cell>
          <cell r="CM126">
            <v>262.3</v>
          </cell>
          <cell r="CN126">
            <v>238.4</v>
          </cell>
          <cell r="CO126">
            <v>271.89999999999998</v>
          </cell>
          <cell r="CP126">
            <v>346.2</v>
          </cell>
          <cell r="CQ126">
            <v>323.60000000000002</v>
          </cell>
          <cell r="CR126">
            <v>347.5</v>
          </cell>
          <cell r="CS126">
            <v>316.2</v>
          </cell>
          <cell r="CT126">
            <v>307.7</v>
          </cell>
          <cell r="CU126">
            <v>293.10000000000002</v>
          </cell>
          <cell r="CV126">
            <v>289.7</v>
          </cell>
          <cell r="CW126">
            <v>290.7</v>
          </cell>
          <cell r="CX126">
            <v>288.39999999999998</v>
          </cell>
          <cell r="CY126">
            <v>279.8</v>
          </cell>
          <cell r="CZ126">
            <v>288.89999999999998</v>
          </cell>
          <cell r="DA126">
            <v>279.5</v>
          </cell>
          <cell r="DB126">
            <v>356.3</v>
          </cell>
          <cell r="DC126">
            <v>299</v>
          </cell>
          <cell r="DD126">
            <v>331.3</v>
          </cell>
          <cell r="DE126">
            <v>351.2</v>
          </cell>
          <cell r="DF126">
            <v>329.3</v>
          </cell>
          <cell r="DG126">
            <v>296.10000000000002</v>
          </cell>
          <cell r="DH126">
            <v>339</v>
          </cell>
          <cell r="DI126">
            <v>258</v>
          </cell>
          <cell r="DJ126">
            <v>313.89999999999998</v>
          </cell>
          <cell r="DK126">
            <v>307.89999999999998</v>
          </cell>
          <cell r="DL126">
            <v>322.60000000000002</v>
          </cell>
          <cell r="DM126">
            <v>346</v>
          </cell>
          <cell r="DN126">
            <v>360.4</v>
          </cell>
          <cell r="DO126">
            <v>329</v>
          </cell>
          <cell r="DP126">
            <v>354.6</v>
          </cell>
          <cell r="DQ126">
            <v>335.2</v>
          </cell>
          <cell r="DR126">
            <v>324.8</v>
          </cell>
          <cell r="DS126">
            <v>311.89999999999998</v>
          </cell>
          <cell r="DT126">
            <v>313.10000000000002</v>
          </cell>
          <cell r="DU126">
            <v>320.2</v>
          </cell>
          <cell r="DV126">
            <v>305.60000000000002</v>
          </cell>
          <cell r="DW126">
            <v>310.10000000000002</v>
          </cell>
          <cell r="DX126">
            <v>318.8</v>
          </cell>
          <cell r="DY126">
            <v>320.8</v>
          </cell>
          <cell r="EM126">
            <v>5269.9999999999991</v>
          </cell>
          <cell r="EN126">
            <v>5277.5</v>
          </cell>
          <cell r="EO126">
            <v>5052.3999999999996</v>
          </cell>
          <cell r="EP126">
            <v>5022.7</v>
          </cell>
          <cell r="EQ126">
            <v>2947.3</v>
          </cell>
          <cell r="ER126">
            <v>2929.6000000000004</v>
          </cell>
          <cell r="ES126">
            <v>3651.3</v>
          </cell>
        </row>
        <row r="127">
          <cell r="A127" t="str">
            <v>Base Revenues and OSS - Net</v>
          </cell>
          <cell r="B127" t="str">
            <v>Operating Revenue</v>
          </cell>
          <cell r="D127" t="str">
            <v>Industrial Base Revenue Billed</v>
          </cell>
          <cell r="E127" t="str">
            <v>Operating Revenue</v>
          </cell>
          <cell r="F127" t="str">
            <v>4893070</v>
          </cell>
          <cell r="G127" t="str">
            <v>A_4893070</v>
          </cell>
          <cell r="H127" t="str">
            <v>Interruptible Service Large Vol. 1 Transportation</v>
          </cell>
          <cell r="J127">
            <v>709.1</v>
          </cell>
          <cell r="K127">
            <v>667.3</v>
          </cell>
          <cell r="L127">
            <v>594.20000000000005</v>
          </cell>
          <cell r="M127">
            <v>659.9</v>
          </cell>
          <cell r="N127">
            <v>633.4</v>
          </cell>
          <cell r="O127">
            <v>633.5</v>
          </cell>
          <cell r="P127">
            <v>673.2</v>
          </cell>
          <cell r="Q127">
            <v>652.9</v>
          </cell>
          <cell r="R127">
            <v>647.29999999999995</v>
          </cell>
          <cell r="S127">
            <v>604.79999999999995</v>
          </cell>
          <cell r="T127">
            <v>526.20000000000005</v>
          </cell>
          <cell r="U127">
            <v>529</v>
          </cell>
          <cell r="V127">
            <v>577.5</v>
          </cell>
          <cell r="W127">
            <v>566.1</v>
          </cell>
          <cell r="X127">
            <v>620.1</v>
          </cell>
          <cell r="Y127">
            <v>638.29999999999995</v>
          </cell>
          <cell r="Z127">
            <v>624.6</v>
          </cell>
          <cell r="AA127">
            <v>799.7</v>
          </cell>
          <cell r="AB127">
            <v>685.5</v>
          </cell>
          <cell r="AC127">
            <v>699</v>
          </cell>
          <cell r="AD127">
            <v>757.6</v>
          </cell>
          <cell r="AE127">
            <v>762.3</v>
          </cell>
          <cell r="AF127">
            <v>713</v>
          </cell>
          <cell r="AG127">
            <v>556.6</v>
          </cell>
          <cell r="AH127">
            <v>592.4</v>
          </cell>
          <cell r="AI127">
            <v>559.20000000000005</v>
          </cell>
          <cell r="AJ127">
            <v>653.9</v>
          </cell>
          <cell r="AK127">
            <v>697.6</v>
          </cell>
          <cell r="AL127">
            <v>743.6</v>
          </cell>
          <cell r="AM127">
            <v>689.8</v>
          </cell>
          <cell r="AN127">
            <v>735</v>
          </cell>
          <cell r="AO127">
            <v>712.4</v>
          </cell>
          <cell r="AP127">
            <v>759.3</v>
          </cell>
          <cell r="AQ127">
            <v>673.8</v>
          </cell>
          <cell r="AR127">
            <v>687.8</v>
          </cell>
          <cell r="AS127">
            <v>539</v>
          </cell>
          <cell r="AT127">
            <v>591.20000000000005</v>
          </cell>
          <cell r="AU127">
            <v>578.79999999999995</v>
          </cell>
          <cell r="AV127">
            <v>626.20000000000005</v>
          </cell>
          <cell r="AW127">
            <v>641.5</v>
          </cell>
          <cell r="AX127">
            <v>726.8</v>
          </cell>
          <cell r="AY127">
            <v>757.8</v>
          </cell>
          <cell r="AZ127">
            <v>290.89999999999998</v>
          </cell>
          <cell r="BA127">
            <v>334.6</v>
          </cell>
          <cell r="BB127">
            <v>440.2</v>
          </cell>
          <cell r="BC127">
            <v>390.2</v>
          </cell>
          <cell r="BD127">
            <v>813.7</v>
          </cell>
          <cell r="BE127">
            <v>-35.6</v>
          </cell>
          <cell r="BF127">
            <v>388.5</v>
          </cell>
          <cell r="BG127">
            <v>372.5</v>
          </cell>
          <cell r="BH127">
            <v>392.3</v>
          </cell>
          <cell r="BI127">
            <v>410.9</v>
          </cell>
          <cell r="BJ127">
            <v>381.5</v>
          </cell>
          <cell r="BK127">
            <v>376.3</v>
          </cell>
          <cell r="BL127">
            <v>368</v>
          </cell>
          <cell r="BM127">
            <v>340.4</v>
          </cell>
          <cell r="BN127">
            <v>339.5</v>
          </cell>
          <cell r="BO127">
            <v>351.2</v>
          </cell>
          <cell r="BP127">
            <v>376.6</v>
          </cell>
          <cell r="BQ127">
            <v>357.2</v>
          </cell>
          <cell r="BR127">
            <v>403.9</v>
          </cell>
          <cell r="BS127">
            <v>343.5</v>
          </cell>
          <cell r="BT127">
            <v>330.7</v>
          </cell>
          <cell r="BU127">
            <v>357.7</v>
          </cell>
          <cell r="BV127">
            <v>348.5</v>
          </cell>
          <cell r="BW127">
            <v>272</v>
          </cell>
          <cell r="BX127">
            <v>316.5</v>
          </cell>
          <cell r="BY127">
            <v>210</v>
          </cell>
          <cell r="BZ127">
            <v>419.2</v>
          </cell>
          <cell r="CA127">
            <v>353.5</v>
          </cell>
          <cell r="CB127">
            <v>353.3</v>
          </cell>
          <cell r="CC127">
            <v>409.5</v>
          </cell>
          <cell r="CD127">
            <v>401.5</v>
          </cell>
          <cell r="CE127">
            <v>387.6</v>
          </cell>
          <cell r="CF127">
            <v>319.89999999999998</v>
          </cell>
          <cell r="CG127">
            <v>447.3</v>
          </cell>
          <cell r="CH127">
            <v>461.2</v>
          </cell>
          <cell r="CI127">
            <v>323.89999999999998</v>
          </cell>
          <cell r="CJ127">
            <v>312.60000000000002</v>
          </cell>
          <cell r="CK127">
            <v>400.6</v>
          </cell>
          <cell r="CL127">
            <v>383.3</v>
          </cell>
          <cell r="CM127">
            <v>392.8</v>
          </cell>
          <cell r="CN127">
            <v>404.2</v>
          </cell>
          <cell r="CO127">
            <v>392.2</v>
          </cell>
          <cell r="CP127">
            <v>429.3</v>
          </cell>
          <cell r="CQ127">
            <v>415.6</v>
          </cell>
          <cell r="CR127">
            <v>565.4</v>
          </cell>
          <cell r="CS127">
            <v>826.1</v>
          </cell>
          <cell r="CT127">
            <v>269.60000000000002</v>
          </cell>
          <cell r="CU127">
            <v>510.4</v>
          </cell>
          <cell r="CV127">
            <v>493.1</v>
          </cell>
          <cell r="CW127">
            <v>468.8</v>
          </cell>
          <cell r="CX127">
            <v>441.2</v>
          </cell>
          <cell r="CY127">
            <v>493.3</v>
          </cell>
          <cell r="CZ127">
            <v>460.2</v>
          </cell>
          <cell r="DA127">
            <v>540.70000000000005</v>
          </cell>
          <cell r="DB127">
            <v>648.5</v>
          </cell>
          <cell r="DC127">
            <v>544.70000000000005</v>
          </cell>
          <cell r="DD127">
            <v>652.4</v>
          </cell>
          <cell r="DE127">
            <v>570.6</v>
          </cell>
          <cell r="DF127">
            <v>499.5</v>
          </cell>
          <cell r="DG127">
            <v>492.2</v>
          </cell>
          <cell r="DH127">
            <v>510.6</v>
          </cell>
          <cell r="DI127">
            <v>565.9</v>
          </cell>
          <cell r="DJ127">
            <v>435.3</v>
          </cell>
          <cell r="DK127">
            <v>542.20000000000005</v>
          </cell>
          <cell r="DL127">
            <v>433.5</v>
          </cell>
          <cell r="DM127">
            <v>668.1</v>
          </cell>
          <cell r="DN127">
            <v>505.2</v>
          </cell>
          <cell r="DO127">
            <v>458.4</v>
          </cell>
          <cell r="DP127">
            <v>580.9</v>
          </cell>
          <cell r="DQ127">
            <v>537.4</v>
          </cell>
          <cell r="DR127">
            <v>528.79999999999995</v>
          </cell>
          <cell r="DS127">
            <v>504.2</v>
          </cell>
          <cell r="DT127">
            <v>516.20000000000005</v>
          </cell>
          <cell r="DU127">
            <v>465.5</v>
          </cell>
          <cell r="DV127">
            <v>437.5</v>
          </cell>
          <cell r="DW127">
            <v>496.9</v>
          </cell>
          <cell r="DX127">
            <v>485.1</v>
          </cell>
          <cell r="DY127">
            <v>544.70000000000005</v>
          </cell>
          <cell r="EM127">
            <v>8000.3000000000011</v>
          </cell>
          <cell r="EN127">
            <v>8043.8</v>
          </cell>
          <cell r="EO127">
            <v>6156.2999999999993</v>
          </cell>
          <cell r="EP127">
            <v>4454.8999999999996</v>
          </cell>
          <cell r="EQ127">
            <v>4118.3</v>
          </cell>
          <cell r="ER127">
            <v>4627.1000000000004</v>
          </cell>
          <cell r="ES127">
            <v>5913.7</v>
          </cell>
        </row>
        <row r="128">
          <cell r="A128" t="str">
            <v>Base Revenues and OSS - Net</v>
          </cell>
          <cell r="B128" t="str">
            <v>Operating Revenue</v>
          </cell>
          <cell r="D128" t="str">
            <v>Industrial Base Revenue Billed</v>
          </cell>
          <cell r="E128" t="str">
            <v>Operating Revenue</v>
          </cell>
          <cell r="F128" t="str">
            <v>4893080</v>
          </cell>
          <cell r="G128" t="str">
            <v>A_4893080</v>
          </cell>
          <cell r="H128" t="str">
            <v>Interruptible Service Large Vol. 2 Transportation</v>
          </cell>
          <cell r="J128">
            <v>789.1</v>
          </cell>
          <cell r="K128">
            <v>497.9</v>
          </cell>
          <cell r="L128">
            <v>680.8</v>
          </cell>
          <cell r="M128">
            <v>497.5</v>
          </cell>
          <cell r="N128">
            <v>549.6</v>
          </cell>
          <cell r="O128">
            <v>574.20000000000005</v>
          </cell>
          <cell r="P128">
            <v>614.29999999999995</v>
          </cell>
          <cell r="Q128">
            <v>606.20000000000005</v>
          </cell>
          <cell r="R128">
            <v>493.8</v>
          </cell>
          <cell r="S128">
            <v>469.7</v>
          </cell>
          <cell r="T128">
            <v>547.29999999999995</v>
          </cell>
          <cell r="U128">
            <v>267.60000000000002</v>
          </cell>
          <cell r="V128">
            <v>794.4</v>
          </cell>
          <cell r="W128">
            <v>628.70000000000005</v>
          </cell>
          <cell r="X128">
            <v>574.5</v>
          </cell>
          <cell r="Y128">
            <v>577.9</v>
          </cell>
          <cell r="Z128">
            <v>663.2</v>
          </cell>
          <cell r="AA128">
            <v>579.6</v>
          </cell>
          <cell r="AB128">
            <v>567.1</v>
          </cell>
          <cell r="AC128">
            <v>531.5</v>
          </cell>
          <cell r="AD128">
            <v>517.29999999999995</v>
          </cell>
          <cell r="AE128">
            <v>525.29999999999995</v>
          </cell>
          <cell r="AF128">
            <v>447.7</v>
          </cell>
          <cell r="AG128">
            <v>568</v>
          </cell>
          <cell r="AH128">
            <v>866.3</v>
          </cell>
          <cell r="AI128">
            <v>715.3</v>
          </cell>
          <cell r="AJ128">
            <v>485.3</v>
          </cell>
          <cell r="AK128">
            <v>-145.6</v>
          </cell>
          <cell r="AL128">
            <v>-477.3</v>
          </cell>
          <cell r="AM128">
            <v>663.3</v>
          </cell>
          <cell r="AN128">
            <v>706</v>
          </cell>
          <cell r="AO128">
            <v>519.5</v>
          </cell>
          <cell r="AP128">
            <v>485</v>
          </cell>
          <cell r="AQ128">
            <v>520.5</v>
          </cell>
          <cell r="AR128">
            <v>309.8</v>
          </cell>
          <cell r="AS128">
            <v>647.1</v>
          </cell>
          <cell r="AT128">
            <v>35.9</v>
          </cell>
          <cell r="AU128">
            <v>36</v>
          </cell>
          <cell r="AV128">
            <v>36</v>
          </cell>
          <cell r="AW128">
            <v>36</v>
          </cell>
          <cell r="AX128">
            <v>36</v>
          </cell>
          <cell r="AY128">
            <v>36</v>
          </cell>
          <cell r="AZ128">
            <v>36</v>
          </cell>
          <cell r="BA128">
            <v>33.6</v>
          </cell>
          <cell r="BB128">
            <v>35.1</v>
          </cell>
          <cell r="BC128">
            <v>38.4</v>
          </cell>
          <cell r="BD128">
            <v>-394.9</v>
          </cell>
          <cell r="BE128">
            <v>469.6</v>
          </cell>
          <cell r="BF128">
            <v>37.200000000000003</v>
          </cell>
          <cell r="BG128">
            <v>42</v>
          </cell>
          <cell r="BH128">
            <v>36.700000000000003</v>
          </cell>
          <cell r="BI128">
            <v>39</v>
          </cell>
          <cell r="BJ128">
            <v>46.5</v>
          </cell>
          <cell r="BK128">
            <v>40.6</v>
          </cell>
          <cell r="BL128">
            <v>36</v>
          </cell>
          <cell r="BM128">
            <v>51.1</v>
          </cell>
          <cell r="BN128">
            <v>44.8</v>
          </cell>
          <cell r="BO128">
            <v>47.5</v>
          </cell>
          <cell r="BP128">
            <v>46</v>
          </cell>
          <cell r="BQ128">
            <v>235</v>
          </cell>
          <cell r="BR128">
            <v>46.7</v>
          </cell>
          <cell r="BS128">
            <v>-10.7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EM128">
            <v>6975.2</v>
          </cell>
          <cell r="EN128">
            <v>5295.2000000000007</v>
          </cell>
          <cell r="EO128">
            <v>433.70000000000005</v>
          </cell>
          <cell r="EP128">
            <v>702.40000000000009</v>
          </cell>
          <cell r="EQ128">
            <v>36</v>
          </cell>
          <cell r="ER128">
            <v>0</v>
          </cell>
          <cell r="ES128">
            <v>0</v>
          </cell>
        </row>
        <row r="129">
          <cell r="A129" t="str">
            <v>Base Revenues and OSS - Net</v>
          </cell>
          <cell r="B129" t="str">
            <v>Operating Revenue</v>
          </cell>
          <cell r="D129" t="str">
            <v>Industrial Base Revenue Billed</v>
          </cell>
          <cell r="E129" t="str">
            <v>Operating Revenue</v>
          </cell>
          <cell r="F129" t="str">
            <v>4893090</v>
          </cell>
          <cell r="G129" t="str">
            <v>A_4893090</v>
          </cell>
          <cell r="H129" t="str">
            <v>Intrpt Con Svc Tmsp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466.7</v>
          </cell>
          <cell r="AU129">
            <v>394.5</v>
          </cell>
          <cell r="AV129">
            <v>554.5</v>
          </cell>
          <cell r="AW129">
            <v>634.29999999999995</v>
          </cell>
          <cell r="AX129">
            <v>676</v>
          </cell>
          <cell r="AY129">
            <v>636.1</v>
          </cell>
          <cell r="AZ129">
            <v>1052.2</v>
          </cell>
          <cell r="BA129">
            <v>1010.8</v>
          </cell>
          <cell r="BB129">
            <v>725.5</v>
          </cell>
          <cell r="BC129">
            <v>863.1</v>
          </cell>
          <cell r="BD129">
            <v>810.9</v>
          </cell>
          <cell r="BE129">
            <v>974.7</v>
          </cell>
          <cell r="BF129">
            <v>836.9</v>
          </cell>
          <cell r="BG129">
            <v>816.2</v>
          </cell>
          <cell r="BH129">
            <v>991.2</v>
          </cell>
          <cell r="BI129">
            <v>985</v>
          </cell>
          <cell r="BJ129">
            <v>1088.5</v>
          </cell>
          <cell r="BK129">
            <v>1014.8</v>
          </cell>
          <cell r="BL129">
            <v>999.1</v>
          </cell>
          <cell r="BM129">
            <v>879.6</v>
          </cell>
          <cell r="BN129">
            <v>932</v>
          </cell>
          <cell r="BO129">
            <v>909.4</v>
          </cell>
          <cell r="BP129">
            <v>841.8</v>
          </cell>
          <cell r="BQ129">
            <v>738.3</v>
          </cell>
          <cell r="BR129">
            <v>844.1</v>
          </cell>
          <cell r="BS129">
            <v>1059.0999999999999</v>
          </cell>
          <cell r="BT129">
            <v>1322.6</v>
          </cell>
          <cell r="BU129">
            <v>1405.1</v>
          </cell>
          <cell r="BV129">
            <v>1456</v>
          </cell>
          <cell r="BW129">
            <v>1349.7</v>
          </cell>
          <cell r="BX129">
            <v>1181.8</v>
          </cell>
          <cell r="BY129">
            <v>1140.7</v>
          </cell>
          <cell r="BZ129">
            <v>1153.4000000000001</v>
          </cell>
          <cell r="CA129">
            <v>1259.8</v>
          </cell>
          <cell r="CB129">
            <v>1207.0999999999999</v>
          </cell>
          <cell r="CC129">
            <v>974.3</v>
          </cell>
          <cell r="CD129">
            <v>1253.8</v>
          </cell>
          <cell r="CE129">
            <v>1149.8</v>
          </cell>
          <cell r="CF129">
            <v>1488.4</v>
          </cell>
          <cell r="CG129">
            <v>1465.4</v>
          </cell>
          <cell r="CH129">
            <v>1537.8</v>
          </cell>
          <cell r="CI129">
            <v>1401</v>
          </cell>
          <cell r="CJ129">
            <v>1287.5999999999999</v>
          </cell>
          <cell r="CK129">
            <v>1321.8</v>
          </cell>
          <cell r="CL129">
            <v>1376.8</v>
          </cell>
          <cell r="CM129">
            <v>1387.7</v>
          </cell>
          <cell r="CN129">
            <v>1270.5</v>
          </cell>
          <cell r="CO129">
            <v>1186.0999999999999</v>
          </cell>
          <cell r="CP129">
            <v>1356.1</v>
          </cell>
          <cell r="CQ129">
            <v>1199.0999999999999</v>
          </cell>
          <cell r="CR129">
            <v>1364.6</v>
          </cell>
          <cell r="CS129">
            <v>1123.8</v>
          </cell>
          <cell r="CT129">
            <v>1704.1</v>
          </cell>
          <cell r="CU129">
            <v>1305.7</v>
          </cell>
          <cell r="CV129">
            <v>1310.7</v>
          </cell>
          <cell r="CW129">
            <v>1230.4000000000001</v>
          </cell>
          <cell r="CX129">
            <v>1237.5</v>
          </cell>
          <cell r="CY129">
            <v>1312.4</v>
          </cell>
          <cell r="CZ129">
            <v>1394.5</v>
          </cell>
          <cell r="DA129">
            <v>1217.2</v>
          </cell>
          <cell r="DB129">
            <v>1407.6</v>
          </cell>
          <cell r="DC129">
            <v>1323.3</v>
          </cell>
          <cell r="DD129">
            <v>1351.6</v>
          </cell>
          <cell r="DE129">
            <v>1956.4</v>
          </cell>
          <cell r="DF129">
            <v>1991.1</v>
          </cell>
          <cell r="DG129">
            <v>1573.8</v>
          </cell>
          <cell r="DH129">
            <v>1455.9</v>
          </cell>
          <cell r="DI129">
            <v>1418.9</v>
          </cell>
          <cell r="DJ129">
            <v>1442.3</v>
          </cell>
          <cell r="DK129">
            <v>1988</v>
          </cell>
          <cell r="DL129">
            <v>2001.2</v>
          </cell>
          <cell r="DM129">
            <v>1853.6</v>
          </cell>
          <cell r="DN129">
            <v>2348.6999999999998</v>
          </cell>
          <cell r="DO129">
            <v>2288.1</v>
          </cell>
          <cell r="DP129">
            <v>2465.1</v>
          </cell>
          <cell r="DQ129">
            <v>2548.4</v>
          </cell>
          <cell r="DR129">
            <v>2567.1</v>
          </cell>
          <cell r="DS129">
            <v>2493.5</v>
          </cell>
          <cell r="DT129">
            <v>2386.9</v>
          </cell>
          <cell r="DU129">
            <v>2341.4</v>
          </cell>
          <cell r="DV129">
            <v>2347.3000000000002</v>
          </cell>
          <cell r="DW129">
            <v>2409.4</v>
          </cell>
          <cell r="DX129">
            <v>2355.6999999999998</v>
          </cell>
          <cell r="DY129">
            <v>2276.1999999999998</v>
          </cell>
          <cell r="EM129">
            <v>0</v>
          </cell>
          <cell r="EN129">
            <v>0</v>
          </cell>
          <cell r="EO129">
            <v>8799.3000000000011</v>
          </cell>
          <cell r="EP129">
            <v>11032.8</v>
          </cell>
          <cell r="EQ129">
            <v>14353.699999999999</v>
          </cell>
          <cell r="ER129">
            <v>16126.7</v>
          </cell>
          <cell r="ES129">
            <v>15756.099999999999</v>
          </cell>
        </row>
        <row r="130">
          <cell r="F130" t="str">
            <v>489</v>
          </cell>
          <cell r="G130">
            <v>489</v>
          </cell>
          <cell r="J130">
            <v>11943.600000000002</v>
          </cell>
          <cell r="K130">
            <v>10535.8</v>
          </cell>
          <cell r="L130">
            <v>10404.800000000001</v>
          </cell>
          <cell r="M130">
            <v>9979.9999999999964</v>
          </cell>
          <cell r="N130">
            <v>9022</v>
          </cell>
          <cell r="O130">
            <v>9318.5</v>
          </cell>
          <cell r="P130">
            <v>8772.7000000000007</v>
          </cell>
          <cell r="Q130">
            <v>8512.2000000000007</v>
          </cell>
          <cell r="R130">
            <v>9075.9</v>
          </cell>
          <cell r="S130">
            <v>9025.4000000000015</v>
          </cell>
          <cell r="T130">
            <v>9509.9</v>
          </cell>
          <cell r="U130">
            <v>10406</v>
          </cell>
          <cell r="V130">
            <v>11820.099999999999</v>
          </cell>
          <cell r="W130">
            <v>11140.9</v>
          </cell>
          <cell r="X130">
            <v>11365.7</v>
          </cell>
          <cell r="Y130">
            <v>9905.0999999999985</v>
          </cell>
          <cell r="Z130">
            <v>8871.9000000000015</v>
          </cell>
          <cell r="AA130">
            <v>9680.3000000000011</v>
          </cell>
          <cell r="AB130">
            <v>9090.1999999999989</v>
          </cell>
          <cell r="AC130">
            <v>9414.7000000000007</v>
          </cell>
          <cell r="AD130">
            <v>9058.6999999999989</v>
          </cell>
          <cell r="AE130">
            <v>9403.4</v>
          </cell>
          <cell r="AF130">
            <v>9662.9</v>
          </cell>
          <cell r="AG130">
            <v>10843.300000000003</v>
          </cell>
          <cell r="AH130">
            <v>12586</v>
          </cell>
          <cell r="AI130">
            <v>12141</v>
          </cell>
          <cell r="AJ130">
            <v>11341.799999999996</v>
          </cell>
          <cell r="AK130">
            <v>10204.200000000001</v>
          </cell>
          <cell r="AL130">
            <v>9205.0000000000036</v>
          </cell>
          <cell r="AM130">
            <v>9869.2999999999993</v>
          </cell>
          <cell r="AN130">
            <v>9837.7000000000007</v>
          </cell>
          <cell r="AO130">
            <v>9134.9</v>
          </cell>
          <cell r="AP130">
            <v>9747.5999999999985</v>
          </cell>
          <cell r="AQ130">
            <v>9423.5</v>
          </cell>
          <cell r="AR130">
            <v>10353.9</v>
          </cell>
          <cell r="AS130">
            <v>11479.700000000003</v>
          </cell>
          <cell r="AT130">
            <v>12140.300000000003</v>
          </cell>
          <cell r="AU130">
            <v>10869.599999999997</v>
          </cell>
          <cell r="AV130">
            <v>11213.300000000001</v>
          </cell>
          <cell r="AW130">
            <v>11244.3</v>
          </cell>
          <cell r="AX130">
            <v>10297</v>
          </cell>
          <cell r="AY130">
            <v>10046.799999999999</v>
          </cell>
          <cell r="AZ130">
            <v>9682.9</v>
          </cell>
          <cell r="BA130">
            <v>9801.2999999999993</v>
          </cell>
          <cell r="BB130">
            <v>9992.1000000000022</v>
          </cell>
          <cell r="BC130">
            <v>9514.4000000000015</v>
          </cell>
          <cell r="BD130">
            <v>10419.900000000001</v>
          </cell>
          <cell r="BE130">
            <v>11879.000000000002</v>
          </cell>
          <cell r="BF130">
            <v>13550</v>
          </cell>
          <cell r="BG130">
            <v>11770.8</v>
          </cell>
          <cell r="BH130">
            <v>11442.7</v>
          </cell>
          <cell r="BI130">
            <v>12168.999999999998</v>
          </cell>
          <cell r="BJ130">
            <v>10439.199999999999</v>
          </cell>
          <cell r="BK130">
            <v>10476</v>
          </cell>
          <cell r="BL130">
            <v>10212.5</v>
          </cell>
          <cell r="BM130">
            <v>9872.3000000000011</v>
          </cell>
          <cell r="BN130">
            <v>10431.5</v>
          </cell>
          <cell r="BO130">
            <v>9919.5</v>
          </cell>
          <cell r="BP130">
            <v>10599.800000000001</v>
          </cell>
          <cell r="BQ130">
            <v>11963.800000000001</v>
          </cell>
          <cell r="BR130">
            <v>12357.500000000002</v>
          </cell>
          <cell r="BS130">
            <v>11135.099999999997</v>
          </cell>
          <cell r="BT130">
            <v>12251</v>
          </cell>
          <cell r="BU130">
            <v>10795.5</v>
          </cell>
          <cell r="BV130">
            <v>10834.599999999999</v>
          </cell>
          <cell r="BW130">
            <v>9817.9</v>
          </cell>
          <cell r="BX130">
            <v>9654.5</v>
          </cell>
          <cell r="BY130">
            <v>9648.2999999999993</v>
          </cell>
          <cell r="BZ130">
            <v>9890.5999999999985</v>
          </cell>
          <cell r="CA130">
            <v>9912.0999999999985</v>
          </cell>
          <cell r="CB130">
            <v>11241.099999999999</v>
          </cell>
          <cell r="CC130">
            <v>11551.6</v>
          </cell>
          <cell r="CD130">
            <v>12667.599999999999</v>
          </cell>
          <cell r="CE130">
            <v>11769.6</v>
          </cell>
          <cell r="CF130">
            <v>11410.5</v>
          </cell>
          <cell r="CG130">
            <v>8805.6</v>
          </cell>
          <cell r="CH130">
            <v>8621.9</v>
          </cell>
          <cell r="CI130">
            <v>9427.6999999999971</v>
          </cell>
          <cell r="CJ130">
            <v>9195.3000000000011</v>
          </cell>
          <cell r="CK130">
            <v>9283.1</v>
          </cell>
          <cell r="CL130">
            <v>9174.2999999999993</v>
          </cell>
          <cell r="CM130">
            <v>9704</v>
          </cell>
          <cell r="CN130">
            <v>10364.699999999999</v>
          </cell>
          <cell r="CO130">
            <v>11738.800000000001</v>
          </cell>
          <cell r="CP130">
            <v>15958.1</v>
          </cell>
          <cell r="CQ130">
            <v>13425.700000000003</v>
          </cell>
          <cell r="CR130">
            <v>14168.300000000001</v>
          </cell>
          <cell r="CS130">
            <v>14182.5</v>
          </cell>
          <cell r="CT130">
            <v>12699.099999999999</v>
          </cell>
          <cell r="CU130">
            <v>12576.3</v>
          </cell>
          <cell r="CV130">
            <v>12501.700000000003</v>
          </cell>
          <cell r="CW130">
            <v>11703.6</v>
          </cell>
          <cell r="CX130">
            <v>12284.1</v>
          </cell>
          <cell r="CY130">
            <v>12188.299999999997</v>
          </cell>
          <cell r="CZ130">
            <v>13099.7</v>
          </cell>
          <cell r="DA130">
            <v>14978</v>
          </cell>
          <cell r="DB130">
            <v>15892.2</v>
          </cell>
          <cell r="DC130">
            <v>14289.099999999999</v>
          </cell>
          <cell r="DD130">
            <v>14384.8</v>
          </cell>
          <cell r="DE130">
            <v>14169.8</v>
          </cell>
          <cell r="DF130">
            <v>13891.4</v>
          </cell>
          <cell r="DG130">
            <v>12623.800000000001</v>
          </cell>
          <cell r="DH130">
            <v>12490.7</v>
          </cell>
          <cell r="DI130">
            <v>12150.9</v>
          </cell>
          <cell r="DJ130">
            <v>12108.299999999996</v>
          </cell>
          <cell r="DK130">
            <v>13874.699999999999</v>
          </cell>
          <cell r="DL130">
            <v>13809.600000000002</v>
          </cell>
          <cell r="DM130">
            <v>15287.300000000003</v>
          </cell>
          <cell r="DN130">
            <v>16614.3</v>
          </cell>
          <cell r="DO130">
            <v>15651.2</v>
          </cell>
          <cell r="DP130">
            <v>15704.999999999998</v>
          </cell>
          <cell r="DQ130">
            <v>14834.8</v>
          </cell>
          <cell r="DR130">
            <v>14174.7</v>
          </cell>
          <cell r="DS130">
            <v>13995.2</v>
          </cell>
          <cell r="DT130">
            <v>13565.6</v>
          </cell>
          <cell r="DU130">
            <v>13404.499999999998</v>
          </cell>
          <cell r="DV130">
            <v>13870.3</v>
          </cell>
          <cell r="DW130">
            <v>13575.699999999999</v>
          </cell>
          <cell r="DX130">
            <v>14800</v>
          </cell>
          <cell r="DY130">
            <v>16443.199999999997</v>
          </cell>
          <cell r="EM130">
            <v>120257.19999999998</v>
          </cell>
          <cell r="EN130">
            <v>125324.59999999999</v>
          </cell>
          <cell r="EO130">
            <v>127100.9</v>
          </cell>
          <cell r="EP130">
            <v>132847.1</v>
          </cell>
          <cell r="EQ130">
            <v>129089.80000000002</v>
          </cell>
          <cell r="ER130">
            <v>122163.1</v>
          </cell>
          <cell r="ES130">
            <v>159765.40000000002</v>
          </cell>
        </row>
        <row r="131">
          <cell r="A131" t="str">
            <v>Misc Operating Revenues (excl Clause &amp; gr/ff)</v>
          </cell>
          <cell r="B131" t="str">
            <v>Operating Revenue</v>
          </cell>
          <cell r="D131" t="str">
            <v>Rent From Gas Property</v>
          </cell>
          <cell r="E131" t="str">
            <v>Operating Revenue</v>
          </cell>
          <cell r="F131" t="str">
            <v>4930000</v>
          </cell>
          <cell r="G131" t="str">
            <v>A_4930000</v>
          </cell>
          <cell r="H131" t="str">
            <v>Rent Revenue</v>
          </cell>
          <cell r="J131">
            <v>5.3</v>
          </cell>
          <cell r="K131">
            <v>4.3</v>
          </cell>
          <cell r="L131">
            <v>2.2999999999999998</v>
          </cell>
          <cell r="M131">
            <v>77</v>
          </cell>
          <cell r="N131">
            <v>2.2999999999999998</v>
          </cell>
          <cell r="O131">
            <v>2.2999999999999998</v>
          </cell>
          <cell r="P131">
            <v>5.3</v>
          </cell>
          <cell r="Q131">
            <v>2.2999999999999998</v>
          </cell>
          <cell r="R131">
            <v>2.2999999999999998</v>
          </cell>
          <cell r="S131">
            <v>2.2999999999999998</v>
          </cell>
          <cell r="T131">
            <v>2.2999999999999998</v>
          </cell>
          <cell r="U131">
            <v>5.3</v>
          </cell>
          <cell r="V131">
            <v>2.6</v>
          </cell>
          <cell r="W131">
            <v>4.4000000000000004</v>
          </cell>
          <cell r="X131">
            <v>2.4</v>
          </cell>
          <cell r="Y131">
            <v>2.2999999999999998</v>
          </cell>
          <cell r="Z131">
            <v>76.2</v>
          </cell>
          <cell r="AA131">
            <v>5.4</v>
          </cell>
          <cell r="AB131">
            <v>2.4</v>
          </cell>
          <cell r="AC131">
            <v>2.2000000000000002</v>
          </cell>
          <cell r="AD131">
            <v>2.2000000000000002</v>
          </cell>
          <cell r="AE131">
            <v>2.2000000000000002</v>
          </cell>
          <cell r="AF131">
            <v>2.2000000000000002</v>
          </cell>
          <cell r="AG131">
            <v>2.2000000000000002</v>
          </cell>
          <cell r="AH131">
            <v>5</v>
          </cell>
          <cell r="AI131">
            <v>2.2000000000000002</v>
          </cell>
          <cell r="AJ131">
            <v>2.2000000000000002</v>
          </cell>
          <cell r="AK131">
            <v>10.6</v>
          </cell>
          <cell r="AL131">
            <v>86.3</v>
          </cell>
          <cell r="AM131">
            <v>2.2000000000000002</v>
          </cell>
          <cell r="AN131">
            <v>12</v>
          </cell>
          <cell r="AO131">
            <v>9.1999999999999993</v>
          </cell>
          <cell r="AP131">
            <v>9.1999999999999993</v>
          </cell>
          <cell r="AQ131">
            <v>9.1999999999999993</v>
          </cell>
          <cell r="AR131">
            <v>12</v>
          </cell>
          <cell r="AS131">
            <v>9.1999999999999993</v>
          </cell>
          <cell r="AT131">
            <v>10.4</v>
          </cell>
          <cell r="AU131">
            <v>11.2</v>
          </cell>
          <cell r="AV131">
            <v>13.1</v>
          </cell>
          <cell r="AW131">
            <v>9.1999999999999993</v>
          </cell>
          <cell r="AX131">
            <v>93</v>
          </cell>
          <cell r="AY131">
            <v>9.1999999999999993</v>
          </cell>
          <cell r="AZ131">
            <v>5</v>
          </cell>
          <cell r="BA131">
            <v>2.1</v>
          </cell>
          <cell r="BB131">
            <v>2.1</v>
          </cell>
          <cell r="BC131">
            <v>2.1</v>
          </cell>
          <cell r="BD131">
            <v>5</v>
          </cell>
          <cell r="BE131">
            <v>2.1</v>
          </cell>
          <cell r="BF131">
            <v>2.1</v>
          </cell>
          <cell r="BG131">
            <v>2.1</v>
          </cell>
          <cell r="BH131">
            <v>2.5</v>
          </cell>
          <cell r="BI131">
            <v>2.1</v>
          </cell>
          <cell r="BJ131">
            <v>85.7</v>
          </cell>
          <cell r="BK131">
            <v>5</v>
          </cell>
          <cell r="BL131">
            <v>2.1</v>
          </cell>
          <cell r="BM131">
            <v>2.1</v>
          </cell>
          <cell r="BN131">
            <v>2.1</v>
          </cell>
          <cell r="BO131">
            <v>2.1</v>
          </cell>
          <cell r="BP131">
            <v>2.1</v>
          </cell>
          <cell r="BQ131">
            <v>2.1</v>
          </cell>
          <cell r="BR131">
            <v>5</v>
          </cell>
          <cell r="BS131">
            <v>2</v>
          </cell>
          <cell r="BT131">
            <v>0.2</v>
          </cell>
          <cell r="BU131">
            <v>0</v>
          </cell>
          <cell r="BV131">
            <v>0</v>
          </cell>
          <cell r="BW131">
            <v>102.1</v>
          </cell>
          <cell r="BX131">
            <v>0</v>
          </cell>
          <cell r="BY131">
            <v>4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2.8</v>
          </cell>
          <cell r="CE131">
            <v>2</v>
          </cell>
          <cell r="CF131">
            <v>0</v>
          </cell>
          <cell r="CG131">
            <v>0</v>
          </cell>
          <cell r="CH131">
            <v>106.5</v>
          </cell>
          <cell r="CI131">
            <v>0</v>
          </cell>
          <cell r="CJ131">
            <v>2.8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2.8</v>
          </cell>
          <cell r="CQ131">
            <v>2</v>
          </cell>
          <cell r="CR131">
            <v>0</v>
          </cell>
          <cell r="CS131">
            <v>0</v>
          </cell>
          <cell r="CT131">
            <v>108.5</v>
          </cell>
          <cell r="CU131">
            <v>0</v>
          </cell>
          <cell r="CV131">
            <v>2.8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2.8</v>
          </cell>
          <cell r="DC131">
            <v>2</v>
          </cell>
          <cell r="DD131">
            <v>0</v>
          </cell>
          <cell r="DE131">
            <v>0</v>
          </cell>
          <cell r="DF131">
            <v>117.8</v>
          </cell>
          <cell r="DG131">
            <v>0</v>
          </cell>
          <cell r="DH131">
            <v>2.8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2.8</v>
          </cell>
          <cell r="DO131">
            <v>2</v>
          </cell>
          <cell r="DP131">
            <v>0</v>
          </cell>
          <cell r="DQ131">
            <v>0</v>
          </cell>
          <cell r="DR131">
            <v>118</v>
          </cell>
          <cell r="DS131">
            <v>0</v>
          </cell>
          <cell r="DT131">
            <v>2.8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2.8</v>
          </cell>
          <cell r="EM131">
            <v>106.70000000000003</v>
          </cell>
          <cell r="EN131">
            <v>169.29999999999995</v>
          </cell>
          <cell r="EO131">
            <v>164.49999999999997</v>
          </cell>
          <cell r="EP131">
            <v>112.09999999999997</v>
          </cell>
          <cell r="EQ131">
            <v>113.3</v>
          </cell>
          <cell r="ER131">
            <v>114.1</v>
          </cell>
          <cell r="ES131">
            <v>116.1</v>
          </cell>
        </row>
        <row r="132">
          <cell r="A132" t="str">
            <v>Misc Operating Revenues (excl Clause &amp; gr/ff)</v>
          </cell>
          <cell r="B132" t="str">
            <v>Operating Revenue</v>
          </cell>
          <cell r="D132" t="str">
            <v>Rent From Gas Property</v>
          </cell>
          <cell r="E132" t="str">
            <v>Operating Revenue</v>
          </cell>
          <cell r="F132" t="str">
            <v>4930700</v>
          </cell>
          <cell r="G132" t="str">
            <v>A_4930700</v>
          </cell>
          <cell r="H132" t="str">
            <v>Rent Revenue - Intercompany</v>
          </cell>
          <cell r="J132">
            <v>23.6</v>
          </cell>
          <cell r="K132">
            <v>23.6</v>
          </cell>
          <cell r="L132">
            <v>23.6</v>
          </cell>
          <cell r="M132">
            <v>23.6</v>
          </cell>
          <cell r="N132">
            <v>23.6</v>
          </cell>
          <cell r="O132">
            <v>23.6</v>
          </cell>
          <cell r="P132">
            <v>23.6</v>
          </cell>
          <cell r="Q132">
            <v>23.6</v>
          </cell>
          <cell r="R132">
            <v>23.6</v>
          </cell>
          <cell r="S132">
            <v>23.6</v>
          </cell>
          <cell r="T132">
            <v>23.6</v>
          </cell>
          <cell r="U132">
            <v>23.6</v>
          </cell>
          <cell r="V132">
            <v>23.6</v>
          </cell>
          <cell r="W132">
            <v>23.6</v>
          </cell>
          <cell r="X132">
            <v>23.6</v>
          </cell>
          <cell r="Y132">
            <v>23.6</v>
          </cell>
          <cell r="Z132">
            <v>23.6</v>
          </cell>
          <cell r="AA132">
            <v>23.6</v>
          </cell>
          <cell r="AB132">
            <v>23.6</v>
          </cell>
          <cell r="AC132">
            <v>23.6</v>
          </cell>
          <cell r="AD132">
            <v>17.5</v>
          </cell>
          <cell r="AE132">
            <v>17.5</v>
          </cell>
          <cell r="AF132">
            <v>17.5</v>
          </cell>
          <cell r="AG132">
            <v>17.5</v>
          </cell>
          <cell r="AH132">
            <v>17.5</v>
          </cell>
          <cell r="AI132">
            <v>17.5</v>
          </cell>
          <cell r="AJ132">
            <v>17.5</v>
          </cell>
          <cell r="AK132">
            <v>17.5</v>
          </cell>
          <cell r="AL132">
            <v>17.5</v>
          </cell>
          <cell r="AM132">
            <v>17.5</v>
          </cell>
          <cell r="AN132">
            <v>17.5</v>
          </cell>
          <cell r="AO132">
            <v>17.5</v>
          </cell>
          <cell r="AP132">
            <v>17.5</v>
          </cell>
          <cell r="AQ132">
            <v>17.5</v>
          </cell>
          <cell r="AR132">
            <v>17.5</v>
          </cell>
          <cell r="AS132">
            <v>17.5</v>
          </cell>
          <cell r="AT132">
            <v>17.5</v>
          </cell>
          <cell r="AU132">
            <v>17.5</v>
          </cell>
          <cell r="AV132">
            <v>17.5</v>
          </cell>
          <cell r="AW132">
            <v>17.5</v>
          </cell>
          <cell r="AX132">
            <v>17.5</v>
          </cell>
          <cell r="AY132">
            <v>17.5</v>
          </cell>
          <cell r="AZ132">
            <v>17.5</v>
          </cell>
          <cell r="BA132">
            <v>17.5</v>
          </cell>
          <cell r="BB132">
            <v>17.5</v>
          </cell>
          <cell r="BC132">
            <v>17.5</v>
          </cell>
          <cell r="BD132">
            <v>17.5</v>
          </cell>
          <cell r="BE132">
            <v>17.5</v>
          </cell>
          <cell r="BF132">
            <v>17.5</v>
          </cell>
          <cell r="BG132">
            <v>17.5</v>
          </cell>
          <cell r="BH132">
            <v>17.5</v>
          </cell>
          <cell r="BI132">
            <v>17.5</v>
          </cell>
          <cell r="BJ132">
            <v>17.5</v>
          </cell>
          <cell r="BK132">
            <v>17.5</v>
          </cell>
          <cell r="BL132">
            <v>17.5</v>
          </cell>
          <cell r="BM132">
            <v>17.5</v>
          </cell>
          <cell r="BN132">
            <v>17.5</v>
          </cell>
          <cell r="BO132">
            <v>17.5</v>
          </cell>
          <cell r="BP132">
            <v>17.5</v>
          </cell>
          <cell r="BQ132">
            <v>17.5</v>
          </cell>
          <cell r="BR132">
            <v>7.7</v>
          </cell>
          <cell r="BS132">
            <v>7.7</v>
          </cell>
          <cell r="BT132">
            <v>7.7</v>
          </cell>
          <cell r="BU132">
            <v>7.7</v>
          </cell>
          <cell r="BV132">
            <v>7.7</v>
          </cell>
          <cell r="BW132">
            <v>7.7</v>
          </cell>
          <cell r="BX132">
            <v>7.7</v>
          </cell>
          <cell r="BY132">
            <v>7.7</v>
          </cell>
          <cell r="BZ132">
            <v>7.7</v>
          </cell>
          <cell r="CA132">
            <v>7.7</v>
          </cell>
          <cell r="CB132">
            <v>7.7</v>
          </cell>
          <cell r="CC132">
            <v>7.7</v>
          </cell>
          <cell r="CD132">
            <v>7.7</v>
          </cell>
          <cell r="CE132">
            <v>7.7</v>
          </cell>
          <cell r="CF132">
            <v>7.7</v>
          </cell>
          <cell r="CG132">
            <v>7.7</v>
          </cell>
          <cell r="CH132">
            <v>7.7</v>
          </cell>
          <cell r="CI132">
            <v>7.7</v>
          </cell>
          <cell r="CJ132">
            <v>7.7</v>
          </cell>
          <cell r="CK132">
            <v>7.7</v>
          </cell>
          <cell r="CL132">
            <v>7.7</v>
          </cell>
          <cell r="CM132">
            <v>7.7</v>
          </cell>
          <cell r="CN132">
            <v>7.7</v>
          </cell>
          <cell r="CO132">
            <v>7.7</v>
          </cell>
          <cell r="CP132">
            <v>7.7</v>
          </cell>
          <cell r="CQ132">
            <v>7.7</v>
          </cell>
          <cell r="CR132">
            <v>7.7</v>
          </cell>
          <cell r="CS132">
            <v>7.7</v>
          </cell>
          <cell r="CT132">
            <v>7.7</v>
          </cell>
          <cell r="CU132">
            <v>7.7</v>
          </cell>
          <cell r="CV132">
            <v>7.7</v>
          </cell>
          <cell r="CW132">
            <v>7.7</v>
          </cell>
          <cell r="CX132">
            <v>7.7</v>
          </cell>
          <cell r="CY132">
            <v>7.7</v>
          </cell>
          <cell r="CZ132">
            <v>7.7</v>
          </cell>
          <cell r="DA132">
            <v>7.7</v>
          </cell>
          <cell r="DB132">
            <v>7.7</v>
          </cell>
          <cell r="DC132">
            <v>7.7</v>
          </cell>
          <cell r="DD132">
            <v>7.7</v>
          </cell>
          <cell r="DE132">
            <v>7.7</v>
          </cell>
          <cell r="DF132">
            <v>7.7</v>
          </cell>
          <cell r="DG132">
            <v>7.7</v>
          </cell>
          <cell r="DH132">
            <v>7.7</v>
          </cell>
          <cell r="DI132">
            <v>7.7</v>
          </cell>
          <cell r="DJ132">
            <v>7.7</v>
          </cell>
          <cell r="DK132">
            <v>7.7</v>
          </cell>
          <cell r="DL132">
            <v>7.7</v>
          </cell>
          <cell r="DM132">
            <v>7.7</v>
          </cell>
          <cell r="DN132">
            <v>7.7</v>
          </cell>
          <cell r="DO132">
            <v>7.7</v>
          </cell>
          <cell r="DP132">
            <v>7.7</v>
          </cell>
          <cell r="DQ132">
            <v>7.7</v>
          </cell>
          <cell r="DR132">
            <v>7.7</v>
          </cell>
          <cell r="DS132">
            <v>7.7</v>
          </cell>
          <cell r="DT132">
            <v>7.7</v>
          </cell>
          <cell r="DU132">
            <v>7.7</v>
          </cell>
          <cell r="DV132">
            <v>7.7</v>
          </cell>
          <cell r="DW132">
            <v>7.7</v>
          </cell>
          <cell r="DX132">
            <v>7.7</v>
          </cell>
          <cell r="DY132">
            <v>7.7</v>
          </cell>
          <cell r="EM132">
            <v>258.79999999999995</v>
          </cell>
          <cell r="EN132">
            <v>210</v>
          </cell>
          <cell r="EO132">
            <v>210</v>
          </cell>
          <cell r="EP132">
            <v>210</v>
          </cell>
          <cell r="EQ132">
            <v>92.40000000000002</v>
          </cell>
          <cell r="ER132">
            <v>92.40000000000002</v>
          </cell>
          <cell r="ES132">
            <v>92.40000000000002</v>
          </cell>
        </row>
        <row r="133">
          <cell r="F133" t="str">
            <v>493</v>
          </cell>
          <cell r="G133">
            <v>493</v>
          </cell>
          <cell r="J133">
            <v>28.900000000000002</v>
          </cell>
          <cell r="K133">
            <v>27.900000000000002</v>
          </cell>
          <cell r="L133">
            <v>25.900000000000002</v>
          </cell>
          <cell r="M133">
            <v>100.6</v>
          </cell>
          <cell r="N133">
            <v>25.900000000000002</v>
          </cell>
          <cell r="O133">
            <v>25.900000000000002</v>
          </cell>
          <cell r="P133">
            <v>28.900000000000002</v>
          </cell>
          <cell r="Q133">
            <v>25.900000000000002</v>
          </cell>
          <cell r="R133">
            <v>25.900000000000002</v>
          </cell>
          <cell r="S133">
            <v>25.900000000000002</v>
          </cell>
          <cell r="T133">
            <v>25.900000000000002</v>
          </cell>
          <cell r="U133">
            <v>28.900000000000002</v>
          </cell>
          <cell r="V133">
            <v>26.200000000000003</v>
          </cell>
          <cell r="W133">
            <v>28</v>
          </cell>
          <cell r="X133">
            <v>26</v>
          </cell>
          <cell r="Y133">
            <v>25.900000000000002</v>
          </cell>
          <cell r="Z133">
            <v>99.800000000000011</v>
          </cell>
          <cell r="AA133">
            <v>29</v>
          </cell>
          <cell r="AB133">
            <v>26</v>
          </cell>
          <cell r="AC133">
            <v>25.8</v>
          </cell>
          <cell r="AD133">
            <v>19.7</v>
          </cell>
          <cell r="AE133">
            <v>19.7</v>
          </cell>
          <cell r="AF133">
            <v>19.7</v>
          </cell>
          <cell r="AG133">
            <v>19.7</v>
          </cell>
          <cell r="AH133">
            <v>22.5</v>
          </cell>
          <cell r="AI133">
            <v>19.7</v>
          </cell>
          <cell r="AJ133">
            <v>19.7</v>
          </cell>
          <cell r="AK133">
            <v>28.1</v>
          </cell>
          <cell r="AL133">
            <v>103.8</v>
          </cell>
          <cell r="AM133">
            <v>19.7</v>
          </cell>
          <cell r="AN133">
            <v>29.5</v>
          </cell>
          <cell r="AO133">
            <v>26.7</v>
          </cell>
          <cell r="AP133">
            <v>26.7</v>
          </cell>
          <cell r="AQ133">
            <v>26.7</v>
          </cell>
          <cell r="AR133">
            <v>29.5</v>
          </cell>
          <cell r="AS133">
            <v>26.7</v>
          </cell>
          <cell r="AT133">
            <v>27.9</v>
          </cell>
          <cell r="AU133">
            <v>28.7</v>
          </cell>
          <cell r="AV133">
            <v>30.6</v>
          </cell>
          <cell r="AW133">
            <v>26.7</v>
          </cell>
          <cell r="AX133">
            <v>110.5</v>
          </cell>
          <cell r="AY133">
            <v>26.7</v>
          </cell>
          <cell r="AZ133">
            <v>22.5</v>
          </cell>
          <cell r="BA133">
            <v>19.600000000000001</v>
          </cell>
          <cell r="BB133">
            <v>19.600000000000001</v>
          </cell>
          <cell r="BC133">
            <v>19.600000000000001</v>
          </cell>
          <cell r="BD133">
            <v>22.5</v>
          </cell>
          <cell r="BE133">
            <v>19.600000000000001</v>
          </cell>
          <cell r="BF133">
            <v>19.600000000000001</v>
          </cell>
          <cell r="BG133">
            <v>19.600000000000001</v>
          </cell>
          <cell r="BH133">
            <v>20</v>
          </cell>
          <cell r="BI133">
            <v>19.600000000000001</v>
          </cell>
          <cell r="BJ133">
            <v>103.2</v>
          </cell>
          <cell r="BK133">
            <v>22.5</v>
          </cell>
          <cell r="BL133">
            <v>19.600000000000001</v>
          </cell>
          <cell r="BM133">
            <v>19.600000000000001</v>
          </cell>
          <cell r="BN133">
            <v>19.600000000000001</v>
          </cell>
          <cell r="BO133">
            <v>19.600000000000001</v>
          </cell>
          <cell r="BP133">
            <v>19.600000000000001</v>
          </cell>
          <cell r="BQ133">
            <v>19.600000000000001</v>
          </cell>
          <cell r="BR133">
            <v>12.7</v>
          </cell>
          <cell r="BS133">
            <v>9.6999999999999993</v>
          </cell>
          <cell r="BT133">
            <v>7.9</v>
          </cell>
          <cell r="BU133">
            <v>7.7</v>
          </cell>
          <cell r="BV133">
            <v>7.7</v>
          </cell>
          <cell r="BW133">
            <v>109.8</v>
          </cell>
          <cell r="BX133">
            <v>7.7</v>
          </cell>
          <cell r="BY133">
            <v>11.7</v>
          </cell>
          <cell r="BZ133">
            <v>7.7</v>
          </cell>
          <cell r="CA133">
            <v>7.7</v>
          </cell>
          <cell r="CB133">
            <v>7.7</v>
          </cell>
          <cell r="CC133">
            <v>7.7</v>
          </cell>
          <cell r="CD133">
            <v>10.5</v>
          </cell>
          <cell r="CE133">
            <v>9.6999999999999993</v>
          </cell>
          <cell r="CF133">
            <v>7.7</v>
          </cell>
          <cell r="CG133">
            <v>7.7</v>
          </cell>
          <cell r="CH133">
            <v>114.2</v>
          </cell>
          <cell r="CI133">
            <v>7.7</v>
          </cell>
          <cell r="CJ133">
            <v>10.5</v>
          </cell>
          <cell r="CK133">
            <v>7.7</v>
          </cell>
          <cell r="CL133">
            <v>7.7</v>
          </cell>
          <cell r="CM133">
            <v>7.7</v>
          </cell>
          <cell r="CN133">
            <v>7.7</v>
          </cell>
          <cell r="CO133">
            <v>7.7</v>
          </cell>
          <cell r="CP133">
            <v>10.5</v>
          </cell>
          <cell r="CQ133">
            <v>9.6999999999999993</v>
          </cell>
          <cell r="CR133">
            <v>7.7</v>
          </cell>
          <cell r="CS133">
            <v>7.7</v>
          </cell>
          <cell r="CT133">
            <v>116.2</v>
          </cell>
          <cell r="CU133">
            <v>7.7</v>
          </cell>
          <cell r="CV133">
            <v>10.5</v>
          </cell>
          <cell r="CW133">
            <v>7.7</v>
          </cell>
          <cell r="CX133">
            <v>7.7</v>
          </cell>
          <cell r="CY133">
            <v>7.7</v>
          </cell>
          <cell r="CZ133">
            <v>7.7</v>
          </cell>
          <cell r="DA133">
            <v>7.7</v>
          </cell>
          <cell r="DB133">
            <v>10.5</v>
          </cell>
          <cell r="DC133">
            <v>9.6999999999999993</v>
          </cell>
          <cell r="DD133">
            <v>7.7</v>
          </cell>
          <cell r="DE133">
            <v>7.7</v>
          </cell>
          <cell r="DF133">
            <v>125.5</v>
          </cell>
          <cell r="DG133">
            <v>7.7</v>
          </cell>
          <cell r="DH133">
            <v>10.5</v>
          </cell>
          <cell r="DI133">
            <v>7.7</v>
          </cell>
          <cell r="DJ133">
            <v>7.7</v>
          </cell>
          <cell r="DK133">
            <v>7.7</v>
          </cell>
          <cell r="DL133">
            <v>7.7</v>
          </cell>
          <cell r="DM133">
            <v>7.7</v>
          </cell>
          <cell r="DN133">
            <v>10.5</v>
          </cell>
          <cell r="DO133">
            <v>9.6999999999999993</v>
          </cell>
          <cell r="DP133">
            <v>7.7</v>
          </cell>
          <cell r="DQ133">
            <v>7.7</v>
          </cell>
          <cell r="DR133">
            <v>125.7</v>
          </cell>
          <cell r="DS133">
            <v>7.7</v>
          </cell>
          <cell r="DT133">
            <v>10.5</v>
          </cell>
          <cell r="DU133">
            <v>7.7</v>
          </cell>
          <cell r="DV133">
            <v>7.7</v>
          </cell>
          <cell r="DW133">
            <v>7.7</v>
          </cell>
          <cell r="DX133">
            <v>7.7</v>
          </cell>
          <cell r="DY133">
            <v>10.5</v>
          </cell>
          <cell r="EM133">
            <v>365.5</v>
          </cell>
          <cell r="EN133">
            <v>379.29999999999995</v>
          </cell>
          <cell r="EO133">
            <v>374.50000000000006</v>
          </cell>
          <cell r="EP133">
            <v>322.10000000000008</v>
          </cell>
          <cell r="EQ133">
            <v>205.69999999999993</v>
          </cell>
          <cell r="ER133">
            <v>206.49999999999994</v>
          </cell>
          <cell r="ES133">
            <v>208.49999999999994</v>
          </cell>
        </row>
        <row r="134">
          <cell r="A134" t="str">
            <v>Misc Operating Revenues (excl Clause &amp; gr/ff)</v>
          </cell>
          <cell r="B134" t="str">
            <v>Operating Revenue</v>
          </cell>
          <cell r="E134" t="str">
            <v>Operating Revenue</v>
          </cell>
          <cell r="F134" t="str">
            <v>4940000</v>
          </cell>
          <cell r="G134" t="str">
            <v>A_4940000</v>
          </cell>
          <cell r="H134" t="str">
            <v>Interdepartmental Rents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</row>
        <row r="135">
          <cell r="F135" t="str">
            <v>494</v>
          </cell>
          <cell r="G135">
            <v>494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</row>
        <row r="136">
          <cell r="A136" t="str">
            <v>Other Operating Income / (Expense) Items</v>
          </cell>
          <cell r="B136" t="str">
            <v>Operating Revenue</v>
          </cell>
          <cell r="D136" t="str">
            <v>Other Operating Revenues - Energy Conservation</v>
          </cell>
          <cell r="E136" t="str">
            <v>Operating Revenue</v>
          </cell>
          <cell r="F136" t="str">
            <v>4950203</v>
          </cell>
          <cell r="G136" t="str">
            <v>A_4950203</v>
          </cell>
          <cell r="H136" t="str">
            <v>Other Revenues - Energy Conservation</v>
          </cell>
          <cell r="J136">
            <v>1549.3</v>
          </cell>
          <cell r="K136">
            <v>1623.3</v>
          </cell>
          <cell r="L136">
            <v>1335.2</v>
          </cell>
          <cell r="M136">
            <v>1188.7</v>
          </cell>
          <cell r="N136">
            <v>976.8</v>
          </cell>
          <cell r="O136">
            <v>932.8</v>
          </cell>
          <cell r="P136">
            <v>847.5</v>
          </cell>
          <cell r="Q136">
            <v>775.1</v>
          </cell>
          <cell r="R136">
            <v>831.4</v>
          </cell>
          <cell r="S136">
            <v>869.6</v>
          </cell>
          <cell r="T136">
            <v>995.8</v>
          </cell>
          <cell r="U136">
            <v>1315.2</v>
          </cell>
          <cell r="V136">
            <v>1664.2</v>
          </cell>
          <cell r="W136">
            <v>1725.8</v>
          </cell>
          <cell r="X136">
            <v>1673.3</v>
          </cell>
          <cell r="Y136">
            <v>1229.0999999999999</v>
          </cell>
          <cell r="Z136">
            <v>975.7</v>
          </cell>
          <cell r="AA136">
            <v>1002.2</v>
          </cell>
          <cell r="AB136">
            <v>912.7</v>
          </cell>
          <cell r="AC136">
            <v>928.1</v>
          </cell>
          <cell r="AD136">
            <v>891.2</v>
          </cell>
          <cell r="AE136">
            <v>927.2</v>
          </cell>
          <cell r="AF136">
            <v>1021.8</v>
          </cell>
          <cell r="AG136">
            <v>1208.5999999999999</v>
          </cell>
          <cell r="AH136">
            <v>1198.3</v>
          </cell>
          <cell r="AI136">
            <v>1351.3</v>
          </cell>
          <cell r="AJ136">
            <v>1165.9000000000001</v>
          </cell>
          <cell r="AK136">
            <v>994.6</v>
          </cell>
          <cell r="AL136">
            <v>867.7</v>
          </cell>
          <cell r="AM136">
            <v>775.6</v>
          </cell>
          <cell r="AN136">
            <v>723.1</v>
          </cell>
          <cell r="AO136">
            <v>667.7</v>
          </cell>
          <cell r="AP136">
            <v>709.2</v>
          </cell>
          <cell r="AQ136">
            <v>711.4</v>
          </cell>
          <cell r="AR136">
            <v>835.8</v>
          </cell>
          <cell r="AS136">
            <v>1011.7</v>
          </cell>
          <cell r="AT136">
            <v>1348</v>
          </cell>
          <cell r="AU136">
            <v>1266.4000000000001</v>
          </cell>
          <cell r="AV136">
            <v>1184.7</v>
          </cell>
          <cell r="AW136">
            <v>1151.2</v>
          </cell>
          <cell r="AX136">
            <v>1006.1</v>
          </cell>
          <cell r="AY136">
            <v>878</v>
          </cell>
          <cell r="AZ136">
            <v>808.5</v>
          </cell>
          <cell r="BA136">
            <v>781.2</v>
          </cell>
          <cell r="BB136">
            <v>870.7</v>
          </cell>
          <cell r="BC136">
            <v>784.1</v>
          </cell>
          <cell r="BD136">
            <v>963.1</v>
          </cell>
          <cell r="BE136">
            <v>1194.5999999999999</v>
          </cell>
          <cell r="BF136">
            <v>2221.5</v>
          </cell>
          <cell r="BG136">
            <v>1945.5</v>
          </cell>
          <cell r="BH136">
            <v>1555.6</v>
          </cell>
          <cell r="BI136">
            <v>1615.3</v>
          </cell>
          <cell r="BJ136">
            <v>1279.3</v>
          </cell>
          <cell r="BK136">
            <v>1206</v>
          </cell>
          <cell r="BL136">
            <v>1074.5</v>
          </cell>
          <cell r="BM136">
            <v>1025.7</v>
          </cell>
          <cell r="BN136">
            <v>1124.5</v>
          </cell>
          <cell r="BO136">
            <v>1038.0999999999999</v>
          </cell>
          <cell r="BP136">
            <v>1156.7</v>
          </cell>
          <cell r="BQ136">
            <v>1592.8</v>
          </cell>
          <cell r="BR136">
            <v>2089.6</v>
          </cell>
          <cell r="BS136">
            <v>2114.6999999999998</v>
          </cell>
          <cell r="BT136">
            <v>1727.1</v>
          </cell>
          <cell r="BU136">
            <v>1613</v>
          </cell>
          <cell r="BV136">
            <v>1426.9</v>
          </cell>
          <cell r="BW136">
            <v>1214</v>
          </cell>
          <cell r="BX136">
            <v>1145.2</v>
          </cell>
          <cell r="BY136">
            <v>1126</v>
          </cell>
          <cell r="BZ136">
            <v>1157.0999999999999</v>
          </cell>
          <cell r="CA136">
            <v>1157.4000000000001</v>
          </cell>
          <cell r="CB136">
            <v>1310.4000000000001</v>
          </cell>
          <cell r="CC136">
            <v>1821.3</v>
          </cell>
          <cell r="CD136">
            <v>2104.8000000000002</v>
          </cell>
          <cell r="CE136">
            <v>2074.1999999999998</v>
          </cell>
          <cell r="CF136">
            <v>1925.9</v>
          </cell>
          <cell r="CG136">
            <v>1475.8</v>
          </cell>
          <cell r="CH136">
            <v>1319.8</v>
          </cell>
          <cell r="CI136">
            <v>1290.8</v>
          </cell>
          <cell r="CJ136">
            <v>1160.9000000000001</v>
          </cell>
          <cell r="CK136">
            <v>1139.8</v>
          </cell>
          <cell r="CL136">
            <v>1129.0999999999999</v>
          </cell>
          <cell r="CM136">
            <v>1206.7</v>
          </cell>
          <cell r="CN136">
            <v>1403.8</v>
          </cell>
          <cell r="CO136">
            <v>1842.8</v>
          </cell>
          <cell r="CP136">
            <v>2271.1</v>
          </cell>
          <cell r="CQ136">
            <v>2037.7</v>
          </cell>
          <cell r="CR136">
            <v>1735.3</v>
          </cell>
          <cell r="CS136">
            <v>1729</v>
          </cell>
          <cell r="CT136">
            <v>1389.6</v>
          </cell>
          <cell r="CU136">
            <v>1277.4000000000001</v>
          </cell>
          <cell r="CV136">
            <v>1220</v>
          </cell>
          <cell r="CW136">
            <v>1116.5999999999999</v>
          </cell>
          <cell r="CX136">
            <v>1182</v>
          </cell>
          <cell r="CY136">
            <v>1158.4000000000001</v>
          </cell>
          <cell r="CZ136">
            <v>1356.9</v>
          </cell>
          <cell r="DA136">
            <v>1807.6</v>
          </cell>
          <cell r="DB136">
            <v>2748.9</v>
          </cell>
          <cell r="DC136">
            <v>3060.1</v>
          </cell>
          <cell r="DD136">
            <v>2532.9</v>
          </cell>
          <cell r="DE136">
            <v>2248.8000000000002</v>
          </cell>
          <cell r="DF136">
            <v>2029.1</v>
          </cell>
          <cell r="DG136">
            <v>1735.4</v>
          </cell>
          <cell r="DH136">
            <v>1562.3</v>
          </cell>
          <cell r="DI136">
            <v>1508.2</v>
          </cell>
          <cell r="DJ136">
            <v>1565.7</v>
          </cell>
          <cell r="DK136">
            <v>1770.1</v>
          </cell>
          <cell r="DL136">
            <v>1881.5</v>
          </cell>
          <cell r="DM136">
            <v>2292.1</v>
          </cell>
          <cell r="DN136">
            <v>2278.1999999999998</v>
          </cell>
          <cell r="DO136">
            <v>2044</v>
          </cell>
          <cell r="DP136">
            <v>1740.6</v>
          </cell>
          <cell r="DQ136">
            <v>1734.3</v>
          </cell>
          <cell r="DR136">
            <v>1393.9</v>
          </cell>
          <cell r="DS136">
            <v>1281.4000000000001</v>
          </cell>
          <cell r="DT136">
            <v>1223.8</v>
          </cell>
          <cell r="DU136">
            <v>1120.0999999999999</v>
          </cell>
          <cell r="DV136">
            <v>1185.7</v>
          </cell>
          <cell r="DW136">
            <v>1162</v>
          </cell>
          <cell r="DX136">
            <v>1361.1</v>
          </cell>
          <cell r="DY136">
            <v>1813.2</v>
          </cell>
          <cell r="EM136">
            <v>14159.900000000001</v>
          </cell>
          <cell r="EN136">
            <v>11012.300000000001</v>
          </cell>
          <cell r="EO136">
            <v>12236.600000000002</v>
          </cell>
          <cell r="EP136">
            <v>16835.500000000004</v>
          </cell>
          <cell r="EQ136">
            <v>17902.7</v>
          </cell>
          <cell r="ER136">
            <v>18074.399999999998</v>
          </cell>
          <cell r="ES136">
            <v>18281.599999999999</v>
          </cell>
        </row>
        <row r="137">
          <cell r="A137" t="str">
            <v>Other Operating Income / (Expense) Items</v>
          </cell>
          <cell r="B137" t="str">
            <v>Operating Revenue</v>
          </cell>
          <cell r="D137" t="str">
            <v>Other Operating Revenues - Franchise Fees</v>
          </cell>
          <cell r="E137" t="str">
            <v>Operating Revenue</v>
          </cell>
          <cell r="F137" t="str">
            <v>4950205</v>
          </cell>
          <cell r="G137" t="str">
            <v>A_4950205</v>
          </cell>
          <cell r="H137" t="str">
            <v>Other Revenues - Franchise Fees</v>
          </cell>
          <cell r="J137">
            <v>962.5</v>
          </cell>
          <cell r="K137">
            <v>970.8</v>
          </cell>
          <cell r="L137">
            <v>818.1</v>
          </cell>
          <cell r="M137">
            <v>765.8</v>
          </cell>
          <cell r="N137">
            <v>634.70000000000005</v>
          </cell>
          <cell r="O137">
            <v>659.7</v>
          </cell>
          <cell r="P137">
            <v>611.4</v>
          </cell>
          <cell r="Q137">
            <v>579.4</v>
          </cell>
          <cell r="R137">
            <v>612.4</v>
          </cell>
          <cell r="S137">
            <v>613.6</v>
          </cell>
          <cell r="T137">
            <v>654.5</v>
          </cell>
          <cell r="U137">
            <v>821.4</v>
          </cell>
          <cell r="V137">
            <v>921.6</v>
          </cell>
          <cell r="W137">
            <v>930.7</v>
          </cell>
          <cell r="X137">
            <v>876.7</v>
          </cell>
          <cell r="Y137">
            <v>716.7</v>
          </cell>
          <cell r="Z137">
            <v>628.79999999999995</v>
          </cell>
          <cell r="AA137">
            <v>659.7</v>
          </cell>
          <cell r="AB137">
            <v>731.9</v>
          </cell>
          <cell r="AC137">
            <v>555.6</v>
          </cell>
          <cell r="AD137">
            <v>659.4</v>
          </cell>
          <cell r="AE137">
            <v>663.2</v>
          </cell>
          <cell r="AF137">
            <v>711.1</v>
          </cell>
          <cell r="AG137">
            <v>786.4</v>
          </cell>
          <cell r="AH137">
            <v>944.7</v>
          </cell>
          <cell r="AI137">
            <v>1061.7</v>
          </cell>
          <cell r="AJ137">
            <v>933</v>
          </cell>
          <cell r="AK137">
            <v>853.2</v>
          </cell>
          <cell r="AL137">
            <v>771.5</v>
          </cell>
          <cell r="AM137">
            <v>715.5</v>
          </cell>
          <cell r="AN137">
            <v>671</v>
          </cell>
          <cell r="AO137">
            <v>666.3</v>
          </cell>
          <cell r="AP137">
            <v>666.3</v>
          </cell>
          <cell r="AQ137">
            <v>663</v>
          </cell>
          <cell r="AR137">
            <v>721.2</v>
          </cell>
          <cell r="AS137">
            <v>827.9</v>
          </cell>
          <cell r="AT137">
            <v>913</v>
          </cell>
          <cell r="AU137">
            <v>878.3</v>
          </cell>
          <cell r="AV137">
            <v>848.1</v>
          </cell>
          <cell r="AW137">
            <v>830.1</v>
          </cell>
          <cell r="AX137">
            <v>750.3</v>
          </cell>
          <cell r="AY137">
            <v>711.5</v>
          </cell>
          <cell r="AZ137">
            <v>668</v>
          </cell>
          <cell r="BA137">
            <v>675.1</v>
          </cell>
          <cell r="BB137">
            <v>699.8</v>
          </cell>
          <cell r="BC137">
            <v>730.2</v>
          </cell>
          <cell r="BD137">
            <v>791.7</v>
          </cell>
          <cell r="BE137">
            <v>901.7</v>
          </cell>
          <cell r="BF137">
            <v>1210.5</v>
          </cell>
          <cell r="BG137">
            <v>1081.9000000000001</v>
          </cell>
          <cell r="BH137">
            <v>950.9</v>
          </cell>
          <cell r="BI137">
            <v>946.3</v>
          </cell>
          <cell r="BJ137">
            <v>859.5</v>
          </cell>
          <cell r="BK137">
            <v>820.5</v>
          </cell>
          <cell r="BL137">
            <v>755.2</v>
          </cell>
          <cell r="BM137">
            <v>735.7</v>
          </cell>
          <cell r="BN137">
            <v>780.6</v>
          </cell>
          <cell r="BO137">
            <v>724.6</v>
          </cell>
          <cell r="BP137">
            <v>778</v>
          </cell>
          <cell r="BQ137">
            <v>949.9</v>
          </cell>
          <cell r="BR137">
            <v>1077.5</v>
          </cell>
          <cell r="BS137">
            <v>1049.7</v>
          </cell>
          <cell r="BT137">
            <v>976.4</v>
          </cell>
          <cell r="BU137">
            <v>944.4</v>
          </cell>
          <cell r="BV137">
            <v>814.9</v>
          </cell>
          <cell r="BW137">
            <v>782.2</v>
          </cell>
          <cell r="BX137">
            <v>760.4</v>
          </cell>
          <cell r="BY137">
            <v>726.6</v>
          </cell>
          <cell r="BZ137">
            <v>766.4</v>
          </cell>
          <cell r="CA137">
            <v>746.7</v>
          </cell>
          <cell r="CB137">
            <v>829.6</v>
          </cell>
          <cell r="CC137">
            <v>1001</v>
          </cell>
          <cell r="CD137">
            <v>1107.9000000000001</v>
          </cell>
          <cell r="CE137">
            <v>1064.8</v>
          </cell>
          <cell r="CF137">
            <v>1000.8</v>
          </cell>
          <cell r="CG137">
            <v>862</v>
          </cell>
          <cell r="CH137">
            <v>761.2</v>
          </cell>
          <cell r="CI137">
            <v>707.2</v>
          </cell>
          <cell r="CJ137">
            <v>739.8</v>
          </cell>
          <cell r="CK137">
            <v>732.4</v>
          </cell>
          <cell r="CL137">
            <v>719.5</v>
          </cell>
          <cell r="CM137">
            <v>759.2</v>
          </cell>
          <cell r="CN137">
            <v>852.8</v>
          </cell>
          <cell r="CO137">
            <v>986.4</v>
          </cell>
          <cell r="CP137">
            <v>1347.9</v>
          </cell>
          <cell r="CQ137">
            <v>1255.5999999999999</v>
          </cell>
          <cell r="CR137">
            <v>1176.5999999999999</v>
          </cell>
          <cell r="CS137">
            <v>1182.7</v>
          </cell>
          <cell r="CT137">
            <v>1055.0999999999999</v>
          </cell>
          <cell r="CU137">
            <v>994.6</v>
          </cell>
          <cell r="CV137">
            <v>997.3</v>
          </cell>
          <cell r="CW137">
            <v>928.1</v>
          </cell>
          <cell r="CX137">
            <v>980.2</v>
          </cell>
          <cell r="CY137">
            <v>932</v>
          </cell>
          <cell r="CZ137">
            <v>1052.8</v>
          </cell>
          <cell r="DA137">
            <v>1274.5999999999999</v>
          </cell>
          <cell r="DB137">
            <v>1448.9</v>
          </cell>
          <cell r="DC137">
            <v>1529.6</v>
          </cell>
          <cell r="DD137">
            <v>1370.4</v>
          </cell>
          <cell r="DE137">
            <v>1259.5</v>
          </cell>
          <cell r="DF137">
            <v>1191.5999999999999</v>
          </cell>
          <cell r="DG137">
            <v>1091.4000000000001</v>
          </cell>
          <cell r="DH137">
            <v>1018.2</v>
          </cell>
          <cell r="DI137">
            <v>1130.5999999999999</v>
          </cell>
          <cell r="DJ137">
            <v>1166.9000000000001</v>
          </cell>
          <cell r="DK137">
            <v>1226.0999999999999</v>
          </cell>
          <cell r="DL137">
            <v>1127.3</v>
          </cell>
          <cell r="DM137">
            <v>1254.3</v>
          </cell>
          <cell r="DN137">
            <v>1521.4</v>
          </cell>
          <cell r="DO137">
            <v>1606</v>
          </cell>
          <cell r="DP137">
            <v>1438.9</v>
          </cell>
          <cell r="DQ137">
            <v>1322.5</v>
          </cell>
          <cell r="DR137">
            <v>1251.2</v>
          </cell>
          <cell r="DS137">
            <v>1146</v>
          </cell>
          <cell r="DT137">
            <v>1069.0999999999999</v>
          </cell>
          <cell r="DU137">
            <v>1079.8</v>
          </cell>
          <cell r="DV137">
            <v>1090.5999999999999</v>
          </cell>
          <cell r="DW137">
            <v>1199.7</v>
          </cell>
          <cell r="DX137">
            <v>1319.6</v>
          </cell>
          <cell r="DY137">
            <v>1517.6</v>
          </cell>
          <cell r="EM137">
            <v>8841.7999999999993</v>
          </cell>
          <cell r="EN137">
            <v>9495.3000000000011</v>
          </cell>
          <cell r="EO137">
            <v>9397.8000000000011</v>
          </cell>
          <cell r="EP137">
            <v>10593.6</v>
          </cell>
          <cell r="EQ137">
            <v>10475.799999999999</v>
          </cell>
          <cell r="ER137">
            <v>10293.999999999998</v>
          </cell>
          <cell r="ES137">
            <v>13177.5</v>
          </cell>
        </row>
        <row r="138">
          <cell r="A138" t="str">
            <v>Other Operating Income / (Expense) Items</v>
          </cell>
          <cell r="B138" t="str">
            <v>Operating Revenue</v>
          </cell>
          <cell r="D138" t="str">
            <v>Other Operating Revenues - Gross Receipts</v>
          </cell>
          <cell r="E138" t="str">
            <v>Operating Revenue</v>
          </cell>
          <cell r="F138" t="str">
            <v>4950206</v>
          </cell>
          <cell r="G138" t="str">
            <v>A_4950206</v>
          </cell>
          <cell r="H138" t="str">
            <v>Other Revenues - Gross Receipts</v>
          </cell>
          <cell r="J138">
            <v>1465.7</v>
          </cell>
          <cell r="K138">
            <v>1421.6</v>
          </cell>
          <cell r="L138">
            <v>1286.5999999999999</v>
          </cell>
          <cell r="M138">
            <v>1142.5999999999999</v>
          </cell>
          <cell r="N138">
            <v>973.7</v>
          </cell>
          <cell r="O138">
            <v>877.5</v>
          </cell>
          <cell r="P138">
            <v>810.8</v>
          </cell>
          <cell r="Q138">
            <v>823.6</v>
          </cell>
          <cell r="R138">
            <v>877.7</v>
          </cell>
          <cell r="S138">
            <v>906.2</v>
          </cell>
          <cell r="T138">
            <v>1020.7</v>
          </cell>
          <cell r="U138">
            <v>1299.3</v>
          </cell>
          <cell r="V138">
            <v>1442.2</v>
          </cell>
          <cell r="W138">
            <v>1486.3</v>
          </cell>
          <cell r="X138">
            <v>1457.3</v>
          </cell>
          <cell r="Y138">
            <v>1148.0999999999999</v>
          </cell>
          <cell r="Z138">
            <v>937.9</v>
          </cell>
          <cell r="AA138">
            <v>958.2</v>
          </cell>
          <cell r="AB138">
            <v>1195.5</v>
          </cell>
          <cell r="AC138">
            <v>686.3</v>
          </cell>
          <cell r="AD138">
            <v>909.6</v>
          </cell>
          <cell r="AE138">
            <v>950.7</v>
          </cell>
          <cell r="AF138">
            <v>1034.5</v>
          </cell>
          <cell r="AG138">
            <v>1206.3</v>
          </cell>
          <cell r="AH138">
            <v>1498.9</v>
          </cell>
          <cell r="AI138">
            <v>1616.9</v>
          </cell>
          <cell r="AJ138">
            <v>1429.5</v>
          </cell>
          <cell r="AK138">
            <v>1127.3</v>
          </cell>
          <cell r="AL138">
            <v>1110.0999999999999</v>
          </cell>
          <cell r="AM138">
            <v>967.5</v>
          </cell>
          <cell r="AN138">
            <v>931.9</v>
          </cell>
          <cell r="AO138">
            <v>821</v>
          </cell>
          <cell r="AP138">
            <v>915.4</v>
          </cell>
          <cell r="AQ138">
            <v>897</v>
          </cell>
          <cell r="AR138">
            <v>1056.8</v>
          </cell>
          <cell r="AS138">
            <v>1254.3</v>
          </cell>
          <cell r="AT138">
            <v>1428.8</v>
          </cell>
          <cell r="AU138">
            <v>1331.3</v>
          </cell>
          <cell r="AV138">
            <v>1304.5999999999999</v>
          </cell>
          <cell r="AW138">
            <v>1256.7</v>
          </cell>
          <cell r="AX138">
            <v>1083.3</v>
          </cell>
          <cell r="AY138">
            <v>956.4</v>
          </cell>
          <cell r="AZ138">
            <v>782</v>
          </cell>
          <cell r="BA138">
            <v>882.7</v>
          </cell>
          <cell r="BB138">
            <v>882.7</v>
          </cell>
          <cell r="BC138">
            <v>944</v>
          </cell>
          <cell r="BD138">
            <v>1056.5</v>
          </cell>
          <cell r="BE138">
            <v>1285.4000000000001</v>
          </cell>
          <cell r="BF138">
            <v>1708.2</v>
          </cell>
          <cell r="BG138">
            <v>1517.6</v>
          </cell>
          <cell r="BH138">
            <v>1285.5999999999999</v>
          </cell>
          <cell r="BI138">
            <v>1347.3</v>
          </cell>
          <cell r="BJ138">
            <v>1083.5</v>
          </cell>
          <cell r="BK138">
            <v>1040.5</v>
          </cell>
          <cell r="BL138">
            <v>901.1</v>
          </cell>
          <cell r="BM138">
            <v>843.9</v>
          </cell>
          <cell r="BN138">
            <v>993</v>
          </cell>
          <cell r="BO138">
            <v>897.7</v>
          </cell>
          <cell r="BP138">
            <v>1016.2</v>
          </cell>
          <cell r="BQ138">
            <v>1402.5</v>
          </cell>
          <cell r="BR138">
            <v>1665.9</v>
          </cell>
          <cell r="BS138">
            <v>1640.4</v>
          </cell>
          <cell r="BT138">
            <v>1434.3</v>
          </cell>
          <cell r="BU138">
            <v>1134.5</v>
          </cell>
          <cell r="BV138">
            <v>1185.3</v>
          </cell>
          <cell r="BW138">
            <v>1023.4</v>
          </cell>
          <cell r="BX138">
            <v>990.9</v>
          </cell>
          <cell r="BY138">
            <v>938.5</v>
          </cell>
          <cell r="BZ138">
            <v>959.9</v>
          </cell>
          <cell r="CA138">
            <v>942.4</v>
          </cell>
          <cell r="CB138">
            <v>1119</v>
          </cell>
          <cell r="CC138">
            <v>1513.1</v>
          </cell>
          <cell r="CD138">
            <v>1628.5</v>
          </cell>
          <cell r="CE138">
            <v>1581.3</v>
          </cell>
          <cell r="CF138">
            <v>1360.7</v>
          </cell>
          <cell r="CG138">
            <v>1067.2</v>
          </cell>
          <cell r="CH138">
            <v>959</v>
          </cell>
          <cell r="CI138">
            <v>972</v>
          </cell>
          <cell r="CJ138">
            <v>857.9</v>
          </cell>
          <cell r="CK138">
            <v>916.6</v>
          </cell>
          <cell r="CL138">
            <v>877.4</v>
          </cell>
          <cell r="CM138">
            <v>967.9</v>
          </cell>
          <cell r="CN138">
            <v>1102.4000000000001</v>
          </cell>
          <cell r="CO138">
            <v>1409.8</v>
          </cell>
          <cell r="CP138">
            <v>1837.6</v>
          </cell>
          <cell r="CQ138">
            <v>1657.7</v>
          </cell>
          <cell r="CR138">
            <v>1456.5</v>
          </cell>
          <cell r="CS138">
            <v>1436.2</v>
          </cell>
          <cell r="CT138">
            <v>1208.5999999999999</v>
          </cell>
          <cell r="CU138">
            <v>1116.5</v>
          </cell>
          <cell r="CV138">
            <v>1142.0999999999999</v>
          </cell>
          <cell r="CW138">
            <v>1017.9</v>
          </cell>
          <cell r="CX138">
            <v>1078.5</v>
          </cell>
          <cell r="CY138">
            <v>1080.7</v>
          </cell>
          <cell r="CZ138">
            <v>1242</v>
          </cell>
          <cell r="DA138">
            <v>1619.8</v>
          </cell>
          <cell r="DB138">
            <v>1747.4</v>
          </cell>
          <cell r="DC138">
            <v>1893</v>
          </cell>
          <cell r="DD138">
            <v>1640</v>
          </cell>
          <cell r="DE138">
            <v>1468.3</v>
          </cell>
          <cell r="DF138">
            <v>1331</v>
          </cell>
          <cell r="DG138">
            <v>1173.5</v>
          </cell>
          <cell r="DH138">
            <v>1072.0999999999999</v>
          </cell>
          <cell r="DI138">
            <v>1019</v>
          </cell>
          <cell r="DJ138">
            <v>1081.4000000000001</v>
          </cell>
          <cell r="DK138">
            <v>1184.9000000000001</v>
          </cell>
          <cell r="DL138">
            <v>1256.5999999999999</v>
          </cell>
          <cell r="DM138">
            <v>1564.8</v>
          </cell>
          <cell r="DN138">
            <v>1869.7</v>
          </cell>
          <cell r="DO138">
            <v>2025.5</v>
          </cell>
          <cell r="DP138">
            <v>1754.8</v>
          </cell>
          <cell r="DQ138">
            <v>1571.1</v>
          </cell>
          <cell r="DR138">
            <v>1424.2</v>
          </cell>
          <cell r="DS138">
            <v>1255.5999999999999</v>
          </cell>
          <cell r="DT138">
            <v>1125.8</v>
          </cell>
          <cell r="DU138">
            <v>1131.4000000000001</v>
          </cell>
          <cell r="DV138">
            <v>1187.9000000000001</v>
          </cell>
          <cell r="DW138">
            <v>1283</v>
          </cell>
          <cell r="DX138">
            <v>1475.4</v>
          </cell>
          <cell r="DY138">
            <v>1623</v>
          </cell>
          <cell r="EM138">
            <v>13412.9</v>
          </cell>
          <cell r="EN138">
            <v>13626.599999999999</v>
          </cell>
          <cell r="EO138">
            <v>13194.4</v>
          </cell>
          <cell r="EP138">
            <v>14037.1</v>
          </cell>
          <cell r="EQ138">
            <v>14547.6</v>
          </cell>
          <cell r="ER138">
            <v>13700.699999999999</v>
          </cell>
          <cell r="ES138">
            <v>15894.1</v>
          </cell>
        </row>
        <row r="139">
          <cell r="A139" t="str">
            <v>Misc Operating Revenues (excl Clause &amp; gr/ff)</v>
          </cell>
          <cell r="B139" t="str">
            <v>Operating Revenue</v>
          </cell>
          <cell r="D139" t="str">
            <v>Other Gas Revenues</v>
          </cell>
          <cell r="E139" t="str">
            <v>Operating Revenue</v>
          </cell>
          <cell r="F139" t="str">
            <v>4950207</v>
          </cell>
          <cell r="G139" t="str">
            <v>A_4950207</v>
          </cell>
          <cell r="H139" t="str">
            <v>Other Revenues - Commission on Sales Tax</v>
          </cell>
          <cell r="J139">
            <v>0.8</v>
          </cell>
          <cell r="K139">
            <v>1</v>
          </cell>
          <cell r="L139">
            <v>1</v>
          </cell>
          <cell r="M139">
            <v>0.5</v>
          </cell>
          <cell r="N139">
            <v>0.8</v>
          </cell>
          <cell r="O139">
            <v>0.8</v>
          </cell>
          <cell r="P139">
            <v>0.8</v>
          </cell>
          <cell r="Q139">
            <v>0.8</v>
          </cell>
          <cell r="R139">
            <v>0.5</v>
          </cell>
          <cell r="S139">
            <v>0.7</v>
          </cell>
          <cell r="T139">
            <v>0.8</v>
          </cell>
          <cell r="U139">
            <v>0.8</v>
          </cell>
          <cell r="V139">
            <v>0.9</v>
          </cell>
          <cell r="W139">
            <v>1</v>
          </cell>
          <cell r="X139">
            <v>1</v>
          </cell>
          <cell r="Y139">
            <v>1</v>
          </cell>
          <cell r="Z139">
            <v>0.8</v>
          </cell>
          <cell r="AA139">
            <v>0.8</v>
          </cell>
          <cell r="AB139">
            <v>0.8</v>
          </cell>
          <cell r="AC139">
            <v>0.5</v>
          </cell>
          <cell r="AD139">
            <v>0.8</v>
          </cell>
          <cell r="AE139">
            <v>0.8</v>
          </cell>
          <cell r="AF139">
            <v>0.8</v>
          </cell>
          <cell r="AG139">
            <v>0.8</v>
          </cell>
          <cell r="AH139">
            <v>0.8</v>
          </cell>
          <cell r="AI139">
            <v>0.9</v>
          </cell>
          <cell r="AJ139">
            <v>1</v>
          </cell>
          <cell r="AK139">
            <v>0.9</v>
          </cell>
          <cell r="AL139">
            <v>0.9</v>
          </cell>
          <cell r="AM139">
            <v>0.8</v>
          </cell>
          <cell r="AN139">
            <v>0.8</v>
          </cell>
          <cell r="AO139">
            <v>0.7</v>
          </cell>
          <cell r="AP139">
            <v>0.7</v>
          </cell>
          <cell r="AQ139">
            <v>0.7</v>
          </cell>
          <cell r="AR139">
            <v>0.8</v>
          </cell>
          <cell r="AS139">
            <v>0.8</v>
          </cell>
          <cell r="AT139">
            <v>0.9</v>
          </cell>
          <cell r="AU139">
            <v>0.9</v>
          </cell>
          <cell r="AV139">
            <v>0.9</v>
          </cell>
          <cell r="AW139">
            <v>0.9</v>
          </cell>
          <cell r="AX139">
            <v>0.9</v>
          </cell>
          <cell r="AY139">
            <v>0.8</v>
          </cell>
          <cell r="AZ139">
            <v>0.8</v>
          </cell>
          <cell r="BA139">
            <v>0.8</v>
          </cell>
          <cell r="BB139">
            <v>0.7</v>
          </cell>
          <cell r="BC139">
            <v>0.8</v>
          </cell>
          <cell r="BD139">
            <v>0.8</v>
          </cell>
          <cell r="BE139">
            <v>0.8</v>
          </cell>
          <cell r="BF139">
            <v>0.9</v>
          </cell>
          <cell r="BG139">
            <v>1.2</v>
          </cell>
          <cell r="BH139">
            <v>1.1000000000000001</v>
          </cell>
          <cell r="BI139">
            <v>0.9</v>
          </cell>
          <cell r="BJ139">
            <v>1</v>
          </cell>
          <cell r="BK139">
            <v>0.9</v>
          </cell>
          <cell r="BL139">
            <v>0.9</v>
          </cell>
          <cell r="BM139">
            <v>0.8</v>
          </cell>
          <cell r="BN139">
            <v>0.8</v>
          </cell>
          <cell r="BO139">
            <v>0.8</v>
          </cell>
          <cell r="BP139">
            <v>0.8</v>
          </cell>
          <cell r="BQ139">
            <v>0.8</v>
          </cell>
          <cell r="BR139">
            <v>1</v>
          </cell>
          <cell r="BS139">
            <v>1.1000000000000001</v>
          </cell>
          <cell r="BT139">
            <v>1.1000000000000001</v>
          </cell>
          <cell r="BU139">
            <v>0.9</v>
          </cell>
          <cell r="BV139">
            <v>1</v>
          </cell>
          <cell r="BW139">
            <v>0.9</v>
          </cell>
          <cell r="BX139">
            <v>0.8</v>
          </cell>
          <cell r="BY139">
            <v>0.8</v>
          </cell>
          <cell r="BZ139">
            <v>0.8</v>
          </cell>
          <cell r="CA139">
            <v>0.8</v>
          </cell>
          <cell r="CB139">
            <v>0.8</v>
          </cell>
          <cell r="CC139">
            <v>0.9</v>
          </cell>
          <cell r="CD139">
            <v>1</v>
          </cell>
          <cell r="CE139">
            <v>1.1000000000000001</v>
          </cell>
          <cell r="CF139">
            <v>1.1000000000000001</v>
          </cell>
          <cell r="CG139">
            <v>1.1000000000000001</v>
          </cell>
          <cell r="CH139">
            <v>0.9</v>
          </cell>
          <cell r="CI139">
            <v>0.8</v>
          </cell>
          <cell r="CJ139">
            <v>0.8</v>
          </cell>
          <cell r="CK139">
            <v>0.8</v>
          </cell>
          <cell r="CL139">
            <v>0.8</v>
          </cell>
          <cell r="CM139">
            <v>0.8</v>
          </cell>
          <cell r="CN139">
            <v>0.8</v>
          </cell>
          <cell r="CO139">
            <v>0.9</v>
          </cell>
          <cell r="CP139">
            <v>1</v>
          </cell>
          <cell r="CQ139">
            <v>1.3</v>
          </cell>
          <cell r="CR139">
            <v>1.2</v>
          </cell>
          <cell r="CS139">
            <v>1.1000000000000001</v>
          </cell>
          <cell r="CT139">
            <v>1.1000000000000001</v>
          </cell>
          <cell r="CU139">
            <v>1</v>
          </cell>
          <cell r="CV139">
            <v>1</v>
          </cell>
          <cell r="CW139">
            <v>1</v>
          </cell>
          <cell r="CX139">
            <v>0.9</v>
          </cell>
          <cell r="CY139">
            <v>0.9</v>
          </cell>
          <cell r="CZ139">
            <v>1</v>
          </cell>
          <cell r="DA139">
            <v>1</v>
          </cell>
          <cell r="DB139">
            <v>1.2</v>
          </cell>
          <cell r="DC139">
            <v>1.2</v>
          </cell>
          <cell r="DD139">
            <v>1.4</v>
          </cell>
          <cell r="DE139">
            <v>1.2</v>
          </cell>
          <cell r="DF139">
            <v>1.2</v>
          </cell>
          <cell r="DG139">
            <v>1.1000000000000001</v>
          </cell>
          <cell r="DH139">
            <v>1</v>
          </cell>
          <cell r="DI139">
            <v>1</v>
          </cell>
          <cell r="DJ139">
            <v>1</v>
          </cell>
          <cell r="DK139">
            <v>1</v>
          </cell>
          <cell r="DL139">
            <v>1</v>
          </cell>
          <cell r="DM139">
            <v>1.1000000000000001</v>
          </cell>
          <cell r="DN139">
            <v>1.2</v>
          </cell>
          <cell r="DO139">
            <v>1.2</v>
          </cell>
          <cell r="DP139">
            <v>1.2</v>
          </cell>
          <cell r="DQ139">
            <v>1.2</v>
          </cell>
          <cell r="DR139">
            <v>1.2</v>
          </cell>
          <cell r="DS139">
            <v>1.2</v>
          </cell>
          <cell r="DT139">
            <v>1.2</v>
          </cell>
          <cell r="DU139">
            <v>1.2</v>
          </cell>
          <cell r="DV139">
            <v>1.2</v>
          </cell>
          <cell r="DW139">
            <v>1.2</v>
          </cell>
          <cell r="DX139">
            <v>1.2</v>
          </cell>
          <cell r="DY139">
            <v>1.2</v>
          </cell>
          <cell r="EM139">
            <v>10.000000000000002</v>
          </cell>
          <cell r="EN139">
            <v>9.8000000000000007</v>
          </cell>
          <cell r="EO139">
            <v>10.000000000000002</v>
          </cell>
          <cell r="EP139">
            <v>10.900000000000004</v>
          </cell>
          <cell r="EQ139">
            <v>10.900000000000002</v>
          </cell>
          <cell r="ER139">
            <v>10.900000000000002</v>
          </cell>
          <cell r="ES139">
            <v>12.5</v>
          </cell>
        </row>
        <row r="140">
          <cell r="A140" t="str">
            <v>Misc Operating Revenues (excl Clause &amp; gr/ff)</v>
          </cell>
          <cell r="B140" t="str">
            <v>Operating Revenue</v>
          </cell>
          <cell r="D140" t="str">
            <v>Other Gas Revenues</v>
          </cell>
          <cell r="E140" t="str">
            <v>Operating Revenue</v>
          </cell>
          <cell r="F140" t="str">
            <v>4950208</v>
          </cell>
          <cell r="G140" t="str">
            <v>A_4950208</v>
          </cell>
          <cell r="H140" t="str">
            <v>Other Revenues - Pool Mgr History Fee</v>
          </cell>
          <cell r="J140">
            <v>0.1</v>
          </cell>
          <cell r="K140">
            <v>0.2</v>
          </cell>
          <cell r="L140">
            <v>0.1</v>
          </cell>
          <cell r="M140">
            <v>0.2</v>
          </cell>
          <cell r="N140">
            <v>0</v>
          </cell>
          <cell r="O140">
            <v>1.1000000000000001</v>
          </cell>
          <cell r="P140">
            <v>1.1000000000000001</v>
          </cell>
          <cell r="Q140">
            <v>1.6</v>
          </cell>
          <cell r="R140">
            <v>1.3</v>
          </cell>
          <cell r="S140">
            <v>1.3</v>
          </cell>
          <cell r="T140">
            <v>1.4</v>
          </cell>
          <cell r="U140">
            <v>0.8</v>
          </cell>
          <cell r="V140">
            <v>1.2</v>
          </cell>
          <cell r="W140">
            <v>0.7</v>
          </cell>
          <cell r="X140">
            <v>1.3</v>
          </cell>
          <cell r="Y140">
            <v>1.6</v>
          </cell>
          <cell r="Z140">
            <v>0</v>
          </cell>
          <cell r="AA140">
            <v>3.8</v>
          </cell>
          <cell r="AB140">
            <v>2.1</v>
          </cell>
          <cell r="AC140">
            <v>2.2999999999999998</v>
          </cell>
          <cell r="AD140">
            <v>0.5</v>
          </cell>
          <cell r="AE140">
            <v>0.2</v>
          </cell>
          <cell r="AF140">
            <v>0.1</v>
          </cell>
          <cell r="AG140">
            <v>0.2</v>
          </cell>
          <cell r="AH140">
            <v>0.3</v>
          </cell>
          <cell r="AI140">
            <v>0.1</v>
          </cell>
          <cell r="AJ140">
            <v>0.4</v>
          </cell>
          <cell r="AK140">
            <v>0.6</v>
          </cell>
          <cell r="AL140">
            <v>0.4</v>
          </cell>
          <cell r="AM140">
            <v>0.6</v>
          </cell>
          <cell r="AN140">
            <v>1.1000000000000001</v>
          </cell>
          <cell r="AO140">
            <v>0</v>
          </cell>
          <cell r="AP140">
            <v>0.4</v>
          </cell>
          <cell r="AQ140">
            <v>0.3</v>
          </cell>
          <cell r="AR140">
            <v>0.2</v>
          </cell>
          <cell r="AS140">
            <v>0.1</v>
          </cell>
          <cell r="AT140">
            <v>0.2</v>
          </cell>
          <cell r="AU140">
            <v>0</v>
          </cell>
          <cell r="AV140">
            <v>0.4</v>
          </cell>
          <cell r="AW140">
            <v>0.1</v>
          </cell>
          <cell r="AX140">
            <v>0.2</v>
          </cell>
          <cell r="AY140">
            <v>0.3</v>
          </cell>
          <cell r="AZ140">
            <v>0.7</v>
          </cell>
          <cell r="BA140">
            <v>0.1</v>
          </cell>
          <cell r="BB140">
            <v>0.1</v>
          </cell>
          <cell r="BC140">
            <v>0.1</v>
          </cell>
          <cell r="BD140">
            <v>0</v>
          </cell>
          <cell r="BE140">
            <v>0.1</v>
          </cell>
          <cell r="BF140">
            <v>0.1</v>
          </cell>
          <cell r="BG140">
            <v>0</v>
          </cell>
          <cell r="BH140">
            <v>0.1</v>
          </cell>
          <cell r="BI140">
            <v>0</v>
          </cell>
          <cell r="BJ140">
            <v>0</v>
          </cell>
          <cell r="BK140">
            <v>0.1</v>
          </cell>
          <cell r="BL140">
            <v>0</v>
          </cell>
          <cell r="BM140">
            <v>0.8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0.2</v>
          </cell>
          <cell r="BT140">
            <v>0</v>
          </cell>
          <cell r="BU140">
            <v>0.2</v>
          </cell>
          <cell r="BV140">
            <v>0</v>
          </cell>
          <cell r="BW140">
            <v>0.3</v>
          </cell>
          <cell r="BX140">
            <v>0.2</v>
          </cell>
          <cell r="BY140">
            <v>0.2</v>
          </cell>
          <cell r="BZ140">
            <v>0.1</v>
          </cell>
          <cell r="CA140">
            <v>0</v>
          </cell>
          <cell r="CB140">
            <v>0.1</v>
          </cell>
          <cell r="CC140">
            <v>0</v>
          </cell>
          <cell r="CD140">
            <v>0</v>
          </cell>
          <cell r="CE140">
            <v>0.1</v>
          </cell>
          <cell r="CF140">
            <v>0.1</v>
          </cell>
          <cell r="CG140">
            <v>0</v>
          </cell>
          <cell r="CH140">
            <v>0</v>
          </cell>
          <cell r="CI140">
            <v>0</v>
          </cell>
          <cell r="CJ140">
            <v>0.1</v>
          </cell>
          <cell r="CK140">
            <v>0</v>
          </cell>
          <cell r="CL140">
            <v>0.3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0.1</v>
          </cell>
          <cell r="CV140">
            <v>0.1</v>
          </cell>
          <cell r="CW140">
            <v>0.3</v>
          </cell>
          <cell r="CX140">
            <v>0.1</v>
          </cell>
          <cell r="CY140">
            <v>0</v>
          </cell>
          <cell r="CZ140">
            <v>0.1</v>
          </cell>
          <cell r="DA140">
            <v>0.1</v>
          </cell>
          <cell r="DB140">
            <v>0.1</v>
          </cell>
          <cell r="DC140">
            <v>0.1</v>
          </cell>
          <cell r="DD140">
            <v>0.7</v>
          </cell>
          <cell r="DE140">
            <v>0</v>
          </cell>
          <cell r="DF140">
            <v>0.1</v>
          </cell>
          <cell r="DG140">
            <v>0</v>
          </cell>
          <cell r="DH140">
            <v>0</v>
          </cell>
          <cell r="DI140">
            <v>0.1</v>
          </cell>
          <cell r="DJ140">
            <v>0.1</v>
          </cell>
          <cell r="DK140">
            <v>0</v>
          </cell>
          <cell r="DL140">
            <v>0.1</v>
          </cell>
          <cell r="DM140">
            <v>0.1</v>
          </cell>
          <cell r="DN140">
            <v>0.1</v>
          </cell>
          <cell r="DO140">
            <v>0.1</v>
          </cell>
          <cell r="DP140">
            <v>0.1</v>
          </cell>
          <cell r="DQ140">
            <v>0.1</v>
          </cell>
          <cell r="DR140">
            <v>0.1</v>
          </cell>
          <cell r="DS140">
            <v>0.1</v>
          </cell>
          <cell r="DT140">
            <v>0.1</v>
          </cell>
          <cell r="DU140">
            <v>0.1</v>
          </cell>
          <cell r="DV140">
            <v>0.1</v>
          </cell>
          <cell r="DW140">
            <v>0.1</v>
          </cell>
          <cell r="DX140">
            <v>0.1</v>
          </cell>
          <cell r="DY140">
            <v>0.1</v>
          </cell>
          <cell r="EM140">
            <v>13.999999999999998</v>
          </cell>
          <cell r="EN140">
            <v>4.5</v>
          </cell>
          <cell r="EO140">
            <v>2.3000000000000003</v>
          </cell>
          <cell r="EP140">
            <v>1.1000000000000001</v>
          </cell>
          <cell r="EQ140">
            <v>1.3</v>
          </cell>
          <cell r="ER140">
            <v>0.60000000000000009</v>
          </cell>
          <cell r="ES140">
            <v>0.79999999999999993</v>
          </cell>
        </row>
        <row r="141">
          <cell r="A141" t="str">
            <v>Misc Operating Revenues (excl Clause &amp; gr/ff)</v>
          </cell>
          <cell r="B141" t="str">
            <v>Operating Revenue</v>
          </cell>
          <cell r="D141" t="str">
            <v>Other Gas Revenues</v>
          </cell>
          <cell r="E141" t="str">
            <v>Operating Revenue</v>
          </cell>
          <cell r="F141" t="str">
            <v>4950209</v>
          </cell>
          <cell r="G141" t="str">
            <v>A_4950209</v>
          </cell>
          <cell r="H141" t="str">
            <v>Other Revenues - Pool Mgr Administration Fee</v>
          </cell>
          <cell r="J141">
            <v>24.4</v>
          </cell>
          <cell r="K141">
            <v>24.2</v>
          </cell>
          <cell r="L141">
            <v>23.2</v>
          </cell>
          <cell r="M141">
            <v>24.4</v>
          </cell>
          <cell r="N141">
            <v>28.7</v>
          </cell>
          <cell r="O141">
            <v>24.6</v>
          </cell>
          <cell r="P141">
            <v>25.4</v>
          </cell>
          <cell r="Q141">
            <v>25.6</v>
          </cell>
          <cell r="R141">
            <v>24.9</v>
          </cell>
          <cell r="S141">
            <v>26.4</v>
          </cell>
          <cell r="T141">
            <v>25.9</v>
          </cell>
          <cell r="U141">
            <v>26</v>
          </cell>
          <cell r="V141">
            <v>31.5</v>
          </cell>
          <cell r="W141">
            <v>24.8</v>
          </cell>
          <cell r="X141">
            <v>26.1</v>
          </cell>
          <cell r="Y141">
            <v>26.5</v>
          </cell>
          <cell r="Z141">
            <v>26.1</v>
          </cell>
          <cell r="AA141">
            <v>28.6</v>
          </cell>
          <cell r="AB141">
            <v>26.4</v>
          </cell>
          <cell r="AC141">
            <v>27</v>
          </cell>
          <cell r="AD141">
            <v>25.7</v>
          </cell>
          <cell r="AE141">
            <v>25.3</v>
          </cell>
          <cell r="AF141">
            <v>26.2</v>
          </cell>
          <cell r="AG141">
            <v>27</v>
          </cell>
          <cell r="AH141">
            <v>26.5</v>
          </cell>
          <cell r="AI141">
            <v>25.9</v>
          </cell>
          <cell r="AJ141">
            <v>25.7</v>
          </cell>
          <cell r="AK141">
            <v>26.3</v>
          </cell>
          <cell r="AL141">
            <v>26.2</v>
          </cell>
          <cell r="AM141">
            <v>27.3</v>
          </cell>
          <cell r="AN141">
            <v>26.7</v>
          </cell>
          <cell r="AO141">
            <v>26.8</v>
          </cell>
          <cell r="AP141">
            <v>27.4</v>
          </cell>
          <cell r="AQ141">
            <v>27.2</v>
          </cell>
          <cell r="AR141">
            <v>27</v>
          </cell>
          <cell r="AS141">
            <v>27.1</v>
          </cell>
          <cell r="AT141">
            <v>24.6</v>
          </cell>
          <cell r="AU141">
            <v>24.6</v>
          </cell>
          <cell r="AV141">
            <v>24.7</v>
          </cell>
          <cell r="AW141">
            <v>24.7</v>
          </cell>
          <cell r="AX141">
            <v>24.8</v>
          </cell>
          <cell r="AY141">
            <v>24.8</v>
          </cell>
          <cell r="AZ141">
            <v>24.9</v>
          </cell>
          <cell r="BA141">
            <v>24.8</v>
          </cell>
          <cell r="BB141">
            <v>25.2</v>
          </cell>
          <cell r="BC141">
            <v>25.2</v>
          </cell>
          <cell r="BD141">
            <v>25.3</v>
          </cell>
          <cell r="BE141">
            <v>24.9</v>
          </cell>
          <cell r="BF141">
            <v>25.1</v>
          </cell>
          <cell r="BG141">
            <v>25.2</v>
          </cell>
          <cell r="BH141">
            <v>25.3</v>
          </cell>
          <cell r="BI141">
            <v>25.3</v>
          </cell>
          <cell r="BJ141">
            <v>25.6</v>
          </cell>
          <cell r="BK141">
            <v>25.7</v>
          </cell>
          <cell r="BL141">
            <v>25.7</v>
          </cell>
          <cell r="BM141">
            <v>25.9</v>
          </cell>
          <cell r="BN141">
            <v>26</v>
          </cell>
          <cell r="BO141">
            <v>26.1</v>
          </cell>
          <cell r="BP141">
            <v>26</v>
          </cell>
          <cell r="BQ141">
            <v>26</v>
          </cell>
          <cell r="BR141">
            <v>26.1</v>
          </cell>
          <cell r="BS141">
            <v>26.1</v>
          </cell>
          <cell r="BT141">
            <v>26.2</v>
          </cell>
          <cell r="BU141">
            <v>26</v>
          </cell>
          <cell r="BV141">
            <v>26</v>
          </cell>
          <cell r="BW141">
            <v>26.1</v>
          </cell>
          <cell r="BX141">
            <v>26.2</v>
          </cell>
          <cell r="BY141">
            <v>26.3</v>
          </cell>
          <cell r="BZ141">
            <v>26.3</v>
          </cell>
          <cell r="CA141">
            <v>26.3</v>
          </cell>
          <cell r="CB141">
            <v>26.3</v>
          </cell>
          <cell r="CC141">
            <v>26.4</v>
          </cell>
          <cell r="CD141">
            <v>26.4</v>
          </cell>
          <cell r="CE141">
            <v>26.4</v>
          </cell>
          <cell r="CF141">
            <v>26.4</v>
          </cell>
          <cell r="CG141">
            <v>26.3</v>
          </cell>
          <cell r="CH141">
            <v>26.2</v>
          </cell>
          <cell r="CI141">
            <v>26.3</v>
          </cell>
          <cell r="CJ141">
            <v>26.2</v>
          </cell>
          <cell r="CK141">
            <v>21.5</v>
          </cell>
          <cell r="CL141">
            <v>30.9</v>
          </cell>
          <cell r="CM141">
            <v>26.1</v>
          </cell>
          <cell r="CN141">
            <v>26</v>
          </cell>
          <cell r="CO141">
            <v>26.1</v>
          </cell>
          <cell r="CP141">
            <v>26.1</v>
          </cell>
          <cell r="CQ141">
            <v>26.1</v>
          </cell>
          <cell r="CR141">
            <v>26.1</v>
          </cell>
          <cell r="CS141">
            <v>26.2</v>
          </cell>
          <cell r="CT141">
            <v>26.2</v>
          </cell>
          <cell r="CU141">
            <v>26.3</v>
          </cell>
          <cell r="CV141">
            <v>26.4</v>
          </cell>
          <cell r="CW141">
            <v>26</v>
          </cell>
          <cell r="CX141">
            <v>26.2</v>
          </cell>
          <cell r="CY141">
            <v>26.3</v>
          </cell>
          <cell r="CZ141">
            <v>26.4</v>
          </cell>
          <cell r="DA141">
            <v>26.4</v>
          </cell>
          <cell r="DB141">
            <v>26.4</v>
          </cell>
          <cell r="DC141">
            <v>26.4</v>
          </cell>
          <cell r="DD141">
            <v>26.4</v>
          </cell>
          <cell r="DE141">
            <v>23.3</v>
          </cell>
          <cell r="DF141">
            <v>26.3</v>
          </cell>
          <cell r="DG141">
            <v>26.4</v>
          </cell>
          <cell r="DH141">
            <v>26.5</v>
          </cell>
          <cell r="DI141">
            <v>26.7</v>
          </cell>
          <cell r="DJ141">
            <v>26.7</v>
          </cell>
          <cell r="DK141">
            <v>26.7</v>
          </cell>
          <cell r="DL141">
            <v>26.7</v>
          </cell>
          <cell r="DM141">
            <v>26.5</v>
          </cell>
          <cell r="DN141">
            <v>26</v>
          </cell>
          <cell r="DO141">
            <v>26</v>
          </cell>
          <cell r="DP141">
            <v>26</v>
          </cell>
          <cell r="DQ141">
            <v>26</v>
          </cell>
          <cell r="DR141">
            <v>26</v>
          </cell>
          <cell r="DS141">
            <v>26</v>
          </cell>
          <cell r="DT141">
            <v>26</v>
          </cell>
          <cell r="DU141">
            <v>26</v>
          </cell>
          <cell r="DV141">
            <v>26</v>
          </cell>
          <cell r="DW141">
            <v>26</v>
          </cell>
          <cell r="DX141">
            <v>26</v>
          </cell>
          <cell r="DY141">
            <v>26</v>
          </cell>
          <cell r="EM141">
            <v>321.2</v>
          </cell>
          <cell r="EN141">
            <v>320.10000000000002</v>
          </cell>
          <cell r="EO141">
            <v>298.5</v>
          </cell>
          <cell r="EP141">
            <v>307.89999999999998</v>
          </cell>
          <cell r="EQ141">
            <v>314.3</v>
          </cell>
          <cell r="ER141">
            <v>314.8</v>
          </cell>
          <cell r="ES141">
            <v>314.7</v>
          </cell>
        </row>
        <row r="142">
          <cell r="A142" t="str">
            <v>Misc Operating Revenues (excl Clause &amp; gr/ff)</v>
          </cell>
          <cell r="B142" t="str">
            <v>Operating Revenue</v>
          </cell>
          <cell r="D142" t="str">
            <v>Other Gas Revenues</v>
          </cell>
          <cell r="E142" t="str">
            <v>Operating Revenue</v>
          </cell>
          <cell r="F142" t="str">
            <v>4950210</v>
          </cell>
          <cell r="G142" t="str">
            <v>A_4950210</v>
          </cell>
          <cell r="H142" t="str">
            <v>Other Revenues - Pool Manager Change Fee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4.7</v>
          </cell>
          <cell r="AU142">
            <v>0</v>
          </cell>
          <cell r="AV142">
            <v>3.9</v>
          </cell>
          <cell r="AW142">
            <v>3.4</v>
          </cell>
          <cell r="AX142">
            <v>2.9</v>
          </cell>
          <cell r="AY142">
            <v>5.2</v>
          </cell>
          <cell r="AZ142">
            <v>3.5</v>
          </cell>
          <cell r="BA142">
            <v>2.7</v>
          </cell>
          <cell r="BB142">
            <v>2.4</v>
          </cell>
          <cell r="BC142">
            <v>2.7</v>
          </cell>
          <cell r="BD142">
            <v>2.7</v>
          </cell>
          <cell r="BE142">
            <v>3.1</v>
          </cell>
          <cell r="BF142">
            <v>2.2000000000000002</v>
          </cell>
          <cell r="BG142">
            <v>2.9</v>
          </cell>
          <cell r="BH142">
            <v>3.4</v>
          </cell>
          <cell r="BI142">
            <v>3.3</v>
          </cell>
          <cell r="BJ142">
            <v>4.3</v>
          </cell>
          <cell r="BK142">
            <v>2.6</v>
          </cell>
          <cell r="BL142">
            <v>3.4</v>
          </cell>
          <cell r="BM142">
            <v>23.7</v>
          </cell>
          <cell r="BN142">
            <v>3</v>
          </cell>
          <cell r="BO142">
            <v>2.7</v>
          </cell>
          <cell r="BP142">
            <v>3</v>
          </cell>
          <cell r="BQ142">
            <v>4.3</v>
          </cell>
          <cell r="BR142">
            <v>2.5</v>
          </cell>
          <cell r="BS142">
            <v>3</v>
          </cell>
          <cell r="BT142">
            <v>2.4</v>
          </cell>
          <cell r="BU142">
            <v>3.3</v>
          </cell>
          <cell r="BV142">
            <v>3.2</v>
          </cell>
          <cell r="BW142">
            <v>3</v>
          </cell>
          <cell r="BX142">
            <v>5.6</v>
          </cell>
          <cell r="BY142">
            <v>2.5</v>
          </cell>
          <cell r="BZ142">
            <v>2.8</v>
          </cell>
          <cell r="CA142">
            <v>4.8</v>
          </cell>
          <cell r="CB142">
            <v>19.2</v>
          </cell>
          <cell r="CC142">
            <v>2.6</v>
          </cell>
          <cell r="CD142">
            <v>2.2999999999999998</v>
          </cell>
          <cell r="CE142">
            <v>2.2000000000000002</v>
          </cell>
          <cell r="CF142">
            <v>0.1</v>
          </cell>
          <cell r="CG142">
            <v>3.5</v>
          </cell>
          <cell r="CH142">
            <v>2.2000000000000002</v>
          </cell>
          <cell r="CI142">
            <v>2.8</v>
          </cell>
          <cell r="CJ142">
            <v>2.2000000000000002</v>
          </cell>
          <cell r="CK142">
            <v>3.2</v>
          </cell>
          <cell r="CL142">
            <v>2.6</v>
          </cell>
          <cell r="CM142">
            <v>2.2000000000000002</v>
          </cell>
          <cell r="CN142">
            <v>2.2000000000000002</v>
          </cell>
          <cell r="CO142">
            <v>3</v>
          </cell>
          <cell r="CP142">
            <v>2.9</v>
          </cell>
          <cell r="CQ142">
            <v>2.9</v>
          </cell>
          <cell r="CR142">
            <v>2.6</v>
          </cell>
          <cell r="CS142">
            <v>3.8</v>
          </cell>
          <cell r="CT142">
            <v>3.6</v>
          </cell>
          <cell r="CU142">
            <v>66.400000000000006</v>
          </cell>
          <cell r="CV142">
            <v>3.7</v>
          </cell>
          <cell r="CW142">
            <v>3.1</v>
          </cell>
          <cell r="CX142">
            <v>3.1</v>
          </cell>
          <cell r="CY142">
            <v>2.8</v>
          </cell>
          <cell r="CZ142">
            <v>3.4</v>
          </cell>
          <cell r="DA142">
            <v>3.6</v>
          </cell>
          <cell r="DB142">
            <v>2.9</v>
          </cell>
          <cell r="DC142">
            <v>3</v>
          </cell>
          <cell r="DD142">
            <v>2.7</v>
          </cell>
          <cell r="DE142">
            <v>2.7</v>
          </cell>
          <cell r="DF142">
            <v>3.1</v>
          </cell>
          <cell r="DG142">
            <v>3.7</v>
          </cell>
          <cell r="DH142">
            <v>4</v>
          </cell>
          <cell r="DI142">
            <v>4</v>
          </cell>
          <cell r="DJ142">
            <v>2.8</v>
          </cell>
          <cell r="DK142">
            <v>2.5</v>
          </cell>
          <cell r="DL142">
            <v>25.7</v>
          </cell>
          <cell r="DM142">
            <v>3.5</v>
          </cell>
          <cell r="DN142">
            <v>3.2</v>
          </cell>
          <cell r="DO142">
            <v>3.2</v>
          </cell>
          <cell r="DP142">
            <v>3.2</v>
          </cell>
          <cell r="DQ142">
            <v>3.2</v>
          </cell>
          <cell r="DR142">
            <v>3.2</v>
          </cell>
          <cell r="DS142">
            <v>3.2</v>
          </cell>
          <cell r="DT142">
            <v>3.2</v>
          </cell>
          <cell r="DU142">
            <v>3.2</v>
          </cell>
          <cell r="DV142">
            <v>3.2</v>
          </cell>
          <cell r="DW142">
            <v>3.2</v>
          </cell>
          <cell r="DX142">
            <v>3.2</v>
          </cell>
          <cell r="DY142">
            <v>3.2</v>
          </cell>
          <cell r="EM142">
            <v>0</v>
          </cell>
          <cell r="EN142">
            <v>0</v>
          </cell>
          <cell r="EO142">
            <v>37.200000000000003</v>
          </cell>
          <cell r="EP142">
            <v>58.8</v>
          </cell>
          <cell r="EQ142">
            <v>54.9</v>
          </cell>
          <cell r="ER142">
            <v>28.5</v>
          </cell>
          <cell r="ES142">
            <v>101.89999999999999</v>
          </cell>
        </row>
        <row r="143">
          <cell r="A143" t="str">
            <v>Misc Operating Revenues (excl Clause &amp; gr/ff)</v>
          </cell>
          <cell r="B143" t="str">
            <v>Operating Revenue</v>
          </cell>
          <cell r="D143" t="str">
            <v>Other Gas Revenues</v>
          </cell>
          <cell r="E143" t="str">
            <v>Operating Revenue</v>
          </cell>
          <cell r="F143" t="str">
            <v>4950211</v>
          </cell>
          <cell r="G143" t="str">
            <v>A_4950211</v>
          </cell>
          <cell r="H143" t="str">
            <v>Other Revenues - Termination Fee</v>
          </cell>
          <cell r="J143">
            <v>0.9</v>
          </cell>
          <cell r="K143">
            <v>0.8</v>
          </cell>
          <cell r="L143">
            <v>0.5</v>
          </cell>
          <cell r="M143">
            <v>0.4</v>
          </cell>
          <cell r="N143">
            <v>0</v>
          </cell>
          <cell r="O143">
            <v>1.1000000000000001</v>
          </cell>
          <cell r="P143">
            <v>0.6</v>
          </cell>
          <cell r="Q143">
            <v>0.5</v>
          </cell>
          <cell r="R143">
            <v>0.4</v>
          </cell>
          <cell r="S143">
            <v>0.8</v>
          </cell>
          <cell r="T143">
            <v>0.8</v>
          </cell>
          <cell r="U143">
            <v>0.4</v>
          </cell>
          <cell r="V143">
            <v>1</v>
          </cell>
          <cell r="W143">
            <v>0.9</v>
          </cell>
          <cell r="X143">
            <v>0.5</v>
          </cell>
          <cell r="Y143">
            <v>0.6</v>
          </cell>
          <cell r="Z143">
            <v>0</v>
          </cell>
          <cell r="AA143">
            <v>0.9</v>
          </cell>
          <cell r="AB143">
            <v>0.4</v>
          </cell>
          <cell r="AC143">
            <v>0.4</v>
          </cell>
          <cell r="AD143">
            <v>0.5</v>
          </cell>
          <cell r="AE143">
            <v>0.4</v>
          </cell>
          <cell r="AF143">
            <v>0.4</v>
          </cell>
          <cell r="AG143">
            <v>0.8</v>
          </cell>
          <cell r="AH143">
            <v>0.4</v>
          </cell>
          <cell r="AI143">
            <v>0.8</v>
          </cell>
          <cell r="AJ143">
            <v>0.5</v>
          </cell>
          <cell r="AK143">
            <v>0.4</v>
          </cell>
          <cell r="AL143">
            <v>0.4</v>
          </cell>
          <cell r="AM143">
            <v>0.2</v>
          </cell>
          <cell r="AN143">
            <v>0.9</v>
          </cell>
          <cell r="AO143">
            <v>0</v>
          </cell>
          <cell r="AP143">
            <v>0.5</v>
          </cell>
          <cell r="AQ143">
            <v>0.2</v>
          </cell>
          <cell r="AR143">
            <v>0.4</v>
          </cell>
          <cell r="AS143">
            <v>0.7</v>
          </cell>
          <cell r="AT143">
            <v>0.5</v>
          </cell>
          <cell r="AU143">
            <v>0</v>
          </cell>
          <cell r="AV143">
            <v>1.6</v>
          </cell>
          <cell r="AW143">
            <v>0</v>
          </cell>
          <cell r="AX143">
            <v>0.7</v>
          </cell>
          <cell r="AY143">
            <v>0.6</v>
          </cell>
          <cell r="AZ143">
            <v>0.5</v>
          </cell>
          <cell r="BA143">
            <v>0.6</v>
          </cell>
          <cell r="BB143">
            <v>0.5</v>
          </cell>
          <cell r="BC143">
            <v>0.5</v>
          </cell>
          <cell r="BD143">
            <v>0.7</v>
          </cell>
          <cell r="BE143">
            <v>0.6</v>
          </cell>
          <cell r="BF143">
            <v>0.3</v>
          </cell>
          <cell r="BG143">
            <v>0.5</v>
          </cell>
          <cell r="BH143">
            <v>0.4</v>
          </cell>
          <cell r="BI143">
            <v>0.5</v>
          </cell>
          <cell r="BJ143">
            <v>0.2</v>
          </cell>
          <cell r="BK143">
            <v>0.6</v>
          </cell>
          <cell r="BL143">
            <v>0</v>
          </cell>
          <cell r="BM143">
            <v>0.5</v>
          </cell>
          <cell r="BN143">
            <v>0.2</v>
          </cell>
          <cell r="BO143">
            <v>0.6</v>
          </cell>
          <cell r="BP143">
            <v>0.5</v>
          </cell>
          <cell r="BQ143">
            <v>0.6</v>
          </cell>
          <cell r="BR143">
            <v>0.8</v>
          </cell>
          <cell r="BS143">
            <v>1</v>
          </cell>
          <cell r="BT143">
            <v>0.7</v>
          </cell>
          <cell r="BU143">
            <v>0.3</v>
          </cell>
          <cell r="BV143">
            <v>0</v>
          </cell>
          <cell r="BW143">
            <v>0.5</v>
          </cell>
          <cell r="BX143">
            <v>0.5</v>
          </cell>
          <cell r="BY143">
            <v>0.5</v>
          </cell>
          <cell r="BZ143">
            <v>0.2</v>
          </cell>
          <cell r="CA143">
            <v>0</v>
          </cell>
          <cell r="CB143">
            <v>2.1</v>
          </cell>
          <cell r="CC143">
            <v>0.5</v>
          </cell>
          <cell r="CD143">
            <v>0.5</v>
          </cell>
          <cell r="CE143">
            <v>0.4</v>
          </cell>
          <cell r="CF143">
            <v>0.5</v>
          </cell>
          <cell r="CG143">
            <v>0.4</v>
          </cell>
          <cell r="CH143">
            <v>0.7</v>
          </cell>
          <cell r="CI143">
            <v>1.1000000000000001</v>
          </cell>
          <cell r="CJ143">
            <v>1.1000000000000001</v>
          </cell>
          <cell r="CK143">
            <v>0.5</v>
          </cell>
          <cell r="CL143">
            <v>0.6</v>
          </cell>
          <cell r="CM143">
            <v>0.5</v>
          </cell>
          <cell r="CN143">
            <v>0.2</v>
          </cell>
          <cell r="CO143">
            <v>0.6</v>
          </cell>
          <cell r="CP143">
            <v>0.2</v>
          </cell>
          <cell r="CQ143">
            <v>0.7</v>
          </cell>
          <cell r="CR143">
            <v>0.4</v>
          </cell>
          <cell r="CS143">
            <v>0.2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0.1</v>
          </cell>
          <cell r="DK143">
            <v>0</v>
          </cell>
          <cell r="DL143">
            <v>0</v>
          </cell>
          <cell r="DM143">
            <v>0</v>
          </cell>
          <cell r="DN143">
            <v>0.2</v>
          </cell>
          <cell r="DO143">
            <v>0.2</v>
          </cell>
          <cell r="DP143">
            <v>0.2</v>
          </cell>
          <cell r="DQ143">
            <v>0.2</v>
          </cell>
          <cell r="DR143">
            <v>0.2</v>
          </cell>
          <cell r="DS143">
            <v>0.2</v>
          </cell>
          <cell r="DT143">
            <v>0.2</v>
          </cell>
          <cell r="DU143">
            <v>0.2</v>
          </cell>
          <cell r="DV143">
            <v>0.2</v>
          </cell>
          <cell r="DW143">
            <v>0.2</v>
          </cell>
          <cell r="DX143">
            <v>0.2</v>
          </cell>
          <cell r="DY143">
            <v>0.2</v>
          </cell>
          <cell r="EM143">
            <v>6.8000000000000007</v>
          </cell>
          <cell r="EN143">
            <v>5.4</v>
          </cell>
          <cell r="EO143">
            <v>6.8</v>
          </cell>
          <cell r="EP143">
            <v>4.9000000000000004</v>
          </cell>
          <cell r="EQ143">
            <v>7.1</v>
          </cell>
          <cell r="ER143">
            <v>7.1</v>
          </cell>
          <cell r="ES143">
            <v>1.4999999999999998</v>
          </cell>
        </row>
        <row r="144">
          <cell r="A144" t="str">
            <v>Misc Operating Revenues (excl Clause &amp; gr/ff)</v>
          </cell>
          <cell r="B144" t="str">
            <v>Operating Revenue</v>
          </cell>
          <cell r="D144" t="str">
            <v>Other Gas Revenues</v>
          </cell>
          <cell r="E144" t="str">
            <v>Operating Revenue</v>
          </cell>
          <cell r="F144" t="str">
            <v>4950212</v>
          </cell>
          <cell r="G144" t="str">
            <v>A_4950212</v>
          </cell>
          <cell r="H144" t="str">
            <v>Other Revenues - Fl Gas Utility</v>
          </cell>
          <cell r="J144">
            <v>41.5</v>
          </cell>
          <cell r="K144">
            <v>33.1</v>
          </cell>
          <cell r="L144">
            <v>26.1</v>
          </cell>
          <cell r="M144">
            <v>18.8</v>
          </cell>
          <cell r="N144">
            <v>15.8</v>
          </cell>
          <cell r="O144">
            <v>14.2</v>
          </cell>
          <cell r="P144">
            <v>14.1</v>
          </cell>
          <cell r="Q144">
            <v>0</v>
          </cell>
          <cell r="R144">
            <v>-14.1</v>
          </cell>
          <cell r="S144">
            <v>14.2</v>
          </cell>
          <cell r="T144">
            <v>20.6</v>
          </cell>
          <cell r="U144">
            <v>30.6</v>
          </cell>
          <cell r="V144">
            <v>37.4</v>
          </cell>
          <cell r="W144">
            <v>29.3</v>
          </cell>
          <cell r="X144">
            <v>29.7</v>
          </cell>
          <cell r="Y144">
            <v>15.1</v>
          </cell>
          <cell r="Z144">
            <v>0</v>
          </cell>
          <cell r="AA144">
            <v>0</v>
          </cell>
          <cell r="AB144">
            <v>2.4</v>
          </cell>
          <cell r="AC144">
            <v>0</v>
          </cell>
          <cell r="AD144">
            <v>4</v>
          </cell>
          <cell r="AE144">
            <v>14.2</v>
          </cell>
          <cell r="AF144">
            <v>20.6</v>
          </cell>
          <cell r="AG144">
            <v>30.6</v>
          </cell>
          <cell r="AH144">
            <v>37.4</v>
          </cell>
          <cell r="AI144">
            <v>34.799999999999997</v>
          </cell>
          <cell r="AJ144">
            <v>21.5</v>
          </cell>
          <cell r="AK144">
            <v>18.5</v>
          </cell>
          <cell r="AL144">
            <v>6.7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14.2</v>
          </cell>
          <cell r="AR144">
            <v>-14.2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EM144">
            <v>183.29999999999998</v>
          </cell>
          <cell r="EN144">
            <v>118.89999999999999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</row>
        <row r="145">
          <cell r="A145" t="str">
            <v>Other Operating Income / (Expense) Items</v>
          </cell>
          <cell r="B145" t="str">
            <v>Operating Revenue</v>
          </cell>
          <cell r="D145" t="str">
            <v>Other Operating Revenues - Supplier FTA</v>
          </cell>
          <cell r="E145" t="str">
            <v>Operating Revenue</v>
          </cell>
          <cell r="F145" t="str">
            <v>4950213</v>
          </cell>
          <cell r="G145" t="str">
            <v>A_4950213</v>
          </cell>
          <cell r="H145" t="str">
            <v>Other Revenues - Supplier FTA</v>
          </cell>
          <cell r="J145">
            <v>39.6</v>
          </cell>
          <cell r="K145">
            <v>759.4</v>
          </cell>
          <cell r="L145">
            <v>1135.3</v>
          </cell>
          <cell r="M145">
            <v>36.5</v>
          </cell>
          <cell r="N145">
            <v>1.7</v>
          </cell>
          <cell r="O145">
            <v>13</v>
          </cell>
          <cell r="P145">
            <v>27.8</v>
          </cell>
          <cell r="Q145">
            <v>6.2</v>
          </cell>
          <cell r="R145">
            <v>7.7</v>
          </cell>
          <cell r="S145">
            <v>373.7</v>
          </cell>
          <cell r="T145">
            <v>57.2</v>
          </cell>
          <cell r="U145">
            <v>224.6</v>
          </cell>
          <cell r="V145">
            <v>170.6</v>
          </cell>
          <cell r="W145">
            <v>343.7</v>
          </cell>
          <cell r="X145">
            <v>513.6</v>
          </cell>
          <cell r="Y145">
            <v>160.69999999999999</v>
          </cell>
          <cell r="Z145">
            <v>10.8</v>
          </cell>
          <cell r="AA145">
            <v>15.8</v>
          </cell>
          <cell r="AB145">
            <v>521.29999999999995</v>
          </cell>
          <cell r="AC145">
            <v>51</v>
          </cell>
          <cell r="AD145">
            <v>258</v>
          </cell>
          <cell r="AE145">
            <v>309.89999999999998</v>
          </cell>
          <cell r="AF145">
            <v>68.599999999999994</v>
          </cell>
          <cell r="AG145">
            <v>129.9</v>
          </cell>
          <cell r="AH145">
            <v>236.7</v>
          </cell>
          <cell r="AI145">
            <v>623.9</v>
          </cell>
          <cell r="AJ145">
            <v>330.9</v>
          </cell>
          <cell r="AK145">
            <v>8.3000000000000007</v>
          </cell>
          <cell r="AL145">
            <v>3.1</v>
          </cell>
          <cell r="AM145">
            <v>60</v>
          </cell>
          <cell r="AN145">
            <v>84.2</v>
          </cell>
          <cell r="AO145">
            <v>3.4</v>
          </cell>
          <cell r="AP145">
            <v>10.6</v>
          </cell>
          <cell r="AQ145">
            <v>196.6</v>
          </cell>
          <cell r="AR145">
            <v>14.2</v>
          </cell>
          <cell r="AS145">
            <v>191</v>
          </cell>
          <cell r="AT145">
            <v>151.1</v>
          </cell>
          <cell r="AU145">
            <v>379.3</v>
          </cell>
          <cell r="AV145">
            <v>-18.8</v>
          </cell>
          <cell r="AW145">
            <v>375.7</v>
          </cell>
          <cell r="AX145">
            <v>-37.4</v>
          </cell>
          <cell r="AY145">
            <v>-2.5</v>
          </cell>
          <cell r="AZ145">
            <v>39.5</v>
          </cell>
          <cell r="BA145">
            <v>1</v>
          </cell>
          <cell r="BB145">
            <v>0</v>
          </cell>
          <cell r="BC145">
            <v>11.2</v>
          </cell>
          <cell r="BD145">
            <v>104.5</v>
          </cell>
          <cell r="BE145">
            <v>439.7</v>
          </cell>
          <cell r="BF145">
            <v>121.1</v>
          </cell>
          <cell r="BG145">
            <v>140.69999999999999</v>
          </cell>
          <cell r="BH145">
            <v>14.2</v>
          </cell>
          <cell r="BI145">
            <v>13.5</v>
          </cell>
          <cell r="BJ145">
            <v>197</v>
          </cell>
          <cell r="BK145">
            <v>2.8</v>
          </cell>
          <cell r="BL145">
            <v>131.30000000000001</v>
          </cell>
          <cell r="BM145">
            <v>1</v>
          </cell>
          <cell r="BN145">
            <v>11.4</v>
          </cell>
          <cell r="BO145">
            <v>512</v>
          </cell>
          <cell r="BP145">
            <v>46.2</v>
          </cell>
          <cell r="BQ145">
            <v>251.5</v>
          </cell>
          <cell r="BR145">
            <v>301.7</v>
          </cell>
          <cell r="BS145">
            <v>201.3</v>
          </cell>
          <cell r="BT145">
            <v>535.70000000000005</v>
          </cell>
          <cell r="BU145">
            <v>28.8</v>
          </cell>
          <cell r="BV145">
            <v>5.3</v>
          </cell>
          <cell r="BW145">
            <v>8.9</v>
          </cell>
          <cell r="BX145">
            <v>14.7</v>
          </cell>
          <cell r="BY145">
            <v>0</v>
          </cell>
          <cell r="BZ145">
            <v>65</v>
          </cell>
          <cell r="CA145">
            <v>185.1</v>
          </cell>
          <cell r="CB145">
            <v>7.5</v>
          </cell>
          <cell r="CC145">
            <v>72.5</v>
          </cell>
          <cell r="CD145">
            <v>150.9</v>
          </cell>
          <cell r="CE145">
            <v>215</v>
          </cell>
          <cell r="CF145">
            <v>142.69999999999999</v>
          </cell>
          <cell r="CG145">
            <v>35.799999999999997</v>
          </cell>
          <cell r="CH145">
            <v>9.4</v>
          </cell>
          <cell r="CI145">
            <v>-12.2</v>
          </cell>
          <cell r="CJ145">
            <v>178.9</v>
          </cell>
          <cell r="CK145">
            <v>65.5</v>
          </cell>
          <cell r="CL145">
            <v>175.5</v>
          </cell>
          <cell r="CM145">
            <v>10.4</v>
          </cell>
          <cell r="CN145">
            <v>23.3</v>
          </cell>
          <cell r="CO145">
            <v>301.3</v>
          </cell>
          <cell r="CP145">
            <v>441.3</v>
          </cell>
          <cell r="CQ145">
            <v>1496.8</v>
          </cell>
          <cell r="CR145">
            <v>-752.7</v>
          </cell>
          <cell r="CS145">
            <v>70.2</v>
          </cell>
          <cell r="CT145">
            <v>51.6</v>
          </cell>
          <cell r="CU145">
            <v>1.6</v>
          </cell>
          <cell r="CV145">
            <v>180.2</v>
          </cell>
          <cell r="CW145">
            <v>132.1</v>
          </cell>
          <cell r="CX145">
            <v>-58.2</v>
          </cell>
          <cell r="CY145">
            <v>271.2</v>
          </cell>
          <cell r="CZ145">
            <v>811.3</v>
          </cell>
          <cell r="DA145">
            <v>205</v>
          </cell>
          <cell r="DB145">
            <v>128.4</v>
          </cell>
          <cell r="DC145">
            <v>228.1</v>
          </cell>
          <cell r="DD145">
            <v>486</v>
          </cell>
          <cell r="DE145">
            <v>69.900000000000006</v>
          </cell>
          <cell r="DF145">
            <v>39.200000000000003</v>
          </cell>
          <cell r="DG145">
            <v>186.9</v>
          </cell>
          <cell r="DH145">
            <v>122</v>
          </cell>
          <cell r="DI145">
            <v>94.1</v>
          </cell>
          <cell r="DJ145">
            <v>-3.7</v>
          </cell>
          <cell r="DK145">
            <v>126.4</v>
          </cell>
          <cell r="DL145">
            <v>302.7</v>
          </cell>
          <cell r="DM145">
            <v>388.1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EM145">
            <v>2553.9</v>
          </cell>
          <cell r="EN145">
            <v>1762.8999999999999</v>
          </cell>
          <cell r="EO145">
            <v>1443.3</v>
          </cell>
          <cell r="EP145">
            <v>1442.7</v>
          </cell>
          <cell r="EQ145">
            <v>1426.5</v>
          </cell>
          <cell r="ER145">
            <v>1296.4999999999998</v>
          </cell>
          <cell r="ES145">
            <v>2850.3999999999996</v>
          </cell>
        </row>
        <row r="146">
          <cell r="A146" t="str">
            <v>Misc Operating Revenues (excl Clause &amp; gr/ff)</v>
          </cell>
          <cell r="B146" t="str">
            <v>Operating Revenue</v>
          </cell>
          <cell r="D146" t="str">
            <v>Other Gas Revenues</v>
          </cell>
          <cell r="E146" t="str">
            <v>Operating Revenue</v>
          </cell>
          <cell r="F146" t="str">
            <v>4950214</v>
          </cell>
          <cell r="G146" t="str">
            <v>A_4950214</v>
          </cell>
          <cell r="H146" t="str">
            <v>Other Revenues - Hardee Maintenance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580</v>
          </cell>
          <cell r="AJ146">
            <v>0</v>
          </cell>
          <cell r="AK146">
            <v>0</v>
          </cell>
          <cell r="AL146">
            <v>329.8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329.8</v>
          </cell>
          <cell r="AR146">
            <v>0</v>
          </cell>
          <cell r="AS146">
            <v>0</v>
          </cell>
          <cell r="AT146">
            <v>0</v>
          </cell>
          <cell r="AU146">
            <v>-35.9</v>
          </cell>
          <cell r="AV146">
            <v>-18</v>
          </cell>
          <cell r="AW146">
            <v>-18</v>
          </cell>
          <cell r="AX146">
            <v>-18</v>
          </cell>
          <cell r="AY146">
            <v>-18</v>
          </cell>
          <cell r="AZ146">
            <v>-18</v>
          </cell>
          <cell r="BA146">
            <v>0</v>
          </cell>
          <cell r="BB146">
            <v>-35.9</v>
          </cell>
          <cell r="BC146">
            <v>-18</v>
          </cell>
          <cell r="BD146">
            <v>-18</v>
          </cell>
          <cell r="BE146">
            <v>-18</v>
          </cell>
          <cell r="BF146">
            <v>-18</v>
          </cell>
          <cell r="BG146">
            <v>-18</v>
          </cell>
          <cell r="BH146">
            <v>-18</v>
          </cell>
          <cell r="BI146">
            <v>-18</v>
          </cell>
          <cell r="BJ146">
            <v>-18</v>
          </cell>
          <cell r="BK146">
            <v>-18</v>
          </cell>
          <cell r="BL146">
            <v>-18</v>
          </cell>
          <cell r="BM146">
            <v>-18</v>
          </cell>
          <cell r="BN146">
            <v>-18</v>
          </cell>
          <cell r="BO146">
            <v>-18</v>
          </cell>
          <cell r="BP146">
            <v>-18</v>
          </cell>
          <cell r="BQ146">
            <v>-18</v>
          </cell>
          <cell r="BR146">
            <v>-18</v>
          </cell>
          <cell r="BS146">
            <v>-18</v>
          </cell>
          <cell r="BT146">
            <v>-18</v>
          </cell>
          <cell r="BU146">
            <v>-18</v>
          </cell>
          <cell r="BV146">
            <v>-18</v>
          </cell>
          <cell r="BW146">
            <v>-18</v>
          </cell>
          <cell r="BX146">
            <v>-18</v>
          </cell>
          <cell r="BY146">
            <v>-18</v>
          </cell>
          <cell r="BZ146">
            <v>-18</v>
          </cell>
          <cell r="CA146">
            <v>-18</v>
          </cell>
          <cell r="CB146">
            <v>-18</v>
          </cell>
          <cell r="CC146">
            <v>-18</v>
          </cell>
          <cell r="CD146">
            <v>-18</v>
          </cell>
          <cell r="CE146">
            <v>-18</v>
          </cell>
          <cell r="CF146">
            <v>-18</v>
          </cell>
          <cell r="CG146">
            <v>-18</v>
          </cell>
          <cell r="CH146">
            <v>-18</v>
          </cell>
          <cell r="CI146">
            <v>-18</v>
          </cell>
          <cell r="CJ146">
            <v>-18</v>
          </cell>
          <cell r="CK146">
            <v>-18</v>
          </cell>
          <cell r="CL146">
            <v>-18</v>
          </cell>
          <cell r="CM146">
            <v>-18</v>
          </cell>
          <cell r="CN146">
            <v>-18</v>
          </cell>
          <cell r="CO146">
            <v>-18</v>
          </cell>
          <cell r="CP146">
            <v>-18</v>
          </cell>
          <cell r="CQ146">
            <v>-18</v>
          </cell>
          <cell r="CR146">
            <v>-18</v>
          </cell>
          <cell r="CS146">
            <v>-18</v>
          </cell>
          <cell r="CT146">
            <v>-18</v>
          </cell>
          <cell r="CU146">
            <v>-18</v>
          </cell>
          <cell r="CV146">
            <v>-18</v>
          </cell>
          <cell r="CW146">
            <v>-18</v>
          </cell>
          <cell r="CX146">
            <v>-18</v>
          </cell>
          <cell r="CY146">
            <v>-18</v>
          </cell>
          <cell r="CZ146">
            <v>-18</v>
          </cell>
          <cell r="DA146">
            <v>-18</v>
          </cell>
          <cell r="DB146">
            <v>-18</v>
          </cell>
          <cell r="DC146">
            <v>-18</v>
          </cell>
          <cell r="DD146">
            <v>-18</v>
          </cell>
          <cell r="DE146">
            <v>-18</v>
          </cell>
          <cell r="DF146">
            <v>-18</v>
          </cell>
          <cell r="DG146">
            <v>-18</v>
          </cell>
          <cell r="DH146">
            <v>-18</v>
          </cell>
          <cell r="DI146">
            <v>-18</v>
          </cell>
          <cell r="DJ146">
            <v>-18</v>
          </cell>
          <cell r="DK146">
            <v>-18</v>
          </cell>
          <cell r="DL146">
            <v>-18</v>
          </cell>
          <cell r="DM146">
            <v>-18</v>
          </cell>
          <cell r="DN146">
            <v>-18</v>
          </cell>
          <cell r="DO146">
            <v>-18</v>
          </cell>
          <cell r="DP146">
            <v>-18</v>
          </cell>
          <cell r="DQ146">
            <v>-18</v>
          </cell>
          <cell r="DR146">
            <v>-18</v>
          </cell>
          <cell r="DS146">
            <v>-18</v>
          </cell>
          <cell r="DT146">
            <v>-18</v>
          </cell>
          <cell r="DU146">
            <v>-18</v>
          </cell>
          <cell r="DV146">
            <v>-18</v>
          </cell>
          <cell r="DW146">
            <v>-18</v>
          </cell>
          <cell r="DX146">
            <v>3033.3</v>
          </cell>
          <cell r="DY146">
            <v>367.9</v>
          </cell>
          <cell r="EM146">
            <v>0</v>
          </cell>
          <cell r="EN146">
            <v>1239.5999999999999</v>
          </cell>
          <cell r="EO146">
            <v>-215.8</v>
          </cell>
          <cell r="EP146">
            <v>-216</v>
          </cell>
          <cell r="EQ146">
            <v>-216</v>
          </cell>
          <cell r="ER146">
            <v>-216</v>
          </cell>
          <cell r="ES146">
            <v>-216</v>
          </cell>
        </row>
        <row r="147">
          <cell r="A147" t="str">
            <v>Other Operating Income / (Expense) Items</v>
          </cell>
          <cell r="B147" t="str">
            <v>Operating Revenue</v>
          </cell>
          <cell r="D147" t="str">
            <v>Other Revenues - Hardee Buy Sell</v>
          </cell>
          <cell r="E147" t="str">
            <v>Operating Revenue</v>
          </cell>
          <cell r="F147" t="str">
            <v>4950215</v>
          </cell>
          <cell r="G147" t="str">
            <v>A_4950215</v>
          </cell>
          <cell r="H147" t="str">
            <v>Other Revenues - Storm Recovery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577.4</v>
          </cell>
          <cell r="BZ147">
            <v>603.5</v>
          </cell>
          <cell r="CA147">
            <v>604.1</v>
          </cell>
          <cell r="CB147">
            <v>683.9</v>
          </cell>
          <cell r="CC147">
            <v>952.7</v>
          </cell>
          <cell r="CD147">
            <v>-5.7</v>
          </cell>
          <cell r="CE147">
            <v>-0.4</v>
          </cell>
          <cell r="CF147">
            <v>-0.1</v>
          </cell>
          <cell r="CG147">
            <v>-0.7</v>
          </cell>
          <cell r="CH147">
            <v>0.1</v>
          </cell>
          <cell r="CI147">
            <v>0.1</v>
          </cell>
          <cell r="CJ147">
            <v>0.1</v>
          </cell>
          <cell r="CK147">
            <v>0.2</v>
          </cell>
          <cell r="CL147">
            <v>0.3</v>
          </cell>
          <cell r="CM147">
            <v>0</v>
          </cell>
          <cell r="CN147">
            <v>0</v>
          </cell>
          <cell r="CO147">
            <v>-0.5</v>
          </cell>
          <cell r="CP147">
            <v>0</v>
          </cell>
          <cell r="CQ147">
            <v>0</v>
          </cell>
          <cell r="CR147">
            <v>-0.2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3421.6000000000004</v>
          </cell>
          <cell r="ER147">
            <v>-6.6000000000000014</v>
          </cell>
          <cell r="ES147">
            <v>-0.2</v>
          </cell>
        </row>
        <row r="148">
          <cell r="A148" t="str">
            <v>Misc Operating Revenues (excl Clause &amp; gr/ff)</v>
          </cell>
          <cell r="B148" t="str">
            <v>Operating Revenue</v>
          </cell>
          <cell r="D148" t="str">
            <v>Other Gas Revenues</v>
          </cell>
          <cell r="E148" t="str">
            <v>Operating Revenue</v>
          </cell>
          <cell r="F148" t="str">
            <v>4950220</v>
          </cell>
          <cell r="G148" t="str">
            <v>A_4950220</v>
          </cell>
          <cell r="H148" t="str">
            <v>Other Revenues - Daily Overage Usage Charge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0.6</v>
          </cell>
          <cell r="CH148">
            <v>0</v>
          </cell>
          <cell r="CI148">
            <v>4.5</v>
          </cell>
          <cell r="CJ148">
            <v>5.3</v>
          </cell>
          <cell r="CK148">
            <v>4.3</v>
          </cell>
          <cell r="CL148">
            <v>1</v>
          </cell>
          <cell r="CM148">
            <v>3.6</v>
          </cell>
          <cell r="CN148">
            <v>9.9</v>
          </cell>
          <cell r="CO148">
            <v>-4.9000000000000004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-123.6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24.300000000000004</v>
          </cell>
          <cell r="ES148">
            <v>0</v>
          </cell>
        </row>
        <row r="149">
          <cell r="A149" t="str">
            <v>ROI - CIBSR</v>
          </cell>
          <cell r="B149" t="str">
            <v>Operating Revenue</v>
          </cell>
          <cell r="D149" t="str">
            <v>Other Operating Revenues - CIBSR</v>
          </cell>
          <cell r="E149" t="str">
            <v>Operating Revenue</v>
          </cell>
          <cell r="F149" t="str">
            <v>4950271</v>
          </cell>
          <cell r="G149" t="str">
            <v>A_4950271</v>
          </cell>
          <cell r="H149" t="str">
            <v>CI/BSR Rider Revenue</v>
          </cell>
          <cell r="J149">
            <v>247.8</v>
          </cell>
          <cell r="K149">
            <v>255.2</v>
          </cell>
          <cell r="L149">
            <v>214.1</v>
          </cell>
          <cell r="M149">
            <v>193.1</v>
          </cell>
          <cell r="N149">
            <v>160.4</v>
          </cell>
          <cell r="O149">
            <v>153.1</v>
          </cell>
          <cell r="P149">
            <v>140.80000000000001</v>
          </cell>
          <cell r="Q149">
            <v>130.80000000000001</v>
          </cell>
          <cell r="R149">
            <v>140.30000000000001</v>
          </cell>
          <cell r="S149">
            <v>145.4</v>
          </cell>
          <cell r="T149">
            <v>163.9</v>
          </cell>
          <cell r="U149">
            <v>213.7</v>
          </cell>
          <cell r="V149">
            <v>392.4</v>
          </cell>
          <cell r="W149">
            <v>404.3</v>
          </cell>
          <cell r="X149">
            <v>391.9</v>
          </cell>
          <cell r="Y149">
            <v>293.89999999999998</v>
          </cell>
          <cell r="Z149">
            <v>238.7</v>
          </cell>
          <cell r="AA149">
            <v>243.3</v>
          </cell>
          <cell r="AB149">
            <v>222.7</v>
          </cell>
          <cell r="AC149">
            <v>227.1</v>
          </cell>
          <cell r="AD149">
            <v>219.6</v>
          </cell>
          <cell r="AE149">
            <v>227.3</v>
          </cell>
          <cell r="AF149">
            <v>248.7</v>
          </cell>
          <cell r="AG149">
            <v>292</v>
          </cell>
          <cell r="AH149">
            <v>503.6</v>
          </cell>
          <cell r="AI149">
            <v>555.79999999999995</v>
          </cell>
          <cell r="AJ149">
            <v>486.7</v>
          </cell>
          <cell r="AK149">
            <v>423.6</v>
          </cell>
          <cell r="AL149">
            <v>371.7</v>
          </cell>
          <cell r="AM149">
            <v>335.1</v>
          </cell>
          <cell r="AN149">
            <v>316</v>
          </cell>
          <cell r="AO149">
            <v>292.7</v>
          </cell>
          <cell r="AP149">
            <v>315.2</v>
          </cell>
          <cell r="AQ149">
            <v>310.2</v>
          </cell>
          <cell r="AR149">
            <v>361.3</v>
          </cell>
          <cell r="AS149">
            <v>431.8</v>
          </cell>
          <cell r="AT149">
            <v>466.5</v>
          </cell>
          <cell r="AU149">
            <v>437.7</v>
          </cell>
          <cell r="AV149">
            <v>412.2</v>
          </cell>
          <cell r="AW149">
            <v>401.6</v>
          </cell>
          <cell r="AX149">
            <v>342.8</v>
          </cell>
          <cell r="AY149">
            <v>308.7</v>
          </cell>
          <cell r="AZ149">
            <v>285.3</v>
          </cell>
          <cell r="BA149">
            <v>277.8</v>
          </cell>
          <cell r="BB149">
            <v>310.89999999999998</v>
          </cell>
          <cell r="BC149">
            <v>276.3</v>
          </cell>
          <cell r="BD149">
            <v>338.6</v>
          </cell>
          <cell r="BE149">
            <v>415.2</v>
          </cell>
          <cell r="BF149">
            <v>1347.1</v>
          </cell>
          <cell r="BG149">
            <v>1177.8</v>
          </cell>
          <cell r="BH149">
            <v>962.3</v>
          </cell>
          <cell r="BI149">
            <v>994.1</v>
          </cell>
          <cell r="BJ149">
            <v>799.3</v>
          </cell>
          <cell r="BK149">
            <v>757.6</v>
          </cell>
          <cell r="BL149">
            <v>675.4</v>
          </cell>
          <cell r="BM149">
            <v>651.1</v>
          </cell>
          <cell r="BN149">
            <v>715.2</v>
          </cell>
          <cell r="BO149">
            <v>656.8</v>
          </cell>
          <cell r="BP149">
            <v>727.5</v>
          </cell>
          <cell r="BQ149">
            <v>987.4</v>
          </cell>
          <cell r="BR149">
            <v>1198.9000000000001</v>
          </cell>
          <cell r="BS149">
            <v>1206.0999999999999</v>
          </cell>
          <cell r="BT149">
            <v>1002</v>
          </cell>
          <cell r="BU149">
            <v>928.3</v>
          </cell>
          <cell r="BV149">
            <v>834.2</v>
          </cell>
          <cell r="BW149">
            <v>715.4</v>
          </cell>
          <cell r="BX149">
            <v>678.9</v>
          </cell>
          <cell r="BY149">
            <v>673</v>
          </cell>
          <cell r="BZ149">
            <v>691</v>
          </cell>
          <cell r="CA149">
            <v>689.1</v>
          </cell>
          <cell r="CB149">
            <v>775.4</v>
          </cell>
          <cell r="CC149">
            <v>1058.4000000000001</v>
          </cell>
          <cell r="CD149">
            <v>2113.1</v>
          </cell>
          <cell r="CE149">
            <v>2057.6999999999998</v>
          </cell>
          <cell r="CF149">
            <v>1918.4</v>
          </cell>
          <cell r="CG149">
            <v>1444.4</v>
          </cell>
          <cell r="CH149">
            <v>1285.4000000000001</v>
          </cell>
          <cell r="CI149">
            <v>1282.8</v>
          </cell>
          <cell r="CJ149">
            <v>1174.8</v>
          </cell>
          <cell r="CK149">
            <v>1166.8</v>
          </cell>
          <cell r="CL149">
            <v>1155.5</v>
          </cell>
          <cell r="CM149">
            <v>1233.5</v>
          </cell>
          <cell r="CN149">
            <v>1427.1</v>
          </cell>
          <cell r="CO149">
            <v>1822.8</v>
          </cell>
          <cell r="CP149">
            <v>629.6</v>
          </cell>
          <cell r="CQ149">
            <v>575.4</v>
          </cell>
          <cell r="CR149">
            <v>493.9</v>
          </cell>
          <cell r="CS149">
            <v>482.3</v>
          </cell>
          <cell r="CT149">
            <v>400.1</v>
          </cell>
          <cell r="CU149">
            <v>371.8</v>
          </cell>
          <cell r="CV149">
            <v>361</v>
          </cell>
          <cell r="CW149">
            <v>325.60000000000002</v>
          </cell>
          <cell r="CX149">
            <v>347.6</v>
          </cell>
          <cell r="CY149">
            <v>339.9</v>
          </cell>
          <cell r="CZ149">
            <v>392.2</v>
          </cell>
          <cell r="DA149">
            <v>513</v>
          </cell>
          <cell r="DB149">
            <v>543.4</v>
          </cell>
          <cell r="DC149">
            <v>586.6</v>
          </cell>
          <cell r="DD149">
            <v>503.1</v>
          </cell>
          <cell r="DE149">
            <v>451.7</v>
          </cell>
          <cell r="DF149">
            <v>418.5</v>
          </cell>
          <cell r="DG149">
            <v>363.7</v>
          </cell>
          <cell r="DH149">
            <v>333.4</v>
          </cell>
          <cell r="DI149">
            <v>321.2</v>
          </cell>
          <cell r="DJ149">
            <v>334</v>
          </cell>
          <cell r="DK149">
            <v>365.6</v>
          </cell>
          <cell r="DL149">
            <v>389.8</v>
          </cell>
          <cell r="DM149">
            <v>467.2</v>
          </cell>
          <cell r="DN149">
            <v>1007.5</v>
          </cell>
          <cell r="DO149">
            <v>973.3</v>
          </cell>
          <cell r="DP149">
            <v>858.1</v>
          </cell>
          <cell r="DQ149">
            <v>762.5</v>
          </cell>
          <cell r="DR149">
            <v>672.4</v>
          </cell>
          <cell r="DS149">
            <v>626.79999999999995</v>
          </cell>
          <cell r="DT149">
            <v>595.79999999999995</v>
          </cell>
          <cell r="DU149">
            <v>574.9</v>
          </cell>
          <cell r="DV149">
            <v>589.1</v>
          </cell>
          <cell r="DW149">
            <v>596.29999999999995</v>
          </cell>
          <cell r="DX149">
            <v>674.2</v>
          </cell>
          <cell r="DY149">
            <v>868.2</v>
          </cell>
          <cell r="EM149">
            <v>3401.8999999999996</v>
          </cell>
          <cell r="EN149">
            <v>4703.7</v>
          </cell>
          <cell r="EO149">
            <v>4273.6000000000004</v>
          </cell>
          <cell r="EP149">
            <v>10451.6</v>
          </cell>
          <cell r="EQ149">
            <v>10450.699999999999</v>
          </cell>
          <cell r="ER149">
            <v>18082.299999999996</v>
          </cell>
          <cell r="ES149">
            <v>5232.3999999999996</v>
          </cell>
        </row>
        <row r="150">
          <cell r="A150" t="str">
            <v>Other Operating Income / (Expense) Items</v>
          </cell>
          <cell r="B150" t="str">
            <v>Operating Revenue</v>
          </cell>
          <cell r="D150" t="str">
            <v>Other Operating Revenues - Misc</v>
          </cell>
          <cell r="E150" t="str">
            <v>Operating Revenue</v>
          </cell>
          <cell r="F150" t="str">
            <v>4950800</v>
          </cell>
          <cell r="G150" t="str">
            <v>A_4950800</v>
          </cell>
          <cell r="H150" t="str">
            <v>Other Revenues - Miscellaneous</v>
          </cell>
          <cell r="J150">
            <v>-0.9</v>
          </cell>
          <cell r="K150">
            <v>-0.9</v>
          </cell>
          <cell r="L150">
            <v>-0.7</v>
          </cell>
          <cell r="M150">
            <v>-0.6</v>
          </cell>
          <cell r="N150">
            <v>-0.4</v>
          </cell>
          <cell r="O150">
            <v>-0.4</v>
          </cell>
          <cell r="P150">
            <v>-0.4</v>
          </cell>
          <cell r="Q150">
            <v>-0.3</v>
          </cell>
          <cell r="R150">
            <v>-0.4</v>
          </cell>
          <cell r="S150">
            <v>-0.4</v>
          </cell>
          <cell r="T150">
            <v>-0.5</v>
          </cell>
          <cell r="U150">
            <v>-0.7</v>
          </cell>
          <cell r="V150">
            <v>-76.5</v>
          </cell>
          <cell r="W150">
            <v>-81.8</v>
          </cell>
          <cell r="X150">
            <v>-76.099999999999994</v>
          </cell>
          <cell r="Y150">
            <v>-49.8</v>
          </cell>
          <cell r="Z150">
            <v>-38.1</v>
          </cell>
          <cell r="AA150">
            <v>-39.200000000000003</v>
          </cell>
          <cell r="AB150">
            <v>-33.700000000000003</v>
          </cell>
          <cell r="AC150">
            <v>-32.799999999999997</v>
          </cell>
          <cell r="AD150">
            <v>-32.1</v>
          </cell>
          <cell r="AE150">
            <v>-33.5</v>
          </cell>
          <cell r="AF150">
            <v>-38.799999999999997</v>
          </cell>
          <cell r="AG150">
            <v>-47.7</v>
          </cell>
          <cell r="AH150">
            <v>-80.7</v>
          </cell>
          <cell r="AI150">
            <v>-95.6</v>
          </cell>
          <cell r="AJ150">
            <v>-76.900000000000006</v>
          </cell>
          <cell r="AK150">
            <v>-61.3</v>
          </cell>
          <cell r="AL150">
            <v>-48.6</v>
          </cell>
          <cell r="AM150">
            <v>-41</v>
          </cell>
          <cell r="AN150">
            <v>-36.6</v>
          </cell>
          <cell r="AO150">
            <v>-35.4</v>
          </cell>
          <cell r="AP150">
            <v>-37.200000000000003</v>
          </cell>
          <cell r="AQ150">
            <v>-38.200000000000003</v>
          </cell>
          <cell r="AR150">
            <v>-48</v>
          </cell>
          <cell r="AS150">
            <v>-62.1</v>
          </cell>
          <cell r="AT150">
            <v>-106.4</v>
          </cell>
          <cell r="AU150">
            <v>-101.6</v>
          </cell>
          <cell r="AV150">
            <v>-91</v>
          </cell>
          <cell r="AW150">
            <v>-86.4</v>
          </cell>
          <cell r="AX150">
            <v>-70.7</v>
          </cell>
          <cell r="AY150">
            <v>-59.5</v>
          </cell>
          <cell r="AZ150">
            <v>-52.9</v>
          </cell>
          <cell r="BA150">
            <v>-46.3</v>
          </cell>
          <cell r="BB150">
            <v>-58.9</v>
          </cell>
          <cell r="BC150">
            <v>-56.5</v>
          </cell>
          <cell r="BD150">
            <v>-71.7</v>
          </cell>
          <cell r="BE150">
            <v>-93.3</v>
          </cell>
          <cell r="BF150">
            <v>-518.5</v>
          </cell>
          <cell r="BG150">
            <v>-433.8</v>
          </cell>
          <cell r="BH150">
            <v>322.89999999999998</v>
          </cell>
          <cell r="BI150">
            <v>334.6</v>
          </cell>
          <cell r="BJ150">
            <v>243.7</v>
          </cell>
          <cell r="BK150">
            <v>217.9</v>
          </cell>
          <cell r="BL150">
            <v>186</v>
          </cell>
          <cell r="BM150">
            <v>171.5</v>
          </cell>
          <cell r="BN150">
            <v>194.1</v>
          </cell>
          <cell r="BO150">
            <v>178.8</v>
          </cell>
          <cell r="BP150">
            <v>211.3</v>
          </cell>
          <cell r="BQ150">
            <v>332.1</v>
          </cell>
          <cell r="BR150">
            <v>-259.10000000000002</v>
          </cell>
          <cell r="BS150">
            <v>-264.7</v>
          </cell>
          <cell r="BT150">
            <v>-196.6</v>
          </cell>
          <cell r="BU150">
            <v>-184.5</v>
          </cell>
          <cell r="BV150">
            <v>-151</v>
          </cell>
          <cell r="BW150">
            <v>-117</v>
          </cell>
          <cell r="BX150">
            <v>-113</v>
          </cell>
          <cell r="BY150">
            <v>-104.9</v>
          </cell>
          <cell r="BZ150">
            <v>-115.3</v>
          </cell>
          <cell r="CA150">
            <v>-113.5</v>
          </cell>
          <cell r="CB150">
            <v>-137.30000000000001</v>
          </cell>
          <cell r="CC150">
            <v>-218.9</v>
          </cell>
          <cell r="CD150">
            <v>-213.6</v>
          </cell>
          <cell r="CE150">
            <v>-211.7</v>
          </cell>
          <cell r="CF150">
            <v>-190.9</v>
          </cell>
          <cell r="CG150">
            <v>-149.80000000000001</v>
          </cell>
          <cell r="CH150">
            <v>-132.5</v>
          </cell>
          <cell r="CI150">
            <v>-122</v>
          </cell>
          <cell r="CJ150">
            <v>-100.9</v>
          </cell>
          <cell r="CK150">
            <v>-99.8</v>
          </cell>
          <cell r="CL150">
            <v>-99.7</v>
          </cell>
          <cell r="CM150">
            <v>-106.1</v>
          </cell>
          <cell r="CN150">
            <v>-131.5</v>
          </cell>
          <cell r="CO150">
            <v>-185.2</v>
          </cell>
          <cell r="CP150">
            <v>-188.4</v>
          </cell>
          <cell r="CQ150">
            <v>-168</v>
          </cell>
          <cell r="CR150">
            <v>-136</v>
          </cell>
          <cell r="CS150">
            <v>-132.30000000000001</v>
          </cell>
          <cell r="CT150">
            <v>-98.1</v>
          </cell>
          <cell r="CU150">
            <v>-88.7</v>
          </cell>
          <cell r="CV150">
            <v>-82</v>
          </cell>
          <cell r="CW150">
            <v>-76</v>
          </cell>
          <cell r="CX150">
            <v>-82.6</v>
          </cell>
          <cell r="CY150">
            <v>-77.5</v>
          </cell>
          <cell r="CZ150">
            <v>-98.9</v>
          </cell>
          <cell r="DA150">
            <v>-143</v>
          </cell>
          <cell r="DB150">
            <v>905.9</v>
          </cell>
          <cell r="DC150">
            <v>1045.4000000000001</v>
          </cell>
          <cell r="DD150">
            <v>809.2</v>
          </cell>
          <cell r="DE150">
            <v>703.5</v>
          </cell>
          <cell r="DF150">
            <v>599.6</v>
          </cell>
          <cell r="DG150">
            <v>501.3</v>
          </cell>
          <cell r="DH150">
            <v>399.6</v>
          </cell>
          <cell r="DI150">
            <v>405.5</v>
          </cell>
          <cell r="DJ150">
            <v>429.2</v>
          </cell>
          <cell r="DK150">
            <v>514.29999999999995</v>
          </cell>
          <cell r="DL150">
            <v>566.9</v>
          </cell>
          <cell r="DM150">
            <v>725.1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EM150">
            <v>-580.1</v>
          </cell>
          <cell r="EN150">
            <v>-661.60000000000014</v>
          </cell>
          <cell r="EO150">
            <v>-895.19999999999982</v>
          </cell>
          <cell r="EP150">
            <v>1440.6</v>
          </cell>
          <cell r="EQ150">
            <v>-1975.8000000000002</v>
          </cell>
          <cell r="ER150">
            <v>-1743.7</v>
          </cell>
          <cell r="ES150">
            <v>-1371.5000000000002</v>
          </cell>
        </row>
        <row r="151">
          <cell r="F151" t="str">
            <v>495</v>
          </cell>
          <cell r="G151">
            <v>495</v>
          </cell>
          <cell r="J151">
            <v>4331.7000000000007</v>
          </cell>
          <cell r="K151">
            <v>5088.7</v>
          </cell>
          <cell r="L151">
            <v>4839.5</v>
          </cell>
          <cell r="M151">
            <v>3370.4</v>
          </cell>
          <cell r="N151">
            <v>2792.2</v>
          </cell>
          <cell r="O151">
            <v>2677.4999999999995</v>
          </cell>
          <cell r="P151">
            <v>2479.9</v>
          </cell>
          <cell r="Q151">
            <v>2343.2999999999997</v>
          </cell>
          <cell r="R151">
            <v>2482.1000000000004</v>
          </cell>
          <cell r="S151">
            <v>2951.5</v>
          </cell>
          <cell r="T151">
            <v>2941.1000000000004</v>
          </cell>
          <cell r="U151">
            <v>3932.1</v>
          </cell>
          <cell r="V151">
            <v>4586.5</v>
          </cell>
          <cell r="W151">
            <v>4865.7</v>
          </cell>
          <cell r="X151">
            <v>4895.2999999999993</v>
          </cell>
          <cell r="Y151">
            <v>3543.4999999999991</v>
          </cell>
          <cell r="Z151">
            <v>2780.7000000000003</v>
          </cell>
          <cell r="AA151">
            <v>2874.1000000000013</v>
          </cell>
          <cell r="AB151">
            <v>3582.5</v>
          </cell>
          <cell r="AC151">
            <v>2445.5</v>
          </cell>
          <cell r="AD151">
            <v>2937.2</v>
          </cell>
          <cell r="AE151">
            <v>3085.7000000000007</v>
          </cell>
          <cell r="AF151">
            <v>3093.9999999999995</v>
          </cell>
          <cell r="AG151">
            <v>3634.9000000000005</v>
          </cell>
          <cell r="AH151">
            <v>4366.9000000000005</v>
          </cell>
          <cell r="AI151">
            <v>5756.5</v>
          </cell>
          <cell r="AJ151">
            <v>4318.2000000000007</v>
          </cell>
          <cell r="AK151">
            <v>3392.4000000000005</v>
          </cell>
          <cell r="AL151">
            <v>3439.9</v>
          </cell>
          <cell r="AM151">
            <v>2841.6</v>
          </cell>
          <cell r="AN151">
            <v>2719.1</v>
          </cell>
          <cell r="AO151">
            <v>2443.1999999999998</v>
          </cell>
          <cell r="AP151">
            <v>2608.5</v>
          </cell>
          <cell r="AQ151">
            <v>3112.3999999999996</v>
          </cell>
          <cell r="AR151">
            <v>2955.5000000000005</v>
          </cell>
          <cell r="AS151">
            <v>3683.2999999999997</v>
          </cell>
          <cell r="AT151">
            <v>4231.8999999999996</v>
          </cell>
          <cell r="AU151">
            <v>4181</v>
          </cell>
          <cell r="AV151">
            <v>3653.2999999999997</v>
          </cell>
          <cell r="AW151">
            <v>3939.9999999999995</v>
          </cell>
          <cell r="AX151">
            <v>3085.9</v>
          </cell>
          <cell r="AY151">
            <v>2806.3</v>
          </cell>
          <cell r="AZ151">
            <v>2542.8000000000002</v>
          </cell>
          <cell r="BA151">
            <v>2600.5</v>
          </cell>
          <cell r="BB151">
            <v>2698.1999999999994</v>
          </cell>
          <cell r="BC151">
            <v>2700.6</v>
          </cell>
          <cell r="BD151">
            <v>3194.2000000000003</v>
          </cell>
          <cell r="BE151">
            <v>4154.8</v>
          </cell>
          <cell r="BF151">
            <v>6100.5</v>
          </cell>
          <cell r="BG151">
            <v>5441.4999999999991</v>
          </cell>
          <cell r="BH151">
            <v>5103.7999999999993</v>
          </cell>
          <cell r="BI151">
            <v>5263.1</v>
          </cell>
          <cell r="BJ151">
            <v>4475.3999999999996</v>
          </cell>
          <cell r="BK151">
            <v>4057.2</v>
          </cell>
          <cell r="BL151">
            <v>3735.5000000000005</v>
          </cell>
          <cell r="BM151">
            <v>3462.6000000000004</v>
          </cell>
          <cell r="BN151">
            <v>3830.7999999999997</v>
          </cell>
          <cell r="BO151">
            <v>4020.2</v>
          </cell>
          <cell r="BP151">
            <v>3948.2000000000003</v>
          </cell>
          <cell r="BQ151">
            <v>5529.9</v>
          </cell>
          <cell r="BR151">
            <v>6086.9</v>
          </cell>
          <cell r="BS151">
            <v>5960.9000000000005</v>
          </cell>
          <cell r="BT151">
            <v>5491.2999999999993</v>
          </cell>
          <cell r="BU151">
            <v>4477.2000000000007</v>
          </cell>
          <cell r="BV151">
            <v>4127.8</v>
          </cell>
          <cell r="BW151">
            <v>3639.7000000000003</v>
          </cell>
          <cell r="BX151">
            <v>3492.3999999999996</v>
          </cell>
          <cell r="BY151">
            <v>3948.9</v>
          </cell>
          <cell r="BZ151">
            <v>4139.8</v>
          </cell>
          <cell r="CA151">
            <v>4225.2000000000007</v>
          </cell>
          <cell r="CB151">
            <v>4619</v>
          </cell>
          <cell r="CC151">
            <v>6212.5</v>
          </cell>
          <cell r="CD151">
            <v>6898.1</v>
          </cell>
          <cell r="CE151">
            <v>6793.1</v>
          </cell>
          <cell r="CF151">
            <v>6167.7000000000007</v>
          </cell>
          <cell r="CG151">
            <v>4748.6000000000004</v>
          </cell>
          <cell r="CH151">
            <v>4214.3999999999996</v>
          </cell>
          <cell r="CI151">
            <v>4136.2000000000007</v>
          </cell>
          <cell r="CJ151">
            <v>4029.1999999999994</v>
          </cell>
          <cell r="CK151">
            <v>3933.7999999999993</v>
          </cell>
          <cell r="CL151">
            <v>3975.8000000000006</v>
          </cell>
          <cell r="CM151">
            <v>4086.7999999999997</v>
          </cell>
          <cell r="CN151">
            <v>4699</v>
          </cell>
          <cell r="CO151">
            <v>6185.1000000000013</v>
          </cell>
          <cell r="CP151">
            <v>6351.3000000000011</v>
          </cell>
          <cell r="CQ151">
            <v>6868.2</v>
          </cell>
          <cell r="CR151">
            <v>3985.7</v>
          </cell>
          <cell r="CS151">
            <v>4781.3999999999996</v>
          </cell>
          <cell r="CT151">
            <v>4019.7999999999997</v>
          </cell>
          <cell r="CU151">
            <v>3749.0000000000005</v>
          </cell>
          <cell r="CV151">
            <v>3831.7999999999997</v>
          </cell>
          <cell r="CW151">
            <v>3456.7</v>
          </cell>
          <cell r="CX151">
            <v>3459.7999999999997</v>
          </cell>
          <cell r="CY151">
            <v>3716.7000000000007</v>
          </cell>
          <cell r="CZ151">
            <v>4769.2</v>
          </cell>
          <cell r="DA151">
            <v>5290.1</v>
          </cell>
          <cell r="DB151">
            <v>7535.4999999999991</v>
          </cell>
          <cell r="DC151">
            <v>8355.5</v>
          </cell>
          <cell r="DD151">
            <v>7354.7999999999993</v>
          </cell>
          <cell r="DE151">
            <v>6210.9</v>
          </cell>
          <cell r="DF151">
            <v>5621.7000000000007</v>
          </cell>
          <cell r="DG151">
            <v>5065.3999999999996</v>
          </cell>
          <cell r="DH151">
            <v>4521.1000000000004</v>
          </cell>
          <cell r="DI151">
            <v>4492.3999999999996</v>
          </cell>
          <cell r="DJ151">
            <v>4586.2</v>
          </cell>
          <cell r="DK151">
            <v>5199.6000000000004</v>
          </cell>
          <cell r="DL151">
            <v>5560.2999999999993</v>
          </cell>
          <cell r="DM151">
            <v>6581.2000000000007</v>
          </cell>
          <cell r="DN151">
            <v>6689.5</v>
          </cell>
          <cell r="DO151">
            <v>6661.5</v>
          </cell>
          <cell r="DP151">
            <v>5805.1</v>
          </cell>
          <cell r="DQ151">
            <v>5403.0999999999995</v>
          </cell>
          <cell r="DR151">
            <v>4754.3999999999996</v>
          </cell>
          <cell r="DS151">
            <v>4322.4999999999991</v>
          </cell>
          <cell r="DT151">
            <v>4027.1999999999989</v>
          </cell>
          <cell r="DU151">
            <v>3918.8999999999992</v>
          </cell>
          <cell r="DV151">
            <v>4065.9999999999995</v>
          </cell>
          <cell r="DW151">
            <v>4253.6999999999989</v>
          </cell>
          <cell r="DX151">
            <v>7894.3</v>
          </cell>
          <cell r="DY151">
            <v>6220.5999999999995</v>
          </cell>
          <cell r="EM151">
            <v>42325.600000000006</v>
          </cell>
          <cell r="EN151">
            <v>41637.500000000007</v>
          </cell>
          <cell r="EO151">
            <v>39789.5</v>
          </cell>
          <cell r="EP151">
            <v>54968.700000000004</v>
          </cell>
          <cell r="EQ151">
            <v>56421.600000000006</v>
          </cell>
          <cell r="ER151">
            <v>59867.80000000001</v>
          </cell>
          <cell r="ES151">
            <v>54279.69999999999</v>
          </cell>
        </row>
        <row r="152">
          <cell r="A152" t="str">
            <v>O&amp;M (Net of pass-throughs)</v>
          </cell>
          <cell r="B152" t="str">
            <v>Operations &amp; Maintenance Expense (incl clause)</v>
          </cell>
          <cell r="E152" t="str">
            <v>Operations &amp; Maintenance Expense</v>
          </cell>
          <cell r="F152" t="str">
            <v>6010110</v>
          </cell>
          <cell r="G152" t="str">
            <v>A_6010110</v>
          </cell>
          <cell r="H152" t="str">
            <v>Labor Exempt - Straight Time</v>
          </cell>
          <cell r="J152">
            <v>922.4</v>
          </cell>
          <cell r="K152">
            <v>789.3</v>
          </cell>
          <cell r="L152">
            <v>834.4</v>
          </cell>
          <cell r="M152">
            <v>891.1</v>
          </cell>
          <cell r="N152">
            <v>891.5</v>
          </cell>
          <cell r="O152">
            <v>854.1</v>
          </cell>
          <cell r="P152">
            <v>941.4</v>
          </cell>
          <cell r="Q152">
            <v>865.3</v>
          </cell>
          <cell r="R152">
            <v>905</v>
          </cell>
          <cell r="S152">
            <v>934.8</v>
          </cell>
          <cell r="T152">
            <v>811</v>
          </cell>
          <cell r="U152">
            <v>914.1</v>
          </cell>
          <cell r="V152">
            <v>634.6</v>
          </cell>
          <cell r="W152">
            <v>728.4</v>
          </cell>
          <cell r="X152">
            <v>787.9</v>
          </cell>
          <cell r="Y152">
            <v>740.1</v>
          </cell>
          <cell r="Z152">
            <v>730.6</v>
          </cell>
          <cell r="AA152">
            <v>754.7</v>
          </cell>
          <cell r="AB152">
            <v>780.2</v>
          </cell>
          <cell r="AC152">
            <v>762</v>
          </cell>
          <cell r="AD152">
            <v>746.6</v>
          </cell>
          <cell r="AE152">
            <v>821.9</v>
          </cell>
          <cell r="AF152">
            <v>754.6</v>
          </cell>
          <cell r="AG152">
            <v>737.2</v>
          </cell>
          <cell r="AH152">
            <v>621.79999999999995</v>
          </cell>
          <cell r="AI152">
            <v>859.5</v>
          </cell>
          <cell r="AJ152">
            <v>836.1</v>
          </cell>
          <cell r="AK152">
            <v>871.1</v>
          </cell>
          <cell r="AL152">
            <v>919.2</v>
          </cell>
          <cell r="AM152">
            <v>875.9</v>
          </cell>
          <cell r="AN152">
            <v>792.8</v>
          </cell>
          <cell r="AO152">
            <v>981.9</v>
          </cell>
          <cell r="AP152">
            <v>914.1</v>
          </cell>
          <cell r="AQ152">
            <v>929.2</v>
          </cell>
          <cell r="AR152">
            <v>934.2</v>
          </cell>
          <cell r="AS152">
            <v>788.8</v>
          </cell>
          <cell r="AT152">
            <v>759.8</v>
          </cell>
          <cell r="AU152">
            <v>987.1</v>
          </cell>
          <cell r="AV152">
            <v>950</v>
          </cell>
          <cell r="AW152">
            <v>815.5</v>
          </cell>
          <cell r="AX152">
            <v>1035</v>
          </cell>
          <cell r="AY152">
            <v>886.8</v>
          </cell>
          <cell r="AZ152">
            <v>813.5</v>
          </cell>
          <cell r="BA152">
            <v>1123.5999999999999</v>
          </cell>
          <cell r="BB152">
            <v>940.5</v>
          </cell>
          <cell r="BC152">
            <v>1017.8</v>
          </cell>
          <cell r="BD152">
            <v>1040.2</v>
          </cell>
          <cell r="BE152">
            <v>801.8</v>
          </cell>
          <cell r="BF152">
            <v>865.2</v>
          </cell>
          <cell r="BG152">
            <v>1087.2</v>
          </cell>
          <cell r="BH152">
            <v>1137.4000000000001</v>
          </cell>
          <cell r="BI152">
            <v>1029.5999999999999</v>
          </cell>
          <cell r="BJ152">
            <v>1175.5</v>
          </cell>
          <cell r="BK152">
            <v>1057.3</v>
          </cell>
          <cell r="BL152">
            <v>915.6</v>
          </cell>
          <cell r="BM152">
            <v>1309.3</v>
          </cell>
          <cell r="BN152">
            <v>1040</v>
          </cell>
          <cell r="BO152">
            <v>1303.5</v>
          </cell>
          <cell r="BP152">
            <v>1231.5</v>
          </cell>
          <cell r="BQ152">
            <v>971.9</v>
          </cell>
          <cell r="BR152">
            <v>1077.9000000000001</v>
          </cell>
          <cell r="BS152">
            <v>1198.4000000000001</v>
          </cell>
          <cell r="BT152">
            <v>1271.0999999999999</v>
          </cell>
          <cell r="BU152">
            <v>1244.4000000000001</v>
          </cell>
          <cell r="BV152">
            <v>1445.1</v>
          </cell>
          <cell r="BW152">
            <v>1163.3</v>
          </cell>
          <cell r="BX152">
            <v>1228.5</v>
          </cell>
          <cell r="BY152">
            <v>1489.2</v>
          </cell>
          <cell r="BZ152">
            <v>1264.0999999999999</v>
          </cell>
          <cell r="CA152">
            <v>1455.7</v>
          </cell>
          <cell r="CB152">
            <v>1318.4</v>
          </cell>
          <cell r="CC152">
            <v>1197</v>
          </cell>
          <cell r="CD152">
            <v>1132.7</v>
          </cell>
          <cell r="CE152">
            <v>1386.9</v>
          </cell>
          <cell r="CF152">
            <v>1621.7</v>
          </cell>
          <cell r="CG152">
            <v>1525.7</v>
          </cell>
          <cell r="CH152">
            <v>1633.3</v>
          </cell>
          <cell r="CI152">
            <v>1541.6</v>
          </cell>
          <cell r="CJ152">
            <v>1572.1</v>
          </cell>
          <cell r="CK152">
            <v>1525.9</v>
          </cell>
          <cell r="CL152">
            <v>1513.1</v>
          </cell>
          <cell r="CM152">
            <v>1662.1</v>
          </cell>
          <cell r="CN152">
            <v>1492.3</v>
          </cell>
          <cell r="CO152">
            <v>1038.5</v>
          </cell>
          <cell r="CP152">
            <v>1436.7</v>
          </cell>
          <cell r="CQ152">
            <v>1612.1</v>
          </cell>
          <cell r="CR152">
            <v>1763.9</v>
          </cell>
          <cell r="CS152">
            <v>1601.5</v>
          </cell>
          <cell r="CT152">
            <v>1591.8</v>
          </cell>
          <cell r="CU152">
            <v>1459.4</v>
          </cell>
          <cell r="CV152">
            <v>1624.2</v>
          </cell>
          <cell r="CW152">
            <v>1644.6</v>
          </cell>
          <cell r="CX152">
            <v>1540.9</v>
          </cell>
          <cell r="CY152">
            <v>1670.4</v>
          </cell>
          <cell r="CZ152">
            <v>1779.6</v>
          </cell>
          <cell r="DA152">
            <v>1153.9000000000001</v>
          </cell>
          <cell r="DB152">
            <v>1589</v>
          </cell>
          <cell r="DC152">
            <v>1821.3</v>
          </cell>
          <cell r="DD152">
            <v>2015.4</v>
          </cell>
          <cell r="DE152">
            <v>1790.7</v>
          </cell>
          <cell r="DF152">
            <v>2046.6</v>
          </cell>
          <cell r="DG152">
            <v>2006.4</v>
          </cell>
          <cell r="DH152">
            <v>1912.1</v>
          </cell>
          <cell r="DI152">
            <v>2279.3000000000002</v>
          </cell>
          <cell r="DJ152">
            <v>2088.5</v>
          </cell>
          <cell r="DK152">
            <v>2359.1999999999998</v>
          </cell>
          <cell r="DL152">
            <v>2249.1</v>
          </cell>
          <cell r="DM152">
            <v>1606.9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EM152">
            <v>8978.8000000000011</v>
          </cell>
          <cell r="EN152">
            <v>10324.6</v>
          </cell>
          <cell r="EO152">
            <v>11171.599999999999</v>
          </cell>
          <cell r="EP152">
            <v>13124</v>
          </cell>
          <cell r="EQ152">
            <v>15353.100000000002</v>
          </cell>
          <cell r="ER152">
            <v>17645.900000000001</v>
          </cell>
          <cell r="ES152">
            <v>18879.000000000004</v>
          </cell>
        </row>
        <row r="153">
          <cell r="A153" t="str">
            <v>O&amp;M (Net of pass-throughs)</v>
          </cell>
          <cell r="B153" t="str">
            <v>Operations &amp; Maintenance Expense (incl clause)</v>
          </cell>
          <cell r="E153" t="str">
            <v>Operations &amp; Maintenance Expense</v>
          </cell>
          <cell r="F153" t="str">
            <v>6010120</v>
          </cell>
          <cell r="G153" t="str">
            <v>A_6010120</v>
          </cell>
          <cell r="H153" t="str">
            <v>Labor Exempt - Overtime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33.6</v>
          </cell>
          <cell r="BC153">
            <v>-8.6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103.8</v>
          </cell>
          <cell r="BP153">
            <v>9.5</v>
          </cell>
          <cell r="BQ153">
            <v>1.2</v>
          </cell>
          <cell r="BR153">
            <v>-0.3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0.3</v>
          </cell>
          <cell r="CB153">
            <v>-0.3</v>
          </cell>
          <cell r="CC153">
            <v>0</v>
          </cell>
          <cell r="CD153">
            <v>0</v>
          </cell>
          <cell r="CE153">
            <v>0.2</v>
          </cell>
          <cell r="CF153">
            <v>-0.2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0.2</v>
          </cell>
          <cell r="CW153">
            <v>-0.2</v>
          </cell>
          <cell r="CX153">
            <v>0</v>
          </cell>
          <cell r="CY153">
            <v>0.3</v>
          </cell>
          <cell r="CZ153">
            <v>-0.3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61</v>
          </cell>
          <cell r="DL153">
            <v>-2.9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EM153">
            <v>2</v>
          </cell>
          <cell r="EN153">
            <v>0</v>
          </cell>
          <cell r="EO153">
            <v>25</v>
          </cell>
          <cell r="EP153">
            <v>114.5</v>
          </cell>
          <cell r="EQ153">
            <v>-0.3</v>
          </cell>
          <cell r="ER153">
            <v>0</v>
          </cell>
          <cell r="ES153">
            <v>0</v>
          </cell>
        </row>
        <row r="154">
          <cell r="A154" t="str">
            <v>O&amp;M (Net of pass-throughs)</v>
          </cell>
          <cell r="B154" t="str">
            <v>Operations &amp; Maintenance Expense (incl clause)</v>
          </cell>
          <cell r="E154" t="str">
            <v>Operations &amp; Maintenance Expense</v>
          </cell>
          <cell r="F154" t="str">
            <v>6010130</v>
          </cell>
          <cell r="G154" t="str">
            <v>A_6010130</v>
          </cell>
          <cell r="H154" t="str">
            <v>Labor Exempt - Non-Productive Time</v>
          </cell>
          <cell r="J154">
            <v>5.9</v>
          </cell>
          <cell r="K154">
            <v>1.8</v>
          </cell>
          <cell r="L154">
            <v>0.5</v>
          </cell>
          <cell r="M154">
            <v>0.5</v>
          </cell>
          <cell r="N154">
            <v>0.5</v>
          </cell>
          <cell r="O154">
            <v>0.5</v>
          </cell>
          <cell r="P154">
            <v>0.5</v>
          </cell>
          <cell r="Q154">
            <v>0.5</v>
          </cell>
          <cell r="R154">
            <v>1.2</v>
          </cell>
          <cell r="S154">
            <v>0.4</v>
          </cell>
          <cell r="T154">
            <v>16.899999999999999</v>
          </cell>
          <cell r="U154">
            <v>12.8</v>
          </cell>
          <cell r="V154">
            <v>186.3</v>
          </cell>
          <cell r="W154">
            <v>39.6</v>
          </cell>
          <cell r="X154">
            <v>55.7</v>
          </cell>
          <cell r="Y154">
            <v>83.5</v>
          </cell>
          <cell r="Z154">
            <v>60.5</v>
          </cell>
          <cell r="AA154">
            <v>86.8</v>
          </cell>
          <cell r="AB154">
            <v>103.9</v>
          </cell>
          <cell r="AC154">
            <v>65</v>
          </cell>
          <cell r="AD154">
            <v>130.5</v>
          </cell>
          <cell r="AE154">
            <v>65.599999999999994</v>
          </cell>
          <cell r="AF154">
            <v>82.4</v>
          </cell>
          <cell r="AG154">
            <v>191.3</v>
          </cell>
          <cell r="AH154">
            <v>271.2</v>
          </cell>
          <cell r="AI154">
            <v>50.4</v>
          </cell>
          <cell r="AJ154">
            <v>152.30000000000001</v>
          </cell>
          <cell r="AK154">
            <v>46.8</v>
          </cell>
          <cell r="AL154">
            <v>74.599999999999994</v>
          </cell>
          <cell r="AM154">
            <v>112.3</v>
          </cell>
          <cell r="AN154">
            <v>164.3</v>
          </cell>
          <cell r="AO154">
            <v>89.3</v>
          </cell>
          <cell r="AP154">
            <v>127.8</v>
          </cell>
          <cell r="AQ154">
            <v>82.5</v>
          </cell>
          <cell r="AR154">
            <v>126.3</v>
          </cell>
          <cell r="AS154">
            <v>256.89999999999998</v>
          </cell>
          <cell r="AT154">
            <v>332.1</v>
          </cell>
          <cell r="AU154">
            <v>9.4</v>
          </cell>
          <cell r="AV154">
            <v>115.9</v>
          </cell>
          <cell r="AW154">
            <v>162.30000000000001</v>
          </cell>
          <cell r="AX154">
            <v>59.6</v>
          </cell>
          <cell r="AY154">
            <v>185.5</v>
          </cell>
          <cell r="AZ154">
            <v>231</v>
          </cell>
          <cell r="BA154">
            <v>58.7</v>
          </cell>
          <cell r="BB154">
            <v>141.19999999999999</v>
          </cell>
          <cell r="BC154">
            <v>118.2</v>
          </cell>
          <cell r="BD154">
            <v>99.6</v>
          </cell>
          <cell r="BE154">
            <v>288.3</v>
          </cell>
          <cell r="BF154">
            <v>393.7</v>
          </cell>
          <cell r="BG154">
            <v>-6.4</v>
          </cell>
          <cell r="BH154">
            <v>95.8</v>
          </cell>
          <cell r="BI154">
            <v>135.1</v>
          </cell>
          <cell r="BJ154">
            <v>102.4</v>
          </cell>
          <cell r="BK154">
            <v>135</v>
          </cell>
          <cell r="BL154">
            <v>346.6</v>
          </cell>
          <cell r="BM154">
            <v>72.900000000000006</v>
          </cell>
          <cell r="BN154">
            <v>162.30000000000001</v>
          </cell>
          <cell r="BO154">
            <v>133.80000000000001</v>
          </cell>
          <cell r="BP154">
            <v>139.6</v>
          </cell>
          <cell r="BQ154">
            <v>358.4</v>
          </cell>
          <cell r="BR154">
            <v>389.6</v>
          </cell>
          <cell r="BS154">
            <v>114.6</v>
          </cell>
          <cell r="BT154">
            <v>137.69999999999999</v>
          </cell>
          <cell r="BU154">
            <v>214.9</v>
          </cell>
          <cell r="BV154">
            <v>68.7</v>
          </cell>
          <cell r="BW154">
            <v>175.4</v>
          </cell>
          <cell r="BX154">
            <v>368.6</v>
          </cell>
          <cell r="BY154">
            <v>22.4</v>
          </cell>
          <cell r="BZ154">
            <v>180</v>
          </cell>
          <cell r="CA154">
            <v>154.19999999999999</v>
          </cell>
          <cell r="CB154">
            <v>172.5</v>
          </cell>
          <cell r="CC154">
            <v>384.8</v>
          </cell>
          <cell r="CD154">
            <v>554.29999999999995</v>
          </cell>
          <cell r="CE154">
            <v>54.4</v>
          </cell>
          <cell r="CF154">
            <v>139</v>
          </cell>
          <cell r="CG154">
            <v>148</v>
          </cell>
          <cell r="CH154">
            <v>3.9</v>
          </cell>
          <cell r="CI154">
            <v>168.2</v>
          </cell>
          <cell r="CJ154">
            <v>260.10000000000002</v>
          </cell>
          <cell r="CK154">
            <v>135.4</v>
          </cell>
          <cell r="CL154">
            <v>238.3</v>
          </cell>
          <cell r="CM154">
            <v>93.7</v>
          </cell>
          <cell r="CN154">
            <v>224.8</v>
          </cell>
          <cell r="CO154">
            <v>834.7</v>
          </cell>
          <cell r="CP154">
            <v>321.3</v>
          </cell>
          <cell r="CQ154">
            <v>36.299999999999997</v>
          </cell>
          <cell r="CR154">
            <v>153.5</v>
          </cell>
          <cell r="CS154">
            <v>213</v>
          </cell>
          <cell r="CT154">
            <v>133.30000000000001</v>
          </cell>
          <cell r="CU154">
            <v>356.7</v>
          </cell>
          <cell r="CV154">
            <v>155.1</v>
          </cell>
          <cell r="CW154">
            <v>150.30000000000001</v>
          </cell>
          <cell r="CX154">
            <v>299.89999999999998</v>
          </cell>
          <cell r="CY154">
            <v>115</v>
          </cell>
          <cell r="CZ154">
            <v>187.7</v>
          </cell>
          <cell r="DA154">
            <v>942.3</v>
          </cell>
          <cell r="DB154">
            <v>342.7</v>
          </cell>
          <cell r="DC154">
            <v>68.7</v>
          </cell>
          <cell r="DD154">
            <v>184.8</v>
          </cell>
          <cell r="DE154">
            <v>259.2</v>
          </cell>
          <cell r="DF154">
            <v>138.1</v>
          </cell>
          <cell r="DG154">
            <v>271.2</v>
          </cell>
          <cell r="DH154">
            <v>292.2</v>
          </cell>
          <cell r="DI154">
            <v>167.8</v>
          </cell>
          <cell r="DJ154">
            <v>366.9</v>
          </cell>
          <cell r="DK154">
            <v>40.5</v>
          </cell>
          <cell r="DL154">
            <v>221.4</v>
          </cell>
          <cell r="DM154">
            <v>955.8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EM154">
            <v>1151.0999999999999</v>
          </cell>
          <cell r="EN154">
            <v>1554.6999999999998</v>
          </cell>
          <cell r="EO154">
            <v>1801.8000000000002</v>
          </cell>
          <cell r="EP154">
            <v>2069.1999999999998</v>
          </cell>
          <cell r="EQ154">
            <v>2383.4</v>
          </cell>
          <cell r="ER154">
            <v>2854.8</v>
          </cell>
          <cell r="ES154">
            <v>3064.3999999999996</v>
          </cell>
        </row>
        <row r="155">
          <cell r="A155" t="str">
            <v>O&amp;M (Net of pass-throughs)</v>
          </cell>
          <cell r="B155" t="str">
            <v>Operations &amp; Maintenance Expense (incl clause)</v>
          </cell>
          <cell r="E155" t="str">
            <v>Operations &amp; Maintenance Expense</v>
          </cell>
          <cell r="F155" t="str">
            <v>6010130</v>
          </cell>
          <cell r="G155" t="str">
            <v>A_S6010130</v>
          </cell>
          <cell r="H155" t="str">
            <v>Settled Labor Exempt - Non-Productive Time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</row>
        <row r="156">
          <cell r="A156" t="str">
            <v>O&amp;M (Net of pass-throughs)</v>
          </cell>
          <cell r="B156" t="str">
            <v>Operations &amp; Maintenance Expense (incl clause)</v>
          </cell>
          <cell r="E156" t="str">
            <v>Operations &amp; Maintenance Expense</v>
          </cell>
          <cell r="F156" t="str">
            <v>6010140</v>
          </cell>
          <cell r="G156" t="str">
            <v>A_6010140</v>
          </cell>
          <cell r="H156" t="str">
            <v>Employer 401K Performance Match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</row>
        <row r="157">
          <cell r="A157" t="str">
            <v>O&amp;M (Net of pass-throughs)</v>
          </cell>
          <cell r="B157" t="str">
            <v>Operations &amp; Maintenance Expense (incl clause)</v>
          </cell>
          <cell r="E157" t="str">
            <v>Operations &amp; Maintenance Expense</v>
          </cell>
          <cell r="F157" t="str">
            <v>6010210</v>
          </cell>
          <cell r="G157" t="str">
            <v>A_6010210</v>
          </cell>
          <cell r="H157" t="str">
            <v>Labor Non Exempt - Straight Time</v>
          </cell>
          <cell r="J157">
            <v>1151.5</v>
          </cell>
          <cell r="K157">
            <v>1022.5</v>
          </cell>
          <cell r="L157">
            <v>1138</v>
          </cell>
          <cell r="M157">
            <v>1102.5</v>
          </cell>
          <cell r="N157">
            <v>1121.0999999999999</v>
          </cell>
          <cell r="O157">
            <v>1083.7</v>
          </cell>
          <cell r="P157">
            <v>1129.8</v>
          </cell>
          <cell r="Q157">
            <v>1118.7</v>
          </cell>
          <cell r="R157">
            <v>1089.4000000000001</v>
          </cell>
          <cell r="S157">
            <v>1131.3</v>
          </cell>
          <cell r="T157">
            <v>1090.8</v>
          </cell>
          <cell r="U157">
            <v>1133.2</v>
          </cell>
          <cell r="V157">
            <v>827.2</v>
          </cell>
          <cell r="W157">
            <v>937.9</v>
          </cell>
          <cell r="X157">
            <v>1025.2</v>
          </cell>
          <cell r="Y157">
            <v>976.8</v>
          </cell>
          <cell r="Z157">
            <v>1041</v>
          </cell>
          <cell r="AA157">
            <v>944.1</v>
          </cell>
          <cell r="AB157">
            <v>959.1</v>
          </cell>
          <cell r="AC157">
            <v>1013.2</v>
          </cell>
          <cell r="AD157">
            <v>919.6</v>
          </cell>
          <cell r="AE157">
            <v>1075.5</v>
          </cell>
          <cell r="AF157">
            <v>998.2</v>
          </cell>
          <cell r="AG157">
            <v>911.2</v>
          </cell>
          <cell r="AH157">
            <v>899.5</v>
          </cell>
          <cell r="AI157">
            <v>990.4</v>
          </cell>
          <cell r="AJ157">
            <v>940.4</v>
          </cell>
          <cell r="AK157">
            <v>1029</v>
          </cell>
          <cell r="AL157">
            <v>1050.2</v>
          </cell>
          <cell r="AM157">
            <v>965</v>
          </cell>
          <cell r="AN157">
            <v>941.3</v>
          </cell>
          <cell r="AO157">
            <v>921.2</v>
          </cell>
          <cell r="AP157">
            <v>933.5</v>
          </cell>
          <cell r="AQ157">
            <v>1004</v>
          </cell>
          <cell r="AR157">
            <v>987.7</v>
          </cell>
          <cell r="AS157">
            <v>921.3</v>
          </cell>
          <cell r="AT157">
            <v>831.1</v>
          </cell>
          <cell r="AU157">
            <v>1057.7</v>
          </cell>
          <cell r="AV157">
            <v>1064</v>
          </cell>
          <cell r="AW157">
            <v>931</v>
          </cell>
          <cell r="AX157">
            <v>1093.9000000000001</v>
          </cell>
          <cell r="AY157">
            <v>990.3</v>
          </cell>
          <cell r="AZ157">
            <v>907.5</v>
          </cell>
          <cell r="BA157">
            <v>1155.5</v>
          </cell>
          <cell r="BB157">
            <v>1023.5</v>
          </cell>
          <cell r="BC157">
            <v>1077.0999999999999</v>
          </cell>
          <cell r="BD157">
            <v>1068.9000000000001</v>
          </cell>
          <cell r="BE157">
            <v>942.6</v>
          </cell>
          <cell r="BF157">
            <v>868.1</v>
          </cell>
          <cell r="BG157">
            <v>1113.2</v>
          </cell>
          <cell r="BH157">
            <v>1110.4000000000001</v>
          </cell>
          <cell r="BI157">
            <v>1071.4000000000001</v>
          </cell>
          <cell r="BJ157">
            <v>1190.8</v>
          </cell>
          <cell r="BK157">
            <v>1008.6</v>
          </cell>
          <cell r="BL157">
            <v>960.7</v>
          </cell>
          <cell r="BM157">
            <v>1255.2</v>
          </cell>
          <cell r="BN157">
            <v>1042.8</v>
          </cell>
          <cell r="BO157">
            <v>1224</v>
          </cell>
          <cell r="BP157">
            <v>1142.5</v>
          </cell>
          <cell r="BQ157">
            <v>984.6</v>
          </cell>
          <cell r="BR157">
            <v>992.1</v>
          </cell>
          <cell r="BS157">
            <v>1073.4000000000001</v>
          </cell>
          <cell r="BT157">
            <v>1103.3</v>
          </cell>
          <cell r="BU157">
            <v>1054.8</v>
          </cell>
          <cell r="BV157">
            <v>1245.7</v>
          </cell>
          <cell r="BW157">
            <v>1018</v>
          </cell>
          <cell r="BX157">
            <v>1042</v>
          </cell>
          <cell r="BY157">
            <v>1272.5999999999999</v>
          </cell>
          <cell r="BZ157">
            <v>1077.9000000000001</v>
          </cell>
          <cell r="CA157">
            <v>1180.5</v>
          </cell>
          <cell r="CB157">
            <v>1140.5999999999999</v>
          </cell>
          <cell r="CC157">
            <v>1024.2</v>
          </cell>
          <cell r="CD157">
            <v>938.2</v>
          </cell>
          <cell r="CE157">
            <v>1125.9000000000001</v>
          </cell>
          <cell r="CF157">
            <v>1361.2</v>
          </cell>
          <cell r="CG157">
            <v>1238.9000000000001</v>
          </cell>
          <cell r="CH157">
            <v>1359.6</v>
          </cell>
          <cell r="CI157">
            <v>1205.0999999999999</v>
          </cell>
          <cell r="CJ157">
            <v>1235.5999999999999</v>
          </cell>
          <cell r="CK157">
            <v>1260.2</v>
          </cell>
          <cell r="CL157">
            <v>1154.0999999999999</v>
          </cell>
          <cell r="CM157">
            <v>1344.1</v>
          </cell>
          <cell r="CN157">
            <v>1214.2</v>
          </cell>
          <cell r="CO157">
            <v>1134.2</v>
          </cell>
          <cell r="CP157">
            <v>1253.8</v>
          </cell>
          <cell r="CQ157">
            <v>1329</v>
          </cell>
          <cell r="CR157">
            <v>1407.3</v>
          </cell>
          <cell r="CS157">
            <v>1348.8</v>
          </cell>
          <cell r="CT157">
            <v>1323.5</v>
          </cell>
          <cell r="CU157">
            <v>1215</v>
          </cell>
          <cell r="CV157">
            <v>1428.5</v>
          </cell>
          <cell r="CW157">
            <v>1392.5</v>
          </cell>
          <cell r="CX157">
            <v>1300.4000000000001</v>
          </cell>
          <cell r="CY157">
            <v>1384.8</v>
          </cell>
          <cell r="CZ157">
            <v>1422.7</v>
          </cell>
          <cell r="DA157">
            <v>1005.5</v>
          </cell>
          <cell r="DB157">
            <v>1221.0999999999999</v>
          </cell>
          <cell r="DC157">
            <v>1372.1</v>
          </cell>
          <cell r="DD157">
            <v>1423.8</v>
          </cell>
          <cell r="DE157">
            <v>1213.5999999999999</v>
          </cell>
          <cell r="DF157">
            <v>1541.3</v>
          </cell>
          <cell r="DG157">
            <v>1445.6</v>
          </cell>
          <cell r="DH157">
            <v>1374.2</v>
          </cell>
          <cell r="DI157">
            <v>1593</v>
          </cell>
          <cell r="DJ157">
            <v>1418.1</v>
          </cell>
          <cell r="DK157">
            <v>1602.5</v>
          </cell>
          <cell r="DL157">
            <v>1571.8</v>
          </cell>
          <cell r="DM157">
            <v>1144.5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EM157">
            <v>11629.000000000002</v>
          </cell>
          <cell r="EN157">
            <v>11583.5</v>
          </cell>
          <cell r="EO157">
            <v>12143.1</v>
          </cell>
          <cell r="EP157">
            <v>12972.300000000001</v>
          </cell>
          <cell r="EQ157">
            <v>13225.1</v>
          </cell>
          <cell r="ER157">
            <v>14571.300000000005</v>
          </cell>
          <cell r="ES157">
            <v>15811.800000000001</v>
          </cell>
        </row>
        <row r="158">
          <cell r="A158" t="str">
            <v>O&amp;M (Net of pass-throughs)</v>
          </cell>
          <cell r="B158" t="str">
            <v>Operations &amp; Maintenance Expense (incl clause)</v>
          </cell>
          <cell r="E158" t="str">
            <v>Operations &amp; Maintenance Expense</v>
          </cell>
          <cell r="F158" t="str">
            <v>6010220</v>
          </cell>
          <cell r="G158" t="str">
            <v>A_6010220</v>
          </cell>
          <cell r="H158" t="str">
            <v>Labor Non Exempt - Overtime</v>
          </cell>
          <cell r="J158">
            <v>150.6</v>
          </cell>
          <cell r="K158">
            <v>129.30000000000001</v>
          </cell>
          <cell r="L158">
            <v>157.6</v>
          </cell>
          <cell r="M158">
            <v>161.19999999999999</v>
          </cell>
          <cell r="N158">
            <v>169.1</v>
          </cell>
          <cell r="O158">
            <v>149.1</v>
          </cell>
          <cell r="P158">
            <v>148.5</v>
          </cell>
          <cell r="Q158">
            <v>200.6</v>
          </cell>
          <cell r="R158">
            <v>161.5</v>
          </cell>
          <cell r="S158">
            <v>166.6</v>
          </cell>
          <cell r="T158">
            <v>155.69999999999999</v>
          </cell>
          <cell r="U158">
            <v>163.30000000000001</v>
          </cell>
          <cell r="V158">
            <v>119.9</v>
          </cell>
          <cell r="W158">
            <v>158.80000000000001</v>
          </cell>
          <cell r="X158">
            <v>171.7</v>
          </cell>
          <cell r="Y158">
            <v>159.4</v>
          </cell>
          <cell r="Z158">
            <v>172</v>
          </cell>
          <cell r="AA158">
            <v>164.3</v>
          </cell>
          <cell r="AB158">
            <v>169.1</v>
          </cell>
          <cell r="AC158">
            <v>202.9</v>
          </cell>
          <cell r="AD158">
            <v>203.2</v>
          </cell>
          <cell r="AE158">
            <v>222</v>
          </cell>
          <cell r="AF158">
            <v>211.4</v>
          </cell>
          <cell r="AG158">
            <v>240.1</v>
          </cell>
          <cell r="AH158">
            <v>177.7</v>
          </cell>
          <cell r="AI158">
            <v>214.2</v>
          </cell>
          <cell r="AJ158">
            <v>189</v>
          </cell>
          <cell r="AK158">
            <v>188</v>
          </cell>
          <cell r="AL158">
            <v>211.5</v>
          </cell>
          <cell r="AM158">
            <v>200.2</v>
          </cell>
          <cell r="AN158">
            <v>196.4</v>
          </cell>
          <cell r="AO158">
            <v>190.4</v>
          </cell>
          <cell r="AP158">
            <v>199.6</v>
          </cell>
          <cell r="AQ158">
            <v>235.3</v>
          </cell>
          <cell r="AR158">
            <v>234.8</v>
          </cell>
          <cell r="AS158">
            <v>254</v>
          </cell>
          <cell r="AT158">
            <v>221.8</v>
          </cell>
          <cell r="AU158">
            <v>211.1</v>
          </cell>
          <cell r="AV158">
            <v>189.3</v>
          </cell>
          <cell r="AW158">
            <v>209.3</v>
          </cell>
          <cell r="AX158">
            <v>201.9</v>
          </cell>
          <cell r="AY158">
            <v>188.8</v>
          </cell>
          <cell r="AZ158">
            <v>223.3</v>
          </cell>
          <cell r="BA158">
            <v>214.3</v>
          </cell>
          <cell r="BB158">
            <v>238.9</v>
          </cell>
          <cell r="BC158">
            <v>197.4</v>
          </cell>
          <cell r="BD158">
            <v>270.60000000000002</v>
          </cell>
          <cell r="BE158">
            <v>237.4</v>
          </cell>
          <cell r="BF158">
            <v>278.10000000000002</v>
          </cell>
          <cell r="BG158">
            <v>170.3</v>
          </cell>
          <cell r="BH158">
            <v>184.1</v>
          </cell>
          <cell r="BI158">
            <v>218.1</v>
          </cell>
          <cell r="BJ158">
            <v>216.6</v>
          </cell>
          <cell r="BK158">
            <v>214</v>
          </cell>
          <cell r="BL158">
            <v>176.2</v>
          </cell>
          <cell r="BM158">
            <v>214.1</v>
          </cell>
          <cell r="BN158">
            <v>222</v>
          </cell>
          <cell r="BO158">
            <v>509.5</v>
          </cell>
          <cell r="BP158">
            <v>200.8</v>
          </cell>
          <cell r="BQ158">
            <v>235.2</v>
          </cell>
          <cell r="BR158">
            <v>239.8</v>
          </cell>
          <cell r="BS158">
            <v>230.2</v>
          </cell>
          <cell r="BT158">
            <v>230.8</v>
          </cell>
          <cell r="BU158">
            <v>232</v>
          </cell>
          <cell r="BV158">
            <v>231.1</v>
          </cell>
          <cell r="BW158">
            <v>186.3</v>
          </cell>
          <cell r="BX158">
            <v>247.4</v>
          </cell>
          <cell r="BY158">
            <v>291.89999999999998</v>
          </cell>
          <cell r="BZ158">
            <v>245</v>
          </cell>
          <cell r="CA158">
            <v>270.10000000000002</v>
          </cell>
          <cell r="CB158">
            <v>264.89999999999998</v>
          </cell>
          <cell r="CC158">
            <v>320.3</v>
          </cell>
          <cell r="CD158">
            <v>215.6</v>
          </cell>
          <cell r="CE158">
            <v>232.1</v>
          </cell>
          <cell r="CF158">
            <v>266.5</v>
          </cell>
          <cell r="CG158">
            <v>122.4</v>
          </cell>
          <cell r="CH158">
            <v>156.69999999999999</v>
          </cell>
          <cell r="CI158">
            <v>175.5</v>
          </cell>
          <cell r="CJ158">
            <v>178.6</v>
          </cell>
          <cell r="CK158">
            <v>185.9</v>
          </cell>
          <cell r="CL158">
            <v>206.4</v>
          </cell>
          <cell r="CM158">
            <v>195.6</v>
          </cell>
          <cell r="CN158">
            <v>241.1</v>
          </cell>
          <cell r="CO158">
            <v>291.3</v>
          </cell>
          <cell r="CP158">
            <v>263.10000000000002</v>
          </cell>
          <cell r="CQ158">
            <v>239.1</v>
          </cell>
          <cell r="CR158">
            <v>336.8</v>
          </cell>
          <cell r="CS158">
            <v>260</v>
          </cell>
          <cell r="CT158">
            <v>278.3</v>
          </cell>
          <cell r="CU158">
            <v>212</v>
          </cell>
          <cell r="CV158">
            <v>319</v>
          </cell>
          <cell r="CW158">
            <v>257.8</v>
          </cell>
          <cell r="CX158">
            <v>277</v>
          </cell>
          <cell r="CY158">
            <v>313</v>
          </cell>
          <cell r="CZ158">
            <v>295.60000000000002</v>
          </cell>
          <cell r="DA158">
            <v>301.8</v>
          </cell>
          <cell r="DB158">
            <v>303.3</v>
          </cell>
          <cell r="DC158">
            <v>320.60000000000002</v>
          </cell>
          <cell r="DD158">
            <v>291.7</v>
          </cell>
          <cell r="DE158">
            <v>295.89999999999998</v>
          </cell>
          <cell r="DF158">
            <v>325.60000000000002</v>
          </cell>
          <cell r="DG158">
            <v>369.6</v>
          </cell>
          <cell r="DH158">
            <v>319.3</v>
          </cell>
          <cell r="DI158">
            <v>389.9</v>
          </cell>
          <cell r="DJ158">
            <v>328.3</v>
          </cell>
          <cell r="DK158">
            <v>534.1</v>
          </cell>
          <cell r="DL158">
            <v>288.8</v>
          </cell>
          <cell r="DM158">
            <v>353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EM158">
            <v>2194.8000000000002</v>
          </cell>
          <cell r="EN158">
            <v>2491.1</v>
          </cell>
          <cell r="EO158">
            <v>2604.1</v>
          </cell>
          <cell r="EP158">
            <v>2839</v>
          </cell>
          <cell r="EQ158">
            <v>2989.8</v>
          </cell>
          <cell r="ER158">
            <v>2467.7000000000003</v>
          </cell>
          <cell r="ES158">
            <v>3353.5</v>
          </cell>
        </row>
        <row r="159">
          <cell r="A159" t="str">
            <v>O&amp;M (Net of pass-throughs)</v>
          </cell>
          <cell r="B159" t="str">
            <v>Operations &amp; Maintenance Expense (incl clause)</v>
          </cell>
          <cell r="E159" t="str">
            <v>Operations &amp; Maintenance Expense</v>
          </cell>
          <cell r="F159" t="str">
            <v>6010230</v>
          </cell>
          <cell r="G159" t="str">
            <v>A_6010230</v>
          </cell>
          <cell r="H159" t="str">
            <v>Labor Non Exempt - Non-Productive Time</v>
          </cell>
          <cell r="J159">
            <v>1.2</v>
          </cell>
          <cell r="K159">
            <v>3.6</v>
          </cell>
          <cell r="L159">
            <v>5.8</v>
          </cell>
          <cell r="M159">
            <v>1.4</v>
          </cell>
          <cell r="N159">
            <v>3.3</v>
          </cell>
          <cell r="O159">
            <v>8.3000000000000007</v>
          </cell>
          <cell r="P159">
            <v>9.4</v>
          </cell>
          <cell r="Q159">
            <v>12.1</v>
          </cell>
          <cell r="R159">
            <v>5.6</v>
          </cell>
          <cell r="S159">
            <v>-1.1000000000000001</v>
          </cell>
          <cell r="T159">
            <v>1.2</v>
          </cell>
          <cell r="U159">
            <v>5.7</v>
          </cell>
          <cell r="V159">
            <v>329.2</v>
          </cell>
          <cell r="W159">
            <v>96.5</v>
          </cell>
          <cell r="X159">
            <v>142.30000000000001</v>
          </cell>
          <cell r="Y159">
            <v>162.5</v>
          </cell>
          <cell r="Z159">
            <v>135.1</v>
          </cell>
          <cell r="AA159">
            <v>184.6</v>
          </cell>
          <cell r="AB159">
            <v>202.6</v>
          </cell>
          <cell r="AC159">
            <v>128.1</v>
          </cell>
          <cell r="AD159">
            <v>222</v>
          </cell>
          <cell r="AE159">
            <v>62.7</v>
          </cell>
          <cell r="AF159">
            <v>104.5</v>
          </cell>
          <cell r="AG159">
            <v>252</v>
          </cell>
          <cell r="AH159">
            <v>303.7</v>
          </cell>
          <cell r="AI159">
            <v>118.9</v>
          </cell>
          <cell r="AJ159">
            <v>243.6</v>
          </cell>
          <cell r="AK159">
            <v>101.6</v>
          </cell>
          <cell r="AL159">
            <v>122</v>
          </cell>
          <cell r="AM159">
            <v>190.2</v>
          </cell>
          <cell r="AN159">
            <v>259.60000000000002</v>
          </cell>
          <cell r="AO159">
            <v>39.9</v>
          </cell>
          <cell r="AP159">
            <v>167.8</v>
          </cell>
          <cell r="AQ159">
            <v>136.30000000000001</v>
          </cell>
          <cell r="AR159">
            <v>130.19999999999999</v>
          </cell>
          <cell r="AS159">
            <v>249</v>
          </cell>
          <cell r="AT159">
            <v>375.3</v>
          </cell>
          <cell r="AU159">
            <v>48.2</v>
          </cell>
          <cell r="AV159">
            <v>140.69999999999999</v>
          </cell>
          <cell r="AW159">
            <v>220.1</v>
          </cell>
          <cell r="AX159">
            <v>103.4</v>
          </cell>
          <cell r="AY159">
            <v>183.2</v>
          </cell>
          <cell r="AZ159">
            <v>270.89999999999998</v>
          </cell>
          <cell r="BA159">
            <v>61.4</v>
          </cell>
          <cell r="BB159">
            <v>149.80000000000001</v>
          </cell>
          <cell r="BC159">
            <v>138.69999999999999</v>
          </cell>
          <cell r="BD159">
            <v>124.7</v>
          </cell>
          <cell r="BE159">
            <v>271.10000000000002</v>
          </cell>
          <cell r="BF159">
            <v>415.7</v>
          </cell>
          <cell r="BG159">
            <v>27.4</v>
          </cell>
          <cell r="BH159">
            <v>154.69999999999999</v>
          </cell>
          <cell r="BI159">
            <v>175.6</v>
          </cell>
          <cell r="BJ159">
            <v>128.1</v>
          </cell>
          <cell r="BK159">
            <v>193.6</v>
          </cell>
          <cell r="BL159">
            <v>304.8</v>
          </cell>
          <cell r="BM159">
            <v>58.6</v>
          </cell>
          <cell r="BN159">
            <v>169.4</v>
          </cell>
          <cell r="BO159">
            <v>112.6</v>
          </cell>
          <cell r="BP159">
            <v>120.8</v>
          </cell>
          <cell r="BQ159">
            <v>275.2</v>
          </cell>
          <cell r="BR159">
            <v>361.8</v>
          </cell>
          <cell r="BS159">
            <v>104.7</v>
          </cell>
          <cell r="BT159">
            <v>139</v>
          </cell>
          <cell r="BU159">
            <v>218.5</v>
          </cell>
          <cell r="BV159">
            <v>89.6</v>
          </cell>
          <cell r="BW159">
            <v>222.9</v>
          </cell>
          <cell r="BX159">
            <v>301.89999999999998</v>
          </cell>
          <cell r="BY159">
            <v>34.200000000000003</v>
          </cell>
          <cell r="BZ159">
            <v>175.2</v>
          </cell>
          <cell r="CA159">
            <v>141.19999999999999</v>
          </cell>
          <cell r="CB159">
            <v>116.9</v>
          </cell>
          <cell r="CC159">
            <v>273.7</v>
          </cell>
          <cell r="CD159">
            <v>432</v>
          </cell>
          <cell r="CE159">
            <v>117.5</v>
          </cell>
          <cell r="CF159">
            <v>188.9</v>
          </cell>
          <cell r="CG159">
            <v>164.6</v>
          </cell>
          <cell r="CH159">
            <v>9.6</v>
          </cell>
          <cell r="CI159">
            <v>186</v>
          </cell>
          <cell r="CJ159">
            <v>209.3</v>
          </cell>
          <cell r="CK159">
            <v>122.5</v>
          </cell>
          <cell r="CL159">
            <v>239.7</v>
          </cell>
          <cell r="CM159">
            <v>67.3</v>
          </cell>
          <cell r="CN159">
            <v>136.30000000000001</v>
          </cell>
          <cell r="CO159">
            <v>613.9</v>
          </cell>
          <cell r="CP159">
            <v>261.89999999999998</v>
          </cell>
          <cell r="CQ159">
            <v>100.9</v>
          </cell>
          <cell r="CR159">
            <v>228.4</v>
          </cell>
          <cell r="CS159">
            <v>224</v>
          </cell>
          <cell r="CT159">
            <v>148.1</v>
          </cell>
          <cell r="CU159">
            <v>358</v>
          </cell>
          <cell r="CV159">
            <v>192.7</v>
          </cell>
          <cell r="CW159">
            <v>200</v>
          </cell>
          <cell r="CX159">
            <v>277.89999999999998</v>
          </cell>
          <cell r="CY159">
            <v>105</v>
          </cell>
          <cell r="CZ159">
            <v>146.69999999999999</v>
          </cell>
          <cell r="DA159">
            <v>642.6</v>
          </cell>
          <cell r="DB159">
            <v>306.5</v>
          </cell>
          <cell r="DC159">
            <v>87.6</v>
          </cell>
          <cell r="DD159">
            <v>211.6</v>
          </cell>
          <cell r="DE159">
            <v>286.10000000000002</v>
          </cell>
          <cell r="DF159">
            <v>74.599999999999994</v>
          </cell>
          <cell r="DG159">
            <v>303.89999999999998</v>
          </cell>
          <cell r="DH159">
            <v>279</v>
          </cell>
          <cell r="DI159">
            <v>166.5</v>
          </cell>
          <cell r="DJ159">
            <v>259.5</v>
          </cell>
          <cell r="DK159">
            <v>39.700000000000003</v>
          </cell>
          <cell r="DL159">
            <v>145</v>
          </cell>
          <cell r="DM159">
            <v>566.79999999999995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EM159">
            <v>2022.1</v>
          </cell>
          <cell r="EN159">
            <v>2062.8000000000002</v>
          </cell>
          <cell r="EO159">
            <v>2087.5000000000005</v>
          </cell>
          <cell r="EP159">
            <v>2136.4999999999995</v>
          </cell>
          <cell r="EQ159">
            <v>2179.6000000000004</v>
          </cell>
          <cell r="ER159">
            <v>2487.6</v>
          </cell>
          <cell r="ES159">
            <v>2886.2</v>
          </cell>
        </row>
        <row r="160">
          <cell r="A160" t="str">
            <v>O&amp;M (Net of pass-throughs)</v>
          </cell>
          <cell r="B160" t="str">
            <v>Operations &amp; Maintenance Expense (incl clause)</v>
          </cell>
          <cell r="E160" t="str">
            <v>Operations &amp; Maintenance Expense</v>
          </cell>
          <cell r="F160" t="str">
            <v>6010310</v>
          </cell>
          <cell r="G160" t="str">
            <v>A_6010310</v>
          </cell>
          <cell r="H160" t="str">
            <v>Labor Union - Straight Time</v>
          </cell>
          <cell r="J160">
            <v>557.70000000000005</v>
          </cell>
          <cell r="K160">
            <v>498.2</v>
          </cell>
          <cell r="L160">
            <v>560</v>
          </cell>
          <cell r="M160">
            <v>535.4</v>
          </cell>
          <cell r="N160">
            <v>555.29999999999995</v>
          </cell>
          <cell r="O160">
            <v>525.6</v>
          </cell>
          <cell r="P160">
            <v>534.70000000000005</v>
          </cell>
          <cell r="Q160">
            <v>541.29999999999995</v>
          </cell>
          <cell r="R160">
            <v>537</v>
          </cell>
          <cell r="S160">
            <v>546.20000000000005</v>
          </cell>
          <cell r="T160">
            <v>541.1</v>
          </cell>
          <cell r="U160">
            <v>556.29999999999995</v>
          </cell>
          <cell r="V160">
            <v>379.2</v>
          </cell>
          <cell r="W160">
            <v>431.9</v>
          </cell>
          <cell r="X160">
            <v>460.2</v>
          </cell>
          <cell r="Y160">
            <v>434.3</v>
          </cell>
          <cell r="Z160">
            <v>449.5</v>
          </cell>
          <cell r="AA160">
            <v>420.1</v>
          </cell>
          <cell r="AB160">
            <v>424.3</v>
          </cell>
          <cell r="AC160">
            <v>413.9</v>
          </cell>
          <cell r="AD160">
            <v>387.2</v>
          </cell>
          <cell r="AE160">
            <v>503.5</v>
          </cell>
          <cell r="AF160">
            <v>472.3</v>
          </cell>
          <cell r="AG160">
            <v>440.5</v>
          </cell>
          <cell r="AH160">
            <v>402.8</v>
          </cell>
          <cell r="AI160">
            <v>443.6</v>
          </cell>
          <cell r="AJ160">
            <v>461</v>
          </cell>
          <cell r="AK160">
            <v>463.8</v>
          </cell>
          <cell r="AL160">
            <v>483.8</v>
          </cell>
          <cell r="AM160">
            <v>413.3</v>
          </cell>
          <cell r="AN160">
            <v>381.6</v>
          </cell>
          <cell r="AO160">
            <v>693.2</v>
          </cell>
          <cell r="AP160">
            <v>496.9</v>
          </cell>
          <cell r="AQ160">
            <v>524.1</v>
          </cell>
          <cell r="AR160">
            <v>508.2</v>
          </cell>
          <cell r="AS160">
            <v>454.8</v>
          </cell>
          <cell r="AT160">
            <v>394</v>
          </cell>
          <cell r="AU160">
            <v>503.7</v>
          </cell>
          <cell r="AV160">
            <v>505.9</v>
          </cell>
          <cell r="AW160">
            <v>426.5</v>
          </cell>
          <cell r="AX160">
            <v>521.29999999999995</v>
          </cell>
          <cell r="AY160">
            <v>444.5</v>
          </cell>
          <cell r="AZ160">
            <v>431.5</v>
          </cell>
          <cell r="BA160">
            <v>546.9</v>
          </cell>
          <cell r="BB160">
            <v>458</v>
          </cell>
          <cell r="BC160">
            <v>495.1</v>
          </cell>
          <cell r="BD160">
            <v>489.2</v>
          </cell>
          <cell r="BE160">
            <v>416.8</v>
          </cell>
          <cell r="BF160">
            <v>376.3</v>
          </cell>
          <cell r="BG160">
            <v>481.8</v>
          </cell>
          <cell r="BH160">
            <v>459.5</v>
          </cell>
          <cell r="BI160">
            <v>419.2</v>
          </cell>
          <cell r="BJ160">
            <v>460.5</v>
          </cell>
          <cell r="BK160">
            <v>440.3</v>
          </cell>
          <cell r="BL160">
            <v>403.2</v>
          </cell>
          <cell r="BM160">
            <v>516.4</v>
          </cell>
          <cell r="BN160">
            <v>420.7</v>
          </cell>
          <cell r="BO160">
            <v>509.8</v>
          </cell>
          <cell r="BP160">
            <v>484.6</v>
          </cell>
          <cell r="BQ160">
            <v>407.7</v>
          </cell>
          <cell r="BR160">
            <v>394.3</v>
          </cell>
          <cell r="BS160">
            <v>431.9</v>
          </cell>
          <cell r="BT160">
            <v>434.2</v>
          </cell>
          <cell r="BU160">
            <v>411.9</v>
          </cell>
          <cell r="BV160">
            <v>473.5</v>
          </cell>
          <cell r="BW160">
            <v>405.3</v>
          </cell>
          <cell r="BX160">
            <v>408.3</v>
          </cell>
          <cell r="BY160">
            <v>529.20000000000005</v>
          </cell>
          <cell r="BZ160">
            <v>459.6</v>
          </cell>
          <cell r="CA160">
            <v>519.9</v>
          </cell>
          <cell r="CB160">
            <v>474.8</v>
          </cell>
          <cell r="CC160">
            <v>437.1</v>
          </cell>
          <cell r="CD160">
            <v>372.5</v>
          </cell>
          <cell r="CE160">
            <v>451.7</v>
          </cell>
          <cell r="CF160">
            <v>461</v>
          </cell>
          <cell r="CG160">
            <v>466</v>
          </cell>
          <cell r="CH160">
            <v>498.8</v>
          </cell>
          <cell r="CI160">
            <v>458</v>
          </cell>
          <cell r="CJ160">
            <v>488.1</v>
          </cell>
          <cell r="CK160">
            <v>478.2</v>
          </cell>
          <cell r="CL160">
            <v>438.6</v>
          </cell>
          <cell r="CM160">
            <v>517.70000000000005</v>
          </cell>
          <cell r="CN160">
            <v>471.4</v>
          </cell>
          <cell r="CO160">
            <v>143.30000000000001</v>
          </cell>
          <cell r="CP160">
            <v>325.7</v>
          </cell>
          <cell r="CQ160">
            <v>343.6</v>
          </cell>
          <cell r="CR160">
            <v>391.3</v>
          </cell>
          <cell r="CS160">
            <v>362.8</v>
          </cell>
          <cell r="CT160">
            <v>356.7</v>
          </cell>
          <cell r="CU160">
            <v>327.10000000000002</v>
          </cell>
          <cell r="CV160">
            <v>378.7</v>
          </cell>
          <cell r="CW160">
            <v>358.9</v>
          </cell>
          <cell r="CX160">
            <v>342.2</v>
          </cell>
          <cell r="CY160">
            <v>374.4</v>
          </cell>
          <cell r="CZ160">
            <v>368.4</v>
          </cell>
          <cell r="DA160">
            <v>285.60000000000002</v>
          </cell>
          <cell r="DB160">
            <v>324.89999999999998</v>
          </cell>
          <cell r="DC160">
            <v>324.10000000000002</v>
          </cell>
          <cell r="DD160">
            <v>349.1</v>
          </cell>
          <cell r="DE160">
            <v>324</v>
          </cell>
          <cell r="DF160">
            <v>381.3</v>
          </cell>
          <cell r="DG160">
            <v>365.1</v>
          </cell>
          <cell r="DH160">
            <v>349.3</v>
          </cell>
          <cell r="DI160">
            <v>382.6</v>
          </cell>
          <cell r="DJ160">
            <v>353.9</v>
          </cell>
          <cell r="DK160">
            <v>412.7</v>
          </cell>
          <cell r="DL160">
            <v>418.9</v>
          </cell>
          <cell r="DM160">
            <v>332.5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EM160">
            <v>5216.9000000000005</v>
          </cell>
          <cell r="EN160">
            <v>5727.1</v>
          </cell>
          <cell r="EO160">
            <v>5633.4</v>
          </cell>
          <cell r="EP160">
            <v>5380</v>
          </cell>
          <cell r="EQ160">
            <v>5380.0000000000009</v>
          </cell>
          <cell r="ER160">
            <v>5245.2999999999993</v>
          </cell>
          <cell r="ES160">
            <v>4215.3999999999996</v>
          </cell>
        </row>
        <row r="161">
          <cell r="A161" t="str">
            <v>O&amp;M (Net of pass-throughs)</v>
          </cell>
          <cell r="B161" t="str">
            <v>Operations &amp; Maintenance Expense (incl clause)</v>
          </cell>
          <cell r="E161" t="str">
            <v>Operations &amp; Maintenance Expense</v>
          </cell>
          <cell r="F161" t="str">
            <v>6010320</v>
          </cell>
          <cell r="G161" t="str">
            <v>A_6010320</v>
          </cell>
          <cell r="H161" t="str">
            <v>Labor Union - Overtime</v>
          </cell>
          <cell r="J161">
            <v>62.1</v>
          </cell>
          <cell r="K161">
            <v>47.9</v>
          </cell>
          <cell r="L161">
            <v>52.3</v>
          </cell>
          <cell r="M161">
            <v>69.900000000000006</v>
          </cell>
          <cell r="N161">
            <v>52.6</v>
          </cell>
          <cell r="O161">
            <v>52.6</v>
          </cell>
          <cell r="P161">
            <v>59.2</v>
          </cell>
          <cell r="Q161">
            <v>50.7</v>
          </cell>
          <cell r="R161">
            <v>68.5</v>
          </cell>
          <cell r="S161">
            <v>62.3</v>
          </cell>
          <cell r="T161">
            <v>71.2</v>
          </cell>
          <cell r="U161">
            <v>74.2</v>
          </cell>
          <cell r="V161">
            <v>44.5</v>
          </cell>
          <cell r="W161">
            <v>55.5</v>
          </cell>
          <cell r="X161">
            <v>65.5</v>
          </cell>
          <cell r="Y161">
            <v>57.1</v>
          </cell>
          <cell r="Z161">
            <v>81.900000000000006</v>
          </cell>
          <cell r="AA161">
            <v>83.4</v>
          </cell>
          <cell r="AB161">
            <v>74.599999999999994</v>
          </cell>
          <cell r="AC161">
            <v>83.4</v>
          </cell>
          <cell r="AD161">
            <v>95.5</v>
          </cell>
          <cell r="AE161">
            <v>109.5</v>
          </cell>
          <cell r="AF161">
            <v>131.6</v>
          </cell>
          <cell r="AG161">
            <v>131.5</v>
          </cell>
          <cell r="AH161">
            <v>88.3</v>
          </cell>
          <cell r="AI161">
            <v>119.5</v>
          </cell>
          <cell r="AJ161">
            <v>104.1</v>
          </cell>
          <cell r="AK161">
            <v>89.5</v>
          </cell>
          <cell r="AL161">
            <v>81.599999999999994</v>
          </cell>
          <cell r="AM161">
            <v>103.3</v>
          </cell>
          <cell r="AN161">
            <v>97.4</v>
          </cell>
          <cell r="AO161">
            <v>130.80000000000001</v>
          </cell>
          <cell r="AP161">
            <v>124.6</v>
          </cell>
          <cell r="AQ161">
            <v>157.19999999999999</v>
          </cell>
          <cell r="AR161">
            <v>138.9</v>
          </cell>
          <cell r="AS161">
            <v>113.2</v>
          </cell>
          <cell r="AT161">
            <v>203</v>
          </cell>
          <cell r="AU161">
            <v>56.5</v>
          </cell>
          <cell r="AV161">
            <v>104.4</v>
          </cell>
          <cell r="AW161">
            <v>122.2</v>
          </cell>
          <cell r="AX161">
            <v>92.8</v>
          </cell>
          <cell r="AY161">
            <v>98.9</v>
          </cell>
          <cell r="AZ161">
            <v>83.7</v>
          </cell>
          <cell r="BA161">
            <v>141.69999999999999</v>
          </cell>
          <cell r="BB161">
            <v>167</v>
          </cell>
          <cell r="BC161">
            <v>79.5</v>
          </cell>
          <cell r="BD161">
            <v>129.4</v>
          </cell>
          <cell r="BE161">
            <v>110.7</v>
          </cell>
          <cell r="BF161">
            <v>119.8</v>
          </cell>
          <cell r="BG161">
            <v>147</v>
          </cell>
          <cell r="BH161">
            <v>81.7</v>
          </cell>
          <cell r="BI161">
            <v>102.9</v>
          </cell>
          <cell r="BJ161">
            <v>87</v>
          </cell>
          <cell r="BK161">
            <v>116.2</v>
          </cell>
          <cell r="BL161">
            <v>103.1</v>
          </cell>
          <cell r="BM161">
            <v>125.9</v>
          </cell>
          <cell r="BN161">
            <v>91</v>
          </cell>
          <cell r="BO161">
            <v>248.8</v>
          </cell>
          <cell r="BP161">
            <v>112.8</v>
          </cell>
          <cell r="BQ161">
            <v>132.19999999999999</v>
          </cell>
          <cell r="BR161">
            <v>87.6</v>
          </cell>
          <cell r="BS161">
            <v>124.3</v>
          </cell>
          <cell r="BT161">
            <v>113.6</v>
          </cell>
          <cell r="BU161">
            <v>98.7</v>
          </cell>
          <cell r="BV161">
            <v>115.1</v>
          </cell>
          <cell r="BW161">
            <v>110.8</v>
          </cell>
          <cell r="BX161">
            <v>134</v>
          </cell>
          <cell r="BY161">
            <v>132.80000000000001</v>
          </cell>
          <cell r="BZ161">
            <v>123.5</v>
          </cell>
          <cell r="CA161">
            <v>143.80000000000001</v>
          </cell>
          <cell r="CB161">
            <v>125.5</v>
          </cell>
          <cell r="CC161">
            <v>140.1</v>
          </cell>
          <cell r="CD161">
            <v>145.19999999999999</v>
          </cell>
          <cell r="CE161">
            <v>104</v>
          </cell>
          <cell r="CF161">
            <v>114.1</v>
          </cell>
          <cell r="CG161">
            <v>57.6</v>
          </cell>
          <cell r="CH161">
            <v>85.3</v>
          </cell>
          <cell r="CI161">
            <v>56.9</v>
          </cell>
          <cell r="CJ161">
            <v>93.6</v>
          </cell>
          <cell r="CK161">
            <v>95.9</v>
          </cell>
          <cell r="CL161">
            <v>85.7</v>
          </cell>
          <cell r="CM161">
            <v>124.5</v>
          </cell>
          <cell r="CN161">
            <v>93.5</v>
          </cell>
          <cell r="CO161">
            <v>83</v>
          </cell>
          <cell r="CP161">
            <v>92.2</v>
          </cell>
          <cell r="CQ161">
            <v>78.900000000000006</v>
          </cell>
          <cell r="CR161">
            <v>90.7</v>
          </cell>
          <cell r="CS161">
            <v>84.5</v>
          </cell>
          <cell r="CT161">
            <v>88.5</v>
          </cell>
          <cell r="CU161">
            <v>96.2</v>
          </cell>
          <cell r="CV161">
            <v>115.9</v>
          </cell>
          <cell r="CW161">
            <v>85.8</v>
          </cell>
          <cell r="CX161">
            <v>124.6</v>
          </cell>
          <cell r="CY161">
            <v>81</v>
          </cell>
          <cell r="CZ161">
            <v>110.3</v>
          </cell>
          <cell r="DA161">
            <v>97</v>
          </cell>
          <cell r="DB161">
            <v>94.1</v>
          </cell>
          <cell r="DC161">
            <v>78.7</v>
          </cell>
          <cell r="DD161">
            <v>90.7</v>
          </cell>
          <cell r="DE161">
            <v>83.6</v>
          </cell>
          <cell r="DF161">
            <v>59.6</v>
          </cell>
          <cell r="DG161">
            <v>86.6</v>
          </cell>
          <cell r="DH161">
            <v>83.5</v>
          </cell>
          <cell r="DI161">
            <v>79</v>
          </cell>
          <cell r="DJ161">
            <v>68.3</v>
          </cell>
          <cell r="DK161">
            <v>149.6</v>
          </cell>
          <cell r="DL161">
            <v>71.099999999999994</v>
          </cell>
          <cell r="DM161">
            <v>86.8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EM161">
            <v>1014</v>
          </cell>
          <cell r="EN161">
            <v>1348.4</v>
          </cell>
          <cell r="EO161">
            <v>1389.8000000000002</v>
          </cell>
          <cell r="EP161">
            <v>1468.4</v>
          </cell>
          <cell r="EQ161">
            <v>1449.7999999999997</v>
          </cell>
          <cell r="ER161">
            <v>1139.3000000000002</v>
          </cell>
          <cell r="ES161">
            <v>1145.5999999999999</v>
          </cell>
        </row>
        <row r="162">
          <cell r="A162" t="str">
            <v>O&amp;M (Net of pass-throughs)</v>
          </cell>
          <cell r="B162" t="str">
            <v>Operations &amp; Maintenance Expense (incl clause)</v>
          </cell>
          <cell r="E162" t="str">
            <v>Operations &amp; Maintenance Expense</v>
          </cell>
          <cell r="F162" t="str">
            <v>6010330</v>
          </cell>
          <cell r="G162" t="str">
            <v>A_6010330</v>
          </cell>
          <cell r="H162" t="str">
            <v>Labor Union - Non-Productive Time</v>
          </cell>
          <cell r="J162">
            <v>1.9</v>
          </cell>
          <cell r="K162">
            <v>0.3</v>
          </cell>
          <cell r="L162">
            <v>0.8</v>
          </cell>
          <cell r="M162">
            <v>3.8</v>
          </cell>
          <cell r="N162">
            <v>5.8</v>
          </cell>
          <cell r="O162">
            <v>2.8</v>
          </cell>
          <cell r="P162">
            <v>1</v>
          </cell>
          <cell r="Q162">
            <v>0.3</v>
          </cell>
          <cell r="R162">
            <v>2</v>
          </cell>
          <cell r="S162">
            <v>-0.5</v>
          </cell>
          <cell r="T162">
            <v>0.4</v>
          </cell>
          <cell r="U162">
            <v>1.6</v>
          </cell>
          <cell r="V162">
            <v>176.7</v>
          </cell>
          <cell r="W162">
            <v>72.5</v>
          </cell>
          <cell r="X162">
            <v>76</v>
          </cell>
          <cell r="Y162">
            <v>80.5</v>
          </cell>
          <cell r="Z162">
            <v>53.6</v>
          </cell>
          <cell r="AA162">
            <v>86.9</v>
          </cell>
          <cell r="AB162">
            <v>88.3</v>
          </cell>
          <cell r="AC162">
            <v>60</v>
          </cell>
          <cell r="AD162">
            <v>97.2</v>
          </cell>
          <cell r="AE162">
            <v>17</v>
          </cell>
          <cell r="AF162">
            <v>48.9</v>
          </cell>
          <cell r="AG162">
            <v>109.9</v>
          </cell>
          <cell r="AH162">
            <v>139.1</v>
          </cell>
          <cell r="AI162">
            <v>70.900000000000006</v>
          </cell>
          <cell r="AJ162">
            <v>96.4</v>
          </cell>
          <cell r="AK162">
            <v>66.099999999999994</v>
          </cell>
          <cell r="AL162">
            <v>51.1</v>
          </cell>
          <cell r="AM162">
            <v>100.4</v>
          </cell>
          <cell r="AN162">
            <v>132.5</v>
          </cell>
          <cell r="AO162">
            <v>89.6</v>
          </cell>
          <cell r="AP162">
            <v>95</v>
          </cell>
          <cell r="AQ162">
            <v>56</v>
          </cell>
          <cell r="AR162">
            <v>66.5</v>
          </cell>
          <cell r="AS162">
            <v>121.2</v>
          </cell>
          <cell r="AT162">
            <v>186.3</v>
          </cell>
          <cell r="AU162">
            <v>17.5</v>
          </cell>
          <cell r="AV162">
            <v>88.5</v>
          </cell>
          <cell r="AW162">
            <v>97.8</v>
          </cell>
          <cell r="AX162">
            <v>43.3</v>
          </cell>
          <cell r="AY162">
            <v>106.1</v>
          </cell>
          <cell r="AZ162">
            <v>120.9</v>
          </cell>
          <cell r="BA162">
            <v>26.9</v>
          </cell>
          <cell r="BB162">
            <v>81.599999999999994</v>
          </cell>
          <cell r="BC162">
            <v>60.9</v>
          </cell>
          <cell r="BD162">
            <v>67.2</v>
          </cell>
          <cell r="BE162">
            <v>126</v>
          </cell>
          <cell r="BF162">
            <v>196.1</v>
          </cell>
          <cell r="BG162">
            <v>11.8</v>
          </cell>
          <cell r="BH162">
            <v>71.099999999999994</v>
          </cell>
          <cell r="BI162">
            <v>60.9</v>
          </cell>
          <cell r="BJ162">
            <v>58.1</v>
          </cell>
          <cell r="BK162">
            <v>93.9</v>
          </cell>
          <cell r="BL162">
            <v>131.19999999999999</v>
          </cell>
          <cell r="BM162">
            <v>14.2</v>
          </cell>
          <cell r="BN162">
            <v>76.7</v>
          </cell>
          <cell r="BO162">
            <v>55.9</v>
          </cell>
          <cell r="BP162">
            <v>63</v>
          </cell>
          <cell r="BQ162">
            <v>131.5</v>
          </cell>
          <cell r="BR162">
            <v>159.30000000000001</v>
          </cell>
          <cell r="BS162">
            <v>56.6</v>
          </cell>
          <cell r="BT162">
            <v>89.8</v>
          </cell>
          <cell r="BU162">
            <v>87.6</v>
          </cell>
          <cell r="BV162">
            <v>55.4</v>
          </cell>
          <cell r="BW162">
            <v>86.1</v>
          </cell>
          <cell r="BX162">
            <v>114.2</v>
          </cell>
          <cell r="BY162">
            <v>6.6</v>
          </cell>
          <cell r="BZ162">
            <v>72</v>
          </cell>
          <cell r="CA162">
            <v>36.6</v>
          </cell>
          <cell r="CB162">
            <v>45.7</v>
          </cell>
          <cell r="CC162">
            <v>115</v>
          </cell>
          <cell r="CD162">
            <v>193</v>
          </cell>
          <cell r="CE162">
            <v>49.9</v>
          </cell>
          <cell r="CF162">
            <v>71.7</v>
          </cell>
          <cell r="CG162">
            <v>70.599999999999994</v>
          </cell>
          <cell r="CH162">
            <v>7.8</v>
          </cell>
          <cell r="CI162">
            <v>81.900000000000006</v>
          </cell>
          <cell r="CJ162">
            <v>80.599999999999994</v>
          </cell>
          <cell r="CK162">
            <v>46.1</v>
          </cell>
          <cell r="CL162">
            <v>109.7</v>
          </cell>
          <cell r="CM162">
            <v>24.5</v>
          </cell>
          <cell r="CN162">
            <v>41.7</v>
          </cell>
          <cell r="CO162">
            <v>151.69999999999999</v>
          </cell>
          <cell r="CP162">
            <v>79.7</v>
          </cell>
          <cell r="CQ162">
            <v>38</v>
          </cell>
          <cell r="CR162">
            <v>50.6</v>
          </cell>
          <cell r="CS162">
            <v>58.2</v>
          </cell>
          <cell r="CT162">
            <v>43.3</v>
          </cell>
          <cell r="CU162">
            <v>107.1</v>
          </cell>
          <cell r="CV162">
            <v>60.5</v>
          </cell>
          <cell r="CW162">
            <v>61</v>
          </cell>
          <cell r="CX162">
            <v>87.8</v>
          </cell>
          <cell r="CY162">
            <v>27.8</v>
          </cell>
          <cell r="CZ162">
            <v>46.6</v>
          </cell>
          <cell r="DA162">
            <v>146.69999999999999</v>
          </cell>
          <cell r="DB162">
            <v>88.4</v>
          </cell>
          <cell r="DC162">
            <v>42.7</v>
          </cell>
          <cell r="DD162">
            <v>64.400000000000006</v>
          </cell>
          <cell r="DE162">
            <v>66.2</v>
          </cell>
          <cell r="DF162">
            <v>37.4</v>
          </cell>
          <cell r="DG162">
            <v>57.4</v>
          </cell>
          <cell r="DH162">
            <v>73.400000000000006</v>
          </cell>
          <cell r="DI162">
            <v>51</v>
          </cell>
          <cell r="DJ162">
            <v>72.400000000000006</v>
          </cell>
          <cell r="DK162">
            <v>2.1</v>
          </cell>
          <cell r="DL162">
            <v>24.6</v>
          </cell>
          <cell r="DM162">
            <v>138.9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EM162">
            <v>967.5</v>
          </cell>
          <cell r="EN162">
            <v>1084.8</v>
          </cell>
          <cell r="EO162">
            <v>1023</v>
          </cell>
          <cell r="EP162">
            <v>964.4</v>
          </cell>
          <cell r="EQ162">
            <v>924.90000000000009</v>
          </cell>
          <cell r="ER162">
            <v>929.20000000000027</v>
          </cell>
          <cell r="ES162">
            <v>807.3</v>
          </cell>
        </row>
        <row r="163">
          <cell r="A163" t="str">
            <v>O&amp;M (Net of pass-throughs)</v>
          </cell>
          <cell r="B163" t="str">
            <v>Operations &amp; Maintenance Expense (incl clause)</v>
          </cell>
          <cell r="E163" t="str">
            <v>Operations &amp; Maintenance Expense</v>
          </cell>
          <cell r="F163" t="str">
            <v>6010400</v>
          </cell>
          <cell r="G163" t="str">
            <v>A_6010400</v>
          </cell>
          <cell r="H163" t="str">
            <v>Labor Severance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1.6</v>
          </cell>
          <cell r="BN163">
            <v>-1.6</v>
          </cell>
          <cell r="BO163">
            <v>0</v>
          </cell>
          <cell r="BP163">
            <v>0.2</v>
          </cell>
          <cell r="BQ163">
            <v>-0.2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64.099999999999994</v>
          </cell>
          <cell r="DD163">
            <v>0</v>
          </cell>
          <cell r="DE163">
            <v>0</v>
          </cell>
          <cell r="DF163">
            <v>70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</row>
        <row r="164">
          <cell r="A164" t="str">
            <v>O&amp;M (Net of pass-throughs)</v>
          </cell>
          <cell r="B164" t="str">
            <v>Operations &amp; Maintenance Expense (incl clause)</v>
          </cell>
          <cell r="E164" t="str">
            <v>Operations &amp; Maintenance Expense</v>
          </cell>
          <cell r="F164" t="str">
            <v>6010900</v>
          </cell>
          <cell r="G164" t="str">
            <v>A_6010900</v>
          </cell>
          <cell r="H164" t="str">
            <v>Labor Commissions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76.400000000000006</v>
          </cell>
          <cell r="DO164">
            <v>65.7</v>
          </cell>
          <cell r="DP164">
            <v>68</v>
          </cell>
          <cell r="DQ164">
            <v>65.900000000000006</v>
          </cell>
          <cell r="DR164">
            <v>72.2</v>
          </cell>
          <cell r="DS164">
            <v>65.8</v>
          </cell>
          <cell r="DT164">
            <v>72.2</v>
          </cell>
          <cell r="DU164">
            <v>68</v>
          </cell>
          <cell r="DV164">
            <v>70</v>
          </cell>
          <cell r="DW164">
            <v>72.099999999999994</v>
          </cell>
          <cell r="DX164">
            <v>74.3</v>
          </cell>
          <cell r="DY164">
            <v>76.5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</row>
        <row r="165">
          <cell r="A165" t="str">
            <v>O&amp;M (Net of pass-throughs)</v>
          </cell>
          <cell r="B165" t="str">
            <v>Operations &amp; Maintenance Expense (incl clause)</v>
          </cell>
          <cell r="E165" t="str">
            <v>Operations &amp; Maintenance Expense</v>
          </cell>
          <cell r="F165" t="str">
            <v>6010910</v>
          </cell>
          <cell r="G165" t="str">
            <v>A_6010910</v>
          </cell>
          <cell r="H165" t="str">
            <v>Labor Off-Cycle Bonus</v>
          </cell>
          <cell r="J165">
            <v>10.5</v>
          </cell>
          <cell r="K165">
            <v>8.3000000000000007</v>
          </cell>
          <cell r="L165">
            <v>0.3</v>
          </cell>
          <cell r="M165">
            <v>1.4</v>
          </cell>
          <cell r="N165">
            <v>61.3</v>
          </cell>
          <cell r="O165">
            <v>7.1</v>
          </cell>
          <cell r="P165">
            <v>4.7</v>
          </cell>
          <cell r="Q165">
            <v>3.1</v>
          </cell>
          <cell r="R165">
            <v>3.2</v>
          </cell>
          <cell r="S165">
            <v>2.1</v>
          </cell>
          <cell r="T165">
            <v>0.6</v>
          </cell>
          <cell r="U165">
            <v>24.8</v>
          </cell>
          <cell r="V165">
            <v>32.6</v>
          </cell>
          <cell r="W165">
            <v>15.6</v>
          </cell>
          <cell r="X165">
            <v>0.6</v>
          </cell>
          <cell r="Y165">
            <v>10</v>
          </cell>
          <cell r="Z165">
            <v>0.3</v>
          </cell>
          <cell r="AA165">
            <v>23.2</v>
          </cell>
          <cell r="AB165">
            <v>1.3</v>
          </cell>
          <cell r="AC165">
            <v>29</v>
          </cell>
          <cell r="AD165">
            <v>41.3</v>
          </cell>
          <cell r="AE165">
            <v>22</v>
          </cell>
          <cell r="AF165">
            <v>22</v>
          </cell>
          <cell r="AG165">
            <v>83.7</v>
          </cell>
          <cell r="AH165">
            <v>27.8</v>
          </cell>
          <cell r="AI165">
            <v>30.1</v>
          </cell>
          <cell r="AJ165">
            <v>18.2</v>
          </cell>
          <cell r="AK165">
            <v>7.4</v>
          </cell>
          <cell r="AL165">
            <v>4.9000000000000004</v>
          </cell>
          <cell r="AM165">
            <v>10.199999999999999</v>
          </cell>
          <cell r="AN165">
            <v>1.4</v>
          </cell>
          <cell r="AO165">
            <v>1.7</v>
          </cell>
          <cell r="AP165">
            <v>6.3</v>
          </cell>
          <cell r="AQ165">
            <v>4</v>
          </cell>
          <cell r="AR165">
            <v>6.7</v>
          </cell>
          <cell r="AS165">
            <v>30.8</v>
          </cell>
          <cell r="AT165">
            <v>82.7</v>
          </cell>
          <cell r="AU165">
            <v>0.4</v>
          </cell>
          <cell r="AV165">
            <v>56.7</v>
          </cell>
          <cell r="AW165">
            <v>3.9</v>
          </cell>
          <cell r="AX165">
            <v>0.5</v>
          </cell>
          <cell r="AY165">
            <v>0.3</v>
          </cell>
          <cell r="AZ165">
            <v>10.4</v>
          </cell>
          <cell r="BA165">
            <v>26.1</v>
          </cell>
          <cell r="BB165">
            <v>0.6</v>
          </cell>
          <cell r="BC165">
            <v>50.9</v>
          </cell>
          <cell r="BD165">
            <v>13.5</v>
          </cell>
          <cell r="BE165">
            <v>0.4</v>
          </cell>
          <cell r="BF165">
            <v>10.4</v>
          </cell>
          <cell r="BG165">
            <v>43.5</v>
          </cell>
          <cell r="BH165">
            <v>5.2</v>
          </cell>
          <cell r="BI165">
            <v>49</v>
          </cell>
          <cell r="BJ165">
            <v>18.3</v>
          </cell>
          <cell r="BK165">
            <v>0.5</v>
          </cell>
          <cell r="BL165">
            <v>19.600000000000001</v>
          </cell>
          <cell r="BM165">
            <v>25.9</v>
          </cell>
          <cell r="BN165">
            <v>25.9</v>
          </cell>
          <cell r="BO165">
            <v>14.1</v>
          </cell>
          <cell r="BP165">
            <v>15.2</v>
          </cell>
          <cell r="BQ165">
            <v>44.4</v>
          </cell>
          <cell r="BR165">
            <v>91.5</v>
          </cell>
          <cell r="BS165">
            <v>0.4</v>
          </cell>
          <cell r="BT165">
            <v>21.6</v>
          </cell>
          <cell r="BU165">
            <v>4.9000000000000004</v>
          </cell>
          <cell r="BV165">
            <v>3.8</v>
          </cell>
          <cell r="BW165">
            <v>14.8</v>
          </cell>
          <cell r="BX165">
            <v>74.400000000000006</v>
          </cell>
          <cell r="BY165">
            <v>20.7</v>
          </cell>
          <cell r="BZ165">
            <v>8.3000000000000007</v>
          </cell>
          <cell r="CA165">
            <v>6.3</v>
          </cell>
          <cell r="CB165">
            <v>43.5</v>
          </cell>
          <cell r="CC165">
            <v>49.7</v>
          </cell>
          <cell r="CD165">
            <v>8.5</v>
          </cell>
          <cell r="CE165">
            <v>20</v>
          </cell>
          <cell r="CF165">
            <v>138.1</v>
          </cell>
          <cell r="CG165">
            <v>0.8</v>
          </cell>
          <cell r="CH165">
            <v>14.4</v>
          </cell>
          <cell r="CI165">
            <v>14.4</v>
          </cell>
          <cell r="CJ165">
            <v>15.4</v>
          </cell>
          <cell r="CK165">
            <v>9.4</v>
          </cell>
          <cell r="CL165">
            <v>1.5</v>
          </cell>
          <cell r="CM165">
            <v>0.1</v>
          </cell>
          <cell r="CN165">
            <v>3.8</v>
          </cell>
          <cell r="CO165">
            <v>10.9</v>
          </cell>
          <cell r="CP165">
            <v>43.6</v>
          </cell>
          <cell r="CQ165">
            <v>0.2</v>
          </cell>
          <cell r="CR165">
            <v>16</v>
          </cell>
          <cell r="CS165">
            <v>5.3</v>
          </cell>
          <cell r="CT165">
            <v>1</v>
          </cell>
          <cell r="CU165">
            <v>2</v>
          </cell>
          <cell r="CV165">
            <v>17.5</v>
          </cell>
          <cell r="CW165">
            <v>14.1</v>
          </cell>
          <cell r="CX165">
            <v>82.1</v>
          </cell>
          <cell r="CY165">
            <v>13.3</v>
          </cell>
          <cell r="CZ165">
            <v>76.3</v>
          </cell>
          <cell r="DA165">
            <v>40.799999999999997</v>
          </cell>
          <cell r="DB165">
            <v>34.299999999999997</v>
          </cell>
          <cell r="DC165">
            <v>44.9</v>
          </cell>
          <cell r="DD165">
            <v>7.1</v>
          </cell>
          <cell r="DE165">
            <v>62.3</v>
          </cell>
          <cell r="DF165">
            <v>7.7</v>
          </cell>
          <cell r="DG165">
            <v>35.299999999999997</v>
          </cell>
          <cell r="DH165">
            <v>37.700000000000003</v>
          </cell>
          <cell r="DI165">
            <v>21.3</v>
          </cell>
          <cell r="DJ165">
            <v>92.7</v>
          </cell>
          <cell r="DK165">
            <v>42.8</v>
          </cell>
          <cell r="DL165">
            <v>77</v>
          </cell>
          <cell r="DM165">
            <v>58.8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EM165">
            <v>281.59999999999997</v>
          </cell>
          <cell r="EN165">
            <v>149.50000000000003</v>
          </cell>
          <cell r="EO165">
            <v>246.40000000000003</v>
          </cell>
          <cell r="EP165">
            <v>272</v>
          </cell>
          <cell r="EQ165">
            <v>339.90000000000003</v>
          </cell>
          <cell r="ER165">
            <v>237.30000000000004</v>
          </cell>
          <cell r="ES165">
            <v>312.20000000000005</v>
          </cell>
        </row>
        <row r="166">
          <cell r="A166" t="str">
            <v>O&amp;M (Net of pass-throughs)</v>
          </cell>
          <cell r="B166" t="str">
            <v>Operations &amp; Maintenance Expense (incl clause)</v>
          </cell>
          <cell r="E166" t="str">
            <v>Operations &amp; Maintenance Expense</v>
          </cell>
          <cell r="F166" t="str">
            <v>6010990</v>
          </cell>
          <cell r="G166" t="str">
            <v>A_6010990</v>
          </cell>
          <cell r="H166" t="str">
            <v>Labor Seconded Employees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338.7</v>
          </cell>
          <cell r="CU166">
            <v>61.9</v>
          </cell>
          <cell r="CV166">
            <v>60.5</v>
          </cell>
          <cell r="CW166">
            <v>58.6</v>
          </cell>
          <cell r="CX166">
            <v>87.4</v>
          </cell>
          <cell r="CY166">
            <v>59.8</v>
          </cell>
          <cell r="CZ166">
            <v>59.7</v>
          </cell>
          <cell r="DA166">
            <v>60.7</v>
          </cell>
          <cell r="DB166">
            <v>67.099999999999994</v>
          </cell>
          <cell r="DC166">
            <v>67.099999999999994</v>
          </cell>
          <cell r="DD166">
            <v>67.7</v>
          </cell>
          <cell r="DE166">
            <v>98</v>
          </cell>
          <cell r="DF166">
            <v>64.7</v>
          </cell>
          <cell r="DG166">
            <v>64.599999999999994</v>
          </cell>
          <cell r="DH166">
            <v>63.7</v>
          </cell>
          <cell r="DI166">
            <v>65.400000000000006</v>
          </cell>
          <cell r="DJ166">
            <v>68.8</v>
          </cell>
          <cell r="DK166">
            <v>43.6</v>
          </cell>
          <cell r="DL166">
            <v>44.4</v>
          </cell>
          <cell r="DM166">
            <v>43.9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787.3</v>
          </cell>
        </row>
        <row r="167">
          <cell r="A167" t="str">
            <v>O&amp;M (Net of pass-throughs)</v>
          </cell>
          <cell r="B167" t="str">
            <v>Operations &amp; Maintenance Expense (incl clause)</v>
          </cell>
          <cell r="E167" t="str">
            <v>Operations &amp; Maintenance Expense</v>
          </cell>
          <cell r="F167" t="str">
            <v>6010990</v>
          </cell>
          <cell r="G167" t="str">
            <v>A_S6010990</v>
          </cell>
          <cell r="H167" t="str">
            <v>Labor Seconded Employees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43.5</v>
          </cell>
          <cell r="DO167">
            <v>43.5</v>
          </cell>
          <cell r="DP167">
            <v>65.2</v>
          </cell>
          <cell r="DQ167">
            <v>43.5</v>
          </cell>
          <cell r="DR167">
            <v>43.5</v>
          </cell>
          <cell r="DS167">
            <v>43.5</v>
          </cell>
          <cell r="DT167">
            <v>43.5</v>
          </cell>
          <cell r="DU167">
            <v>65.2</v>
          </cell>
          <cell r="DV167">
            <v>43.5</v>
          </cell>
          <cell r="DW167">
            <v>43.5</v>
          </cell>
          <cell r="DX167">
            <v>43.5</v>
          </cell>
          <cell r="DY167">
            <v>43.5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</row>
        <row r="168">
          <cell r="A168" t="str">
            <v>O&amp;M (Net of pass-throughs)</v>
          </cell>
          <cell r="B168" t="str">
            <v>Operations &amp; Maintenance Expense (incl clause)</v>
          </cell>
          <cell r="E168" t="str">
            <v>Operations &amp; Maintenance Expense</v>
          </cell>
          <cell r="F168" t="str">
            <v>6018999</v>
          </cell>
          <cell r="G168" t="str">
            <v>A_6018999</v>
          </cell>
          <cell r="H168" t="str">
            <v>Labor Expense Reclass</v>
          </cell>
          <cell r="J168">
            <v>52.2</v>
          </cell>
          <cell r="K168">
            <v>138.30000000000001</v>
          </cell>
          <cell r="L168">
            <v>1.6</v>
          </cell>
          <cell r="M168">
            <v>49.9</v>
          </cell>
          <cell r="N168">
            <v>71.099999999999994</v>
          </cell>
          <cell r="O168">
            <v>102.7</v>
          </cell>
          <cell r="P168">
            <v>50.2</v>
          </cell>
          <cell r="Q168">
            <v>46.5</v>
          </cell>
          <cell r="R168">
            <v>47.1</v>
          </cell>
          <cell r="S168">
            <v>27.9</v>
          </cell>
          <cell r="T168">
            <v>221.8</v>
          </cell>
          <cell r="U168">
            <v>-156.30000000000001</v>
          </cell>
          <cell r="V168">
            <v>97.5</v>
          </cell>
          <cell r="W168">
            <v>122.6</v>
          </cell>
          <cell r="X168">
            <v>-21</v>
          </cell>
          <cell r="Y168">
            <v>40.200000000000003</v>
          </cell>
          <cell r="Z168">
            <v>125.1</v>
          </cell>
          <cell r="AA168">
            <v>74.2</v>
          </cell>
          <cell r="AB168">
            <v>62.7</v>
          </cell>
          <cell r="AC168">
            <v>60.1</v>
          </cell>
          <cell r="AD168">
            <v>58</v>
          </cell>
          <cell r="AE168">
            <v>56.1</v>
          </cell>
          <cell r="AF168">
            <v>100.7</v>
          </cell>
          <cell r="AG168">
            <v>129</v>
          </cell>
          <cell r="AH168">
            <v>83.7</v>
          </cell>
          <cell r="AI168">
            <v>65.2</v>
          </cell>
          <cell r="AJ168">
            <v>63.8</v>
          </cell>
          <cell r="AK168">
            <v>149.69999999999999</v>
          </cell>
          <cell r="AL168">
            <v>52.2</v>
          </cell>
          <cell r="AM168">
            <v>82.7</v>
          </cell>
          <cell r="AN168">
            <v>69.8</v>
          </cell>
          <cell r="AO168">
            <v>118.6</v>
          </cell>
          <cell r="AP168">
            <v>156.9</v>
          </cell>
          <cell r="AQ168">
            <v>98</v>
          </cell>
          <cell r="AR168">
            <v>40.1</v>
          </cell>
          <cell r="AS168">
            <v>230.8</v>
          </cell>
          <cell r="AT168">
            <v>76.900000000000006</v>
          </cell>
          <cell r="AU168">
            <v>119.5</v>
          </cell>
          <cell r="AV168">
            <v>102.4</v>
          </cell>
          <cell r="AW168">
            <v>119.5</v>
          </cell>
          <cell r="AX168">
            <v>87.7</v>
          </cell>
          <cell r="AY168">
            <v>77.8</v>
          </cell>
          <cell r="AZ168">
            <v>84.4</v>
          </cell>
          <cell r="BA168">
            <v>95</v>
          </cell>
          <cell r="BB168">
            <v>118.7</v>
          </cell>
          <cell r="BC168">
            <v>140.4</v>
          </cell>
          <cell r="BD168">
            <v>85.3</v>
          </cell>
          <cell r="BE168">
            <v>138.1</v>
          </cell>
          <cell r="BF168">
            <v>83.9</v>
          </cell>
          <cell r="BG168">
            <v>56.9</v>
          </cell>
          <cell r="BH168">
            <v>84.3</v>
          </cell>
          <cell r="BI168">
            <v>141.4</v>
          </cell>
          <cell r="BJ168">
            <v>95</v>
          </cell>
          <cell r="BK168">
            <v>88.3</v>
          </cell>
          <cell r="BL168">
            <v>95.8</v>
          </cell>
          <cell r="BM168">
            <v>101.6</v>
          </cell>
          <cell r="BN168">
            <v>137.19999999999999</v>
          </cell>
          <cell r="BO168">
            <v>95</v>
          </cell>
          <cell r="BP168">
            <v>151.6</v>
          </cell>
          <cell r="BQ168">
            <v>191.2</v>
          </cell>
          <cell r="BR168">
            <v>99.6</v>
          </cell>
          <cell r="BS168">
            <v>162.9</v>
          </cell>
          <cell r="BT168">
            <v>108.3</v>
          </cell>
          <cell r="BU168">
            <v>101.7</v>
          </cell>
          <cell r="BV168">
            <v>148.9</v>
          </cell>
          <cell r="BW168">
            <v>134.1</v>
          </cell>
          <cell r="BX168">
            <v>149.69999999999999</v>
          </cell>
          <cell r="BY168">
            <v>156.4</v>
          </cell>
          <cell r="BZ168">
            <v>218.6</v>
          </cell>
          <cell r="CA168">
            <v>164.5</v>
          </cell>
          <cell r="CB168">
            <v>138.19999999999999</v>
          </cell>
          <cell r="CC168">
            <v>136.19999999999999</v>
          </cell>
          <cell r="CD168">
            <v>233.8</v>
          </cell>
          <cell r="CE168">
            <v>308.89999999999998</v>
          </cell>
          <cell r="CF168">
            <v>-76</v>
          </cell>
          <cell r="CG168">
            <v>165.7</v>
          </cell>
          <cell r="CH168">
            <v>136</v>
          </cell>
          <cell r="CI168">
            <v>142.80000000000001</v>
          </cell>
          <cell r="CJ168">
            <v>128.5</v>
          </cell>
          <cell r="CK168">
            <v>174.1</v>
          </cell>
          <cell r="CL168">
            <v>209.1</v>
          </cell>
          <cell r="CM168">
            <v>182.5</v>
          </cell>
          <cell r="CN168">
            <v>186.3</v>
          </cell>
          <cell r="CO168">
            <v>188.7</v>
          </cell>
          <cell r="CP168">
            <v>266.2</v>
          </cell>
          <cell r="CQ168">
            <v>235.1</v>
          </cell>
          <cell r="CR168">
            <v>273.3</v>
          </cell>
          <cell r="CS168">
            <v>423.2</v>
          </cell>
          <cell r="CT168">
            <v>-21.7</v>
          </cell>
          <cell r="CU168">
            <v>228.1</v>
          </cell>
          <cell r="CV168">
            <v>106.3</v>
          </cell>
          <cell r="CW168">
            <v>185.6</v>
          </cell>
          <cell r="CX168">
            <v>175.7</v>
          </cell>
          <cell r="CY168">
            <v>314.89999999999998</v>
          </cell>
          <cell r="CZ168">
            <v>258.3</v>
          </cell>
          <cell r="DA168">
            <v>415.2</v>
          </cell>
          <cell r="DB168">
            <v>33</v>
          </cell>
          <cell r="DC168">
            <v>29.5</v>
          </cell>
          <cell r="DD168">
            <v>-4.0999999999999996</v>
          </cell>
          <cell r="DE168">
            <v>36.9</v>
          </cell>
          <cell r="DF168">
            <v>34</v>
          </cell>
          <cell r="DG168">
            <v>21</v>
          </cell>
          <cell r="DH168">
            <v>18.899999999999999</v>
          </cell>
          <cell r="DI168">
            <v>11.2</v>
          </cell>
          <cell r="DJ168">
            <v>29.9</v>
          </cell>
          <cell r="DK168">
            <v>-661.6</v>
          </cell>
          <cell r="DL168">
            <v>682.6</v>
          </cell>
          <cell r="DM168">
            <v>107.3</v>
          </cell>
          <cell r="DN168">
            <v>-86.5</v>
          </cell>
          <cell r="DO168">
            <v>-77.3</v>
          </cell>
          <cell r="DP168">
            <v>-92.5</v>
          </cell>
          <cell r="DQ168">
            <v>-76</v>
          </cell>
          <cell r="DR168">
            <v>-93.4</v>
          </cell>
          <cell r="DS168">
            <v>-96</v>
          </cell>
          <cell r="DT168">
            <v>-82.7</v>
          </cell>
          <cell r="DU168">
            <v>-93.4</v>
          </cell>
          <cell r="DV168">
            <v>-82.6</v>
          </cell>
          <cell r="DW168">
            <v>-88.2</v>
          </cell>
          <cell r="DX168">
            <v>-103</v>
          </cell>
          <cell r="DY168">
            <v>-89.4</v>
          </cell>
          <cell r="EM168">
            <v>905.2</v>
          </cell>
          <cell r="EN168">
            <v>1211.5</v>
          </cell>
          <cell r="EO168">
            <v>1245.6999999999998</v>
          </cell>
          <cell r="EP168">
            <v>1322.1999999999998</v>
          </cell>
          <cell r="EQ168">
            <v>1719.1000000000001</v>
          </cell>
          <cell r="ER168">
            <v>1980.3999999999999</v>
          </cell>
          <cell r="ES168">
            <v>2860.2</v>
          </cell>
        </row>
        <row r="169">
          <cell r="A169" t="str">
            <v>O&amp;M (Net of pass-throughs)</v>
          </cell>
          <cell r="B169" t="str">
            <v>Operations &amp; Maintenance Expense (incl clause)</v>
          </cell>
          <cell r="E169" t="str">
            <v>Operations &amp; Maintenance Expense</v>
          </cell>
          <cell r="F169" t="str">
            <v>6019000</v>
          </cell>
          <cell r="G169" t="str">
            <v>A_6019000</v>
          </cell>
          <cell r="H169" t="str">
            <v>Labor Expense sent to Balance Sheet</v>
          </cell>
          <cell r="J169">
            <v>-3.4</v>
          </cell>
          <cell r="K169">
            <v>0</v>
          </cell>
          <cell r="L169">
            <v>-27.9</v>
          </cell>
          <cell r="M169">
            <v>0</v>
          </cell>
          <cell r="N169">
            <v>-20.8</v>
          </cell>
          <cell r="O169">
            <v>-28.2</v>
          </cell>
          <cell r="P169">
            <v>0</v>
          </cell>
          <cell r="Q169">
            <v>0</v>
          </cell>
          <cell r="R169">
            <v>0</v>
          </cell>
          <cell r="S169">
            <v>21</v>
          </cell>
          <cell r="T169">
            <v>-144</v>
          </cell>
          <cell r="U169">
            <v>213.5</v>
          </cell>
          <cell r="V169">
            <v>0</v>
          </cell>
          <cell r="W169">
            <v>-57.7</v>
          </cell>
          <cell r="X169">
            <v>34.5</v>
          </cell>
          <cell r="Y169">
            <v>0</v>
          </cell>
          <cell r="Z169">
            <v>-48.3</v>
          </cell>
          <cell r="AA169">
            <v>-24.6</v>
          </cell>
          <cell r="AB169">
            <v>2.4</v>
          </cell>
          <cell r="AC169">
            <v>-16.600000000000001</v>
          </cell>
          <cell r="AD169">
            <v>-10</v>
          </cell>
          <cell r="AE169">
            <v>-12.4</v>
          </cell>
          <cell r="AF169">
            <v>-7.2</v>
          </cell>
          <cell r="AG169">
            <v>-78.5</v>
          </cell>
          <cell r="AH169">
            <v>-22</v>
          </cell>
          <cell r="AI169">
            <v>-7.4</v>
          </cell>
          <cell r="AJ169">
            <v>-12.5</v>
          </cell>
          <cell r="AK169">
            <v>-7.2</v>
          </cell>
          <cell r="AL169">
            <v>0</v>
          </cell>
          <cell r="AM169">
            <v>56.8</v>
          </cell>
          <cell r="AN169">
            <v>24.8</v>
          </cell>
          <cell r="AO169">
            <v>22.8</v>
          </cell>
          <cell r="AP169">
            <v>-9.8000000000000007</v>
          </cell>
          <cell r="AQ169">
            <v>-9.1</v>
          </cell>
          <cell r="AR169">
            <v>29</v>
          </cell>
          <cell r="AS169">
            <v>-63.7</v>
          </cell>
          <cell r="AT169">
            <v>-10.7</v>
          </cell>
          <cell r="AU169">
            <v>-7.8</v>
          </cell>
          <cell r="AV169">
            <v>-11.1</v>
          </cell>
          <cell r="AW169">
            <v>-9</v>
          </cell>
          <cell r="AX169">
            <v>-12.3</v>
          </cell>
          <cell r="AY169">
            <v>-9.4</v>
          </cell>
          <cell r="AZ169">
            <v>-12.8</v>
          </cell>
          <cell r="BA169">
            <v>-12.7</v>
          </cell>
          <cell r="BB169">
            <v>-2.7</v>
          </cell>
          <cell r="BC169">
            <v>-17.100000000000001</v>
          </cell>
          <cell r="BD169">
            <v>-12.7</v>
          </cell>
          <cell r="BE169">
            <v>36.1</v>
          </cell>
          <cell r="BF169">
            <v>-15.7</v>
          </cell>
          <cell r="BG169">
            <v>-9.6999999999999993</v>
          </cell>
          <cell r="BH169">
            <v>-5</v>
          </cell>
          <cell r="BI169">
            <v>-25</v>
          </cell>
          <cell r="BJ169">
            <v>-15</v>
          </cell>
          <cell r="BK169">
            <v>-12.7</v>
          </cell>
          <cell r="BL169">
            <v>-17.8</v>
          </cell>
          <cell r="BM169">
            <v>-20.8</v>
          </cell>
          <cell r="BN169">
            <v>-5.4</v>
          </cell>
          <cell r="BO169">
            <v>-61.4</v>
          </cell>
          <cell r="BP169">
            <v>-29.3</v>
          </cell>
          <cell r="BQ169">
            <v>224.7</v>
          </cell>
          <cell r="BR169">
            <v>-22.1</v>
          </cell>
          <cell r="BS169">
            <v>-16.5</v>
          </cell>
          <cell r="BT169">
            <v>-23.3</v>
          </cell>
          <cell r="BU169">
            <v>-12.8</v>
          </cell>
          <cell r="BV169">
            <v>-36.1</v>
          </cell>
          <cell r="BW169">
            <v>-27.9</v>
          </cell>
          <cell r="BX169">
            <v>-66.3</v>
          </cell>
          <cell r="BY169">
            <v>-75.2</v>
          </cell>
          <cell r="BZ169">
            <v>-41.3</v>
          </cell>
          <cell r="CA169">
            <v>-59.6</v>
          </cell>
          <cell r="CB169">
            <v>-35.4</v>
          </cell>
          <cell r="CC169">
            <v>-27.5</v>
          </cell>
          <cell r="CD169">
            <v>-25.9</v>
          </cell>
          <cell r="CE169">
            <v>100.3</v>
          </cell>
          <cell r="CF169">
            <v>-10.4</v>
          </cell>
          <cell r="CG169">
            <v>-10.9</v>
          </cell>
          <cell r="CH169">
            <v>-10</v>
          </cell>
          <cell r="CI169">
            <v>-11</v>
          </cell>
          <cell r="CJ169">
            <v>-12.8</v>
          </cell>
          <cell r="CK169">
            <v>-10.7</v>
          </cell>
          <cell r="CL169">
            <v>-90.6</v>
          </cell>
          <cell r="CM169">
            <v>-39.700000000000003</v>
          </cell>
          <cell r="CN169">
            <v>-37.799999999999997</v>
          </cell>
          <cell r="CO169">
            <v>-34</v>
          </cell>
          <cell r="CP169">
            <v>-59.7</v>
          </cell>
          <cell r="CQ169">
            <v>-54.5</v>
          </cell>
          <cell r="CR169">
            <v>-96</v>
          </cell>
          <cell r="CS169">
            <v>-45.3</v>
          </cell>
          <cell r="CT169">
            <v>-60.4</v>
          </cell>
          <cell r="CU169">
            <v>-65.099999999999994</v>
          </cell>
          <cell r="CV169">
            <v>-68.099999999999994</v>
          </cell>
          <cell r="CW169">
            <v>-70.099999999999994</v>
          </cell>
          <cell r="CX169">
            <v>-58.3</v>
          </cell>
          <cell r="CY169">
            <v>-111.7</v>
          </cell>
          <cell r="CZ169">
            <v>-126.7</v>
          </cell>
          <cell r="DA169">
            <v>-309.7</v>
          </cell>
          <cell r="DB169">
            <v>-29.3</v>
          </cell>
          <cell r="DC169">
            <v>-24.8</v>
          </cell>
          <cell r="DD169">
            <v>-16.899999999999999</v>
          </cell>
          <cell r="DE169">
            <v>-62.4</v>
          </cell>
          <cell r="DF169">
            <v>-29.1</v>
          </cell>
          <cell r="DG169">
            <v>-18.5</v>
          </cell>
          <cell r="DH169">
            <v>-40.4</v>
          </cell>
          <cell r="DI169">
            <v>-24.6</v>
          </cell>
          <cell r="DJ169">
            <v>-49.3</v>
          </cell>
          <cell r="DK169">
            <v>-32.299999999999997</v>
          </cell>
          <cell r="DL169">
            <v>-589.79999999999995</v>
          </cell>
          <cell r="DM169">
            <v>-6.2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EM169">
            <v>-218.39999999999998</v>
          </cell>
          <cell r="EN169">
            <v>1.7000000000000028</v>
          </cell>
          <cell r="EO169">
            <v>-82.200000000000017</v>
          </cell>
          <cell r="EP169">
            <v>6.8999999999999773</v>
          </cell>
          <cell r="EQ169">
            <v>-444</v>
          </cell>
          <cell r="ER169">
            <v>-193.5</v>
          </cell>
          <cell r="ES169">
            <v>-1125.6000000000001</v>
          </cell>
        </row>
        <row r="170">
          <cell r="A170" t="str">
            <v>O&amp;M (Net of pass-throughs)</v>
          </cell>
          <cell r="B170" t="str">
            <v>Operations &amp; Maintenance Expense (incl clause)</v>
          </cell>
          <cell r="E170" t="str">
            <v>Operations &amp; Maintenance Expense</v>
          </cell>
          <cell r="F170" t="str">
            <v>6019000</v>
          </cell>
          <cell r="G170" t="str">
            <v>A_S6019000</v>
          </cell>
          <cell r="H170" t="str">
            <v>Settled Labor Expense to Balance Sheet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4</v>
          </cell>
          <cell r="DO170">
            <v>4</v>
          </cell>
          <cell r="DP170">
            <v>4</v>
          </cell>
          <cell r="DQ170">
            <v>4</v>
          </cell>
          <cell r="DR170">
            <v>4</v>
          </cell>
          <cell r="DS170">
            <v>4</v>
          </cell>
          <cell r="DT170">
            <v>4</v>
          </cell>
          <cell r="DU170">
            <v>4</v>
          </cell>
          <cell r="DV170">
            <v>4</v>
          </cell>
          <cell r="DW170">
            <v>4</v>
          </cell>
          <cell r="DX170">
            <v>4</v>
          </cell>
          <cell r="DY170">
            <v>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</row>
        <row r="171">
          <cell r="A171" t="str">
            <v>O&amp;M (Net of pass-throughs)</v>
          </cell>
          <cell r="B171" t="str">
            <v>Operations &amp; Maintenance Expense (incl clause)</v>
          </cell>
          <cell r="E171" t="str">
            <v>Operations &amp; Maintenance Expense</v>
          </cell>
          <cell r="F171" t="str">
            <v>6019900</v>
          </cell>
          <cell r="G171" t="str">
            <v>A_6019900</v>
          </cell>
          <cell r="H171" t="str">
            <v>ST Labor &amp; Benefits Expense to Balance Sheet</v>
          </cell>
          <cell r="J171">
            <v>-578.79999999999995</v>
          </cell>
          <cell r="K171">
            <v>-483</v>
          </cell>
          <cell r="L171">
            <v>-570</v>
          </cell>
          <cell r="M171">
            <v>-574.20000000000005</v>
          </cell>
          <cell r="N171">
            <v>-596.20000000000005</v>
          </cell>
          <cell r="O171">
            <v>-541.6</v>
          </cell>
          <cell r="P171">
            <v>-517.9</v>
          </cell>
          <cell r="Q171">
            <v>-504.1</v>
          </cell>
          <cell r="R171">
            <v>-593.1</v>
          </cell>
          <cell r="S171">
            <v>-639.1</v>
          </cell>
          <cell r="T171">
            <v>-624.79999999999995</v>
          </cell>
          <cell r="U171">
            <v>-611.29999999999995</v>
          </cell>
          <cell r="V171">
            <v>-506.6</v>
          </cell>
          <cell r="W171">
            <v>-361</v>
          </cell>
          <cell r="X171">
            <v>-592.9</v>
          </cell>
          <cell r="Y171">
            <v>-466.5</v>
          </cell>
          <cell r="Z171">
            <v>-474.3</v>
          </cell>
          <cell r="AA171">
            <v>-475</v>
          </cell>
          <cell r="AB171">
            <v>-455.4</v>
          </cell>
          <cell r="AC171">
            <v>-493.9</v>
          </cell>
          <cell r="AD171">
            <v>-448.7</v>
          </cell>
          <cell r="AE171">
            <v>-444.7</v>
          </cell>
          <cell r="AF171">
            <v>-453.6</v>
          </cell>
          <cell r="AG171">
            <v>-435.9</v>
          </cell>
          <cell r="AH171">
            <v>-411.4</v>
          </cell>
          <cell r="AI171">
            <v>-452.5</v>
          </cell>
          <cell r="AJ171">
            <v>-476.9</v>
          </cell>
          <cell r="AK171">
            <v>-431.7</v>
          </cell>
          <cell r="AL171">
            <v>-436.8</v>
          </cell>
          <cell r="AM171">
            <v>-428</v>
          </cell>
          <cell r="AN171">
            <v>-417.8</v>
          </cell>
          <cell r="AO171">
            <v>-459.6</v>
          </cell>
          <cell r="AP171">
            <v>-378.3</v>
          </cell>
          <cell r="AQ171">
            <v>-334.7</v>
          </cell>
          <cell r="AR171">
            <v>-324.39999999999998</v>
          </cell>
          <cell r="AS171">
            <v>-348.2</v>
          </cell>
          <cell r="AT171">
            <v>-308.2</v>
          </cell>
          <cell r="AU171">
            <v>-287.5</v>
          </cell>
          <cell r="AV171">
            <v>-382.4</v>
          </cell>
          <cell r="AW171">
            <v>-330.3</v>
          </cell>
          <cell r="AX171">
            <v>-413.3</v>
          </cell>
          <cell r="AY171">
            <v>-334.7</v>
          </cell>
          <cell r="AZ171">
            <v>-343.3</v>
          </cell>
          <cell r="BA171">
            <v>-488.7</v>
          </cell>
          <cell r="BB171">
            <v>-384.9</v>
          </cell>
          <cell r="BC171">
            <v>-380</v>
          </cell>
          <cell r="BD171">
            <v>-403.9</v>
          </cell>
          <cell r="BE171">
            <v>-346.1</v>
          </cell>
          <cell r="BF171">
            <v>-370</v>
          </cell>
          <cell r="BG171">
            <v>-335.1</v>
          </cell>
          <cell r="BH171">
            <v>-389.8</v>
          </cell>
          <cell r="BI171">
            <v>-365.8</v>
          </cell>
          <cell r="BJ171">
            <v>-374.7</v>
          </cell>
          <cell r="BK171">
            <v>-402.5</v>
          </cell>
          <cell r="BL171">
            <v>-383.7</v>
          </cell>
          <cell r="BM171">
            <v>-543</v>
          </cell>
          <cell r="BN171">
            <v>-482.9</v>
          </cell>
          <cell r="BO171">
            <v>-907.3</v>
          </cell>
          <cell r="BP171">
            <v>-707.6</v>
          </cell>
          <cell r="BQ171">
            <v>-644.4</v>
          </cell>
          <cell r="BR171">
            <v>-584.70000000000005</v>
          </cell>
          <cell r="BS171">
            <v>-465.5</v>
          </cell>
          <cell r="BT171">
            <v>-532.79999999999995</v>
          </cell>
          <cell r="BU171">
            <v>-474.6</v>
          </cell>
          <cell r="BV171">
            <v>-477.9</v>
          </cell>
          <cell r="BW171">
            <v>-454.4</v>
          </cell>
          <cell r="BX171">
            <v>-485.1</v>
          </cell>
          <cell r="BY171">
            <v>-484</v>
          </cell>
          <cell r="BZ171">
            <v>-455.1</v>
          </cell>
          <cell r="CA171">
            <v>-495.9</v>
          </cell>
          <cell r="CB171">
            <v>-428.3</v>
          </cell>
          <cell r="CC171">
            <v>-506</v>
          </cell>
          <cell r="CD171">
            <v>-476.7</v>
          </cell>
          <cell r="CE171">
            <v>-444.3</v>
          </cell>
          <cell r="CF171">
            <v>-500.4</v>
          </cell>
          <cell r="CG171">
            <v>-468.6</v>
          </cell>
          <cell r="CH171">
            <v>-598.29999999999995</v>
          </cell>
          <cell r="CI171">
            <v>-552.4</v>
          </cell>
          <cell r="CJ171">
            <v>-575.6</v>
          </cell>
          <cell r="CK171">
            <v>-464.2</v>
          </cell>
          <cell r="CL171">
            <v>-541.20000000000005</v>
          </cell>
          <cell r="CM171">
            <v>-613.4</v>
          </cell>
          <cell r="CN171">
            <v>-676.9</v>
          </cell>
          <cell r="CO171">
            <v>-689.5</v>
          </cell>
          <cell r="CP171">
            <v>-532.79999999999995</v>
          </cell>
          <cell r="CQ171">
            <v>-647.20000000000005</v>
          </cell>
          <cell r="CR171">
            <v>-716.8</v>
          </cell>
          <cell r="CS171">
            <v>-683.5</v>
          </cell>
          <cell r="CT171">
            <v>-680</v>
          </cell>
          <cell r="CU171">
            <v>-674.5</v>
          </cell>
          <cell r="CV171">
            <v>-696.2</v>
          </cell>
          <cell r="CW171">
            <v>-670.7</v>
          </cell>
          <cell r="CX171">
            <v>-815.5</v>
          </cell>
          <cell r="CY171">
            <v>-747.2</v>
          </cell>
          <cell r="CZ171">
            <v>-726.2</v>
          </cell>
          <cell r="DA171">
            <v>-778.5</v>
          </cell>
          <cell r="DB171">
            <v>-491.5</v>
          </cell>
          <cell r="DC171">
            <v>-582.70000000000005</v>
          </cell>
          <cell r="DD171">
            <v>-604.9</v>
          </cell>
          <cell r="DE171">
            <v>-519.70000000000005</v>
          </cell>
          <cell r="DF171">
            <v>-630.70000000000005</v>
          </cell>
          <cell r="DG171">
            <v>-636.29999999999995</v>
          </cell>
          <cell r="DH171">
            <v>-701.3</v>
          </cell>
          <cell r="DI171">
            <v>-729.8</v>
          </cell>
          <cell r="DJ171">
            <v>-680.4</v>
          </cell>
          <cell r="DK171">
            <v>-647.29999999999995</v>
          </cell>
          <cell r="DL171">
            <v>-591.6</v>
          </cell>
          <cell r="DM171">
            <v>-687.7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EM171">
            <v>-5608.5</v>
          </cell>
          <cell r="EN171">
            <v>-4900.3</v>
          </cell>
          <cell r="EO171">
            <v>-4403.3</v>
          </cell>
          <cell r="EP171">
            <v>-5906.8</v>
          </cell>
          <cell r="EQ171">
            <v>-5844.3</v>
          </cell>
          <cell r="ER171">
            <v>-6601.4999999999991</v>
          </cell>
          <cell r="ES171">
            <v>-8369.0999999999985</v>
          </cell>
        </row>
        <row r="172">
          <cell r="A172" t="str">
            <v>O&amp;M (Net of pass-throughs)</v>
          </cell>
          <cell r="B172" t="str">
            <v>Operations &amp; Maintenance Expense (incl clause)</v>
          </cell>
          <cell r="E172" t="str">
            <v>Operations &amp; Maintenance Expense</v>
          </cell>
          <cell r="F172" t="str">
            <v>6019910</v>
          </cell>
          <cell r="G172" t="str">
            <v>A_6019910</v>
          </cell>
          <cell r="H172" t="str">
            <v>OT Labor &amp; Benefits Expense to Balance Sheet</v>
          </cell>
          <cell r="J172">
            <v>-34.9</v>
          </cell>
          <cell r="K172">
            <v>-33.799999999999997</v>
          </cell>
          <cell r="L172">
            <v>-39.5</v>
          </cell>
          <cell r="M172">
            <v>-42.4</v>
          </cell>
          <cell r="N172">
            <v>-51.5</v>
          </cell>
          <cell r="O172">
            <v>-38.5</v>
          </cell>
          <cell r="P172">
            <v>-39.700000000000003</v>
          </cell>
          <cell r="Q172">
            <v>-68.900000000000006</v>
          </cell>
          <cell r="R172">
            <v>-84.3</v>
          </cell>
          <cell r="S172">
            <v>-79.5</v>
          </cell>
          <cell r="T172">
            <v>-82.4</v>
          </cell>
          <cell r="U172">
            <v>-76.599999999999994</v>
          </cell>
          <cell r="V172">
            <v>-60.2</v>
          </cell>
          <cell r="W172">
            <v>-41.2</v>
          </cell>
          <cell r="X172">
            <v>-77.400000000000006</v>
          </cell>
          <cell r="Y172">
            <v>-48.7</v>
          </cell>
          <cell r="Z172">
            <v>-86.6</v>
          </cell>
          <cell r="AA172">
            <v>-69.5</v>
          </cell>
          <cell r="AB172">
            <v>-69.7</v>
          </cell>
          <cell r="AC172">
            <v>-73.5</v>
          </cell>
          <cell r="AD172">
            <v>-56.6</v>
          </cell>
          <cell r="AE172">
            <v>-71.2</v>
          </cell>
          <cell r="AF172">
            <v>-86</v>
          </cell>
          <cell r="AG172">
            <v>-142.69999999999999</v>
          </cell>
          <cell r="AH172">
            <v>-48.4</v>
          </cell>
          <cell r="AI172">
            <v>-57.1</v>
          </cell>
          <cell r="AJ172">
            <v>-69.099999999999994</v>
          </cell>
          <cell r="AK172">
            <v>-59.5</v>
          </cell>
          <cell r="AL172">
            <v>-59.2</v>
          </cell>
          <cell r="AM172">
            <v>-61.5</v>
          </cell>
          <cell r="AN172">
            <v>-65</v>
          </cell>
          <cell r="AO172">
            <v>-66.099999999999994</v>
          </cell>
          <cell r="AP172">
            <v>-66.5</v>
          </cell>
          <cell r="AQ172">
            <v>-150.69999999999999</v>
          </cell>
          <cell r="AR172">
            <v>-64.5</v>
          </cell>
          <cell r="AS172">
            <v>-93.8</v>
          </cell>
          <cell r="AT172">
            <v>-51.3</v>
          </cell>
          <cell r="AU172">
            <v>-64.900000000000006</v>
          </cell>
          <cell r="AV172">
            <v>-66.5</v>
          </cell>
          <cell r="AW172">
            <v>-98.2</v>
          </cell>
          <cell r="AX172">
            <v>-74.5</v>
          </cell>
          <cell r="AY172">
            <v>-65.8</v>
          </cell>
          <cell r="AZ172">
            <v>-61.5</v>
          </cell>
          <cell r="BA172">
            <v>-84.2</v>
          </cell>
          <cell r="BB172">
            <v>-151.80000000000001</v>
          </cell>
          <cell r="BC172">
            <v>-82.1</v>
          </cell>
          <cell r="BD172">
            <v>-117.5</v>
          </cell>
          <cell r="BE172">
            <v>-82</v>
          </cell>
          <cell r="BF172">
            <v>-77.3</v>
          </cell>
          <cell r="BG172">
            <v>-83.2</v>
          </cell>
          <cell r="BH172">
            <v>-63.2</v>
          </cell>
          <cell r="BI172">
            <v>-68.8</v>
          </cell>
          <cell r="BJ172">
            <v>-56.3</v>
          </cell>
          <cell r="BK172">
            <v>-58.1</v>
          </cell>
          <cell r="BL172">
            <v>-63.4</v>
          </cell>
          <cell r="BM172">
            <v>-81</v>
          </cell>
          <cell r="BN172">
            <v>-90.9</v>
          </cell>
          <cell r="BO172">
            <v>-596.29999999999995</v>
          </cell>
          <cell r="BP172">
            <v>-368.6</v>
          </cell>
          <cell r="BQ172">
            <v>-131.6</v>
          </cell>
          <cell r="BR172">
            <v>-100.4</v>
          </cell>
          <cell r="BS172">
            <v>-73</v>
          </cell>
          <cell r="BT172">
            <v>-64.3</v>
          </cell>
          <cell r="BU172">
            <v>-72.7</v>
          </cell>
          <cell r="BV172">
            <v>-89.4</v>
          </cell>
          <cell r="BW172">
            <v>-66.3</v>
          </cell>
          <cell r="BX172">
            <v>-67.400000000000006</v>
          </cell>
          <cell r="BY172">
            <v>-81.099999999999994</v>
          </cell>
          <cell r="BZ172">
            <v>-66.2</v>
          </cell>
          <cell r="CA172">
            <v>-83</v>
          </cell>
          <cell r="CB172">
            <v>-72.7</v>
          </cell>
          <cell r="CC172">
            <v>-121.8</v>
          </cell>
          <cell r="CD172">
            <v>-105.2</v>
          </cell>
          <cell r="CE172">
            <v>-66.599999999999994</v>
          </cell>
          <cell r="CF172">
            <v>-86.9</v>
          </cell>
          <cell r="CG172">
            <v>-39.1</v>
          </cell>
          <cell r="CH172">
            <v>-33.6</v>
          </cell>
          <cell r="CI172">
            <v>-48</v>
          </cell>
          <cell r="CJ172">
            <v>-62.5</v>
          </cell>
          <cell r="CK172">
            <v>-85.9</v>
          </cell>
          <cell r="CL172">
            <v>-75</v>
          </cell>
          <cell r="CM172">
            <v>-95.2</v>
          </cell>
          <cell r="CN172">
            <v>-136.19999999999999</v>
          </cell>
          <cell r="CO172">
            <v>-125.8</v>
          </cell>
          <cell r="CP172">
            <v>-94.6</v>
          </cell>
          <cell r="CQ172">
            <v>-86.4</v>
          </cell>
          <cell r="CR172">
            <v>-107.9</v>
          </cell>
          <cell r="CS172">
            <v>-97.1</v>
          </cell>
          <cell r="CT172">
            <v>-116.4</v>
          </cell>
          <cell r="CU172">
            <v>-114.8</v>
          </cell>
          <cell r="CV172">
            <v>-125.3</v>
          </cell>
          <cell r="CW172">
            <v>-113</v>
          </cell>
          <cell r="CX172">
            <v>-104.7</v>
          </cell>
          <cell r="CY172">
            <v>-121.9</v>
          </cell>
          <cell r="CZ172">
            <v>-106.9</v>
          </cell>
          <cell r="DA172">
            <v>-124.2</v>
          </cell>
          <cell r="DB172">
            <v>-88.4</v>
          </cell>
          <cell r="DC172">
            <v>-82.2</v>
          </cell>
          <cell r="DD172">
            <v>-83.1</v>
          </cell>
          <cell r="DE172">
            <v>-83</v>
          </cell>
          <cell r="DF172">
            <v>-83.7</v>
          </cell>
          <cell r="DG172">
            <v>-95.2</v>
          </cell>
          <cell r="DH172">
            <v>-96.8</v>
          </cell>
          <cell r="DI172">
            <v>-100.3</v>
          </cell>
          <cell r="DJ172">
            <v>-71.5</v>
          </cell>
          <cell r="DK172">
            <v>-70.2</v>
          </cell>
          <cell r="DL172">
            <v>-74.8</v>
          </cell>
          <cell r="DM172">
            <v>-87.3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EM172">
            <v>-883.3</v>
          </cell>
          <cell r="EN172">
            <v>-861.39999999999986</v>
          </cell>
          <cell r="EO172">
            <v>-1000.3000000000001</v>
          </cell>
          <cell r="EP172">
            <v>-1738.6999999999998</v>
          </cell>
          <cell r="EQ172">
            <v>-958.30000000000007</v>
          </cell>
          <cell r="ER172">
            <v>-960</v>
          </cell>
          <cell r="ES172">
            <v>-1313.2</v>
          </cell>
        </row>
        <row r="173">
          <cell r="A173" t="str">
            <v>O&amp;M (Net of pass-throughs)</v>
          </cell>
          <cell r="B173" t="str">
            <v>Operations &amp; Maintenance Expense (incl clause)</v>
          </cell>
          <cell r="E173" t="str">
            <v>Operations &amp; Maintenance Expense</v>
          </cell>
          <cell r="F173" t="str">
            <v>6010000</v>
          </cell>
          <cell r="G173" t="str">
            <v>A_A6010000</v>
          </cell>
          <cell r="H173" t="str">
            <v>Assessed Labor Exp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</row>
        <row r="174">
          <cell r="A174" t="str">
            <v>O&amp;M (Net of pass-throughs)</v>
          </cell>
          <cell r="B174" t="str">
            <v>Operations &amp; Maintenance Expense (incl clause)</v>
          </cell>
          <cell r="E174" t="str">
            <v>Operations &amp; Maintenance Expense</v>
          </cell>
          <cell r="F174" t="str">
            <v>6010000</v>
          </cell>
          <cell r="G174" t="str">
            <v>A_S6010000</v>
          </cell>
          <cell r="H174" t="str">
            <v>Settled Labor Exp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6.9</v>
          </cell>
          <cell r="DO174">
            <v>6.9</v>
          </cell>
          <cell r="DP174">
            <v>6.9</v>
          </cell>
          <cell r="DQ174">
            <v>6.9</v>
          </cell>
          <cell r="DR174">
            <v>6.9</v>
          </cell>
          <cell r="DS174">
            <v>6.9</v>
          </cell>
          <cell r="DT174">
            <v>6.9</v>
          </cell>
          <cell r="DU174">
            <v>6.9</v>
          </cell>
          <cell r="DV174">
            <v>6.9</v>
          </cell>
          <cell r="DW174">
            <v>6.9</v>
          </cell>
          <cell r="DX174">
            <v>6.9</v>
          </cell>
          <cell r="DY174">
            <v>6.9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</row>
        <row r="175">
          <cell r="A175" t="str">
            <v>O&amp;M (Net of pass-throughs)</v>
          </cell>
          <cell r="B175" t="str">
            <v>Operations &amp; Maintenance Expense (incl clause)</v>
          </cell>
          <cell r="E175" t="str">
            <v>Operations &amp; Maintenance Expense</v>
          </cell>
          <cell r="F175" t="str">
            <v>6010000</v>
          </cell>
          <cell r="G175" t="str">
            <v>A_R6010000</v>
          </cell>
          <cell r="H175" t="str">
            <v>SLR Straight Time Blended Labor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</row>
        <row r="176">
          <cell r="A176" t="str">
            <v>O&amp;M (Net of pass-throughs)</v>
          </cell>
          <cell r="B176" t="str">
            <v>Operations &amp; Maintenance Expense (incl clause)</v>
          </cell>
          <cell r="E176" t="str">
            <v>Operations &amp; Maintenance Expense</v>
          </cell>
          <cell r="F176" t="str">
            <v>6010910</v>
          </cell>
          <cell r="G176" t="str">
            <v>A_S6010910</v>
          </cell>
          <cell r="H176" t="str">
            <v>Settled Labor Off-Cycle Bonus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</row>
        <row r="177">
          <cell r="A177" t="str">
            <v>O&amp;M (Net of pass-throughs)</v>
          </cell>
          <cell r="B177" t="str">
            <v>Operations &amp; Maintenance Expense (incl clause)</v>
          </cell>
          <cell r="E177" t="str">
            <v>Operations &amp; Maintenance Expense</v>
          </cell>
          <cell r="F177" t="str">
            <v>6018999</v>
          </cell>
          <cell r="G177" t="str">
            <v>A_S6018999</v>
          </cell>
          <cell r="H177" t="str">
            <v>Settled Labor Expense Reclass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5.5</v>
          </cell>
          <cell r="DO177">
            <v>-1.1000000000000001</v>
          </cell>
          <cell r="DP177">
            <v>12.9</v>
          </cell>
          <cell r="DQ177">
            <v>4.4000000000000004</v>
          </cell>
          <cell r="DR177">
            <v>7.5</v>
          </cell>
          <cell r="DS177">
            <v>2.8</v>
          </cell>
          <cell r="DT177">
            <v>-1.9</v>
          </cell>
          <cell r="DU177">
            <v>-0.7</v>
          </cell>
          <cell r="DV177">
            <v>-7.3</v>
          </cell>
          <cell r="DW177">
            <v>-8.1</v>
          </cell>
          <cell r="DX177">
            <v>-10.8</v>
          </cell>
          <cell r="DY177">
            <v>-15.5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</row>
        <row r="178">
          <cell r="A178" t="str">
            <v>O&amp;M (Net of pass-throughs)</v>
          </cell>
          <cell r="B178" t="str">
            <v>Operations &amp; Maintenance Expense (incl clause)</v>
          </cell>
          <cell r="E178" t="str">
            <v>Operations &amp; Maintenance Expense</v>
          </cell>
          <cell r="F178" t="str">
            <v>6019900</v>
          </cell>
          <cell r="G178" t="str">
            <v>A_S6019900</v>
          </cell>
          <cell r="H178" t="str">
            <v>Settled ST Labor &amp; Benefits Expense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3937.2</v>
          </cell>
          <cell r="DO178">
            <v>3614.3</v>
          </cell>
          <cell r="DP178">
            <v>4165.8999999999996</v>
          </cell>
          <cell r="DQ178">
            <v>3624.3</v>
          </cell>
          <cell r="DR178">
            <v>4173.7</v>
          </cell>
          <cell r="DS178">
            <v>4080.7</v>
          </cell>
          <cell r="DT178">
            <v>3886.9</v>
          </cell>
          <cell r="DU178">
            <v>4232</v>
          </cell>
          <cell r="DV178">
            <v>3863.8</v>
          </cell>
          <cell r="DW178">
            <v>4057</v>
          </cell>
          <cell r="DX178">
            <v>4355.8</v>
          </cell>
          <cell r="DY178">
            <v>4158.3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</row>
        <row r="179">
          <cell r="A179" t="str">
            <v>O&amp;M (Net of pass-throughs)</v>
          </cell>
          <cell r="B179" t="str">
            <v>Operations &amp; Maintenance Expense (incl clause)</v>
          </cell>
          <cell r="E179" t="str">
            <v>Operations &amp; Maintenance Expense</v>
          </cell>
          <cell r="F179" t="str">
            <v>6019910</v>
          </cell>
          <cell r="G179" t="str">
            <v>A_S6019910</v>
          </cell>
          <cell r="H179" t="str">
            <v>Settled OT Labor &amp; Benefits Exp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262.8</v>
          </cell>
          <cell r="DO179">
            <v>267.5</v>
          </cell>
          <cell r="DP179">
            <v>283.39999999999998</v>
          </cell>
          <cell r="DQ179">
            <v>246.2</v>
          </cell>
          <cell r="DR179">
            <v>296</v>
          </cell>
          <cell r="DS179">
            <v>413.9</v>
          </cell>
          <cell r="DT179">
            <v>270.3</v>
          </cell>
          <cell r="DU179">
            <v>295.2</v>
          </cell>
          <cell r="DV179">
            <v>270.7</v>
          </cell>
          <cell r="DW179">
            <v>282.7</v>
          </cell>
          <cell r="DX179">
            <v>413.1</v>
          </cell>
          <cell r="DY179">
            <v>267.60000000000002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</row>
        <row r="180">
          <cell r="F180" t="str">
            <v>601</v>
          </cell>
          <cell r="G180">
            <v>601</v>
          </cell>
          <cell r="J180">
            <v>2298.9</v>
          </cell>
          <cell r="K180">
            <v>2122.7000000000003</v>
          </cell>
          <cell r="L180">
            <v>2113.9000000000005</v>
          </cell>
          <cell r="M180">
            <v>2200.5000000000005</v>
          </cell>
          <cell r="N180">
            <v>2263.1000000000004</v>
          </cell>
          <cell r="O180">
            <v>2178.2000000000003</v>
          </cell>
          <cell r="P180">
            <v>2321.7999999999997</v>
          </cell>
          <cell r="Q180">
            <v>2266.1</v>
          </cell>
          <cell r="R180">
            <v>2143.1</v>
          </cell>
          <cell r="S180">
            <v>2172.4</v>
          </cell>
          <cell r="T180">
            <v>2059.4999999999995</v>
          </cell>
          <cell r="U180">
            <v>2255.2999999999997</v>
          </cell>
          <cell r="V180">
            <v>2260.9</v>
          </cell>
          <cell r="W180">
            <v>2199.4</v>
          </cell>
          <cell r="X180">
            <v>2128.2999999999997</v>
          </cell>
          <cell r="Y180">
            <v>2229.2000000000003</v>
          </cell>
          <cell r="Z180">
            <v>2240.3999999999996</v>
          </cell>
          <cell r="AA180">
            <v>2255.1999999999998</v>
          </cell>
          <cell r="AB180">
            <v>2343.4000000000005</v>
          </cell>
          <cell r="AC180">
            <v>2233.6000000000004</v>
          </cell>
          <cell r="AD180">
            <v>2385.8000000000002</v>
          </cell>
          <cell r="AE180">
            <v>2427.5</v>
          </cell>
          <cell r="AF180">
            <v>2379.8000000000006</v>
          </cell>
          <cell r="AG180">
            <v>2569.3000000000002</v>
          </cell>
          <cell r="AH180">
            <v>2533.8000000000002</v>
          </cell>
          <cell r="AI180">
            <v>2445.6999999999998</v>
          </cell>
          <cell r="AJ180">
            <v>2546.4</v>
          </cell>
          <cell r="AK180">
            <v>2514.6000000000004</v>
          </cell>
          <cell r="AL180">
            <v>2555.1</v>
          </cell>
          <cell r="AM180">
            <v>2620.7999999999997</v>
          </cell>
          <cell r="AN180">
            <v>2579.1</v>
          </cell>
          <cell r="AO180">
            <v>2753.7000000000007</v>
          </cell>
          <cell r="AP180">
            <v>2767.9</v>
          </cell>
          <cell r="AQ180">
            <v>2732.1000000000004</v>
          </cell>
          <cell r="AR180">
            <v>2813.6999999999994</v>
          </cell>
          <cell r="AS180">
            <v>2915.1000000000004</v>
          </cell>
          <cell r="AT180">
            <v>3092.8000000000006</v>
          </cell>
          <cell r="AU180">
            <v>2650.8999999999992</v>
          </cell>
          <cell r="AV180">
            <v>2857.8</v>
          </cell>
          <cell r="AW180">
            <v>2670.6</v>
          </cell>
          <cell r="AX180">
            <v>2739.3</v>
          </cell>
          <cell r="AY180">
            <v>2752.3</v>
          </cell>
          <cell r="AZ180">
            <v>2759.5</v>
          </cell>
          <cell r="BA180">
            <v>2864.5000000000009</v>
          </cell>
          <cell r="BB180">
            <v>2814</v>
          </cell>
          <cell r="BC180">
            <v>2888.2000000000003</v>
          </cell>
          <cell r="BD180">
            <v>2854.4999999999995</v>
          </cell>
          <cell r="BE180">
            <v>2941.2</v>
          </cell>
          <cell r="BF180">
            <v>3144.3</v>
          </cell>
          <cell r="BG180">
            <v>2704.7000000000012</v>
          </cell>
          <cell r="BH180">
            <v>2926.2</v>
          </cell>
          <cell r="BI180">
            <v>2943.5999999999995</v>
          </cell>
          <cell r="BJ180">
            <v>3086.2999999999997</v>
          </cell>
          <cell r="BK180">
            <v>2874.4000000000005</v>
          </cell>
          <cell r="BL180">
            <v>2991.8999999999996</v>
          </cell>
          <cell r="BM180">
            <v>3050.8999999999996</v>
          </cell>
          <cell r="BN180">
            <v>2807.1999999999994</v>
          </cell>
          <cell r="BO180">
            <v>2745.8</v>
          </cell>
          <cell r="BP180">
            <v>2566.6</v>
          </cell>
          <cell r="BQ180">
            <v>3181.9999999999991</v>
          </cell>
          <cell r="BR180">
            <v>3186.0000000000005</v>
          </cell>
          <cell r="BS180">
            <v>2942.4</v>
          </cell>
          <cell r="BT180">
            <v>3029</v>
          </cell>
          <cell r="BU180">
            <v>3109.3</v>
          </cell>
          <cell r="BV180">
            <v>3273.5</v>
          </cell>
          <cell r="BW180">
            <v>2968.4</v>
          </cell>
          <cell r="BX180">
            <v>3450.2</v>
          </cell>
          <cell r="BY180">
            <v>3315.7000000000003</v>
          </cell>
          <cell r="BZ180">
            <v>3261.6</v>
          </cell>
          <cell r="CA180">
            <v>3434.6</v>
          </cell>
          <cell r="CB180">
            <v>3304.2999999999997</v>
          </cell>
          <cell r="CC180">
            <v>3422.7999999999993</v>
          </cell>
          <cell r="CD180">
            <v>3618</v>
          </cell>
          <cell r="CE180">
            <v>3440.9000000000005</v>
          </cell>
          <cell r="CF180">
            <v>3688.3</v>
          </cell>
          <cell r="CG180">
            <v>3441.7000000000003</v>
          </cell>
          <cell r="CH180">
            <v>3263.5000000000005</v>
          </cell>
          <cell r="CI180">
            <v>3419</v>
          </cell>
          <cell r="CJ180">
            <v>3610.9999999999995</v>
          </cell>
          <cell r="CK180">
            <v>3472.8</v>
          </cell>
          <cell r="CL180">
            <v>3489.3999999999996</v>
          </cell>
          <cell r="CM180">
            <v>3463.8000000000006</v>
          </cell>
          <cell r="CN180">
            <v>3254.5000000000005</v>
          </cell>
          <cell r="CO180">
            <v>3640.8999999999996</v>
          </cell>
          <cell r="CP180">
            <v>3657.1</v>
          </cell>
          <cell r="CQ180">
            <v>3225.099999999999</v>
          </cell>
          <cell r="CR180">
            <v>3791.1</v>
          </cell>
          <cell r="CS180">
            <v>3755.4</v>
          </cell>
          <cell r="CT180">
            <v>3424.7000000000003</v>
          </cell>
          <cell r="CU180">
            <v>3569.0999999999995</v>
          </cell>
          <cell r="CV180">
            <v>3569.4999999999991</v>
          </cell>
          <cell r="CW180">
            <v>3555.2000000000016</v>
          </cell>
          <cell r="CX180">
            <v>3617.4000000000005</v>
          </cell>
          <cell r="CY180">
            <v>3478.9</v>
          </cell>
          <cell r="CZ180">
            <v>3791.8000000000006</v>
          </cell>
          <cell r="DA180">
            <v>3879.7</v>
          </cell>
          <cell r="DB180">
            <v>3795.2000000000003</v>
          </cell>
          <cell r="DC180">
            <v>3631.7</v>
          </cell>
          <cell r="DD180">
            <v>3997.3</v>
          </cell>
          <cell r="DE180">
            <v>3851.4000000000005</v>
          </cell>
          <cell r="DF180">
            <v>4037.3999999999996</v>
          </cell>
          <cell r="DG180">
            <v>4276.7000000000007</v>
          </cell>
          <cell r="DH180">
            <v>3964.7999999999993</v>
          </cell>
          <cell r="DI180">
            <v>4352.2999999999993</v>
          </cell>
          <cell r="DJ180">
            <v>4346.0999999999995</v>
          </cell>
          <cell r="DK180">
            <v>3876.4000000000005</v>
          </cell>
          <cell r="DL180">
            <v>4535.5999999999995</v>
          </cell>
          <cell r="DM180">
            <v>4614</v>
          </cell>
          <cell r="DN180">
            <v>4249.8</v>
          </cell>
          <cell r="DO180">
            <v>3923.5</v>
          </cell>
          <cell r="DP180">
            <v>4513.7999999999993</v>
          </cell>
          <cell r="DQ180">
            <v>3919.2</v>
          </cell>
          <cell r="DR180">
            <v>4510.3999999999996</v>
          </cell>
          <cell r="DS180">
            <v>4521.5999999999995</v>
          </cell>
          <cell r="DT180">
            <v>4199.2</v>
          </cell>
          <cell r="DU180">
            <v>4577.2</v>
          </cell>
          <cell r="DV180">
            <v>4169</v>
          </cell>
          <cell r="DW180">
            <v>4369.8999999999996</v>
          </cell>
          <cell r="DX180">
            <v>4783.8</v>
          </cell>
          <cell r="DY180">
            <v>4451.9000000000005</v>
          </cell>
          <cell r="EM180">
            <v>27652.799999999999</v>
          </cell>
          <cell r="EN180">
            <v>31778.000000000007</v>
          </cell>
          <cell r="EO180">
            <v>33885.599999999999</v>
          </cell>
          <cell r="EP180">
            <v>35023.9</v>
          </cell>
          <cell r="EQ180">
            <v>38697.800000000003</v>
          </cell>
          <cell r="ER180">
            <v>41803.800000000003</v>
          </cell>
          <cell r="ES180">
            <v>43315</v>
          </cell>
        </row>
        <row r="181">
          <cell r="A181" t="str">
            <v>O&amp;M (Net of pass-throughs)</v>
          </cell>
          <cell r="B181" t="str">
            <v>Operations &amp; Maintenance Expense (incl clause)</v>
          </cell>
          <cell r="E181" t="str">
            <v>Operations &amp; Maintenance Expense</v>
          </cell>
          <cell r="F181" t="str">
            <v>6020000</v>
          </cell>
          <cell r="G181" t="str">
            <v>A_P6020000</v>
          </cell>
          <cell r="H181" t="str">
            <v>Planned Benefit Plan Admin Fees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1218</v>
          </cell>
          <cell r="DO181">
            <v>1125.7</v>
          </cell>
          <cell r="DP181">
            <v>1290.3</v>
          </cell>
          <cell r="DQ181">
            <v>1122.4000000000001</v>
          </cell>
          <cell r="DR181">
            <v>1296.2</v>
          </cell>
          <cell r="DS181">
            <v>1303.4000000000001</v>
          </cell>
          <cell r="DT181">
            <v>1205.5999999999999</v>
          </cell>
          <cell r="DU181">
            <v>1312.9</v>
          </cell>
          <cell r="DV181">
            <v>1199</v>
          </cell>
          <cell r="DW181">
            <v>1258.5</v>
          </cell>
          <cell r="DX181">
            <v>1383</v>
          </cell>
          <cell r="DY181">
            <v>1283.5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</row>
        <row r="182">
          <cell r="A182" t="str">
            <v>O&amp;M (Net of pass-throughs)</v>
          </cell>
          <cell r="B182" t="str">
            <v>Operations &amp; Maintenance Expense (incl clause)</v>
          </cell>
          <cell r="E182" t="str">
            <v>Operations &amp; Maintenance Expense</v>
          </cell>
          <cell r="F182" t="str">
            <v>6020000</v>
          </cell>
          <cell r="G182" t="str">
            <v>A_S6020000</v>
          </cell>
          <cell r="H182" t="str">
            <v>Settled Benefits Expense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</row>
        <row r="183">
          <cell r="A183" t="str">
            <v>O&amp;M (Net of pass-throughs)</v>
          </cell>
          <cell r="B183" t="str">
            <v>Operations &amp; Maintenance Expense (incl clause)</v>
          </cell>
          <cell r="E183" t="str">
            <v>Operations &amp; Maintenance Expense</v>
          </cell>
          <cell r="F183" t="str">
            <v>6020010</v>
          </cell>
          <cell r="G183" t="str">
            <v>A_S6020010</v>
          </cell>
          <cell r="H183" t="str">
            <v>Settled Benefit Plan Admin Fees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6</v>
          </cell>
          <cell r="DO183">
            <v>6</v>
          </cell>
          <cell r="DP183">
            <v>6</v>
          </cell>
          <cell r="DQ183">
            <v>6</v>
          </cell>
          <cell r="DR183">
            <v>6</v>
          </cell>
          <cell r="DS183">
            <v>6</v>
          </cell>
          <cell r="DT183">
            <v>6</v>
          </cell>
          <cell r="DU183">
            <v>6</v>
          </cell>
          <cell r="DV183">
            <v>6</v>
          </cell>
          <cell r="DW183">
            <v>6</v>
          </cell>
          <cell r="DX183">
            <v>6</v>
          </cell>
          <cell r="DY183">
            <v>6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</row>
        <row r="184">
          <cell r="A184" t="str">
            <v>O&amp;M (Net of pass-throughs)</v>
          </cell>
          <cell r="B184" t="str">
            <v>Operations &amp; Maintenance Expense (incl clause)</v>
          </cell>
          <cell r="E184" t="str">
            <v>Operations &amp; Maintenance Expense</v>
          </cell>
          <cell r="F184" t="str">
            <v>6020020</v>
          </cell>
          <cell r="G184" t="str">
            <v>A_S6020020</v>
          </cell>
          <cell r="H184" t="str">
            <v>Settled Tuition Reimbursement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7</v>
          </cell>
          <cell r="DO184">
            <v>7</v>
          </cell>
          <cell r="DP184">
            <v>7</v>
          </cell>
          <cell r="DQ184">
            <v>7</v>
          </cell>
          <cell r="DR184">
            <v>7</v>
          </cell>
          <cell r="DS184">
            <v>7</v>
          </cell>
          <cell r="DT184">
            <v>7</v>
          </cell>
          <cell r="DU184">
            <v>7</v>
          </cell>
          <cell r="DV184">
            <v>7</v>
          </cell>
          <cell r="DW184">
            <v>7</v>
          </cell>
          <cell r="DX184">
            <v>7</v>
          </cell>
          <cell r="DY184">
            <v>7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</row>
        <row r="185">
          <cell r="A185" t="str">
            <v>O&amp;M (Net of pass-throughs)</v>
          </cell>
          <cell r="B185" t="str">
            <v>Operations &amp; Maintenance Expense (incl clause)</v>
          </cell>
          <cell r="E185" t="str">
            <v>Operations &amp; Maintenance Expense</v>
          </cell>
          <cell r="F185" t="str">
            <v>6020030</v>
          </cell>
          <cell r="G185" t="str">
            <v>A_S6020030</v>
          </cell>
          <cell r="H185" t="str">
            <v>Settled Life Insurance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11</v>
          </cell>
          <cell r="DO185">
            <v>11</v>
          </cell>
          <cell r="DP185">
            <v>11</v>
          </cell>
          <cell r="DQ185">
            <v>11</v>
          </cell>
          <cell r="DR185">
            <v>11</v>
          </cell>
          <cell r="DS185">
            <v>11</v>
          </cell>
          <cell r="DT185">
            <v>11</v>
          </cell>
          <cell r="DU185">
            <v>11</v>
          </cell>
          <cell r="DV185">
            <v>11</v>
          </cell>
          <cell r="DW185">
            <v>11</v>
          </cell>
          <cell r="DX185">
            <v>11</v>
          </cell>
          <cell r="DY185">
            <v>11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</row>
        <row r="186">
          <cell r="A186" t="str">
            <v>O&amp;M (Net of pass-throughs)</v>
          </cell>
          <cell r="B186" t="str">
            <v>Operations &amp; Maintenance Expense (incl clause)</v>
          </cell>
          <cell r="E186" t="str">
            <v>Operations &amp; Maintenance Expense</v>
          </cell>
          <cell r="F186" t="str">
            <v>6020040</v>
          </cell>
          <cell r="G186" t="str">
            <v>A_S6020040</v>
          </cell>
          <cell r="H186" t="str">
            <v>Settled Long-term Care Insurance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3.1</v>
          </cell>
          <cell r="DO186">
            <v>3.1</v>
          </cell>
          <cell r="DP186">
            <v>3.1</v>
          </cell>
          <cell r="DQ186">
            <v>3.1</v>
          </cell>
          <cell r="DR186">
            <v>3.1</v>
          </cell>
          <cell r="DS186">
            <v>3.1</v>
          </cell>
          <cell r="DT186">
            <v>3.1</v>
          </cell>
          <cell r="DU186">
            <v>3.1</v>
          </cell>
          <cell r="DV186">
            <v>3.1</v>
          </cell>
          <cell r="DW186">
            <v>3.1</v>
          </cell>
          <cell r="DX186">
            <v>3.1</v>
          </cell>
          <cell r="DY186">
            <v>3.1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</row>
        <row r="187">
          <cell r="A187" t="str">
            <v>O&amp;M (Net of pass-throughs)</v>
          </cell>
          <cell r="B187" t="str">
            <v>Operations &amp; Maintenance Expense (incl clause)</v>
          </cell>
          <cell r="E187" t="str">
            <v>Operations &amp; Maintenance Expense</v>
          </cell>
          <cell r="F187" t="str">
            <v>6020050</v>
          </cell>
          <cell r="G187" t="str">
            <v>A_S6020050</v>
          </cell>
          <cell r="H187" t="str">
            <v>Settled Medical Insurance - Active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812.5</v>
          </cell>
          <cell r="DO187">
            <v>812.5</v>
          </cell>
          <cell r="DP187">
            <v>812.5</v>
          </cell>
          <cell r="DQ187">
            <v>812.5</v>
          </cell>
          <cell r="DR187">
            <v>812.5</v>
          </cell>
          <cell r="DS187">
            <v>812.5</v>
          </cell>
          <cell r="DT187">
            <v>812.5</v>
          </cell>
          <cell r="DU187">
            <v>812.5</v>
          </cell>
          <cell r="DV187">
            <v>812.5</v>
          </cell>
          <cell r="DW187">
            <v>812.5</v>
          </cell>
          <cell r="DX187">
            <v>812.5</v>
          </cell>
          <cell r="DY187">
            <v>812.5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</row>
        <row r="188">
          <cell r="A188" t="str">
            <v>O&amp;M (Net of pass-throughs)</v>
          </cell>
          <cell r="B188" t="str">
            <v>Operations &amp; Maintenance Expense (incl clause)</v>
          </cell>
          <cell r="E188" t="str">
            <v>Operations &amp; Maintenance Expense</v>
          </cell>
          <cell r="F188" t="str">
            <v>6020060</v>
          </cell>
          <cell r="G188" t="str">
            <v>A_S6020060</v>
          </cell>
          <cell r="H188" t="str">
            <v>Settled Pensions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67.400000000000006</v>
          </cell>
          <cell r="DO188">
            <v>67.400000000000006</v>
          </cell>
          <cell r="DP188">
            <v>67.400000000000006</v>
          </cell>
          <cell r="DQ188">
            <v>67.400000000000006</v>
          </cell>
          <cell r="DR188">
            <v>67.400000000000006</v>
          </cell>
          <cell r="DS188">
            <v>67.400000000000006</v>
          </cell>
          <cell r="DT188">
            <v>67.400000000000006</v>
          </cell>
          <cell r="DU188">
            <v>67.400000000000006</v>
          </cell>
          <cell r="DV188">
            <v>67.400000000000006</v>
          </cell>
          <cell r="DW188">
            <v>67.400000000000006</v>
          </cell>
          <cell r="DX188">
            <v>67.400000000000006</v>
          </cell>
          <cell r="DY188">
            <v>67.400000000000006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</row>
        <row r="189">
          <cell r="A189" t="str">
            <v>O&amp;M (Net of pass-throughs)</v>
          </cell>
          <cell r="B189" t="str">
            <v>Operations &amp; Maintenance Expense (incl clause)</v>
          </cell>
          <cell r="E189" t="str">
            <v>Operations &amp; Maintenance Expense</v>
          </cell>
          <cell r="F189" t="str">
            <v>6020070</v>
          </cell>
          <cell r="G189" t="str">
            <v>A_S6020070</v>
          </cell>
          <cell r="H189" t="str">
            <v>Settled Pension Credit for Capitalization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-1518.4</v>
          </cell>
          <cell r="DO189">
            <v>-1402.8</v>
          </cell>
          <cell r="DP189">
            <v>-1612.7</v>
          </cell>
          <cell r="DQ189">
            <v>-1403.7</v>
          </cell>
          <cell r="DR189">
            <v>-1619.4</v>
          </cell>
          <cell r="DS189">
            <v>-1596</v>
          </cell>
          <cell r="DT189">
            <v>-1475.4</v>
          </cell>
          <cell r="DU189">
            <v>-1604.1</v>
          </cell>
          <cell r="DV189">
            <v>-1465.3</v>
          </cell>
          <cell r="DW189">
            <v>-1536.7</v>
          </cell>
          <cell r="DX189">
            <v>-1733.5</v>
          </cell>
          <cell r="DY189">
            <v>-1607.7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</row>
        <row r="190">
          <cell r="A190" t="str">
            <v>O&amp;M (Net of pass-throughs)</v>
          </cell>
          <cell r="B190" t="str">
            <v>Operations &amp; Maintenance Expense (incl clause)</v>
          </cell>
          <cell r="E190" t="str">
            <v>Operations &amp; Maintenance Expense</v>
          </cell>
          <cell r="F190" t="str">
            <v>6020080</v>
          </cell>
          <cell r="G190" t="str">
            <v>A_S6020080</v>
          </cell>
          <cell r="H190" t="str">
            <v>Settled Post Retirement Benefits FAS 106 - Activ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78.900000000000006</v>
          </cell>
          <cell r="DO190">
            <v>78.900000000000006</v>
          </cell>
          <cell r="DP190">
            <v>78.900000000000006</v>
          </cell>
          <cell r="DQ190">
            <v>78.900000000000006</v>
          </cell>
          <cell r="DR190">
            <v>78.900000000000006</v>
          </cell>
          <cell r="DS190">
            <v>78.900000000000006</v>
          </cell>
          <cell r="DT190">
            <v>78.900000000000006</v>
          </cell>
          <cell r="DU190">
            <v>78.900000000000006</v>
          </cell>
          <cell r="DV190">
            <v>78.900000000000006</v>
          </cell>
          <cell r="DW190">
            <v>78.900000000000006</v>
          </cell>
          <cell r="DX190">
            <v>78.900000000000006</v>
          </cell>
          <cell r="DY190">
            <v>78.900000000000006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</row>
        <row r="191">
          <cell r="A191" t="str">
            <v>O&amp;M (Net of pass-throughs)</v>
          </cell>
          <cell r="B191" t="str">
            <v>Operations &amp; Maintenance Expense (incl clause)</v>
          </cell>
          <cell r="E191" t="str">
            <v>Operations &amp; Maintenance Expense</v>
          </cell>
          <cell r="F191" t="str">
            <v>6020100</v>
          </cell>
          <cell r="G191" t="str">
            <v>A_S6020100</v>
          </cell>
          <cell r="H191" t="str">
            <v>Settled Long-term Incentive Expense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579.4</v>
          </cell>
          <cell r="DQ191">
            <v>0</v>
          </cell>
          <cell r="DR191">
            <v>0</v>
          </cell>
          <cell r="DS191">
            <v>579.4</v>
          </cell>
          <cell r="DT191">
            <v>0</v>
          </cell>
          <cell r="DU191">
            <v>0</v>
          </cell>
          <cell r="DV191">
            <v>579.4</v>
          </cell>
          <cell r="DW191">
            <v>0</v>
          </cell>
          <cell r="DX191">
            <v>0</v>
          </cell>
          <cell r="DY191">
            <v>579.4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</row>
        <row r="192">
          <cell r="A192" t="str">
            <v>O&amp;M (Net of pass-throughs)</v>
          </cell>
          <cell r="B192" t="str">
            <v>Operations &amp; Maintenance Expense (incl clause)</v>
          </cell>
          <cell r="E192" t="str">
            <v>Operations &amp; Maintenance Expense</v>
          </cell>
          <cell r="F192" t="str">
            <v>6020101</v>
          </cell>
          <cell r="G192" t="str">
            <v>A_S6020101</v>
          </cell>
          <cell r="H192" t="str">
            <v>Settled Employee Deferred Compensation Exp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</row>
        <row r="193">
          <cell r="A193" t="str">
            <v>O&amp;M (Net of pass-throughs)</v>
          </cell>
          <cell r="B193" t="str">
            <v>Operations &amp; Maintenance Expense (incl clause)</v>
          </cell>
          <cell r="E193" t="str">
            <v>Operations &amp; Maintenance Expense</v>
          </cell>
          <cell r="F193" t="str">
            <v>6020110</v>
          </cell>
          <cell r="G193" t="str">
            <v>A_S6020110</v>
          </cell>
          <cell r="H193" t="str">
            <v>Settled Employee Wellness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</row>
        <row r="194">
          <cell r="A194" t="str">
            <v>O&amp;M (Net of pass-throughs)</v>
          </cell>
          <cell r="B194" t="str">
            <v>Operations &amp; Maintenance Expense (incl clause)</v>
          </cell>
          <cell r="E194" t="str">
            <v>Operations &amp; Maintenance Expense</v>
          </cell>
          <cell r="F194" t="str">
            <v>6020130</v>
          </cell>
          <cell r="G194" t="str">
            <v>A_S6020130</v>
          </cell>
          <cell r="H194" t="str">
            <v>Settled Employer 401K Fixed Match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225.1</v>
          </cell>
          <cell r="DO194">
            <v>225.1</v>
          </cell>
          <cell r="DP194">
            <v>225.1</v>
          </cell>
          <cell r="DQ194">
            <v>225.1</v>
          </cell>
          <cell r="DR194">
            <v>225.1</v>
          </cell>
          <cell r="DS194">
            <v>225.1</v>
          </cell>
          <cell r="DT194">
            <v>225.1</v>
          </cell>
          <cell r="DU194">
            <v>225.1</v>
          </cell>
          <cell r="DV194">
            <v>225.1</v>
          </cell>
          <cell r="DW194">
            <v>225.1</v>
          </cell>
          <cell r="DX194">
            <v>225.1</v>
          </cell>
          <cell r="DY194">
            <v>225.1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</row>
        <row r="195">
          <cell r="A195" t="str">
            <v>O&amp;M (Net of pass-throughs)</v>
          </cell>
          <cell r="B195" t="str">
            <v>Operations &amp; Maintenance Expense (incl clause)</v>
          </cell>
          <cell r="E195" t="str">
            <v>Operations &amp; Maintenance Expense</v>
          </cell>
          <cell r="F195" t="str">
            <v>6020140</v>
          </cell>
          <cell r="G195" t="str">
            <v>A_S6020140</v>
          </cell>
          <cell r="H195" t="str">
            <v>Employer 401K Performance Match</v>
          </cell>
          <cell r="J195">
            <v>0</v>
          </cell>
          <cell r="K195">
            <v>-6.2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152</v>
          </cell>
          <cell r="S195">
            <v>0</v>
          </cell>
          <cell r="T195">
            <v>0</v>
          </cell>
          <cell r="U195">
            <v>170</v>
          </cell>
          <cell r="V195">
            <v>0</v>
          </cell>
          <cell r="W195">
            <v>-65.2</v>
          </cell>
          <cell r="X195">
            <v>168.5</v>
          </cell>
          <cell r="Y195">
            <v>42</v>
          </cell>
          <cell r="Z195">
            <v>-29</v>
          </cell>
          <cell r="AA195">
            <v>30</v>
          </cell>
          <cell r="AB195">
            <v>-24</v>
          </cell>
          <cell r="AC195">
            <v>4</v>
          </cell>
          <cell r="AD195">
            <v>-52</v>
          </cell>
          <cell r="AE195">
            <v>-7</v>
          </cell>
          <cell r="AF195">
            <v>84</v>
          </cell>
          <cell r="AG195">
            <v>-160.9</v>
          </cell>
          <cell r="AH195">
            <v>0</v>
          </cell>
          <cell r="AI195">
            <v>-9.6999999999999993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252</v>
          </cell>
          <cell r="AQ195">
            <v>-4</v>
          </cell>
          <cell r="AR195">
            <v>-140</v>
          </cell>
          <cell r="AS195">
            <v>-56</v>
          </cell>
          <cell r="AT195">
            <v>0</v>
          </cell>
          <cell r="AU195">
            <v>0</v>
          </cell>
          <cell r="AV195">
            <v>17.5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25</v>
          </cell>
          <cell r="BH195">
            <v>0</v>
          </cell>
          <cell r="BI195">
            <v>0</v>
          </cell>
          <cell r="BJ195">
            <v>0.8</v>
          </cell>
          <cell r="BK195">
            <v>-0.7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4.2</v>
          </cell>
          <cell r="BT195">
            <v>1.4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256.7</v>
          </cell>
          <cell r="CD195">
            <v>0</v>
          </cell>
          <cell r="CE195">
            <v>-23.4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EM195">
            <v>-9.5999999999999943</v>
          </cell>
          <cell r="EN195">
            <v>42.300000000000011</v>
          </cell>
          <cell r="EO195">
            <v>17.5</v>
          </cell>
          <cell r="EP195">
            <v>25.1</v>
          </cell>
          <cell r="EQ195">
            <v>262.3</v>
          </cell>
          <cell r="ER195">
            <v>-23.4</v>
          </cell>
          <cell r="ES195">
            <v>0</v>
          </cell>
        </row>
        <row r="196">
          <cell r="A196" t="str">
            <v>O&amp;M (Net of pass-throughs)</v>
          </cell>
          <cell r="B196" t="str">
            <v>Operations &amp; Maintenance Expense (incl clause)</v>
          </cell>
          <cell r="E196" t="str">
            <v>Operations &amp; Maintenance Expense</v>
          </cell>
          <cell r="F196" t="str">
            <v>6020150</v>
          </cell>
          <cell r="G196" t="str">
            <v>A_S6020150</v>
          </cell>
          <cell r="H196" t="str">
            <v>Settled Supplemental Executive Retirement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8.9</v>
          </cell>
          <cell r="DO196">
            <v>8.9</v>
          </cell>
          <cell r="DP196">
            <v>8.9</v>
          </cell>
          <cell r="DQ196">
            <v>8.9</v>
          </cell>
          <cell r="DR196">
            <v>8.9</v>
          </cell>
          <cell r="DS196">
            <v>8.9</v>
          </cell>
          <cell r="DT196">
            <v>8.9</v>
          </cell>
          <cell r="DU196">
            <v>8.9</v>
          </cell>
          <cell r="DV196">
            <v>8.9</v>
          </cell>
          <cell r="DW196">
            <v>8.9</v>
          </cell>
          <cell r="DX196">
            <v>8.9</v>
          </cell>
          <cell r="DY196">
            <v>8.9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</row>
        <row r="197">
          <cell r="A197" t="str">
            <v>O&amp;M (Net of pass-throughs)</v>
          </cell>
          <cell r="B197" t="str">
            <v>Operations &amp; Maintenance Expense (incl clause)</v>
          </cell>
          <cell r="E197" t="str">
            <v>Operations &amp; Maintenance Expense</v>
          </cell>
          <cell r="F197" t="str">
            <v>6020170</v>
          </cell>
          <cell r="G197" t="str">
            <v>A_S6020170</v>
          </cell>
          <cell r="H197" t="str">
            <v>Settled Long-term Disability - FAS 112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25</v>
          </cell>
          <cell r="DO197">
            <v>25</v>
          </cell>
          <cell r="DP197">
            <v>25</v>
          </cell>
          <cell r="DQ197">
            <v>25</v>
          </cell>
          <cell r="DR197">
            <v>25</v>
          </cell>
          <cell r="DS197">
            <v>25</v>
          </cell>
          <cell r="DT197">
            <v>25</v>
          </cell>
          <cell r="DU197">
            <v>25</v>
          </cell>
          <cell r="DV197">
            <v>25</v>
          </cell>
          <cell r="DW197">
            <v>25</v>
          </cell>
          <cell r="DX197">
            <v>25</v>
          </cell>
          <cell r="DY197">
            <v>25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</row>
        <row r="198">
          <cell r="A198" t="str">
            <v>O&amp;M (Net of pass-throughs)</v>
          </cell>
          <cell r="B198" t="str">
            <v>Operations &amp; Maintenance Expense (incl clause)</v>
          </cell>
          <cell r="E198" t="str">
            <v>Operations &amp; Maintenance Expense</v>
          </cell>
          <cell r="F198" t="str">
            <v>6020180</v>
          </cell>
          <cell r="G198" t="str">
            <v>A_S6020180</v>
          </cell>
          <cell r="H198" t="str">
            <v>Settled Long-term Disability Premiums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19.2</v>
          </cell>
          <cell r="DO198">
            <v>19.2</v>
          </cell>
          <cell r="DP198">
            <v>19.2</v>
          </cell>
          <cell r="DQ198">
            <v>19.2</v>
          </cell>
          <cell r="DR198">
            <v>19.2</v>
          </cell>
          <cell r="DS198">
            <v>19.2</v>
          </cell>
          <cell r="DT198">
            <v>19.2</v>
          </cell>
          <cell r="DU198">
            <v>19.2</v>
          </cell>
          <cell r="DV198">
            <v>19.2</v>
          </cell>
          <cell r="DW198">
            <v>19.2</v>
          </cell>
          <cell r="DX198">
            <v>19.2</v>
          </cell>
          <cell r="DY198">
            <v>19.2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</row>
        <row r="199">
          <cell r="A199" t="str">
            <v>O&amp;M (Net of pass-throughs)</v>
          </cell>
          <cell r="B199" t="str">
            <v>Operations &amp; Maintenance Expense (incl clause)</v>
          </cell>
          <cell r="E199" t="str">
            <v>Operations &amp; Maintenance Expense</v>
          </cell>
          <cell r="F199" t="str">
            <v>6020220</v>
          </cell>
          <cell r="G199" t="str">
            <v>A_S6020220</v>
          </cell>
          <cell r="H199" t="str">
            <v>Settled Vacations (accrual)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18</v>
          </cell>
          <cell r="DO199">
            <v>18</v>
          </cell>
          <cell r="DP199">
            <v>18</v>
          </cell>
          <cell r="DQ199">
            <v>18</v>
          </cell>
          <cell r="DR199">
            <v>18</v>
          </cell>
          <cell r="DS199">
            <v>18</v>
          </cell>
          <cell r="DT199">
            <v>18</v>
          </cell>
          <cell r="DU199">
            <v>18</v>
          </cell>
          <cell r="DV199">
            <v>18</v>
          </cell>
          <cell r="DW199">
            <v>18</v>
          </cell>
          <cell r="DX199">
            <v>18</v>
          </cell>
          <cell r="DY199">
            <v>18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</row>
        <row r="200">
          <cell r="A200" t="str">
            <v>O&amp;M (Net of pass-throughs)</v>
          </cell>
          <cell r="B200" t="str">
            <v>Operations &amp; Maintenance Expense (incl clause)</v>
          </cell>
          <cell r="E200" t="str">
            <v>Operations &amp; Maintenance Expense</v>
          </cell>
          <cell r="F200" t="str">
            <v>6020230</v>
          </cell>
          <cell r="G200" t="str">
            <v>A_S6020230</v>
          </cell>
          <cell r="H200" t="str">
            <v>Settled Restoration Benefit Plan Expense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8.6</v>
          </cell>
          <cell r="DO200">
            <v>8.6</v>
          </cell>
          <cell r="DP200">
            <v>8.6</v>
          </cell>
          <cell r="DQ200">
            <v>8.6</v>
          </cell>
          <cell r="DR200">
            <v>8.6</v>
          </cell>
          <cell r="DS200">
            <v>8.6</v>
          </cell>
          <cell r="DT200">
            <v>8.6</v>
          </cell>
          <cell r="DU200">
            <v>8.6</v>
          </cell>
          <cell r="DV200">
            <v>8.6</v>
          </cell>
          <cell r="DW200">
            <v>8.6</v>
          </cell>
          <cell r="DX200">
            <v>8.6</v>
          </cell>
          <cell r="DY200">
            <v>8.6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</row>
        <row r="201">
          <cell r="A201" t="str">
            <v>O&amp;M (Net of pass-throughs)</v>
          </cell>
          <cell r="B201" t="str">
            <v>Operations &amp; Maintenance Expense (incl clause)</v>
          </cell>
          <cell r="E201" t="str">
            <v>Operations &amp; Maintenance Expense</v>
          </cell>
          <cell r="F201" t="str">
            <v>6020240</v>
          </cell>
          <cell r="G201" t="str">
            <v>A_S6020240</v>
          </cell>
          <cell r="H201" t="str">
            <v>Settled Employer Match on Common Stock Purch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8.3000000000000007</v>
          </cell>
          <cell r="DO201">
            <v>8.3000000000000007</v>
          </cell>
          <cell r="DP201">
            <v>8.3000000000000007</v>
          </cell>
          <cell r="DQ201">
            <v>8.3000000000000007</v>
          </cell>
          <cell r="DR201">
            <v>8.3000000000000007</v>
          </cell>
          <cell r="DS201">
            <v>8.3000000000000007</v>
          </cell>
          <cell r="DT201">
            <v>8.3000000000000007</v>
          </cell>
          <cell r="DU201">
            <v>8.3000000000000007</v>
          </cell>
          <cell r="DV201">
            <v>8.3000000000000007</v>
          </cell>
          <cell r="DW201">
            <v>8.3000000000000007</v>
          </cell>
          <cell r="DX201">
            <v>8.3000000000000007</v>
          </cell>
          <cell r="DY201">
            <v>8.3000000000000007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</row>
        <row r="202">
          <cell r="A202" t="str">
            <v>O&amp;M (Net of pass-throughs)</v>
          </cell>
          <cell r="B202" t="str">
            <v>Operations &amp; Maintenance Expense (incl clause)</v>
          </cell>
          <cell r="E202" t="str">
            <v>Operations &amp; Maintenance Expense</v>
          </cell>
          <cell r="F202" t="str">
            <v>6020800</v>
          </cell>
          <cell r="G202" t="str">
            <v>A_S6020800</v>
          </cell>
          <cell r="H202" t="str">
            <v>Settled Benefits - Other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29.4</v>
          </cell>
          <cell r="DO202">
            <v>29.4</v>
          </cell>
          <cell r="DP202">
            <v>29.4</v>
          </cell>
          <cell r="DQ202">
            <v>29.4</v>
          </cell>
          <cell r="DR202">
            <v>29.4</v>
          </cell>
          <cell r="DS202">
            <v>29.4</v>
          </cell>
          <cell r="DT202">
            <v>29.4</v>
          </cell>
          <cell r="DU202">
            <v>29.4</v>
          </cell>
          <cell r="DV202">
            <v>29.4</v>
          </cell>
          <cell r="DW202">
            <v>29.4</v>
          </cell>
          <cell r="DX202">
            <v>29.4</v>
          </cell>
          <cell r="DY202">
            <v>29.4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</row>
        <row r="203">
          <cell r="A203" t="str">
            <v>O&amp;M (Net of pass-throughs)</v>
          </cell>
          <cell r="B203" t="str">
            <v>Operations &amp; Maintenance Expense (incl clause)</v>
          </cell>
          <cell r="E203" t="str">
            <v>Operations &amp; Maintenance Expense</v>
          </cell>
          <cell r="F203" t="str">
            <v>6020900</v>
          </cell>
          <cell r="G203" t="str">
            <v>A_S6020900</v>
          </cell>
          <cell r="H203" t="str">
            <v>Settled Employee Incentive Expense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555.4</v>
          </cell>
          <cell r="DO203">
            <v>555.4</v>
          </cell>
          <cell r="DP203">
            <v>555.4</v>
          </cell>
          <cell r="DQ203">
            <v>555.4</v>
          </cell>
          <cell r="DR203">
            <v>555.4</v>
          </cell>
          <cell r="DS203">
            <v>555.4</v>
          </cell>
          <cell r="DT203">
            <v>555.4</v>
          </cell>
          <cell r="DU203">
            <v>555.4</v>
          </cell>
          <cell r="DV203">
            <v>555.4</v>
          </cell>
          <cell r="DW203">
            <v>555.4</v>
          </cell>
          <cell r="DX203">
            <v>555.4</v>
          </cell>
          <cell r="DY203">
            <v>555.4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</row>
        <row r="204">
          <cell r="A204" t="str">
            <v>O&amp;M (Net of pass-throughs)</v>
          </cell>
          <cell r="B204" t="str">
            <v>Operations &amp; Maintenance Expense (incl clause)</v>
          </cell>
          <cell r="E204" t="str">
            <v>Operations &amp; Maintenance Expense</v>
          </cell>
          <cell r="F204" t="str">
            <v>6020000</v>
          </cell>
          <cell r="G204" t="str">
            <v>A_C6020000</v>
          </cell>
          <cell r="H204" t="str">
            <v>Fringer Adder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</row>
        <row r="205">
          <cell r="A205" t="str">
            <v>O&amp;M (Net of pass-throughs)</v>
          </cell>
          <cell r="B205" t="str">
            <v>Operations &amp; Maintenance Expense (incl clause)</v>
          </cell>
          <cell r="E205" t="str">
            <v>Operations &amp; Maintenance Expense</v>
          </cell>
          <cell r="F205" t="str">
            <v>6020010</v>
          </cell>
          <cell r="G205" t="str">
            <v>A_6020010</v>
          </cell>
          <cell r="H205" t="str">
            <v>Benefit Plan Admin Fees</v>
          </cell>
          <cell r="J205">
            <v>5.7</v>
          </cell>
          <cell r="K205">
            <v>8.4</v>
          </cell>
          <cell r="L205">
            <v>5.8</v>
          </cell>
          <cell r="M205">
            <v>8.6</v>
          </cell>
          <cell r="N205">
            <v>5.8</v>
          </cell>
          <cell r="O205">
            <v>5.7</v>
          </cell>
          <cell r="P205">
            <v>8.4</v>
          </cell>
          <cell r="Q205">
            <v>5.7</v>
          </cell>
          <cell r="R205">
            <v>5.8</v>
          </cell>
          <cell r="S205">
            <v>5.7</v>
          </cell>
          <cell r="T205">
            <v>8.6</v>
          </cell>
          <cell r="U205">
            <v>5.8</v>
          </cell>
          <cell r="V205">
            <v>5.8</v>
          </cell>
          <cell r="W205">
            <v>8.6</v>
          </cell>
          <cell r="X205">
            <v>5.7</v>
          </cell>
          <cell r="Y205">
            <v>5.7</v>
          </cell>
          <cell r="Z205">
            <v>8.4</v>
          </cell>
          <cell r="AA205">
            <v>5.7</v>
          </cell>
          <cell r="AB205">
            <v>8.6999999999999993</v>
          </cell>
          <cell r="AC205">
            <v>5.7</v>
          </cell>
          <cell r="AD205">
            <v>5.7</v>
          </cell>
          <cell r="AE205">
            <v>0</v>
          </cell>
          <cell r="AF205">
            <v>14.4</v>
          </cell>
          <cell r="AG205">
            <v>6</v>
          </cell>
          <cell r="AH205">
            <v>8.8000000000000007</v>
          </cell>
          <cell r="AI205">
            <v>6.1</v>
          </cell>
          <cell r="AJ205">
            <v>6.1</v>
          </cell>
          <cell r="AK205">
            <v>6.1</v>
          </cell>
          <cell r="AL205">
            <v>8.5</v>
          </cell>
          <cell r="AM205">
            <v>8.4</v>
          </cell>
          <cell r="AN205">
            <v>6.4</v>
          </cell>
          <cell r="AO205">
            <v>7.6</v>
          </cell>
          <cell r="AP205">
            <v>7</v>
          </cell>
          <cell r="AQ205">
            <v>6.5</v>
          </cell>
          <cell r="AR205">
            <v>7.1</v>
          </cell>
          <cell r="AS205">
            <v>7.6</v>
          </cell>
          <cell r="AT205">
            <v>7.2</v>
          </cell>
          <cell r="AU205">
            <v>5</v>
          </cell>
          <cell r="AV205">
            <v>9.8000000000000007</v>
          </cell>
          <cell r="AW205">
            <v>7.3</v>
          </cell>
          <cell r="AX205">
            <v>6.7</v>
          </cell>
          <cell r="AY205">
            <v>7</v>
          </cell>
          <cell r="AZ205">
            <v>6.9</v>
          </cell>
          <cell r="BA205">
            <v>8.1</v>
          </cell>
          <cell r="BB205">
            <v>9.1999999999999993</v>
          </cell>
          <cell r="BC205">
            <v>6.9</v>
          </cell>
          <cell r="BD205">
            <v>8.1</v>
          </cell>
          <cell r="BE205">
            <v>7</v>
          </cell>
          <cell r="BF205">
            <v>7.3</v>
          </cell>
          <cell r="BG205">
            <v>5.5</v>
          </cell>
          <cell r="BH205">
            <v>8.9</v>
          </cell>
          <cell r="BI205">
            <v>6.1</v>
          </cell>
          <cell r="BJ205">
            <v>7.9</v>
          </cell>
          <cell r="BK205">
            <v>6.7</v>
          </cell>
          <cell r="BL205">
            <v>8.4</v>
          </cell>
          <cell r="BM205">
            <v>7.4</v>
          </cell>
          <cell r="BN205">
            <v>7.3</v>
          </cell>
          <cell r="BO205">
            <v>8</v>
          </cell>
          <cell r="BP205">
            <v>7.4</v>
          </cell>
          <cell r="BQ205">
            <v>6.9</v>
          </cell>
          <cell r="BR205">
            <v>4.2</v>
          </cell>
          <cell r="BS205">
            <v>6.5</v>
          </cell>
          <cell r="BT205">
            <v>4.3</v>
          </cell>
          <cell r="BU205">
            <v>8.1</v>
          </cell>
          <cell r="BV205">
            <v>4.3</v>
          </cell>
          <cell r="BW205">
            <v>4.5999999999999996</v>
          </cell>
          <cell r="BX205">
            <v>4.9000000000000004</v>
          </cell>
          <cell r="BY205">
            <v>5</v>
          </cell>
          <cell r="BZ205">
            <v>4.8</v>
          </cell>
          <cell r="CA205">
            <v>3.8</v>
          </cell>
          <cell r="CB205">
            <v>5.3</v>
          </cell>
          <cell r="CC205">
            <v>5.0999999999999996</v>
          </cell>
          <cell r="CD205">
            <v>3.2</v>
          </cell>
          <cell r="CE205">
            <v>4.5</v>
          </cell>
          <cell r="CF205">
            <v>3.7</v>
          </cell>
          <cell r="CG205">
            <v>7.2</v>
          </cell>
          <cell r="CH205">
            <v>2.1</v>
          </cell>
          <cell r="CI205">
            <v>7.5</v>
          </cell>
          <cell r="CJ205">
            <v>5.0999999999999996</v>
          </cell>
          <cell r="CK205">
            <v>5</v>
          </cell>
          <cell r="CL205">
            <v>1</v>
          </cell>
          <cell r="CM205">
            <v>8.4</v>
          </cell>
          <cell r="CN205">
            <v>5.5</v>
          </cell>
          <cell r="CO205">
            <v>4.8</v>
          </cell>
          <cell r="CP205">
            <v>4.5</v>
          </cell>
          <cell r="CQ205">
            <v>4.4000000000000004</v>
          </cell>
          <cell r="CR205">
            <v>5.6</v>
          </cell>
          <cell r="CS205">
            <v>3.6</v>
          </cell>
          <cell r="CT205">
            <v>5.3</v>
          </cell>
          <cell r="CU205">
            <v>4.3</v>
          </cell>
          <cell r="CV205">
            <v>5.9</v>
          </cell>
          <cell r="CW205">
            <v>4.9000000000000004</v>
          </cell>
          <cell r="CX205">
            <v>3.9</v>
          </cell>
          <cell r="CY205">
            <v>3.5</v>
          </cell>
          <cell r="CZ205">
            <v>5.8</v>
          </cell>
          <cell r="DA205">
            <v>5.2</v>
          </cell>
          <cell r="DB205">
            <v>5.3</v>
          </cell>
          <cell r="DC205">
            <v>4.4000000000000004</v>
          </cell>
          <cell r="DD205">
            <v>5.8</v>
          </cell>
          <cell r="DE205">
            <v>3.9</v>
          </cell>
          <cell r="DF205">
            <v>5.6</v>
          </cell>
          <cell r="DG205">
            <v>3.9</v>
          </cell>
          <cell r="DH205">
            <v>5.7</v>
          </cell>
          <cell r="DI205">
            <v>3.1</v>
          </cell>
          <cell r="DJ205">
            <v>4.4000000000000004</v>
          </cell>
          <cell r="DK205">
            <v>5.3</v>
          </cell>
          <cell r="DL205">
            <v>6</v>
          </cell>
          <cell r="DM205">
            <v>6.8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EM205">
            <v>80.400000000000006</v>
          </cell>
          <cell r="EN205">
            <v>86.199999999999989</v>
          </cell>
          <cell r="EO205">
            <v>89.2</v>
          </cell>
          <cell r="EP205">
            <v>87.800000000000011</v>
          </cell>
          <cell r="EQ205">
            <v>60.899999999999991</v>
          </cell>
          <cell r="ER205">
            <v>58</v>
          </cell>
          <cell r="ES205">
            <v>56.9</v>
          </cell>
        </row>
        <row r="206">
          <cell r="A206" t="str">
            <v>O&amp;M (Net of pass-throughs)</v>
          </cell>
          <cell r="B206" t="str">
            <v>Operations &amp; Maintenance Expense (incl clause)</v>
          </cell>
          <cell r="E206" t="str">
            <v>Operations &amp; Maintenance Expense</v>
          </cell>
          <cell r="F206" t="str">
            <v>6020020</v>
          </cell>
          <cell r="G206" t="str">
            <v>A_6020020</v>
          </cell>
          <cell r="H206" t="str">
            <v>Tuition Reimbursement</v>
          </cell>
          <cell r="J206">
            <v>3.8</v>
          </cell>
          <cell r="K206">
            <v>0</v>
          </cell>
          <cell r="L206">
            <v>1.9</v>
          </cell>
          <cell r="M206">
            <v>2.4</v>
          </cell>
          <cell r="N206">
            <v>9.6999999999999993</v>
          </cell>
          <cell r="O206">
            <v>5.7</v>
          </cell>
          <cell r="P206">
            <v>4.0999999999999996</v>
          </cell>
          <cell r="Q206">
            <v>5.3</v>
          </cell>
          <cell r="R206">
            <v>3.5</v>
          </cell>
          <cell r="S206">
            <v>7.9</v>
          </cell>
          <cell r="T206">
            <v>0</v>
          </cell>
          <cell r="U206">
            <v>9.6</v>
          </cell>
          <cell r="V206">
            <v>3.1</v>
          </cell>
          <cell r="W206">
            <v>0</v>
          </cell>
          <cell r="X206">
            <v>6.5</v>
          </cell>
          <cell r="Y206">
            <v>1.7</v>
          </cell>
          <cell r="Z206">
            <v>11</v>
          </cell>
          <cell r="AA206">
            <v>2.2999999999999998</v>
          </cell>
          <cell r="AB206">
            <v>9.9</v>
          </cell>
          <cell r="AC206">
            <v>11.9</v>
          </cell>
          <cell r="AD206">
            <v>0.7</v>
          </cell>
          <cell r="AE206">
            <v>6.1</v>
          </cell>
          <cell r="AF206">
            <v>1.5</v>
          </cell>
          <cell r="AG206">
            <v>8.1999999999999993</v>
          </cell>
          <cell r="AH206">
            <v>10.6</v>
          </cell>
          <cell r="AI206">
            <v>0</v>
          </cell>
          <cell r="AJ206">
            <v>5.6</v>
          </cell>
          <cell r="AK206">
            <v>0</v>
          </cell>
          <cell r="AL206">
            <v>9.8000000000000007</v>
          </cell>
          <cell r="AM206">
            <v>2.6</v>
          </cell>
          <cell r="AN206">
            <v>1.9</v>
          </cell>
          <cell r="AO206">
            <v>5.7</v>
          </cell>
          <cell r="AP206">
            <v>1.5</v>
          </cell>
          <cell r="AQ206">
            <v>1.3</v>
          </cell>
          <cell r="AR206">
            <v>2.7</v>
          </cell>
          <cell r="AS206">
            <v>7</v>
          </cell>
          <cell r="AT206">
            <v>1.1000000000000001</v>
          </cell>
          <cell r="AU206">
            <v>3.8</v>
          </cell>
          <cell r="AV206">
            <v>5.6</v>
          </cell>
          <cell r="AW206">
            <v>0</v>
          </cell>
          <cell r="AX206">
            <v>6.6</v>
          </cell>
          <cell r="AY206">
            <v>-0.6</v>
          </cell>
          <cell r="AZ206">
            <v>6.5</v>
          </cell>
          <cell r="BA206">
            <v>2.7</v>
          </cell>
          <cell r="BB206">
            <v>3.6</v>
          </cell>
          <cell r="BC206">
            <v>2.2000000000000002</v>
          </cell>
          <cell r="BD206">
            <v>0.3</v>
          </cell>
          <cell r="BE206">
            <v>6</v>
          </cell>
          <cell r="BF206">
            <v>6.5</v>
          </cell>
          <cell r="BG206">
            <v>0</v>
          </cell>
          <cell r="BH206">
            <v>1.1000000000000001</v>
          </cell>
          <cell r="BI206">
            <v>0</v>
          </cell>
          <cell r="BJ206">
            <v>1.3</v>
          </cell>
          <cell r="BK206">
            <v>0.3</v>
          </cell>
          <cell r="BL206">
            <v>2.5</v>
          </cell>
          <cell r="BM206">
            <v>3.1</v>
          </cell>
          <cell r="BN206">
            <v>8.1</v>
          </cell>
          <cell r="BO206">
            <v>3.3</v>
          </cell>
          <cell r="BP206">
            <v>0.8</v>
          </cell>
          <cell r="BQ206">
            <v>4.0999999999999996</v>
          </cell>
          <cell r="BR206">
            <v>0.5</v>
          </cell>
          <cell r="BS206">
            <v>0</v>
          </cell>
          <cell r="BT206">
            <v>4.2</v>
          </cell>
          <cell r="BU206">
            <v>0</v>
          </cell>
          <cell r="BV206">
            <v>7</v>
          </cell>
          <cell r="BW206">
            <v>1.7</v>
          </cell>
          <cell r="BX206">
            <v>0.5</v>
          </cell>
          <cell r="BY206">
            <v>7</v>
          </cell>
          <cell r="BZ206">
            <v>5.6</v>
          </cell>
          <cell r="CA206">
            <v>10.3</v>
          </cell>
          <cell r="CB206">
            <v>2.2999999999999998</v>
          </cell>
          <cell r="CC206">
            <v>7.6</v>
          </cell>
          <cell r="CD206">
            <v>5.2</v>
          </cell>
          <cell r="CE206">
            <v>0</v>
          </cell>
          <cell r="CF206">
            <v>5</v>
          </cell>
          <cell r="CG206">
            <v>0.3</v>
          </cell>
          <cell r="CH206">
            <v>8.4</v>
          </cell>
          <cell r="CI206">
            <v>1.6</v>
          </cell>
          <cell r="CJ206">
            <v>9.9</v>
          </cell>
          <cell r="CK206">
            <v>0</v>
          </cell>
          <cell r="CL206">
            <v>6.5</v>
          </cell>
          <cell r="CM206">
            <v>10.3</v>
          </cell>
          <cell r="CN206">
            <v>0</v>
          </cell>
          <cell r="CO206">
            <v>2.1</v>
          </cell>
          <cell r="CP206">
            <v>0</v>
          </cell>
          <cell r="CQ206">
            <v>2.6</v>
          </cell>
          <cell r="CR206">
            <v>3.1</v>
          </cell>
          <cell r="CS206">
            <v>0</v>
          </cell>
          <cell r="CT206">
            <v>16</v>
          </cell>
          <cell r="CU206">
            <v>3.3</v>
          </cell>
          <cell r="CV206">
            <v>7.4</v>
          </cell>
          <cell r="CW206">
            <v>1.7</v>
          </cell>
          <cell r="CX206">
            <v>2.6</v>
          </cell>
          <cell r="CY206">
            <v>3.3</v>
          </cell>
          <cell r="CZ206">
            <v>0.7</v>
          </cell>
          <cell r="DA206">
            <v>10.1</v>
          </cell>
          <cell r="DB206">
            <v>7.2</v>
          </cell>
          <cell r="DC206">
            <v>5.2</v>
          </cell>
          <cell r="DD206">
            <v>4.5</v>
          </cell>
          <cell r="DE206">
            <v>2.1</v>
          </cell>
          <cell r="DF206">
            <v>8.1</v>
          </cell>
          <cell r="DG206">
            <v>6.7</v>
          </cell>
          <cell r="DH206">
            <v>3.1</v>
          </cell>
          <cell r="DI206">
            <v>3.3</v>
          </cell>
          <cell r="DJ206">
            <v>11.3</v>
          </cell>
          <cell r="DK206">
            <v>1.4</v>
          </cell>
          <cell r="DL206">
            <v>1.3</v>
          </cell>
          <cell r="DM206">
            <v>0.4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EM206">
            <v>62.900000000000006</v>
          </cell>
          <cell r="EN206">
            <v>48.7</v>
          </cell>
          <cell r="EO206">
            <v>37.799999999999997</v>
          </cell>
          <cell r="EP206">
            <v>31.1</v>
          </cell>
          <cell r="EQ206">
            <v>46.699999999999996</v>
          </cell>
          <cell r="ER206">
            <v>49.300000000000004</v>
          </cell>
          <cell r="ES206">
            <v>50.800000000000004</v>
          </cell>
        </row>
        <row r="207">
          <cell r="A207" t="str">
            <v>O&amp;M (Net of pass-throughs)</v>
          </cell>
          <cell r="B207" t="str">
            <v>Operations &amp; Maintenance Expense (incl clause)</v>
          </cell>
          <cell r="E207" t="str">
            <v>Operations &amp; Maintenance Expense</v>
          </cell>
          <cell r="F207" t="str">
            <v>6020030</v>
          </cell>
          <cell r="G207" t="str">
            <v>A_6020030</v>
          </cell>
          <cell r="H207" t="str">
            <v>Life Insurance</v>
          </cell>
          <cell r="J207">
            <v>5.3</v>
          </cell>
          <cell r="K207">
            <v>7.1</v>
          </cell>
          <cell r="L207">
            <v>7.1</v>
          </cell>
          <cell r="M207">
            <v>7.1</v>
          </cell>
          <cell r="N207">
            <v>7.1</v>
          </cell>
          <cell r="O207">
            <v>7.1</v>
          </cell>
          <cell r="P207">
            <v>7.1</v>
          </cell>
          <cell r="Q207">
            <v>7.1</v>
          </cell>
          <cell r="R207">
            <v>7.1</v>
          </cell>
          <cell r="S207">
            <v>7.1</v>
          </cell>
          <cell r="T207">
            <v>7.1</v>
          </cell>
          <cell r="U207">
            <v>3.3</v>
          </cell>
          <cell r="V207">
            <v>3.2</v>
          </cell>
          <cell r="W207">
            <v>3.2</v>
          </cell>
          <cell r="X207">
            <v>3.2</v>
          </cell>
          <cell r="Y207">
            <v>3.2</v>
          </cell>
          <cell r="Z207">
            <v>3.2</v>
          </cell>
          <cell r="AA207">
            <v>3.2</v>
          </cell>
          <cell r="AB207">
            <v>3.2</v>
          </cell>
          <cell r="AC207">
            <v>3.2</v>
          </cell>
          <cell r="AD207">
            <v>3.2</v>
          </cell>
          <cell r="AE207">
            <v>0</v>
          </cell>
          <cell r="AF207">
            <v>6.5</v>
          </cell>
          <cell r="AG207">
            <v>3.3</v>
          </cell>
          <cell r="AH207">
            <v>3.4</v>
          </cell>
          <cell r="AI207">
            <v>3.4</v>
          </cell>
          <cell r="AJ207">
            <v>3.4</v>
          </cell>
          <cell r="AK207">
            <v>3.4</v>
          </cell>
          <cell r="AL207">
            <v>3.4</v>
          </cell>
          <cell r="AM207">
            <v>3.4</v>
          </cell>
          <cell r="AN207">
            <v>3.5</v>
          </cell>
          <cell r="AO207">
            <v>3.5</v>
          </cell>
          <cell r="AP207">
            <v>3.5</v>
          </cell>
          <cell r="AQ207">
            <v>3.6</v>
          </cell>
          <cell r="AR207">
            <v>3.6</v>
          </cell>
          <cell r="AS207">
            <v>3.6</v>
          </cell>
          <cell r="AT207">
            <v>3.6</v>
          </cell>
          <cell r="AU207">
            <v>0.1</v>
          </cell>
          <cell r="AV207">
            <v>17.399999999999999</v>
          </cell>
          <cell r="AW207">
            <v>6.9</v>
          </cell>
          <cell r="AX207">
            <v>6.9</v>
          </cell>
          <cell r="AY207">
            <v>7</v>
          </cell>
          <cell r="AZ207">
            <v>6.9</v>
          </cell>
          <cell r="BA207">
            <v>7.1</v>
          </cell>
          <cell r="BB207">
            <v>7.2</v>
          </cell>
          <cell r="BC207">
            <v>7.2</v>
          </cell>
          <cell r="BD207">
            <v>7.2</v>
          </cell>
          <cell r="BE207">
            <v>7.2</v>
          </cell>
          <cell r="BF207">
            <v>7.4</v>
          </cell>
          <cell r="BG207">
            <v>7.3</v>
          </cell>
          <cell r="BH207">
            <v>7.5</v>
          </cell>
          <cell r="BI207">
            <v>7.5</v>
          </cell>
          <cell r="BJ207">
            <v>7.5</v>
          </cell>
          <cell r="BK207">
            <v>7.5</v>
          </cell>
          <cell r="BL207">
            <v>7.5</v>
          </cell>
          <cell r="BM207">
            <v>7.7</v>
          </cell>
          <cell r="BN207">
            <v>7.7</v>
          </cell>
          <cell r="BO207">
            <v>7.9</v>
          </cell>
          <cell r="BP207">
            <v>8</v>
          </cell>
          <cell r="BQ207">
            <v>8</v>
          </cell>
          <cell r="BR207">
            <v>0</v>
          </cell>
          <cell r="BS207">
            <v>0.2</v>
          </cell>
          <cell r="BT207">
            <v>6.6</v>
          </cell>
          <cell r="BU207">
            <v>6.6</v>
          </cell>
          <cell r="BV207">
            <v>6.7</v>
          </cell>
          <cell r="BW207">
            <v>7.1</v>
          </cell>
          <cell r="BX207">
            <v>6.7</v>
          </cell>
          <cell r="BY207">
            <v>6.8</v>
          </cell>
          <cell r="BZ207">
            <v>7.3</v>
          </cell>
          <cell r="CA207">
            <v>0</v>
          </cell>
          <cell r="CB207">
            <v>14.7</v>
          </cell>
          <cell r="CC207">
            <v>14.3</v>
          </cell>
          <cell r="CD207">
            <v>6</v>
          </cell>
          <cell r="CE207">
            <v>8.6</v>
          </cell>
          <cell r="CF207">
            <v>7.8</v>
          </cell>
          <cell r="CG207">
            <v>7.2</v>
          </cell>
          <cell r="CH207">
            <v>7.7</v>
          </cell>
          <cell r="CI207">
            <v>7.5</v>
          </cell>
          <cell r="CJ207">
            <v>7.6</v>
          </cell>
          <cell r="CK207">
            <v>7.6</v>
          </cell>
          <cell r="CL207">
            <v>7.6</v>
          </cell>
          <cell r="CM207">
            <v>7.7</v>
          </cell>
          <cell r="CN207">
            <v>7.7</v>
          </cell>
          <cell r="CO207">
            <v>7.5</v>
          </cell>
          <cell r="CP207">
            <v>8</v>
          </cell>
          <cell r="CQ207">
            <v>7.8</v>
          </cell>
          <cell r="CR207">
            <v>7.8</v>
          </cell>
          <cell r="CS207">
            <v>7.8</v>
          </cell>
          <cell r="CT207">
            <v>7.5</v>
          </cell>
          <cell r="CU207">
            <v>7.9</v>
          </cell>
          <cell r="CV207">
            <v>7.8</v>
          </cell>
          <cell r="CW207">
            <v>7.8</v>
          </cell>
          <cell r="CX207">
            <v>7.9</v>
          </cell>
          <cell r="CY207">
            <v>0</v>
          </cell>
          <cell r="CZ207">
            <v>7.9</v>
          </cell>
          <cell r="DA207">
            <v>16</v>
          </cell>
          <cell r="DB207">
            <v>0</v>
          </cell>
          <cell r="DC207">
            <v>0</v>
          </cell>
          <cell r="DD207">
            <v>0</v>
          </cell>
          <cell r="DE207">
            <v>23.6</v>
          </cell>
          <cell r="DF207">
            <v>9.6</v>
          </cell>
          <cell r="DG207">
            <v>15.6</v>
          </cell>
          <cell r="DH207">
            <v>8.8000000000000007</v>
          </cell>
          <cell r="DI207">
            <v>8.8000000000000007</v>
          </cell>
          <cell r="DJ207">
            <v>0.2</v>
          </cell>
          <cell r="DK207">
            <v>0.2</v>
          </cell>
          <cell r="DL207">
            <v>17.8</v>
          </cell>
          <cell r="DM207">
            <v>18.8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EM207">
            <v>38.599999999999994</v>
          </cell>
          <cell r="EN207">
            <v>41.7</v>
          </cell>
          <cell r="EO207">
            <v>84.7</v>
          </cell>
          <cell r="EP207">
            <v>91.500000000000014</v>
          </cell>
          <cell r="EQ207">
            <v>76.999999999999986</v>
          </cell>
          <cell r="ER207">
            <v>90.5</v>
          </cell>
          <cell r="ES207">
            <v>94.2</v>
          </cell>
        </row>
        <row r="208">
          <cell r="A208" t="str">
            <v>O&amp;M (Net of pass-throughs)</v>
          </cell>
          <cell r="B208" t="str">
            <v>Operations &amp; Maintenance Expense (incl clause)</v>
          </cell>
          <cell r="E208" t="str">
            <v>Operations &amp; Maintenance Expense</v>
          </cell>
          <cell r="F208" t="str">
            <v>6020040</v>
          </cell>
          <cell r="G208" t="str">
            <v>A_6020040</v>
          </cell>
          <cell r="H208" t="str">
            <v>Long-term Care Insurance</v>
          </cell>
          <cell r="J208">
            <v>1.6</v>
          </cell>
          <cell r="K208">
            <v>1.6</v>
          </cell>
          <cell r="L208">
            <v>1.5</v>
          </cell>
          <cell r="M208">
            <v>1.6</v>
          </cell>
          <cell r="N208">
            <v>0</v>
          </cell>
          <cell r="O208">
            <v>3.3</v>
          </cell>
          <cell r="P208">
            <v>1.7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3.3</v>
          </cell>
          <cell r="V208">
            <v>1.7</v>
          </cell>
          <cell r="W208">
            <v>1.5</v>
          </cell>
          <cell r="X208">
            <v>1.5</v>
          </cell>
          <cell r="Y208">
            <v>1.5</v>
          </cell>
          <cell r="Z208">
            <v>1.5</v>
          </cell>
          <cell r="AA208">
            <v>1.5</v>
          </cell>
          <cell r="AB208">
            <v>0</v>
          </cell>
          <cell r="AC208">
            <v>3.1</v>
          </cell>
          <cell r="AD208">
            <v>1.5</v>
          </cell>
          <cell r="AE208">
            <v>1.5</v>
          </cell>
          <cell r="AF208">
            <v>0</v>
          </cell>
          <cell r="AG208">
            <v>2.9</v>
          </cell>
          <cell r="AH208">
            <v>0</v>
          </cell>
          <cell r="AI208">
            <v>2.9</v>
          </cell>
          <cell r="AJ208">
            <v>1.4</v>
          </cell>
          <cell r="AK208">
            <v>1.4</v>
          </cell>
          <cell r="AL208">
            <v>1.6</v>
          </cell>
          <cell r="AM208">
            <v>1.4</v>
          </cell>
          <cell r="AN208">
            <v>1.4</v>
          </cell>
          <cell r="AO208">
            <v>1.4</v>
          </cell>
          <cell r="AP208">
            <v>1.2</v>
          </cell>
          <cell r="AQ208">
            <v>0</v>
          </cell>
          <cell r="AR208">
            <v>2.6</v>
          </cell>
          <cell r="AS208">
            <v>1.4</v>
          </cell>
          <cell r="AT208">
            <v>1.3</v>
          </cell>
          <cell r="AU208">
            <v>1.3</v>
          </cell>
          <cell r="AV208">
            <v>1.3</v>
          </cell>
          <cell r="AW208">
            <v>1.3</v>
          </cell>
          <cell r="AX208">
            <v>1.3</v>
          </cell>
          <cell r="AY208">
            <v>1.3</v>
          </cell>
          <cell r="AZ208">
            <v>0</v>
          </cell>
          <cell r="BA208">
            <v>4.5</v>
          </cell>
          <cell r="BB208">
            <v>0</v>
          </cell>
          <cell r="BC208">
            <v>1.5</v>
          </cell>
          <cell r="BD208">
            <v>4.9000000000000004</v>
          </cell>
          <cell r="BE208">
            <v>1.6</v>
          </cell>
          <cell r="BF208">
            <v>1.6</v>
          </cell>
          <cell r="BG208">
            <v>1.6</v>
          </cell>
          <cell r="BH208">
            <v>1.6</v>
          </cell>
          <cell r="BI208">
            <v>1.6</v>
          </cell>
          <cell r="BJ208">
            <v>1.7</v>
          </cell>
          <cell r="BK208">
            <v>1.7</v>
          </cell>
          <cell r="BL208">
            <v>1.6</v>
          </cell>
          <cell r="BM208">
            <v>1</v>
          </cell>
          <cell r="BN208">
            <v>2</v>
          </cell>
          <cell r="BO208">
            <v>2</v>
          </cell>
          <cell r="BP208">
            <v>2</v>
          </cell>
          <cell r="BQ208">
            <v>2</v>
          </cell>
          <cell r="BR208">
            <v>1.9</v>
          </cell>
          <cell r="BS208">
            <v>2</v>
          </cell>
          <cell r="BT208">
            <v>1.9</v>
          </cell>
          <cell r="BU208">
            <v>1.9</v>
          </cell>
          <cell r="BV208">
            <v>1.9</v>
          </cell>
          <cell r="BW208">
            <v>1.9</v>
          </cell>
          <cell r="BX208">
            <v>2</v>
          </cell>
          <cell r="BY208">
            <v>1.9</v>
          </cell>
          <cell r="BZ208">
            <v>2.2999999999999998</v>
          </cell>
          <cell r="CA208">
            <v>2.5</v>
          </cell>
          <cell r="CB208">
            <v>2.4</v>
          </cell>
          <cell r="CC208">
            <v>2.4</v>
          </cell>
          <cell r="CD208">
            <v>2.4</v>
          </cell>
          <cell r="CE208">
            <v>2.4</v>
          </cell>
          <cell r="CF208">
            <v>0</v>
          </cell>
          <cell r="CG208">
            <v>2.4</v>
          </cell>
          <cell r="CH208">
            <v>2.5</v>
          </cell>
          <cell r="CI208">
            <v>2.4</v>
          </cell>
          <cell r="CJ208">
            <v>2.5</v>
          </cell>
          <cell r="CK208">
            <v>2.5</v>
          </cell>
          <cell r="CL208">
            <v>2.9</v>
          </cell>
          <cell r="CM208">
            <v>0</v>
          </cell>
          <cell r="CN208">
            <v>2.9</v>
          </cell>
          <cell r="CO208">
            <v>5.9</v>
          </cell>
          <cell r="CP208">
            <v>0</v>
          </cell>
          <cell r="CQ208">
            <v>2.9</v>
          </cell>
          <cell r="CR208">
            <v>5.8</v>
          </cell>
          <cell r="CS208">
            <v>0</v>
          </cell>
          <cell r="CT208">
            <v>2.9</v>
          </cell>
          <cell r="CU208">
            <v>2.9</v>
          </cell>
          <cell r="CV208">
            <v>5.3</v>
          </cell>
          <cell r="CW208">
            <v>0</v>
          </cell>
          <cell r="CX208">
            <v>2.9</v>
          </cell>
          <cell r="CY208">
            <v>2.9</v>
          </cell>
          <cell r="CZ208">
            <v>0</v>
          </cell>
          <cell r="DA208">
            <v>5.7</v>
          </cell>
          <cell r="DB208">
            <v>2.9</v>
          </cell>
          <cell r="DC208">
            <v>2.9</v>
          </cell>
          <cell r="DD208">
            <v>1.1000000000000001</v>
          </cell>
          <cell r="DE208">
            <v>3.1</v>
          </cell>
          <cell r="DF208">
            <v>3</v>
          </cell>
          <cell r="DG208">
            <v>12.2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6.4</v>
          </cell>
          <cell r="DM208">
            <v>3.3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EM208">
            <v>18.2</v>
          </cell>
          <cell r="EN208">
            <v>16.7</v>
          </cell>
          <cell r="EO208">
            <v>20.300000000000004</v>
          </cell>
          <cell r="EP208">
            <v>20.399999999999999</v>
          </cell>
          <cell r="EQ208">
            <v>24.999999999999996</v>
          </cell>
          <cell r="ER208">
            <v>28.799999999999997</v>
          </cell>
          <cell r="ES208">
            <v>31.299999999999997</v>
          </cell>
        </row>
        <row r="209">
          <cell r="A209" t="str">
            <v>O&amp;M (Net of pass-throughs)</v>
          </cell>
          <cell r="B209" t="str">
            <v>Operations &amp; Maintenance Expense (incl clause)</v>
          </cell>
          <cell r="E209" t="str">
            <v>Operations &amp; Maintenance Expense</v>
          </cell>
          <cell r="F209" t="str">
            <v>6020050</v>
          </cell>
          <cell r="G209" t="str">
            <v>A_6020050</v>
          </cell>
          <cell r="H209" t="str">
            <v>Medical Insurance - Active</v>
          </cell>
          <cell r="J209">
            <v>369.6</v>
          </cell>
          <cell r="K209">
            <v>271.3</v>
          </cell>
          <cell r="L209">
            <v>488</v>
          </cell>
          <cell r="M209">
            <v>257.5</v>
          </cell>
          <cell r="N209">
            <v>562.70000000000005</v>
          </cell>
          <cell r="O209">
            <v>442.5</v>
          </cell>
          <cell r="P209">
            <v>366.7</v>
          </cell>
          <cell r="Q209">
            <v>500.8</v>
          </cell>
          <cell r="R209">
            <v>467.1</v>
          </cell>
          <cell r="S209">
            <v>323.7</v>
          </cell>
          <cell r="T209">
            <v>534</v>
          </cell>
          <cell r="U209">
            <v>757</v>
          </cell>
          <cell r="V209">
            <v>329.6</v>
          </cell>
          <cell r="W209">
            <v>346.7</v>
          </cell>
          <cell r="X209">
            <v>482</v>
          </cell>
          <cell r="Y209">
            <v>214.6</v>
          </cell>
          <cell r="Z209">
            <v>602</v>
          </cell>
          <cell r="AA209">
            <v>481.9</v>
          </cell>
          <cell r="AB209">
            <v>239.2</v>
          </cell>
          <cell r="AC209">
            <v>572.6</v>
          </cell>
          <cell r="AD209">
            <v>242.7</v>
          </cell>
          <cell r="AE209">
            <v>451.9</v>
          </cell>
          <cell r="AF209">
            <v>629</v>
          </cell>
          <cell r="AG209">
            <v>576.70000000000005</v>
          </cell>
          <cell r="AH209">
            <v>401.7</v>
          </cell>
          <cell r="AI209">
            <v>595.70000000000005</v>
          </cell>
          <cell r="AJ209">
            <v>257.7</v>
          </cell>
          <cell r="AK209">
            <v>373.1</v>
          </cell>
          <cell r="AL209">
            <v>513.29999999999995</v>
          </cell>
          <cell r="AM209">
            <v>248.1</v>
          </cell>
          <cell r="AN209">
            <v>384.4</v>
          </cell>
          <cell r="AO209">
            <v>426.9</v>
          </cell>
          <cell r="AP209">
            <v>270.89999999999998</v>
          </cell>
          <cell r="AQ209">
            <v>505.6</v>
          </cell>
          <cell r="AR209">
            <v>407.7</v>
          </cell>
          <cell r="AS209">
            <v>638.5</v>
          </cell>
          <cell r="AT209">
            <v>434.4</v>
          </cell>
          <cell r="AU209">
            <v>260.8</v>
          </cell>
          <cell r="AV209">
            <v>238.9</v>
          </cell>
          <cell r="AW209">
            <v>295</v>
          </cell>
          <cell r="AX209">
            <v>250.2</v>
          </cell>
          <cell r="AY209">
            <v>341.9</v>
          </cell>
          <cell r="AZ209">
            <v>308.2</v>
          </cell>
          <cell r="BA209">
            <v>480.5</v>
          </cell>
          <cell r="BB209">
            <v>178.8</v>
          </cell>
          <cell r="BC209">
            <v>309.3</v>
          </cell>
          <cell r="BD209">
            <v>513.4</v>
          </cell>
          <cell r="BE209">
            <v>262.8</v>
          </cell>
          <cell r="BF209">
            <v>545.9</v>
          </cell>
          <cell r="BG209">
            <v>362.2</v>
          </cell>
          <cell r="BH209">
            <v>484.9</v>
          </cell>
          <cell r="BI209">
            <v>588.6</v>
          </cell>
          <cell r="BJ209">
            <v>341.9</v>
          </cell>
          <cell r="BK209">
            <v>661.3</v>
          </cell>
          <cell r="BL209">
            <v>548.9</v>
          </cell>
          <cell r="BM209">
            <v>658.4</v>
          </cell>
          <cell r="BN209">
            <v>704.1</v>
          </cell>
          <cell r="BO209">
            <v>871.7</v>
          </cell>
          <cell r="BP209">
            <v>980.2</v>
          </cell>
          <cell r="BQ209">
            <v>1002.8</v>
          </cell>
          <cell r="BR209">
            <v>932.6</v>
          </cell>
          <cell r="BS209">
            <v>500.2</v>
          </cell>
          <cell r="BT209">
            <v>523</v>
          </cell>
          <cell r="BU209">
            <v>588.4</v>
          </cell>
          <cell r="BV209">
            <v>687.8</v>
          </cell>
          <cell r="BW209">
            <v>769.7</v>
          </cell>
          <cell r="BX209">
            <v>291</v>
          </cell>
          <cell r="BY209">
            <v>530.9</v>
          </cell>
          <cell r="BZ209">
            <v>361.5</v>
          </cell>
          <cell r="CA209">
            <v>449.9</v>
          </cell>
          <cell r="CB209">
            <v>379.5</v>
          </cell>
          <cell r="CC209">
            <v>618.9</v>
          </cell>
          <cell r="CD209">
            <v>344.5</v>
          </cell>
          <cell r="CE209">
            <v>1119.7</v>
          </cell>
          <cell r="CF209">
            <v>489.3</v>
          </cell>
          <cell r="CG209">
            <v>477.7</v>
          </cell>
          <cell r="CH209">
            <v>306.2</v>
          </cell>
          <cell r="CI209">
            <v>356.3</v>
          </cell>
          <cell r="CJ209">
            <v>393.6</v>
          </cell>
          <cell r="CK209">
            <v>371.7</v>
          </cell>
          <cell r="CL209">
            <v>281.5</v>
          </cell>
          <cell r="CM209">
            <v>627.29999999999995</v>
          </cell>
          <cell r="CN209">
            <v>973.1</v>
          </cell>
          <cell r="CO209">
            <v>674.8</v>
          </cell>
          <cell r="CP209">
            <v>1157.4000000000001</v>
          </cell>
          <cell r="CQ209">
            <v>531.70000000000005</v>
          </cell>
          <cell r="CR209">
            <v>923.1</v>
          </cell>
          <cell r="CS209">
            <v>748.6</v>
          </cell>
          <cell r="CT209">
            <v>646.1</v>
          </cell>
          <cell r="CU209">
            <v>299.8</v>
          </cell>
          <cell r="CV209">
            <v>827</v>
          </cell>
          <cell r="CW209">
            <v>1188.5</v>
          </cell>
          <cell r="CX209">
            <v>280.89999999999998</v>
          </cell>
          <cell r="CY209">
            <v>740.2</v>
          </cell>
          <cell r="CZ209">
            <v>892.4</v>
          </cell>
          <cell r="DA209">
            <v>638</v>
          </cell>
          <cell r="DB209">
            <v>748</v>
          </cell>
          <cell r="DC209">
            <v>290.89999999999998</v>
          </cell>
          <cell r="DD209">
            <v>480.1</v>
          </cell>
          <cell r="DE209">
            <v>650.4</v>
          </cell>
          <cell r="DF209">
            <v>418.5</v>
          </cell>
          <cell r="DG209">
            <v>772.9</v>
          </cell>
          <cell r="DH209">
            <v>478.6</v>
          </cell>
          <cell r="DI209">
            <v>304.39999999999998</v>
          </cell>
          <cell r="DJ209">
            <v>484.3</v>
          </cell>
          <cell r="DK209">
            <v>768</v>
          </cell>
          <cell r="DL209">
            <v>518.29999999999995</v>
          </cell>
          <cell r="DM209">
            <v>1230.9000000000001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EM209">
            <v>5168.8999999999987</v>
          </cell>
          <cell r="EN209">
            <v>5023.6000000000004</v>
          </cell>
          <cell r="EO209">
            <v>3874.2000000000003</v>
          </cell>
          <cell r="EP209">
            <v>7750.9000000000005</v>
          </cell>
          <cell r="EQ209">
            <v>6633.3999999999987</v>
          </cell>
          <cell r="ER209">
            <v>6415.7000000000007</v>
          </cell>
          <cell r="ES209">
            <v>8873.6999999999989</v>
          </cell>
        </row>
        <row r="210">
          <cell r="A210" t="str">
            <v>O&amp;M (Net of pass-throughs)</v>
          </cell>
          <cell r="B210" t="str">
            <v>Operations &amp; Maintenance Expense (incl clause)</v>
          </cell>
          <cell r="E210" t="str">
            <v>Operations &amp; Maintenance Expense</v>
          </cell>
          <cell r="F210" t="str">
            <v>6020060</v>
          </cell>
          <cell r="G210" t="str">
            <v>A_6020060</v>
          </cell>
          <cell r="H210" t="str">
            <v>Pensions</v>
          </cell>
          <cell r="J210">
            <v>148.30000000000001</v>
          </cell>
          <cell r="K210">
            <v>148.30000000000001</v>
          </cell>
          <cell r="L210">
            <v>148.30000000000001</v>
          </cell>
          <cell r="M210">
            <v>143.30000000000001</v>
          </cell>
          <cell r="N210">
            <v>147</v>
          </cell>
          <cell r="O210">
            <v>147</v>
          </cell>
          <cell r="P210">
            <v>147</v>
          </cell>
          <cell r="Q210">
            <v>147</v>
          </cell>
          <cell r="R210">
            <v>134.4</v>
          </cell>
          <cell r="S210">
            <v>134.4</v>
          </cell>
          <cell r="T210">
            <v>134.4</v>
          </cell>
          <cell r="U210">
            <v>134.4</v>
          </cell>
          <cell r="V210">
            <v>95.1</v>
          </cell>
          <cell r="W210">
            <v>142.9</v>
          </cell>
          <cell r="X210">
            <v>119</v>
          </cell>
          <cell r="Y210">
            <v>119</v>
          </cell>
          <cell r="Z210">
            <v>256.7</v>
          </cell>
          <cell r="AA210">
            <v>146.5</v>
          </cell>
          <cell r="AB210">
            <v>146.5</v>
          </cell>
          <cell r="AC210">
            <v>146.5</v>
          </cell>
          <cell r="AD210">
            <v>146.5</v>
          </cell>
          <cell r="AE210">
            <v>146.5</v>
          </cell>
          <cell r="AF210">
            <v>146.5</v>
          </cell>
          <cell r="AG210">
            <v>146.5</v>
          </cell>
          <cell r="AH210">
            <v>131.1</v>
          </cell>
          <cell r="AI210">
            <v>131.1</v>
          </cell>
          <cell r="AJ210">
            <v>131.1</v>
          </cell>
          <cell r="AK210">
            <v>155.6</v>
          </cell>
          <cell r="AL210">
            <v>137.19999999999999</v>
          </cell>
          <cell r="AM210">
            <v>137.19999999999999</v>
          </cell>
          <cell r="AN210">
            <v>137.19999999999999</v>
          </cell>
          <cell r="AO210">
            <v>137.19999999999999</v>
          </cell>
          <cell r="AP210">
            <v>167.4</v>
          </cell>
          <cell r="AQ210">
            <v>140.6</v>
          </cell>
          <cell r="AR210">
            <v>140.6</v>
          </cell>
          <cell r="AS210">
            <v>140.6</v>
          </cell>
          <cell r="AT210">
            <v>127.3</v>
          </cell>
          <cell r="AU210">
            <v>127.3</v>
          </cell>
          <cell r="AV210">
            <v>127.3</v>
          </cell>
          <cell r="AW210">
            <v>127.3</v>
          </cell>
          <cell r="AX210">
            <v>127.3</v>
          </cell>
          <cell r="AY210">
            <v>201</v>
          </cell>
          <cell r="AZ210">
            <v>139.6</v>
          </cell>
          <cell r="BA210">
            <v>139.6</v>
          </cell>
          <cell r="BB210">
            <v>139.6</v>
          </cell>
          <cell r="BC210">
            <v>139.6</v>
          </cell>
          <cell r="BD210">
            <v>139.6</v>
          </cell>
          <cell r="BE210">
            <v>139.6</v>
          </cell>
          <cell r="BF210">
            <v>129.4</v>
          </cell>
          <cell r="BG210">
            <v>129.4</v>
          </cell>
          <cell r="BH210">
            <v>129.4</v>
          </cell>
          <cell r="BI210">
            <v>129.4</v>
          </cell>
          <cell r="BJ210">
            <v>259.60000000000002</v>
          </cell>
          <cell r="BK210">
            <v>155.4</v>
          </cell>
          <cell r="BL210">
            <v>155.4</v>
          </cell>
          <cell r="BM210">
            <v>155.4</v>
          </cell>
          <cell r="BN210">
            <v>155.4</v>
          </cell>
          <cell r="BO210">
            <v>155.4</v>
          </cell>
          <cell r="BP210">
            <v>155.4</v>
          </cell>
          <cell r="BQ210">
            <v>155.4</v>
          </cell>
          <cell r="BR210">
            <v>134.1</v>
          </cell>
          <cell r="BS210">
            <v>134.1</v>
          </cell>
          <cell r="BT210">
            <v>134.1</v>
          </cell>
          <cell r="BU210">
            <v>134.1</v>
          </cell>
          <cell r="BV210">
            <v>134.1</v>
          </cell>
          <cell r="BW210">
            <v>59.8</v>
          </cell>
          <cell r="BX210">
            <v>121.7</v>
          </cell>
          <cell r="BY210">
            <v>121.7</v>
          </cell>
          <cell r="BZ210">
            <v>121.7</v>
          </cell>
          <cell r="CA210">
            <v>121.7</v>
          </cell>
          <cell r="CB210">
            <v>145.69999999999999</v>
          </cell>
          <cell r="CC210">
            <v>184.2</v>
          </cell>
          <cell r="CD210">
            <v>147.4</v>
          </cell>
          <cell r="CE210">
            <v>147.4</v>
          </cell>
          <cell r="CF210">
            <v>147.4</v>
          </cell>
          <cell r="CG210">
            <v>147.4</v>
          </cell>
          <cell r="CH210">
            <v>147.4</v>
          </cell>
          <cell r="CI210">
            <v>218.6</v>
          </cell>
          <cell r="CJ210">
            <v>159.30000000000001</v>
          </cell>
          <cell r="CK210">
            <v>159.30000000000001</v>
          </cell>
          <cell r="CL210">
            <v>159.30000000000001</v>
          </cell>
          <cell r="CM210">
            <v>159.30000000000001</v>
          </cell>
          <cell r="CN210">
            <v>159.30000000000001</v>
          </cell>
          <cell r="CO210">
            <v>159.30000000000001</v>
          </cell>
          <cell r="CP210">
            <v>152</v>
          </cell>
          <cell r="CQ210">
            <v>152</v>
          </cell>
          <cell r="CR210">
            <v>152</v>
          </cell>
          <cell r="CS210">
            <v>152</v>
          </cell>
          <cell r="CT210">
            <v>152</v>
          </cell>
          <cell r="CU210">
            <v>152</v>
          </cell>
          <cell r="CV210">
            <v>336</v>
          </cell>
          <cell r="CW210">
            <v>178.3</v>
          </cell>
          <cell r="CX210">
            <v>178.3</v>
          </cell>
          <cell r="CY210">
            <v>178.3</v>
          </cell>
          <cell r="CZ210">
            <v>178.3</v>
          </cell>
          <cell r="DA210">
            <v>178.3</v>
          </cell>
          <cell r="DB210">
            <v>110.3</v>
          </cell>
          <cell r="DC210">
            <v>110.3</v>
          </cell>
          <cell r="DD210">
            <v>110.3</v>
          </cell>
          <cell r="DE210">
            <v>110.3</v>
          </cell>
          <cell r="DF210">
            <v>110.3</v>
          </cell>
          <cell r="DG210">
            <v>176.6</v>
          </cell>
          <cell r="DH210">
            <v>121.9</v>
          </cell>
          <cell r="DI210">
            <v>121.9</v>
          </cell>
          <cell r="DJ210">
            <v>121.9</v>
          </cell>
          <cell r="DK210">
            <v>119.8</v>
          </cell>
          <cell r="DL210">
            <v>121.4</v>
          </cell>
          <cell r="DM210">
            <v>121.4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EM210">
            <v>1758.2</v>
          </cell>
          <cell r="EN210">
            <v>1686.8999999999999</v>
          </cell>
          <cell r="EO210">
            <v>1675.0999999999997</v>
          </cell>
          <cell r="EP210">
            <v>1865.0000000000005</v>
          </cell>
          <cell r="EQ210">
            <v>1547.0000000000002</v>
          </cell>
          <cell r="ER210">
            <v>1911.3999999999999</v>
          </cell>
          <cell r="ES210">
            <v>2139.5</v>
          </cell>
        </row>
        <row r="211">
          <cell r="A211" t="str">
            <v>O&amp;M (Net of pass-throughs)</v>
          </cell>
          <cell r="B211" t="str">
            <v>Operations &amp; Maintenance Expense (incl clause)</v>
          </cell>
          <cell r="E211" t="str">
            <v>Operations &amp; Maintenance Expense</v>
          </cell>
          <cell r="F211" t="str">
            <v>6020070</v>
          </cell>
          <cell r="G211" t="str">
            <v>A_6020070</v>
          </cell>
          <cell r="H211" t="str">
            <v>Pension Credit for Capitalization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</row>
        <row r="212">
          <cell r="A212" t="str">
            <v>O&amp;M (Net of pass-throughs)</v>
          </cell>
          <cell r="B212" t="str">
            <v>Operations &amp; Maintenance Expense (incl clause)</v>
          </cell>
          <cell r="E212" t="str">
            <v>Operations &amp; Maintenance Expense</v>
          </cell>
          <cell r="F212" t="str">
            <v>6020080</v>
          </cell>
          <cell r="G212" t="str">
            <v>A_6020080</v>
          </cell>
          <cell r="H212" t="str">
            <v>Post Retirement Benefits FAS 106 - Active</v>
          </cell>
          <cell r="J212">
            <v>80.400000000000006</v>
          </cell>
          <cell r="K212">
            <v>80.400000000000006</v>
          </cell>
          <cell r="L212">
            <v>80.400000000000006</v>
          </cell>
          <cell r="M212">
            <v>84</v>
          </cell>
          <cell r="N212">
            <v>81.3</v>
          </cell>
          <cell r="O212">
            <v>81.3</v>
          </cell>
          <cell r="P212">
            <v>81.3</v>
          </cell>
          <cell r="Q212">
            <v>81.3</v>
          </cell>
          <cell r="R212">
            <v>81.3</v>
          </cell>
          <cell r="S212">
            <v>81.3</v>
          </cell>
          <cell r="T212">
            <v>81.3</v>
          </cell>
          <cell r="U212">
            <v>81.3</v>
          </cell>
          <cell r="V212">
            <v>72.7</v>
          </cell>
          <cell r="W212">
            <v>73</v>
          </cell>
          <cell r="X212">
            <v>72.8</v>
          </cell>
          <cell r="Y212">
            <v>72.8</v>
          </cell>
          <cell r="Z212">
            <v>65.099999999999994</v>
          </cell>
          <cell r="AA212">
            <v>71.3</v>
          </cell>
          <cell r="AB212">
            <v>71.3</v>
          </cell>
          <cell r="AC212">
            <v>71.400000000000006</v>
          </cell>
          <cell r="AD212">
            <v>71.3</v>
          </cell>
          <cell r="AE212">
            <v>71.3</v>
          </cell>
          <cell r="AF212">
            <v>71.3</v>
          </cell>
          <cell r="AG212">
            <v>71.3</v>
          </cell>
          <cell r="AH212">
            <v>70.099999999999994</v>
          </cell>
          <cell r="AI212">
            <v>70.099999999999994</v>
          </cell>
          <cell r="AJ212">
            <v>70.099999999999994</v>
          </cell>
          <cell r="AK212">
            <v>67</v>
          </cell>
          <cell r="AL212">
            <v>69.3</v>
          </cell>
          <cell r="AM212">
            <v>69.3</v>
          </cell>
          <cell r="AN212">
            <v>69.3</v>
          </cell>
          <cell r="AO212">
            <v>69.3</v>
          </cell>
          <cell r="AP212">
            <v>72</v>
          </cell>
          <cell r="AQ212">
            <v>70.2</v>
          </cell>
          <cell r="AR212">
            <v>70.2</v>
          </cell>
          <cell r="AS212">
            <v>70.2</v>
          </cell>
          <cell r="AT212">
            <v>70</v>
          </cell>
          <cell r="AU212">
            <v>70</v>
          </cell>
          <cell r="AV212">
            <v>70</v>
          </cell>
          <cell r="AW212">
            <v>70</v>
          </cell>
          <cell r="AX212">
            <v>70</v>
          </cell>
          <cell r="AY212">
            <v>64.8</v>
          </cell>
          <cell r="AZ212">
            <v>69.099999999999994</v>
          </cell>
          <cell r="BA212">
            <v>69.099999999999994</v>
          </cell>
          <cell r="BB212">
            <v>69.099999999999994</v>
          </cell>
          <cell r="BC212">
            <v>69.099999999999994</v>
          </cell>
          <cell r="BD212">
            <v>69.099999999999994</v>
          </cell>
          <cell r="BE212">
            <v>69.099999999999994</v>
          </cell>
          <cell r="BF212">
            <v>73.400000000000006</v>
          </cell>
          <cell r="BG212">
            <v>73.400000000000006</v>
          </cell>
          <cell r="BH212">
            <v>73.400000000000006</v>
          </cell>
          <cell r="BI212">
            <v>73.400000000000006</v>
          </cell>
          <cell r="BJ212">
            <v>71.400000000000006</v>
          </cell>
          <cell r="BK212">
            <v>73</v>
          </cell>
          <cell r="BL212">
            <v>73</v>
          </cell>
          <cell r="BM212">
            <v>73</v>
          </cell>
          <cell r="BN212">
            <v>73</v>
          </cell>
          <cell r="BO212">
            <v>73</v>
          </cell>
          <cell r="BP212">
            <v>73</v>
          </cell>
          <cell r="BQ212">
            <v>73</v>
          </cell>
          <cell r="BR212">
            <v>70.5</v>
          </cell>
          <cell r="BS212">
            <v>70.5</v>
          </cell>
          <cell r="BT212">
            <v>70.5</v>
          </cell>
          <cell r="BU212">
            <v>70.5</v>
          </cell>
          <cell r="BV212">
            <v>70.5</v>
          </cell>
          <cell r="BW212">
            <v>69.099999999999994</v>
          </cell>
          <cell r="BX212">
            <v>70.3</v>
          </cell>
          <cell r="BY212">
            <v>70.3</v>
          </cell>
          <cell r="BZ212">
            <v>70.3</v>
          </cell>
          <cell r="CA212">
            <v>70.3</v>
          </cell>
          <cell r="CB212">
            <v>70.3</v>
          </cell>
          <cell r="CC212">
            <v>70.3</v>
          </cell>
          <cell r="CD212">
            <v>74.2</v>
          </cell>
          <cell r="CE212">
            <v>74.2</v>
          </cell>
          <cell r="CF212">
            <v>74.2</v>
          </cell>
          <cell r="CG212">
            <v>74.2</v>
          </cell>
          <cell r="CH212">
            <v>74.2</v>
          </cell>
          <cell r="CI212">
            <v>76.7</v>
          </cell>
          <cell r="CJ212">
            <v>74.599999999999994</v>
          </cell>
          <cell r="CK212">
            <v>74.599999999999994</v>
          </cell>
          <cell r="CL212">
            <v>74.599999999999994</v>
          </cell>
          <cell r="CM212">
            <v>74.599999999999994</v>
          </cell>
          <cell r="CN212">
            <v>74.599999999999994</v>
          </cell>
          <cell r="CO212">
            <v>74.599999999999994</v>
          </cell>
          <cell r="CP212">
            <v>106.6</v>
          </cell>
          <cell r="CQ212">
            <v>106.6</v>
          </cell>
          <cell r="CR212">
            <v>106.6</v>
          </cell>
          <cell r="CS212">
            <v>106.6</v>
          </cell>
          <cell r="CT212">
            <v>106.6</v>
          </cell>
          <cell r="CU212">
            <v>106.6</v>
          </cell>
          <cell r="CV212">
            <v>157.5</v>
          </cell>
          <cell r="CW212">
            <v>113.9</v>
          </cell>
          <cell r="CX212">
            <v>113.9</v>
          </cell>
          <cell r="CY212">
            <v>113.9</v>
          </cell>
          <cell r="CZ212">
            <v>113.9</v>
          </cell>
          <cell r="DA212">
            <v>113.9</v>
          </cell>
          <cell r="DB212">
            <v>104.4</v>
          </cell>
          <cell r="DC212">
            <v>104.4</v>
          </cell>
          <cell r="DD212">
            <v>104.4</v>
          </cell>
          <cell r="DE212">
            <v>104.4</v>
          </cell>
          <cell r="DF212">
            <v>104.4</v>
          </cell>
          <cell r="DG212">
            <v>55.3</v>
          </cell>
          <cell r="DH212">
            <v>96.3</v>
          </cell>
          <cell r="DI212">
            <v>96.3</v>
          </cell>
          <cell r="DJ212">
            <v>96.3</v>
          </cell>
          <cell r="DK212">
            <v>96.3</v>
          </cell>
          <cell r="DL212">
            <v>96.3</v>
          </cell>
          <cell r="DM212">
            <v>96.3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EM212">
            <v>855.5999999999998</v>
          </cell>
          <cell r="EN212">
            <v>837.10000000000014</v>
          </cell>
          <cell r="EO212">
            <v>829.40000000000009</v>
          </cell>
          <cell r="EP212">
            <v>876</v>
          </cell>
          <cell r="EQ212">
            <v>843.39999999999986</v>
          </cell>
          <cell r="ER212">
            <v>895.30000000000007</v>
          </cell>
          <cell r="ES212">
            <v>1366.6000000000004</v>
          </cell>
        </row>
        <row r="213">
          <cell r="A213" t="str">
            <v>O&amp;M (Net of pass-throughs)</v>
          </cell>
          <cell r="B213" t="str">
            <v>Operations &amp; Maintenance Expense (incl clause)</v>
          </cell>
          <cell r="E213" t="str">
            <v>Operations &amp; Maintenance Expense</v>
          </cell>
          <cell r="F213" t="str">
            <v>6020090</v>
          </cell>
          <cell r="G213" t="str">
            <v>A_6020090</v>
          </cell>
          <cell r="H213" t="str">
            <v>Post Retirememt Benefits FAS 106 - Retiree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</row>
        <row r="214">
          <cell r="A214" t="str">
            <v>O&amp;M (Net of pass-throughs)</v>
          </cell>
          <cell r="B214" t="str">
            <v>Operations &amp; Maintenance Expense (incl clause)</v>
          </cell>
          <cell r="E214" t="str">
            <v>Operations &amp; Maintenance Expense</v>
          </cell>
          <cell r="F214" t="str">
            <v>6020100</v>
          </cell>
          <cell r="G214" t="str">
            <v>A_6020100</v>
          </cell>
          <cell r="H214" t="str">
            <v>Long-term incentive Expense</v>
          </cell>
          <cell r="J214">
            <v>87.1</v>
          </cell>
          <cell r="K214">
            <v>102.7</v>
          </cell>
          <cell r="L214">
            <v>113.1</v>
          </cell>
          <cell r="M214">
            <v>93.6</v>
          </cell>
          <cell r="N214">
            <v>90</v>
          </cell>
          <cell r="O214">
            <v>86.7</v>
          </cell>
          <cell r="P214">
            <v>89.7</v>
          </cell>
          <cell r="Q214">
            <v>89.7</v>
          </cell>
          <cell r="R214">
            <v>87</v>
          </cell>
          <cell r="S214">
            <v>90</v>
          </cell>
          <cell r="T214">
            <v>86.9</v>
          </cell>
          <cell r="U214">
            <v>0.5</v>
          </cell>
          <cell r="V214">
            <v>89.9</v>
          </cell>
          <cell r="W214">
            <v>107.2</v>
          </cell>
          <cell r="X214">
            <v>122.1</v>
          </cell>
          <cell r="Y214">
            <v>96.2</v>
          </cell>
          <cell r="Z214">
            <v>93.9</v>
          </cell>
          <cell r="AA214">
            <v>58.9</v>
          </cell>
          <cell r="AB214">
            <v>86.8</v>
          </cell>
          <cell r="AC214">
            <v>86.8</v>
          </cell>
          <cell r="AD214">
            <v>84.1</v>
          </cell>
          <cell r="AE214">
            <v>86.8</v>
          </cell>
          <cell r="AF214">
            <v>84</v>
          </cell>
          <cell r="AG214">
            <v>86.8</v>
          </cell>
          <cell r="AH214">
            <v>64.099999999999994</v>
          </cell>
          <cell r="AI214">
            <v>84</v>
          </cell>
          <cell r="AJ214">
            <v>88</v>
          </cell>
          <cell r="AK214">
            <v>89</v>
          </cell>
          <cell r="AL214">
            <v>94.9</v>
          </cell>
          <cell r="AM214">
            <v>91.9</v>
          </cell>
          <cell r="AN214">
            <v>61.8</v>
          </cell>
          <cell r="AO214">
            <v>61.8</v>
          </cell>
          <cell r="AP214">
            <v>59.9</v>
          </cell>
          <cell r="AQ214">
            <v>59.9</v>
          </cell>
          <cell r="AR214">
            <v>59.9</v>
          </cell>
          <cell r="AS214">
            <v>59.9</v>
          </cell>
          <cell r="AT214">
            <v>59.9</v>
          </cell>
          <cell r="AU214">
            <v>100.9</v>
          </cell>
          <cell r="AV214">
            <v>106.2</v>
          </cell>
          <cell r="AW214">
            <v>77.900000000000006</v>
          </cell>
          <cell r="AX214">
            <v>43.2</v>
          </cell>
          <cell r="AY214">
            <v>153.19999999999999</v>
          </cell>
          <cell r="AZ214">
            <v>64.2</v>
          </cell>
          <cell r="BA214">
            <v>57.5</v>
          </cell>
          <cell r="BB214">
            <v>152.30000000000001</v>
          </cell>
          <cell r="BC214">
            <v>81</v>
          </cell>
          <cell r="BD214">
            <v>57.7</v>
          </cell>
          <cell r="BE214">
            <v>85.9</v>
          </cell>
          <cell r="BF214">
            <v>45.2</v>
          </cell>
          <cell r="BG214">
            <v>45.4</v>
          </cell>
          <cell r="BH214">
            <v>164.3</v>
          </cell>
          <cell r="BI214">
            <v>45.4</v>
          </cell>
          <cell r="BJ214">
            <v>45.4</v>
          </cell>
          <cell r="BK214">
            <v>257</v>
          </cell>
          <cell r="BL214">
            <v>40.5</v>
          </cell>
          <cell r="BM214">
            <v>45.5</v>
          </cell>
          <cell r="BN214">
            <v>191.2</v>
          </cell>
          <cell r="BO214">
            <v>44.6</v>
          </cell>
          <cell r="BP214">
            <v>44.6</v>
          </cell>
          <cell r="BQ214">
            <v>341.2</v>
          </cell>
          <cell r="BR214">
            <v>0</v>
          </cell>
          <cell r="BS214">
            <v>0</v>
          </cell>
          <cell r="BT214">
            <v>527.20000000000005</v>
          </cell>
          <cell r="BU214">
            <v>0</v>
          </cell>
          <cell r="BV214">
            <v>0</v>
          </cell>
          <cell r="BW214">
            <v>514.29999999999995</v>
          </cell>
          <cell r="BX214">
            <v>0</v>
          </cell>
          <cell r="BY214">
            <v>0</v>
          </cell>
          <cell r="BZ214">
            <v>1088.5</v>
          </cell>
          <cell r="CA214">
            <v>8.8000000000000007</v>
          </cell>
          <cell r="CB214">
            <v>0</v>
          </cell>
          <cell r="CC214">
            <v>-180.2</v>
          </cell>
          <cell r="CD214">
            <v>0</v>
          </cell>
          <cell r="CE214">
            <v>0</v>
          </cell>
          <cell r="CF214">
            <v>433</v>
          </cell>
          <cell r="CG214">
            <v>0</v>
          </cell>
          <cell r="CH214">
            <v>0</v>
          </cell>
          <cell r="CI214">
            <v>290.8</v>
          </cell>
          <cell r="CJ214">
            <v>0</v>
          </cell>
          <cell r="CK214">
            <v>0</v>
          </cell>
          <cell r="CL214">
            <v>424.9</v>
          </cell>
          <cell r="CM214">
            <v>0</v>
          </cell>
          <cell r="CN214">
            <v>0</v>
          </cell>
          <cell r="CO214">
            <v>771.1</v>
          </cell>
          <cell r="CP214">
            <v>0</v>
          </cell>
          <cell r="CQ214">
            <v>0</v>
          </cell>
          <cell r="CR214">
            <v>-14.3</v>
          </cell>
          <cell r="CS214">
            <v>0</v>
          </cell>
          <cell r="CT214">
            <v>0</v>
          </cell>
          <cell r="CU214">
            <v>591.20000000000005</v>
          </cell>
          <cell r="CV214">
            <v>0</v>
          </cell>
          <cell r="CW214">
            <v>0</v>
          </cell>
          <cell r="CX214">
            <v>112.3</v>
          </cell>
          <cell r="CY214">
            <v>0</v>
          </cell>
          <cell r="CZ214">
            <v>0</v>
          </cell>
          <cell r="DA214">
            <v>446.2</v>
          </cell>
          <cell r="DB214">
            <v>0</v>
          </cell>
          <cell r="DC214">
            <v>0</v>
          </cell>
          <cell r="DD214">
            <v>389.4</v>
          </cell>
          <cell r="DE214">
            <v>0</v>
          </cell>
          <cell r="DF214">
            <v>0</v>
          </cell>
          <cell r="DG214">
            <v>564.70000000000005</v>
          </cell>
          <cell r="DH214">
            <v>0</v>
          </cell>
          <cell r="DI214">
            <v>0</v>
          </cell>
          <cell r="DJ214">
            <v>310.7</v>
          </cell>
          <cell r="DK214">
            <v>0</v>
          </cell>
          <cell r="DL214">
            <v>0</v>
          </cell>
          <cell r="DM214">
            <v>231.7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EM214">
            <v>1083.5</v>
          </cell>
          <cell r="EN214">
            <v>875.0999999999998</v>
          </cell>
          <cell r="EO214">
            <v>1039.9000000000001</v>
          </cell>
          <cell r="EP214">
            <v>1310.3000000000002</v>
          </cell>
          <cell r="EQ214">
            <v>1958.6000000000001</v>
          </cell>
          <cell r="ER214">
            <v>1919.7999999999997</v>
          </cell>
          <cell r="ES214">
            <v>1135.4000000000001</v>
          </cell>
        </row>
        <row r="215">
          <cell r="A215" t="str">
            <v>O&amp;M (Net of pass-throughs)</v>
          </cell>
          <cell r="B215" t="str">
            <v>Operations &amp; Maintenance Expense (incl clause)</v>
          </cell>
          <cell r="E215" t="str">
            <v>Operations &amp; Maintenance Expense</v>
          </cell>
          <cell r="F215" t="str">
            <v>6020101</v>
          </cell>
          <cell r="G215" t="str">
            <v>A_6020101</v>
          </cell>
          <cell r="H215" t="str">
            <v>Employee Deferred Compensation Expense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4.4000000000000004</v>
          </cell>
          <cell r="CG215">
            <v>0</v>
          </cell>
          <cell r="CH215">
            <v>0</v>
          </cell>
          <cell r="CI215">
            <v>-3.2</v>
          </cell>
          <cell r="CJ215">
            <v>0</v>
          </cell>
          <cell r="CK215">
            <v>0</v>
          </cell>
          <cell r="CL215">
            <v>0.9</v>
          </cell>
          <cell r="CM215">
            <v>0</v>
          </cell>
          <cell r="CN215">
            <v>0</v>
          </cell>
          <cell r="CO215">
            <v>1.6</v>
          </cell>
          <cell r="CP215">
            <v>0</v>
          </cell>
          <cell r="CQ215">
            <v>0</v>
          </cell>
          <cell r="CR215">
            <v>-9.9</v>
          </cell>
          <cell r="CS215">
            <v>0</v>
          </cell>
          <cell r="CT215">
            <v>0</v>
          </cell>
          <cell r="CU215">
            <v>27.4</v>
          </cell>
          <cell r="CV215">
            <v>0</v>
          </cell>
          <cell r="CW215">
            <v>0</v>
          </cell>
          <cell r="CX215">
            <v>14.9</v>
          </cell>
          <cell r="CY215">
            <v>0</v>
          </cell>
          <cell r="CZ215">
            <v>0</v>
          </cell>
          <cell r="DA215">
            <v>5.7</v>
          </cell>
          <cell r="DB215">
            <v>0</v>
          </cell>
          <cell r="DC215">
            <v>0</v>
          </cell>
          <cell r="DD215">
            <v>8.3000000000000007</v>
          </cell>
          <cell r="DE215">
            <v>0</v>
          </cell>
          <cell r="DF215">
            <v>0</v>
          </cell>
          <cell r="DG215">
            <v>20.8</v>
          </cell>
          <cell r="DH215">
            <v>0</v>
          </cell>
          <cell r="DI215">
            <v>0</v>
          </cell>
          <cell r="DJ215">
            <v>-1.6</v>
          </cell>
          <cell r="DK215">
            <v>0</v>
          </cell>
          <cell r="DL215">
            <v>0</v>
          </cell>
          <cell r="DM215">
            <v>-16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3.7</v>
          </cell>
          <cell r="ES215">
            <v>38.1</v>
          </cell>
        </row>
        <row r="216">
          <cell r="A216" t="str">
            <v>O&amp;M (Net of pass-throughs)</v>
          </cell>
          <cell r="B216" t="str">
            <v>Operations &amp; Maintenance Expense (incl clause)</v>
          </cell>
          <cell r="E216" t="str">
            <v>Operations &amp; Maintenance Expense</v>
          </cell>
          <cell r="F216" t="str">
            <v>6020110</v>
          </cell>
          <cell r="G216" t="str">
            <v>A_6020110</v>
          </cell>
          <cell r="H216" t="str">
            <v>Employee Wellness</v>
          </cell>
          <cell r="J216">
            <v>0</v>
          </cell>
          <cell r="K216">
            <v>0.8</v>
          </cell>
          <cell r="L216">
            <v>0.2</v>
          </cell>
          <cell r="M216">
            <v>0.4</v>
          </cell>
          <cell r="N216">
            <v>0.5</v>
          </cell>
          <cell r="O216">
            <v>0.1</v>
          </cell>
          <cell r="P216">
            <v>0</v>
          </cell>
          <cell r="Q216">
            <v>0</v>
          </cell>
          <cell r="R216">
            <v>0.1</v>
          </cell>
          <cell r="S216">
            <v>1.8</v>
          </cell>
          <cell r="T216">
            <v>1.2</v>
          </cell>
          <cell r="U216">
            <v>0.3</v>
          </cell>
          <cell r="V216">
            <v>0</v>
          </cell>
          <cell r="W216">
            <v>0.5</v>
          </cell>
          <cell r="X216">
            <v>0.2</v>
          </cell>
          <cell r="Y216">
            <v>0.7</v>
          </cell>
          <cell r="Z216">
            <v>0.1</v>
          </cell>
          <cell r="AA216">
            <v>0.5</v>
          </cell>
          <cell r="AB216">
            <v>0.3</v>
          </cell>
          <cell r="AC216">
            <v>0.4</v>
          </cell>
          <cell r="AD216">
            <v>2.4</v>
          </cell>
          <cell r="AE216">
            <v>1.3</v>
          </cell>
          <cell r="AF216">
            <v>0.4</v>
          </cell>
          <cell r="AG216">
            <v>0.2</v>
          </cell>
          <cell r="AH216">
            <v>0</v>
          </cell>
          <cell r="AI216">
            <v>0.3</v>
          </cell>
          <cell r="AJ216">
            <v>0.3</v>
          </cell>
          <cell r="AK216">
            <v>0</v>
          </cell>
          <cell r="AL216">
            <v>0.1</v>
          </cell>
          <cell r="AM216">
            <v>0.4</v>
          </cell>
          <cell r="AN216">
            <v>0.1</v>
          </cell>
          <cell r="AO216">
            <v>0.1</v>
          </cell>
          <cell r="AP216">
            <v>0.2</v>
          </cell>
          <cell r="AQ216">
            <v>0.2</v>
          </cell>
          <cell r="AR216">
            <v>0.2</v>
          </cell>
          <cell r="AS216">
            <v>0.2</v>
          </cell>
          <cell r="AT216">
            <v>0</v>
          </cell>
          <cell r="AU216">
            <v>0.5</v>
          </cell>
          <cell r="AV216">
            <v>0.5</v>
          </cell>
          <cell r="AW216">
            <v>0.2</v>
          </cell>
          <cell r="AX216">
            <v>0</v>
          </cell>
          <cell r="AY216">
            <v>0.1</v>
          </cell>
          <cell r="AZ216">
            <v>0.1</v>
          </cell>
          <cell r="BA216">
            <v>0</v>
          </cell>
          <cell r="BB216">
            <v>0.1</v>
          </cell>
          <cell r="BC216">
            <v>0.4</v>
          </cell>
          <cell r="BD216">
            <v>0.3</v>
          </cell>
          <cell r="BE216">
            <v>0.1</v>
          </cell>
          <cell r="BF216">
            <v>0</v>
          </cell>
          <cell r="BG216">
            <v>0.3</v>
          </cell>
          <cell r="BH216">
            <v>0.1</v>
          </cell>
          <cell r="BI216">
            <v>2</v>
          </cell>
          <cell r="BJ216">
            <v>0</v>
          </cell>
          <cell r="BK216">
            <v>0.1</v>
          </cell>
          <cell r="BL216">
            <v>0.2</v>
          </cell>
          <cell r="BM216">
            <v>0.1</v>
          </cell>
          <cell r="BN216">
            <v>0.1</v>
          </cell>
          <cell r="BO216">
            <v>0.2</v>
          </cell>
          <cell r="BP216">
            <v>0.5</v>
          </cell>
          <cell r="BQ216">
            <v>3.6</v>
          </cell>
          <cell r="BR216">
            <v>0</v>
          </cell>
          <cell r="BS216">
            <v>0.2</v>
          </cell>
          <cell r="BT216">
            <v>0.3</v>
          </cell>
          <cell r="BU216">
            <v>0</v>
          </cell>
          <cell r="BV216">
            <v>0</v>
          </cell>
          <cell r="BW216">
            <v>0</v>
          </cell>
          <cell r="BX216">
            <v>0.2</v>
          </cell>
          <cell r="BY216">
            <v>0</v>
          </cell>
          <cell r="BZ216">
            <v>0</v>
          </cell>
          <cell r="CA216">
            <v>0.1</v>
          </cell>
          <cell r="CB216">
            <v>0.3</v>
          </cell>
          <cell r="CC216">
            <v>0.3</v>
          </cell>
          <cell r="CD216">
            <v>0</v>
          </cell>
          <cell r="CE216">
            <v>0</v>
          </cell>
          <cell r="CF216">
            <v>0.4</v>
          </cell>
          <cell r="CG216">
            <v>0</v>
          </cell>
          <cell r="CH216">
            <v>0.2</v>
          </cell>
          <cell r="CI216">
            <v>0</v>
          </cell>
          <cell r="CJ216">
            <v>0.3</v>
          </cell>
          <cell r="CK216">
            <v>0.5</v>
          </cell>
          <cell r="CL216">
            <v>0.1</v>
          </cell>
          <cell r="CM216">
            <v>0.1</v>
          </cell>
          <cell r="CN216">
            <v>0.1</v>
          </cell>
          <cell r="CO216">
            <v>0</v>
          </cell>
          <cell r="CP216">
            <v>0.4</v>
          </cell>
          <cell r="CQ216">
            <v>0.7</v>
          </cell>
          <cell r="CR216">
            <v>0.3</v>
          </cell>
          <cell r="CS216">
            <v>0.2</v>
          </cell>
          <cell r="CT216">
            <v>0.9</v>
          </cell>
          <cell r="CU216">
            <v>0.4</v>
          </cell>
          <cell r="CV216">
            <v>0.5</v>
          </cell>
          <cell r="CW216">
            <v>0.3</v>
          </cell>
          <cell r="CX216">
            <v>0.4</v>
          </cell>
          <cell r="CY216">
            <v>0</v>
          </cell>
          <cell r="CZ216">
            <v>1</v>
          </cell>
          <cell r="DA216">
            <v>0.6</v>
          </cell>
          <cell r="DB216">
            <v>0.1</v>
          </cell>
          <cell r="DC216">
            <v>0</v>
          </cell>
          <cell r="DD216">
            <v>0.1</v>
          </cell>
          <cell r="DE216">
            <v>0.3</v>
          </cell>
          <cell r="DF216">
            <v>0.5</v>
          </cell>
          <cell r="DG216">
            <v>0.1</v>
          </cell>
          <cell r="DH216">
            <v>0.5</v>
          </cell>
          <cell r="DI216">
            <v>0.9</v>
          </cell>
          <cell r="DJ216">
            <v>0.8</v>
          </cell>
          <cell r="DK216">
            <v>7.8</v>
          </cell>
          <cell r="DL216">
            <v>2.1</v>
          </cell>
          <cell r="DM216">
            <v>1.7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EM216">
            <v>7</v>
          </cell>
          <cell r="EN216">
            <v>2.1</v>
          </cell>
          <cell r="EO216">
            <v>2.3000000000000003</v>
          </cell>
          <cell r="EP216">
            <v>7.2000000000000011</v>
          </cell>
          <cell r="EQ216">
            <v>1.4</v>
          </cell>
          <cell r="ER216">
            <v>1.7000000000000004</v>
          </cell>
          <cell r="ES216">
            <v>5.6999999999999993</v>
          </cell>
        </row>
        <row r="217">
          <cell r="A217" t="str">
            <v>O&amp;M (Net of pass-throughs)</v>
          </cell>
          <cell r="B217" t="str">
            <v>Operations &amp; Maintenance Expense (incl clause)</v>
          </cell>
          <cell r="E217" t="str">
            <v>Operations &amp; Maintenance Expense</v>
          </cell>
          <cell r="F217" t="str">
            <v>6020130</v>
          </cell>
          <cell r="G217" t="str">
            <v>A_6020130</v>
          </cell>
          <cell r="H217" t="str">
            <v>Employer 401K Fixed Match</v>
          </cell>
          <cell r="J217">
            <v>154</v>
          </cell>
          <cell r="K217">
            <v>70.3</v>
          </cell>
          <cell r="L217">
            <v>72.599999999999994</v>
          </cell>
          <cell r="M217">
            <v>73.400000000000006</v>
          </cell>
          <cell r="N217">
            <v>112.6</v>
          </cell>
          <cell r="O217">
            <v>73.7</v>
          </cell>
          <cell r="P217">
            <v>73.5</v>
          </cell>
          <cell r="Q217">
            <v>75.400000000000006</v>
          </cell>
          <cell r="R217">
            <v>75.8</v>
          </cell>
          <cell r="S217">
            <v>115.3</v>
          </cell>
          <cell r="T217">
            <v>75.2</v>
          </cell>
          <cell r="U217">
            <v>107.2</v>
          </cell>
          <cell r="V217">
            <v>78.400000000000006</v>
          </cell>
          <cell r="W217">
            <v>129.19999999999999</v>
          </cell>
          <cell r="X217">
            <v>80.2</v>
          </cell>
          <cell r="Y217">
            <v>119.9</v>
          </cell>
          <cell r="Z217">
            <v>81</v>
          </cell>
          <cell r="AA217">
            <v>82</v>
          </cell>
          <cell r="AB217">
            <v>80.8</v>
          </cell>
          <cell r="AC217">
            <v>80.900000000000006</v>
          </cell>
          <cell r="AD217">
            <v>84.1</v>
          </cell>
          <cell r="AE217">
            <v>124.4</v>
          </cell>
          <cell r="AF217">
            <v>84.7</v>
          </cell>
          <cell r="AG217">
            <v>87.6</v>
          </cell>
          <cell r="AH217">
            <v>87.6</v>
          </cell>
          <cell r="AI217">
            <v>152.4</v>
          </cell>
          <cell r="AJ217">
            <v>131.19999999999999</v>
          </cell>
          <cell r="AK217">
            <v>87.9</v>
          </cell>
          <cell r="AL217">
            <v>90.1</v>
          </cell>
          <cell r="AM217">
            <v>90.7</v>
          </cell>
          <cell r="AN217">
            <v>96.5</v>
          </cell>
          <cell r="AO217">
            <v>92</v>
          </cell>
          <cell r="AP217">
            <v>139.30000000000001</v>
          </cell>
          <cell r="AQ217">
            <v>96.7</v>
          </cell>
          <cell r="AR217">
            <v>96</v>
          </cell>
          <cell r="AS217">
            <v>101.9</v>
          </cell>
          <cell r="AT217">
            <v>112</v>
          </cell>
          <cell r="AU217">
            <v>198.7</v>
          </cell>
          <cell r="AV217">
            <v>155.9</v>
          </cell>
          <cell r="AW217">
            <v>105.3</v>
          </cell>
          <cell r="AX217">
            <v>101</v>
          </cell>
          <cell r="AY217">
            <v>101.8</v>
          </cell>
          <cell r="AZ217">
            <v>102.6</v>
          </cell>
          <cell r="BA217">
            <v>157</v>
          </cell>
          <cell r="BB217">
            <v>109</v>
          </cell>
          <cell r="BC217">
            <v>110</v>
          </cell>
          <cell r="BD217">
            <v>110.1</v>
          </cell>
          <cell r="BE217">
            <v>109.2</v>
          </cell>
          <cell r="BF217">
            <v>115.8</v>
          </cell>
          <cell r="BG217">
            <v>216.2</v>
          </cell>
          <cell r="BH217">
            <v>169.1</v>
          </cell>
          <cell r="BI217">
            <v>117.1</v>
          </cell>
          <cell r="BJ217">
            <v>115.6</v>
          </cell>
          <cell r="BK217">
            <v>115.8</v>
          </cell>
          <cell r="BL217">
            <v>115.5</v>
          </cell>
          <cell r="BM217">
            <v>173.2</v>
          </cell>
          <cell r="BN217">
            <v>118.3</v>
          </cell>
          <cell r="BO217">
            <v>132.5</v>
          </cell>
          <cell r="BP217">
            <v>128.30000000000001</v>
          </cell>
          <cell r="BQ217">
            <v>123.4</v>
          </cell>
          <cell r="BR217">
            <v>189.6</v>
          </cell>
          <cell r="BS217">
            <v>245.8</v>
          </cell>
          <cell r="BT217">
            <v>124.2</v>
          </cell>
          <cell r="BU217">
            <v>125.7</v>
          </cell>
          <cell r="BV217">
            <v>125.3</v>
          </cell>
          <cell r="BW217">
            <v>126.2</v>
          </cell>
          <cell r="BX217">
            <v>127.3</v>
          </cell>
          <cell r="BY217">
            <v>192.4</v>
          </cell>
          <cell r="BZ217">
            <v>129.30000000000001</v>
          </cell>
          <cell r="CA217">
            <v>130.19999999999999</v>
          </cell>
          <cell r="CB217">
            <v>130.6</v>
          </cell>
          <cell r="CC217">
            <v>278.7</v>
          </cell>
          <cell r="CD217">
            <v>205.4</v>
          </cell>
          <cell r="CE217">
            <v>131.80000000000001</v>
          </cell>
          <cell r="CF217">
            <v>151.19999999999999</v>
          </cell>
          <cell r="CG217">
            <v>133.6</v>
          </cell>
          <cell r="CH217">
            <v>135.4</v>
          </cell>
          <cell r="CI217">
            <v>137.6</v>
          </cell>
          <cell r="CJ217">
            <v>208.7</v>
          </cell>
          <cell r="CK217">
            <v>140.4</v>
          </cell>
          <cell r="CL217">
            <v>140.1</v>
          </cell>
          <cell r="CM217">
            <v>139.6</v>
          </cell>
          <cell r="CN217">
            <v>143.6</v>
          </cell>
          <cell r="CO217">
            <v>211.4</v>
          </cell>
          <cell r="CP217">
            <v>152.30000000000001</v>
          </cell>
          <cell r="CQ217">
            <v>149.9</v>
          </cell>
          <cell r="CR217">
            <v>294.10000000000002</v>
          </cell>
          <cell r="CS217">
            <v>151.30000000000001</v>
          </cell>
          <cell r="CT217">
            <v>150.9</v>
          </cell>
          <cell r="CU217">
            <v>150.5</v>
          </cell>
          <cell r="CV217">
            <v>223.7</v>
          </cell>
          <cell r="CW217">
            <v>148.5</v>
          </cell>
          <cell r="CX217">
            <v>152.69999999999999</v>
          </cell>
          <cell r="CY217">
            <v>277.2</v>
          </cell>
          <cell r="CZ217">
            <v>164.8</v>
          </cell>
          <cell r="DA217">
            <v>287.5</v>
          </cell>
          <cell r="DB217">
            <v>219.8</v>
          </cell>
          <cell r="DC217">
            <v>224.8</v>
          </cell>
          <cell r="DD217">
            <v>119.5</v>
          </cell>
          <cell r="DE217">
            <v>164.4</v>
          </cell>
          <cell r="DF217">
            <v>163.5</v>
          </cell>
          <cell r="DG217">
            <v>256.5</v>
          </cell>
          <cell r="DH217">
            <v>173.1</v>
          </cell>
          <cell r="DI217">
            <v>175.7</v>
          </cell>
          <cell r="DJ217">
            <v>175.5</v>
          </cell>
          <cell r="DK217">
            <v>196.2</v>
          </cell>
          <cell r="DL217">
            <v>189.9</v>
          </cell>
          <cell r="DM217">
            <v>278.8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EM217">
            <v>1113.1999999999998</v>
          </cell>
          <cell r="EN217">
            <v>1262.3000000000002</v>
          </cell>
          <cell r="EO217">
            <v>1472.6</v>
          </cell>
          <cell r="EP217">
            <v>1640.8</v>
          </cell>
          <cell r="EQ217">
            <v>1925.3000000000002</v>
          </cell>
          <cell r="ER217">
            <v>1878.8</v>
          </cell>
          <cell r="ES217">
            <v>2303.4</v>
          </cell>
        </row>
        <row r="218">
          <cell r="A218" t="str">
            <v>O&amp;M (Net of pass-throughs)</v>
          </cell>
          <cell r="B218" t="str">
            <v>Operations &amp; Maintenance Expense (incl clause)</v>
          </cell>
          <cell r="E218" t="str">
            <v>Operations &amp; Maintenance Expense</v>
          </cell>
          <cell r="F218" t="str">
            <v>6020131</v>
          </cell>
          <cell r="G218" t="str">
            <v>A_6020131</v>
          </cell>
          <cell r="H218" t="str">
            <v>Employer 401K – IBEW Plan Match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P218">
            <v>0.1</v>
          </cell>
          <cell r="CQ218">
            <v>-0.1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</row>
        <row r="219">
          <cell r="A219" t="str">
            <v>O&amp;M (Net of pass-throughs)</v>
          </cell>
          <cell r="B219" t="str">
            <v>Operations &amp; Maintenance Expense (incl clause)</v>
          </cell>
          <cell r="E219" t="str">
            <v>Operations &amp; Maintenance Expense</v>
          </cell>
          <cell r="F219" t="str">
            <v>6020140</v>
          </cell>
          <cell r="G219" t="str">
            <v>A_6020140</v>
          </cell>
          <cell r="H219" t="str">
            <v>Employer 401K Performance Match</v>
          </cell>
          <cell r="J219">
            <v>0</v>
          </cell>
          <cell r="K219">
            <v>-6.2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152</v>
          </cell>
          <cell r="S219">
            <v>0</v>
          </cell>
          <cell r="T219">
            <v>0</v>
          </cell>
          <cell r="U219">
            <v>170</v>
          </cell>
          <cell r="V219">
            <v>0</v>
          </cell>
          <cell r="W219">
            <v>-65.2</v>
          </cell>
          <cell r="X219">
            <v>168.5</v>
          </cell>
          <cell r="Y219">
            <v>42</v>
          </cell>
          <cell r="Z219">
            <v>-29</v>
          </cell>
          <cell r="AA219">
            <v>30</v>
          </cell>
          <cell r="AB219">
            <v>-24</v>
          </cell>
          <cell r="AC219">
            <v>4</v>
          </cell>
          <cell r="AD219">
            <v>-52</v>
          </cell>
          <cell r="AE219">
            <v>-7</v>
          </cell>
          <cell r="AF219">
            <v>84</v>
          </cell>
          <cell r="AG219">
            <v>-160.9</v>
          </cell>
          <cell r="AH219">
            <v>0</v>
          </cell>
          <cell r="AI219">
            <v>-9.6999999999999993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252</v>
          </cell>
          <cell r="AQ219">
            <v>-4</v>
          </cell>
          <cell r="AR219">
            <v>-140</v>
          </cell>
          <cell r="AS219">
            <v>-56</v>
          </cell>
          <cell r="AT219">
            <v>0</v>
          </cell>
          <cell r="AU219">
            <v>0</v>
          </cell>
          <cell r="AV219">
            <v>17.5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25</v>
          </cell>
          <cell r="BH219">
            <v>0</v>
          </cell>
          <cell r="BI219">
            <v>0</v>
          </cell>
          <cell r="BJ219">
            <v>0.8</v>
          </cell>
          <cell r="BK219">
            <v>-0.7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4.2</v>
          </cell>
          <cell r="BT219">
            <v>1.4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256.7</v>
          </cell>
          <cell r="CD219">
            <v>0</v>
          </cell>
          <cell r="CE219">
            <v>-23.4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5.2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366.7</v>
          </cell>
          <cell r="CZ219">
            <v>36.700000000000003</v>
          </cell>
          <cell r="DA219">
            <v>330</v>
          </cell>
          <cell r="DB219">
            <v>0</v>
          </cell>
          <cell r="DC219">
            <v>0</v>
          </cell>
          <cell r="DD219">
            <v>-60.5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199.5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EM219">
            <v>-9.5999999999999943</v>
          </cell>
          <cell r="EN219">
            <v>42.300000000000011</v>
          </cell>
          <cell r="EO219">
            <v>17.5</v>
          </cell>
          <cell r="EP219">
            <v>25.1</v>
          </cell>
          <cell r="EQ219">
            <v>262.3</v>
          </cell>
          <cell r="ER219">
            <v>-23.4</v>
          </cell>
          <cell r="ES219">
            <v>738.59999999999991</v>
          </cell>
        </row>
        <row r="220">
          <cell r="A220" t="str">
            <v>O&amp;M (Net of pass-throughs)</v>
          </cell>
          <cell r="B220" t="str">
            <v>Operations &amp; Maintenance Expense (incl clause)</v>
          </cell>
          <cell r="E220" t="str">
            <v>Operations &amp; Maintenance Expense</v>
          </cell>
          <cell r="F220" t="str">
            <v>6020150</v>
          </cell>
          <cell r="G220" t="str">
            <v>A_6020150</v>
          </cell>
          <cell r="H220" t="str">
            <v>Supplemental Executive Retirement Plan (SERP)</v>
          </cell>
          <cell r="J220">
            <v>35.799999999999997</v>
          </cell>
          <cell r="K220">
            <v>35.799999999999997</v>
          </cell>
          <cell r="L220">
            <v>35.799999999999997</v>
          </cell>
          <cell r="M220">
            <v>43.2</v>
          </cell>
          <cell r="N220">
            <v>37.6</v>
          </cell>
          <cell r="O220">
            <v>37.6</v>
          </cell>
          <cell r="P220">
            <v>37.6</v>
          </cell>
          <cell r="Q220">
            <v>37.6</v>
          </cell>
          <cell r="R220">
            <v>37.6</v>
          </cell>
          <cell r="S220">
            <v>37.6</v>
          </cell>
          <cell r="T220">
            <v>37.6</v>
          </cell>
          <cell r="U220">
            <v>37.6</v>
          </cell>
          <cell r="V220">
            <v>33.6</v>
          </cell>
          <cell r="W220">
            <v>12.8</v>
          </cell>
          <cell r="X220">
            <v>23.2</v>
          </cell>
          <cell r="Y220">
            <v>23.2</v>
          </cell>
          <cell r="Z220">
            <v>35</v>
          </cell>
          <cell r="AA220">
            <v>25.6</v>
          </cell>
          <cell r="AB220">
            <v>25.6</v>
          </cell>
          <cell r="AC220">
            <v>25.6</v>
          </cell>
          <cell r="AD220">
            <v>25.6</v>
          </cell>
          <cell r="AE220">
            <v>25.6</v>
          </cell>
          <cell r="AF220">
            <v>25.6</v>
          </cell>
          <cell r="AG220">
            <v>25.6</v>
          </cell>
          <cell r="AH220">
            <v>23.4</v>
          </cell>
          <cell r="AI220">
            <v>23.4</v>
          </cell>
          <cell r="AJ220">
            <v>23.4</v>
          </cell>
          <cell r="AK220">
            <v>26.9</v>
          </cell>
          <cell r="AL220">
            <v>24.3</v>
          </cell>
          <cell r="AM220">
            <v>24.3</v>
          </cell>
          <cell r="AN220">
            <v>24.3</v>
          </cell>
          <cell r="AO220">
            <v>24.3</v>
          </cell>
          <cell r="AP220">
            <v>109.3</v>
          </cell>
          <cell r="AQ220">
            <v>33.700000000000003</v>
          </cell>
          <cell r="AR220">
            <v>33.700000000000003</v>
          </cell>
          <cell r="AS220">
            <v>33.700000000000003</v>
          </cell>
          <cell r="AT220">
            <v>30</v>
          </cell>
          <cell r="AU220">
            <v>30</v>
          </cell>
          <cell r="AV220">
            <v>30</v>
          </cell>
          <cell r="AW220">
            <v>30</v>
          </cell>
          <cell r="AX220">
            <v>30</v>
          </cell>
          <cell r="AY220">
            <v>70.2</v>
          </cell>
          <cell r="AZ220">
            <v>36.700000000000003</v>
          </cell>
          <cell r="BA220">
            <v>36.700000000000003</v>
          </cell>
          <cell r="BB220">
            <v>36.700000000000003</v>
          </cell>
          <cell r="BC220">
            <v>36.700000000000003</v>
          </cell>
          <cell r="BD220">
            <v>36.700000000000003</v>
          </cell>
          <cell r="BE220">
            <v>36.700000000000003</v>
          </cell>
          <cell r="BF220">
            <v>26.4</v>
          </cell>
          <cell r="BG220">
            <v>26.4</v>
          </cell>
          <cell r="BH220">
            <v>26.4</v>
          </cell>
          <cell r="BI220">
            <v>26.4</v>
          </cell>
          <cell r="BJ220">
            <v>56.4</v>
          </cell>
          <cell r="BK220">
            <v>50</v>
          </cell>
          <cell r="BL220">
            <v>27.5</v>
          </cell>
          <cell r="BM220">
            <v>27.5</v>
          </cell>
          <cell r="BN220">
            <v>27.5</v>
          </cell>
          <cell r="BO220">
            <v>27.5</v>
          </cell>
          <cell r="BP220">
            <v>27.5</v>
          </cell>
          <cell r="BQ220">
            <v>27.5</v>
          </cell>
          <cell r="BR220">
            <v>22.6</v>
          </cell>
          <cell r="BS220">
            <v>22.6</v>
          </cell>
          <cell r="BT220">
            <v>22.6</v>
          </cell>
          <cell r="BU220">
            <v>22.6</v>
          </cell>
          <cell r="BV220">
            <v>22.6</v>
          </cell>
          <cell r="BW220">
            <v>44</v>
          </cell>
          <cell r="BX220">
            <v>26.2</v>
          </cell>
          <cell r="BY220">
            <v>26.2</v>
          </cell>
          <cell r="BZ220">
            <v>26.2</v>
          </cell>
          <cell r="CA220">
            <v>26.2</v>
          </cell>
          <cell r="CB220">
            <v>26.2</v>
          </cell>
          <cell r="CC220">
            <v>26.2</v>
          </cell>
          <cell r="CD220">
            <v>10.7</v>
          </cell>
          <cell r="CE220">
            <v>10.7</v>
          </cell>
          <cell r="CF220">
            <v>10.7</v>
          </cell>
          <cell r="CG220">
            <v>10.7</v>
          </cell>
          <cell r="CH220">
            <v>10.7</v>
          </cell>
          <cell r="CI220">
            <v>16.600000000000001</v>
          </cell>
          <cell r="CJ220">
            <v>11.7</v>
          </cell>
          <cell r="CK220">
            <v>11.7</v>
          </cell>
          <cell r="CL220">
            <v>11.7</v>
          </cell>
          <cell r="CM220">
            <v>11.7</v>
          </cell>
          <cell r="CN220">
            <v>11.7</v>
          </cell>
          <cell r="CO220">
            <v>11.7</v>
          </cell>
          <cell r="CP220">
            <v>11.2</v>
          </cell>
          <cell r="CQ220">
            <v>11.2</v>
          </cell>
          <cell r="CR220">
            <v>11.2</v>
          </cell>
          <cell r="CS220">
            <v>11.2</v>
          </cell>
          <cell r="CT220">
            <v>11.2</v>
          </cell>
          <cell r="CU220">
            <v>11.2</v>
          </cell>
          <cell r="CV220">
            <v>19.8</v>
          </cell>
          <cell r="CW220">
            <v>12.4</v>
          </cell>
          <cell r="CX220">
            <v>12.4</v>
          </cell>
          <cell r="CY220">
            <v>12.4</v>
          </cell>
          <cell r="CZ220">
            <v>12.4</v>
          </cell>
          <cell r="DA220">
            <v>12.4</v>
          </cell>
          <cell r="DB220">
            <v>11.9</v>
          </cell>
          <cell r="DC220">
            <v>11.9</v>
          </cell>
          <cell r="DD220">
            <v>11.9</v>
          </cell>
          <cell r="DE220">
            <v>11.9</v>
          </cell>
          <cell r="DF220">
            <v>11.9</v>
          </cell>
          <cell r="DG220">
            <v>8.3000000000000007</v>
          </cell>
          <cell r="DH220">
            <v>11.3</v>
          </cell>
          <cell r="DI220">
            <v>11.3</v>
          </cell>
          <cell r="DJ220">
            <v>11.3</v>
          </cell>
          <cell r="DK220">
            <v>11.3</v>
          </cell>
          <cell r="DL220">
            <v>11.3</v>
          </cell>
          <cell r="DM220">
            <v>12.4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EM220">
            <v>307</v>
          </cell>
          <cell r="EN220">
            <v>404.7</v>
          </cell>
          <cell r="EO220">
            <v>440.39999999999992</v>
          </cell>
          <cell r="EP220">
            <v>377</v>
          </cell>
          <cell r="EQ220">
            <v>314.19999999999993</v>
          </cell>
          <cell r="ER220">
            <v>140.29999999999998</v>
          </cell>
          <cell r="ES220">
            <v>149.00000000000003</v>
          </cell>
        </row>
        <row r="221">
          <cell r="A221" t="str">
            <v>O&amp;M (Net of pass-throughs)</v>
          </cell>
          <cell r="B221" t="str">
            <v>Operations &amp; Maintenance Expense (incl clause)</v>
          </cell>
          <cell r="E221" t="str">
            <v>Operations &amp; Maintenance Expense</v>
          </cell>
          <cell r="F221" t="str">
            <v>6020170</v>
          </cell>
          <cell r="G221" t="str">
            <v>A_6020170</v>
          </cell>
          <cell r="H221" t="str">
            <v>Long-term Disability - FAS 112</v>
          </cell>
          <cell r="J221">
            <v>25</v>
          </cell>
          <cell r="K221">
            <v>25</v>
          </cell>
          <cell r="L221">
            <v>25</v>
          </cell>
          <cell r="M221">
            <v>25</v>
          </cell>
          <cell r="N221">
            <v>25</v>
          </cell>
          <cell r="O221">
            <v>25</v>
          </cell>
          <cell r="P221">
            <v>25</v>
          </cell>
          <cell r="Q221">
            <v>319.39999999999998</v>
          </cell>
          <cell r="R221">
            <v>25</v>
          </cell>
          <cell r="S221">
            <v>25</v>
          </cell>
          <cell r="T221">
            <v>25</v>
          </cell>
          <cell r="U221">
            <v>448.3</v>
          </cell>
          <cell r="V221">
            <v>42</v>
          </cell>
          <cell r="W221">
            <v>42</v>
          </cell>
          <cell r="X221">
            <v>42</v>
          </cell>
          <cell r="Y221">
            <v>42</v>
          </cell>
          <cell r="Z221">
            <v>42</v>
          </cell>
          <cell r="AA221">
            <v>50</v>
          </cell>
          <cell r="AB221">
            <v>125</v>
          </cell>
          <cell r="AC221">
            <v>50</v>
          </cell>
          <cell r="AD221">
            <v>341.4</v>
          </cell>
          <cell r="AE221">
            <v>25</v>
          </cell>
          <cell r="AF221">
            <v>25</v>
          </cell>
          <cell r="AG221">
            <v>-248.4</v>
          </cell>
          <cell r="AH221">
            <v>65.099999999999994</v>
          </cell>
          <cell r="AI221">
            <v>42</v>
          </cell>
          <cell r="AJ221">
            <v>30</v>
          </cell>
          <cell r="AK221">
            <v>30</v>
          </cell>
          <cell r="AL221">
            <v>25</v>
          </cell>
          <cell r="AM221">
            <v>150</v>
          </cell>
          <cell r="AN221">
            <v>25</v>
          </cell>
          <cell r="AO221">
            <v>25</v>
          </cell>
          <cell r="AP221">
            <v>511.2</v>
          </cell>
          <cell r="AQ221">
            <v>75</v>
          </cell>
          <cell r="AR221">
            <v>75</v>
          </cell>
          <cell r="AS221">
            <v>-78.3</v>
          </cell>
          <cell r="AT221">
            <v>67.099999999999994</v>
          </cell>
          <cell r="AU221">
            <v>50</v>
          </cell>
          <cell r="AV221">
            <v>50</v>
          </cell>
          <cell r="AW221">
            <v>50</v>
          </cell>
          <cell r="AX221">
            <v>50</v>
          </cell>
          <cell r="AY221">
            <v>0</v>
          </cell>
          <cell r="AZ221">
            <v>50</v>
          </cell>
          <cell r="BA221">
            <v>50</v>
          </cell>
          <cell r="BB221">
            <v>580.9</v>
          </cell>
          <cell r="BC221">
            <v>100</v>
          </cell>
          <cell r="BD221">
            <v>75</v>
          </cell>
          <cell r="BE221">
            <v>-313.39999999999998</v>
          </cell>
          <cell r="BF221">
            <v>0</v>
          </cell>
          <cell r="BG221">
            <v>50</v>
          </cell>
          <cell r="BH221">
            <v>50</v>
          </cell>
          <cell r="BI221">
            <v>25</v>
          </cell>
          <cell r="BJ221">
            <v>0</v>
          </cell>
          <cell r="BK221">
            <v>25</v>
          </cell>
          <cell r="BL221">
            <v>50</v>
          </cell>
          <cell r="BM221">
            <v>25</v>
          </cell>
          <cell r="BN221">
            <v>-323.39999999999998</v>
          </cell>
          <cell r="BO221">
            <v>25</v>
          </cell>
          <cell r="BP221">
            <v>25</v>
          </cell>
          <cell r="BQ221">
            <v>-724.4</v>
          </cell>
          <cell r="BR221">
            <v>69.2</v>
          </cell>
          <cell r="BS221">
            <v>69.2</v>
          </cell>
          <cell r="BT221">
            <v>69.2</v>
          </cell>
          <cell r="BU221">
            <v>69.2</v>
          </cell>
          <cell r="BV221">
            <v>25</v>
          </cell>
          <cell r="BW221">
            <v>25</v>
          </cell>
          <cell r="BX221">
            <v>69.2</v>
          </cell>
          <cell r="BY221">
            <v>69.2</v>
          </cell>
          <cell r="BZ221">
            <v>-8.6</v>
          </cell>
          <cell r="CA221">
            <v>69.2</v>
          </cell>
          <cell r="CB221">
            <v>69.2</v>
          </cell>
          <cell r="CC221">
            <v>77.599999999999994</v>
          </cell>
          <cell r="CD221">
            <v>74</v>
          </cell>
          <cell r="CE221">
            <v>74</v>
          </cell>
          <cell r="CF221">
            <v>74</v>
          </cell>
          <cell r="CG221">
            <v>74</v>
          </cell>
          <cell r="CH221">
            <v>100</v>
          </cell>
          <cell r="CI221">
            <v>100</v>
          </cell>
          <cell r="CJ221">
            <v>74</v>
          </cell>
          <cell r="CK221">
            <v>74</v>
          </cell>
          <cell r="CL221">
            <v>132.69999999999999</v>
          </cell>
          <cell r="CM221">
            <v>74</v>
          </cell>
          <cell r="CN221">
            <v>74</v>
          </cell>
          <cell r="CO221">
            <v>422.5</v>
          </cell>
          <cell r="CP221">
            <v>76.2</v>
          </cell>
          <cell r="CQ221">
            <v>76.2</v>
          </cell>
          <cell r="CR221">
            <v>76.2</v>
          </cell>
          <cell r="CS221">
            <v>76.2</v>
          </cell>
          <cell r="CT221">
            <v>76.2</v>
          </cell>
          <cell r="CU221">
            <v>76.2</v>
          </cell>
          <cell r="CV221">
            <v>76.2</v>
          </cell>
          <cell r="CW221">
            <v>76.2</v>
          </cell>
          <cell r="CX221">
            <v>727.9</v>
          </cell>
          <cell r="CY221">
            <v>100</v>
          </cell>
          <cell r="CZ221">
            <v>100</v>
          </cell>
          <cell r="DA221">
            <v>-2365.8000000000002</v>
          </cell>
          <cell r="DB221">
            <v>78.5</v>
          </cell>
          <cell r="DC221">
            <v>57.5</v>
          </cell>
          <cell r="DD221">
            <v>57.5</v>
          </cell>
          <cell r="DE221">
            <v>57.5</v>
          </cell>
          <cell r="DF221">
            <v>57.5</v>
          </cell>
          <cell r="DG221">
            <v>57.5</v>
          </cell>
          <cell r="DH221">
            <v>57.5</v>
          </cell>
          <cell r="DI221">
            <v>-256.89999999999998</v>
          </cell>
          <cell r="DJ221">
            <v>57.5</v>
          </cell>
          <cell r="DK221">
            <v>57.5</v>
          </cell>
          <cell r="DL221">
            <v>57.5</v>
          </cell>
          <cell r="DM221">
            <v>-443.8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EM221">
            <v>578</v>
          </cell>
          <cell r="EN221">
            <v>975</v>
          </cell>
          <cell r="EO221">
            <v>809.6</v>
          </cell>
          <cell r="EP221">
            <v>-772.8</v>
          </cell>
          <cell r="EQ221">
            <v>672.6</v>
          </cell>
          <cell r="ER221">
            <v>1347.2</v>
          </cell>
          <cell r="ES221">
            <v>-828.30000000000018</v>
          </cell>
        </row>
        <row r="222">
          <cell r="A222" t="str">
            <v>O&amp;M (Net of pass-throughs)</v>
          </cell>
          <cell r="B222" t="str">
            <v>Operations &amp; Maintenance Expense (incl clause)</v>
          </cell>
          <cell r="E222" t="str">
            <v>Operations &amp; Maintenance Expense</v>
          </cell>
          <cell r="F222" t="str">
            <v>6020180</v>
          </cell>
          <cell r="G222" t="str">
            <v>A_6020180</v>
          </cell>
          <cell r="H222" t="str">
            <v>Long-term Disability Premiums</v>
          </cell>
          <cell r="J222">
            <v>21.9</v>
          </cell>
          <cell r="K222">
            <v>46.1</v>
          </cell>
          <cell r="L222">
            <v>22.2</v>
          </cell>
          <cell r="M222">
            <v>22.3</v>
          </cell>
          <cell r="N222">
            <v>22.4</v>
          </cell>
          <cell r="O222">
            <v>33.4</v>
          </cell>
          <cell r="P222">
            <v>22.2</v>
          </cell>
          <cell r="Q222">
            <v>22.1</v>
          </cell>
          <cell r="R222">
            <v>22.6</v>
          </cell>
          <cell r="S222">
            <v>22.5</v>
          </cell>
          <cell r="T222">
            <v>33.6</v>
          </cell>
          <cell r="U222">
            <v>22.7</v>
          </cell>
          <cell r="V222">
            <v>22</v>
          </cell>
          <cell r="W222">
            <v>11.8</v>
          </cell>
          <cell r="X222">
            <v>22.9</v>
          </cell>
          <cell r="Y222">
            <v>12</v>
          </cell>
          <cell r="Z222">
            <v>17.8</v>
          </cell>
          <cell r="AA222">
            <v>12</v>
          </cell>
          <cell r="AB222">
            <v>12.1</v>
          </cell>
          <cell r="AC222">
            <v>12</v>
          </cell>
          <cell r="AD222">
            <v>12</v>
          </cell>
          <cell r="AE222">
            <v>0</v>
          </cell>
          <cell r="AF222">
            <v>30.7</v>
          </cell>
          <cell r="AG222">
            <v>12.6</v>
          </cell>
          <cell r="AH222">
            <v>13</v>
          </cell>
          <cell r="AI222">
            <v>13</v>
          </cell>
          <cell r="AJ222">
            <v>21</v>
          </cell>
          <cell r="AK222">
            <v>19.2</v>
          </cell>
          <cell r="AL222">
            <v>12.9</v>
          </cell>
          <cell r="AM222">
            <v>12.9</v>
          </cell>
          <cell r="AN222">
            <v>13</v>
          </cell>
          <cell r="AO222">
            <v>13.2</v>
          </cell>
          <cell r="AP222">
            <v>13.4</v>
          </cell>
          <cell r="AQ222">
            <v>19.8</v>
          </cell>
          <cell r="AR222">
            <v>13.8</v>
          </cell>
          <cell r="AS222">
            <v>13.6</v>
          </cell>
          <cell r="AT222">
            <v>16.399999999999999</v>
          </cell>
          <cell r="AU222">
            <v>0</v>
          </cell>
          <cell r="AV222">
            <v>40.799999999999997</v>
          </cell>
          <cell r="AW222">
            <v>22.9</v>
          </cell>
          <cell r="AX222">
            <v>15.7</v>
          </cell>
          <cell r="AY222">
            <v>15.1</v>
          </cell>
          <cell r="AZ222">
            <v>15.2</v>
          </cell>
          <cell r="BA222">
            <v>15.6</v>
          </cell>
          <cell r="BB222">
            <v>23.3</v>
          </cell>
          <cell r="BC222">
            <v>0</v>
          </cell>
          <cell r="BD222">
            <v>32.200000000000003</v>
          </cell>
          <cell r="BE222">
            <v>16.2</v>
          </cell>
          <cell r="BF222">
            <v>16.100000000000001</v>
          </cell>
          <cell r="BG222">
            <v>16.399999999999999</v>
          </cell>
          <cell r="BH222">
            <v>29.3</v>
          </cell>
          <cell r="BI222">
            <v>23.9</v>
          </cell>
          <cell r="BJ222">
            <v>16.399999999999999</v>
          </cell>
          <cell r="BK222">
            <v>16.3</v>
          </cell>
          <cell r="BL222">
            <v>16.399999999999999</v>
          </cell>
          <cell r="BM222">
            <v>16.399999999999999</v>
          </cell>
          <cell r="BN222">
            <v>24.8</v>
          </cell>
          <cell r="BO222">
            <v>16.899999999999999</v>
          </cell>
          <cell r="BP222">
            <v>18.899999999999999</v>
          </cell>
          <cell r="BQ222">
            <v>18.3</v>
          </cell>
          <cell r="BR222">
            <v>17.7</v>
          </cell>
          <cell r="BS222">
            <v>24.4</v>
          </cell>
          <cell r="BT222">
            <v>30</v>
          </cell>
          <cell r="BU222">
            <v>16.399999999999999</v>
          </cell>
          <cell r="BV222">
            <v>16.3</v>
          </cell>
          <cell r="BW222">
            <v>16.3</v>
          </cell>
          <cell r="BX222">
            <v>16.5</v>
          </cell>
          <cell r="BY222">
            <v>16.899999999999999</v>
          </cell>
          <cell r="BZ222">
            <v>25</v>
          </cell>
          <cell r="CA222">
            <v>0</v>
          </cell>
          <cell r="CB222">
            <v>35.299999999999997</v>
          </cell>
          <cell r="CC222">
            <v>17.3</v>
          </cell>
          <cell r="CD222">
            <v>17.600000000000001</v>
          </cell>
          <cell r="CE222">
            <v>25.9</v>
          </cell>
          <cell r="CF222">
            <v>34.9</v>
          </cell>
          <cell r="CG222">
            <v>18.100000000000001</v>
          </cell>
          <cell r="CH222">
            <v>17.600000000000001</v>
          </cell>
          <cell r="CI222">
            <v>17.7</v>
          </cell>
          <cell r="CJ222">
            <v>17.8</v>
          </cell>
          <cell r="CK222">
            <v>26.4</v>
          </cell>
          <cell r="CL222">
            <v>18.100000000000001</v>
          </cell>
          <cell r="CM222">
            <v>18.100000000000001</v>
          </cell>
          <cell r="CN222">
            <v>18.2</v>
          </cell>
          <cell r="CO222">
            <v>18.7</v>
          </cell>
          <cell r="CP222">
            <v>27.5</v>
          </cell>
          <cell r="CQ222">
            <v>19.100000000000001</v>
          </cell>
          <cell r="CR222">
            <v>18.8</v>
          </cell>
          <cell r="CS222">
            <v>34.799999999999997</v>
          </cell>
          <cell r="CT222">
            <v>0</v>
          </cell>
          <cell r="CU222">
            <v>37.9</v>
          </cell>
          <cell r="CV222">
            <v>18.7</v>
          </cell>
          <cell r="CW222">
            <v>28.1</v>
          </cell>
          <cell r="CX222">
            <v>18.899999999999999</v>
          </cell>
          <cell r="CY222">
            <v>0</v>
          </cell>
          <cell r="CZ222">
            <v>39</v>
          </cell>
          <cell r="DA222">
            <v>19.5</v>
          </cell>
          <cell r="DB222">
            <v>29.2</v>
          </cell>
          <cell r="DC222">
            <v>0</v>
          </cell>
          <cell r="DD222">
            <v>0.3</v>
          </cell>
          <cell r="DE222">
            <v>71.7</v>
          </cell>
          <cell r="DF222">
            <v>18.600000000000001</v>
          </cell>
          <cell r="DG222">
            <v>9.6999999999999993</v>
          </cell>
          <cell r="DH222">
            <v>11.6</v>
          </cell>
          <cell r="DI222">
            <v>46</v>
          </cell>
          <cell r="DJ222">
            <v>87.6</v>
          </cell>
          <cell r="DK222">
            <v>0</v>
          </cell>
          <cell r="DL222">
            <v>30.6</v>
          </cell>
          <cell r="DM222">
            <v>10.4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EM222">
            <v>177.89999999999995</v>
          </cell>
          <cell r="EN222">
            <v>178.80000000000004</v>
          </cell>
          <cell r="EO222">
            <v>213.39999999999998</v>
          </cell>
          <cell r="EP222">
            <v>230.10000000000002</v>
          </cell>
          <cell r="EQ222">
            <v>232.10000000000002</v>
          </cell>
          <cell r="ER222">
            <v>249.09999999999997</v>
          </cell>
          <cell r="ES222">
            <v>262.29999999999995</v>
          </cell>
        </row>
        <row r="223">
          <cell r="A223" t="str">
            <v>O&amp;M (Net of pass-throughs)</v>
          </cell>
          <cell r="B223" t="str">
            <v>Operations &amp; Maintenance Expense (incl clause)</v>
          </cell>
          <cell r="E223" t="str">
            <v>Operations &amp; Maintenance Expense</v>
          </cell>
          <cell r="F223" t="str">
            <v>6020220</v>
          </cell>
          <cell r="G223" t="str">
            <v>A_6020220</v>
          </cell>
          <cell r="H223" t="str">
            <v>Vacations (accrual)</v>
          </cell>
          <cell r="J223">
            <v>5</v>
          </cell>
          <cell r="K223">
            <v>5</v>
          </cell>
          <cell r="L223">
            <v>5</v>
          </cell>
          <cell r="M223">
            <v>5</v>
          </cell>
          <cell r="N223">
            <v>5</v>
          </cell>
          <cell r="O223">
            <v>5</v>
          </cell>
          <cell r="P223">
            <v>5</v>
          </cell>
          <cell r="Q223">
            <v>5</v>
          </cell>
          <cell r="R223">
            <v>5</v>
          </cell>
          <cell r="S223">
            <v>5</v>
          </cell>
          <cell r="T223">
            <v>5</v>
          </cell>
          <cell r="U223">
            <v>5</v>
          </cell>
          <cell r="V223">
            <v>5</v>
          </cell>
          <cell r="W223">
            <v>5</v>
          </cell>
          <cell r="X223">
            <v>5</v>
          </cell>
          <cell r="Y223">
            <v>5</v>
          </cell>
          <cell r="Z223">
            <v>5</v>
          </cell>
          <cell r="AA223">
            <v>5</v>
          </cell>
          <cell r="AB223">
            <v>5</v>
          </cell>
          <cell r="AC223">
            <v>5</v>
          </cell>
          <cell r="AD223">
            <v>5</v>
          </cell>
          <cell r="AE223">
            <v>5</v>
          </cell>
          <cell r="AF223">
            <v>5</v>
          </cell>
          <cell r="AG223">
            <v>5</v>
          </cell>
          <cell r="AH223">
            <v>5</v>
          </cell>
          <cell r="AI223">
            <v>5</v>
          </cell>
          <cell r="AJ223">
            <v>5</v>
          </cell>
          <cell r="AK223">
            <v>5</v>
          </cell>
          <cell r="AL223">
            <v>5</v>
          </cell>
          <cell r="AM223">
            <v>5</v>
          </cell>
          <cell r="AN223">
            <v>20</v>
          </cell>
          <cell r="AO223">
            <v>20</v>
          </cell>
          <cell r="AP223">
            <v>20</v>
          </cell>
          <cell r="AQ223">
            <v>20</v>
          </cell>
          <cell r="AR223">
            <v>20</v>
          </cell>
          <cell r="AS223">
            <v>370</v>
          </cell>
          <cell r="AT223">
            <v>15</v>
          </cell>
          <cell r="AU223">
            <v>15</v>
          </cell>
          <cell r="AV223">
            <v>15</v>
          </cell>
          <cell r="AW223">
            <v>15</v>
          </cell>
          <cell r="AX223">
            <v>15</v>
          </cell>
          <cell r="AY223">
            <v>15</v>
          </cell>
          <cell r="AZ223">
            <v>15</v>
          </cell>
          <cell r="BA223">
            <v>15</v>
          </cell>
          <cell r="BB223">
            <v>15</v>
          </cell>
          <cell r="BC223">
            <v>15</v>
          </cell>
          <cell r="BD223">
            <v>15</v>
          </cell>
          <cell r="BE223">
            <v>15</v>
          </cell>
          <cell r="BF223">
            <v>15</v>
          </cell>
          <cell r="BG223">
            <v>15</v>
          </cell>
          <cell r="BH223">
            <v>15</v>
          </cell>
          <cell r="BI223">
            <v>15</v>
          </cell>
          <cell r="BJ223">
            <v>15</v>
          </cell>
          <cell r="BK223">
            <v>15</v>
          </cell>
          <cell r="BL223">
            <v>15</v>
          </cell>
          <cell r="BM223">
            <v>15</v>
          </cell>
          <cell r="BN223">
            <v>15</v>
          </cell>
          <cell r="BO223">
            <v>15</v>
          </cell>
          <cell r="BP223">
            <v>15</v>
          </cell>
          <cell r="BQ223">
            <v>94.1</v>
          </cell>
          <cell r="BR223">
            <v>15</v>
          </cell>
          <cell r="BS223">
            <v>15</v>
          </cell>
          <cell r="BT223">
            <v>15</v>
          </cell>
          <cell r="BU223">
            <v>15</v>
          </cell>
          <cell r="BV223">
            <v>15</v>
          </cell>
          <cell r="BW223">
            <v>15</v>
          </cell>
          <cell r="BX223">
            <v>15</v>
          </cell>
          <cell r="BY223">
            <v>15</v>
          </cell>
          <cell r="BZ223">
            <v>15</v>
          </cell>
          <cell r="CA223">
            <v>15</v>
          </cell>
          <cell r="CB223">
            <v>15</v>
          </cell>
          <cell r="CC223">
            <v>106.6</v>
          </cell>
          <cell r="CD223">
            <v>15</v>
          </cell>
          <cell r="CE223">
            <v>15</v>
          </cell>
          <cell r="CF223">
            <v>15</v>
          </cell>
          <cell r="CG223">
            <v>15</v>
          </cell>
          <cell r="CH223">
            <v>15</v>
          </cell>
          <cell r="CI223">
            <v>181.7</v>
          </cell>
          <cell r="CJ223">
            <v>15</v>
          </cell>
          <cell r="CK223">
            <v>15</v>
          </cell>
          <cell r="CL223">
            <v>181.7</v>
          </cell>
          <cell r="CM223">
            <v>15</v>
          </cell>
          <cell r="CN223">
            <v>15</v>
          </cell>
          <cell r="CO223">
            <v>302.3</v>
          </cell>
          <cell r="CP223">
            <v>15.5</v>
          </cell>
          <cell r="CQ223">
            <v>15.5</v>
          </cell>
          <cell r="CR223">
            <v>-368.2</v>
          </cell>
          <cell r="CS223">
            <v>15.5</v>
          </cell>
          <cell r="CT223">
            <v>15.5</v>
          </cell>
          <cell r="CU223">
            <v>15.5</v>
          </cell>
          <cell r="CV223">
            <v>15.5</v>
          </cell>
          <cell r="CW223">
            <v>15.5</v>
          </cell>
          <cell r="CX223">
            <v>15.5</v>
          </cell>
          <cell r="CY223">
            <v>15.5</v>
          </cell>
          <cell r="CZ223">
            <v>15.5</v>
          </cell>
          <cell r="DA223">
            <v>61</v>
          </cell>
          <cell r="DB223">
            <v>16</v>
          </cell>
          <cell r="DC223">
            <v>16</v>
          </cell>
          <cell r="DD223">
            <v>16</v>
          </cell>
          <cell r="DE223">
            <v>16</v>
          </cell>
          <cell r="DF223">
            <v>16</v>
          </cell>
          <cell r="DG223">
            <v>16</v>
          </cell>
          <cell r="DH223">
            <v>16</v>
          </cell>
          <cell r="DI223">
            <v>16</v>
          </cell>
          <cell r="DJ223">
            <v>16</v>
          </cell>
          <cell r="DK223">
            <v>16</v>
          </cell>
          <cell r="DL223">
            <v>16</v>
          </cell>
          <cell r="DM223">
            <v>420.1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EM223">
            <v>60</v>
          </cell>
          <cell r="EN223">
            <v>500</v>
          </cell>
          <cell r="EO223">
            <v>180</v>
          </cell>
          <cell r="EP223">
            <v>259.10000000000002</v>
          </cell>
          <cell r="EQ223">
            <v>271.60000000000002</v>
          </cell>
          <cell r="ER223">
            <v>800.7</v>
          </cell>
          <cell r="ES223">
            <v>-152.19999999999999</v>
          </cell>
        </row>
        <row r="224">
          <cell r="A224" t="str">
            <v>O&amp;M (Net of pass-throughs)</v>
          </cell>
          <cell r="B224" t="str">
            <v>Operations &amp; Maintenance Expense (incl clause)</v>
          </cell>
          <cell r="E224" t="str">
            <v>Operations &amp; Maintenance Expense</v>
          </cell>
          <cell r="F224" t="str">
            <v>6020230</v>
          </cell>
          <cell r="G224" t="str">
            <v>A_6020230</v>
          </cell>
          <cell r="H224" t="str">
            <v>Restoriation Benefit Plan Expense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0.8</v>
          </cell>
          <cell r="AM224">
            <v>0.2</v>
          </cell>
          <cell r="AN224">
            <v>0.2</v>
          </cell>
          <cell r="AO224">
            <v>0.2</v>
          </cell>
          <cell r="AP224">
            <v>0.2</v>
          </cell>
          <cell r="AQ224">
            <v>0.2</v>
          </cell>
          <cell r="AR224">
            <v>0.2</v>
          </cell>
          <cell r="AS224">
            <v>0.2</v>
          </cell>
          <cell r="AT224">
            <v>0.2</v>
          </cell>
          <cell r="AU224">
            <v>0.2</v>
          </cell>
          <cell r="AV224">
            <v>0.2</v>
          </cell>
          <cell r="AW224">
            <v>0.2</v>
          </cell>
          <cell r="AX224">
            <v>0.2</v>
          </cell>
          <cell r="AY224">
            <v>18.899999999999999</v>
          </cell>
          <cell r="AZ224">
            <v>3.3</v>
          </cell>
          <cell r="BA224">
            <v>3.3</v>
          </cell>
          <cell r="BB224">
            <v>3.3</v>
          </cell>
          <cell r="BC224">
            <v>3.3</v>
          </cell>
          <cell r="BD224">
            <v>3.3</v>
          </cell>
          <cell r="BE224">
            <v>3.3</v>
          </cell>
          <cell r="BF224">
            <v>3.6</v>
          </cell>
          <cell r="BG224">
            <v>3.7</v>
          </cell>
          <cell r="BH224">
            <v>3.6</v>
          </cell>
          <cell r="BI224">
            <v>3.6</v>
          </cell>
          <cell r="BJ224">
            <v>17.7</v>
          </cell>
          <cell r="BK224">
            <v>10.6</v>
          </cell>
          <cell r="BL224">
            <v>10.6</v>
          </cell>
          <cell r="BM224">
            <v>10.3</v>
          </cell>
          <cell r="BN224">
            <v>10.3</v>
          </cell>
          <cell r="BO224">
            <v>10.3</v>
          </cell>
          <cell r="BP224">
            <v>10.3</v>
          </cell>
          <cell r="BQ224">
            <v>10.3</v>
          </cell>
          <cell r="BR224">
            <v>9.3000000000000007</v>
          </cell>
          <cell r="BS224">
            <v>9.3000000000000007</v>
          </cell>
          <cell r="BT224">
            <v>9.3000000000000007</v>
          </cell>
          <cell r="BU224">
            <v>9.3000000000000007</v>
          </cell>
          <cell r="BV224">
            <v>9.3000000000000007</v>
          </cell>
          <cell r="BW224">
            <v>6.2</v>
          </cell>
          <cell r="BX224">
            <v>8.8000000000000007</v>
          </cell>
          <cell r="BY224">
            <v>8.8000000000000007</v>
          </cell>
          <cell r="BZ224">
            <v>8.8000000000000007</v>
          </cell>
          <cell r="CA224">
            <v>8.8000000000000007</v>
          </cell>
          <cell r="CB224">
            <v>8.8000000000000007</v>
          </cell>
          <cell r="CC224">
            <v>8.8000000000000007</v>
          </cell>
          <cell r="CD224">
            <v>11.4</v>
          </cell>
          <cell r="CE224">
            <v>11.4</v>
          </cell>
          <cell r="CF224">
            <v>11.4</v>
          </cell>
          <cell r="CG224">
            <v>11.4</v>
          </cell>
          <cell r="CH224">
            <v>11.4</v>
          </cell>
          <cell r="CI224">
            <v>53.3</v>
          </cell>
          <cell r="CJ224">
            <v>18.399999999999999</v>
          </cell>
          <cell r="CK224">
            <v>18.399999999999999</v>
          </cell>
          <cell r="CL224">
            <v>18.399999999999999</v>
          </cell>
          <cell r="CM224">
            <v>18.399999999999999</v>
          </cell>
          <cell r="CN224">
            <v>18.399999999999999</v>
          </cell>
          <cell r="CO224">
            <v>18.399999999999999</v>
          </cell>
          <cell r="CP224">
            <v>19.899999999999999</v>
          </cell>
          <cell r="CQ224">
            <v>19.899999999999999</v>
          </cell>
          <cell r="CR224">
            <v>19.899999999999999</v>
          </cell>
          <cell r="CS224">
            <v>19.899999999999999</v>
          </cell>
          <cell r="CT224">
            <v>19.899999999999999</v>
          </cell>
          <cell r="CU224">
            <v>19.899999999999999</v>
          </cell>
          <cell r="CV224">
            <v>43.3</v>
          </cell>
          <cell r="CW224">
            <v>23.2</v>
          </cell>
          <cell r="CX224">
            <v>23.2</v>
          </cell>
          <cell r="CY224">
            <v>23.2</v>
          </cell>
          <cell r="CZ224">
            <v>23.2</v>
          </cell>
          <cell r="DA224">
            <v>23.2</v>
          </cell>
          <cell r="DB224">
            <v>9.9</v>
          </cell>
          <cell r="DC224">
            <v>9.9</v>
          </cell>
          <cell r="DD224">
            <v>9.9</v>
          </cell>
          <cell r="DE224">
            <v>9.9</v>
          </cell>
          <cell r="DF224">
            <v>9.9</v>
          </cell>
          <cell r="DG224">
            <v>1172.8</v>
          </cell>
          <cell r="DH224">
            <v>13.2</v>
          </cell>
          <cell r="DI224">
            <v>13.2</v>
          </cell>
          <cell r="DJ224">
            <v>13.2</v>
          </cell>
          <cell r="DK224">
            <v>13.2</v>
          </cell>
          <cell r="DL224">
            <v>13.2</v>
          </cell>
          <cell r="DM224">
            <v>13.2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EM224">
            <v>0</v>
          </cell>
          <cell r="EN224">
            <v>2.1999999999999997</v>
          </cell>
          <cell r="EO224">
            <v>39.699999999999996</v>
          </cell>
          <cell r="EP224">
            <v>104.89999999999999</v>
          </cell>
          <cell r="EQ224">
            <v>105.49999999999999</v>
          </cell>
          <cell r="ER224">
            <v>220.70000000000002</v>
          </cell>
          <cell r="ES224">
            <v>278.69999999999993</v>
          </cell>
        </row>
        <row r="225">
          <cell r="A225" t="str">
            <v>O&amp;M (Net of pass-throughs)</v>
          </cell>
          <cell r="B225" t="str">
            <v>Operations &amp; Maintenance Expense (incl clause)</v>
          </cell>
          <cell r="E225" t="str">
            <v>Operations &amp; Maintenance Expense</v>
          </cell>
          <cell r="F225" t="str">
            <v>6020240</v>
          </cell>
          <cell r="G225" t="str">
            <v>A_6020240</v>
          </cell>
          <cell r="H225" t="str">
            <v>Employer Match on Common Stock Purchase Program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7.2</v>
          </cell>
          <cell r="BF225">
            <v>6.9</v>
          </cell>
          <cell r="BG225">
            <v>0</v>
          </cell>
          <cell r="BH225">
            <v>0</v>
          </cell>
          <cell r="BI225">
            <v>0</v>
          </cell>
          <cell r="BJ225">
            <v>5.3</v>
          </cell>
          <cell r="BK225">
            <v>0</v>
          </cell>
          <cell r="BL225">
            <v>0</v>
          </cell>
          <cell r="BM225">
            <v>3.8</v>
          </cell>
          <cell r="BN225">
            <v>0</v>
          </cell>
          <cell r="BO225">
            <v>0</v>
          </cell>
          <cell r="BP225">
            <v>4.2</v>
          </cell>
          <cell r="BQ225">
            <v>0</v>
          </cell>
          <cell r="BR225">
            <v>0</v>
          </cell>
          <cell r="BS225">
            <v>5.6</v>
          </cell>
          <cell r="BT225">
            <v>0</v>
          </cell>
          <cell r="BU225">
            <v>0</v>
          </cell>
          <cell r="BV225">
            <v>0</v>
          </cell>
          <cell r="BW225">
            <v>5.7</v>
          </cell>
          <cell r="BX225">
            <v>0</v>
          </cell>
          <cell r="BY225">
            <v>5.8</v>
          </cell>
          <cell r="BZ225">
            <v>0</v>
          </cell>
          <cell r="CA225">
            <v>0</v>
          </cell>
          <cell r="CB225">
            <v>4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6.1</v>
          </cell>
          <cell r="CH225">
            <v>12.2</v>
          </cell>
          <cell r="CI225">
            <v>0</v>
          </cell>
          <cell r="CJ225">
            <v>0</v>
          </cell>
          <cell r="CK225">
            <v>0</v>
          </cell>
          <cell r="CL225">
            <v>22.7</v>
          </cell>
          <cell r="CM225">
            <v>0</v>
          </cell>
          <cell r="CN225">
            <v>14.1</v>
          </cell>
          <cell r="CO225">
            <v>0</v>
          </cell>
          <cell r="CP225">
            <v>6.1</v>
          </cell>
          <cell r="CQ225">
            <v>0</v>
          </cell>
          <cell r="CR225">
            <v>13</v>
          </cell>
          <cell r="CS225">
            <v>0</v>
          </cell>
          <cell r="CT225">
            <v>21.1</v>
          </cell>
          <cell r="CU225">
            <v>0</v>
          </cell>
          <cell r="CV225">
            <v>0</v>
          </cell>
          <cell r="CW225">
            <v>6</v>
          </cell>
          <cell r="CX225">
            <v>13.6</v>
          </cell>
          <cell r="CY225">
            <v>0</v>
          </cell>
          <cell r="CZ225">
            <v>20.6</v>
          </cell>
          <cell r="DA225">
            <v>6.4</v>
          </cell>
          <cell r="DB225">
            <v>0</v>
          </cell>
          <cell r="DC225">
            <v>0</v>
          </cell>
          <cell r="DD225">
            <v>8</v>
          </cell>
          <cell r="DE225">
            <v>0</v>
          </cell>
          <cell r="DF225">
            <v>0</v>
          </cell>
          <cell r="DG225">
            <v>16.5</v>
          </cell>
          <cell r="DH225">
            <v>0</v>
          </cell>
          <cell r="DI225">
            <v>23.5</v>
          </cell>
          <cell r="DJ225">
            <v>0</v>
          </cell>
          <cell r="DK225">
            <v>0</v>
          </cell>
          <cell r="DL225">
            <v>0</v>
          </cell>
          <cell r="DM225">
            <v>13.2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EM225">
            <v>0</v>
          </cell>
          <cell r="EN225">
            <v>0</v>
          </cell>
          <cell r="EO225">
            <v>7.2</v>
          </cell>
          <cell r="EP225">
            <v>20.2</v>
          </cell>
          <cell r="EQ225">
            <v>21.1</v>
          </cell>
          <cell r="ER225">
            <v>55.1</v>
          </cell>
          <cell r="ES225">
            <v>86.800000000000011</v>
          </cell>
        </row>
        <row r="226">
          <cell r="A226" t="str">
            <v>O&amp;M (Net of pass-throughs)</v>
          </cell>
          <cell r="B226" t="str">
            <v>Operations &amp; Maintenance Expense (incl clause)</v>
          </cell>
          <cell r="E226" t="str">
            <v>Operations &amp; Maintenance Expense</v>
          </cell>
          <cell r="F226" t="str">
            <v>6020800</v>
          </cell>
          <cell r="G226" t="str">
            <v>A_6020800</v>
          </cell>
          <cell r="H226" t="str">
            <v>Benefits - Other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3</v>
          </cell>
          <cell r="AE226">
            <v>0</v>
          </cell>
          <cell r="AF226">
            <v>0</v>
          </cell>
          <cell r="AG226">
            <v>0</v>
          </cell>
          <cell r="AH226">
            <v>1.8</v>
          </cell>
          <cell r="AI226">
            <v>9.6999999999999993</v>
          </cell>
          <cell r="AJ226">
            <v>1.7</v>
          </cell>
          <cell r="AK226">
            <v>1.7</v>
          </cell>
          <cell r="AL226">
            <v>1.7</v>
          </cell>
          <cell r="AM226">
            <v>1.7</v>
          </cell>
          <cell r="AN226">
            <v>1.7</v>
          </cell>
          <cell r="AO226">
            <v>1.9</v>
          </cell>
          <cell r="AP226">
            <v>1.9</v>
          </cell>
          <cell r="AQ226">
            <v>1.9</v>
          </cell>
          <cell r="AR226">
            <v>1.7</v>
          </cell>
          <cell r="AS226">
            <v>1.7</v>
          </cell>
          <cell r="AT226">
            <v>1.5</v>
          </cell>
          <cell r="AU226">
            <v>1.5</v>
          </cell>
          <cell r="AV226">
            <v>1.5</v>
          </cell>
          <cell r="AW226">
            <v>1.4</v>
          </cell>
          <cell r="AX226">
            <v>1.5</v>
          </cell>
          <cell r="AY226">
            <v>1.4</v>
          </cell>
          <cell r="AZ226">
            <v>1.4</v>
          </cell>
          <cell r="BA226">
            <v>2</v>
          </cell>
          <cell r="BB226">
            <v>1.5</v>
          </cell>
          <cell r="BC226">
            <v>1.5</v>
          </cell>
          <cell r="BD226">
            <v>1.5</v>
          </cell>
          <cell r="BE226">
            <v>1.5</v>
          </cell>
          <cell r="BF226">
            <v>1.4</v>
          </cell>
          <cell r="BG226">
            <v>1.4</v>
          </cell>
          <cell r="BH226">
            <v>1.6</v>
          </cell>
          <cell r="BI226">
            <v>1.6</v>
          </cell>
          <cell r="BJ226">
            <v>1.7</v>
          </cell>
          <cell r="BK226">
            <v>1.7</v>
          </cell>
          <cell r="BL226">
            <v>1.6</v>
          </cell>
          <cell r="BM226">
            <v>1.6</v>
          </cell>
          <cell r="BN226">
            <v>1.6</v>
          </cell>
          <cell r="BO226">
            <v>3.7</v>
          </cell>
          <cell r="BP226">
            <v>4.2</v>
          </cell>
          <cell r="BQ226">
            <v>7.6</v>
          </cell>
          <cell r="BR226">
            <v>4.3</v>
          </cell>
          <cell r="BS226">
            <v>4.4000000000000004</v>
          </cell>
          <cell r="BT226">
            <v>4.0999999999999996</v>
          </cell>
          <cell r="BU226">
            <v>1.5</v>
          </cell>
          <cell r="BV226">
            <v>7.9</v>
          </cell>
          <cell r="BW226">
            <v>4.4000000000000004</v>
          </cell>
          <cell r="BX226">
            <v>5.2</v>
          </cell>
          <cell r="BY226">
            <v>5.8</v>
          </cell>
          <cell r="BZ226">
            <v>6</v>
          </cell>
          <cell r="CA226">
            <v>5.6</v>
          </cell>
          <cell r="CB226">
            <v>7.4</v>
          </cell>
          <cell r="CC226">
            <v>55.7</v>
          </cell>
          <cell r="CD226">
            <v>5.2</v>
          </cell>
          <cell r="CE226">
            <v>12.5</v>
          </cell>
          <cell r="CF226">
            <v>12.9</v>
          </cell>
          <cell r="CG226">
            <v>7.8</v>
          </cell>
          <cell r="CH226">
            <v>17.3</v>
          </cell>
          <cell r="CI226">
            <v>16.8</v>
          </cell>
          <cell r="CJ226">
            <v>9.6999999999999993</v>
          </cell>
          <cell r="CK226">
            <v>8.6999999999999993</v>
          </cell>
          <cell r="CL226">
            <v>33.799999999999997</v>
          </cell>
          <cell r="CM226">
            <v>9.1</v>
          </cell>
          <cell r="CN226">
            <v>9.9</v>
          </cell>
          <cell r="CO226">
            <v>55.9</v>
          </cell>
          <cell r="CP226">
            <v>6.3</v>
          </cell>
          <cell r="CQ226">
            <v>7.8</v>
          </cell>
          <cell r="CR226">
            <v>-54.4</v>
          </cell>
          <cell r="CS226">
            <v>50.7</v>
          </cell>
          <cell r="CT226">
            <v>34.299999999999997</v>
          </cell>
          <cell r="CU226">
            <v>36</v>
          </cell>
          <cell r="CV226">
            <v>10.7</v>
          </cell>
          <cell r="CW226">
            <v>-20.6</v>
          </cell>
          <cell r="CX226">
            <v>46</v>
          </cell>
          <cell r="CY226">
            <v>5.7</v>
          </cell>
          <cell r="CZ226">
            <v>6.6</v>
          </cell>
          <cell r="DA226">
            <v>88.6</v>
          </cell>
          <cell r="DB226">
            <v>14.5</v>
          </cell>
          <cell r="DC226">
            <v>17.5</v>
          </cell>
          <cell r="DD226">
            <v>30.6</v>
          </cell>
          <cell r="DE226">
            <v>8.6999999999999993</v>
          </cell>
          <cell r="DF226">
            <v>16.899999999999999</v>
          </cell>
          <cell r="DG226">
            <v>88</v>
          </cell>
          <cell r="DH226">
            <v>5</v>
          </cell>
          <cell r="DI226">
            <v>11.1</v>
          </cell>
          <cell r="DJ226">
            <v>66.5</v>
          </cell>
          <cell r="DK226">
            <v>14.2</v>
          </cell>
          <cell r="DL226">
            <v>5.4</v>
          </cell>
          <cell r="DM226">
            <v>64.400000000000006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EM226">
            <v>3</v>
          </cell>
          <cell r="EN226">
            <v>29.099999999999991</v>
          </cell>
          <cell r="EO226">
            <v>18.200000000000003</v>
          </cell>
          <cell r="EP226">
            <v>29.699999999999996</v>
          </cell>
          <cell r="EQ226">
            <v>112.30000000000001</v>
          </cell>
          <cell r="ER226">
            <v>199.60000000000002</v>
          </cell>
          <cell r="ES226">
            <v>217.70000000000002</v>
          </cell>
        </row>
        <row r="227">
          <cell r="A227" t="str">
            <v>O&amp;M (Net of pass-throughs)</v>
          </cell>
          <cell r="B227" t="str">
            <v>Operations &amp; Maintenance Expense (incl clause)</v>
          </cell>
          <cell r="E227" t="str">
            <v>Operations &amp; Maintenance Expense</v>
          </cell>
          <cell r="F227" t="str">
            <v>6020900</v>
          </cell>
          <cell r="G227" t="str">
            <v>A_6020900</v>
          </cell>
          <cell r="H227" t="str">
            <v>Employee Incentive Expense</v>
          </cell>
          <cell r="J227">
            <v>170.9</v>
          </cell>
          <cell r="K227">
            <v>133.6</v>
          </cell>
          <cell r="L227">
            <v>170.9</v>
          </cell>
          <cell r="M227">
            <v>170.9</v>
          </cell>
          <cell r="N227">
            <v>170.9</v>
          </cell>
          <cell r="O227">
            <v>170.9</v>
          </cell>
          <cell r="P227">
            <v>170.9</v>
          </cell>
          <cell r="Q227">
            <v>170.9</v>
          </cell>
          <cell r="R227">
            <v>941.9</v>
          </cell>
          <cell r="S227">
            <v>170.9</v>
          </cell>
          <cell r="T227">
            <v>170.9</v>
          </cell>
          <cell r="U227">
            <v>424.6</v>
          </cell>
          <cell r="V227">
            <v>172.3</v>
          </cell>
          <cell r="W227">
            <v>-58.3</v>
          </cell>
          <cell r="X227">
            <v>925.3</v>
          </cell>
          <cell r="Y227">
            <v>357.3</v>
          </cell>
          <cell r="Z227">
            <v>46.3</v>
          </cell>
          <cell r="AA227">
            <v>305.3</v>
          </cell>
          <cell r="AB227">
            <v>63.3</v>
          </cell>
          <cell r="AC227">
            <v>193.3</v>
          </cell>
          <cell r="AD227">
            <v>-39</v>
          </cell>
          <cell r="AE227">
            <v>139.30000000000001</v>
          </cell>
          <cell r="AF227">
            <v>548.29999999999995</v>
          </cell>
          <cell r="AG227">
            <v>-784.6</v>
          </cell>
          <cell r="AH227">
            <v>169.2</v>
          </cell>
          <cell r="AI227">
            <v>169.3</v>
          </cell>
          <cell r="AJ227">
            <v>169.2</v>
          </cell>
          <cell r="AK227">
            <v>169.2</v>
          </cell>
          <cell r="AL227">
            <v>169.2</v>
          </cell>
          <cell r="AM227">
            <v>169.2</v>
          </cell>
          <cell r="AN227">
            <v>429.2</v>
          </cell>
          <cell r="AO227">
            <v>993.2</v>
          </cell>
          <cell r="AP227">
            <v>208.2</v>
          </cell>
          <cell r="AQ227">
            <v>149.19999999999999</v>
          </cell>
          <cell r="AR227">
            <v>-452.8</v>
          </cell>
          <cell r="AS227">
            <v>176.2</v>
          </cell>
          <cell r="AT227">
            <v>185.4</v>
          </cell>
          <cell r="AU227">
            <v>319.5</v>
          </cell>
          <cell r="AV227">
            <v>289.10000000000002</v>
          </cell>
          <cell r="AW227">
            <v>185.4</v>
          </cell>
          <cell r="AX227">
            <v>185.4</v>
          </cell>
          <cell r="AY227">
            <v>260.39999999999998</v>
          </cell>
          <cell r="AZ227">
            <v>197.9</v>
          </cell>
          <cell r="BA227">
            <v>197.9</v>
          </cell>
          <cell r="BB227">
            <v>197.9</v>
          </cell>
          <cell r="BC227">
            <v>-59.2</v>
          </cell>
          <cell r="BD227">
            <v>172.2</v>
          </cell>
          <cell r="BE227">
            <v>396.7</v>
          </cell>
          <cell r="BF227">
            <v>234.8</v>
          </cell>
          <cell r="BG227">
            <v>936.2</v>
          </cell>
          <cell r="BH227">
            <v>243.1</v>
          </cell>
          <cell r="BI227">
            <v>234.8</v>
          </cell>
          <cell r="BJ227">
            <v>234.8</v>
          </cell>
          <cell r="BK227">
            <v>240.5</v>
          </cell>
          <cell r="BL227">
            <v>357.4</v>
          </cell>
          <cell r="BM227">
            <v>652.29999999999995</v>
          </cell>
          <cell r="BN227">
            <v>357.4</v>
          </cell>
          <cell r="BO227">
            <v>308.5</v>
          </cell>
          <cell r="BP227">
            <v>308.5</v>
          </cell>
          <cell r="BQ227">
            <v>386.5</v>
          </cell>
          <cell r="BR227">
            <v>324</v>
          </cell>
          <cell r="BS227">
            <v>421.1</v>
          </cell>
          <cell r="BT227">
            <v>337.6</v>
          </cell>
          <cell r="BU227">
            <v>324</v>
          </cell>
          <cell r="BV227">
            <v>324</v>
          </cell>
          <cell r="BW227">
            <v>324</v>
          </cell>
          <cell r="BX227">
            <v>324</v>
          </cell>
          <cell r="BY227">
            <v>324</v>
          </cell>
          <cell r="BZ227">
            <v>452</v>
          </cell>
          <cell r="CA227">
            <v>338.2</v>
          </cell>
          <cell r="CB227">
            <v>1088.2</v>
          </cell>
          <cell r="CC227">
            <v>426.6</v>
          </cell>
          <cell r="CD227">
            <v>378.2</v>
          </cell>
          <cell r="CE227">
            <v>344.9</v>
          </cell>
          <cell r="CF227">
            <v>355.8</v>
          </cell>
          <cell r="CG227">
            <v>359.6</v>
          </cell>
          <cell r="CH227">
            <v>359.6</v>
          </cell>
          <cell r="CI227">
            <v>207.4</v>
          </cell>
          <cell r="CJ227">
            <v>334.3</v>
          </cell>
          <cell r="CK227">
            <v>334.3</v>
          </cell>
          <cell r="CL227">
            <v>627.9</v>
          </cell>
          <cell r="CM227">
            <v>366.9</v>
          </cell>
          <cell r="CN227">
            <v>366.9</v>
          </cell>
          <cell r="CO227">
            <v>567.70000000000005</v>
          </cell>
          <cell r="CP227">
            <v>374.8</v>
          </cell>
          <cell r="CQ227">
            <v>374.8</v>
          </cell>
          <cell r="CR227">
            <v>374.8</v>
          </cell>
          <cell r="CS227">
            <v>237.4</v>
          </cell>
          <cell r="CT227">
            <v>340.5</v>
          </cell>
          <cell r="CU227">
            <v>340.5</v>
          </cell>
          <cell r="CV227">
            <v>340.5</v>
          </cell>
          <cell r="CW227">
            <v>340.5</v>
          </cell>
          <cell r="CX227">
            <v>340.5</v>
          </cell>
          <cell r="CY227">
            <v>1078</v>
          </cell>
          <cell r="CZ227">
            <v>414.2</v>
          </cell>
          <cell r="DA227">
            <v>1656.8</v>
          </cell>
          <cell r="DB227">
            <v>496.4</v>
          </cell>
          <cell r="DC227">
            <v>496.4</v>
          </cell>
          <cell r="DD227">
            <v>11.9</v>
          </cell>
          <cell r="DE227">
            <v>496.4</v>
          </cell>
          <cell r="DF227">
            <v>496.4</v>
          </cell>
          <cell r="DG227">
            <v>496.4</v>
          </cell>
          <cell r="DH227">
            <v>496.4</v>
          </cell>
          <cell r="DI227">
            <v>538.9</v>
          </cell>
          <cell r="DJ227">
            <v>517.70000000000005</v>
          </cell>
          <cell r="DK227">
            <v>517.70000000000005</v>
          </cell>
          <cell r="DL227">
            <v>1169.7</v>
          </cell>
          <cell r="DM227">
            <v>986.4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EM227">
            <v>1868.7999999999997</v>
          </cell>
          <cell r="EN227">
            <v>2518.4999999999991</v>
          </cell>
          <cell r="EO227">
            <v>2528.6</v>
          </cell>
          <cell r="EP227">
            <v>4494.7999999999993</v>
          </cell>
          <cell r="EQ227">
            <v>5007.7</v>
          </cell>
          <cell r="ER227">
            <v>4603.5000000000009</v>
          </cell>
          <cell r="ES227">
            <v>6213.3</v>
          </cell>
        </row>
        <row r="228">
          <cell r="A228" t="str">
            <v>O&amp;M (Net of pass-throughs)</v>
          </cell>
          <cell r="B228" t="str">
            <v>Operations &amp; Maintenance Expense (incl clause)</v>
          </cell>
          <cell r="E228" t="str">
            <v>Operations &amp; Maintenance Expense</v>
          </cell>
          <cell r="F228" t="str">
            <v>6020920</v>
          </cell>
          <cell r="G228" t="str">
            <v>A_6020920</v>
          </cell>
          <cell r="H228" t="str">
            <v>Employee Service Awards</v>
          </cell>
          <cell r="J228">
            <v>0</v>
          </cell>
          <cell r="K228">
            <v>2.2000000000000002</v>
          </cell>
          <cell r="L228">
            <v>2.2000000000000002</v>
          </cell>
          <cell r="M228">
            <v>1.2</v>
          </cell>
          <cell r="N228">
            <v>1.8</v>
          </cell>
          <cell r="O228">
            <v>2.2000000000000002</v>
          </cell>
          <cell r="P228">
            <v>2</v>
          </cell>
          <cell r="Q228">
            <v>2.7</v>
          </cell>
          <cell r="R228">
            <v>1.9</v>
          </cell>
          <cell r="S228">
            <v>3.5</v>
          </cell>
          <cell r="T228">
            <v>4.5999999999999996</v>
          </cell>
          <cell r="U228">
            <v>2.4</v>
          </cell>
          <cell r="V228">
            <v>0</v>
          </cell>
          <cell r="W228">
            <v>2.5</v>
          </cell>
          <cell r="X228">
            <v>1.7</v>
          </cell>
          <cell r="Y228">
            <v>1.8</v>
          </cell>
          <cell r="Z228">
            <v>2.1</v>
          </cell>
          <cell r="AA228">
            <v>4.7</v>
          </cell>
          <cell r="AB228">
            <v>2.5</v>
          </cell>
          <cell r="AC228">
            <v>1</v>
          </cell>
          <cell r="AD228">
            <v>3.2</v>
          </cell>
          <cell r="AE228">
            <v>2</v>
          </cell>
          <cell r="AF228">
            <v>1.3</v>
          </cell>
          <cell r="AG228">
            <v>1.7</v>
          </cell>
          <cell r="AH228">
            <v>3.1</v>
          </cell>
          <cell r="AI228">
            <v>1.5</v>
          </cell>
          <cell r="AJ228">
            <v>2.6</v>
          </cell>
          <cell r="AK228">
            <v>2.5</v>
          </cell>
          <cell r="AL228">
            <v>0.8</v>
          </cell>
          <cell r="AM228">
            <v>2.9</v>
          </cell>
          <cell r="AN228">
            <v>0</v>
          </cell>
          <cell r="AO228">
            <v>1.4</v>
          </cell>
          <cell r="AP228">
            <v>1.7</v>
          </cell>
          <cell r="AQ228">
            <v>1.6</v>
          </cell>
          <cell r="AR228">
            <v>0.9</v>
          </cell>
          <cell r="AS228">
            <v>0.3</v>
          </cell>
          <cell r="AT228">
            <v>0.2</v>
          </cell>
          <cell r="AU228">
            <v>2.2999999999999998</v>
          </cell>
          <cell r="AV228">
            <v>4.0999999999999996</v>
          </cell>
          <cell r="AW228">
            <v>0.1</v>
          </cell>
          <cell r="AX228">
            <v>5.8</v>
          </cell>
          <cell r="AY228">
            <v>0.1</v>
          </cell>
          <cell r="AZ228">
            <v>2.1</v>
          </cell>
          <cell r="BA228">
            <v>11.1</v>
          </cell>
          <cell r="BB228">
            <v>0.1</v>
          </cell>
          <cell r="BC228">
            <v>0</v>
          </cell>
          <cell r="BD228">
            <v>2.8</v>
          </cell>
          <cell r="BE228">
            <v>1.3</v>
          </cell>
          <cell r="BF228">
            <v>0</v>
          </cell>
          <cell r="BG228">
            <v>0.1</v>
          </cell>
          <cell r="BH228">
            <v>1</v>
          </cell>
          <cell r="BI228">
            <v>8.8000000000000007</v>
          </cell>
          <cell r="BJ228">
            <v>1.3</v>
          </cell>
          <cell r="BK228">
            <v>0.5</v>
          </cell>
          <cell r="BL228">
            <v>1.4</v>
          </cell>
          <cell r="BM228">
            <v>0.2</v>
          </cell>
          <cell r="BN228">
            <v>2.8</v>
          </cell>
          <cell r="BO228">
            <v>0</v>
          </cell>
          <cell r="BP228">
            <v>0.1</v>
          </cell>
          <cell r="BQ228">
            <v>3.5</v>
          </cell>
          <cell r="BR228">
            <v>-0.1</v>
          </cell>
          <cell r="BS228">
            <v>5.8</v>
          </cell>
          <cell r="BT228">
            <v>0.1</v>
          </cell>
          <cell r="BU228">
            <v>2</v>
          </cell>
          <cell r="BV228">
            <v>2.2999999999999998</v>
          </cell>
          <cell r="BW228">
            <v>0.1</v>
          </cell>
          <cell r="BX228">
            <v>4.2</v>
          </cell>
          <cell r="BY228">
            <v>0</v>
          </cell>
          <cell r="BZ228">
            <v>1.4</v>
          </cell>
          <cell r="CA228">
            <v>4.7</v>
          </cell>
          <cell r="CB228">
            <v>1.2</v>
          </cell>
          <cell r="CC228">
            <v>5.3</v>
          </cell>
          <cell r="CD228">
            <v>0.2</v>
          </cell>
          <cell r="CE228">
            <v>3.8</v>
          </cell>
          <cell r="CF228">
            <v>1.4</v>
          </cell>
          <cell r="CG228">
            <v>0.2</v>
          </cell>
          <cell r="CH228">
            <v>0</v>
          </cell>
          <cell r="CI228">
            <v>3.7</v>
          </cell>
          <cell r="CJ228">
            <v>5.7</v>
          </cell>
          <cell r="CK228">
            <v>0.1</v>
          </cell>
          <cell r="CL228">
            <v>2.5</v>
          </cell>
          <cell r="CM228">
            <v>0</v>
          </cell>
          <cell r="CN228">
            <v>3.2</v>
          </cell>
          <cell r="CO228">
            <v>0</v>
          </cell>
          <cell r="CP228">
            <v>0.3</v>
          </cell>
          <cell r="CQ228">
            <v>1.3</v>
          </cell>
          <cell r="CR228">
            <v>5.2</v>
          </cell>
          <cell r="CS228">
            <v>0</v>
          </cell>
          <cell r="CT228">
            <v>0</v>
          </cell>
          <cell r="CU228">
            <v>2.2999999999999998</v>
          </cell>
          <cell r="CV228">
            <v>0.9</v>
          </cell>
          <cell r="CW228">
            <v>0.9</v>
          </cell>
          <cell r="CX228">
            <v>4.4000000000000004</v>
          </cell>
          <cell r="CY228">
            <v>2</v>
          </cell>
          <cell r="CZ228">
            <v>2</v>
          </cell>
          <cell r="DA228">
            <v>0.9</v>
          </cell>
          <cell r="DB228">
            <v>2</v>
          </cell>
          <cell r="DC228">
            <v>4</v>
          </cell>
          <cell r="DD228">
            <v>2.5</v>
          </cell>
          <cell r="DE228">
            <v>0</v>
          </cell>
          <cell r="DF228">
            <v>8</v>
          </cell>
          <cell r="DG228">
            <v>2</v>
          </cell>
          <cell r="DH228">
            <v>0</v>
          </cell>
          <cell r="DI228">
            <v>3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EM228">
            <v>24.5</v>
          </cell>
          <cell r="EN228">
            <v>19.3</v>
          </cell>
          <cell r="EO228">
            <v>30</v>
          </cell>
          <cell r="EP228">
            <v>19.700000000000003</v>
          </cell>
          <cell r="EQ228">
            <v>27</v>
          </cell>
          <cell r="ER228">
            <v>20.8</v>
          </cell>
          <cell r="ES228">
            <v>20.200000000000003</v>
          </cell>
        </row>
        <row r="229">
          <cell r="A229" t="str">
            <v>O&amp;M (Net of pass-throughs)</v>
          </cell>
          <cell r="B229" t="str">
            <v>Operations &amp; Maintenance Expense (incl clause)</v>
          </cell>
          <cell r="E229" t="str">
            <v>Operations &amp; Maintenance Expense</v>
          </cell>
          <cell r="F229" t="str">
            <v>6020920</v>
          </cell>
          <cell r="G229" t="str">
            <v>A_S6020920</v>
          </cell>
          <cell r="H229" t="str">
            <v>Settled Employee Service Awards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</row>
        <row r="230">
          <cell r="A230" t="str">
            <v>O&amp;M (Net of pass-throughs)</v>
          </cell>
          <cell r="B230" t="str">
            <v>Operations &amp; Maintenance Expense (incl clause)</v>
          </cell>
          <cell r="E230" t="str">
            <v>Operations &amp; Maintenance Expense</v>
          </cell>
          <cell r="F230" t="str">
            <v>6028999</v>
          </cell>
          <cell r="G230" t="str">
            <v>A_6028999</v>
          </cell>
          <cell r="H230" t="str">
            <v>Benefits Fringe Reclass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-2.9</v>
          </cell>
          <cell r="DH230">
            <v>-7.1</v>
          </cell>
          <cell r="DI230">
            <v>-2.1</v>
          </cell>
          <cell r="DJ230">
            <v>-3.5</v>
          </cell>
          <cell r="DK230">
            <v>-3.7</v>
          </cell>
          <cell r="DL230">
            <v>0</v>
          </cell>
          <cell r="DM230">
            <v>2.2000000000000002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</row>
        <row r="231">
          <cell r="A231" t="str">
            <v>O&amp;M (Net of pass-throughs)</v>
          </cell>
          <cell r="B231" t="str">
            <v>Operations &amp; Maintenance Expense (incl clause)</v>
          </cell>
          <cell r="E231" t="str">
            <v>Operations &amp; Maintenance Expense</v>
          </cell>
          <cell r="F231" t="str">
            <v>6028999</v>
          </cell>
          <cell r="G231" t="str">
            <v>A_S6028999</v>
          </cell>
          <cell r="H231" t="str">
            <v>Settled Benefits Fringe Reclass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-2.4</v>
          </cell>
          <cell r="DP231">
            <v>-2.1</v>
          </cell>
          <cell r="DQ231">
            <v>-0.4</v>
          </cell>
          <cell r="DR231">
            <v>-2.7</v>
          </cell>
          <cell r="DS231">
            <v>-6.6</v>
          </cell>
          <cell r="DT231">
            <v>-2.2999999999999998</v>
          </cell>
          <cell r="DU231">
            <v>-6.3</v>
          </cell>
          <cell r="DV231">
            <v>-4.5</v>
          </cell>
          <cell r="DW231">
            <v>-5.7</v>
          </cell>
          <cell r="DX231">
            <v>-10.199999999999999</v>
          </cell>
          <cell r="DY231">
            <v>-6.9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</row>
        <row r="232">
          <cell r="A232" t="str">
            <v>O&amp;M (Net of pass-throughs)</v>
          </cell>
          <cell r="B232" t="str">
            <v>Operations &amp; Maintenance Expense (incl clause)</v>
          </cell>
          <cell r="E232" t="str">
            <v>Operations &amp; Maintenance Expense</v>
          </cell>
          <cell r="F232" t="str">
            <v>6029000</v>
          </cell>
          <cell r="G232" t="str">
            <v>A_6029000</v>
          </cell>
          <cell r="H232" t="str">
            <v xml:space="preserve"> Benefits Expense sent to Balance Sheet 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-0.1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-0.5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-1.7</v>
          </cell>
          <cell r="BP232">
            <v>-1.8</v>
          </cell>
          <cell r="BQ232">
            <v>-6.5</v>
          </cell>
          <cell r="BR232">
            <v>-2.1</v>
          </cell>
          <cell r="BS232">
            <v>-2</v>
          </cell>
          <cell r="BT232">
            <v>-2.4</v>
          </cell>
          <cell r="BU232">
            <v>0</v>
          </cell>
          <cell r="BV232">
            <v>-4</v>
          </cell>
          <cell r="BW232">
            <v>-2.2999999999999998</v>
          </cell>
          <cell r="BX232">
            <v>-12.9</v>
          </cell>
          <cell r="BY232">
            <v>-2.6</v>
          </cell>
          <cell r="BZ232">
            <v>-3.3</v>
          </cell>
          <cell r="CA232">
            <v>-1.9</v>
          </cell>
          <cell r="CB232">
            <v>-3.5</v>
          </cell>
          <cell r="CC232">
            <v>-2.6</v>
          </cell>
          <cell r="CD232">
            <v>-2.4</v>
          </cell>
          <cell r="CE232">
            <v>-6.6</v>
          </cell>
          <cell r="CF232">
            <v>0.8</v>
          </cell>
          <cell r="CG232">
            <v>-3.2</v>
          </cell>
          <cell r="CH232">
            <v>-2.9</v>
          </cell>
          <cell r="CI232">
            <v>-3.2</v>
          </cell>
          <cell r="CJ232">
            <v>-3.7</v>
          </cell>
          <cell r="CK232">
            <v>-3.1</v>
          </cell>
          <cell r="CL232">
            <v>-14.4</v>
          </cell>
          <cell r="CM232">
            <v>-3.2</v>
          </cell>
          <cell r="CN232">
            <v>-3.3</v>
          </cell>
          <cell r="CO232">
            <v>-3.3</v>
          </cell>
          <cell r="CP232">
            <v>-2.7</v>
          </cell>
          <cell r="CQ232">
            <v>-2.9</v>
          </cell>
          <cell r="CR232">
            <v>-18</v>
          </cell>
          <cell r="CS232">
            <v>0.8</v>
          </cell>
          <cell r="CT232">
            <v>-21.4</v>
          </cell>
          <cell r="CU232">
            <v>-2.9</v>
          </cell>
          <cell r="CV232">
            <v>-2.7</v>
          </cell>
          <cell r="CW232">
            <v>-2.5</v>
          </cell>
          <cell r="CX232">
            <v>-5.2</v>
          </cell>
          <cell r="CY232">
            <v>-2.8</v>
          </cell>
          <cell r="CZ232">
            <v>-3.2</v>
          </cell>
          <cell r="DA232">
            <v>-4.7</v>
          </cell>
          <cell r="DB232">
            <v>-171.8</v>
          </cell>
          <cell r="DC232">
            <v>-197.8</v>
          </cell>
          <cell r="DD232">
            <v>-204.5</v>
          </cell>
          <cell r="DE232">
            <v>-181.8</v>
          </cell>
          <cell r="DF232">
            <v>-213.3</v>
          </cell>
          <cell r="DG232">
            <v>-218.9</v>
          </cell>
          <cell r="DH232">
            <v>-240.8</v>
          </cell>
          <cell r="DI232">
            <v>-248.8</v>
          </cell>
          <cell r="DJ232">
            <v>-230</v>
          </cell>
          <cell r="DK232">
            <v>-216.4</v>
          </cell>
          <cell r="DL232">
            <v>-361.3</v>
          </cell>
          <cell r="DM232">
            <v>-203.2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EM232">
            <v>-0.1</v>
          </cell>
          <cell r="EN232">
            <v>0</v>
          </cell>
          <cell r="EO232">
            <v>-0.5</v>
          </cell>
          <cell r="EP232">
            <v>-10</v>
          </cell>
          <cell r="EQ232">
            <v>-39.600000000000009</v>
          </cell>
          <cell r="ER232">
            <v>-48.5</v>
          </cell>
          <cell r="ES232">
            <v>-68.2</v>
          </cell>
        </row>
        <row r="233">
          <cell r="F233" t="str">
            <v>602</v>
          </cell>
          <cell r="G233">
            <v>602</v>
          </cell>
          <cell r="J233">
            <v>1114.3999999999999</v>
          </cell>
          <cell r="K233">
            <v>932.4</v>
          </cell>
          <cell r="L233">
            <v>1180.0000000000002</v>
          </cell>
          <cell r="M233">
            <v>939.5</v>
          </cell>
          <cell r="N233">
            <v>1279.4000000000001</v>
          </cell>
          <cell r="O233">
            <v>1127.2</v>
          </cell>
          <cell r="P233">
            <v>1042.2</v>
          </cell>
          <cell r="Q233">
            <v>1471.6000000000001</v>
          </cell>
          <cell r="R233">
            <v>2049.6999999999998</v>
          </cell>
          <cell r="S233">
            <v>1033.3</v>
          </cell>
          <cell r="T233">
            <v>1205.4000000000001</v>
          </cell>
          <cell r="U233">
            <v>2213.2999999999997</v>
          </cell>
          <cell r="V233">
            <v>954.40000000000009</v>
          </cell>
          <cell r="W233">
            <v>763.39999999999986</v>
          </cell>
          <cell r="X233">
            <v>2081.8000000000002</v>
          </cell>
          <cell r="Y233">
            <v>1118.6000000000001</v>
          </cell>
          <cell r="Z233">
            <v>1242.0999999999997</v>
          </cell>
          <cell r="AA233">
            <v>1286.3999999999999</v>
          </cell>
          <cell r="AB233">
            <v>856.19999999999993</v>
          </cell>
          <cell r="AC233">
            <v>1273.3</v>
          </cell>
          <cell r="AD233">
            <v>941.4</v>
          </cell>
          <cell r="AE233">
            <v>1079.6999999999998</v>
          </cell>
          <cell r="AF233">
            <v>1758.1999999999998</v>
          </cell>
          <cell r="AG233">
            <v>-159.49999999999994</v>
          </cell>
          <cell r="AH233">
            <v>1058</v>
          </cell>
          <cell r="AI233">
            <v>1300.2</v>
          </cell>
          <cell r="AJ233">
            <v>947.79999999999984</v>
          </cell>
          <cell r="AK233">
            <v>1038</v>
          </cell>
          <cell r="AL233">
            <v>1167.8999999999999</v>
          </cell>
          <cell r="AM233">
            <v>1019.6</v>
          </cell>
          <cell r="AN233">
            <v>1275.8999999999999</v>
          </cell>
          <cell r="AO233">
            <v>1884.7</v>
          </cell>
          <cell r="AP233">
            <v>1840.8000000000004</v>
          </cell>
          <cell r="AQ233">
            <v>1182.0000000000002</v>
          </cell>
          <cell r="AR233">
            <v>343.10000000000008</v>
          </cell>
          <cell r="AS233">
            <v>1492.3000000000002</v>
          </cell>
          <cell r="AT233">
            <v>1132.6000000000001</v>
          </cell>
          <cell r="AU233">
            <v>1186.9000000000001</v>
          </cell>
          <cell r="AV233">
            <v>1181.0999999999999</v>
          </cell>
          <cell r="AW233">
            <v>996.2</v>
          </cell>
          <cell r="AX233">
            <v>916.80000000000007</v>
          </cell>
          <cell r="AY233">
            <v>1258.5999999999999</v>
          </cell>
          <cell r="AZ233">
            <v>1025.7</v>
          </cell>
          <cell r="BA233">
            <v>1257.2</v>
          </cell>
          <cell r="BB233">
            <v>1527.6</v>
          </cell>
          <cell r="BC233">
            <v>824.5</v>
          </cell>
          <cell r="BD233">
            <v>1249.4000000000001</v>
          </cell>
          <cell r="BE233">
            <v>853.00000000000011</v>
          </cell>
          <cell r="BF233">
            <v>1236.6999999999998</v>
          </cell>
          <cell r="BG233">
            <v>1915.5</v>
          </cell>
          <cell r="BH233">
            <v>1410.2999999999997</v>
          </cell>
          <cell r="BI233">
            <v>1310.1999999999998</v>
          </cell>
          <cell r="BJ233">
            <v>1201.6999999999998</v>
          </cell>
          <cell r="BK233">
            <v>1637.6999999999998</v>
          </cell>
          <cell r="BL233">
            <v>1433.4</v>
          </cell>
          <cell r="BM233">
            <v>1876.8999999999999</v>
          </cell>
          <cell r="BN233">
            <v>1383.1999999999996</v>
          </cell>
          <cell r="BO233">
            <v>1703.8000000000002</v>
          </cell>
          <cell r="BP233">
            <v>1812.1000000000001</v>
          </cell>
          <cell r="BQ233">
            <v>1537.3</v>
          </cell>
          <cell r="BR233">
            <v>1793.3</v>
          </cell>
          <cell r="BS233">
            <v>1539.1000000000001</v>
          </cell>
          <cell r="BT233">
            <v>1883.1999999999998</v>
          </cell>
          <cell r="BU233">
            <v>1395.3000000000002</v>
          </cell>
          <cell r="BV233">
            <v>1455.9999999999998</v>
          </cell>
          <cell r="BW233">
            <v>1992.8</v>
          </cell>
          <cell r="BX233">
            <v>1080.8</v>
          </cell>
          <cell r="BY233">
            <v>1405.1000000000001</v>
          </cell>
          <cell r="BZ233">
            <v>2313.7999999999997</v>
          </cell>
          <cell r="CA233">
            <v>1263.3999999999999</v>
          </cell>
          <cell r="CB233">
            <v>2002.8999999999999</v>
          </cell>
          <cell r="CC233">
            <v>1979.8</v>
          </cell>
          <cell r="CD233">
            <v>1298.2</v>
          </cell>
          <cell r="CE233">
            <v>1956.8000000000004</v>
          </cell>
          <cell r="CF233">
            <v>1833.3000000000006</v>
          </cell>
          <cell r="CG233">
            <v>1349.7000000000003</v>
          </cell>
          <cell r="CH233">
            <v>1225</v>
          </cell>
          <cell r="CI233">
            <v>1689.8</v>
          </cell>
          <cell r="CJ233">
            <v>1344.5</v>
          </cell>
          <cell r="CK233">
            <v>1247.1000000000001</v>
          </cell>
          <cell r="CL233">
            <v>2134.5</v>
          </cell>
          <cell r="CM233">
            <v>1537.3</v>
          </cell>
          <cell r="CN233">
            <v>1894.9</v>
          </cell>
          <cell r="CO233">
            <v>3307</v>
          </cell>
          <cell r="CP233">
            <v>2116.4000000000005</v>
          </cell>
          <cell r="CQ233">
            <v>1481.3999999999999</v>
          </cell>
          <cell r="CR233">
            <v>1557.8999999999999</v>
          </cell>
          <cell r="CS233">
            <v>1616.6000000000004</v>
          </cell>
          <cell r="CT233">
            <v>1585.5</v>
          </cell>
          <cell r="CU233">
            <v>1882.9000000000003</v>
          </cell>
          <cell r="CV233">
            <v>2094.0000000000005</v>
          </cell>
          <cell r="CW233">
            <v>2123.6000000000004</v>
          </cell>
          <cell r="CX233">
            <v>2067.9</v>
          </cell>
          <cell r="CY233">
            <v>2920</v>
          </cell>
          <cell r="CZ233">
            <v>2031.8</v>
          </cell>
          <cell r="DA233">
            <v>1535.4999999999998</v>
          </cell>
          <cell r="DB233">
            <v>1684.6000000000001</v>
          </cell>
          <cell r="DC233">
            <v>1158.3</v>
          </cell>
          <cell r="DD233">
            <v>1107.0999999999999</v>
          </cell>
          <cell r="DE233">
            <v>1552.8000000000004</v>
          </cell>
          <cell r="DF233">
            <v>1245.3999999999999</v>
          </cell>
          <cell r="DG233">
            <v>3530.7</v>
          </cell>
          <cell r="DH233">
            <v>1251.1000000000001</v>
          </cell>
          <cell r="DI233">
            <v>869.60000000000014</v>
          </cell>
          <cell r="DJ233">
            <v>1740.1</v>
          </cell>
          <cell r="DK233">
            <v>1604.7999999999997</v>
          </cell>
          <cell r="DL233">
            <v>1901.8999999999999</v>
          </cell>
          <cell r="DM233">
            <v>3048.9000000000005</v>
          </cell>
          <cell r="DN233">
            <v>1583.4</v>
          </cell>
          <cell r="DO233">
            <v>1604.3000000000002</v>
          </cell>
          <cell r="DP233">
            <v>2138.6999999999998</v>
          </cell>
          <cell r="DQ233">
            <v>1602.1</v>
          </cell>
          <cell r="DR233">
            <v>1557.9</v>
          </cell>
          <cell r="DS233">
            <v>2164</v>
          </cell>
          <cell r="DT233">
            <v>1611.7</v>
          </cell>
          <cell r="DU233">
            <v>1586.3000000000004</v>
          </cell>
          <cell r="DV233">
            <v>2192.4</v>
          </cell>
          <cell r="DW233">
            <v>1599.8999999999999</v>
          </cell>
          <cell r="DX233">
            <v>1523.1</v>
          </cell>
          <cell r="DY233">
            <v>2132.1</v>
          </cell>
          <cell r="EM233">
            <v>13196</v>
          </cell>
          <cell r="EN233">
            <v>14550.300000000003</v>
          </cell>
          <cell r="EO233">
            <v>13409.6</v>
          </cell>
          <cell r="EP233">
            <v>18458.799999999996</v>
          </cell>
          <cell r="EQ233">
            <v>20105.5</v>
          </cell>
          <cell r="ER233">
            <v>20818.100000000002</v>
          </cell>
          <cell r="ES233">
            <v>23013.5</v>
          </cell>
        </row>
        <row r="234">
          <cell r="A234" t="str">
            <v>O&amp;M (Net of pass-throughs)</v>
          </cell>
          <cell r="B234" t="str">
            <v>Operations &amp; Maintenance Expense (incl clause)</v>
          </cell>
          <cell r="E234" t="str">
            <v>Operations &amp; Maintenance Expense</v>
          </cell>
          <cell r="F234" t="str">
            <v>6030010</v>
          </cell>
          <cell r="G234" t="str">
            <v>A_6030010</v>
          </cell>
          <cell r="H234" t="str">
            <v>Empl Exp - Professional Dues, Subscriptions, Fees</v>
          </cell>
          <cell r="J234">
            <v>1.9</v>
          </cell>
          <cell r="K234">
            <v>1</v>
          </cell>
          <cell r="L234">
            <v>24.1</v>
          </cell>
          <cell r="M234">
            <v>3.4</v>
          </cell>
          <cell r="N234">
            <v>2.4</v>
          </cell>
          <cell r="O234">
            <v>1.1000000000000001</v>
          </cell>
          <cell r="P234">
            <v>3.3</v>
          </cell>
          <cell r="Q234">
            <v>1.9</v>
          </cell>
          <cell r="R234">
            <v>3.8</v>
          </cell>
          <cell r="S234">
            <v>2</v>
          </cell>
          <cell r="T234">
            <v>2.8</v>
          </cell>
          <cell r="U234">
            <v>1</v>
          </cell>
          <cell r="V234">
            <v>0.7</v>
          </cell>
          <cell r="W234">
            <v>0.3</v>
          </cell>
          <cell r="X234">
            <v>30.1</v>
          </cell>
          <cell r="Y234">
            <v>0.3</v>
          </cell>
          <cell r="Z234">
            <v>3.4</v>
          </cell>
          <cell r="AA234">
            <v>3.6</v>
          </cell>
          <cell r="AB234">
            <v>3.1</v>
          </cell>
          <cell r="AC234">
            <v>4.4000000000000004</v>
          </cell>
          <cell r="AD234">
            <v>3</v>
          </cell>
          <cell r="AE234">
            <v>1.2</v>
          </cell>
          <cell r="AF234">
            <v>1.9</v>
          </cell>
          <cell r="AG234">
            <v>5</v>
          </cell>
          <cell r="AH234">
            <v>4.8</v>
          </cell>
          <cell r="AI234">
            <v>1.9</v>
          </cell>
          <cell r="AJ234">
            <v>28</v>
          </cell>
          <cell r="AK234">
            <v>13.3</v>
          </cell>
          <cell r="AL234">
            <v>6.5</v>
          </cell>
          <cell r="AM234">
            <v>0.4</v>
          </cell>
          <cell r="AN234">
            <v>2.4</v>
          </cell>
          <cell r="AO234">
            <v>3.2</v>
          </cell>
          <cell r="AP234">
            <v>1.4</v>
          </cell>
          <cell r="AQ234">
            <v>2.6</v>
          </cell>
          <cell r="AR234">
            <v>2.5</v>
          </cell>
          <cell r="AS234">
            <v>7.3</v>
          </cell>
          <cell r="AT234">
            <v>1.4</v>
          </cell>
          <cell r="AU234">
            <v>0.4</v>
          </cell>
          <cell r="AV234">
            <v>13.9</v>
          </cell>
          <cell r="AW234">
            <v>1.9</v>
          </cell>
          <cell r="AX234">
            <v>1.9</v>
          </cell>
          <cell r="AY234">
            <v>2.5</v>
          </cell>
          <cell r="AZ234">
            <v>2.2999999999999998</v>
          </cell>
          <cell r="BA234">
            <v>2.5</v>
          </cell>
          <cell r="BB234">
            <v>0.4</v>
          </cell>
          <cell r="BC234">
            <v>0.4</v>
          </cell>
          <cell r="BD234">
            <v>1</v>
          </cell>
          <cell r="BE234">
            <v>17.399999999999999</v>
          </cell>
          <cell r="BF234">
            <v>0.6</v>
          </cell>
          <cell r="BG234">
            <v>0.8</v>
          </cell>
          <cell r="BH234">
            <v>7.6</v>
          </cell>
          <cell r="BI234">
            <v>1.9</v>
          </cell>
          <cell r="BJ234">
            <v>1.5</v>
          </cell>
          <cell r="BK234">
            <v>3.5</v>
          </cell>
          <cell r="BL234">
            <v>-5.9</v>
          </cell>
          <cell r="BM234">
            <v>5.5</v>
          </cell>
          <cell r="BN234">
            <v>17.7</v>
          </cell>
          <cell r="BO234">
            <v>3.7</v>
          </cell>
          <cell r="BP234">
            <v>4.4000000000000004</v>
          </cell>
          <cell r="BQ234">
            <v>10.7</v>
          </cell>
          <cell r="BR234">
            <v>0</v>
          </cell>
          <cell r="BS234">
            <v>11.7</v>
          </cell>
          <cell r="BT234">
            <v>2.7</v>
          </cell>
          <cell r="BU234">
            <v>1.8</v>
          </cell>
          <cell r="BV234">
            <v>4.9000000000000004</v>
          </cell>
          <cell r="BW234">
            <v>5.5</v>
          </cell>
          <cell r="BX234">
            <v>12.9</v>
          </cell>
          <cell r="BY234">
            <v>3.4</v>
          </cell>
          <cell r="BZ234">
            <v>6.7</v>
          </cell>
          <cell r="CA234">
            <v>3.4</v>
          </cell>
          <cell r="CB234">
            <v>9.1</v>
          </cell>
          <cell r="CC234">
            <v>11</v>
          </cell>
          <cell r="CD234">
            <v>2.1</v>
          </cell>
          <cell r="CE234">
            <v>11.5</v>
          </cell>
          <cell r="CF234">
            <v>3.5</v>
          </cell>
          <cell r="CG234">
            <v>10.3</v>
          </cell>
          <cell r="CH234">
            <v>2.8</v>
          </cell>
          <cell r="CI234">
            <v>4.4000000000000004</v>
          </cell>
          <cell r="CJ234">
            <v>16.7</v>
          </cell>
          <cell r="CK234">
            <v>1.6</v>
          </cell>
          <cell r="CL234">
            <v>4.5</v>
          </cell>
          <cell r="CM234">
            <v>16.5</v>
          </cell>
          <cell r="CN234">
            <v>2.4</v>
          </cell>
          <cell r="CO234">
            <v>14.3</v>
          </cell>
          <cell r="CP234">
            <v>3.2</v>
          </cell>
          <cell r="CQ234">
            <v>1.7</v>
          </cell>
          <cell r="CR234">
            <v>10.199999999999999</v>
          </cell>
          <cell r="CS234">
            <v>2.8</v>
          </cell>
          <cell r="CT234">
            <v>1.9</v>
          </cell>
          <cell r="CU234">
            <v>4.0999999999999996</v>
          </cell>
          <cell r="CV234">
            <v>1.8</v>
          </cell>
          <cell r="CW234">
            <v>18.600000000000001</v>
          </cell>
          <cell r="CX234">
            <v>5.2</v>
          </cell>
          <cell r="CY234">
            <v>17.7</v>
          </cell>
          <cell r="CZ234">
            <v>0.8</v>
          </cell>
          <cell r="DA234">
            <v>11.8</v>
          </cell>
          <cell r="DB234">
            <v>1.4</v>
          </cell>
          <cell r="DC234">
            <v>8.6</v>
          </cell>
          <cell r="DD234">
            <v>22.2</v>
          </cell>
          <cell r="DE234">
            <v>10.1</v>
          </cell>
          <cell r="DF234">
            <v>6.6</v>
          </cell>
          <cell r="DG234">
            <v>4.2</v>
          </cell>
          <cell r="DH234">
            <v>7.6</v>
          </cell>
          <cell r="DI234">
            <v>32.9</v>
          </cell>
          <cell r="DJ234">
            <v>6.2</v>
          </cell>
          <cell r="DK234">
            <v>4.4000000000000004</v>
          </cell>
          <cell r="DL234">
            <v>32.1</v>
          </cell>
          <cell r="DM234">
            <v>8.3000000000000007</v>
          </cell>
          <cell r="DN234">
            <v>0.3</v>
          </cell>
          <cell r="DO234">
            <v>0.3</v>
          </cell>
          <cell r="DP234">
            <v>6.8</v>
          </cell>
          <cell r="DQ234">
            <v>0.3</v>
          </cell>
          <cell r="DR234">
            <v>0.3</v>
          </cell>
          <cell r="DS234">
            <v>6.8</v>
          </cell>
          <cell r="DT234">
            <v>0.3</v>
          </cell>
          <cell r="DU234">
            <v>0.3</v>
          </cell>
          <cell r="DV234">
            <v>6.8</v>
          </cell>
          <cell r="DW234">
            <v>0.3</v>
          </cell>
          <cell r="DX234">
            <v>0.3</v>
          </cell>
          <cell r="DY234">
            <v>6.8</v>
          </cell>
          <cell r="EM234">
            <v>57.000000000000007</v>
          </cell>
          <cell r="EN234">
            <v>74.3</v>
          </cell>
          <cell r="EO234">
            <v>45.999999999999993</v>
          </cell>
          <cell r="EP234">
            <v>52</v>
          </cell>
          <cell r="EQ234">
            <v>73.099999999999994</v>
          </cell>
          <cell r="ER234">
            <v>90.600000000000009</v>
          </cell>
          <cell r="ES234">
            <v>79.8</v>
          </cell>
        </row>
        <row r="235">
          <cell r="A235" t="str">
            <v>O&amp;M (Net of pass-throughs) SUB</v>
          </cell>
          <cell r="B235" t="str">
            <v>Operations &amp; Maintenance Expense (incl clause)</v>
          </cell>
          <cell r="E235" t="str">
            <v>Operations &amp; Maintenance Expense</v>
          </cell>
          <cell r="F235" t="str">
            <v>6030020</v>
          </cell>
          <cell r="G235" t="str">
            <v>A_6030020</v>
          </cell>
          <cell r="H235" t="str">
            <v>Empl Exp - Social/Civic Dues</v>
          </cell>
          <cell r="J235">
            <v>1.2</v>
          </cell>
          <cell r="K235">
            <v>2.5</v>
          </cell>
          <cell r="L235">
            <v>8.8000000000000007</v>
          </cell>
          <cell r="M235">
            <v>0.5</v>
          </cell>
          <cell r="N235">
            <v>0</v>
          </cell>
          <cell r="O235">
            <v>0</v>
          </cell>
          <cell r="P235">
            <v>0.8</v>
          </cell>
          <cell r="Q235">
            <v>0.6</v>
          </cell>
          <cell r="R235">
            <v>0.6</v>
          </cell>
          <cell r="S235">
            <v>0.3</v>
          </cell>
          <cell r="T235">
            <v>0.2</v>
          </cell>
          <cell r="U235">
            <v>0.1</v>
          </cell>
          <cell r="V235">
            <v>0.6</v>
          </cell>
          <cell r="W235">
            <v>5.9</v>
          </cell>
          <cell r="X235">
            <v>0</v>
          </cell>
          <cell r="Y235">
            <v>1.5</v>
          </cell>
          <cell r="Z235">
            <v>1.5</v>
          </cell>
          <cell r="AA235">
            <v>1.4</v>
          </cell>
          <cell r="AB235">
            <v>0.2</v>
          </cell>
          <cell r="AC235">
            <v>0</v>
          </cell>
          <cell r="AD235">
            <v>0.1</v>
          </cell>
          <cell r="AE235">
            <v>0.2</v>
          </cell>
          <cell r="AF235">
            <v>1.6</v>
          </cell>
          <cell r="AG235">
            <v>3.9</v>
          </cell>
          <cell r="AH235">
            <v>1.3</v>
          </cell>
          <cell r="AI235">
            <v>3.7</v>
          </cell>
          <cell r="AJ235">
            <v>6.6</v>
          </cell>
          <cell r="AK235">
            <v>0</v>
          </cell>
          <cell r="AL235">
            <v>1.5</v>
          </cell>
          <cell r="AM235">
            <v>1.1000000000000001</v>
          </cell>
          <cell r="AN235">
            <v>0.8</v>
          </cell>
          <cell r="AO235">
            <v>0.4</v>
          </cell>
          <cell r="AP235">
            <v>1.3</v>
          </cell>
          <cell r="AQ235">
            <v>-0.8</v>
          </cell>
          <cell r="AR235">
            <v>1.4</v>
          </cell>
          <cell r="AS235">
            <v>2.5</v>
          </cell>
          <cell r="AT235">
            <v>0</v>
          </cell>
          <cell r="AU235">
            <v>0.2</v>
          </cell>
          <cell r="AV235">
            <v>0.6</v>
          </cell>
          <cell r="AW235">
            <v>0.3</v>
          </cell>
          <cell r="AX235">
            <v>0</v>
          </cell>
          <cell r="AY235">
            <v>0.7</v>
          </cell>
          <cell r="AZ235">
            <v>1.1000000000000001</v>
          </cell>
          <cell r="BA235">
            <v>0</v>
          </cell>
          <cell r="BB235">
            <v>0.1</v>
          </cell>
          <cell r="BC235">
            <v>0</v>
          </cell>
          <cell r="BD235">
            <v>0</v>
          </cell>
          <cell r="BE235">
            <v>0.1</v>
          </cell>
          <cell r="BF235">
            <v>1.2</v>
          </cell>
          <cell r="BG235">
            <v>1.5</v>
          </cell>
          <cell r="BH235">
            <v>0</v>
          </cell>
          <cell r="BI235">
            <v>0</v>
          </cell>
          <cell r="BJ235">
            <v>0.3</v>
          </cell>
          <cell r="BK235">
            <v>0</v>
          </cell>
          <cell r="BL235">
            <v>1.4</v>
          </cell>
          <cell r="BM235">
            <v>0.1</v>
          </cell>
          <cell r="BN235">
            <v>0</v>
          </cell>
          <cell r="BO235">
            <v>4.9000000000000004</v>
          </cell>
          <cell r="BP235">
            <v>1</v>
          </cell>
          <cell r="BQ235">
            <v>2.8</v>
          </cell>
          <cell r="BR235">
            <v>4.3</v>
          </cell>
          <cell r="BS235">
            <v>0.2</v>
          </cell>
          <cell r="BT235">
            <v>0.7</v>
          </cell>
          <cell r="BU235">
            <v>-0.4</v>
          </cell>
          <cell r="BV235">
            <v>0.6</v>
          </cell>
          <cell r="BW235">
            <v>0.7</v>
          </cell>
          <cell r="BX235">
            <v>2.2000000000000002</v>
          </cell>
          <cell r="BY235">
            <v>-0.5</v>
          </cell>
          <cell r="BZ235">
            <v>4.4000000000000004</v>
          </cell>
          <cell r="CA235">
            <v>0</v>
          </cell>
          <cell r="CB235">
            <v>1</v>
          </cell>
          <cell r="CC235">
            <v>0.4</v>
          </cell>
          <cell r="CD235">
            <v>0.5</v>
          </cell>
          <cell r="CE235">
            <v>0</v>
          </cell>
          <cell r="CF235">
            <v>0.4</v>
          </cell>
          <cell r="CG235">
            <v>0</v>
          </cell>
          <cell r="CH235">
            <v>0.6</v>
          </cell>
          <cell r="CI235">
            <v>0</v>
          </cell>
          <cell r="CJ235">
            <v>0.9</v>
          </cell>
          <cell r="CK235">
            <v>0.1</v>
          </cell>
          <cell r="CL235">
            <v>0</v>
          </cell>
          <cell r="CM235">
            <v>0.3</v>
          </cell>
          <cell r="CN235">
            <v>0</v>
          </cell>
          <cell r="CO235">
            <v>0</v>
          </cell>
          <cell r="CP235">
            <v>3.3</v>
          </cell>
          <cell r="CQ235">
            <v>1.9</v>
          </cell>
          <cell r="CR235">
            <v>0</v>
          </cell>
          <cell r="CS235">
            <v>0</v>
          </cell>
          <cell r="CT235">
            <v>1.6</v>
          </cell>
          <cell r="CU235">
            <v>0.6</v>
          </cell>
          <cell r="CV235">
            <v>7.4</v>
          </cell>
          <cell r="CW235">
            <v>0</v>
          </cell>
          <cell r="CX235">
            <v>0.3</v>
          </cell>
          <cell r="CY235">
            <v>0.1</v>
          </cell>
          <cell r="CZ235">
            <v>3.3</v>
          </cell>
          <cell r="DA235">
            <v>0.1</v>
          </cell>
          <cell r="DB235">
            <v>0.1</v>
          </cell>
          <cell r="DC235">
            <v>1.5</v>
          </cell>
          <cell r="DD235">
            <v>0.6</v>
          </cell>
          <cell r="DE235">
            <v>23.1</v>
          </cell>
          <cell r="DF235">
            <v>0</v>
          </cell>
          <cell r="DG235">
            <v>0</v>
          </cell>
          <cell r="DH235">
            <v>0</v>
          </cell>
          <cell r="DI235">
            <v>4.5</v>
          </cell>
          <cell r="DJ235">
            <v>0.1</v>
          </cell>
          <cell r="DK235">
            <v>1.5</v>
          </cell>
          <cell r="DL235">
            <v>3.9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EM235">
            <v>16.899999999999999</v>
          </cell>
          <cell r="EN235">
            <v>19.799999999999997</v>
          </cell>
          <cell r="EO235">
            <v>3.1000000000000005</v>
          </cell>
          <cell r="EP235">
            <v>13.2</v>
          </cell>
          <cell r="EQ235">
            <v>13.600000000000001</v>
          </cell>
          <cell r="ER235">
            <v>2.8</v>
          </cell>
          <cell r="ES235">
            <v>18.600000000000001</v>
          </cell>
        </row>
        <row r="236">
          <cell r="A236" t="str">
            <v>O&amp;M (Net of pass-throughs) SUB</v>
          </cell>
          <cell r="B236" t="str">
            <v>Operations &amp; Maintenance Expense (incl clause)</v>
          </cell>
          <cell r="E236" t="str">
            <v>Operations &amp; Maintenance Expense</v>
          </cell>
          <cell r="F236" t="str">
            <v>6030020</v>
          </cell>
          <cell r="G236" t="str">
            <v>A_S6030020</v>
          </cell>
          <cell r="H236" t="str">
            <v>Settled Empl Exp - Social/Civic Dues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1.4</v>
          </cell>
          <cell r="DO236">
            <v>1.4</v>
          </cell>
          <cell r="DP236">
            <v>1.4</v>
          </cell>
          <cell r="DQ236">
            <v>23.4</v>
          </cell>
          <cell r="DR236">
            <v>1.4</v>
          </cell>
          <cell r="DS236">
            <v>1.4</v>
          </cell>
          <cell r="DT236">
            <v>1.4</v>
          </cell>
          <cell r="DU236">
            <v>1.4</v>
          </cell>
          <cell r="DV236">
            <v>1.4</v>
          </cell>
          <cell r="DW236">
            <v>1.4</v>
          </cell>
          <cell r="DX236">
            <v>1.4</v>
          </cell>
          <cell r="DY236">
            <v>1.4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</row>
        <row r="237">
          <cell r="A237" t="str">
            <v>O&amp;M (Net of pass-throughs)</v>
          </cell>
          <cell r="B237" t="str">
            <v>Operations &amp; Maintenance Expense (incl clause)</v>
          </cell>
          <cell r="E237" t="str">
            <v>Operations &amp; Maintenance Expense</v>
          </cell>
          <cell r="F237" t="str">
            <v>6030030</v>
          </cell>
          <cell r="G237" t="str">
            <v>A_6030030</v>
          </cell>
          <cell r="H237" t="str">
            <v>Empl Exp - Meals &amp; Entertainment 100% Deductible</v>
          </cell>
          <cell r="J237">
            <v>2</v>
          </cell>
          <cell r="K237">
            <v>8.1</v>
          </cell>
          <cell r="L237">
            <v>12.3</v>
          </cell>
          <cell r="M237">
            <v>11.9</v>
          </cell>
          <cell r="N237">
            <v>11.2</v>
          </cell>
          <cell r="O237">
            <v>9.1999999999999993</v>
          </cell>
          <cell r="P237">
            <v>8.1</v>
          </cell>
          <cell r="Q237">
            <v>9.3000000000000007</v>
          </cell>
          <cell r="R237">
            <v>15.5</v>
          </cell>
          <cell r="S237">
            <v>13.7</v>
          </cell>
          <cell r="T237">
            <v>19.2</v>
          </cell>
          <cell r="U237">
            <v>20.7</v>
          </cell>
          <cell r="V237">
            <v>1.7</v>
          </cell>
          <cell r="W237">
            <v>9.4</v>
          </cell>
          <cell r="X237">
            <v>14.4</v>
          </cell>
          <cell r="Y237">
            <v>8.1999999999999993</v>
          </cell>
          <cell r="Z237">
            <v>15</v>
          </cell>
          <cell r="AA237">
            <v>14</v>
          </cell>
          <cell r="AB237">
            <v>11.2</v>
          </cell>
          <cell r="AC237">
            <v>9.5</v>
          </cell>
          <cell r="AD237">
            <v>16.100000000000001</v>
          </cell>
          <cell r="AE237">
            <v>10.199999999999999</v>
          </cell>
          <cell r="AF237">
            <v>8.9</v>
          </cell>
          <cell r="AG237">
            <v>14.1</v>
          </cell>
          <cell r="AH237">
            <v>1.2</v>
          </cell>
          <cell r="AI237">
            <v>4.0999999999999996</v>
          </cell>
          <cell r="AJ237">
            <v>6.9</v>
          </cell>
          <cell r="AK237">
            <v>6</v>
          </cell>
          <cell r="AL237">
            <v>5.3</v>
          </cell>
          <cell r="AM237">
            <v>9.3000000000000007</v>
          </cell>
          <cell r="AN237">
            <v>4.9000000000000004</v>
          </cell>
          <cell r="AO237">
            <v>8.3000000000000007</v>
          </cell>
          <cell r="AP237">
            <v>8.5</v>
          </cell>
          <cell r="AQ237">
            <v>5.4</v>
          </cell>
          <cell r="AR237">
            <v>7.3</v>
          </cell>
          <cell r="AS237">
            <v>18.8</v>
          </cell>
          <cell r="AT237">
            <v>1.2</v>
          </cell>
          <cell r="AU237">
            <v>6.9</v>
          </cell>
          <cell r="AV237">
            <v>7.9</v>
          </cell>
          <cell r="AW237">
            <v>4.8</v>
          </cell>
          <cell r="AX237">
            <v>5.5</v>
          </cell>
          <cell r="AY237">
            <v>6.3</v>
          </cell>
          <cell r="AZ237">
            <v>6.1</v>
          </cell>
          <cell r="BA237">
            <v>4.5999999999999996</v>
          </cell>
          <cell r="BB237">
            <v>63.2</v>
          </cell>
          <cell r="BC237">
            <v>-49.1</v>
          </cell>
          <cell r="BD237">
            <v>8.5</v>
          </cell>
          <cell r="BE237">
            <v>17.2</v>
          </cell>
          <cell r="BF237">
            <v>2</v>
          </cell>
          <cell r="BG237">
            <v>11.9</v>
          </cell>
          <cell r="BH237">
            <v>16.600000000000001</v>
          </cell>
          <cell r="BI237">
            <v>11.5</v>
          </cell>
          <cell r="BJ237">
            <v>13.5</v>
          </cell>
          <cell r="BK237">
            <v>11.4</v>
          </cell>
          <cell r="BL237">
            <v>10.4</v>
          </cell>
          <cell r="BM237">
            <v>19.100000000000001</v>
          </cell>
          <cell r="BN237">
            <v>14.1</v>
          </cell>
          <cell r="BO237">
            <v>11.1</v>
          </cell>
          <cell r="BP237">
            <v>12.5</v>
          </cell>
          <cell r="BQ237">
            <v>23.5</v>
          </cell>
          <cell r="BR237">
            <v>-0.3</v>
          </cell>
          <cell r="BS237">
            <v>12.4</v>
          </cell>
          <cell r="BT237">
            <v>11.1</v>
          </cell>
          <cell r="BU237">
            <v>10.7</v>
          </cell>
          <cell r="BV237">
            <v>5.4</v>
          </cell>
          <cell r="BW237">
            <v>13.7</v>
          </cell>
          <cell r="BX237">
            <v>10.5</v>
          </cell>
          <cell r="BY237">
            <v>0.7</v>
          </cell>
          <cell r="BZ237">
            <v>0.5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0.1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EM237">
            <v>132.70000000000002</v>
          </cell>
          <cell r="EN237">
            <v>86</v>
          </cell>
          <cell r="EO237">
            <v>83.100000000000009</v>
          </cell>
          <cell r="EP237">
            <v>157.6</v>
          </cell>
          <cell r="EQ237">
            <v>64.7</v>
          </cell>
          <cell r="ER237">
            <v>0.1</v>
          </cell>
          <cell r="ES237">
            <v>0</v>
          </cell>
        </row>
        <row r="238">
          <cell r="A238" t="str">
            <v>O&amp;M (Net of pass-throughs)</v>
          </cell>
          <cell r="B238" t="str">
            <v>Operations &amp; Maintenance Expense (incl clause)</v>
          </cell>
          <cell r="E238" t="str">
            <v>Operations &amp; Maintenance Expense</v>
          </cell>
          <cell r="F238" t="str">
            <v>6030040</v>
          </cell>
          <cell r="G238" t="str">
            <v>A_6030040</v>
          </cell>
          <cell r="H238" t="str">
            <v>Empl Exp - Meals &amp; Entertainment 50% Deductible</v>
          </cell>
          <cell r="J238">
            <v>3.9</v>
          </cell>
          <cell r="K238">
            <v>16.100000000000001</v>
          </cell>
          <cell r="L238">
            <v>16.100000000000001</v>
          </cell>
          <cell r="M238">
            <v>13.3</v>
          </cell>
          <cell r="N238">
            <v>19.899999999999999</v>
          </cell>
          <cell r="O238">
            <v>15.9</v>
          </cell>
          <cell r="P238">
            <v>15.4</v>
          </cell>
          <cell r="Q238">
            <v>15.3</v>
          </cell>
          <cell r="R238">
            <v>16.399999999999999</v>
          </cell>
          <cell r="S238">
            <v>18.7</v>
          </cell>
          <cell r="T238">
            <v>13.3</v>
          </cell>
          <cell r="U238">
            <v>31</v>
          </cell>
          <cell r="V238">
            <v>1.2</v>
          </cell>
          <cell r="W238">
            <v>10.1</v>
          </cell>
          <cell r="X238">
            <v>18.3</v>
          </cell>
          <cell r="Y238">
            <v>17.100000000000001</v>
          </cell>
          <cell r="Z238">
            <v>13.1</v>
          </cell>
          <cell r="AA238">
            <v>14.3</v>
          </cell>
          <cell r="AB238">
            <v>19.899999999999999</v>
          </cell>
          <cell r="AC238">
            <v>12</v>
          </cell>
          <cell r="AD238">
            <v>16.2</v>
          </cell>
          <cell r="AE238">
            <v>21.9</v>
          </cell>
          <cell r="AF238">
            <v>27.3</v>
          </cell>
          <cell r="AG238">
            <v>41.3</v>
          </cell>
          <cell r="AH238">
            <v>2.6</v>
          </cell>
          <cell r="AI238">
            <v>17.2</v>
          </cell>
          <cell r="AJ238">
            <v>21.9</v>
          </cell>
          <cell r="AK238">
            <v>20.7</v>
          </cell>
          <cell r="AL238">
            <v>21.1</v>
          </cell>
          <cell r="AM238">
            <v>29.4</v>
          </cell>
          <cell r="AN238">
            <v>19.399999999999999</v>
          </cell>
          <cell r="AO238">
            <v>22.3</v>
          </cell>
          <cell r="AP238">
            <v>20.3</v>
          </cell>
          <cell r="AQ238">
            <v>21.6</v>
          </cell>
          <cell r="AR238">
            <v>26.2</v>
          </cell>
          <cell r="AS238">
            <v>52.1</v>
          </cell>
          <cell r="AT238">
            <v>7.7</v>
          </cell>
          <cell r="AU238">
            <v>34.4</v>
          </cell>
          <cell r="AV238">
            <v>20.8</v>
          </cell>
          <cell r="AW238">
            <v>20.399999999999999</v>
          </cell>
          <cell r="AX238">
            <v>17.600000000000001</v>
          </cell>
          <cell r="AY238">
            <v>15.4</v>
          </cell>
          <cell r="AZ238">
            <v>19.3</v>
          </cell>
          <cell r="BA238">
            <v>17.899999999999999</v>
          </cell>
          <cell r="BB238">
            <v>19.600000000000001</v>
          </cell>
          <cell r="BC238">
            <v>18.5</v>
          </cell>
          <cell r="BD238">
            <v>76.3</v>
          </cell>
          <cell r="BE238">
            <v>50.4</v>
          </cell>
          <cell r="BF238">
            <v>3.8</v>
          </cell>
          <cell r="BG238">
            <v>25.6</v>
          </cell>
          <cell r="BH238">
            <v>26.4</v>
          </cell>
          <cell r="BI238">
            <v>16.899999999999999</v>
          </cell>
          <cell r="BJ238">
            <v>29.2</v>
          </cell>
          <cell r="BK238">
            <v>34.299999999999997</v>
          </cell>
          <cell r="BL238">
            <v>24</v>
          </cell>
          <cell r="BM238">
            <v>23.1</v>
          </cell>
          <cell r="BN238">
            <v>29</v>
          </cell>
          <cell r="BO238">
            <v>22.4</v>
          </cell>
          <cell r="BP238">
            <v>327.39999999999998</v>
          </cell>
          <cell r="BQ238">
            <v>65.8</v>
          </cell>
          <cell r="BR238">
            <v>3.9</v>
          </cell>
          <cell r="BS238">
            <v>36.6</v>
          </cell>
          <cell r="BT238">
            <v>35.4</v>
          </cell>
          <cell r="BU238">
            <v>19.7</v>
          </cell>
          <cell r="BV238">
            <v>24.3</v>
          </cell>
          <cell r="BW238">
            <v>24.3</v>
          </cell>
          <cell r="BX238">
            <v>44.8</v>
          </cell>
          <cell r="BY238">
            <v>59.7</v>
          </cell>
          <cell r="BZ238">
            <v>55.2</v>
          </cell>
          <cell r="CA238">
            <v>43.2</v>
          </cell>
          <cell r="CB238">
            <v>42.8</v>
          </cell>
          <cell r="CC238">
            <v>92.6</v>
          </cell>
          <cell r="CD238">
            <v>7</v>
          </cell>
          <cell r="CE238">
            <v>37.299999999999997</v>
          </cell>
          <cell r="CF238">
            <v>61.8</v>
          </cell>
          <cell r="CG238">
            <v>29.6</v>
          </cell>
          <cell r="CH238">
            <v>4.2</v>
          </cell>
          <cell r="CI238">
            <v>9.1</v>
          </cell>
          <cell r="CJ238">
            <v>20.8</v>
          </cell>
          <cell r="CK238">
            <v>17.899999999999999</v>
          </cell>
          <cell r="CL238">
            <v>14.5</v>
          </cell>
          <cell r="CM238">
            <v>11.6</v>
          </cell>
          <cell r="CN238">
            <v>10.6</v>
          </cell>
          <cell r="CO238">
            <v>18.899999999999999</v>
          </cell>
          <cell r="CP238">
            <v>4.9000000000000004</v>
          </cell>
          <cell r="CQ238">
            <v>13.9</v>
          </cell>
          <cell r="CR238">
            <v>26.5</v>
          </cell>
          <cell r="CS238">
            <v>32.4</v>
          </cell>
          <cell r="CT238">
            <v>28.1</v>
          </cell>
          <cell r="CU238">
            <v>24.4</v>
          </cell>
          <cell r="CV238">
            <v>24.5</v>
          </cell>
          <cell r="CW238">
            <v>32.299999999999997</v>
          </cell>
          <cell r="CX238">
            <v>24</v>
          </cell>
          <cell r="CY238">
            <v>18.600000000000001</v>
          </cell>
          <cell r="CZ238">
            <v>39.5</v>
          </cell>
          <cell r="DA238">
            <v>59.8</v>
          </cell>
          <cell r="DB238">
            <v>12.8</v>
          </cell>
          <cell r="DC238">
            <v>21.7</v>
          </cell>
          <cell r="DD238">
            <v>31.1</v>
          </cell>
          <cell r="DE238">
            <v>60.7</v>
          </cell>
          <cell r="DF238">
            <v>41</v>
          </cell>
          <cell r="DG238">
            <v>49.3</v>
          </cell>
          <cell r="DH238">
            <v>49.2</v>
          </cell>
          <cell r="DI238">
            <v>84.2</v>
          </cell>
          <cell r="DJ238">
            <v>64</v>
          </cell>
          <cell r="DK238">
            <v>74.5</v>
          </cell>
          <cell r="DL238">
            <v>75.8</v>
          </cell>
          <cell r="DM238">
            <v>96</v>
          </cell>
          <cell r="DN238">
            <v>4.0999999999999996</v>
          </cell>
          <cell r="DO238">
            <v>4.0999999999999996</v>
          </cell>
          <cell r="DP238">
            <v>4.0999999999999996</v>
          </cell>
          <cell r="DQ238">
            <v>4.0999999999999996</v>
          </cell>
          <cell r="DR238">
            <v>4.0999999999999996</v>
          </cell>
          <cell r="DS238">
            <v>4.0999999999999996</v>
          </cell>
          <cell r="DT238">
            <v>4.0999999999999996</v>
          </cell>
          <cell r="DU238">
            <v>4.0999999999999996</v>
          </cell>
          <cell r="DV238">
            <v>4.0999999999999996</v>
          </cell>
          <cell r="DW238">
            <v>4.0999999999999996</v>
          </cell>
          <cell r="DX238">
            <v>4.0999999999999996</v>
          </cell>
          <cell r="DY238">
            <v>4.0999999999999996</v>
          </cell>
          <cell r="EM238">
            <v>212.7</v>
          </cell>
          <cell r="EN238">
            <v>274.8</v>
          </cell>
          <cell r="EO238">
            <v>318.3</v>
          </cell>
          <cell r="EP238">
            <v>627.89999999999986</v>
          </cell>
          <cell r="EQ238">
            <v>482.5</v>
          </cell>
          <cell r="ER238">
            <v>243.29999999999998</v>
          </cell>
          <cell r="ES238">
            <v>328.90000000000003</v>
          </cell>
        </row>
        <row r="239">
          <cell r="A239" t="str">
            <v>O&amp;M (Net of pass-throughs)</v>
          </cell>
          <cell r="B239" t="str">
            <v>Operations &amp; Maintenance Expense (incl clause)</v>
          </cell>
          <cell r="E239" t="str">
            <v>Operations &amp; Maintenance Expense</v>
          </cell>
          <cell r="F239" t="str">
            <v>6030050</v>
          </cell>
          <cell r="G239" t="str">
            <v>A_6030050</v>
          </cell>
          <cell r="H239" t="str">
            <v>Empl Exp - Mileage</v>
          </cell>
          <cell r="J239">
            <v>8.5</v>
          </cell>
          <cell r="K239">
            <v>12.5</v>
          </cell>
          <cell r="L239">
            <v>15.3</v>
          </cell>
          <cell r="M239">
            <v>8.3000000000000007</v>
          </cell>
          <cell r="N239">
            <v>13</v>
          </cell>
          <cell r="O239">
            <v>12.7</v>
          </cell>
          <cell r="P239">
            <v>15.8</v>
          </cell>
          <cell r="Q239">
            <v>12.1</v>
          </cell>
          <cell r="R239">
            <v>13</v>
          </cell>
          <cell r="S239">
            <v>20.100000000000001</v>
          </cell>
          <cell r="T239">
            <v>13</v>
          </cell>
          <cell r="U239">
            <v>15.6</v>
          </cell>
          <cell r="V239">
            <v>7.2</v>
          </cell>
          <cell r="W239">
            <v>11.2</v>
          </cell>
          <cell r="X239">
            <v>13.6</v>
          </cell>
          <cell r="Y239">
            <v>11.3</v>
          </cell>
          <cell r="Z239">
            <v>11.5</v>
          </cell>
          <cell r="AA239">
            <v>14.5</v>
          </cell>
          <cell r="AB239">
            <v>14.4</v>
          </cell>
          <cell r="AC239">
            <v>11.7</v>
          </cell>
          <cell r="AD239">
            <v>8.9</v>
          </cell>
          <cell r="AE239">
            <v>15.8</v>
          </cell>
          <cell r="AF239">
            <v>12.1</v>
          </cell>
          <cell r="AG239">
            <v>13.8</v>
          </cell>
          <cell r="AH239">
            <v>6.4</v>
          </cell>
          <cell r="AI239">
            <v>7.8</v>
          </cell>
          <cell r="AJ239">
            <v>8.1999999999999993</v>
          </cell>
          <cell r="AK239">
            <v>9.9</v>
          </cell>
          <cell r="AL239">
            <v>11.9</v>
          </cell>
          <cell r="AM239">
            <v>15.9</v>
          </cell>
          <cell r="AN239">
            <v>5</v>
          </cell>
          <cell r="AO239">
            <v>11.8</v>
          </cell>
          <cell r="AP239">
            <v>8.9</v>
          </cell>
          <cell r="AQ239">
            <v>8.3000000000000007</v>
          </cell>
          <cell r="AR239">
            <v>12.9</v>
          </cell>
          <cell r="AS239">
            <v>11.7</v>
          </cell>
          <cell r="AT239">
            <v>7</v>
          </cell>
          <cell r="AU239">
            <v>8.8000000000000007</v>
          </cell>
          <cell r="AV239">
            <v>8.3000000000000007</v>
          </cell>
          <cell r="AW239">
            <v>8.1999999999999993</v>
          </cell>
          <cell r="AX239">
            <v>8.4</v>
          </cell>
          <cell r="AY239">
            <v>8.4</v>
          </cell>
          <cell r="AZ239">
            <v>10.5</v>
          </cell>
          <cell r="BA239">
            <v>10.199999999999999</v>
          </cell>
          <cell r="BB239">
            <v>8.6999999999999993</v>
          </cell>
          <cell r="BC239">
            <v>6.5</v>
          </cell>
          <cell r="BD239">
            <v>7.3</v>
          </cell>
          <cell r="BE239">
            <v>11.5</v>
          </cell>
          <cell r="BF239">
            <v>6</v>
          </cell>
          <cell r="BG239">
            <v>6.8</v>
          </cell>
          <cell r="BH239">
            <v>6.2</v>
          </cell>
          <cell r="BI239">
            <v>11.2</v>
          </cell>
          <cell r="BJ239">
            <v>14.1</v>
          </cell>
          <cell r="BK239">
            <v>10.1</v>
          </cell>
          <cell r="BL239">
            <v>14.9</v>
          </cell>
          <cell r="BM239">
            <v>17.399999999999999</v>
          </cell>
          <cell r="BN239">
            <v>8.1</v>
          </cell>
          <cell r="BO239">
            <v>15.2</v>
          </cell>
          <cell r="BP239">
            <v>15.5</v>
          </cell>
          <cell r="BQ239">
            <v>17.7</v>
          </cell>
          <cell r="BR239">
            <v>9.4</v>
          </cell>
          <cell r="BS239">
            <v>11.3</v>
          </cell>
          <cell r="BT239">
            <v>8.4</v>
          </cell>
          <cell r="BU239">
            <v>7.2</v>
          </cell>
          <cell r="BV239">
            <v>12.3</v>
          </cell>
          <cell r="BW239">
            <v>13.7</v>
          </cell>
          <cell r="BX239">
            <v>12.4</v>
          </cell>
          <cell r="BY239">
            <v>21.2</v>
          </cell>
          <cell r="BZ239">
            <v>16</v>
          </cell>
          <cell r="CA239">
            <v>15.9</v>
          </cell>
          <cell r="CB239">
            <v>12.7</v>
          </cell>
          <cell r="CC239">
            <v>16.7</v>
          </cell>
          <cell r="CD239">
            <v>9.9</v>
          </cell>
          <cell r="CE239">
            <v>10.199999999999999</v>
          </cell>
          <cell r="CF239">
            <v>10.3</v>
          </cell>
          <cell r="CG239">
            <v>2.1</v>
          </cell>
          <cell r="CH239">
            <v>2.9</v>
          </cell>
          <cell r="CI239">
            <v>5</v>
          </cell>
          <cell r="CJ239">
            <v>8.1999999999999993</v>
          </cell>
          <cell r="CK239">
            <v>3.7</v>
          </cell>
          <cell r="CL239">
            <v>6</v>
          </cell>
          <cell r="CM239">
            <v>2.7</v>
          </cell>
          <cell r="CN239">
            <v>5.5</v>
          </cell>
          <cell r="CO239">
            <v>3.7</v>
          </cell>
          <cell r="CP239">
            <v>1</v>
          </cell>
          <cell r="CQ239">
            <v>6.2</v>
          </cell>
          <cell r="CR239">
            <v>8.1999999999999993</v>
          </cell>
          <cell r="CS239">
            <v>8</v>
          </cell>
          <cell r="CT239">
            <v>5.7</v>
          </cell>
          <cell r="CU239">
            <v>6.4</v>
          </cell>
          <cell r="CV239">
            <v>4.5</v>
          </cell>
          <cell r="CW239">
            <v>7.2</v>
          </cell>
          <cell r="CX239">
            <v>3.5</v>
          </cell>
          <cell r="CY239">
            <v>5.3</v>
          </cell>
          <cell r="CZ239">
            <v>5.8</v>
          </cell>
          <cell r="DA239">
            <v>5.6</v>
          </cell>
          <cell r="DB239">
            <v>2</v>
          </cell>
          <cell r="DC239">
            <v>4.8</v>
          </cell>
          <cell r="DD239">
            <v>5.4</v>
          </cell>
          <cell r="DE239">
            <v>7.4</v>
          </cell>
          <cell r="DF239">
            <v>8</v>
          </cell>
          <cell r="DG239">
            <v>10.8</v>
          </cell>
          <cell r="DH239">
            <v>10.3</v>
          </cell>
          <cell r="DI239">
            <v>14</v>
          </cell>
          <cell r="DJ239">
            <v>10.6</v>
          </cell>
          <cell r="DK239">
            <v>13.2</v>
          </cell>
          <cell r="DL239">
            <v>17.8</v>
          </cell>
          <cell r="DM239">
            <v>11.9</v>
          </cell>
          <cell r="DN239">
            <v>2.2999999999999998</v>
          </cell>
          <cell r="DO239">
            <v>2.2999999999999998</v>
          </cell>
          <cell r="DP239">
            <v>2.4</v>
          </cell>
          <cell r="DQ239">
            <v>2.2999999999999998</v>
          </cell>
          <cell r="DR239">
            <v>2.2999999999999998</v>
          </cell>
          <cell r="DS239">
            <v>2.4</v>
          </cell>
          <cell r="DT239">
            <v>2.2999999999999998</v>
          </cell>
          <cell r="DU239">
            <v>2.2999999999999998</v>
          </cell>
          <cell r="DV239">
            <v>2.4</v>
          </cell>
          <cell r="DW239">
            <v>2.2999999999999998</v>
          </cell>
          <cell r="DX239">
            <v>2.2999999999999998</v>
          </cell>
          <cell r="DY239">
            <v>2.4</v>
          </cell>
          <cell r="EM239">
            <v>146.00000000000003</v>
          </cell>
          <cell r="EN239">
            <v>118.7</v>
          </cell>
          <cell r="EO239">
            <v>103.8</v>
          </cell>
          <cell r="EP239">
            <v>143.19999999999999</v>
          </cell>
          <cell r="EQ239">
            <v>157.20000000000002</v>
          </cell>
          <cell r="ER239">
            <v>70.2</v>
          </cell>
          <cell r="ES239">
            <v>67.399999999999991</v>
          </cell>
        </row>
        <row r="240">
          <cell r="A240" t="str">
            <v>O&amp;M (Net of pass-throughs)</v>
          </cell>
          <cell r="B240" t="str">
            <v>Operations &amp; Maintenance Expense (incl clause)</v>
          </cell>
          <cell r="E240" t="str">
            <v>Operations &amp; Maintenance Expense</v>
          </cell>
          <cell r="F240" t="str">
            <v>6030060</v>
          </cell>
          <cell r="G240" t="str">
            <v>A_6030060</v>
          </cell>
          <cell r="H240" t="str">
            <v>Empl Exp - Shoes and uniforms</v>
          </cell>
          <cell r="J240">
            <v>11.6</v>
          </cell>
          <cell r="K240">
            <v>19.3</v>
          </cell>
          <cell r="L240">
            <v>25.3</v>
          </cell>
          <cell r="M240">
            <v>12.2</v>
          </cell>
          <cell r="N240">
            <v>11.5</v>
          </cell>
          <cell r="O240">
            <v>12.3</v>
          </cell>
          <cell r="P240">
            <v>11.3</v>
          </cell>
          <cell r="Q240">
            <v>9.6999999999999993</v>
          </cell>
          <cell r="R240">
            <v>8.3000000000000007</v>
          </cell>
          <cell r="S240">
            <v>9.1999999999999993</v>
          </cell>
          <cell r="T240">
            <v>9.3000000000000007</v>
          </cell>
          <cell r="U240">
            <v>6.9</v>
          </cell>
          <cell r="V240">
            <v>7.8</v>
          </cell>
          <cell r="W240">
            <v>11.4</v>
          </cell>
          <cell r="X240">
            <v>11.6</v>
          </cell>
          <cell r="Y240">
            <v>10</v>
          </cell>
          <cell r="Z240">
            <v>7.7</v>
          </cell>
          <cell r="AA240">
            <v>9.9</v>
          </cell>
          <cell r="AB240">
            <v>6.8</v>
          </cell>
          <cell r="AC240">
            <v>6.4</v>
          </cell>
          <cell r="AD240">
            <v>9</v>
          </cell>
          <cell r="AE240">
            <v>3.3</v>
          </cell>
          <cell r="AF240">
            <v>11.1</v>
          </cell>
          <cell r="AG240">
            <v>6.6</v>
          </cell>
          <cell r="AH240">
            <v>15.2</v>
          </cell>
          <cell r="AI240">
            <v>15.3</v>
          </cell>
          <cell r="AJ240">
            <v>46.2</v>
          </cell>
          <cell r="AK240">
            <v>21.2</v>
          </cell>
          <cell r="AL240">
            <v>23.9</v>
          </cell>
          <cell r="AM240">
            <v>10.4</v>
          </cell>
          <cell r="AN240">
            <v>13.9</v>
          </cell>
          <cell r="AO240">
            <v>28.2</v>
          </cell>
          <cell r="AP240">
            <v>7.8</v>
          </cell>
          <cell r="AQ240">
            <v>8.3000000000000007</v>
          </cell>
          <cell r="AR240">
            <v>20.6</v>
          </cell>
          <cell r="AS240">
            <v>29.3</v>
          </cell>
          <cell r="AT240">
            <v>22.9</v>
          </cell>
          <cell r="AU240">
            <v>18.899999999999999</v>
          </cell>
          <cell r="AV240">
            <v>21.3</v>
          </cell>
          <cell r="AW240">
            <v>8.9</v>
          </cell>
          <cell r="AX240">
            <v>17.7</v>
          </cell>
          <cell r="AY240">
            <v>14.1</v>
          </cell>
          <cell r="AZ240">
            <v>9</v>
          </cell>
          <cell r="BA240">
            <v>10.7</v>
          </cell>
          <cell r="BB240">
            <v>17.3</v>
          </cell>
          <cell r="BC240">
            <v>4</v>
          </cell>
          <cell r="BD240">
            <v>10.8</v>
          </cell>
          <cell r="BE240">
            <v>9.4</v>
          </cell>
          <cell r="BF240">
            <v>15.4</v>
          </cell>
          <cell r="BG240">
            <v>25.4</v>
          </cell>
          <cell r="BH240">
            <v>17.8</v>
          </cell>
          <cell r="BI240">
            <v>16.2</v>
          </cell>
          <cell r="BJ240">
            <v>21.7</v>
          </cell>
          <cell r="BK240">
            <v>15.3</v>
          </cell>
          <cell r="BL240">
            <v>13.5</v>
          </cell>
          <cell r="BM240">
            <v>17.2</v>
          </cell>
          <cell r="BN240">
            <v>9.4</v>
          </cell>
          <cell r="BO240">
            <v>14.9</v>
          </cell>
          <cell r="BP240">
            <v>19.100000000000001</v>
          </cell>
          <cell r="BQ240">
            <v>12.7</v>
          </cell>
          <cell r="BR240">
            <v>20.399999999999999</v>
          </cell>
          <cell r="BS240">
            <v>27.3</v>
          </cell>
          <cell r="BT240">
            <v>30.8</v>
          </cell>
          <cell r="BU240">
            <v>51.8</v>
          </cell>
          <cell r="BV240">
            <v>17.7</v>
          </cell>
          <cell r="BW240">
            <v>106</v>
          </cell>
          <cell r="BX240">
            <v>27.5</v>
          </cell>
          <cell r="BY240">
            <v>14.5</v>
          </cell>
          <cell r="BZ240">
            <v>29.8</v>
          </cell>
          <cell r="CA240">
            <v>50.2</v>
          </cell>
          <cell r="CB240">
            <v>33.200000000000003</v>
          </cell>
          <cell r="CC240">
            <v>15.6</v>
          </cell>
          <cell r="CD240">
            <v>16.600000000000001</v>
          </cell>
          <cell r="CE240">
            <v>77.5</v>
          </cell>
          <cell r="CF240">
            <v>32</v>
          </cell>
          <cell r="CG240">
            <v>8.8000000000000007</v>
          </cell>
          <cell r="CH240">
            <v>25.6</v>
          </cell>
          <cell r="CI240">
            <v>10.1</v>
          </cell>
          <cell r="CJ240">
            <v>8.1</v>
          </cell>
          <cell r="CK240">
            <v>17.100000000000001</v>
          </cell>
          <cell r="CL240">
            <v>4.5</v>
          </cell>
          <cell r="CM240">
            <v>42.8</v>
          </cell>
          <cell r="CN240">
            <v>73.900000000000006</v>
          </cell>
          <cell r="CO240">
            <v>6.4</v>
          </cell>
          <cell r="CP240">
            <v>110.5</v>
          </cell>
          <cell r="CQ240">
            <v>40.6</v>
          </cell>
          <cell r="CR240">
            <v>40.6</v>
          </cell>
          <cell r="CS240">
            <v>27.3</v>
          </cell>
          <cell r="CT240">
            <v>13.7</v>
          </cell>
          <cell r="CU240">
            <v>42.2</v>
          </cell>
          <cell r="CV240">
            <v>10</v>
          </cell>
          <cell r="CW240">
            <v>17</v>
          </cell>
          <cell r="CX240">
            <v>6.3</v>
          </cell>
          <cell r="CY240">
            <v>10.9</v>
          </cell>
          <cell r="CZ240">
            <v>42.9</v>
          </cell>
          <cell r="DA240">
            <v>51</v>
          </cell>
          <cell r="DB240">
            <v>12.8</v>
          </cell>
          <cell r="DC240">
            <v>20.8</v>
          </cell>
          <cell r="DD240">
            <v>50.3</v>
          </cell>
          <cell r="DE240">
            <v>32.6</v>
          </cell>
          <cell r="DF240">
            <v>21.1</v>
          </cell>
          <cell r="DG240">
            <v>18.7</v>
          </cell>
          <cell r="DH240">
            <v>20.399999999999999</v>
          </cell>
          <cell r="DI240">
            <v>41.3</v>
          </cell>
          <cell r="DJ240">
            <v>26.2</v>
          </cell>
          <cell r="DK240">
            <v>16.7</v>
          </cell>
          <cell r="DL240">
            <v>35.6</v>
          </cell>
          <cell r="DM240">
            <v>24.2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EM240">
            <v>101.6</v>
          </cell>
          <cell r="EN240">
            <v>240.30000000000004</v>
          </cell>
          <cell r="EO240">
            <v>165.00000000000003</v>
          </cell>
          <cell r="EP240">
            <v>198.6</v>
          </cell>
          <cell r="EQ240">
            <v>424.8</v>
          </cell>
          <cell r="ER240">
            <v>323.39999999999998</v>
          </cell>
          <cell r="ES240">
            <v>412.99999999999994</v>
          </cell>
        </row>
        <row r="241">
          <cell r="A241" t="str">
            <v>O&amp;M (Net of pass-throughs)</v>
          </cell>
          <cell r="B241" t="str">
            <v>Operations &amp; Maintenance Expense (incl clause)</v>
          </cell>
          <cell r="E241" t="str">
            <v>Operations &amp; Maintenance Expense</v>
          </cell>
          <cell r="F241" t="str">
            <v>6030070</v>
          </cell>
          <cell r="G241" t="str">
            <v>A_6030070</v>
          </cell>
          <cell r="H241" t="str">
            <v>Empl Exp - Training</v>
          </cell>
          <cell r="J241">
            <v>13.8</v>
          </cell>
          <cell r="K241">
            <v>13.5</v>
          </cell>
          <cell r="L241">
            <v>12</v>
          </cell>
          <cell r="M241">
            <v>2.1</v>
          </cell>
          <cell r="N241">
            <v>4</v>
          </cell>
          <cell r="O241">
            <v>13.5</v>
          </cell>
          <cell r="P241">
            <v>5.6</v>
          </cell>
          <cell r="Q241">
            <v>19.3</v>
          </cell>
          <cell r="R241">
            <v>12.5</v>
          </cell>
          <cell r="S241">
            <v>3.5</v>
          </cell>
          <cell r="T241">
            <v>1.6</v>
          </cell>
          <cell r="U241">
            <v>6.5</v>
          </cell>
          <cell r="V241">
            <v>0</v>
          </cell>
          <cell r="W241">
            <v>1.7</v>
          </cell>
          <cell r="X241">
            <v>13.8</v>
          </cell>
          <cell r="Y241">
            <v>5</v>
          </cell>
          <cell r="Z241">
            <v>1.4</v>
          </cell>
          <cell r="AA241">
            <v>10.9</v>
          </cell>
          <cell r="AB241">
            <v>1.5</v>
          </cell>
          <cell r="AC241">
            <v>0.9</v>
          </cell>
          <cell r="AD241">
            <v>13.1</v>
          </cell>
          <cell r="AE241">
            <v>1.6</v>
          </cell>
          <cell r="AF241">
            <v>3.2</v>
          </cell>
          <cell r="AG241">
            <v>16.100000000000001</v>
          </cell>
          <cell r="AH241">
            <v>0.3</v>
          </cell>
          <cell r="AI241">
            <v>4</v>
          </cell>
          <cell r="AJ241">
            <v>4.2</v>
          </cell>
          <cell r="AK241">
            <v>3.4</v>
          </cell>
          <cell r="AL241">
            <v>5.8</v>
          </cell>
          <cell r="AM241">
            <v>8.5</v>
          </cell>
          <cell r="AN241">
            <v>1.5</v>
          </cell>
          <cell r="AO241">
            <v>2.6</v>
          </cell>
          <cell r="AP241">
            <v>7</v>
          </cell>
          <cell r="AQ241">
            <v>3.1</v>
          </cell>
          <cell r="AR241">
            <v>15.7</v>
          </cell>
          <cell r="AS241">
            <v>13.2</v>
          </cell>
          <cell r="AT241">
            <v>7.3</v>
          </cell>
          <cell r="AU241">
            <v>4.9000000000000004</v>
          </cell>
          <cell r="AV241">
            <v>4.7</v>
          </cell>
          <cell r="AW241">
            <v>8.6999999999999993</v>
          </cell>
          <cell r="AX241">
            <v>12.2</v>
          </cell>
          <cell r="AY241">
            <v>3.9</v>
          </cell>
          <cell r="AZ241">
            <v>5.2</v>
          </cell>
          <cell r="BA241">
            <v>3.7</v>
          </cell>
          <cell r="BB241">
            <v>5</v>
          </cell>
          <cell r="BC241">
            <v>-3.2</v>
          </cell>
          <cell r="BD241">
            <v>2</v>
          </cell>
          <cell r="BE241">
            <v>3.6</v>
          </cell>
          <cell r="BF241">
            <v>0</v>
          </cell>
          <cell r="BG241">
            <v>3.3</v>
          </cell>
          <cell r="BH241">
            <v>2.7</v>
          </cell>
          <cell r="BI241">
            <v>9.8000000000000007</v>
          </cell>
          <cell r="BJ241">
            <v>10</v>
          </cell>
          <cell r="BK241">
            <v>2.1</v>
          </cell>
          <cell r="BL241">
            <v>0.9</v>
          </cell>
          <cell r="BM241">
            <v>2.4</v>
          </cell>
          <cell r="BN241">
            <v>3.1</v>
          </cell>
          <cell r="BO241">
            <v>11.3</v>
          </cell>
          <cell r="BP241">
            <v>10.9</v>
          </cell>
          <cell r="BQ241">
            <v>11</v>
          </cell>
          <cell r="BR241">
            <v>0.2</v>
          </cell>
          <cell r="BS241">
            <v>3.6</v>
          </cell>
          <cell r="BT241">
            <v>9.4</v>
          </cell>
          <cell r="BU241">
            <v>4.8</v>
          </cell>
          <cell r="BV241">
            <v>8.4</v>
          </cell>
          <cell r="BW241">
            <v>2.8</v>
          </cell>
          <cell r="BX241">
            <v>1.3</v>
          </cell>
          <cell r="BY241">
            <v>8.8000000000000007</v>
          </cell>
          <cell r="BZ241">
            <v>4.0999999999999996</v>
          </cell>
          <cell r="CA241">
            <v>11.1</v>
          </cell>
          <cell r="CB241">
            <v>6.4</v>
          </cell>
          <cell r="CC241">
            <v>12.9</v>
          </cell>
          <cell r="CD241">
            <v>2.8</v>
          </cell>
          <cell r="CE241">
            <v>13.9</v>
          </cell>
          <cell r="CF241">
            <v>12.4</v>
          </cell>
          <cell r="CG241">
            <v>0.2</v>
          </cell>
          <cell r="CH241">
            <v>6.6</v>
          </cell>
          <cell r="CI241">
            <v>5.5</v>
          </cell>
          <cell r="CJ241">
            <v>3.9</v>
          </cell>
          <cell r="CK241">
            <v>2.5</v>
          </cell>
          <cell r="CL241">
            <v>2.5</v>
          </cell>
          <cell r="CM241">
            <v>5.2</v>
          </cell>
          <cell r="CN241">
            <v>2.8</v>
          </cell>
          <cell r="CO241">
            <v>14.7</v>
          </cell>
          <cell r="CP241">
            <v>1.2</v>
          </cell>
          <cell r="CQ241">
            <v>5.6</v>
          </cell>
          <cell r="CR241">
            <v>2.5</v>
          </cell>
          <cell r="CS241">
            <v>7.4</v>
          </cell>
          <cell r="CT241">
            <v>9</v>
          </cell>
          <cell r="CU241">
            <v>6.2</v>
          </cell>
          <cell r="CV241">
            <v>5.8</v>
          </cell>
          <cell r="CW241">
            <v>4.4000000000000004</v>
          </cell>
          <cell r="CX241">
            <v>10</v>
          </cell>
          <cell r="CY241">
            <v>16</v>
          </cell>
          <cell r="CZ241">
            <v>18.8</v>
          </cell>
          <cell r="DA241">
            <v>15.7</v>
          </cell>
          <cell r="DB241">
            <v>4.7</v>
          </cell>
          <cell r="DC241">
            <v>7.8</v>
          </cell>
          <cell r="DD241">
            <v>14.9</v>
          </cell>
          <cell r="DE241">
            <v>22.2</v>
          </cell>
          <cell r="DF241">
            <v>50.7</v>
          </cell>
          <cell r="DG241">
            <v>37.1</v>
          </cell>
          <cell r="DH241">
            <v>39</v>
          </cell>
          <cell r="DI241">
            <v>26</v>
          </cell>
          <cell r="DJ241">
            <v>32.299999999999997</v>
          </cell>
          <cell r="DK241">
            <v>49.6</v>
          </cell>
          <cell r="DL241">
            <v>18.100000000000001</v>
          </cell>
          <cell r="DM241">
            <v>13.3</v>
          </cell>
          <cell r="DN241">
            <v>0.9</v>
          </cell>
          <cell r="DO241">
            <v>0.9</v>
          </cell>
          <cell r="DP241">
            <v>1.2</v>
          </cell>
          <cell r="DQ241">
            <v>0.9</v>
          </cell>
          <cell r="DR241">
            <v>0.9</v>
          </cell>
          <cell r="DS241">
            <v>1.2</v>
          </cell>
          <cell r="DT241">
            <v>0.9</v>
          </cell>
          <cell r="DU241">
            <v>0.9</v>
          </cell>
          <cell r="DV241">
            <v>1.2</v>
          </cell>
          <cell r="DW241">
            <v>0.9</v>
          </cell>
          <cell r="DX241">
            <v>0.9</v>
          </cell>
          <cell r="DY241">
            <v>1.2</v>
          </cell>
          <cell r="EM241">
            <v>69.2</v>
          </cell>
          <cell r="EN241">
            <v>69.3</v>
          </cell>
          <cell r="EO241">
            <v>58</v>
          </cell>
          <cell r="EP241">
            <v>67.5</v>
          </cell>
          <cell r="EQ241">
            <v>73.8</v>
          </cell>
          <cell r="ER241">
            <v>73</v>
          </cell>
          <cell r="ES241">
            <v>102.6</v>
          </cell>
        </row>
        <row r="242">
          <cell r="A242" t="str">
            <v>O&amp;M (Net of pass-throughs)</v>
          </cell>
          <cell r="B242" t="str">
            <v>Operations &amp; Maintenance Expense (incl clause)</v>
          </cell>
          <cell r="E242" t="str">
            <v>Operations &amp; Maintenance Expense</v>
          </cell>
          <cell r="F242" t="str">
            <v>6030080</v>
          </cell>
          <cell r="G242" t="str">
            <v>A_6030080</v>
          </cell>
          <cell r="H242" t="str">
            <v>Empl Exp - Travel and Lodging</v>
          </cell>
          <cell r="J242">
            <v>7.7</v>
          </cell>
          <cell r="K242">
            <v>40.6</v>
          </cell>
          <cell r="L242">
            <v>37.4</v>
          </cell>
          <cell r="M242">
            <v>28.3</v>
          </cell>
          <cell r="N242">
            <v>43.6</v>
          </cell>
          <cell r="O242">
            <v>43.5</v>
          </cell>
          <cell r="P242">
            <v>46.2</v>
          </cell>
          <cell r="Q242">
            <v>34.200000000000003</v>
          </cell>
          <cell r="R242">
            <v>43.1</v>
          </cell>
          <cell r="S242">
            <v>46.8</v>
          </cell>
          <cell r="T242">
            <v>46.3</v>
          </cell>
          <cell r="U242">
            <v>61.3</v>
          </cell>
          <cell r="V242">
            <v>6.9</v>
          </cell>
          <cell r="W242">
            <v>34.5</v>
          </cell>
          <cell r="X242">
            <v>45.4</v>
          </cell>
          <cell r="Y242">
            <v>46.8</v>
          </cell>
          <cell r="Z242">
            <v>50.8</v>
          </cell>
          <cell r="AA242">
            <v>59.8</v>
          </cell>
          <cell r="AB242">
            <v>58.3</v>
          </cell>
          <cell r="AC242">
            <v>44.7</v>
          </cell>
          <cell r="AD242">
            <v>46.3</v>
          </cell>
          <cell r="AE242">
            <v>70.599999999999994</v>
          </cell>
          <cell r="AF242">
            <v>51.5</v>
          </cell>
          <cell r="AG242">
            <v>77.900000000000006</v>
          </cell>
          <cell r="AH242">
            <v>2.8</v>
          </cell>
          <cell r="AI242">
            <v>55.2</v>
          </cell>
          <cell r="AJ242">
            <v>44.2</v>
          </cell>
          <cell r="AK242">
            <v>56.2</v>
          </cell>
          <cell r="AL242">
            <v>46.1</v>
          </cell>
          <cell r="AM242">
            <v>71.099999999999994</v>
          </cell>
          <cell r="AN242">
            <v>43.6</v>
          </cell>
          <cell r="AO242">
            <v>41.4</v>
          </cell>
          <cell r="AP242">
            <v>49.4</v>
          </cell>
          <cell r="AQ242">
            <v>59.6</v>
          </cell>
          <cell r="AR242">
            <v>44.2</v>
          </cell>
          <cell r="AS242">
            <v>91.3</v>
          </cell>
          <cell r="AT242">
            <v>3.2</v>
          </cell>
          <cell r="AU242">
            <v>30.6</v>
          </cell>
          <cell r="AV242">
            <v>48.3</v>
          </cell>
          <cell r="AW242">
            <v>36.4</v>
          </cell>
          <cell r="AX242">
            <v>38</v>
          </cell>
          <cell r="AY242">
            <v>45.8</v>
          </cell>
          <cell r="AZ242">
            <v>40.4</v>
          </cell>
          <cell r="BA242">
            <v>30.1</v>
          </cell>
          <cell r="BB242">
            <v>61.8</v>
          </cell>
          <cell r="BC242">
            <v>31.2</v>
          </cell>
          <cell r="BD242">
            <v>48.6</v>
          </cell>
          <cell r="BE242">
            <v>82.2</v>
          </cell>
          <cell r="BF242">
            <v>5.9</v>
          </cell>
          <cell r="BG242">
            <v>60.4</v>
          </cell>
          <cell r="BH242">
            <v>80.2</v>
          </cell>
          <cell r="BI242">
            <v>52.7</v>
          </cell>
          <cell r="BJ242">
            <v>86.4</v>
          </cell>
          <cell r="BK242">
            <v>63.8</v>
          </cell>
          <cell r="BL242">
            <v>59.3</v>
          </cell>
          <cell r="BM242">
            <v>57.9</v>
          </cell>
          <cell r="BN242">
            <v>65.5</v>
          </cell>
          <cell r="BO242">
            <v>45.5</v>
          </cell>
          <cell r="BP242">
            <v>60.5</v>
          </cell>
          <cell r="BQ242">
            <v>107.2</v>
          </cell>
          <cell r="BR242">
            <v>13.1</v>
          </cell>
          <cell r="BS242">
            <v>88.1</v>
          </cell>
          <cell r="BT242">
            <v>71</v>
          </cell>
          <cell r="BU242">
            <v>51.9</v>
          </cell>
          <cell r="BV242">
            <v>66.099999999999994</v>
          </cell>
          <cell r="BW242">
            <v>76.3</v>
          </cell>
          <cell r="BX242">
            <v>75</v>
          </cell>
          <cell r="BY242">
            <v>76.3</v>
          </cell>
          <cell r="BZ242">
            <v>98.9</v>
          </cell>
          <cell r="CA242">
            <v>83</v>
          </cell>
          <cell r="CB242">
            <v>62.2</v>
          </cell>
          <cell r="CC242">
            <v>112.3</v>
          </cell>
          <cell r="CD242">
            <v>12.5</v>
          </cell>
          <cell r="CE242">
            <v>63.1</v>
          </cell>
          <cell r="CF242">
            <v>90.8</v>
          </cell>
          <cell r="CG242">
            <v>45.4</v>
          </cell>
          <cell r="CH242">
            <v>2.2000000000000002</v>
          </cell>
          <cell r="CI242">
            <v>4</v>
          </cell>
          <cell r="CJ242">
            <v>16.399999999999999</v>
          </cell>
          <cell r="CK242">
            <v>28.5</v>
          </cell>
          <cell r="CL242">
            <v>41.9</v>
          </cell>
          <cell r="CM242">
            <v>25.6</v>
          </cell>
          <cell r="CN242">
            <v>27.8</v>
          </cell>
          <cell r="CO242">
            <v>32.299999999999997</v>
          </cell>
          <cell r="CP242">
            <v>13.1</v>
          </cell>
          <cell r="CQ242">
            <v>34</v>
          </cell>
          <cell r="CR242">
            <v>44.4</v>
          </cell>
          <cell r="CS242">
            <v>43.7</v>
          </cell>
          <cell r="CT242">
            <v>49.4</v>
          </cell>
          <cell r="CU242">
            <v>41.4</v>
          </cell>
          <cell r="CV242">
            <v>39.5</v>
          </cell>
          <cell r="CW242">
            <v>61.5</v>
          </cell>
          <cell r="CX242">
            <v>52.2</v>
          </cell>
          <cell r="CY242">
            <v>38.700000000000003</v>
          </cell>
          <cell r="CZ242">
            <v>67.3</v>
          </cell>
          <cell r="DA242">
            <v>96.4</v>
          </cell>
          <cell r="DB242">
            <v>22.7</v>
          </cell>
          <cell r="DC242">
            <v>47.4</v>
          </cell>
          <cell r="DD242">
            <v>79.900000000000006</v>
          </cell>
          <cell r="DE242">
            <v>83.1</v>
          </cell>
          <cell r="DF242">
            <v>97.5</v>
          </cell>
          <cell r="DG242">
            <v>101.5</v>
          </cell>
          <cell r="DH242">
            <v>62.8</v>
          </cell>
          <cell r="DI242">
            <v>150.30000000000001</v>
          </cell>
          <cell r="DJ242">
            <v>97</v>
          </cell>
          <cell r="DK242">
            <v>130.5</v>
          </cell>
          <cell r="DL242">
            <v>142.19999999999999</v>
          </cell>
          <cell r="DM242">
            <v>135.6</v>
          </cell>
          <cell r="DN242">
            <v>17.8</v>
          </cell>
          <cell r="DO242">
            <v>17.8</v>
          </cell>
          <cell r="DP242">
            <v>18.2</v>
          </cell>
          <cell r="DQ242">
            <v>18.8</v>
          </cell>
          <cell r="DR242">
            <v>17.8</v>
          </cell>
          <cell r="DS242">
            <v>18.2</v>
          </cell>
          <cell r="DT242">
            <v>18.8</v>
          </cell>
          <cell r="DU242">
            <v>17.8</v>
          </cell>
          <cell r="DV242">
            <v>23.2</v>
          </cell>
          <cell r="DW242">
            <v>24</v>
          </cell>
          <cell r="DX242">
            <v>18</v>
          </cell>
          <cell r="DY242">
            <v>18.399999999999999</v>
          </cell>
          <cell r="EM242">
            <v>593.5</v>
          </cell>
          <cell r="EN242">
            <v>605.1</v>
          </cell>
          <cell r="EO242">
            <v>496.6</v>
          </cell>
          <cell r="EP242">
            <v>745.30000000000007</v>
          </cell>
          <cell r="EQ242">
            <v>874.19999999999993</v>
          </cell>
          <cell r="ER242">
            <v>390.5</v>
          </cell>
          <cell r="ES242">
            <v>581.6</v>
          </cell>
        </row>
        <row r="243">
          <cell r="A243" t="str">
            <v>O&amp;M (Net of pass-throughs)</v>
          </cell>
          <cell r="B243" t="str">
            <v>Operations &amp; Maintenance Expense (incl clause)</v>
          </cell>
          <cell r="E243" t="str">
            <v>Operations &amp; Maintenance Expense</v>
          </cell>
          <cell r="F243" t="str">
            <v>6030090</v>
          </cell>
          <cell r="G243" t="str">
            <v>A_6030090</v>
          </cell>
          <cell r="H243" t="str">
            <v>Empl Exp - Relocation Expenses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2.5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1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0.4</v>
          </cell>
          <cell r="DI243">
            <v>0</v>
          </cell>
          <cell r="DJ243">
            <v>0</v>
          </cell>
          <cell r="DK243">
            <v>0.8</v>
          </cell>
          <cell r="DL243">
            <v>1.2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2.5</v>
          </cell>
          <cell r="ES243">
            <v>1</v>
          </cell>
        </row>
        <row r="244">
          <cell r="A244" t="str">
            <v>O&amp;M (Net of pass-throughs)</v>
          </cell>
          <cell r="B244" t="str">
            <v>Operations &amp; Maintenance Expense (incl clause)</v>
          </cell>
          <cell r="E244" t="str">
            <v>Operations &amp; Maintenance Expense</v>
          </cell>
          <cell r="F244" t="str">
            <v>6030091</v>
          </cell>
          <cell r="G244" t="str">
            <v>A_6030091</v>
          </cell>
          <cell r="H244" t="str">
            <v>Empl Exp - Employee Appreciation and Gift Cards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0.3</v>
          </cell>
          <cell r="CL244">
            <v>0.9</v>
          </cell>
          <cell r="CM244">
            <v>0.2</v>
          </cell>
          <cell r="CN244">
            <v>1.1000000000000001</v>
          </cell>
          <cell r="CO244">
            <v>7.2</v>
          </cell>
          <cell r="CP244">
            <v>4.0999999999999996</v>
          </cell>
          <cell r="CQ244">
            <v>0.8</v>
          </cell>
          <cell r="CR244">
            <v>1.7</v>
          </cell>
          <cell r="CS244">
            <v>2.2999999999999998</v>
          </cell>
          <cell r="CT244">
            <v>2</v>
          </cell>
          <cell r="CU244">
            <v>2.7</v>
          </cell>
          <cell r="CV244">
            <v>0.8</v>
          </cell>
          <cell r="CW244">
            <v>0.5</v>
          </cell>
          <cell r="CX244">
            <v>0.5</v>
          </cell>
          <cell r="CY244">
            <v>0.9</v>
          </cell>
          <cell r="CZ244">
            <v>4.5999999999999996</v>
          </cell>
          <cell r="DA244">
            <v>7.9</v>
          </cell>
          <cell r="DB244">
            <v>6.1</v>
          </cell>
          <cell r="DC244">
            <v>2.6</v>
          </cell>
          <cell r="DD244">
            <v>1.3</v>
          </cell>
          <cell r="DE244">
            <v>4.3</v>
          </cell>
          <cell r="DF244">
            <v>2.8</v>
          </cell>
          <cell r="DG244">
            <v>3.3</v>
          </cell>
          <cell r="DH244">
            <v>0.3</v>
          </cell>
          <cell r="DI244">
            <v>1.8</v>
          </cell>
          <cell r="DJ244">
            <v>1.8</v>
          </cell>
          <cell r="DK244">
            <v>3.9</v>
          </cell>
          <cell r="DL244">
            <v>3.6</v>
          </cell>
          <cell r="DM244">
            <v>5.4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9.6999999999999993</v>
          </cell>
          <cell r="ES244">
            <v>28.799999999999997</v>
          </cell>
        </row>
        <row r="245">
          <cell r="A245" t="str">
            <v>O&amp;M (Net of pass-throughs)</v>
          </cell>
          <cell r="B245" t="str">
            <v>Operations &amp; Maintenance Expense (incl clause)</v>
          </cell>
          <cell r="E245" t="str">
            <v>Operations &amp; Maintenance Expense</v>
          </cell>
          <cell r="F245" t="str">
            <v>6030800</v>
          </cell>
          <cell r="G245" t="str">
            <v>A_6030800</v>
          </cell>
          <cell r="H245" t="str">
            <v>Empl Exp - Miscellaneous Expense</v>
          </cell>
          <cell r="J245">
            <v>20.100000000000001</v>
          </cell>
          <cell r="K245">
            <v>17.8</v>
          </cell>
          <cell r="L245">
            <v>13.6</v>
          </cell>
          <cell r="M245">
            <v>22.4</v>
          </cell>
          <cell r="N245">
            <v>11.7</v>
          </cell>
          <cell r="O245">
            <v>27.7</v>
          </cell>
          <cell r="P245">
            <v>12.2</v>
          </cell>
          <cell r="Q245">
            <v>17.5</v>
          </cell>
          <cell r="R245">
            <v>11.3</v>
          </cell>
          <cell r="S245">
            <v>29.7</v>
          </cell>
          <cell r="T245">
            <v>14.9</v>
          </cell>
          <cell r="U245">
            <v>33</v>
          </cell>
          <cell r="V245">
            <v>6</v>
          </cell>
          <cell r="W245">
            <v>14.7</v>
          </cell>
          <cell r="X245">
            <v>16</v>
          </cell>
          <cell r="Y245">
            <v>16.7</v>
          </cell>
          <cell r="Z245">
            <v>21.4</v>
          </cell>
          <cell r="AA245">
            <v>20.2</v>
          </cell>
          <cell r="AB245">
            <v>17.600000000000001</v>
          </cell>
          <cell r="AC245">
            <v>22.2</v>
          </cell>
          <cell r="AD245">
            <v>29.5</v>
          </cell>
          <cell r="AE245">
            <v>33.5</v>
          </cell>
          <cell r="AF245">
            <v>16.899999999999999</v>
          </cell>
          <cell r="AG245">
            <v>42.8</v>
          </cell>
          <cell r="AH245">
            <v>25.5</v>
          </cell>
          <cell r="AI245">
            <v>19.899999999999999</v>
          </cell>
          <cell r="AJ245">
            <v>17</v>
          </cell>
          <cell r="AK245">
            <v>19.5</v>
          </cell>
          <cell r="AL245">
            <v>16.3</v>
          </cell>
          <cell r="AM245">
            <v>17.7</v>
          </cell>
          <cell r="AN245">
            <v>14.5</v>
          </cell>
          <cell r="AO245">
            <v>33.1</v>
          </cell>
          <cell r="AP245">
            <v>25.1</v>
          </cell>
          <cell r="AQ245">
            <v>19.899999999999999</v>
          </cell>
          <cell r="AR245">
            <v>27</v>
          </cell>
          <cell r="AS245">
            <v>49.2</v>
          </cell>
          <cell r="AT245">
            <v>4.0999999999999996</v>
          </cell>
          <cell r="AU245">
            <v>33.1</v>
          </cell>
          <cell r="AV245">
            <v>17.2</v>
          </cell>
          <cell r="AW245">
            <v>23.9</v>
          </cell>
          <cell r="AX245">
            <v>22.6</v>
          </cell>
          <cell r="AY245">
            <v>14.4</v>
          </cell>
          <cell r="AZ245">
            <v>13.4</v>
          </cell>
          <cell r="BA245">
            <v>20.9</v>
          </cell>
          <cell r="BB245">
            <v>18.899999999999999</v>
          </cell>
          <cell r="BC245">
            <v>25.1</v>
          </cell>
          <cell r="BD245">
            <v>21.4</v>
          </cell>
          <cell r="BE245">
            <v>31.8</v>
          </cell>
          <cell r="BF245">
            <v>6.1</v>
          </cell>
          <cell r="BG245">
            <v>19</v>
          </cell>
          <cell r="BH245">
            <v>16.5</v>
          </cell>
          <cell r="BI245">
            <v>22.9</v>
          </cell>
          <cell r="BJ245">
            <v>29.7</v>
          </cell>
          <cell r="BK245">
            <v>30.9</v>
          </cell>
          <cell r="BL245">
            <v>12.8</v>
          </cell>
          <cell r="BM245">
            <v>23.9</v>
          </cell>
          <cell r="BN245">
            <v>13.1</v>
          </cell>
          <cell r="BO245">
            <v>16.3</v>
          </cell>
          <cell r="BP245">
            <v>20.3</v>
          </cell>
          <cell r="BQ245">
            <v>22.4</v>
          </cell>
          <cell r="BR245">
            <v>4.3</v>
          </cell>
          <cell r="BS245">
            <v>11.2</v>
          </cell>
          <cell r="BT245">
            <v>27.1</v>
          </cell>
          <cell r="BU245">
            <v>9.9</v>
          </cell>
          <cell r="BV245">
            <v>14.4</v>
          </cell>
          <cell r="BW245">
            <v>17.7</v>
          </cell>
          <cell r="BX245">
            <v>43.1</v>
          </cell>
          <cell r="BY245">
            <v>42.1</v>
          </cell>
          <cell r="BZ245">
            <v>30.3</v>
          </cell>
          <cell r="CA245">
            <v>40.5</v>
          </cell>
          <cell r="CB245">
            <v>85.7</v>
          </cell>
          <cell r="CC245">
            <v>77.599999999999994</v>
          </cell>
          <cell r="CD245">
            <v>1.1000000000000001</v>
          </cell>
          <cell r="CE245">
            <v>37.4</v>
          </cell>
          <cell r="CF245">
            <v>85.6</v>
          </cell>
          <cell r="CG245">
            <v>33.299999999999997</v>
          </cell>
          <cell r="CH245">
            <v>28.6</v>
          </cell>
          <cell r="CI245">
            <v>30</v>
          </cell>
          <cell r="CJ245">
            <v>-3</v>
          </cell>
          <cell r="CK245">
            <v>29.3</v>
          </cell>
          <cell r="CL245">
            <v>32</v>
          </cell>
          <cell r="CM245">
            <v>23.8</v>
          </cell>
          <cell r="CN245">
            <v>16.5</v>
          </cell>
          <cell r="CO245">
            <v>33.9</v>
          </cell>
          <cell r="CP245">
            <v>6.6</v>
          </cell>
          <cell r="CQ245">
            <v>42.1</v>
          </cell>
          <cell r="CR245">
            <v>14.2</v>
          </cell>
          <cell r="CS245">
            <v>26</v>
          </cell>
          <cell r="CT245">
            <v>18.899999999999999</v>
          </cell>
          <cell r="CU245">
            <v>23.5</v>
          </cell>
          <cell r="CV245">
            <v>18.8</v>
          </cell>
          <cell r="CW245">
            <v>60</v>
          </cell>
          <cell r="CX245">
            <v>28.1</v>
          </cell>
          <cell r="CY245">
            <v>17.7</v>
          </cell>
          <cell r="CZ245">
            <v>36.9</v>
          </cell>
          <cell r="DA245">
            <v>27.3</v>
          </cell>
          <cell r="DB245">
            <v>25.8</v>
          </cell>
          <cell r="DC245">
            <v>23.5</v>
          </cell>
          <cell r="DD245">
            <v>42.9</v>
          </cell>
          <cell r="DE245">
            <v>22.1</v>
          </cell>
          <cell r="DF245">
            <v>11.3</v>
          </cell>
          <cell r="DG245">
            <v>26.7</v>
          </cell>
          <cell r="DH245">
            <v>10.4</v>
          </cell>
          <cell r="DI245">
            <v>10.199999999999999</v>
          </cell>
          <cell r="DJ245">
            <v>67.2</v>
          </cell>
          <cell r="DK245">
            <v>31.1</v>
          </cell>
          <cell r="DL245">
            <v>118.6</v>
          </cell>
          <cell r="DM245">
            <v>111.4</v>
          </cell>
          <cell r="DN245">
            <v>-59.7</v>
          </cell>
          <cell r="DO245">
            <v>-59.7</v>
          </cell>
          <cell r="DP245">
            <v>-60.4</v>
          </cell>
          <cell r="DQ245">
            <v>-84.2</v>
          </cell>
          <cell r="DR245">
            <v>-59.7</v>
          </cell>
          <cell r="DS245">
            <v>-60</v>
          </cell>
          <cell r="DT245">
            <v>-60.5</v>
          </cell>
          <cell r="DU245">
            <v>-60</v>
          </cell>
          <cell r="DV245">
            <v>-60.5</v>
          </cell>
          <cell r="DW245">
            <v>-60.5</v>
          </cell>
          <cell r="DX245">
            <v>-60.5</v>
          </cell>
          <cell r="DY245">
            <v>-61</v>
          </cell>
          <cell r="EM245">
            <v>257.5</v>
          </cell>
          <cell r="EN245">
            <v>284.7</v>
          </cell>
          <cell r="EO245">
            <v>246.80000000000004</v>
          </cell>
          <cell r="EP245">
            <v>233.90000000000003</v>
          </cell>
          <cell r="EQ245">
            <v>403.9</v>
          </cell>
          <cell r="ER245">
            <v>348.49999999999994</v>
          </cell>
          <cell r="ES245">
            <v>320.10000000000002</v>
          </cell>
        </row>
        <row r="246">
          <cell r="A246" t="str">
            <v>O&amp;M (Net of pass-throughs)</v>
          </cell>
          <cell r="B246" t="str">
            <v>Operations &amp; Maintenance Expense (incl clause)</v>
          </cell>
          <cell r="E246" t="str">
            <v>Operations &amp; Maintenance Expense</v>
          </cell>
          <cell r="F246" t="str">
            <v>6030801</v>
          </cell>
          <cell r="G246" t="str">
            <v>A_6030801</v>
          </cell>
          <cell r="H246" t="str">
            <v>Empl Exp - Miscellaneous Expense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</row>
        <row r="247">
          <cell r="A247" t="str">
            <v>O&amp;M (Net of pass-throughs)</v>
          </cell>
          <cell r="B247" t="str">
            <v>Operations &amp; Maintenance Expense (incl clause)</v>
          </cell>
          <cell r="E247" t="str">
            <v>Operations &amp; Maintenance Expense</v>
          </cell>
          <cell r="F247" t="str">
            <v>6038999</v>
          </cell>
          <cell r="G247" t="str">
            <v>A_6038999</v>
          </cell>
          <cell r="H247" t="str">
            <v xml:space="preserve"> Employee Expense Reclass 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0.2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0.2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1.2</v>
          </cell>
          <cell r="AT247">
            <v>0.1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0.8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0.6</v>
          </cell>
          <cell r="BN247">
            <v>0</v>
          </cell>
          <cell r="BO247">
            <v>0</v>
          </cell>
          <cell r="BP247">
            <v>0</v>
          </cell>
          <cell r="BQ247">
            <v>1.1000000000000001</v>
          </cell>
          <cell r="BR247">
            <v>0</v>
          </cell>
          <cell r="BS247">
            <v>-0.4</v>
          </cell>
          <cell r="BT247">
            <v>1.4</v>
          </cell>
          <cell r="BU247">
            <v>0.5</v>
          </cell>
          <cell r="BV247">
            <v>0.1</v>
          </cell>
          <cell r="BW247">
            <v>0.9</v>
          </cell>
          <cell r="BX247">
            <v>0.9</v>
          </cell>
          <cell r="BY247">
            <v>0.5</v>
          </cell>
          <cell r="BZ247">
            <v>1</v>
          </cell>
          <cell r="CA247">
            <v>1.7</v>
          </cell>
          <cell r="CB247">
            <v>0.8</v>
          </cell>
          <cell r="CC247">
            <v>1.3</v>
          </cell>
          <cell r="CD247">
            <v>0</v>
          </cell>
          <cell r="CE247">
            <v>0.8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0.5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0.3</v>
          </cell>
          <cell r="CT247">
            <v>0.7</v>
          </cell>
          <cell r="CU247">
            <v>0</v>
          </cell>
          <cell r="CV247">
            <v>0</v>
          </cell>
          <cell r="CW247">
            <v>0</v>
          </cell>
          <cell r="CX247">
            <v>5.3</v>
          </cell>
          <cell r="CY247">
            <v>-5.3</v>
          </cell>
          <cell r="CZ247">
            <v>0</v>
          </cell>
          <cell r="DA247">
            <v>0.2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-52.5</v>
          </cell>
          <cell r="DL247">
            <v>52.9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EM247">
            <v>0.2</v>
          </cell>
          <cell r="EN247">
            <v>1.2</v>
          </cell>
          <cell r="EO247">
            <v>0.1</v>
          </cell>
          <cell r="EP247">
            <v>2.5</v>
          </cell>
          <cell r="EQ247">
            <v>8.7000000000000011</v>
          </cell>
          <cell r="ER247">
            <v>1.3</v>
          </cell>
          <cell r="ES247">
            <v>1.2</v>
          </cell>
        </row>
        <row r="248">
          <cell r="A248" t="str">
            <v>O&amp;M (Net of pass-throughs)</v>
          </cell>
          <cell r="B248" t="str">
            <v>Operations &amp; Maintenance Expense (incl clause)</v>
          </cell>
          <cell r="E248" t="str">
            <v>Operations &amp; Maintenance Expense</v>
          </cell>
          <cell r="F248" t="str">
            <v>6038999</v>
          </cell>
          <cell r="G248" t="str">
            <v>A_S6038999</v>
          </cell>
          <cell r="H248" t="str">
            <v>Settled Exployee Expense Reclass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</row>
        <row r="249">
          <cell r="A249" t="str">
            <v>O&amp;M (Net of pass-throughs)</v>
          </cell>
          <cell r="B249" t="str">
            <v>Operations &amp; Maintenance Expense (incl clause)</v>
          </cell>
          <cell r="E249" t="str">
            <v>Operations &amp; Maintenance Expense</v>
          </cell>
          <cell r="F249" t="str">
            <v>6039000</v>
          </cell>
          <cell r="G249" t="str">
            <v>A_6039000</v>
          </cell>
          <cell r="H249" t="str">
            <v>Employee Reimb Expense sent to Balance Sheet</v>
          </cell>
          <cell r="J249">
            <v>-1.8</v>
          </cell>
          <cell r="K249">
            <v>-12</v>
          </cell>
          <cell r="L249">
            <v>-6.6</v>
          </cell>
          <cell r="M249">
            <v>-4.2</v>
          </cell>
          <cell r="N249">
            <v>-8.1</v>
          </cell>
          <cell r="O249">
            <v>-7.8</v>
          </cell>
          <cell r="P249">
            <v>-5.3</v>
          </cell>
          <cell r="Q249">
            <v>-2.7</v>
          </cell>
          <cell r="R249">
            <v>-9.9</v>
          </cell>
          <cell r="S249">
            <v>-9.4</v>
          </cell>
          <cell r="T249">
            <v>-7.8</v>
          </cell>
          <cell r="U249">
            <v>-16.600000000000001</v>
          </cell>
          <cell r="V249">
            <v>-3.6</v>
          </cell>
          <cell r="W249">
            <v>-11.7</v>
          </cell>
          <cell r="X249">
            <v>-8.9</v>
          </cell>
          <cell r="Y249">
            <v>-6.3</v>
          </cell>
          <cell r="Z249">
            <v>-7.4</v>
          </cell>
          <cell r="AA249">
            <v>-6.9</v>
          </cell>
          <cell r="AB249">
            <v>-3.5</v>
          </cell>
          <cell r="AC249">
            <v>-3.8</v>
          </cell>
          <cell r="AD249">
            <v>-4.4000000000000004</v>
          </cell>
          <cell r="AE249">
            <v>-4.5</v>
          </cell>
          <cell r="AF249">
            <v>-1.6</v>
          </cell>
          <cell r="AG249">
            <v>-9</v>
          </cell>
          <cell r="AH249">
            <v>-8.6</v>
          </cell>
          <cell r="AI249">
            <v>-6.8</v>
          </cell>
          <cell r="AJ249">
            <v>-0.9</v>
          </cell>
          <cell r="AK249">
            <v>-3.9</v>
          </cell>
          <cell r="AL249">
            <v>-4.0999999999999996</v>
          </cell>
          <cell r="AM249">
            <v>-6.8</v>
          </cell>
          <cell r="AN249">
            <v>-3.6</v>
          </cell>
          <cell r="AO249">
            <v>-4.0999999999999996</v>
          </cell>
          <cell r="AP249">
            <v>-2.1</v>
          </cell>
          <cell r="AQ249">
            <v>-3</v>
          </cell>
          <cell r="AR249">
            <v>-10.1</v>
          </cell>
          <cell r="AS249">
            <v>-4.7</v>
          </cell>
          <cell r="AT249">
            <v>-1.5</v>
          </cell>
          <cell r="AU249">
            <v>-2.2999999999999998</v>
          </cell>
          <cell r="AV249">
            <v>-3.5</v>
          </cell>
          <cell r="AW249">
            <v>-6.1</v>
          </cell>
          <cell r="AX249">
            <v>-8.4</v>
          </cell>
          <cell r="AY249">
            <v>-5.7</v>
          </cell>
          <cell r="AZ249">
            <v>-4.2</v>
          </cell>
          <cell r="BA249">
            <v>-7.1</v>
          </cell>
          <cell r="BB249">
            <v>-84.2</v>
          </cell>
          <cell r="BC249">
            <v>17.399999999999999</v>
          </cell>
          <cell r="BD249">
            <v>-53.6</v>
          </cell>
          <cell r="BE249">
            <v>-15.9</v>
          </cell>
          <cell r="BF249">
            <v>-3.9</v>
          </cell>
          <cell r="BG249">
            <v>-8.8000000000000007</v>
          </cell>
          <cell r="BH249">
            <v>-4.0999999999999996</v>
          </cell>
          <cell r="BI249">
            <v>-4.0999999999999996</v>
          </cell>
          <cell r="BJ249">
            <v>-10.1</v>
          </cell>
          <cell r="BK249">
            <v>-9.6999999999999993</v>
          </cell>
          <cell r="BL249">
            <v>-11.7</v>
          </cell>
          <cell r="BM249">
            <v>-9</v>
          </cell>
          <cell r="BN249">
            <v>-11.1</v>
          </cell>
          <cell r="BO249">
            <v>-9.3000000000000007</v>
          </cell>
          <cell r="BP249">
            <v>-335.1</v>
          </cell>
          <cell r="BQ249">
            <v>-22.3</v>
          </cell>
          <cell r="BR249">
            <v>7.3</v>
          </cell>
          <cell r="BS249">
            <v>-12.1</v>
          </cell>
          <cell r="BT249">
            <v>-11.1</v>
          </cell>
          <cell r="BU249">
            <v>-24.8</v>
          </cell>
          <cell r="BV249">
            <v>-16.399999999999999</v>
          </cell>
          <cell r="BW249">
            <v>-101.9</v>
          </cell>
          <cell r="BX249">
            <v>-24.6</v>
          </cell>
          <cell r="BY249">
            <v>-32.700000000000003</v>
          </cell>
          <cell r="BZ249">
            <v>-30.6</v>
          </cell>
          <cell r="CA249">
            <v>-77.400000000000006</v>
          </cell>
          <cell r="CB249">
            <v>-45.6</v>
          </cell>
          <cell r="CC249">
            <v>-58.8</v>
          </cell>
          <cell r="CD249">
            <v>-6.1</v>
          </cell>
          <cell r="CE249">
            <v>-22.3</v>
          </cell>
          <cell r="CF249">
            <v>-38.5</v>
          </cell>
          <cell r="CG249">
            <v>-10.9</v>
          </cell>
          <cell r="CH249">
            <v>-12.2</v>
          </cell>
          <cell r="CI249">
            <v>-11.9</v>
          </cell>
          <cell r="CJ249">
            <v>-19.2</v>
          </cell>
          <cell r="CK249">
            <v>-16.100000000000001</v>
          </cell>
          <cell r="CL249">
            <v>-10.4</v>
          </cell>
          <cell r="CM249">
            <v>-52</v>
          </cell>
          <cell r="CN249">
            <v>-74.5</v>
          </cell>
          <cell r="CO249">
            <v>-15.3</v>
          </cell>
          <cell r="CP249">
            <v>-102.1</v>
          </cell>
          <cell r="CQ249">
            <v>-32.4</v>
          </cell>
          <cell r="CR249">
            <v>-21</v>
          </cell>
          <cell r="CS249">
            <v>-31.9</v>
          </cell>
          <cell r="CT249">
            <v>-26.8</v>
          </cell>
          <cell r="CU249">
            <v>-56</v>
          </cell>
          <cell r="CV249">
            <v>-10.199999999999999</v>
          </cell>
          <cell r="CW249">
            <v>-87.9</v>
          </cell>
          <cell r="CX249">
            <v>-15.2</v>
          </cell>
          <cell r="CY249">
            <v>-28.6</v>
          </cell>
          <cell r="CZ249">
            <v>-42.9</v>
          </cell>
          <cell r="DA249">
            <v>-51.2</v>
          </cell>
          <cell r="DB249">
            <v>-15.2</v>
          </cell>
          <cell r="DC249">
            <v>-14</v>
          </cell>
          <cell r="DD249">
            <v>-30.2</v>
          </cell>
          <cell r="DE249">
            <v>-15.1</v>
          </cell>
          <cell r="DF249">
            <v>-18.3</v>
          </cell>
          <cell r="DG249">
            <v>-25.8</v>
          </cell>
          <cell r="DH249">
            <v>-15.4</v>
          </cell>
          <cell r="DI249">
            <v>-63.9</v>
          </cell>
          <cell r="DJ249">
            <v>-47.7</v>
          </cell>
          <cell r="DK249">
            <v>-39.1</v>
          </cell>
          <cell r="DL249">
            <v>-144.80000000000001</v>
          </cell>
          <cell r="DM249">
            <v>-65.3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EM249">
            <v>-71.599999999999994</v>
          </cell>
          <cell r="EN249">
            <v>-58.7</v>
          </cell>
          <cell r="EO249">
            <v>-175.1</v>
          </cell>
          <cell r="EP249">
            <v>-439.20000000000005</v>
          </cell>
          <cell r="EQ249">
            <v>-428.70000000000005</v>
          </cell>
          <cell r="ER249">
            <v>-289.40000000000003</v>
          </cell>
          <cell r="ES249">
            <v>-506.20000000000005</v>
          </cell>
        </row>
        <row r="250">
          <cell r="A250" t="str">
            <v>O&amp;M (Net of pass-throughs)</v>
          </cell>
          <cell r="B250" t="str">
            <v>Operations &amp; Maintenance Expense (incl clause)</v>
          </cell>
          <cell r="E250" t="str">
            <v>Operations &amp; Maintenance Expense</v>
          </cell>
          <cell r="F250" t="str">
            <v>6030000</v>
          </cell>
          <cell r="G250" t="str">
            <v>A_A6030000</v>
          </cell>
          <cell r="H250" t="str">
            <v>Assessed Employee Reimbursable Expense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</row>
        <row r="251">
          <cell r="A251" t="str">
            <v>O&amp;M (Net of pass-throughs)</v>
          </cell>
          <cell r="B251" t="str">
            <v>Operations &amp; Maintenance Expense (incl clause)</v>
          </cell>
          <cell r="E251" t="str">
            <v>Operations &amp; Maintenance Expense</v>
          </cell>
          <cell r="F251" t="str">
            <v>6030000</v>
          </cell>
          <cell r="G251" t="str">
            <v>A_S6030000</v>
          </cell>
          <cell r="H251" t="str">
            <v>Settled Employee Reimbursable Expense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</row>
        <row r="252">
          <cell r="A252" t="str">
            <v>O&amp;M (Net of pass-throughs)</v>
          </cell>
          <cell r="B252" t="str">
            <v>Operations &amp; Maintenance Expense (incl clause)</v>
          </cell>
          <cell r="E252" t="str">
            <v>Operations &amp; Maintenance Expense</v>
          </cell>
          <cell r="F252" t="str">
            <v>6030010</v>
          </cell>
          <cell r="G252" t="str">
            <v>A_S6030010</v>
          </cell>
          <cell r="H252" t="str">
            <v>Settled Empl Exp - Professional Dues Subscription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-1.6</v>
          </cell>
          <cell r="DO252">
            <v>-1.4</v>
          </cell>
          <cell r="DP252">
            <v>-1.1000000000000001</v>
          </cell>
          <cell r="DQ252">
            <v>0.6</v>
          </cell>
          <cell r="DR252">
            <v>-2.1</v>
          </cell>
          <cell r="DS252">
            <v>-1.5</v>
          </cell>
          <cell r="DT252">
            <v>3</v>
          </cell>
          <cell r="DU252">
            <v>0.7</v>
          </cell>
          <cell r="DV252">
            <v>-1.8</v>
          </cell>
          <cell r="DW252">
            <v>-1.9</v>
          </cell>
          <cell r="DX252">
            <v>-2</v>
          </cell>
          <cell r="DY252">
            <v>-2.1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</row>
        <row r="253">
          <cell r="A253" t="str">
            <v>O&amp;M (Net of pass-throughs)</v>
          </cell>
          <cell r="B253" t="str">
            <v>Operations &amp; Maintenance Expense (incl clause)</v>
          </cell>
          <cell r="E253" t="str">
            <v>Operations &amp; Maintenance Expense</v>
          </cell>
          <cell r="F253" t="str">
            <v>6030030</v>
          </cell>
          <cell r="G253" t="str">
            <v>A_S6030030</v>
          </cell>
          <cell r="H253" t="str">
            <v>Empl Exp - Meals &amp; Entertainment 100% Deductible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0.7</v>
          </cell>
          <cell r="DU253">
            <v>0</v>
          </cell>
          <cell r="DV253">
            <v>0</v>
          </cell>
          <cell r="DW253">
            <v>0.7</v>
          </cell>
          <cell r="DX253">
            <v>0</v>
          </cell>
          <cell r="DY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</row>
        <row r="254">
          <cell r="A254" t="str">
            <v>O&amp;M (Net of pass-throughs)</v>
          </cell>
          <cell r="B254" t="str">
            <v>Operations &amp; Maintenance Expense (incl clause)</v>
          </cell>
          <cell r="E254" t="str">
            <v>Operations &amp; Maintenance Expense</v>
          </cell>
          <cell r="F254" t="str">
            <v>6030050</v>
          </cell>
          <cell r="G254" t="str">
            <v>A_S6030050</v>
          </cell>
          <cell r="H254" t="str">
            <v>Settled Empl Exp - Mileage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2.1</v>
          </cell>
          <cell r="DO254">
            <v>1.9</v>
          </cell>
          <cell r="DP254">
            <v>2.8</v>
          </cell>
          <cell r="DQ254">
            <v>2.6</v>
          </cell>
          <cell r="DR254">
            <v>3.7</v>
          </cell>
          <cell r="DS254">
            <v>3.3</v>
          </cell>
          <cell r="DT254">
            <v>4.5</v>
          </cell>
          <cell r="DU254">
            <v>4.2</v>
          </cell>
          <cell r="DV254">
            <v>4.3</v>
          </cell>
          <cell r="DW254">
            <v>3.6</v>
          </cell>
          <cell r="DX254">
            <v>4.2</v>
          </cell>
          <cell r="DY254">
            <v>5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</row>
        <row r="255">
          <cell r="A255" t="str">
            <v>O&amp;M (Net of pass-throughs)</v>
          </cell>
          <cell r="B255" t="str">
            <v>Operations &amp; Maintenance Expense (incl clause)</v>
          </cell>
          <cell r="E255" t="str">
            <v>Operations &amp; Maintenance Expense</v>
          </cell>
          <cell r="F255" t="str">
            <v>6030060</v>
          </cell>
          <cell r="G255" t="str">
            <v>A_S6030060</v>
          </cell>
          <cell r="H255" t="str">
            <v>Settled Empl Exp - Shoes and uniforms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0.8</v>
          </cell>
          <cell r="DO255">
            <v>0.7</v>
          </cell>
          <cell r="DP255">
            <v>0.4</v>
          </cell>
          <cell r="DQ255">
            <v>0.1</v>
          </cell>
          <cell r="DR255">
            <v>0.5</v>
          </cell>
          <cell r="DS255">
            <v>0.9</v>
          </cell>
          <cell r="DT255">
            <v>0.5</v>
          </cell>
          <cell r="DU255">
            <v>0.3</v>
          </cell>
          <cell r="DV255">
            <v>0.4</v>
          </cell>
          <cell r="DW255">
            <v>0.4</v>
          </cell>
          <cell r="DX255">
            <v>0.5</v>
          </cell>
          <cell r="DY255">
            <v>0.5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</row>
        <row r="256">
          <cell r="A256" t="str">
            <v>O&amp;M (Net of pass-throughs)</v>
          </cell>
          <cell r="B256" t="str">
            <v>Operations &amp; Maintenance Expense (incl clause)</v>
          </cell>
          <cell r="E256" t="str">
            <v>Operations &amp; Maintenance Expense</v>
          </cell>
          <cell r="F256" t="str">
            <v>6030070</v>
          </cell>
          <cell r="G256" t="str">
            <v>A_S6030070</v>
          </cell>
          <cell r="H256" t="str">
            <v>Settled Empl Exp - Training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2.8</v>
          </cell>
          <cell r="DO256">
            <v>3.8</v>
          </cell>
          <cell r="DP256">
            <v>11</v>
          </cell>
          <cell r="DQ256">
            <v>8.6</v>
          </cell>
          <cell r="DR256">
            <v>8.4</v>
          </cell>
          <cell r="DS256">
            <v>10.5</v>
          </cell>
          <cell r="DT256">
            <v>4.0999999999999996</v>
          </cell>
          <cell r="DU256">
            <v>6.1</v>
          </cell>
          <cell r="DV256">
            <v>7.3</v>
          </cell>
          <cell r="DW256">
            <v>7.6</v>
          </cell>
          <cell r="DX256">
            <v>7.9</v>
          </cell>
          <cell r="DY256">
            <v>5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</row>
        <row r="257">
          <cell r="A257" t="str">
            <v>O&amp;M (Net of pass-throughs)</v>
          </cell>
          <cell r="B257" t="str">
            <v>Operations &amp; Maintenance Expense (incl clause)</v>
          </cell>
          <cell r="E257" t="str">
            <v>Operations &amp; Maintenance Expense</v>
          </cell>
          <cell r="F257" t="str">
            <v>6030080</v>
          </cell>
          <cell r="G257" t="str">
            <v>A_S6030080</v>
          </cell>
          <cell r="H257" t="str">
            <v>Settled Empl Exp - Travel and Lodging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30.5</v>
          </cell>
          <cell r="DO257">
            <v>33.299999999999997</v>
          </cell>
          <cell r="DP257">
            <v>37.200000000000003</v>
          </cell>
          <cell r="DQ257">
            <v>39.5</v>
          </cell>
          <cell r="DR257">
            <v>41.4</v>
          </cell>
          <cell r="DS257">
            <v>39.6</v>
          </cell>
          <cell r="DT257">
            <v>39.5</v>
          </cell>
          <cell r="DU257">
            <v>40.5</v>
          </cell>
          <cell r="DV257">
            <v>37.9</v>
          </cell>
          <cell r="DW257">
            <v>38.6</v>
          </cell>
          <cell r="DX257">
            <v>32</v>
          </cell>
          <cell r="DY257">
            <v>31.2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</row>
        <row r="258">
          <cell r="A258" t="str">
            <v>O&amp;M (Net of pass-throughs)</v>
          </cell>
          <cell r="B258" t="str">
            <v>Operations &amp; Maintenance Expense (incl clause)</v>
          </cell>
          <cell r="E258" t="str">
            <v>Operations &amp; Maintenance Expense</v>
          </cell>
          <cell r="F258" t="str">
            <v>6030091</v>
          </cell>
          <cell r="G258" t="str">
            <v>A_S6030091</v>
          </cell>
          <cell r="H258" t="str">
            <v>Settled Empl Exp - Employee Appreciation and Gift Cards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1.7</v>
          </cell>
          <cell r="DR258">
            <v>0.2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</row>
        <row r="259">
          <cell r="A259" t="str">
            <v>O&amp;M (Net of pass-throughs)</v>
          </cell>
          <cell r="B259" t="str">
            <v>Operations &amp; Maintenance Expense (incl clause)</v>
          </cell>
          <cell r="E259" t="str">
            <v>Operations &amp; Maintenance Expense</v>
          </cell>
          <cell r="F259" t="str">
            <v>6030040</v>
          </cell>
          <cell r="G259" t="str">
            <v>A_S6030040</v>
          </cell>
          <cell r="H259" t="str">
            <v>Settled Empl Exp - Meals &amp; Entertainment 50% Ded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15.3</v>
          </cell>
          <cell r="DO259">
            <v>14.6</v>
          </cell>
          <cell r="DP259">
            <v>16.600000000000001</v>
          </cell>
          <cell r="DQ259">
            <v>17</v>
          </cell>
          <cell r="DR259">
            <v>16.5</v>
          </cell>
          <cell r="DS259">
            <v>17.100000000000001</v>
          </cell>
          <cell r="DT259">
            <v>17.100000000000001</v>
          </cell>
          <cell r="DU259">
            <v>17.5</v>
          </cell>
          <cell r="DV259">
            <v>18.8</v>
          </cell>
          <cell r="DW259">
            <v>17.5</v>
          </cell>
          <cell r="DX259">
            <v>17.399999999999999</v>
          </cell>
          <cell r="DY259">
            <v>20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</row>
        <row r="260">
          <cell r="A260" t="str">
            <v>O&amp;M (Net of pass-throughs)</v>
          </cell>
          <cell r="B260" t="str">
            <v>Operations &amp; Maintenance Expense (incl clause)</v>
          </cell>
          <cell r="E260" t="str">
            <v>Operations &amp; Maintenance Expense</v>
          </cell>
          <cell r="F260" t="str">
            <v>6030800</v>
          </cell>
          <cell r="G260" t="str">
            <v>A_S6030800</v>
          </cell>
          <cell r="H260" t="str">
            <v>Settled Empl Exp - Miscellaneous Expense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109.4</v>
          </cell>
          <cell r="DO260">
            <v>126.7</v>
          </cell>
          <cell r="DP260">
            <v>130.9</v>
          </cell>
          <cell r="DQ260">
            <v>165.5</v>
          </cell>
          <cell r="DR260">
            <v>117</v>
          </cell>
          <cell r="DS260">
            <v>129.19999999999999</v>
          </cell>
          <cell r="DT260">
            <v>122.3</v>
          </cell>
          <cell r="DU260">
            <v>138.1</v>
          </cell>
          <cell r="DV260">
            <v>139.6</v>
          </cell>
          <cell r="DW260">
            <v>145.69999999999999</v>
          </cell>
          <cell r="DX260">
            <v>127.3</v>
          </cell>
          <cell r="DY260">
            <v>130.30000000000001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</row>
        <row r="261">
          <cell r="A261" t="str">
            <v>O&amp;M (Net of pass-throughs)</v>
          </cell>
          <cell r="B261" t="str">
            <v>Operations &amp; Maintenance Expense (incl clause)</v>
          </cell>
          <cell r="E261" t="str">
            <v>Operations &amp; Maintenance Expense</v>
          </cell>
          <cell r="F261" t="str">
            <v>6030000</v>
          </cell>
          <cell r="G261" t="str">
            <v>A_P6030000</v>
          </cell>
          <cell r="H261" t="str">
            <v>Planned Employee Reimbursable Expense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</row>
        <row r="262">
          <cell r="F262" t="str">
            <v>603</v>
          </cell>
          <cell r="G262">
            <v>603</v>
          </cell>
          <cell r="J262">
            <v>68.90000000000002</v>
          </cell>
          <cell r="K262">
            <v>119.4</v>
          </cell>
          <cell r="L262">
            <v>158.30000000000001</v>
          </cell>
          <cell r="M262">
            <v>98.2</v>
          </cell>
          <cell r="N262">
            <v>109.2</v>
          </cell>
          <cell r="O262">
            <v>128.1</v>
          </cell>
          <cell r="P262">
            <v>113.4</v>
          </cell>
          <cell r="Q262">
            <v>117.2</v>
          </cell>
          <cell r="R262">
            <v>114.59999999999998</v>
          </cell>
          <cell r="S262">
            <v>134.6</v>
          </cell>
          <cell r="T262">
            <v>113</v>
          </cell>
          <cell r="U262">
            <v>159.5</v>
          </cell>
          <cell r="V262">
            <v>28.5</v>
          </cell>
          <cell r="W262">
            <v>87.5</v>
          </cell>
          <cell r="X262">
            <v>154.29999999999998</v>
          </cell>
          <cell r="Y262">
            <v>110.60000000000001</v>
          </cell>
          <cell r="Z262">
            <v>118.4</v>
          </cell>
          <cell r="AA262">
            <v>141.69999999999996</v>
          </cell>
          <cell r="AB262">
            <v>129.69999999999999</v>
          </cell>
          <cell r="AC262">
            <v>108</v>
          </cell>
          <cell r="AD262">
            <v>137.79999999999998</v>
          </cell>
          <cell r="AE262">
            <v>153.79999999999998</v>
          </cell>
          <cell r="AF262">
            <v>132.9</v>
          </cell>
          <cell r="AG262">
            <v>212.5</v>
          </cell>
          <cell r="AH262">
            <v>51.5</v>
          </cell>
          <cell r="AI262">
            <v>122.3</v>
          </cell>
          <cell r="AJ262">
            <v>182.29999999999998</v>
          </cell>
          <cell r="AK262">
            <v>146.29999999999998</v>
          </cell>
          <cell r="AL262">
            <v>134.30000000000001</v>
          </cell>
          <cell r="AM262">
            <v>156.99999999999997</v>
          </cell>
          <cell r="AN262">
            <v>102.4</v>
          </cell>
          <cell r="AO262">
            <v>147.19999999999999</v>
          </cell>
          <cell r="AP262">
            <v>127.6</v>
          </cell>
          <cell r="AQ262">
            <v>125</v>
          </cell>
          <cell r="AR262">
            <v>147.70000000000002</v>
          </cell>
          <cell r="AS262">
            <v>271.89999999999998</v>
          </cell>
          <cell r="AT262">
            <v>53.400000000000006</v>
          </cell>
          <cell r="AU262">
            <v>135.89999999999998</v>
          </cell>
          <cell r="AV262">
            <v>139.5</v>
          </cell>
          <cell r="AW262">
            <v>107.4</v>
          </cell>
          <cell r="AX262">
            <v>115.5</v>
          </cell>
          <cell r="AY262">
            <v>105.8</v>
          </cell>
          <cell r="AZ262">
            <v>103.10000000000001</v>
          </cell>
          <cell r="BA262">
            <v>93.500000000000028</v>
          </cell>
          <cell r="BB262">
            <v>110.80000000000003</v>
          </cell>
          <cell r="BC262">
            <v>50.8</v>
          </cell>
          <cell r="BD262">
            <v>122.30000000000001</v>
          </cell>
          <cell r="BE262">
            <v>207.70000000000002</v>
          </cell>
          <cell r="BF262">
            <v>37.1</v>
          </cell>
          <cell r="BG262">
            <v>146.69999999999999</v>
          </cell>
          <cell r="BH262">
            <v>169.9</v>
          </cell>
          <cell r="BI262">
            <v>139</v>
          </cell>
          <cell r="BJ262">
            <v>196.29999999999998</v>
          </cell>
          <cell r="BK262">
            <v>161.70000000000002</v>
          </cell>
          <cell r="BL262">
            <v>119.60000000000001</v>
          </cell>
          <cell r="BM262">
            <v>158.20000000000002</v>
          </cell>
          <cell r="BN262">
            <v>148.89999999999998</v>
          </cell>
          <cell r="BO262">
            <v>136</v>
          </cell>
          <cell r="BP262">
            <v>136.49999999999994</v>
          </cell>
          <cell r="BQ262">
            <v>252.59999999999997</v>
          </cell>
          <cell r="BR262">
            <v>62.6</v>
          </cell>
          <cell r="BS262">
            <v>189.89999999999998</v>
          </cell>
          <cell r="BT262">
            <v>186.9</v>
          </cell>
          <cell r="BU262">
            <v>133.1</v>
          </cell>
          <cell r="BV262">
            <v>137.79999999999998</v>
          </cell>
          <cell r="BW262">
            <v>159.69999999999996</v>
          </cell>
          <cell r="BX262">
            <v>206.00000000000003</v>
          </cell>
          <cell r="BY262">
            <v>194</v>
          </cell>
          <cell r="BZ262">
            <v>216.30000000000004</v>
          </cell>
          <cell r="CA262">
            <v>171.6</v>
          </cell>
          <cell r="CB262">
            <v>208.30000000000004</v>
          </cell>
          <cell r="CC262">
            <v>281.60000000000002</v>
          </cell>
          <cell r="CD262">
            <v>46.4</v>
          </cell>
          <cell r="CE262">
            <v>229.4</v>
          </cell>
          <cell r="CF262">
            <v>258.39999999999998</v>
          </cell>
          <cell r="CG262">
            <v>118.79999999999998</v>
          </cell>
          <cell r="CH262">
            <v>61.3</v>
          </cell>
          <cell r="CI262">
            <v>56.199999999999996</v>
          </cell>
          <cell r="CJ262">
            <v>52.8</v>
          </cell>
          <cell r="CK262">
            <v>87.4</v>
          </cell>
          <cell r="CL262">
            <v>96.9</v>
          </cell>
          <cell r="CM262">
            <v>76.699999999999989</v>
          </cell>
          <cell r="CN262">
            <v>66.099999999999994</v>
          </cell>
          <cell r="CO262">
            <v>116.10000000000001</v>
          </cell>
          <cell r="CP262">
            <v>45.800000000000011</v>
          </cell>
          <cell r="CQ262">
            <v>114.39999999999998</v>
          </cell>
          <cell r="CR262">
            <v>127.29999999999998</v>
          </cell>
          <cell r="CS262">
            <v>118.30000000000001</v>
          </cell>
          <cell r="CT262">
            <v>104.2</v>
          </cell>
          <cell r="CU262">
            <v>95.5</v>
          </cell>
          <cell r="CV262">
            <v>102.89999999999999</v>
          </cell>
          <cell r="CW262">
            <v>113.6</v>
          </cell>
          <cell r="CX262">
            <v>120.2</v>
          </cell>
          <cell r="CY262">
            <v>92</v>
          </cell>
          <cell r="CZ262">
            <v>176.99999999999997</v>
          </cell>
          <cell r="DA262">
            <v>225.60000000000002</v>
          </cell>
          <cell r="DB262">
            <v>73.2</v>
          </cell>
          <cell r="DC262">
            <v>124.69999999999999</v>
          </cell>
          <cell r="DD262">
            <v>218.40000000000003</v>
          </cell>
          <cell r="DE262">
            <v>250.50000000000003</v>
          </cell>
          <cell r="DF262">
            <v>220.70000000000002</v>
          </cell>
          <cell r="DG262">
            <v>225.79999999999998</v>
          </cell>
          <cell r="DH262">
            <v>185.00000000000003</v>
          </cell>
          <cell r="DI262">
            <v>301.3</v>
          </cell>
          <cell r="DJ262">
            <v>257.7</v>
          </cell>
          <cell r="DK262">
            <v>234.6</v>
          </cell>
          <cell r="DL262">
            <v>356.99999999999994</v>
          </cell>
          <cell r="DM262">
            <v>340.8</v>
          </cell>
          <cell r="DN262">
            <v>126.4</v>
          </cell>
          <cell r="DO262">
            <v>146.69999999999999</v>
          </cell>
          <cell r="DP262">
            <v>171.5</v>
          </cell>
          <cell r="DQ262">
            <v>201.2</v>
          </cell>
          <cell r="DR262">
            <v>152.69999999999999</v>
          </cell>
          <cell r="DS262">
            <v>173.2</v>
          </cell>
          <cell r="DT262">
            <v>159</v>
          </cell>
          <cell r="DU262">
            <v>174.2</v>
          </cell>
          <cell r="DV262">
            <v>185.1</v>
          </cell>
          <cell r="DW262">
            <v>184.7</v>
          </cell>
          <cell r="DX262">
            <v>153.80000000000001</v>
          </cell>
          <cell r="DY262">
            <v>163.19999999999999</v>
          </cell>
          <cell r="EM262">
            <v>1515.6999999999998</v>
          </cell>
          <cell r="EN262">
            <v>1715.5</v>
          </cell>
          <cell r="EO262">
            <v>1345.7</v>
          </cell>
          <cell r="EP262">
            <v>1802.5</v>
          </cell>
          <cell r="EQ262">
            <v>2147.7999999999997</v>
          </cell>
          <cell r="ER262">
            <v>1266.4999999999998</v>
          </cell>
          <cell r="ES262">
            <v>1436.8000000000002</v>
          </cell>
        </row>
        <row r="263">
          <cell r="A263" t="str">
            <v>O&amp;M (Net of pass-throughs)</v>
          </cell>
          <cell r="B263" t="str">
            <v>Operations &amp; Maintenance Expense (incl clause)</v>
          </cell>
          <cell r="E263" t="str">
            <v>Operations &amp; Maintenance Expense</v>
          </cell>
          <cell r="F263" t="str">
            <v>6100010</v>
          </cell>
          <cell r="G263" t="str">
            <v>A_6100010</v>
          </cell>
          <cell r="H263" t="str">
            <v>Advertising</v>
          </cell>
          <cell r="J263">
            <v>158.6</v>
          </cell>
          <cell r="K263">
            <v>283.89999999999998</v>
          </cell>
          <cell r="L263">
            <v>107.1</v>
          </cell>
          <cell r="M263">
            <v>50.4</v>
          </cell>
          <cell r="N263">
            <v>165.8</v>
          </cell>
          <cell r="O263">
            <v>261.10000000000002</v>
          </cell>
          <cell r="P263">
            <v>78.900000000000006</v>
          </cell>
          <cell r="Q263">
            <v>230.5</v>
          </cell>
          <cell r="R263">
            <v>329.6</v>
          </cell>
          <cell r="S263">
            <v>93.4</v>
          </cell>
          <cell r="T263">
            <v>26</v>
          </cell>
          <cell r="U263">
            <v>73.5</v>
          </cell>
          <cell r="V263">
            <v>119.5</v>
          </cell>
          <cell r="W263">
            <v>132.4</v>
          </cell>
          <cell r="X263">
            <v>106.7</v>
          </cell>
          <cell r="Y263">
            <v>35.6</v>
          </cell>
          <cell r="Z263">
            <v>68.099999999999994</v>
          </cell>
          <cell r="AA263">
            <v>126.4</v>
          </cell>
          <cell r="AB263">
            <v>180.7</v>
          </cell>
          <cell r="AC263">
            <v>241.4</v>
          </cell>
          <cell r="AD263">
            <v>230.2</v>
          </cell>
          <cell r="AE263">
            <v>342.4</v>
          </cell>
          <cell r="AF263">
            <v>44.5</v>
          </cell>
          <cell r="AG263">
            <v>69.7</v>
          </cell>
          <cell r="AH263">
            <v>111.9</v>
          </cell>
          <cell r="AI263">
            <v>39.9</v>
          </cell>
          <cell r="AJ263">
            <v>130</v>
          </cell>
          <cell r="AK263">
            <v>130.19999999999999</v>
          </cell>
          <cell r="AL263">
            <v>209.3</v>
          </cell>
          <cell r="AM263">
            <v>83.7</v>
          </cell>
          <cell r="AN263">
            <v>-47</v>
          </cell>
          <cell r="AO263">
            <v>462.7</v>
          </cell>
          <cell r="AP263">
            <v>113.7</v>
          </cell>
          <cell r="AQ263">
            <v>185.3</v>
          </cell>
          <cell r="AR263">
            <v>70.5</v>
          </cell>
          <cell r="AS263">
            <v>373.8</v>
          </cell>
          <cell r="AT263">
            <v>41.1</v>
          </cell>
          <cell r="AU263">
            <v>97.7</v>
          </cell>
          <cell r="AV263">
            <v>16.100000000000001</v>
          </cell>
          <cell r="AW263">
            <v>25.3</v>
          </cell>
          <cell r="AX263">
            <v>125.1</v>
          </cell>
          <cell r="AY263">
            <v>72.2</v>
          </cell>
          <cell r="AZ263">
            <v>62.5</v>
          </cell>
          <cell r="BA263">
            <v>15.8</v>
          </cell>
          <cell r="BB263">
            <v>3</v>
          </cell>
          <cell r="BC263">
            <v>516.5</v>
          </cell>
          <cell r="BD263">
            <v>281.10000000000002</v>
          </cell>
          <cell r="BE263">
            <v>341.4</v>
          </cell>
          <cell r="BF263">
            <v>36.9</v>
          </cell>
          <cell r="BG263">
            <v>5.2</v>
          </cell>
          <cell r="BH263">
            <v>97.7</v>
          </cell>
          <cell r="BI263">
            <v>223.9</v>
          </cell>
          <cell r="BJ263">
            <v>-124.7</v>
          </cell>
          <cell r="BK263">
            <v>151.80000000000001</v>
          </cell>
          <cell r="BL263">
            <v>238.1</v>
          </cell>
          <cell r="BM263">
            <v>190.2</v>
          </cell>
          <cell r="BN263">
            <v>26.6</v>
          </cell>
          <cell r="BO263">
            <v>515.4</v>
          </cell>
          <cell r="BP263">
            <v>43.8</v>
          </cell>
          <cell r="BQ263">
            <v>175.8</v>
          </cell>
          <cell r="BR263">
            <v>150.1</v>
          </cell>
          <cell r="BS263">
            <v>-57.3</v>
          </cell>
          <cell r="BT263">
            <v>26.5</v>
          </cell>
          <cell r="BU263">
            <v>239.7</v>
          </cell>
          <cell r="BV263">
            <v>65.400000000000006</v>
          </cell>
          <cell r="BW263">
            <v>20.7</v>
          </cell>
          <cell r="BX263">
            <v>103.8</v>
          </cell>
          <cell r="BY263">
            <v>31.6</v>
          </cell>
          <cell r="BZ263">
            <v>24.6</v>
          </cell>
          <cell r="CA263">
            <v>475.5</v>
          </cell>
          <cell r="CB263">
            <v>154.5</v>
          </cell>
          <cell r="CC263">
            <v>209.9</v>
          </cell>
          <cell r="CD263">
            <v>153.19999999999999</v>
          </cell>
          <cell r="CE263">
            <v>27.5</v>
          </cell>
          <cell r="CF263">
            <v>69.599999999999994</v>
          </cell>
          <cell r="CG263">
            <v>0.4</v>
          </cell>
          <cell r="CH263">
            <v>161.80000000000001</v>
          </cell>
          <cell r="CI263">
            <v>6.3</v>
          </cell>
          <cell r="CJ263">
            <v>60.7</v>
          </cell>
          <cell r="CK263">
            <v>203.8</v>
          </cell>
          <cell r="CL263">
            <v>155</v>
          </cell>
          <cell r="CM263">
            <v>545.20000000000005</v>
          </cell>
          <cell r="CN263">
            <v>477.5</v>
          </cell>
          <cell r="CO263">
            <v>-67.2</v>
          </cell>
          <cell r="CP263">
            <v>3.9</v>
          </cell>
          <cell r="CQ263">
            <v>205.7</v>
          </cell>
          <cell r="CR263">
            <v>136.80000000000001</v>
          </cell>
          <cell r="CS263">
            <v>196.6</v>
          </cell>
          <cell r="CT263">
            <v>161.4</v>
          </cell>
          <cell r="CU263">
            <v>205.7</v>
          </cell>
          <cell r="CV263">
            <v>178.6</v>
          </cell>
          <cell r="CW263">
            <v>-12.4</v>
          </cell>
          <cell r="CX263">
            <v>414</v>
          </cell>
          <cell r="CY263">
            <v>29.5</v>
          </cell>
          <cell r="CZ263">
            <v>174.9</v>
          </cell>
          <cell r="DA263">
            <v>789</v>
          </cell>
          <cell r="DB263">
            <v>-86.9</v>
          </cell>
          <cell r="DC263">
            <v>163.9</v>
          </cell>
          <cell r="DD263">
            <v>314.10000000000002</v>
          </cell>
          <cell r="DE263">
            <v>165.7</v>
          </cell>
          <cell r="DF263">
            <v>257.3</v>
          </cell>
          <cell r="DG263">
            <v>93.6</v>
          </cell>
          <cell r="DH263">
            <v>302.60000000000002</v>
          </cell>
          <cell r="DI263">
            <v>299.3</v>
          </cell>
          <cell r="DJ263">
            <v>76.400000000000006</v>
          </cell>
          <cell r="DK263">
            <v>509.2</v>
          </cell>
          <cell r="DL263">
            <v>276.89999999999998</v>
          </cell>
          <cell r="DM263">
            <v>403.9</v>
          </cell>
          <cell r="DN263">
            <v>85.2</v>
          </cell>
          <cell r="DO263">
            <v>87.2</v>
          </cell>
          <cell r="DP263">
            <v>122.2</v>
          </cell>
          <cell r="DQ263">
            <v>105.1</v>
          </cell>
          <cell r="DR263">
            <v>154.1</v>
          </cell>
          <cell r="DS263">
            <v>127.6</v>
          </cell>
          <cell r="DT263">
            <v>197</v>
          </cell>
          <cell r="DU263">
            <v>143</v>
          </cell>
          <cell r="DV263">
            <v>139.5</v>
          </cell>
          <cell r="DW263">
            <v>317</v>
          </cell>
          <cell r="DX263">
            <v>233.5</v>
          </cell>
          <cell r="DY263">
            <v>118.9</v>
          </cell>
          <cell r="EM263">
            <v>1697.6000000000001</v>
          </cell>
          <cell r="EN263">
            <v>1864</v>
          </cell>
          <cell r="EO263">
            <v>1597.8000000000002</v>
          </cell>
          <cell r="EP263">
            <v>1580.7</v>
          </cell>
          <cell r="EQ263">
            <v>1445</v>
          </cell>
          <cell r="ER263">
            <v>1793.8</v>
          </cell>
          <cell r="ES263">
            <v>2483.6999999999998</v>
          </cell>
        </row>
        <row r="264">
          <cell r="A264" t="str">
            <v>O&amp;M (Net of pass-throughs)</v>
          </cell>
          <cell r="B264" t="str">
            <v>Operations &amp; Maintenance Expense (incl clause)</v>
          </cell>
          <cell r="E264" t="str">
            <v>Operations &amp; Maintenance Expense</v>
          </cell>
          <cell r="F264" t="str">
            <v>6100020</v>
          </cell>
          <cell r="G264" t="str">
            <v>A_6100020</v>
          </cell>
          <cell r="H264" t="str">
            <v>Analytical (Predictive Maint)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0.2</v>
          </cell>
          <cell r="U264">
            <v>0.2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0.4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EM264">
            <v>0.4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</row>
        <row r="265">
          <cell r="A265" t="str">
            <v>O&amp;M (Net of pass-throughs)</v>
          </cell>
          <cell r="B265" t="str">
            <v>Operations &amp; Maintenance Expense (incl clause)</v>
          </cell>
          <cell r="E265" t="str">
            <v>Operations &amp; Maintenance Expense</v>
          </cell>
          <cell r="F265" t="str">
            <v>6100030</v>
          </cell>
          <cell r="G265" t="str">
            <v>A_6100030</v>
          </cell>
          <cell r="H265" t="str">
            <v>Consultants - Audit</v>
          </cell>
          <cell r="J265">
            <v>0</v>
          </cell>
          <cell r="K265">
            <v>0</v>
          </cell>
          <cell r="L265">
            <v>23.5</v>
          </cell>
          <cell r="M265">
            <v>53.6</v>
          </cell>
          <cell r="N265">
            <v>53.6</v>
          </cell>
          <cell r="O265">
            <v>53.6</v>
          </cell>
          <cell r="P265">
            <v>0</v>
          </cell>
          <cell r="Q265">
            <v>0</v>
          </cell>
          <cell r="R265">
            <v>53.6</v>
          </cell>
          <cell r="S265">
            <v>0</v>
          </cell>
          <cell r="T265">
            <v>53.6</v>
          </cell>
          <cell r="U265">
            <v>59.6</v>
          </cell>
          <cell r="V265">
            <v>0</v>
          </cell>
          <cell r="W265">
            <v>0</v>
          </cell>
          <cell r="X265">
            <v>0</v>
          </cell>
          <cell r="Y265">
            <v>59</v>
          </cell>
          <cell r="Z265">
            <v>59</v>
          </cell>
          <cell r="AA265">
            <v>59</v>
          </cell>
          <cell r="AB265">
            <v>59</v>
          </cell>
          <cell r="AC265">
            <v>40.6</v>
          </cell>
          <cell r="AD265">
            <v>0</v>
          </cell>
          <cell r="AE265">
            <v>0</v>
          </cell>
          <cell r="AF265">
            <v>0</v>
          </cell>
          <cell r="AG265">
            <v>186.1</v>
          </cell>
          <cell r="AH265">
            <v>0</v>
          </cell>
          <cell r="AI265">
            <v>0</v>
          </cell>
          <cell r="AJ265">
            <v>58.8</v>
          </cell>
          <cell r="AK265">
            <v>40</v>
          </cell>
          <cell r="AL265">
            <v>26.6</v>
          </cell>
          <cell r="AM265">
            <v>0</v>
          </cell>
          <cell r="AN265">
            <v>153.80000000000001</v>
          </cell>
          <cell r="AO265">
            <v>0</v>
          </cell>
          <cell r="AP265">
            <v>0</v>
          </cell>
          <cell r="AQ265">
            <v>0</v>
          </cell>
          <cell r="AR265">
            <v>63.6</v>
          </cell>
          <cell r="AS265">
            <v>52.6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140</v>
          </cell>
          <cell r="AY265">
            <v>0</v>
          </cell>
          <cell r="AZ265">
            <v>35</v>
          </cell>
          <cell r="BA265">
            <v>0</v>
          </cell>
          <cell r="BB265">
            <v>0</v>
          </cell>
          <cell r="BC265">
            <v>0</v>
          </cell>
          <cell r="BD265">
            <v>55</v>
          </cell>
          <cell r="BE265">
            <v>79.8</v>
          </cell>
          <cell r="BF265">
            <v>0</v>
          </cell>
          <cell r="BG265">
            <v>0</v>
          </cell>
          <cell r="BH265">
            <v>33.299999999999997</v>
          </cell>
          <cell r="BI265">
            <v>10</v>
          </cell>
          <cell r="BJ265">
            <v>0</v>
          </cell>
          <cell r="BK265">
            <v>33.299999999999997</v>
          </cell>
          <cell r="BL265">
            <v>0</v>
          </cell>
          <cell r="BM265">
            <v>0</v>
          </cell>
          <cell r="BN265">
            <v>33.299999999999997</v>
          </cell>
          <cell r="BO265">
            <v>0</v>
          </cell>
          <cell r="BP265">
            <v>0</v>
          </cell>
          <cell r="BQ265">
            <v>33.299999999999997</v>
          </cell>
          <cell r="BR265">
            <v>0</v>
          </cell>
          <cell r="BS265">
            <v>20.5</v>
          </cell>
          <cell r="BT265">
            <v>6</v>
          </cell>
          <cell r="BU265">
            <v>0</v>
          </cell>
          <cell r="BV265">
            <v>31.3</v>
          </cell>
          <cell r="BW265">
            <v>31.3</v>
          </cell>
          <cell r="BX265">
            <v>0</v>
          </cell>
          <cell r="BY265">
            <v>3.2</v>
          </cell>
          <cell r="BZ265">
            <v>31.3</v>
          </cell>
          <cell r="CA265">
            <v>0</v>
          </cell>
          <cell r="CB265">
            <v>39.299999999999997</v>
          </cell>
          <cell r="CC265">
            <v>0</v>
          </cell>
          <cell r="CD265">
            <v>0</v>
          </cell>
          <cell r="CE265">
            <v>15</v>
          </cell>
          <cell r="CF265">
            <v>1.8</v>
          </cell>
          <cell r="CG265">
            <v>0</v>
          </cell>
          <cell r="CH265">
            <v>30</v>
          </cell>
          <cell r="CI265">
            <v>30</v>
          </cell>
          <cell r="CJ265">
            <v>0</v>
          </cell>
          <cell r="CK265">
            <v>0</v>
          </cell>
          <cell r="CL265">
            <v>30</v>
          </cell>
          <cell r="CM265">
            <v>0</v>
          </cell>
          <cell r="CN265">
            <v>30</v>
          </cell>
          <cell r="CO265">
            <v>0</v>
          </cell>
          <cell r="CP265">
            <v>0</v>
          </cell>
          <cell r="CQ265">
            <v>10</v>
          </cell>
          <cell r="CR265">
            <v>3.8</v>
          </cell>
          <cell r="CS265">
            <v>30</v>
          </cell>
          <cell r="CT265">
            <v>30</v>
          </cell>
          <cell r="CU265">
            <v>0</v>
          </cell>
          <cell r="CV265">
            <v>0</v>
          </cell>
          <cell r="CW265">
            <v>0</v>
          </cell>
          <cell r="CX265">
            <v>30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10</v>
          </cell>
          <cell r="DD265">
            <v>35.299999999999997</v>
          </cell>
          <cell r="DE265">
            <v>0</v>
          </cell>
          <cell r="DF265">
            <v>-9</v>
          </cell>
          <cell r="DG265">
            <v>30</v>
          </cell>
          <cell r="DH265">
            <v>0</v>
          </cell>
          <cell r="DI265">
            <v>7.6</v>
          </cell>
          <cell r="DJ265">
            <v>30</v>
          </cell>
          <cell r="DK265">
            <v>0</v>
          </cell>
          <cell r="DL265">
            <v>0</v>
          </cell>
          <cell r="DM265">
            <v>213.6</v>
          </cell>
          <cell r="DN265">
            <v>0</v>
          </cell>
          <cell r="DO265">
            <v>0</v>
          </cell>
          <cell r="DP265">
            <v>80</v>
          </cell>
          <cell r="DQ265">
            <v>0</v>
          </cell>
          <cell r="DR265">
            <v>0</v>
          </cell>
          <cell r="DS265">
            <v>55</v>
          </cell>
          <cell r="DT265">
            <v>0</v>
          </cell>
          <cell r="DU265">
            <v>0</v>
          </cell>
          <cell r="DV265">
            <v>80</v>
          </cell>
          <cell r="DW265">
            <v>0</v>
          </cell>
          <cell r="DX265">
            <v>0</v>
          </cell>
          <cell r="DY265">
            <v>35</v>
          </cell>
          <cell r="EM265">
            <v>462.70000000000005</v>
          </cell>
          <cell r="EN265">
            <v>395.40000000000009</v>
          </cell>
          <cell r="EO265">
            <v>309.8</v>
          </cell>
          <cell r="EP265">
            <v>143.19999999999999</v>
          </cell>
          <cell r="EQ265">
            <v>162.89999999999998</v>
          </cell>
          <cell r="ER265">
            <v>136.80000000000001</v>
          </cell>
          <cell r="ES265">
            <v>103.8</v>
          </cell>
        </row>
        <row r="266">
          <cell r="A266" t="str">
            <v>O&amp;M (Net of pass-throughs)</v>
          </cell>
          <cell r="B266" t="str">
            <v>Operations &amp; Maintenance Expense (incl clause)</v>
          </cell>
          <cell r="E266" t="str">
            <v>Operations &amp; Maintenance Expense</v>
          </cell>
          <cell r="F266" t="str">
            <v>6100040</v>
          </cell>
          <cell r="G266" t="str">
            <v>A_6100040</v>
          </cell>
          <cell r="H266" t="str">
            <v>Consultants - Engineering</v>
          </cell>
          <cell r="J266">
            <v>193.4</v>
          </cell>
          <cell r="K266">
            <v>270.3</v>
          </cell>
          <cell r="L266">
            <v>189.3</v>
          </cell>
          <cell r="M266">
            <v>462.9</v>
          </cell>
          <cell r="N266">
            <v>114.3</v>
          </cell>
          <cell r="O266">
            <v>206</v>
          </cell>
          <cell r="P266">
            <v>425.7</v>
          </cell>
          <cell r="Q266">
            <v>368.5</v>
          </cell>
          <cell r="R266">
            <v>348</v>
          </cell>
          <cell r="S266">
            <v>285.5</v>
          </cell>
          <cell r="T266">
            <v>300.10000000000002</v>
          </cell>
          <cell r="U266">
            <v>121.3</v>
          </cell>
          <cell r="V266">
            <v>64.5</v>
          </cell>
          <cell r="W266">
            <v>258.7</v>
          </cell>
          <cell r="X266">
            <v>242</v>
          </cell>
          <cell r="Y266">
            <v>457.2</v>
          </cell>
          <cell r="Z266">
            <v>74.2</v>
          </cell>
          <cell r="AA266">
            <v>181.9</v>
          </cell>
          <cell r="AB266">
            <v>834.5</v>
          </cell>
          <cell r="AC266">
            <v>210</v>
          </cell>
          <cell r="AD266">
            <v>237.6</v>
          </cell>
          <cell r="AE266">
            <v>153.9</v>
          </cell>
          <cell r="AF266">
            <v>334.5</v>
          </cell>
          <cell r="AG266">
            <v>428.1</v>
          </cell>
          <cell r="AH266">
            <v>219.5</v>
          </cell>
          <cell r="AI266">
            <v>260.60000000000002</v>
          </cell>
          <cell r="AJ266">
            <v>240.4</v>
          </cell>
          <cell r="AK266">
            <v>184.4</v>
          </cell>
          <cell r="AL266">
            <v>216.2</v>
          </cell>
          <cell r="AM266">
            <v>409.8</v>
          </cell>
          <cell r="AN266">
            <v>151.19999999999999</v>
          </cell>
          <cell r="AO266">
            <v>118.8</v>
          </cell>
          <cell r="AP266">
            <v>290.2</v>
          </cell>
          <cell r="AQ266">
            <v>239.7</v>
          </cell>
          <cell r="AR266">
            <v>306.7</v>
          </cell>
          <cell r="AS266">
            <v>413.2</v>
          </cell>
          <cell r="AT266">
            <v>25</v>
          </cell>
          <cell r="AU266">
            <v>36.4</v>
          </cell>
          <cell r="AV266">
            <v>-190.5</v>
          </cell>
          <cell r="AW266">
            <v>11.8</v>
          </cell>
          <cell r="AX266">
            <v>277.3</v>
          </cell>
          <cell r="AY266">
            <v>95.6</v>
          </cell>
          <cell r="AZ266">
            <v>30.6</v>
          </cell>
          <cell r="BA266">
            <v>121.4</v>
          </cell>
          <cell r="BB266">
            <v>5.7</v>
          </cell>
          <cell r="BC266">
            <v>15</v>
          </cell>
          <cell r="BD266">
            <v>45.4</v>
          </cell>
          <cell r="BE266">
            <v>40.200000000000003</v>
          </cell>
          <cell r="BF266">
            <v>8.5</v>
          </cell>
          <cell r="BG266">
            <v>177.6</v>
          </cell>
          <cell r="BH266">
            <v>913.2</v>
          </cell>
          <cell r="BI266">
            <v>339.9</v>
          </cell>
          <cell r="BJ266">
            <v>563.6</v>
          </cell>
          <cell r="BK266">
            <v>312.10000000000002</v>
          </cell>
          <cell r="BL266">
            <v>207.7</v>
          </cell>
          <cell r="BM266">
            <v>587.29999999999995</v>
          </cell>
          <cell r="BN266">
            <v>410.1</v>
          </cell>
          <cell r="BO266">
            <v>514.79999999999995</v>
          </cell>
          <cell r="BP266">
            <v>98.4</v>
          </cell>
          <cell r="BQ266">
            <v>252.3</v>
          </cell>
          <cell r="BR266">
            <v>278.89999999999998</v>
          </cell>
          <cell r="BS266">
            <v>113.2</v>
          </cell>
          <cell r="BT266">
            <v>161.69999999999999</v>
          </cell>
          <cell r="BU266">
            <v>250.7</v>
          </cell>
          <cell r="BV266">
            <v>229.6</v>
          </cell>
          <cell r="BW266">
            <v>181.7</v>
          </cell>
          <cell r="BX266">
            <v>234.8</v>
          </cell>
          <cell r="BY266">
            <v>194.8</v>
          </cell>
          <cell r="BZ266">
            <v>95.7</v>
          </cell>
          <cell r="CA266">
            <v>302.8</v>
          </cell>
          <cell r="CB266">
            <v>73.099999999999994</v>
          </cell>
          <cell r="CC266">
            <v>283.3</v>
          </cell>
          <cell r="CD266">
            <v>213.6</v>
          </cell>
          <cell r="CE266">
            <v>689.5</v>
          </cell>
          <cell r="CF266">
            <v>258.39999999999998</v>
          </cell>
          <cell r="CG266">
            <v>217.8</v>
          </cell>
          <cell r="CH266">
            <v>309.89999999999998</v>
          </cell>
          <cell r="CI266">
            <v>333.3</v>
          </cell>
          <cell r="CJ266">
            <v>234.3</v>
          </cell>
          <cell r="CK266">
            <v>236.3</v>
          </cell>
          <cell r="CL266">
            <v>494.7</v>
          </cell>
          <cell r="CM266">
            <v>502.5</v>
          </cell>
          <cell r="CN266">
            <v>234.5</v>
          </cell>
          <cell r="CO266">
            <v>149.80000000000001</v>
          </cell>
          <cell r="CP266">
            <v>37.299999999999997</v>
          </cell>
          <cell r="CQ266">
            <v>273</v>
          </cell>
          <cell r="CR266">
            <v>196.2</v>
          </cell>
          <cell r="CS266">
            <v>264.3</v>
          </cell>
          <cell r="CT266">
            <v>206.9</v>
          </cell>
          <cell r="CU266">
            <v>298.89999999999998</v>
          </cell>
          <cell r="CV266">
            <v>189.4</v>
          </cell>
          <cell r="CW266">
            <v>47.5</v>
          </cell>
          <cell r="CX266">
            <v>231.8</v>
          </cell>
          <cell r="CY266">
            <v>442.3</v>
          </cell>
          <cell r="CZ266">
            <v>-80.400000000000006</v>
          </cell>
          <cell r="DA266">
            <v>111.2</v>
          </cell>
          <cell r="DB266">
            <v>157</v>
          </cell>
          <cell r="DC266">
            <v>160.6</v>
          </cell>
          <cell r="DD266">
            <v>386.1</v>
          </cell>
          <cell r="DE266">
            <v>289.8</v>
          </cell>
          <cell r="DF266">
            <v>264.7</v>
          </cell>
          <cell r="DG266">
            <v>581.5</v>
          </cell>
          <cell r="DH266">
            <v>229.5</v>
          </cell>
          <cell r="DI266">
            <v>352.5</v>
          </cell>
          <cell r="DJ266">
            <v>117.7</v>
          </cell>
          <cell r="DK266">
            <v>173</v>
          </cell>
          <cell r="DL266">
            <v>41.8</v>
          </cell>
          <cell r="DM266">
            <v>161.1</v>
          </cell>
          <cell r="DN266">
            <v>16.899999999999999</v>
          </cell>
          <cell r="DO266">
            <v>16.899999999999999</v>
          </cell>
          <cell r="DP266">
            <v>16.899999999999999</v>
          </cell>
          <cell r="DQ266">
            <v>16.899999999999999</v>
          </cell>
          <cell r="DR266">
            <v>16.899999999999999</v>
          </cell>
          <cell r="DS266">
            <v>16.899999999999999</v>
          </cell>
          <cell r="DT266">
            <v>16.899999999999999</v>
          </cell>
          <cell r="DU266">
            <v>16.899999999999999</v>
          </cell>
          <cell r="DV266">
            <v>16.899999999999999</v>
          </cell>
          <cell r="DW266">
            <v>16.899999999999999</v>
          </cell>
          <cell r="DX266">
            <v>16.899999999999999</v>
          </cell>
          <cell r="DY266">
            <v>16.899999999999999</v>
          </cell>
          <cell r="EM266">
            <v>3477.1</v>
          </cell>
          <cell r="EN266">
            <v>3050.6999999999994</v>
          </cell>
          <cell r="EO266">
            <v>513.9</v>
          </cell>
          <cell r="EP266">
            <v>4385.4999999999991</v>
          </cell>
          <cell r="EQ266">
            <v>2400.3000000000002</v>
          </cell>
          <cell r="ER266">
            <v>3874.6</v>
          </cell>
          <cell r="ES266">
            <v>2218.3999999999996</v>
          </cell>
        </row>
        <row r="267">
          <cell r="A267" t="str">
            <v>O&amp;M (Net of pass-throughs)</v>
          </cell>
          <cell r="B267" t="str">
            <v>Operations &amp; Maintenance Expense (incl clause)</v>
          </cell>
          <cell r="E267" t="str">
            <v>Operations &amp; Maintenance Expense</v>
          </cell>
          <cell r="F267" t="str">
            <v>6100050</v>
          </cell>
          <cell r="G267" t="str">
            <v>A_6100050</v>
          </cell>
          <cell r="H267" t="str">
            <v>Printing</v>
          </cell>
          <cell r="J267">
            <v>129.69999999999999</v>
          </cell>
          <cell r="K267">
            <v>1955.4</v>
          </cell>
          <cell r="L267">
            <v>77.2</v>
          </cell>
          <cell r="M267">
            <v>228.9</v>
          </cell>
          <cell r="N267">
            <v>858.2</v>
          </cell>
          <cell r="O267">
            <v>998.3</v>
          </cell>
          <cell r="P267">
            <v>1299.4000000000001</v>
          </cell>
          <cell r="Q267">
            <v>1622.3</v>
          </cell>
          <cell r="R267">
            <v>131.6</v>
          </cell>
          <cell r="S267">
            <v>42.1</v>
          </cell>
          <cell r="T267">
            <v>189.2</v>
          </cell>
          <cell r="U267">
            <v>333.4</v>
          </cell>
          <cell r="V267">
            <v>181.4</v>
          </cell>
          <cell r="W267">
            <v>31.9</v>
          </cell>
          <cell r="X267">
            <v>221.7</v>
          </cell>
          <cell r="Y267">
            <v>211.3</v>
          </cell>
          <cell r="Z267">
            <v>152.9</v>
          </cell>
          <cell r="AA267">
            <v>489.8</v>
          </cell>
          <cell r="AB267">
            <v>208.7</v>
          </cell>
          <cell r="AC267">
            <v>379.2</v>
          </cell>
          <cell r="AD267">
            <v>124.3</v>
          </cell>
          <cell r="AE267">
            <v>66</v>
          </cell>
          <cell r="AF267">
            <v>533.29999999999995</v>
          </cell>
          <cell r="AG267">
            <v>114</v>
          </cell>
          <cell r="AH267">
            <v>204.6</v>
          </cell>
          <cell r="AI267">
            <v>72.5</v>
          </cell>
          <cell r="AJ267">
            <v>200.7</v>
          </cell>
          <cell r="AK267">
            <v>30</v>
          </cell>
          <cell r="AL267">
            <v>74.3</v>
          </cell>
          <cell r="AM267">
            <v>356.2</v>
          </cell>
          <cell r="AN267">
            <v>50.5</v>
          </cell>
          <cell r="AO267">
            <v>74.900000000000006</v>
          </cell>
          <cell r="AP267">
            <v>1.8</v>
          </cell>
          <cell r="AQ267">
            <v>58.5</v>
          </cell>
          <cell r="AR267">
            <v>151.6</v>
          </cell>
          <cell r="AS267">
            <v>305.7</v>
          </cell>
          <cell r="AT267">
            <v>586</v>
          </cell>
          <cell r="AU267">
            <v>3.2</v>
          </cell>
          <cell r="AV267">
            <v>69.5</v>
          </cell>
          <cell r="AW267">
            <v>108.1</v>
          </cell>
          <cell r="AX267">
            <v>259</v>
          </cell>
          <cell r="AY267">
            <v>49.3</v>
          </cell>
          <cell r="AZ267">
            <v>90.7</v>
          </cell>
          <cell r="BA267">
            <v>517.20000000000005</v>
          </cell>
          <cell r="BB267">
            <v>100.8</v>
          </cell>
          <cell r="BC267">
            <v>109.2</v>
          </cell>
          <cell r="BD267">
            <v>69.7</v>
          </cell>
          <cell r="BE267">
            <v>20.5</v>
          </cell>
          <cell r="BF267">
            <v>284.7</v>
          </cell>
          <cell r="BG267">
            <v>31.7</v>
          </cell>
          <cell r="BH267">
            <v>58.6</v>
          </cell>
          <cell r="BI267">
            <v>164.7</v>
          </cell>
          <cell r="BJ267">
            <v>43</v>
          </cell>
          <cell r="BK267">
            <v>58.1</v>
          </cell>
          <cell r="BL267">
            <v>201</v>
          </cell>
          <cell r="BM267">
            <v>172.5</v>
          </cell>
          <cell r="BN267">
            <v>90.7</v>
          </cell>
          <cell r="BO267">
            <v>181.8</v>
          </cell>
          <cell r="BP267">
            <v>123.5</v>
          </cell>
          <cell r="BQ267">
            <v>91.3</v>
          </cell>
          <cell r="BR267">
            <v>28.2</v>
          </cell>
          <cell r="BS267">
            <v>775</v>
          </cell>
          <cell r="BT267">
            <v>84.8</v>
          </cell>
          <cell r="BU267">
            <v>536.4</v>
          </cell>
          <cell r="BV267">
            <v>632.4</v>
          </cell>
          <cell r="BW267">
            <v>692.8</v>
          </cell>
          <cell r="BX267">
            <v>43</v>
          </cell>
          <cell r="BY267">
            <v>75.7</v>
          </cell>
          <cell r="BZ267">
            <v>921.3</v>
          </cell>
          <cell r="CA267">
            <v>29.7</v>
          </cell>
          <cell r="CB267">
            <v>435.9</v>
          </cell>
          <cell r="CC267">
            <v>363.6</v>
          </cell>
          <cell r="CD267">
            <v>24.5</v>
          </cell>
          <cell r="CE267">
            <v>57.8</v>
          </cell>
          <cell r="CF267">
            <v>258.60000000000002</v>
          </cell>
          <cell r="CG267">
            <v>0</v>
          </cell>
          <cell r="CH267">
            <v>359.6</v>
          </cell>
          <cell r="CI267">
            <v>186.3</v>
          </cell>
          <cell r="CJ267">
            <v>250.6</v>
          </cell>
          <cell r="CK267">
            <v>291.2</v>
          </cell>
          <cell r="CL267">
            <v>422.9</v>
          </cell>
          <cell r="CM267">
            <v>740.1</v>
          </cell>
          <cell r="CN267">
            <v>1641.4</v>
          </cell>
          <cell r="CO267">
            <v>778</v>
          </cell>
          <cell r="CP267">
            <v>19.3</v>
          </cell>
          <cell r="CQ267">
            <v>880.4</v>
          </cell>
          <cell r="CR267">
            <v>582</v>
          </cell>
          <cell r="CS267">
            <v>37.1</v>
          </cell>
          <cell r="CT267">
            <v>1522.2</v>
          </cell>
          <cell r="CU267">
            <v>65.8</v>
          </cell>
          <cell r="CV267">
            <v>862.4</v>
          </cell>
          <cell r="CW267">
            <v>21</v>
          </cell>
          <cell r="CX267">
            <v>189.7</v>
          </cell>
          <cell r="CY267">
            <v>133</v>
          </cell>
          <cell r="CZ267">
            <v>1045.4000000000001</v>
          </cell>
          <cell r="DA267">
            <v>199.9</v>
          </cell>
          <cell r="DB267">
            <v>214.2</v>
          </cell>
          <cell r="DC267">
            <v>83.6</v>
          </cell>
          <cell r="DD267">
            <v>57.9</v>
          </cell>
          <cell r="DE267">
            <v>46.7</v>
          </cell>
          <cell r="DF267">
            <v>513.79999999999995</v>
          </cell>
          <cell r="DG267">
            <v>77.3</v>
          </cell>
          <cell r="DH267">
            <v>11.8</v>
          </cell>
          <cell r="DI267">
            <v>58.1</v>
          </cell>
          <cell r="DJ267">
            <v>124.2</v>
          </cell>
          <cell r="DK267">
            <v>69.400000000000006</v>
          </cell>
          <cell r="DL267">
            <v>28.1</v>
          </cell>
          <cell r="DM267">
            <v>84.9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EM267">
            <v>2714.5</v>
          </cell>
          <cell r="EN267">
            <v>1581.3</v>
          </cell>
          <cell r="EO267">
            <v>1983.2000000000003</v>
          </cell>
          <cell r="EP267">
            <v>1501.6</v>
          </cell>
          <cell r="EQ267">
            <v>4618.8</v>
          </cell>
          <cell r="ER267">
            <v>5011</v>
          </cell>
          <cell r="ES267">
            <v>5558.2000000000007</v>
          </cell>
        </row>
        <row r="268">
          <cell r="A268" t="str">
            <v>O&amp;M (Net of pass-throughs)</v>
          </cell>
          <cell r="B268" t="str">
            <v>Operations &amp; Maintenance Expense (incl clause)</v>
          </cell>
          <cell r="E268" t="str">
            <v>Operations &amp; Maintenance Expense</v>
          </cell>
          <cell r="F268" t="str">
            <v>6100060</v>
          </cell>
          <cell r="G268" t="str">
            <v>A_6100060</v>
          </cell>
          <cell r="H268" t="str">
            <v>Consultants - Legal</v>
          </cell>
          <cell r="J268">
            <v>-50.5</v>
          </cell>
          <cell r="K268">
            <v>87.9</v>
          </cell>
          <cell r="L268">
            <v>-301</v>
          </cell>
          <cell r="M268">
            <v>257</v>
          </cell>
          <cell r="N268">
            <v>65.5</v>
          </cell>
          <cell r="O268">
            <v>243.7</v>
          </cell>
          <cell r="P268">
            <v>72.099999999999994</v>
          </cell>
          <cell r="Q268">
            <v>69.900000000000006</v>
          </cell>
          <cell r="R268">
            <v>110.4</v>
          </cell>
          <cell r="S268">
            <v>140</v>
          </cell>
          <cell r="T268">
            <v>72.7</v>
          </cell>
          <cell r="U268">
            <v>423.2</v>
          </cell>
          <cell r="V268">
            <v>-69</v>
          </cell>
          <cell r="W268">
            <v>176.5</v>
          </cell>
          <cell r="X268">
            <v>123.1</v>
          </cell>
          <cell r="Y268">
            <v>80.8</v>
          </cell>
          <cell r="Z268">
            <v>148.9</v>
          </cell>
          <cell r="AA268">
            <v>214.4</v>
          </cell>
          <cell r="AB268">
            <v>196.6</v>
          </cell>
          <cell r="AC268">
            <v>134.69999999999999</v>
          </cell>
          <cell r="AD268">
            <v>254.2</v>
          </cell>
          <cell r="AE268">
            <v>94.7</v>
          </cell>
          <cell r="AF268">
            <v>364.7</v>
          </cell>
          <cell r="AG268">
            <v>-39.700000000000003</v>
          </cell>
          <cell r="AH268">
            <v>-74.7</v>
          </cell>
          <cell r="AI268">
            <v>123.9</v>
          </cell>
          <cell r="AJ268">
            <v>147.9</v>
          </cell>
          <cell r="AK268">
            <v>-80.099999999999994</v>
          </cell>
          <cell r="AL268">
            <v>9.3000000000000007</v>
          </cell>
          <cell r="AM268">
            <v>494.2</v>
          </cell>
          <cell r="AN268">
            <v>-149.6</v>
          </cell>
          <cell r="AO268">
            <v>137.1</v>
          </cell>
          <cell r="AP268">
            <v>37.9</v>
          </cell>
          <cell r="AQ268">
            <v>236.4</v>
          </cell>
          <cell r="AR268">
            <v>97.3</v>
          </cell>
          <cell r="AS268">
            <v>607.20000000000005</v>
          </cell>
          <cell r="AT268">
            <v>-201.3</v>
          </cell>
          <cell r="AU268">
            <v>79.7</v>
          </cell>
          <cell r="AV268">
            <v>65.2</v>
          </cell>
          <cell r="AW268">
            <v>117.7</v>
          </cell>
          <cell r="AX268">
            <v>156.9</v>
          </cell>
          <cell r="AY268">
            <v>110.6</v>
          </cell>
          <cell r="AZ268">
            <v>32.299999999999997</v>
          </cell>
          <cell r="BA268">
            <v>-146.80000000000001</v>
          </cell>
          <cell r="BB268">
            <v>130.5</v>
          </cell>
          <cell r="BC268">
            <v>227.1</v>
          </cell>
          <cell r="BD268">
            <v>50.6</v>
          </cell>
          <cell r="BE268">
            <v>428.9</v>
          </cell>
          <cell r="BF268">
            <v>69.599999999999994</v>
          </cell>
          <cell r="BG268">
            <v>58.7</v>
          </cell>
          <cell r="BH268">
            <v>208.3</v>
          </cell>
          <cell r="BI268">
            <v>121.1</v>
          </cell>
          <cell r="BJ268">
            <v>316.89999999999998</v>
          </cell>
          <cell r="BK268">
            <v>86.9</v>
          </cell>
          <cell r="BL268">
            <v>168.3</v>
          </cell>
          <cell r="BM268">
            <v>-207.2</v>
          </cell>
          <cell r="BN268">
            <v>55.5</v>
          </cell>
          <cell r="BO268">
            <v>309.3</v>
          </cell>
          <cell r="BP268">
            <v>152.30000000000001</v>
          </cell>
          <cell r="BQ268">
            <v>403.1</v>
          </cell>
          <cell r="BR268">
            <v>-120.9</v>
          </cell>
          <cell r="BS268">
            <v>231.6</v>
          </cell>
          <cell r="BT268">
            <v>216.8</v>
          </cell>
          <cell r="BU268">
            <v>151.5</v>
          </cell>
          <cell r="BV268">
            <v>329</v>
          </cell>
          <cell r="BW268">
            <v>-190.3</v>
          </cell>
          <cell r="BX268">
            <v>267.7</v>
          </cell>
          <cell r="BY268">
            <v>222.7</v>
          </cell>
          <cell r="BZ268">
            <v>277.39999999999998</v>
          </cell>
          <cell r="CA268">
            <v>412.8</v>
          </cell>
          <cell r="CB268">
            <v>531.5</v>
          </cell>
          <cell r="CC268">
            <v>953.9</v>
          </cell>
          <cell r="CD268">
            <v>-267.60000000000002</v>
          </cell>
          <cell r="CE268">
            <v>177</v>
          </cell>
          <cell r="CF268">
            <v>-408.6</v>
          </cell>
          <cell r="CG268">
            <v>517.5</v>
          </cell>
          <cell r="CH268">
            <v>153.19999999999999</v>
          </cell>
          <cell r="CI268">
            <v>469.5</v>
          </cell>
          <cell r="CJ268">
            <v>1059.7</v>
          </cell>
          <cell r="CK268">
            <v>607</v>
          </cell>
          <cell r="CL268">
            <v>281.3</v>
          </cell>
          <cell r="CM268">
            <v>481.7</v>
          </cell>
          <cell r="CN268">
            <v>269.89999999999998</v>
          </cell>
          <cell r="CO268">
            <v>238.4</v>
          </cell>
          <cell r="CP268">
            <v>-434.3</v>
          </cell>
          <cell r="CQ268">
            <v>219.8</v>
          </cell>
          <cell r="CR268">
            <v>239.5</v>
          </cell>
          <cell r="CS268">
            <v>18</v>
          </cell>
          <cell r="CT268">
            <v>306.39999999999998</v>
          </cell>
          <cell r="CU268">
            <v>-89.3</v>
          </cell>
          <cell r="CV268">
            <v>253.8</v>
          </cell>
          <cell r="CW268">
            <v>339</v>
          </cell>
          <cell r="CX268">
            <v>-14</v>
          </cell>
          <cell r="CY268">
            <v>110.2</v>
          </cell>
          <cell r="CZ268">
            <v>250.6</v>
          </cell>
          <cell r="DA268">
            <v>813.8</v>
          </cell>
          <cell r="DB268">
            <v>-612.4</v>
          </cell>
          <cell r="DC268">
            <v>221.3</v>
          </cell>
          <cell r="DD268">
            <v>326.60000000000002</v>
          </cell>
          <cell r="DE268">
            <v>75.900000000000006</v>
          </cell>
          <cell r="DF268">
            <v>230.5</v>
          </cell>
          <cell r="DG268">
            <v>45.6</v>
          </cell>
          <cell r="DH268">
            <v>604.4</v>
          </cell>
          <cell r="DI268">
            <v>-268</v>
          </cell>
          <cell r="DJ268">
            <v>-826.1</v>
          </cell>
          <cell r="DK268">
            <v>3930.3</v>
          </cell>
          <cell r="DL268">
            <v>-407.4</v>
          </cell>
          <cell r="DM268">
            <v>1087.0999999999999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EM268">
            <v>1679.9</v>
          </cell>
          <cell r="EN268">
            <v>1586.8</v>
          </cell>
          <cell r="EO268">
            <v>1051.4000000000001</v>
          </cell>
          <cell r="EP268">
            <v>1742.7999999999997</v>
          </cell>
          <cell r="EQ268">
            <v>3283.7000000000003</v>
          </cell>
          <cell r="ER268">
            <v>3579</v>
          </cell>
          <cell r="ES268">
            <v>2013.5</v>
          </cell>
        </row>
        <row r="269">
          <cell r="A269" t="str">
            <v>O&amp;M (Net of pass-throughs)</v>
          </cell>
          <cell r="B269" t="str">
            <v>Operations &amp; Maintenance Expense (incl clause)</v>
          </cell>
          <cell r="E269" t="str">
            <v>Operations &amp; Maintenance Expense</v>
          </cell>
          <cell r="F269" t="str">
            <v>6100070</v>
          </cell>
          <cell r="G269" t="str">
            <v>A_6100070</v>
          </cell>
          <cell r="H269" t="str">
            <v>Consultants - Management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19.600000000000001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13</v>
          </cell>
          <cell r="BA269">
            <v>1</v>
          </cell>
          <cell r="BB269">
            <v>0</v>
          </cell>
          <cell r="BC269">
            <v>0</v>
          </cell>
          <cell r="BD269">
            <v>0</v>
          </cell>
          <cell r="BE269">
            <v>74.2</v>
          </cell>
          <cell r="BF269">
            <v>-1.4</v>
          </cell>
          <cell r="BG269">
            <v>0</v>
          </cell>
          <cell r="BH269">
            <v>0</v>
          </cell>
          <cell r="BI269">
            <v>150</v>
          </cell>
          <cell r="BJ269">
            <v>19.600000000000001</v>
          </cell>
          <cell r="BK269">
            <v>13.7</v>
          </cell>
          <cell r="BL269">
            <v>29.1</v>
          </cell>
          <cell r="BM269">
            <v>-13.7</v>
          </cell>
          <cell r="BN269">
            <v>30.8</v>
          </cell>
          <cell r="BO269">
            <v>10.5</v>
          </cell>
          <cell r="BP269">
            <v>0</v>
          </cell>
          <cell r="BQ269">
            <v>6.7</v>
          </cell>
          <cell r="BR269">
            <v>-6.7</v>
          </cell>
          <cell r="BS269">
            <v>9.8000000000000007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1.3</v>
          </cell>
          <cell r="CC269">
            <v>13.7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100</v>
          </cell>
          <cell r="DY269">
            <v>100</v>
          </cell>
          <cell r="EM269">
            <v>0</v>
          </cell>
          <cell r="EN269">
            <v>0</v>
          </cell>
          <cell r="EO269">
            <v>88.2</v>
          </cell>
          <cell r="EP269">
            <v>245.29999999999998</v>
          </cell>
          <cell r="EQ269">
            <v>18.100000000000001</v>
          </cell>
          <cell r="ER269">
            <v>0</v>
          </cell>
          <cell r="ES269">
            <v>0</v>
          </cell>
        </row>
        <row r="270">
          <cell r="A270" t="str">
            <v>O&amp;M (Net of pass-throughs)</v>
          </cell>
          <cell r="B270" t="str">
            <v>Operations &amp; Maintenance Expense (incl clause)</v>
          </cell>
          <cell r="E270" t="str">
            <v>Operations &amp; Maintenance Expense</v>
          </cell>
          <cell r="F270" t="str">
            <v>6100080</v>
          </cell>
          <cell r="G270" t="str">
            <v>A_6100080</v>
          </cell>
          <cell r="H270" t="str">
            <v>Consultants - Other</v>
          </cell>
          <cell r="J270">
            <v>27.3</v>
          </cell>
          <cell r="K270">
            <v>33.299999999999997</v>
          </cell>
          <cell r="L270">
            <v>60.7</v>
          </cell>
          <cell r="M270">
            <v>115.2</v>
          </cell>
          <cell r="N270">
            <v>231.7</v>
          </cell>
          <cell r="O270">
            <v>122.8</v>
          </cell>
          <cell r="P270">
            <v>-55.6</v>
          </cell>
          <cell r="Q270">
            <v>79</v>
          </cell>
          <cell r="R270">
            <v>60.2</v>
          </cell>
          <cell r="S270">
            <v>188.7</v>
          </cell>
          <cell r="T270">
            <v>17.899999999999999</v>
          </cell>
          <cell r="U270">
            <v>91.9</v>
          </cell>
          <cell r="V270">
            <v>108.8</v>
          </cell>
          <cell r="W270">
            <v>124</v>
          </cell>
          <cell r="X270">
            <v>136.80000000000001</v>
          </cell>
          <cell r="Y270">
            <v>55.4</v>
          </cell>
          <cell r="Z270">
            <v>10.1</v>
          </cell>
          <cell r="AA270">
            <v>49.3</v>
          </cell>
          <cell r="AB270">
            <v>58</v>
          </cell>
          <cell r="AC270">
            <v>115.8</v>
          </cell>
          <cell r="AD270">
            <v>48.3</v>
          </cell>
          <cell r="AE270">
            <v>80.3</v>
          </cell>
          <cell r="AF270">
            <v>150.6</v>
          </cell>
          <cell r="AG270">
            <v>394.3</v>
          </cell>
          <cell r="AH270">
            <v>12.3</v>
          </cell>
          <cell r="AI270">
            <v>389.4</v>
          </cell>
          <cell r="AJ270">
            <v>29</v>
          </cell>
          <cell r="AK270">
            <v>28</v>
          </cell>
          <cell r="AL270">
            <v>45</v>
          </cell>
          <cell r="AM270">
            <v>4.4000000000000004</v>
          </cell>
          <cell r="AN270">
            <v>10</v>
          </cell>
          <cell r="AO270">
            <v>25.4</v>
          </cell>
          <cell r="AP270">
            <v>83.4</v>
          </cell>
          <cell r="AQ270">
            <v>11.1</v>
          </cell>
          <cell r="AR270">
            <v>12.5</v>
          </cell>
          <cell r="AS270">
            <v>93.6</v>
          </cell>
          <cell r="AT270">
            <v>3.6</v>
          </cell>
          <cell r="AU270">
            <v>65.7</v>
          </cell>
          <cell r="AV270">
            <v>22.9</v>
          </cell>
          <cell r="AW270">
            <v>70.400000000000006</v>
          </cell>
          <cell r="AX270">
            <v>234.7</v>
          </cell>
          <cell r="AY270">
            <v>26.1</v>
          </cell>
          <cell r="AZ270">
            <v>8.8000000000000007</v>
          </cell>
          <cell r="BA270">
            <v>15.2</v>
          </cell>
          <cell r="BB270">
            <v>19.100000000000001</v>
          </cell>
          <cell r="BC270">
            <v>9</v>
          </cell>
          <cell r="BD270">
            <v>56.7</v>
          </cell>
          <cell r="BE270">
            <v>192.8</v>
          </cell>
          <cell r="BF270">
            <v>62.1</v>
          </cell>
          <cell r="BG270">
            <v>31.5</v>
          </cell>
          <cell r="BH270">
            <v>416.9</v>
          </cell>
          <cell r="BI270">
            <v>35</v>
          </cell>
          <cell r="BJ270">
            <v>71.8</v>
          </cell>
          <cell r="BK270">
            <v>41.7</v>
          </cell>
          <cell r="BL270">
            <v>23.3</v>
          </cell>
          <cell r="BM270">
            <v>25.8</v>
          </cell>
          <cell r="BN270">
            <v>31</v>
          </cell>
          <cell r="BO270">
            <v>715.1</v>
          </cell>
          <cell r="BP270">
            <v>301.5</v>
          </cell>
          <cell r="BQ270">
            <v>301.5</v>
          </cell>
          <cell r="BR270">
            <v>1168.0999999999999</v>
          </cell>
          <cell r="BS270">
            <v>574.70000000000005</v>
          </cell>
          <cell r="BT270">
            <v>325.39999999999998</v>
          </cell>
          <cell r="BU270">
            <v>962.3</v>
          </cell>
          <cell r="BV270">
            <v>1289.5999999999999</v>
          </cell>
          <cell r="BW270">
            <v>274.10000000000002</v>
          </cell>
          <cell r="BX270">
            <v>244.5</v>
          </cell>
          <cell r="BY270">
            <v>872.4</v>
          </cell>
          <cell r="BZ270">
            <v>356.2</v>
          </cell>
          <cell r="CA270">
            <v>348.4</v>
          </cell>
          <cell r="CB270">
            <v>1189.8</v>
          </cell>
          <cell r="CC270">
            <v>745.2</v>
          </cell>
          <cell r="CD270">
            <v>442</v>
          </cell>
          <cell r="CE270">
            <v>1313.3</v>
          </cell>
          <cell r="CF270">
            <v>601.4</v>
          </cell>
          <cell r="CG270">
            <v>1117.5</v>
          </cell>
          <cell r="CH270">
            <v>227.6</v>
          </cell>
          <cell r="CI270">
            <v>343.7</v>
          </cell>
          <cell r="CJ270">
            <v>381.9</v>
          </cell>
          <cell r="CK270">
            <v>88.1</v>
          </cell>
          <cell r="CL270">
            <v>120.4</v>
          </cell>
          <cell r="CM270">
            <v>201.6</v>
          </cell>
          <cell r="CN270">
            <v>227.3</v>
          </cell>
          <cell r="CO270">
            <v>126.5</v>
          </cell>
          <cell r="CP270">
            <v>-272.7</v>
          </cell>
          <cell r="CQ270">
            <v>432.1</v>
          </cell>
          <cell r="CR270">
            <v>159.5</v>
          </cell>
          <cell r="CS270">
            <v>916</v>
          </cell>
          <cell r="CT270">
            <v>273.10000000000002</v>
          </cell>
          <cell r="CU270">
            <v>1058.4000000000001</v>
          </cell>
          <cell r="CV270">
            <v>171.4</v>
          </cell>
          <cell r="CW270">
            <v>833.5</v>
          </cell>
          <cell r="CX270">
            <v>1797.8</v>
          </cell>
          <cell r="CY270">
            <v>769.3</v>
          </cell>
          <cell r="CZ270">
            <v>798.1</v>
          </cell>
          <cell r="DA270">
            <v>1150.7</v>
          </cell>
          <cell r="DB270">
            <v>903.3</v>
          </cell>
          <cell r="DC270">
            <v>931</v>
          </cell>
          <cell r="DD270">
            <v>1069.7</v>
          </cell>
          <cell r="DE270">
            <v>1328.1</v>
          </cell>
          <cell r="DF270">
            <v>1719.6</v>
          </cell>
          <cell r="DG270">
            <v>1206.0999999999999</v>
          </cell>
          <cell r="DH270">
            <v>313.60000000000002</v>
          </cell>
          <cell r="DI270">
            <v>605.1</v>
          </cell>
          <cell r="DJ270">
            <v>377.6</v>
          </cell>
          <cell r="DK270">
            <v>270.3</v>
          </cell>
          <cell r="DL270">
            <v>-230.7</v>
          </cell>
          <cell r="DM270">
            <v>1443</v>
          </cell>
          <cell r="DN270">
            <v>-273.7</v>
          </cell>
          <cell r="DO270">
            <v>-273.7</v>
          </cell>
          <cell r="DP270">
            <v>-278.7</v>
          </cell>
          <cell r="DQ270">
            <v>-273.7</v>
          </cell>
          <cell r="DR270">
            <v>-273.7</v>
          </cell>
          <cell r="DS270">
            <v>-278.7</v>
          </cell>
          <cell r="DT270">
            <v>-273.7</v>
          </cell>
          <cell r="DU270">
            <v>-273.7</v>
          </cell>
          <cell r="DV270">
            <v>-278.7</v>
          </cell>
          <cell r="DW270">
            <v>-273.7</v>
          </cell>
          <cell r="DX270">
            <v>-273.7</v>
          </cell>
          <cell r="DY270">
            <v>-266.8</v>
          </cell>
          <cell r="EM270">
            <v>1331.7</v>
          </cell>
          <cell r="EN270">
            <v>744.09999999999991</v>
          </cell>
          <cell r="EO270">
            <v>725</v>
          </cell>
          <cell r="EP270">
            <v>2057.1999999999998</v>
          </cell>
          <cell r="EQ270">
            <v>8350.7000000000007</v>
          </cell>
          <cell r="ER270">
            <v>5191.3</v>
          </cell>
          <cell r="ES270">
            <v>8087.2000000000007</v>
          </cell>
        </row>
        <row r="271">
          <cell r="A271" t="str">
            <v>O&amp;M (Net of pass-throughs)</v>
          </cell>
          <cell r="B271" t="str">
            <v>Operations &amp; Maintenance Expense (incl clause)</v>
          </cell>
          <cell r="E271" t="str">
            <v>Operations &amp; Maintenance Expense</v>
          </cell>
          <cell r="F271" t="str">
            <v>6100090</v>
          </cell>
          <cell r="G271" t="str">
            <v>A_6100090</v>
          </cell>
          <cell r="H271" t="str">
            <v>Consultants - Taxes</v>
          </cell>
          <cell r="J271">
            <v>0</v>
          </cell>
          <cell r="K271">
            <v>0</v>
          </cell>
          <cell r="L271">
            <v>4.3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</row>
        <row r="272">
          <cell r="A272" t="str">
            <v>O&amp;M (Net of pass-throughs)</v>
          </cell>
          <cell r="B272" t="str">
            <v>Operations &amp; Maintenance Expense (incl clause)</v>
          </cell>
          <cell r="E272" t="str">
            <v>Operations &amp; Maintenance Expense</v>
          </cell>
          <cell r="F272" t="str">
            <v>6100100</v>
          </cell>
          <cell r="G272" t="str">
            <v>A_6100100</v>
          </cell>
          <cell r="H272" t="str">
            <v>Subcontracted Services</v>
          </cell>
          <cell r="J272">
            <v>1685.7</v>
          </cell>
          <cell r="K272">
            <v>5350.5</v>
          </cell>
          <cell r="L272">
            <v>4563.5</v>
          </cell>
          <cell r="M272">
            <v>5464.5</v>
          </cell>
          <cell r="N272">
            <v>3432.9</v>
          </cell>
          <cell r="O272">
            <v>4733.8</v>
          </cell>
          <cell r="P272">
            <v>4415.2</v>
          </cell>
          <cell r="Q272">
            <v>5688.5</v>
          </cell>
          <cell r="R272">
            <v>5125.8</v>
          </cell>
          <cell r="S272">
            <v>4617.7</v>
          </cell>
          <cell r="T272">
            <v>3550.9</v>
          </cell>
          <cell r="U272">
            <v>6134.4</v>
          </cell>
          <cell r="V272">
            <v>4152.8999999999996</v>
          </cell>
          <cell r="W272">
            <v>3797.5</v>
          </cell>
          <cell r="X272">
            <v>4868.3</v>
          </cell>
          <cell r="Y272">
            <v>3750.6</v>
          </cell>
          <cell r="Z272">
            <v>3735.5</v>
          </cell>
          <cell r="AA272">
            <v>6015.7</v>
          </cell>
          <cell r="AB272">
            <v>4778.6000000000004</v>
          </cell>
          <cell r="AC272">
            <v>3613.8</v>
          </cell>
          <cell r="AD272">
            <v>4620.2</v>
          </cell>
          <cell r="AE272">
            <v>5883.9</v>
          </cell>
          <cell r="AF272">
            <v>6031.6</v>
          </cell>
          <cell r="AG272">
            <v>7153.4</v>
          </cell>
          <cell r="AH272">
            <v>3995.4</v>
          </cell>
          <cell r="AI272">
            <v>11504.7</v>
          </cell>
          <cell r="AJ272">
            <v>7220.1</v>
          </cell>
          <cell r="AK272">
            <v>5742.7</v>
          </cell>
          <cell r="AL272">
            <v>8927.7999999999993</v>
          </cell>
          <cell r="AM272">
            <v>10409.5</v>
          </cell>
          <cell r="AN272">
            <v>6866.3</v>
          </cell>
          <cell r="AO272">
            <v>7776.8</v>
          </cell>
          <cell r="AP272">
            <v>7381.4</v>
          </cell>
          <cell r="AQ272">
            <v>6953.4</v>
          </cell>
          <cell r="AR272">
            <v>9178.4</v>
          </cell>
          <cell r="AS272">
            <v>11722.7</v>
          </cell>
          <cell r="AT272">
            <v>4520.8999999999996</v>
          </cell>
          <cell r="AU272">
            <v>7123.8</v>
          </cell>
          <cell r="AV272">
            <v>6881.8</v>
          </cell>
          <cell r="AW272">
            <v>5617.2</v>
          </cell>
          <cell r="AX272">
            <v>6277.5</v>
          </cell>
          <cell r="AY272">
            <v>6571.9</v>
          </cell>
          <cell r="AZ272">
            <v>8285</v>
          </cell>
          <cell r="BA272">
            <v>10147</v>
          </cell>
          <cell r="BB272">
            <v>5081.7</v>
          </cell>
          <cell r="BC272">
            <v>8828.7000000000007</v>
          </cell>
          <cell r="BD272">
            <v>8469.2999999999993</v>
          </cell>
          <cell r="BE272">
            <v>9374.2000000000007</v>
          </cell>
          <cell r="BF272">
            <v>7491.7</v>
          </cell>
          <cell r="BG272">
            <v>8868.4</v>
          </cell>
          <cell r="BH272">
            <v>8950.5</v>
          </cell>
          <cell r="BI272">
            <v>6668.1</v>
          </cell>
          <cell r="BJ272">
            <v>10391.9</v>
          </cell>
          <cell r="BK272">
            <v>8384.4</v>
          </cell>
          <cell r="BL272">
            <v>8169.4</v>
          </cell>
          <cell r="BM272">
            <v>10961.8</v>
          </cell>
          <cell r="BN272">
            <v>10301.299999999999</v>
          </cell>
          <cell r="BO272">
            <v>14889</v>
          </cell>
          <cell r="BP272">
            <v>13704.1</v>
          </cell>
          <cell r="BQ272">
            <v>11948.4</v>
          </cell>
          <cell r="BR272">
            <v>12692.7</v>
          </cell>
          <cell r="BS272">
            <v>9128.7999999999993</v>
          </cell>
          <cell r="BT272">
            <v>11144.5</v>
          </cell>
          <cell r="BU272">
            <v>8911.6</v>
          </cell>
          <cell r="BV272">
            <v>10450.5</v>
          </cell>
          <cell r="BW272">
            <v>13710.4</v>
          </cell>
          <cell r="BX272">
            <v>9870.7999999999993</v>
          </cell>
          <cell r="BY272">
            <v>15857.8</v>
          </cell>
          <cell r="BZ272">
            <v>10544.5</v>
          </cell>
          <cell r="CA272">
            <v>13554.8</v>
          </cell>
          <cell r="CB272">
            <v>15184.9</v>
          </cell>
          <cell r="CC272">
            <v>18848</v>
          </cell>
          <cell r="CD272">
            <v>18197.099999999999</v>
          </cell>
          <cell r="CE272">
            <v>15655.9</v>
          </cell>
          <cell r="CF272">
            <v>18034.599999999999</v>
          </cell>
          <cell r="CG272">
            <v>19599.900000000001</v>
          </cell>
          <cell r="CH272">
            <v>19025.599999999999</v>
          </cell>
          <cell r="CI272">
            <v>13116.3</v>
          </cell>
          <cell r="CJ272">
            <v>14901.4</v>
          </cell>
          <cell r="CK272">
            <v>18569.3</v>
          </cell>
          <cell r="CL272">
            <v>17486.7</v>
          </cell>
          <cell r="CM272">
            <v>24937.7</v>
          </cell>
          <cell r="CN272">
            <v>20213.900000000001</v>
          </cell>
          <cell r="CO272">
            <v>26129.5</v>
          </cell>
          <cell r="CP272">
            <v>16182.4</v>
          </cell>
          <cell r="CQ272">
            <v>22008</v>
          </cell>
          <cell r="CR272">
            <v>26445.1</v>
          </cell>
          <cell r="CS272">
            <v>16935.2</v>
          </cell>
          <cell r="CT272">
            <v>12263.3</v>
          </cell>
          <cell r="CU272">
            <v>18140.3</v>
          </cell>
          <cell r="CV272">
            <v>13684.6</v>
          </cell>
          <cell r="CW272">
            <v>16285.2</v>
          </cell>
          <cell r="CX272">
            <v>20529</v>
          </cell>
          <cell r="CY272">
            <v>22365.200000000001</v>
          </cell>
          <cell r="CZ272">
            <v>19829.099999999999</v>
          </cell>
          <cell r="DA272">
            <v>14553.8</v>
          </cell>
          <cell r="DB272">
            <v>17306.8</v>
          </cell>
          <cell r="DC272">
            <v>17019.099999999999</v>
          </cell>
          <cell r="DD272">
            <v>16489.2</v>
          </cell>
          <cell r="DE272">
            <v>20559.599999999999</v>
          </cell>
          <cell r="DF272">
            <v>17661.5</v>
          </cell>
          <cell r="DG272">
            <v>21435.7</v>
          </cell>
          <cell r="DH272">
            <v>15424.5</v>
          </cell>
          <cell r="DI272">
            <v>20636.8</v>
          </cell>
          <cell r="DJ272">
            <v>11478.5</v>
          </cell>
          <cell r="DK272">
            <v>15731.3</v>
          </cell>
          <cell r="DL272">
            <v>17169.099999999999</v>
          </cell>
          <cell r="DM272">
            <v>24077.599999999999</v>
          </cell>
          <cell r="DN272">
            <v>5.2</v>
          </cell>
          <cell r="DO272">
            <v>5.2</v>
          </cell>
          <cell r="DP272">
            <v>5.2</v>
          </cell>
          <cell r="DQ272">
            <v>5.2</v>
          </cell>
          <cell r="DR272">
            <v>5.2</v>
          </cell>
          <cell r="DS272">
            <v>5.2</v>
          </cell>
          <cell r="DT272">
            <v>5.2</v>
          </cell>
          <cell r="DU272">
            <v>5.2</v>
          </cell>
          <cell r="DV272">
            <v>55.2</v>
          </cell>
          <cell r="DW272">
            <v>5.2</v>
          </cell>
          <cell r="DX272">
            <v>5.2</v>
          </cell>
          <cell r="DY272">
            <v>5.2</v>
          </cell>
          <cell r="EM272">
            <v>58402</v>
          </cell>
          <cell r="EN272">
            <v>97679.199999999983</v>
          </cell>
          <cell r="EO272">
            <v>87179</v>
          </cell>
          <cell r="EP272">
            <v>120729</v>
          </cell>
          <cell r="EQ272">
            <v>149899.29999999999</v>
          </cell>
          <cell r="ER272">
            <v>225867.90000000002</v>
          </cell>
          <cell r="ES272">
            <v>219221.2</v>
          </cell>
        </row>
        <row r="273">
          <cell r="A273" t="str">
            <v>O&amp;M (Net of pass-throughs)</v>
          </cell>
          <cell r="B273" t="str">
            <v>Operations &amp; Maintenance Expense (incl clause)</v>
          </cell>
          <cell r="E273" t="str">
            <v>Operations &amp; Maintenance Expense</v>
          </cell>
          <cell r="F273" t="str">
            <v>6100110</v>
          </cell>
          <cell r="G273" t="str">
            <v>A_6100110</v>
          </cell>
          <cell r="H273" t="str">
            <v>Instrument Service repair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87.6</v>
          </cell>
          <cell r="BK273">
            <v>-87.5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0.2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1.7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0.9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0.29999999999999433</v>
          </cell>
          <cell r="EQ273">
            <v>0</v>
          </cell>
          <cell r="ER273">
            <v>0</v>
          </cell>
          <cell r="ES273">
            <v>1.7</v>
          </cell>
        </row>
        <row r="274">
          <cell r="A274" t="str">
            <v>O&amp;M (Net of pass-throughs)</v>
          </cell>
          <cell r="B274" t="str">
            <v>Operations &amp; Maintenance Expense (incl clause)</v>
          </cell>
          <cell r="E274" t="str">
            <v>Operations &amp; Maintenance Expense</v>
          </cell>
          <cell r="F274" t="str">
            <v>6100120</v>
          </cell>
          <cell r="G274" t="str">
            <v>A_6100120</v>
          </cell>
          <cell r="H274" t="str">
            <v>Tools Service/Repair</v>
          </cell>
          <cell r="J274">
            <v>0</v>
          </cell>
          <cell r="K274">
            <v>0</v>
          </cell>
          <cell r="L274">
            <v>0.2</v>
          </cell>
          <cell r="M274">
            <v>0.5</v>
          </cell>
          <cell r="N274">
            <v>1.3</v>
          </cell>
          <cell r="O274">
            <v>1.2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0.6</v>
          </cell>
          <cell r="V274">
            <v>0</v>
          </cell>
          <cell r="W274">
            <v>0</v>
          </cell>
          <cell r="X274">
            <v>0.4</v>
          </cell>
          <cell r="Y274">
            <v>0</v>
          </cell>
          <cell r="Z274">
            <v>0</v>
          </cell>
          <cell r="AA274">
            <v>0.1</v>
          </cell>
          <cell r="AB274">
            <v>0.1</v>
          </cell>
          <cell r="AC274">
            <v>0</v>
          </cell>
          <cell r="AD274">
            <v>1.7</v>
          </cell>
          <cell r="AE274">
            <v>0.9</v>
          </cell>
          <cell r="AF274">
            <v>0.2</v>
          </cell>
          <cell r="AG274">
            <v>0.3</v>
          </cell>
          <cell r="AH274">
            <v>0</v>
          </cell>
          <cell r="AI274">
            <v>1.2</v>
          </cell>
          <cell r="AJ274">
            <v>0</v>
          </cell>
          <cell r="AK274">
            <v>0</v>
          </cell>
          <cell r="AL274">
            <v>2.2999999999999998</v>
          </cell>
          <cell r="AM274">
            <v>-0.1</v>
          </cell>
          <cell r="AN274">
            <v>0.8</v>
          </cell>
          <cell r="AO274">
            <v>0</v>
          </cell>
          <cell r="AP274">
            <v>0.3</v>
          </cell>
          <cell r="AQ274">
            <v>0</v>
          </cell>
          <cell r="AR274">
            <v>0</v>
          </cell>
          <cell r="AS274">
            <v>2.6</v>
          </cell>
          <cell r="AT274">
            <v>0</v>
          </cell>
          <cell r="AU274">
            <v>0.8</v>
          </cell>
          <cell r="AV274">
            <v>0.1</v>
          </cell>
          <cell r="AW274">
            <v>0.6</v>
          </cell>
          <cell r="AX274">
            <v>0.3</v>
          </cell>
          <cell r="AY274">
            <v>0.2</v>
          </cell>
          <cell r="AZ274">
            <v>0</v>
          </cell>
          <cell r="BA274">
            <v>0</v>
          </cell>
          <cell r="BB274">
            <v>0.2</v>
          </cell>
          <cell r="BC274">
            <v>0</v>
          </cell>
          <cell r="BD274">
            <v>2.6</v>
          </cell>
          <cell r="BE274">
            <v>0.8</v>
          </cell>
          <cell r="BF274">
            <v>0</v>
          </cell>
          <cell r="BG274">
            <v>0.6</v>
          </cell>
          <cell r="BH274">
            <v>5</v>
          </cell>
          <cell r="BI274">
            <v>0.2</v>
          </cell>
          <cell r="BJ274">
            <v>0.9</v>
          </cell>
          <cell r="BK274">
            <v>0.4</v>
          </cell>
          <cell r="BL274">
            <v>0.1</v>
          </cell>
          <cell r="BM274">
            <v>3</v>
          </cell>
          <cell r="BN274">
            <v>0.6</v>
          </cell>
          <cell r="BO274">
            <v>1.2</v>
          </cell>
          <cell r="BP274">
            <v>0.4</v>
          </cell>
          <cell r="BQ274">
            <v>1.8</v>
          </cell>
          <cell r="BR274">
            <v>0</v>
          </cell>
          <cell r="BS274">
            <v>0.3</v>
          </cell>
          <cell r="BT274">
            <v>0.2</v>
          </cell>
          <cell r="BU274">
            <v>0</v>
          </cell>
          <cell r="BV274">
            <v>1.3</v>
          </cell>
          <cell r="BW274">
            <v>1.8</v>
          </cell>
          <cell r="BX274">
            <v>0.1</v>
          </cell>
          <cell r="BY274">
            <v>2.2999999999999998</v>
          </cell>
          <cell r="BZ274">
            <v>0.3</v>
          </cell>
          <cell r="CA274">
            <v>1</v>
          </cell>
          <cell r="CB274">
            <v>2.4</v>
          </cell>
          <cell r="CC274">
            <v>3.9</v>
          </cell>
          <cell r="CD274">
            <v>0</v>
          </cell>
          <cell r="CE274">
            <v>1.7</v>
          </cell>
          <cell r="CF274">
            <v>0.8</v>
          </cell>
          <cell r="CG274">
            <v>0.2</v>
          </cell>
          <cell r="CH274">
            <v>0.1</v>
          </cell>
          <cell r="CI274">
            <v>0.1</v>
          </cell>
          <cell r="CJ274">
            <v>0.8</v>
          </cell>
          <cell r="CK274">
            <v>4.3</v>
          </cell>
          <cell r="CL274">
            <v>0.2</v>
          </cell>
          <cell r="CM274">
            <v>0</v>
          </cell>
          <cell r="CN274">
            <v>0</v>
          </cell>
          <cell r="CO274">
            <v>0</v>
          </cell>
          <cell r="CP274">
            <v>1.2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3.8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EM274">
            <v>3.6999999999999997</v>
          </cell>
          <cell r="EN274">
            <v>7.1</v>
          </cell>
          <cell r="EO274">
            <v>5.6000000000000005</v>
          </cell>
          <cell r="EP274">
            <v>14.2</v>
          </cell>
          <cell r="EQ274">
            <v>13.6</v>
          </cell>
          <cell r="ER274">
            <v>8.1999999999999993</v>
          </cell>
          <cell r="ES274">
            <v>1.2</v>
          </cell>
        </row>
        <row r="275">
          <cell r="A275" t="str">
            <v>O&amp;M (Net of pass-throughs)</v>
          </cell>
          <cell r="B275" t="str">
            <v>Operations &amp; Maintenance Expense (incl clause)</v>
          </cell>
          <cell r="E275" t="str">
            <v>Operations &amp; Maintenance Expense</v>
          </cell>
          <cell r="F275" t="str">
            <v>6100130</v>
          </cell>
          <cell r="G275" t="str">
            <v>A_6100130</v>
          </cell>
          <cell r="H275" t="str">
            <v>EHS Monitoring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A276" t="str">
            <v>O&amp;M (Net of pass-throughs)</v>
          </cell>
          <cell r="B276" t="str">
            <v>Operations &amp; Maintenance Expense (incl clause)</v>
          </cell>
          <cell r="E276" t="str">
            <v>Operations &amp; Maintenance Expense</v>
          </cell>
          <cell r="F276" t="str">
            <v>6100150</v>
          </cell>
          <cell r="G276" t="str">
            <v>A_6100150</v>
          </cell>
          <cell r="H276" t="str">
            <v>Printing</v>
          </cell>
          <cell r="J276">
            <v>-5.0999999999999996</v>
          </cell>
          <cell r="K276">
            <v>5.7</v>
          </cell>
          <cell r="L276">
            <v>8</v>
          </cell>
          <cell r="M276">
            <v>5.9</v>
          </cell>
          <cell r="N276">
            <v>7.7</v>
          </cell>
          <cell r="O276">
            <v>13.7</v>
          </cell>
          <cell r="P276">
            <v>8.1</v>
          </cell>
          <cell r="Q276">
            <v>7.1</v>
          </cell>
          <cell r="R276">
            <v>11.2</v>
          </cell>
          <cell r="S276">
            <v>13.3</v>
          </cell>
          <cell r="T276">
            <v>10.5</v>
          </cell>
          <cell r="U276">
            <v>11.2</v>
          </cell>
          <cell r="V276">
            <v>0</v>
          </cell>
          <cell r="W276">
            <v>2.2000000000000002</v>
          </cell>
          <cell r="X276">
            <v>0.1</v>
          </cell>
          <cell r="Y276">
            <v>2.7</v>
          </cell>
          <cell r="Z276">
            <v>1</v>
          </cell>
          <cell r="AA276">
            <v>1.2</v>
          </cell>
          <cell r="AB276">
            <v>0.4</v>
          </cell>
          <cell r="AC276">
            <v>1.8</v>
          </cell>
          <cell r="AD276">
            <v>26.7</v>
          </cell>
          <cell r="AE276">
            <v>1.9</v>
          </cell>
          <cell r="AF276">
            <v>3.8</v>
          </cell>
          <cell r="AG276">
            <v>0.9</v>
          </cell>
          <cell r="AH276">
            <v>1.4</v>
          </cell>
          <cell r="AI276">
            <v>0.1</v>
          </cell>
          <cell r="AJ276">
            <v>0.7</v>
          </cell>
          <cell r="AK276">
            <v>1.1000000000000001</v>
          </cell>
          <cell r="AL276">
            <v>2.8</v>
          </cell>
          <cell r="AM276">
            <v>8.4</v>
          </cell>
          <cell r="AN276">
            <v>8.8000000000000007</v>
          </cell>
          <cell r="AO276">
            <v>0.3</v>
          </cell>
          <cell r="AP276">
            <v>3.6</v>
          </cell>
          <cell r="AQ276">
            <v>5.9</v>
          </cell>
          <cell r="AR276">
            <v>1.2</v>
          </cell>
          <cell r="AS276">
            <v>4.4000000000000004</v>
          </cell>
          <cell r="AT276">
            <v>0.5</v>
          </cell>
          <cell r="AU276">
            <v>1.9</v>
          </cell>
          <cell r="AV276">
            <v>0.8</v>
          </cell>
          <cell r="AW276">
            <v>14.8</v>
          </cell>
          <cell r="AX276">
            <v>-13</v>
          </cell>
          <cell r="AY276">
            <v>0.5</v>
          </cell>
          <cell r="AZ276">
            <v>0.7</v>
          </cell>
          <cell r="BA276">
            <v>2.2000000000000002</v>
          </cell>
          <cell r="BB276">
            <v>0.9</v>
          </cell>
          <cell r="BC276">
            <v>4.2</v>
          </cell>
          <cell r="BD276">
            <v>0.1</v>
          </cell>
          <cell r="BE276">
            <v>0.3</v>
          </cell>
          <cell r="BF276">
            <v>1.5</v>
          </cell>
          <cell r="BG276">
            <v>0.8</v>
          </cell>
          <cell r="BH276">
            <v>20.9</v>
          </cell>
          <cell r="BI276">
            <v>0.6</v>
          </cell>
          <cell r="BJ276">
            <v>-11</v>
          </cell>
          <cell r="BK276">
            <v>0.2</v>
          </cell>
          <cell r="BL276">
            <v>5.3</v>
          </cell>
          <cell r="BM276">
            <v>1.1000000000000001</v>
          </cell>
          <cell r="BN276">
            <v>0.8</v>
          </cell>
          <cell r="BO276">
            <v>0.1</v>
          </cell>
          <cell r="BP276">
            <v>0.8</v>
          </cell>
          <cell r="BQ276">
            <v>8.1999999999999993</v>
          </cell>
          <cell r="BR276">
            <v>16.899999999999999</v>
          </cell>
          <cell r="BS276">
            <v>4.5</v>
          </cell>
          <cell r="BT276">
            <v>1.1000000000000001</v>
          </cell>
          <cell r="BU276">
            <v>2.6</v>
          </cell>
          <cell r="BV276">
            <v>3.1</v>
          </cell>
          <cell r="BW276">
            <v>3.1</v>
          </cell>
          <cell r="BX276">
            <v>2.4</v>
          </cell>
          <cell r="BY276">
            <v>3.4</v>
          </cell>
          <cell r="BZ276">
            <v>0.6</v>
          </cell>
          <cell r="CA276">
            <v>2.8</v>
          </cell>
          <cell r="CB276">
            <v>0.1</v>
          </cell>
          <cell r="CC276">
            <v>3.7</v>
          </cell>
          <cell r="CD276">
            <v>5.4</v>
          </cell>
          <cell r="CE276">
            <v>2.8</v>
          </cell>
          <cell r="CF276">
            <v>0</v>
          </cell>
          <cell r="CG276">
            <v>0</v>
          </cell>
          <cell r="CH276">
            <v>0</v>
          </cell>
          <cell r="CI276">
            <v>0.4</v>
          </cell>
          <cell r="CJ276">
            <v>0.3</v>
          </cell>
          <cell r="CK276">
            <v>8.6</v>
          </cell>
          <cell r="CL276">
            <v>3</v>
          </cell>
          <cell r="CM276">
            <v>1.4</v>
          </cell>
          <cell r="CN276">
            <v>5.0999999999999996</v>
          </cell>
          <cell r="CO276">
            <v>1.8</v>
          </cell>
          <cell r="CP276">
            <v>-0.1</v>
          </cell>
          <cell r="CQ276">
            <v>0.4</v>
          </cell>
          <cell r="CR276">
            <v>8.3000000000000007</v>
          </cell>
          <cell r="CS276">
            <v>0.6</v>
          </cell>
          <cell r="CT276">
            <v>5.8</v>
          </cell>
          <cell r="CU276">
            <v>3.6</v>
          </cell>
          <cell r="CV276">
            <v>0.9</v>
          </cell>
          <cell r="CW276">
            <v>1.8</v>
          </cell>
          <cell r="CX276">
            <v>0.1</v>
          </cell>
          <cell r="CY276">
            <v>4.8</v>
          </cell>
          <cell r="CZ276">
            <v>2.4</v>
          </cell>
          <cell r="DA276">
            <v>4.0999999999999996</v>
          </cell>
          <cell r="DB276">
            <v>5.6</v>
          </cell>
          <cell r="DC276">
            <v>2.9</v>
          </cell>
          <cell r="DD276">
            <v>0.9</v>
          </cell>
          <cell r="DE276">
            <v>4.7</v>
          </cell>
          <cell r="DF276">
            <v>4.3</v>
          </cell>
          <cell r="DG276">
            <v>21.2</v>
          </cell>
          <cell r="DH276">
            <v>8.6</v>
          </cell>
          <cell r="DI276">
            <v>4.4000000000000004</v>
          </cell>
          <cell r="DJ276">
            <v>25.2</v>
          </cell>
          <cell r="DK276">
            <v>2.5</v>
          </cell>
          <cell r="DL276">
            <v>2.5</v>
          </cell>
          <cell r="DM276">
            <v>1.5</v>
          </cell>
          <cell r="DN276">
            <v>0</v>
          </cell>
          <cell r="DO276">
            <v>0</v>
          </cell>
          <cell r="DP276">
            <v>3</v>
          </cell>
          <cell r="DQ276">
            <v>0</v>
          </cell>
          <cell r="DR276">
            <v>0</v>
          </cell>
          <cell r="DS276">
            <v>3</v>
          </cell>
          <cell r="DT276">
            <v>0</v>
          </cell>
          <cell r="DU276">
            <v>0</v>
          </cell>
          <cell r="DV276">
            <v>3</v>
          </cell>
          <cell r="DW276">
            <v>0</v>
          </cell>
          <cell r="DX276">
            <v>0</v>
          </cell>
          <cell r="DY276">
            <v>3</v>
          </cell>
          <cell r="EM276">
            <v>42.699999999999996</v>
          </cell>
          <cell r="EN276">
            <v>38.700000000000003</v>
          </cell>
          <cell r="EO276">
            <v>13.9</v>
          </cell>
          <cell r="EP276">
            <v>29.300000000000004</v>
          </cell>
          <cell r="EQ276">
            <v>44.300000000000004</v>
          </cell>
          <cell r="ER276">
            <v>28.8</v>
          </cell>
          <cell r="ES276">
            <v>32.700000000000003</v>
          </cell>
        </row>
        <row r="277">
          <cell r="A277" t="str">
            <v>O&amp;M (Net of pass-throughs)</v>
          </cell>
          <cell r="B277" t="str">
            <v>Operations &amp; Maintenance Expense (incl clause)</v>
          </cell>
          <cell r="E277" t="str">
            <v>Operations &amp; Maintenance Expense</v>
          </cell>
          <cell r="F277" t="str">
            <v>6100160</v>
          </cell>
          <cell r="G277" t="str">
            <v>A_6100160</v>
          </cell>
          <cell r="H277" t="str">
            <v>Security Services</v>
          </cell>
          <cell r="J277">
            <v>0.1</v>
          </cell>
          <cell r="K277">
            <v>0.1</v>
          </cell>
          <cell r="L277">
            <v>0</v>
          </cell>
          <cell r="M277">
            <v>0.1</v>
          </cell>
          <cell r="N277">
            <v>0.2</v>
          </cell>
          <cell r="O277">
            <v>0.1</v>
          </cell>
          <cell r="P277">
            <v>0.2</v>
          </cell>
          <cell r="Q277">
            <v>0</v>
          </cell>
          <cell r="R277">
            <v>0.2</v>
          </cell>
          <cell r="S277">
            <v>0.1</v>
          </cell>
          <cell r="T277">
            <v>0.1</v>
          </cell>
          <cell r="U277">
            <v>5.3</v>
          </cell>
          <cell r="V277">
            <v>0.1</v>
          </cell>
          <cell r="W277">
            <v>0.6</v>
          </cell>
          <cell r="X277">
            <v>0.2</v>
          </cell>
          <cell r="Y277">
            <v>0.2</v>
          </cell>
          <cell r="Z277">
            <v>0.8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1.7</v>
          </cell>
          <cell r="AG277">
            <v>0.1</v>
          </cell>
          <cell r="AH277">
            <v>0.8</v>
          </cell>
          <cell r="AI277">
            <v>0.8</v>
          </cell>
          <cell r="AJ277">
            <v>0.1</v>
          </cell>
          <cell r="AK277">
            <v>0.1</v>
          </cell>
          <cell r="AL277">
            <v>0</v>
          </cell>
          <cell r="AM277">
            <v>1.2</v>
          </cell>
          <cell r="AN277">
            <v>-1.1000000000000001</v>
          </cell>
          <cell r="AO277">
            <v>0.4</v>
          </cell>
          <cell r="AP277">
            <v>0.1</v>
          </cell>
          <cell r="AQ277">
            <v>0.1</v>
          </cell>
          <cell r="AR277">
            <v>0.2</v>
          </cell>
          <cell r="AS277">
            <v>1.9</v>
          </cell>
          <cell r="AT277">
            <v>0.1</v>
          </cell>
          <cell r="AU277">
            <v>0</v>
          </cell>
          <cell r="AV277">
            <v>0.3</v>
          </cell>
          <cell r="AW277">
            <v>0.1</v>
          </cell>
          <cell r="AX277">
            <v>0.2</v>
          </cell>
          <cell r="AY277">
            <v>0.1</v>
          </cell>
          <cell r="AZ277">
            <v>1.2</v>
          </cell>
          <cell r="BA277">
            <v>0.1</v>
          </cell>
          <cell r="BB277">
            <v>3.3</v>
          </cell>
          <cell r="BC277">
            <v>1.4</v>
          </cell>
          <cell r="BD277">
            <v>1.8</v>
          </cell>
          <cell r="BE277">
            <v>0.2</v>
          </cell>
          <cell r="BF277">
            <v>0.1</v>
          </cell>
          <cell r="BG277">
            <v>0.1</v>
          </cell>
          <cell r="BH277">
            <v>0.2</v>
          </cell>
          <cell r="BI277">
            <v>0.2</v>
          </cell>
          <cell r="BJ277">
            <v>0.5</v>
          </cell>
          <cell r="BK277">
            <v>0.2</v>
          </cell>
          <cell r="BL277">
            <v>0.2</v>
          </cell>
          <cell r="BM277">
            <v>0.1</v>
          </cell>
          <cell r="BN277">
            <v>4.0999999999999996</v>
          </cell>
          <cell r="BO277">
            <v>0.5</v>
          </cell>
          <cell r="BP277">
            <v>0.1</v>
          </cell>
          <cell r="BQ277">
            <v>2</v>
          </cell>
          <cell r="BR277">
            <v>5</v>
          </cell>
          <cell r="BS277">
            <v>0.6</v>
          </cell>
          <cell r="BT277">
            <v>5</v>
          </cell>
          <cell r="BU277">
            <v>1.2</v>
          </cell>
          <cell r="BV277">
            <v>0.1</v>
          </cell>
          <cell r="BW277">
            <v>4.5</v>
          </cell>
          <cell r="BX277">
            <v>0.2</v>
          </cell>
          <cell r="BY277">
            <v>30.2</v>
          </cell>
          <cell r="BZ277">
            <v>0.1</v>
          </cell>
          <cell r="CA277">
            <v>4.7</v>
          </cell>
          <cell r="CB277">
            <v>0.5</v>
          </cell>
          <cell r="CC277">
            <v>38.799999999999997</v>
          </cell>
          <cell r="CD277">
            <v>-28.6</v>
          </cell>
          <cell r="CE277">
            <v>0.5</v>
          </cell>
          <cell r="CF277">
            <v>4.4000000000000004</v>
          </cell>
          <cell r="CG277">
            <v>0.4</v>
          </cell>
          <cell r="CH277">
            <v>0.6</v>
          </cell>
          <cell r="CI277">
            <v>4.4000000000000004</v>
          </cell>
          <cell r="CJ277">
            <v>0.2</v>
          </cell>
          <cell r="CK277">
            <v>0.5</v>
          </cell>
          <cell r="CL277">
            <v>4.5</v>
          </cell>
          <cell r="CM277">
            <v>0.2</v>
          </cell>
          <cell r="CN277">
            <v>2</v>
          </cell>
          <cell r="CO277">
            <v>4.3</v>
          </cell>
          <cell r="CP277">
            <v>0.1</v>
          </cell>
          <cell r="CQ277">
            <v>0</v>
          </cell>
          <cell r="CR277">
            <v>4.8</v>
          </cell>
          <cell r="CS277">
            <v>1.5</v>
          </cell>
          <cell r="CT277">
            <v>1.6</v>
          </cell>
          <cell r="CU277">
            <v>7.5</v>
          </cell>
          <cell r="CV277">
            <v>9.1</v>
          </cell>
          <cell r="CW277">
            <v>4</v>
          </cell>
          <cell r="CX277">
            <v>1.5</v>
          </cell>
          <cell r="CY277">
            <v>83.9</v>
          </cell>
          <cell r="CZ277">
            <v>34.299999999999997</v>
          </cell>
          <cell r="DA277">
            <v>147.9</v>
          </cell>
          <cell r="DB277">
            <v>-0.4</v>
          </cell>
          <cell r="DC277">
            <v>1.6</v>
          </cell>
          <cell r="DD277">
            <v>1.9</v>
          </cell>
          <cell r="DE277">
            <v>18</v>
          </cell>
          <cell r="DF277">
            <v>1.6</v>
          </cell>
          <cell r="DG277">
            <v>41.4</v>
          </cell>
          <cell r="DH277">
            <v>1.7</v>
          </cell>
          <cell r="DI277">
            <v>1.7</v>
          </cell>
          <cell r="DJ277">
            <v>1.5</v>
          </cell>
          <cell r="DK277">
            <v>32</v>
          </cell>
          <cell r="DL277">
            <v>18.600000000000001</v>
          </cell>
          <cell r="DM277">
            <v>137.5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EM277">
            <v>4.2</v>
          </cell>
          <cell r="EN277">
            <v>4.5999999999999996</v>
          </cell>
          <cell r="EO277">
            <v>8.8000000000000007</v>
          </cell>
          <cell r="EP277">
            <v>8.2999999999999989</v>
          </cell>
          <cell r="EQ277">
            <v>90.9</v>
          </cell>
          <cell r="ER277">
            <v>-6.6000000000000059</v>
          </cell>
          <cell r="ES277">
            <v>296.20000000000005</v>
          </cell>
        </row>
        <row r="278">
          <cell r="A278" t="str">
            <v>O&amp;M (Net of pass-throughs)</v>
          </cell>
          <cell r="B278" t="str">
            <v>Operations &amp; Maintenance Expense (incl clause)</v>
          </cell>
          <cell r="E278" t="str">
            <v>Operations &amp; Maintenance Expense</v>
          </cell>
          <cell r="F278" t="str">
            <v>6100170</v>
          </cell>
          <cell r="G278" t="str">
            <v>A_6100170</v>
          </cell>
          <cell r="H278" t="str">
            <v>Service/Maintenance-Computers &amp; Communication</v>
          </cell>
          <cell r="J278">
            <v>3.9</v>
          </cell>
          <cell r="K278">
            <v>1.9</v>
          </cell>
          <cell r="L278">
            <v>0</v>
          </cell>
          <cell r="M278">
            <v>4.0999999999999996</v>
          </cell>
          <cell r="N278">
            <v>4.4000000000000004</v>
          </cell>
          <cell r="O278">
            <v>-1.3</v>
          </cell>
          <cell r="P278">
            <v>41.8</v>
          </cell>
          <cell r="Q278">
            <v>6.2</v>
          </cell>
          <cell r="R278">
            <v>1.9</v>
          </cell>
          <cell r="S278">
            <v>24.6</v>
          </cell>
          <cell r="T278">
            <v>3.9</v>
          </cell>
          <cell r="U278">
            <v>1.9</v>
          </cell>
          <cell r="V278">
            <v>3.4</v>
          </cell>
          <cell r="W278">
            <v>4.7</v>
          </cell>
          <cell r="X278">
            <v>0</v>
          </cell>
          <cell r="Y278">
            <v>9.4</v>
          </cell>
          <cell r="Z278">
            <v>4.8</v>
          </cell>
          <cell r="AA278">
            <v>8.6999999999999993</v>
          </cell>
          <cell r="AB278">
            <v>10.6</v>
          </cell>
          <cell r="AC278">
            <v>16</v>
          </cell>
          <cell r="AD278">
            <v>11.9</v>
          </cell>
          <cell r="AE278">
            <v>8.6</v>
          </cell>
          <cell r="AF278">
            <v>8.1999999999999993</v>
          </cell>
          <cell r="AG278">
            <v>6.7</v>
          </cell>
          <cell r="AH278">
            <v>87.4</v>
          </cell>
          <cell r="AI278">
            <v>4</v>
          </cell>
          <cell r="AJ278">
            <v>-43.3</v>
          </cell>
          <cell r="AK278">
            <v>5.3</v>
          </cell>
          <cell r="AL278">
            <v>0</v>
          </cell>
          <cell r="AM278">
            <v>5.8</v>
          </cell>
          <cell r="AN278">
            <v>3.4</v>
          </cell>
          <cell r="AO278">
            <v>15</v>
          </cell>
          <cell r="AP278">
            <v>0</v>
          </cell>
          <cell r="AQ278">
            <v>7.3</v>
          </cell>
          <cell r="AR278">
            <v>11.4</v>
          </cell>
          <cell r="AS278">
            <v>32.200000000000003</v>
          </cell>
          <cell r="AT278">
            <v>3.4</v>
          </cell>
          <cell r="AU278">
            <v>0</v>
          </cell>
          <cell r="AV278">
            <v>0</v>
          </cell>
          <cell r="AW278">
            <v>0</v>
          </cell>
          <cell r="AX278">
            <v>3.4</v>
          </cell>
          <cell r="AY278">
            <v>0</v>
          </cell>
          <cell r="AZ278">
            <v>3.4</v>
          </cell>
          <cell r="BA278">
            <v>0.2</v>
          </cell>
          <cell r="BB278">
            <v>0</v>
          </cell>
          <cell r="BC278">
            <v>3.4</v>
          </cell>
          <cell r="BD278">
            <v>0</v>
          </cell>
          <cell r="BE278">
            <v>4</v>
          </cell>
          <cell r="BF278">
            <v>-0.6</v>
          </cell>
          <cell r="BG278">
            <v>0</v>
          </cell>
          <cell r="BH278">
            <v>0</v>
          </cell>
          <cell r="BI278">
            <v>3.4</v>
          </cell>
          <cell r="BJ278">
            <v>0</v>
          </cell>
          <cell r="BK278">
            <v>0</v>
          </cell>
          <cell r="BL278">
            <v>3.4</v>
          </cell>
          <cell r="BM278">
            <v>0</v>
          </cell>
          <cell r="BN278">
            <v>0</v>
          </cell>
          <cell r="BO278">
            <v>3.5</v>
          </cell>
          <cell r="BP278">
            <v>0</v>
          </cell>
          <cell r="BQ278">
            <v>0</v>
          </cell>
          <cell r="BR278">
            <v>3.5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3.5</v>
          </cell>
          <cell r="BX278">
            <v>0.1</v>
          </cell>
          <cell r="BY278">
            <v>0</v>
          </cell>
          <cell r="BZ278">
            <v>3.5</v>
          </cell>
          <cell r="CA278">
            <v>3.5</v>
          </cell>
          <cell r="CB278">
            <v>0</v>
          </cell>
          <cell r="CC278">
            <v>0</v>
          </cell>
          <cell r="CD278">
            <v>5.2</v>
          </cell>
          <cell r="CE278">
            <v>0.2</v>
          </cell>
          <cell r="CF278">
            <v>5.3</v>
          </cell>
          <cell r="CG278">
            <v>3.6</v>
          </cell>
          <cell r="CH278">
            <v>0</v>
          </cell>
          <cell r="CI278">
            <v>0</v>
          </cell>
          <cell r="CJ278">
            <v>3.6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7.3</v>
          </cell>
          <cell r="CQ278">
            <v>0</v>
          </cell>
          <cell r="CR278">
            <v>0</v>
          </cell>
          <cell r="CS278">
            <v>3.6</v>
          </cell>
          <cell r="CT278">
            <v>0</v>
          </cell>
          <cell r="CU278">
            <v>0</v>
          </cell>
          <cell r="CV278">
            <v>3.6</v>
          </cell>
          <cell r="CW278">
            <v>0</v>
          </cell>
          <cell r="CX278">
            <v>0</v>
          </cell>
          <cell r="CY278">
            <v>7.3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4.5</v>
          </cell>
          <cell r="DE278">
            <v>4.5</v>
          </cell>
          <cell r="DF278">
            <v>0</v>
          </cell>
          <cell r="DG278">
            <v>1.1000000000000001</v>
          </cell>
          <cell r="DH278">
            <v>4.5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4.5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EM278">
            <v>93</v>
          </cell>
          <cell r="EN278">
            <v>128.5</v>
          </cell>
          <cell r="EO278">
            <v>17.799999999999997</v>
          </cell>
          <cell r="EP278">
            <v>9.6999999999999993</v>
          </cell>
          <cell r="EQ278">
            <v>14.1</v>
          </cell>
          <cell r="ER278">
            <v>17.899999999999999</v>
          </cell>
          <cell r="ES278">
            <v>21.8</v>
          </cell>
        </row>
        <row r="279">
          <cell r="A279" t="str">
            <v>O&amp;M (Net of pass-throughs)</v>
          </cell>
          <cell r="B279" t="str">
            <v>Operations &amp; Maintenance Expense (incl clause)</v>
          </cell>
          <cell r="E279" t="str">
            <v>Operations &amp; Maintenance Expense</v>
          </cell>
          <cell r="F279" t="str">
            <v>6100180</v>
          </cell>
          <cell r="G279" t="str">
            <v>A_6100180</v>
          </cell>
          <cell r="H279" t="str">
            <v>Site Testing Services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0.4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0.2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1.4</v>
          </cell>
          <cell r="BY279">
            <v>0.1</v>
          </cell>
          <cell r="BZ279">
            <v>0</v>
          </cell>
          <cell r="CA279">
            <v>0</v>
          </cell>
          <cell r="CB279">
            <v>0</v>
          </cell>
          <cell r="CC279">
            <v>0.1</v>
          </cell>
          <cell r="CD279">
            <v>0</v>
          </cell>
          <cell r="CE279">
            <v>0</v>
          </cell>
          <cell r="CF279">
            <v>0.7</v>
          </cell>
          <cell r="CG279">
            <v>0</v>
          </cell>
          <cell r="CH279">
            <v>0</v>
          </cell>
          <cell r="CI279">
            <v>0.1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23.8</v>
          </cell>
          <cell r="CO279">
            <v>-23.8</v>
          </cell>
          <cell r="CP279">
            <v>0</v>
          </cell>
          <cell r="CQ279">
            <v>0</v>
          </cell>
          <cell r="CR279">
            <v>0</v>
          </cell>
          <cell r="CS279">
            <v>0.1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23.8</v>
          </cell>
          <cell r="CZ279">
            <v>-23.8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0.1</v>
          </cell>
          <cell r="DH279">
            <v>23.8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EM279">
            <v>0.4</v>
          </cell>
          <cell r="EN279">
            <v>0</v>
          </cell>
          <cell r="EO279">
            <v>0</v>
          </cell>
          <cell r="EP279">
            <v>0.2</v>
          </cell>
          <cell r="EQ279">
            <v>1.6</v>
          </cell>
          <cell r="ER279">
            <v>0.80000000000000071</v>
          </cell>
          <cell r="ES279">
            <v>0.10000000000000142</v>
          </cell>
        </row>
        <row r="280">
          <cell r="A280" t="str">
            <v>O&amp;M (Net of pass-throughs)</v>
          </cell>
          <cell r="B280" t="str">
            <v>Operations &amp; Maintenance Expense (incl clause)</v>
          </cell>
          <cell r="E280" t="str">
            <v>Operations &amp; Maintenance Expense</v>
          </cell>
          <cell r="F280" t="str">
            <v>6100190</v>
          </cell>
          <cell r="G280" t="str">
            <v>A_6100190</v>
          </cell>
          <cell r="H280" t="str">
            <v>Software Maintenance</v>
          </cell>
          <cell r="J280">
            <v>20.2</v>
          </cell>
          <cell r="K280">
            <v>184.5</v>
          </cell>
          <cell r="L280">
            <v>271.3</v>
          </cell>
          <cell r="M280">
            <v>59.5</v>
          </cell>
          <cell r="N280">
            <v>-9</v>
          </cell>
          <cell r="O280">
            <v>125.6</v>
          </cell>
          <cell r="P280">
            <v>150.9</v>
          </cell>
          <cell r="Q280">
            <v>-9.4</v>
          </cell>
          <cell r="R280">
            <v>13.1</v>
          </cell>
          <cell r="S280">
            <v>152.4</v>
          </cell>
          <cell r="T280">
            <v>52.8</v>
          </cell>
          <cell r="U280">
            <v>-84.5</v>
          </cell>
          <cell r="V280">
            <v>175.2</v>
          </cell>
          <cell r="W280">
            <v>71.900000000000006</v>
          </cell>
          <cell r="X280">
            <v>95.1</v>
          </cell>
          <cell r="Y280">
            <v>194.4</v>
          </cell>
          <cell r="Z280">
            <v>73.900000000000006</v>
          </cell>
          <cell r="AA280">
            <v>85</v>
          </cell>
          <cell r="AB280">
            <v>141.6</v>
          </cell>
          <cell r="AC280">
            <v>89.6</v>
          </cell>
          <cell r="AD280">
            <v>113.7</v>
          </cell>
          <cell r="AE280">
            <v>193.4</v>
          </cell>
          <cell r="AF280">
            <v>108</v>
          </cell>
          <cell r="AG280">
            <v>341.8</v>
          </cell>
          <cell r="AH280">
            <v>144.80000000000001</v>
          </cell>
          <cell r="AI280">
            <v>95.2</v>
          </cell>
          <cell r="AJ280">
            <v>156.4</v>
          </cell>
          <cell r="AK280">
            <v>279.10000000000002</v>
          </cell>
          <cell r="AL280">
            <v>102.4</v>
          </cell>
          <cell r="AM280">
            <v>221</v>
          </cell>
          <cell r="AN280">
            <v>183.4</v>
          </cell>
          <cell r="AO280">
            <v>-23.3</v>
          </cell>
          <cell r="AP280">
            <v>149</v>
          </cell>
          <cell r="AQ280">
            <v>306.5</v>
          </cell>
          <cell r="AR280">
            <v>-107.7</v>
          </cell>
          <cell r="AS280">
            <v>410.2</v>
          </cell>
          <cell r="AT280">
            <v>116.2</v>
          </cell>
          <cell r="AU280">
            <v>132.5</v>
          </cell>
          <cell r="AV280">
            <v>177.6</v>
          </cell>
          <cell r="AW280">
            <v>104.4</v>
          </cell>
          <cell r="AX280">
            <v>116.4</v>
          </cell>
          <cell r="AY280">
            <v>196.9</v>
          </cell>
          <cell r="AZ280">
            <v>116.8</v>
          </cell>
          <cell r="BA280">
            <v>130.9</v>
          </cell>
          <cell r="BB280">
            <v>243.6</v>
          </cell>
          <cell r="BC280">
            <v>151.19999999999999</v>
          </cell>
          <cell r="BD280">
            <v>159.5</v>
          </cell>
          <cell r="BE280">
            <v>144.69999999999999</v>
          </cell>
          <cell r="BF280">
            <v>165.7</v>
          </cell>
          <cell r="BG280">
            <v>222.3</v>
          </cell>
          <cell r="BH280">
            <v>725.6</v>
          </cell>
          <cell r="BI280">
            <v>173.6</v>
          </cell>
          <cell r="BJ280">
            <v>110.2</v>
          </cell>
          <cell r="BK280">
            <v>164</v>
          </cell>
          <cell r="BL280">
            <v>168.6</v>
          </cell>
          <cell r="BM280">
            <v>162.1</v>
          </cell>
          <cell r="BN280">
            <v>69.099999999999994</v>
          </cell>
          <cell r="BO280">
            <v>192.6</v>
          </cell>
          <cell r="BP280">
            <v>126.4</v>
          </cell>
          <cell r="BQ280">
            <v>493</v>
          </cell>
          <cell r="BR280">
            <v>133.9</v>
          </cell>
          <cell r="BS280">
            <v>60.1</v>
          </cell>
          <cell r="BT280">
            <v>91.5</v>
          </cell>
          <cell r="BU280">
            <v>90</v>
          </cell>
          <cell r="BV280">
            <v>213.6</v>
          </cell>
          <cell r="BW280">
            <v>80.8</v>
          </cell>
          <cell r="BX280">
            <v>124.4</v>
          </cell>
          <cell r="BY280">
            <v>93.9</v>
          </cell>
          <cell r="BZ280">
            <v>136.9</v>
          </cell>
          <cell r="CA280">
            <v>155.69999999999999</v>
          </cell>
          <cell r="CB280">
            <v>194.9</v>
          </cell>
          <cell r="CC280">
            <v>117.9</v>
          </cell>
          <cell r="CD280">
            <v>109.1</v>
          </cell>
          <cell r="CE280">
            <v>75.599999999999994</v>
          </cell>
          <cell r="CF280">
            <v>266.5</v>
          </cell>
          <cell r="CG280">
            <v>106.4</v>
          </cell>
          <cell r="CH280">
            <v>162.1</v>
          </cell>
          <cell r="CI280">
            <v>154.69999999999999</v>
          </cell>
          <cell r="CJ280">
            <v>389</v>
          </cell>
          <cell r="CK280">
            <v>168.8</v>
          </cell>
          <cell r="CL280">
            <v>176.4</v>
          </cell>
          <cell r="CM280">
            <v>133.4</v>
          </cell>
          <cell r="CN280">
            <v>1097.3</v>
          </cell>
          <cell r="CO280">
            <v>1614.8</v>
          </cell>
          <cell r="CP280">
            <v>179.7</v>
          </cell>
          <cell r="CQ280">
            <v>810.2</v>
          </cell>
          <cell r="CR280">
            <v>348.8</v>
          </cell>
          <cell r="CS280">
            <v>137.30000000000001</v>
          </cell>
          <cell r="CT280">
            <v>108.2</v>
          </cell>
          <cell r="CU280">
            <v>387.4</v>
          </cell>
          <cell r="CV280">
            <v>211.9</v>
          </cell>
          <cell r="CW280">
            <v>1175.4000000000001</v>
          </cell>
          <cell r="CX280">
            <v>-1996.5</v>
          </cell>
          <cell r="CY280">
            <v>188.6</v>
          </cell>
          <cell r="CZ280">
            <v>197.6</v>
          </cell>
          <cell r="DA280">
            <v>734.4</v>
          </cell>
          <cell r="DB280">
            <v>223.9</v>
          </cell>
          <cell r="DC280">
            <v>257.60000000000002</v>
          </cell>
          <cell r="DD280">
            <v>505.2</v>
          </cell>
          <cell r="DE280">
            <v>392.3</v>
          </cell>
          <cell r="DF280">
            <v>180.1</v>
          </cell>
          <cell r="DG280">
            <v>176.4</v>
          </cell>
          <cell r="DH280">
            <v>143.19999999999999</v>
          </cell>
          <cell r="DI280">
            <v>191.5</v>
          </cell>
          <cell r="DJ280">
            <v>311</v>
          </cell>
          <cell r="DK280">
            <v>166.6</v>
          </cell>
          <cell r="DL280">
            <v>184.4</v>
          </cell>
          <cell r="DM280">
            <v>215.3</v>
          </cell>
          <cell r="DN280">
            <v>45.8</v>
          </cell>
          <cell r="DO280">
            <v>45.8</v>
          </cell>
          <cell r="DP280">
            <v>45.8</v>
          </cell>
          <cell r="DQ280">
            <v>45.8</v>
          </cell>
          <cell r="DR280">
            <v>45.8</v>
          </cell>
          <cell r="DS280">
            <v>46.3</v>
          </cell>
          <cell r="DT280">
            <v>45.8</v>
          </cell>
          <cell r="DU280">
            <v>45.8</v>
          </cell>
          <cell r="DV280">
            <v>45.8</v>
          </cell>
          <cell r="DW280">
            <v>45.8</v>
          </cell>
          <cell r="DX280">
            <v>45.8</v>
          </cell>
          <cell r="DY280">
            <v>45.8</v>
          </cell>
          <cell r="EM280">
            <v>1683.6000000000001</v>
          </cell>
          <cell r="EN280">
            <v>1917</v>
          </cell>
          <cell r="EO280">
            <v>1790.6999999999998</v>
          </cell>
          <cell r="EP280">
            <v>2773.2</v>
          </cell>
          <cell r="EQ280">
            <v>1493.6000000000001</v>
          </cell>
          <cell r="ER280">
            <v>4454.1000000000004</v>
          </cell>
          <cell r="ES280">
            <v>2483</v>
          </cell>
        </row>
        <row r="281">
          <cell r="A281" t="str">
            <v>O&amp;M (Net of pass-throughs)</v>
          </cell>
          <cell r="B281" t="str">
            <v>Operations &amp; Maintenance Expense (incl clause)</v>
          </cell>
          <cell r="E281" t="str">
            <v>Operations &amp; Maintenance Expense</v>
          </cell>
          <cell r="F281" t="str">
            <v>6100200</v>
          </cell>
          <cell r="G281" t="str">
            <v>A_6100200</v>
          </cell>
          <cell r="H281" t="str">
            <v>Trust Fee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1</v>
          </cell>
          <cell r="T281">
            <v>0.1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0.1</v>
          </cell>
          <cell r="AA281">
            <v>0</v>
          </cell>
          <cell r="AB281">
            <v>0</v>
          </cell>
          <cell r="AC281">
            <v>0</v>
          </cell>
          <cell r="AD281">
            <v>0.4</v>
          </cell>
          <cell r="AE281">
            <v>1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0.1</v>
          </cell>
          <cell r="AM281">
            <v>0.3</v>
          </cell>
          <cell r="AN281">
            <v>0.7</v>
          </cell>
          <cell r="AO281">
            <v>0</v>
          </cell>
          <cell r="AP281">
            <v>0.4</v>
          </cell>
          <cell r="AQ281">
            <v>1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0.5</v>
          </cell>
          <cell r="AY281">
            <v>0.7</v>
          </cell>
          <cell r="AZ281">
            <v>0</v>
          </cell>
          <cell r="BA281">
            <v>0</v>
          </cell>
          <cell r="BB281">
            <v>0.4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1.2</v>
          </cell>
          <cell r="BL281">
            <v>0</v>
          </cell>
          <cell r="BM281">
            <v>0</v>
          </cell>
          <cell r="BN281">
            <v>0</v>
          </cell>
          <cell r="BO281">
            <v>1</v>
          </cell>
          <cell r="BP281">
            <v>0</v>
          </cell>
          <cell r="BQ281">
            <v>0.4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1.4</v>
          </cell>
          <cell r="BY281">
            <v>0</v>
          </cell>
          <cell r="BZ281">
            <v>0.4</v>
          </cell>
          <cell r="CA281">
            <v>1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0.1</v>
          </cell>
          <cell r="CJ281">
            <v>0.3</v>
          </cell>
          <cell r="CK281">
            <v>0</v>
          </cell>
          <cell r="CL281">
            <v>0</v>
          </cell>
          <cell r="CM281">
            <v>1.5</v>
          </cell>
          <cell r="CN281">
            <v>0</v>
          </cell>
          <cell r="CO281">
            <v>1.6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1.3</v>
          </cell>
          <cell r="CY281">
            <v>1.4</v>
          </cell>
          <cell r="CZ281">
            <v>0</v>
          </cell>
          <cell r="DA281">
            <v>0.3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1.3</v>
          </cell>
          <cell r="DI281">
            <v>0</v>
          </cell>
          <cell r="DJ281">
            <v>0</v>
          </cell>
          <cell r="DK281">
            <v>0</v>
          </cell>
          <cell r="DL281">
            <v>0.4</v>
          </cell>
          <cell r="DM281">
            <v>1.2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EM281">
            <v>1.5</v>
          </cell>
          <cell r="EN281">
            <v>2.5</v>
          </cell>
          <cell r="EO281">
            <v>1.6</v>
          </cell>
          <cell r="EP281">
            <v>2.6</v>
          </cell>
          <cell r="EQ281">
            <v>2.8</v>
          </cell>
          <cell r="ER281">
            <v>3.5</v>
          </cell>
          <cell r="ES281">
            <v>3</v>
          </cell>
        </row>
        <row r="282">
          <cell r="A282" t="str">
            <v>O&amp;M (Net of pass-throughs)</v>
          </cell>
          <cell r="B282" t="str">
            <v>Operations &amp; Maintenance Expense (incl clause)</v>
          </cell>
          <cell r="E282" t="str">
            <v>Operations &amp; Maintenance Expense</v>
          </cell>
          <cell r="F282" t="str">
            <v>6100220</v>
          </cell>
          <cell r="G282" t="str">
            <v>A_6100220</v>
          </cell>
          <cell r="H282" t="str">
            <v xml:space="preserve"> Equipment Services 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A283" t="str">
            <v>O&amp;M (Net of pass-throughs)</v>
          </cell>
          <cell r="B283" t="str">
            <v>Operations &amp; Maintenance Expense (incl clause)</v>
          </cell>
          <cell r="E283" t="str">
            <v>Operations &amp; Maintenance Expense</v>
          </cell>
          <cell r="F283" t="str">
            <v>6100800</v>
          </cell>
          <cell r="G283" t="str">
            <v>A_6100800</v>
          </cell>
          <cell r="H283" t="str">
            <v>Misc. Outside Services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A284" t="str">
            <v>O&amp;M (Net of pass-throughs)</v>
          </cell>
          <cell r="B284" t="str">
            <v>Operations &amp; Maintenance Expense (incl clause)</v>
          </cell>
          <cell r="E284" t="str">
            <v>Operations &amp; Maintenance Expense</v>
          </cell>
          <cell r="F284" t="str">
            <v>6108999</v>
          </cell>
          <cell r="G284" t="str">
            <v>A_6108999</v>
          </cell>
          <cell r="H284" t="str">
            <v>Outside Services Expense Reclass</v>
          </cell>
          <cell r="J284">
            <v>11.9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-198</v>
          </cell>
          <cell r="T284">
            <v>16.3</v>
          </cell>
          <cell r="U284">
            <v>-1483.9</v>
          </cell>
          <cell r="V284">
            <v>0</v>
          </cell>
          <cell r="W284">
            <v>0</v>
          </cell>
          <cell r="X284">
            <v>-208.3</v>
          </cell>
          <cell r="Y284">
            <v>0</v>
          </cell>
          <cell r="Z284">
            <v>-53.6</v>
          </cell>
          <cell r="AA284">
            <v>53.6</v>
          </cell>
          <cell r="AB284">
            <v>14</v>
          </cell>
          <cell r="AC284">
            <v>0</v>
          </cell>
          <cell r="AD284">
            <v>0</v>
          </cell>
          <cell r="AE284">
            <v>0</v>
          </cell>
          <cell r="AF284">
            <v>6.5</v>
          </cell>
          <cell r="AG284">
            <v>56.3</v>
          </cell>
          <cell r="AH284">
            <v>0</v>
          </cell>
          <cell r="AI284">
            <v>0</v>
          </cell>
          <cell r="AJ284">
            <v>19.600000000000001</v>
          </cell>
          <cell r="AK284">
            <v>0.3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12.8</v>
          </cell>
          <cell r="AQ284">
            <v>17.5</v>
          </cell>
          <cell r="AR284">
            <v>23.9</v>
          </cell>
          <cell r="AS284">
            <v>149</v>
          </cell>
          <cell r="AT284">
            <v>-136.6</v>
          </cell>
          <cell r="AU284">
            <v>314.7</v>
          </cell>
          <cell r="AV284">
            <v>-161.6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-219.8</v>
          </cell>
          <cell r="BF284">
            <v>0</v>
          </cell>
          <cell r="BG284">
            <v>0.2</v>
          </cell>
          <cell r="BH284">
            <v>8.9</v>
          </cell>
          <cell r="BI284">
            <v>0</v>
          </cell>
          <cell r="BJ284">
            <v>261.39999999999998</v>
          </cell>
          <cell r="BK284">
            <v>-259.2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31.4</v>
          </cell>
          <cell r="BQ284">
            <v>305.7</v>
          </cell>
          <cell r="BR284">
            <v>0</v>
          </cell>
          <cell r="BS284">
            <v>-1.2</v>
          </cell>
          <cell r="BT284">
            <v>2.9</v>
          </cell>
          <cell r="BU284">
            <v>19.5</v>
          </cell>
          <cell r="BV284">
            <v>17</v>
          </cell>
          <cell r="BW284">
            <v>12.2</v>
          </cell>
          <cell r="BX284">
            <v>90.8</v>
          </cell>
          <cell r="BY284">
            <v>191.6</v>
          </cell>
          <cell r="BZ284">
            <v>10</v>
          </cell>
          <cell r="CA284">
            <v>83.4</v>
          </cell>
          <cell r="CB284">
            <v>177.5</v>
          </cell>
          <cell r="CC284">
            <v>11.6</v>
          </cell>
          <cell r="CD284">
            <v>0</v>
          </cell>
          <cell r="CE284">
            <v>0.7</v>
          </cell>
          <cell r="CF284">
            <v>12.3</v>
          </cell>
          <cell r="CG284">
            <v>13.7</v>
          </cell>
          <cell r="CH284">
            <v>2.1</v>
          </cell>
          <cell r="CI284">
            <v>8.1999999999999993</v>
          </cell>
          <cell r="CJ284">
            <v>0.5</v>
          </cell>
          <cell r="CK284">
            <v>1.3</v>
          </cell>
          <cell r="CL284">
            <v>29.3</v>
          </cell>
          <cell r="CM284">
            <v>2.9</v>
          </cell>
          <cell r="CN284">
            <v>3.1</v>
          </cell>
          <cell r="CO284">
            <v>16.600000000000001</v>
          </cell>
          <cell r="CP284">
            <v>7.2</v>
          </cell>
          <cell r="CQ284">
            <v>6.2</v>
          </cell>
          <cell r="CR284">
            <v>-83.6</v>
          </cell>
          <cell r="CS284">
            <v>25.4</v>
          </cell>
          <cell r="CT284">
            <v>0</v>
          </cell>
          <cell r="CU284">
            <v>2.4</v>
          </cell>
          <cell r="CV284">
            <v>0</v>
          </cell>
          <cell r="CW284">
            <v>0</v>
          </cell>
          <cell r="CX284">
            <v>7.9</v>
          </cell>
          <cell r="CY284">
            <v>1.7</v>
          </cell>
          <cell r="CZ284">
            <v>0</v>
          </cell>
          <cell r="DA284">
            <v>285.2</v>
          </cell>
          <cell r="DB284">
            <v>238.4</v>
          </cell>
          <cell r="DC284">
            <v>-34.4</v>
          </cell>
          <cell r="DD284">
            <v>1.5</v>
          </cell>
          <cell r="DE284">
            <v>21.4</v>
          </cell>
          <cell r="DF284">
            <v>4.0999999999999996</v>
          </cell>
          <cell r="DG284">
            <v>26.7</v>
          </cell>
          <cell r="DH284">
            <v>22.4</v>
          </cell>
          <cell r="DI284">
            <v>46.3</v>
          </cell>
          <cell r="DJ284">
            <v>-563.1</v>
          </cell>
          <cell r="DK284">
            <v>-708.2</v>
          </cell>
          <cell r="DL284">
            <v>913.1</v>
          </cell>
          <cell r="DM284">
            <v>89.2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EM284">
            <v>-131.50000000000006</v>
          </cell>
          <cell r="EN284">
            <v>223.1</v>
          </cell>
          <cell r="EO284">
            <v>-203.3</v>
          </cell>
          <cell r="EP284">
            <v>348.4</v>
          </cell>
          <cell r="EQ284">
            <v>615.29999999999995</v>
          </cell>
          <cell r="ER284">
            <v>90.699999999999989</v>
          </cell>
          <cell r="ES284">
            <v>252.4</v>
          </cell>
        </row>
        <row r="285">
          <cell r="A285" t="str">
            <v>O&amp;M (Net of pass-throughs)</v>
          </cell>
          <cell r="B285" t="str">
            <v>Operations &amp; Maintenance Expense (incl clause)</v>
          </cell>
          <cell r="E285" t="str">
            <v>Operations &amp; Maintenance Expense</v>
          </cell>
          <cell r="F285" t="str">
            <v>6109000</v>
          </cell>
          <cell r="G285" t="str">
            <v>A_6109000</v>
          </cell>
          <cell r="H285" t="str">
            <v>Outside Services Expense sent to Balance Sheet</v>
          </cell>
          <cell r="J285">
            <v>-1537.8</v>
          </cell>
          <cell r="K285">
            <v>-7004.1</v>
          </cell>
          <cell r="L285">
            <v>-4450.2</v>
          </cell>
          <cell r="M285">
            <v>-5756.1</v>
          </cell>
          <cell r="N285">
            <v>-4308.3</v>
          </cell>
          <cell r="O285">
            <v>-5773.7</v>
          </cell>
          <cell r="P285">
            <v>-5387.2</v>
          </cell>
          <cell r="Q285">
            <v>-7172.4</v>
          </cell>
          <cell r="R285">
            <v>-4902.1000000000004</v>
          </cell>
          <cell r="S285">
            <v>-4397.7</v>
          </cell>
          <cell r="T285">
            <v>-3517.6</v>
          </cell>
          <cell r="U285">
            <v>-4956.3</v>
          </cell>
          <cell r="V285">
            <v>-4197.7</v>
          </cell>
          <cell r="W285">
            <v>-3668.9</v>
          </cell>
          <cell r="X285">
            <v>-4439.8999999999996</v>
          </cell>
          <cell r="Y285">
            <v>-3568.6</v>
          </cell>
          <cell r="Z285">
            <v>-3459.4</v>
          </cell>
          <cell r="AA285">
            <v>-6141</v>
          </cell>
          <cell r="AB285">
            <v>-5163.2</v>
          </cell>
          <cell r="AC285">
            <v>-3727.3</v>
          </cell>
          <cell r="AD285">
            <v>-4496.1000000000004</v>
          </cell>
          <cell r="AE285">
            <v>-5707.9</v>
          </cell>
          <cell r="AF285">
            <v>-6076.4</v>
          </cell>
          <cell r="AG285">
            <v>-6830.3</v>
          </cell>
          <cell r="AH285">
            <v>-3864.3</v>
          </cell>
          <cell r="AI285">
            <v>-11285.1</v>
          </cell>
          <cell r="AJ285">
            <v>-6943.2</v>
          </cell>
          <cell r="AK285">
            <v>-5234.7</v>
          </cell>
          <cell r="AL285">
            <v>-8649.1</v>
          </cell>
          <cell r="AM285">
            <v>-10089.299999999999</v>
          </cell>
          <cell r="AN285">
            <v>-6378.6</v>
          </cell>
          <cell r="AO285">
            <v>-7207.2</v>
          </cell>
          <cell r="AP285">
            <v>-7265.1</v>
          </cell>
          <cell r="AQ285">
            <v>-6257.7</v>
          </cell>
          <cell r="AR285">
            <v>-8084.7</v>
          </cell>
          <cell r="AS285">
            <v>-10375.799999999999</v>
          </cell>
          <cell r="AT285">
            <v>-4424.8</v>
          </cell>
          <cell r="AU285">
            <v>-6533.8</v>
          </cell>
          <cell r="AV285">
            <v>-6006.2</v>
          </cell>
          <cell r="AW285">
            <v>-5001.7</v>
          </cell>
          <cell r="AX285">
            <v>-6375.4</v>
          </cell>
          <cell r="AY285">
            <v>-5956.5</v>
          </cell>
          <cell r="AZ285">
            <v>-7857.5</v>
          </cell>
          <cell r="BA285">
            <v>-9926.2000000000007</v>
          </cell>
          <cell r="BB285">
            <v>-4933.5</v>
          </cell>
          <cell r="BC285">
            <v>-7969.6</v>
          </cell>
          <cell r="BD285">
            <v>-7784.3</v>
          </cell>
          <cell r="BE285">
            <v>-8295.6</v>
          </cell>
          <cell r="BF285">
            <v>-7195.1</v>
          </cell>
          <cell r="BG285">
            <v>-8487.9</v>
          </cell>
          <cell r="BH285">
            <v>-10031.200000000001</v>
          </cell>
          <cell r="BI285">
            <v>-6541.6</v>
          </cell>
          <cell r="BJ285">
            <v>-10434.4</v>
          </cell>
          <cell r="BK285">
            <v>-7758.5</v>
          </cell>
          <cell r="BL285">
            <v>-7844.1</v>
          </cell>
          <cell r="BM285">
            <v>-10588.2</v>
          </cell>
          <cell r="BN285">
            <v>-9951.7999999999993</v>
          </cell>
          <cell r="BO285">
            <v>-15501.4</v>
          </cell>
          <cell r="BP285">
            <v>-12914.9</v>
          </cell>
          <cell r="BQ285">
            <v>-11948.2</v>
          </cell>
          <cell r="BR285">
            <v>-13353.2</v>
          </cell>
          <cell r="BS285">
            <v>-10040.799999999999</v>
          </cell>
          <cell r="BT285">
            <v>-10820.8</v>
          </cell>
          <cell r="BU285">
            <v>-10043</v>
          </cell>
          <cell r="BV285">
            <v>-11877.2</v>
          </cell>
          <cell r="BW285">
            <v>-14275.8</v>
          </cell>
          <cell r="BX285">
            <v>-9703.2000000000007</v>
          </cell>
          <cell r="BY285">
            <v>-16254.6</v>
          </cell>
          <cell r="BZ285">
            <v>-10920</v>
          </cell>
          <cell r="CA285">
            <v>-13323.6</v>
          </cell>
          <cell r="CB285">
            <v>-16050.4</v>
          </cell>
          <cell r="CC285">
            <v>-18399.8</v>
          </cell>
          <cell r="CD285">
            <v>-18021</v>
          </cell>
          <cell r="CE285">
            <v>-16796.7</v>
          </cell>
          <cell r="CF285">
            <v>-17369.3</v>
          </cell>
          <cell r="CG285">
            <v>-20269.599999999999</v>
          </cell>
          <cell r="CH285">
            <v>-19262.900000000001</v>
          </cell>
          <cell r="CI285">
            <v>-13135.6</v>
          </cell>
          <cell r="CJ285">
            <v>-16323.2</v>
          </cell>
          <cell r="CK285">
            <v>-17584.099999999999</v>
          </cell>
          <cell r="CL285">
            <v>-17948.099999999999</v>
          </cell>
          <cell r="CM285">
            <v>-25132.1</v>
          </cell>
          <cell r="CN285">
            <v>-22817.7</v>
          </cell>
          <cell r="CO285">
            <v>-27453.8</v>
          </cell>
          <cell r="CP285">
            <v>-14838.1</v>
          </cell>
          <cell r="CQ285">
            <v>-23793.599999999999</v>
          </cell>
          <cell r="CR285">
            <v>-25790.5</v>
          </cell>
          <cell r="CS285">
            <v>-17400.099999999999</v>
          </cell>
          <cell r="CT285">
            <v>-12857.3</v>
          </cell>
          <cell r="CU285">
            <v>-19027.5</v>
          </cell>
          <cell r="CV285">
            <v>-14145.1</v>
          </cell>
          <cell r="CW285">
            <v>-17713</v>
          </cell>
          <cell r="CX285">
            <v>-19563</v>
          </cell>
          <cell r="CY285">
            <v>-23096.1</v>
          </cell>
          <cell r="CZ285">
            <v>-20621.599999999999</v>
          </cell>
          <cell r="DA285">
            <v>-15356.1</v>
          </cell>
          <cell r="DB285">
            <v>-17819</v>
          </cell>
          <cell r="DC285">
            <v>-17180.400000000001</v>
          </cell>
          <cell r="DD285">
            <v>-16334.1</v>
          </cell>
          <cell r="DE285">
            <v>-21979.4</v>
          </cell>
          <cell r="DF285">
            <v>-18462</v>
          </cell>
          <cell r="DG285">
            <v>-22458</v>
          </cell>
          <cell r="DH285">
            <v>-14790.9</v>
          </cell>
          <cell r="DI285">
            <v>-20098.5</v>
          </cell>
          <cell r="DJ285">
            <v>-11546</v>
          </cell>
          <cell r="DK285">
            <v>-14349.6</v>
          </cell>
          <cell r="DL285">
            <v>-16895.5</v>
          </cell>
          <cell r="DM285">
            <v>-31442.799999999999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EM285">
            <v>-57476.700000000004</v>
          </cell>
          <cell r="EN285">
            <v>-91634.799999999988</v>
          </cell>
          <cell r="EO285">
            <v>-81065.100000000006</v>
          </cell>
          <cell r="EP285">
            <v>-119197.29999999999</v>
          </cell>
          <cell r="EQ285">
            <v>-155062.39999999999</v>
          </cell>
          <cell r="ER285">
            <v>-232114.1</v>
          </cell>
          <cell r="ES285">
            <v>-224202.00000000003</v>
          </cell>
        </row>
        <row r="286">
          <cell r="A286" t="str">
            <v>O&amp;M (Net of pass-throughs)</v>
          </cell>
          <cell r="B286" t="str">
            <v>Operations &amp; Maintenance Expense (incl clause)</v>
          </cell>
          <cell r="E286" t="str">
            <v>Operations &amp; Maintenance Expense</v>
          </cell>
          <cell r="F286" t="str">
            <v>6109000</v>
          </cell>
          <cell r="G286" t="str">
            <v>A_S6109000</v>
          </cell>
          <cell r="H286" t="str">
            <v>Settled Outside Services Expense to Balance Sheet</v>
          </cell>
          <cell r="DN286">
            <v>-10.8</v>
          </cell>
          <cell r="DO286">
            <v>-10.8</v>
          </cell>
          <cell r="DP286">
            <v>-10.8</v>
          </cell>
          <cell r="DQ286">
            <v>-10.8</v>
          </cell>
          <cell r="DR286">
            <v>-10.8</v>
          </cell>
          <cell r="DS286">
            <v>-10.8</v>
          </cell>
          <cell r="DT286">
            <v>-10.8</v>
          </cell>
          <cell r="DU286">
            <v>-10.8</v>
          </cell>
          <cell r="DV286">
            <v>-10.8</v>
          </cell>
          <cell r="DW286">
            <v>-10.8</v>
          </cell>
          <cell r="DX286">
            <v>-10.8</v>
          </cell>
          <cell r="DY286">
            <v>-10.8</v>
          </cell>
        </row>
        <row r="287">
          <cell r="A287" t="str">
            <v>O&amp;M (Net of pass-throughs)</v>
          </cell>
          <cell r="B287" t="str">
            <v>Operations &amp; Maintenance Expense (incl clause)</v>
          </cell>
          <cell r="E287" t="str">
            <v>Operations &amp; Maintenance Expense</v>
          </cell>
          <cell r="F287" t="str">
            <v>6100000</v>
          </cell>
          <cell r="G287" t="str">
            <v>A_S6100000</v>
          </cell>
          <cell r="H287" t="str">
            <v>Settled Outside Services Expense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69.400000000000006</v>
          </cell>
          <cell r="DO287">
            <v>69.7</v>
          </cell>
          <cell r="DP287">
            <v>110.4</v>
          </cell>
          <cell r="DQ287">
            <v>70.2</v>
          </cell>
          <cell r="DR287">
            <v>71.7</v>
          </cell>
          <cell r="DS287">
            <v>151.1</v>
          </cell>
          <cell r="DT287">
            <v>69.400000000000006</v>
          </cell>
          <cell r="DU287">
            <v>69.400000000000006</v>
          </cell>
          <cell r="DV287">
            <v>110.4</v>
          </cell>
          <cell r="DW287">
            <v>69.400000000000006</v>
          </cell>
          <cell r="DX287">
            <v>353.2</v>
          </cell>
          <cell r="DY287">
            <v>110.4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A288" t="str">
            <v>O&amp;M (Net of pass-throughs)</v>
          </cell>
          <cell r="B288" t="str">
            <v>Operations &amp; Maintenance Expense (incl clause)</v>
          </cell>
          <cell r="E288" t="str">
            <v>Operations &amp; Maintenance Expense</v>
          </cell>
          <cell r="F288" t="str">
            <v>6100010</v>
          </cell>
          <cell r="G288" t="str">
            <v>A_S6100010</v>
          </cell>
          <cell r="H288" t="str">
            <v>Settled Advertising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5.7</v>
          </cell>
          <cell r="DO288">
            <v>5.7</v>
          </cell>
          <cell r="DP288">
            <v>9.6999999999999993</v>
          </cell>
          <cell r="DQ288">
            <v>5.7</v>
          </cell>
          <cell r="DR288">
            <v>5.7</v>
          </cell>
          <cell r="DS288">
            <v>19.7</v>
          </cell>
          <cell r="DT288">
            <v>5.7</v>
          </cell>
          <cell r="DU288">
            <v>30.7</v>
          </cell>
          <cell r="DV288">
            <v>9.6999999999999993</v>
          </cell>
          <cell r="DW288">
            <v>5.7</v>
          </cell>
          <cell r="DX288">
            <v>5.7</v>
          </cell>
          <cell r="DY288">
            <v>9.6999999999999993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A289" t="str">
            <v>O&amp;M (Net of pass-throughs)</v>
          </cell>
          <cell r="B289" t="str">
            <v>Operations &amp; Maintenance Expense (incl clause)</v>
          </cell>
          <cell r="E289" t="str">
            <v>Operations &amp; Maintenance Expense</v>
          </cell>
          <cell r="F289" t="str">
            <v>6100100</v>
          </cell>
          <cell r="G289" t="str">
            <v>A_S6100100</v>
          </cell>
          <cell r="H289" t="str">
            <v>Settled Contractor Services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1304.3</v>
          </cell>
          <cell r="DO289">
            <v>1313.7</v>
          </cell>
          <cell r="DP289">
            <v>1331.2</v>
          </cell>
          <cell r="DQ289">
            <v>1257.5</v>
          </cell>
          <cell r="DR289">
            <v>1350.3</v>
          </cell>
          <cell r="DS289">
            <v>1295.8</v>
          </cell>
          <cell r="DT289">
            <v>1222.2</v>
          </cell>
          <cell r="DU289">
            <v>1252</v>
          </cell>
          <cell r="DV289">
            <v>1296.7</v>
          </cell>
          <cell r="DW289">
            <v>1244.7</v>
          </cell>
          <cell r="DX289">
            <v>1377.3</v>
          </cell>
          <cell r="DY289">
            <v>1296.5999999999999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A290" t="str">
            <v>O&amp;M (Net of pass-throughs)</v>
          </cell>
          <cell r="B290" t="str">
            <v>Operations &amp; Maintenance Expense (incl clause)</v>
          </cell>
          <cell r="E290" t="str">
            <v>Operations &amp; Maintenance Expense</v>
          </cell>
          <cell r="F290" t="str">
            <v>6100030</v>
          </cell>
          <cell r="G290" t="str">
            <v>A_S6100030</v>
          </cell>
          <cell r="H290" t="str">
            <v>Settled Consultants - Audit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78.099999999999994</v>
          </cell>
          <cell r="DQ290">
            <v>0</v>
          </cell>
          <cell r="DR290">
            <v>0</v>
          </cell>
          <cell r="DS290">
            <v>78.099999999999994</v>
          </cell>
          <cell r="DT290">
            <v>0</v>
          </cell>
          <cell r="DU290">
            <v>0</v>
          </cell>
          <cell r="DV290">
            <v>78.099999999999994</v>
          </cell>
          <cell r="DW290">
            <v>0</v>
          </cell>
          <cell r="DX290">
            <v>0</v>
          </cell>
          <cell r="DY290">
            <v>78.099999999999994</v>
          </cell>
        </row>
        <row r="291">
          <cell r="A291" t="str">
            <v>O&amp;M (Net of pass-throughs)</v>
          </cell>
          <cell r="B291" t="str">
            <v>Operations &amp; Maintenance Expense (incl clause)</v>
          </cell>
          <cell r="E291" t="str">
            <v>Operations &amp; Maintenance Expense</v>
          </cell>
          <cell r="F291" t="str">
            <v>6100040</v>
          </cell>
          <cell r="G291" t="str">
            <v>A_S6100040</v>
          </cell>
          <cell r="H291" t="str">
            <v>Settled Consultants - Engineering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 t="str">
            <v>O&amp;M (Net of pass-throughs)</v>
          </cell>
          <cell r="B292" t="str">
            <v>Operations &amp; Maintenance Expense (incl clause)</v>
          </cell>
          <cell r="E292" t="str">
            <v>Operations &amp; Maintenance Expense</v>
          </cell>
          <cell r="F292" t="str">
            <v>6100060</v>
          </cell>
          <cell r="G292" t="str">
            <v>A_S6100060</v>
          </cell>
          <cell r="H292" t="str">
            <v>Settled Consultants - Legal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55</v>
          </cell>
          <cell r="DO292">
            <v>99.6</v>
          </cell>
          <cell r="DP292">
            <v>99.6</v>
          </cell>
          <cell r="DQ292">
            <v>99.6</v>
          </cell>
          <cell r="DR292">
            <v>99.6</v>
          </cell>
          <cell r="DS292">
            <v>99.6</v>
          </cell>
          <cell r="DT292">
            <v>99.6</v>
          </cell>
          <cell r="DU292">
            <v>99.6</v>
          </cell>
          <cell r="DV292">
            <v>99.6</v>
          </cell>
          <cell r="DW292">
            <v>99.6</v>
          </cell>
          <cell r="DX292">
            <v>99.6</v>
          </cell>
          <cell r="DY292">
            <v>405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</row>
        <row r="293">
          <cell r="A293" t="str">
            <v>O&amp;M (Net of pass-throughs)</v>
          </cell>
          <cell r="B293" t="str">
            <v>Operations &amp; Maintenance Expense (incl clause)</v>
          </cell>
          <cell r="E293" t="str">
            <v>Operations &amp; Maintenance Expense</v>
          </cell>
          <cell r="F293" t="str">
            <v>6100070</v>
          </cell>
          <cell r="G293" t="str">
            <v>A_S6100070</v>
          </cell>
          <cell r="H293" t="str">
            <v>Settled Consultants - Management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8.3000000000000007</v>
          </cell>
          <cell r="DO293">
            <v>8.3000000000000007</v>
          </cell>
          <cell r="DP293">
            <v>8.3000000000000007</v>
          </cell>
          <cell r="DQ293">
            <v>8.3000000000000007</v>
          </cell>
          <cell r="DR293">
            <v>8.3000000000000007</v>
          </cell>
          <cell r="DS293">
            <v>8.3000000000000007</v>
          </cell>
          <cell r="DT293">
            <v>8.3000000000000007</v>
          </cell>
          <cell r="DU293">
            <v>8.3000000000000007</v>
          </cell>
          <cell r="DV293">
            <v>8.3000000000000007</v>
          </cell>
          <cell r="DW293">
            <v>8.3000000000000007</v>
          </cell>
          <cell r="DX293">
            <v>8.3000000000000007</v>
          </cell>
          <cell r="DY293">
            <v>8.3000000000000007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A294" t="str">
            <v>O&amp;M (Net of pass-throughs)</v>
          </cell>
          <cell r="B294" t="str">
            <v>Operations &amp; Maintenance Expense (incl clause)</v>
          </cell>
          <cell r="E294" t="str">
            <v>Operations &amp; Maintenance Expense</v>
          </cell>
          <cell r="F294" t="str">
            <v>6100150</v>
          </cell>
          <cell r="G294" t="str">
            <v>A_S6100150</v>
          </cell>
          <cell r="H294" t="str">
            <v>Settled Printing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0.1</v>
          </cell>
          <cell r="DO294">
            <v>0.1</v>
          </cell>
          <cell r="DP294">
            <v>0.1</v>
          </cell>
          <cell r="DQ294">
            <v>0.1</v>
          </cell>
          <cell r="DR294">
            <v>0.3</v>
          </cell>
          <cell r="DS294">
            <v>0.1</v>
          </cell>
          <cell r="DT294">
            <v>0.1</v>
          </cell>
          <cell r="DU294">
            <v>0.1</v>
          </cell>
          <cell r="DV294">
            <v>0.1</v>
          </cell>
          <cell r="DW294">
            <v>0.1</v>
          </cell>
          <cell r="DX294">
            <v>0.1</v>
          </cell>
          <cell r="DY294">
            <v>0.1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A295" t="str">
            <v>O&amp;M (Net of pass-throughs)</v>
          </cell>
          <cell r="B295" t="str">
            <v>Operations &amp; Maintenance Expense (incl clause)</v>
          </cell>
          <cell r="E295" t="str">
            <v>Operations &amp; Maintenance Expense</v>
          </cell>
          <cell r="F295" t="str">
            <v>6100190</v>
          </cell>
          <cell r="G295" t="str">
            <v>A_S6100190</v>
          </cell>
          <cell r="H295" t="str">
            <v>Settled Software Maintenance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125.8</v>
          </cell>
          <cell r="DO295">
            <v>126.8</v>
          </cell>
          <cell r="DP295">
            <v>211.4</v>
          </cell>
          <cell r="DQ295">
            <v>132.30000000000001</v>
          </cell>
          <cell r="DR295">
            <v>132.30000000000001</v>
          </cell>
          <cell r="DS295">
            <v>148.4</v>
          </cell>
          <cell r="DT295">
            <v>197.8</v>
          </cell>
          <cell r="DU295">
            <v>126.8</v>
          </cell>
          <cell r="DV295">
            <v>141.1</v>
          </cell>
          <cell r="DW295">
            <v>149.30000000000001</v>
          </cell>
          <cell r="DX295">
            <v>132</v>
          </cell>
          <cell r="DY295">
            <v>179.9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A296" t="str">
            <v>O&amp;M (Net of pass-throughs)</v>
          </cell>
          <cell r="B296" t="str">
            <v>Operations &amp; Maintenance Expense (incl clause)</v>
          </cell>
          <cell r="E296" t="str">
            <v>Operations &amp; Maintenance Expense</v>
          </cell>
          <cell r="F296" t="str">
            <v>6100080</v>
          </cell>
          <cell r="G296" t="str">
            <v>A_S6100080</v>
          </cell>
          <cell r="H296" t="str">
            <v>Settled Consultants - Other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306.3</v>
          </cell>
          <cell r="DO296">
            <v>448.5</v>
          </cell>
          <cell r="DP296">
            <v>554.9</v>
          </cell>
          <cell r="DQ296">
            <v>456.3</v>
          </cell>
          <cell r="DR296">
            <v>710</v>
          </cell>
          <cell r="DS296">
            <v>760.2</v>
          </cell>
          <cell r="DT296">
            <v>615.20000000000005</v>
          </cell>
          <cell r="DU296">
            <v>509.4</v>
          </cell>
          <cell r="DV296">
            <v>534.1</v>
          </cell>
          <cell r="DW296">
            <v>460.9</v>
          </cell>
          <cell r="DX296">
            <v>1910.4</v>
          </cell>
          <cell r="DY296">
            <v>680.3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A297" t="str">
            <v>O&amp;M (Net of pass-throughs)</v>
          </cell>
          <cell r="B297" t="str">
            <v>Operations &amp; Maintenance Expense (incl clause)</v>
          </cell>
          <cell r="E297" t="str">
            <v>Operations &amp; Maintenance Expense</v>
          </cell>
          <cell r="F297" t="str">
            <v>6108999</v>
          </cell>
          <cell r="G297" t="str">
            <v>A_S6108999</v>
          </cell>
          <cell r="H297" t="str">
            <v>Settled Outside Services Expense Reclass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15.3</v>
          </cell>
          <cell r="DO297">
            <v>15.3</v>
          </cell>
          <cell r="DP297">
            <v>15.3</v>
          </cell>
          <cell r="DQ297">
            <v>15.3</v>
          </cell>
          <cell r="DR297">
            <v>15.3</v>
          </cell>
          <cell r="DS297">
            <v>15.3</v>
          </cell>
          <cell r="DT297">
            <v>15.3</v>
          </cell>
          <cell r="DU297">
            <v>15.3</v>
          </cell>
          <cell r="DV297">
            <v>15.3</v>
          </cell>
          <cell r="DW297">
            <v>15.3</v>
          </cell>
          <cell r="DX297">
            <v>15.3</v>
          </cell>
          <cell r="DY297">
            <v>15.3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A298" t="str">
            <v>O&amp;M (Net of pass-throughs)</v>
          </cell>
          <cell r="B298" t="str">
            <v>Operations &amp; Maintenance Expense (incl clause)</v>
          </cell>
          <cell r="E298" t="str">
            <v>Operations &amp; Maintenance Expense</v>
          </cell>
          <cell r="F298" t="str">
            <v>6100000</v>
          </cell>
          <cell r="G298" t="str">
            <v>A_P6100000</v>
          </cell>
          <cell r="H298" t="str">
            <v>Planned Outside Services Expense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5.2</v>
          </cell>
          <cell r="DO298">
            <v>5.2</v>
          </cell>
          <cell r="DP298">
            <v>5.2</v>
          </cell>
          <cell r="DQ298">
            <v>5.2</v>
          </cell>
          <cell r="DR298">
            <v>5.2</v>
          </cell>
          <cell r="DS298">
            <v>5.2</v>
          </cell>
          <cell r="DT298">
            <v>5.2</v>
          </cell>
          <cell r="DU298">
            <v>5.2</v>
          </cell>
          <cell r="DV298">
            <v>5.2</v>
          </cell>
          <cell r="DW298">
            <v>5.2</v>
          </cell>
          <cell r="DX298">
            <v>5.2</v>
          </cell>
          <cell r="DY298">
            <v>5.2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F299" t="str">
            <v>610</v>
          </cell>
          <cell r="G299">
            <v>610</v>
          </cell>
          <cell r="J299">
            <v>637.39999999999986</v>
          </cell>
          <cell r="K299">
            <v>1169.4000000000005</v>
          </cell>
          <cell r="L299">
            <v>553.90000000000055</v>
          </cell>
          <cell r="M299">
            <v>946.5</v>
          </cell>
          <cell r="N299">
            <v>618.29999999999927</v>
          </cell>
          <cell r="O299">
            <v>984.90000000000055</v>
          </cell>
          <cell r="P299">
            <v>1049.5</v>
          </cell>
          <cell r="Q299">
            <v>890.20000000000164</v>
          </cell>
          <cell r="R299">
            <v>1304.0999999999995</v>
          </cell>
          <cell r="S299">
            <v>963.10000000000036</v>
          </cell>
          <cell r="T299">
            <v>776.70000000000118</v>
          </cell>
          <cell r="U299">
            <v>731.80000000000018</v>
          </cell>
          <cell r="V299">
            <v>539.09999999999945</v>
          </cell>
          <cell r="W299">
            <v>931.49999999999955</v>
          </cell>
          <cell r="X299">
            <v>1146.2000000000007</v>
          </cell>
          <cell r="Y299">
            <v>1287.9999999999986</v>
          </cell>
          <cell r="Z299">
            <v>816.29999999999973</v>
          </cell>
          <cell r="AA299">
            <v>1144.2000000000007</v>
          </cell>
          <cell r="AB299">
            <v>1319.7000000000016</v>
          </cell>
          <cell r="AC299">
            <v>1115.7000000000007</v>
          </cell>
          <cell r="AD299">
            <v>1173.5999999999985</v>
          </cell>
          <cell r="AE299">
            <v>1119.5999999999995</v>
          </cell>
          <cell r="AF299">
            <v>1511.2000000000007</v>
          </cell>
          <cell r="AG299">
            <v>1881.699999999998</v>
          </cell>
          <cell r="AH299">
            <v>839.09999999999945</v>
          </cell>
          <cell r="AI299">
            <v>1207.2000000000007</v>
          </cell>
          <cell r="AJ299">
            <v>1217.2000000000007</v>
          </cell>
          <cell r="AK299">
            <v>1126.4000000000015</v>
          </cell>
          <cell r="AL299">
            <v>966.99999999999818</v>
          </cell>
          <cell r="AM299">
            <v>1905.0999999999985</v>
          </cell>
          <cell r="AN299">
            <v>852.59999999999854</v>
          </cell>
          <cell r="AO299">
            <v>1380.9000000000005</v>
          </cell>
          <cell r="AP299">
            <v>809.5</v>
          </cell>
          <cell r="AQ299">
            <v>1765</v>
          </cell>
          <cell r="AR299">
            <v>1724.9000000000005</v>
          </cell>
          <cell r="AS299">
            <v>3793.3000000000029</v>
          </cell>
          <cell r="AT299">
            <v>534.09999999999854</v>
          </cell>
          <cell r="AU299">
            <v>1322.5999999999995</v>
          </cell>
          <cell r="AV299">
            <v>876.00000000000091</v>
          </cell>
          <cell r="AW299">
            <v>1068.7000000000007</v>
          </cell>
          <cell r="AX299">
            <v>1202.8999999999996</v>
          </cell>
          <cell r="AY299">
            <v>1167.5999999999995</v>
          </cell>
          <cell r="AZ299">
            <v>822.5</v>
          </cell>
          <cell r="BA299">
            <v>878</v>
          </cell>
          <cell r="BB299">
            <v>655.69999999999982</v>
          </cell>
          <cell r="BC299">
            <v>1896.1000000000004</v>
          </cell>
          <cell r="BD299">
            <v>1407.4999999999991</v>
          </cell>
          <cell r="BE299">
            <v>2186.6000000000004</v>
          </cell>
          <cell r="BF299">
            <v>923.69999999999891</v>
          </cell>
          <cell r="BG299">
            <v>909.20000000000073</v>
          </cell>
          <cell r="BH299">
            <v>1407.8999999999996</v>
          </cell>
          <cell r="BI299">
            <v>1349.1000000000004</v>
          </cell>
          <cell r="BJ299">
            <v>1297.3000000000011</v>
          </cell>
          <cell r="BK299">
            <v>1142.8000000000011</v>
          </cell>
          <cell r="BL299">
            <v>1370.3999999999996</v>
          </cell>
          <cell r="BM299">
            <v>1294.7999999999993</v>
          </cell>
          <cell r="BN299">
            <v>1102.1000000000004</v>
          </cell>
          <cell r="BO299">
            <v>1833.3999999999996</v>
          </cell>
          <cell r="BP299">
            <v>1667.7999999999993</v>
          </cell>
          <cell r="BQ299">
            <v>2075.7000000000007</v>
          </cell>
          <cell r="BR299">
            <v>996.5</v>
          </cell>
          <cell r="BS299">
            <v>819.79999999999927</v>
          </cell>
          <cell r="BT299">
            <v>1245.6000000000022</v>
          </cell>
          <cell r="BU299">
            <v>1122.5000000000018</v>
          </cell>
          <cell r="BV299">
            <v>1385.6999999999989</v>
          </cell>
          <cell r="BW299">
            <v>550.79999999999927</v>
          </cell>
          <cell r="BX299">
            <v>1282.1999999999971</v>
          </cell>
          <cell r="BY299">
            <v>1325.1000000000004</v>
          </cell>
          <cell r="BZ299">
            <v>1482.7999999999993</v>
          </cell>
          <cell r="CA299">
            <v>2052.5</v>
          </cell>
          <cell r="CB299">
            <v>1935.3000000000011</v>
          </cell>
          <cell r="CC299">
            <v>3193.7999999999993</v>
          </cell>
          <cell r="CD299">
            <v>832.90000000000146</v>
          </cell>
          <cell r="CE299">
            <v>1220.7999999999993</v>
          </cell>
          <cell r="CF299">
            <v>1736.5</v>
          </cell>
          <cell r="CG299">
            <v>1307.8000000000065</v>
          </cell>
          <cell r="CH299">
            <v>1169.6999999999898</v>
          </cell>
          <cell r="CI299">
            <v>1517.8000000000011</v>
          </cell>
          <cell r="CJ299">
            <v>960.09999999999491</v>
          </cell>
          <cell r="CK299">
            <v>2595.0999999999985</v>
          </cell>
          <cell r="CL299">
            <v>1256.3000000000029</v>
          </cell>
          <cell r="CM299">
            <v>2416.1000000000058</v>
          </cell>
          <cell r="CN299">
            <v>1408.0999999999949</v>
          </cell>
          <cell r="CO299">
            <v>1516.4999999999964</v>
          </cell>
          <cell r="CP299">
            <v>894.90000000000146</v>
          </cell>
          <cell r="CQ299">
            <v>1052.2000000000044</v>
          </cell>
          <cell r="CR299">
            <v>2250.6999999999971</v>
          </cell>
          <cell r="CS299">
            <v>1165.5999999999985</v>
          </cell>
          <cell r="CT299">
            <v>2021.6000000000004</v>
          </cell>
          <cell r="CU299">
            <v>1053.2000000000007</v>
          </cell>
          <cell r="CV299">
            <v>1420.6000000000004</v>
          </cell>
          <cell r="CW299">
            <v>982</v>
          </cell>
          <cell r="CX299">
            <v>1629.5999999999985</v>
          </cell>
          <cell r="CY299">
            <v>1064.9000000000015</v>
          </cell>
          <cell r="CZ299">
            <v>1606.5999999999985</v>
          </cell>
          <cell r="DA299">
            <v>3434.2000000000025</v>
          </cell>
          <cell r="DB299">
            <v>530.5</v>
          </cell>
          <cell r="DC299">
            <v>1636.7999999999956</v>
          </cell>
          <cell r="DD299">
            <v>2858.8000000000047</v>
          </cell>
          <cell r="DE299">
            <v>927.29999999999927</v>
          </cell>
          <cell r="DF299">
            <v>2366.4999999999964</v>
          </cell>
          <cell r="DG299">
            <v>1278.7000000000007</v>
          </cell>
          <cell r="DH299">
            <v>2301.9000000000033</v>
          </cell>
          <cell r="DI299">
            <v>1836.7999999999993</v>
          </cell>
          <cell r="DJ299">
            <v>-389.30000000000109</v>
          </cell>
          <cell r="DK299">
            <v>5826.7999999999975</v>
          </cell>
          <cell r="DL299">
            <v>1101.2999999999993</v>
          </cell>
          <cell r="DM299">
            <v>-3522.4000000000015</v>
          </cell>
          <cell r="DN299">
            <v>1763.9999999999998</v>
          </cell>
          <cell r="DO299">
            <v>1963.4999999999998</v>
          </cell>
          <cell r="DP299">
            <v>2407.7999999999997</v>
          </cell>
          <cell r="DQ299">
            <v>1938.9999999999998</v>
          </cell>
          <cell r="DR299">
            <v>2336.1999999999998</v>
          </cell>
          <cell r="DS299">
            <v>2546.2999999999997</v>
          </cell>
          <cell r="DT299">
            <v>2219.1999999999998</v>
          </cell>
          <cell r="DU299">
            <v>2043.1999999999998</v>
          </cell>
          <cell r="DV299">
            <v>2349.4999999999995</v>
          </cell>
          <cell r="DW299">
            <v>2158.8999999999996</v>
          </cell>
          <cell r="DX299">
            <v>4023.9999999999995</v>
          </cell>
          <cell r="DY299">
            <v>2836.0999999999995</v>
          </cell>
          <cell r="EM299">
            <v>13986.799999999996</v>
          </cell>
          <cell r="EN299">
            <v>17588.2</v>
          </cell>
          <cell r="EO299">
            <v>14018.299999999997</v>
          </cell>
          <cell r="EP299">
            <v>16374.2</v>
          </cell>
          <cell r="EQ299">
            <v>17392.599999999999</v>
          </cell>
          <cell r="ER299">
            <v>17937.699999999993</v>
          </cell>
          <cell r="ES299">
            <v>18576.100000000006</v>
          </cell>
        </row>
        <row r="300">
          <cell r="F300" t="str">
            <v>6200050</v>
          </cell>
          <cell r="G300" t="str">
            <v>A_6200050</v>
          </cell>
          <cell r="H300" t="str">
            <v>Fuel Propane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F301" t="str">
            <v>6209000</v>
          </cell>
          <cell r="G301" t="str">
            <v>A_6209000</v>
          </cell>
          <cell r="H301" t="str">
            <v>Fuel Expense to Balance Sheet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F302" t="str">
            <v>620</v>
          </cell>
          <cell r="G302">
            <v>620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</row>
        <row r="303">
          <cell r="A303" t="str">
            <v>Other Operating Income / (Expense) Items SUB</v>
          </cell>
          <cell r="B303" t="str">
            <v>Cost of Gas</v>
          </cell>
          <cell r="D303" t="str">
            <v>Cost of Gas</v>
          </cell>
          <cell r="E303" t="str">
            <v>Cost of Gas</v>
          </cell>
          <cell r="F303" t="str">
            <v>6300100</v>
          </cell>
          <cell r="G303" t="str">
            <v>A_6300100</v>
          </cell>
          <cell r="H303" t="str">
            <v>Cost of Natural Gas Sold</v>
          </cell>
          <cell r="J303">
            <v>18105.900000000001</v>
          </cell>
          <cell r="K303">
            <v>11602.2</v>
          </cell>
          <cell r="L303">
            <v>12686.9</v>
          </cell>
          <cell r="M303">
            <v>12086.5</v>
          </cell>
          <cell r="N303">
            <v>9420.9</v>
          </cell>
          <cell r="O303">
            <v>5731.5</v>
          </cell>
          <cell r="P303">
            <v>8346.9</v>
          </cell>
          <cell r="Q303">
            <v>10812.8</v>
          </cell>
          <cell r="R303">
            <v>8469</v>
          </cell>
          <cell r="S303">
            <v>11192.5</v>
          </cell>
          <cell r="T303">
            <v>16009.6</v>
          </cell>
          <cell r="U303">
            <v>11324.3</v>
          </cell>
          <cell r="V303">
            <v>14825.7</v>
          </cell>
          <cell r="W303">
            <v>15652.2</v>
          </cell>
          <cell r="X303">
            <v>10932</v>
          </cell>
          <cell r="Y303">
            <v>12498.9</v>
          </cell>
          <cell r="Z303">
            <v>8506.9</v>
          </cell>
          <cell r="AA303">
            <v>8923.7999999999993</v>
          </cell>
          <cell r="AB303">
            <v>9406.9</v>
          </cell>
          <cell r="AC303">
            <v>10436.1</v>
          </cell>
          <cell r="AD303">
            <v>9882</v>
          </cell>
          <cell r="AE303">
            <v>12511</v>
          </cell>
          <cell r="AF303">
            <v>15720.2</v>
          </cell>
          <cell r="AG303">
            <v>10536.6</v>
          </cell>
          <cell r="AH303">
            <v>16105.8</v>
          </cell>
          <cell r="AI303">
            <v>13782.7</v>
          </cell>
          <cell r="AJ303">
            <v>12768.6</v>
          </cell>
          <cell r="AK303">
            <v>13301.9</v>
          </cell>
          <cell r="AL303">
            <v>8937.7999999999993</v>
          </cell>
          <cell r="AM303">
            <v>9252.5</v>
          </cell>
          <cell r="AN303">
            <v>13531</v>
          </cell>
          <cell r="AO303">
            <v>12901.2</v>
          </cell>
          <cell r="AP303">
            <v>12805</v>
          </cell>
          <cell r="AQ303">
            <v>15335.4</v>
          </cell>
          <cell r="AR303">
            <v>11592.6</v>
          </cell>
          <cell r="AS303">
            <v>11517.6</v>
          </cell>
          <cell r="AT303">
            <v>13504.2</v>
          </cell>
          <cell r="AU303">
            <v>9504.4</v>
          </cell>
          <cell r="AV303">
            <v>13430.8</v>
          </cell>
          <cell r="AW303">
            <v>12495</v>
          </cell>
          <cell r="AX303">
            <v>11630.5</v>
          </cell>
          <cell r="AY303">
            <v>10131.5</v>
          </cell>
          <cell r="AZ303">
            <v>12512.5</v>
          </cell>
          <cell r="BA303">
            <v>17511.900000000001</v>
          </cell>
          <cell r="BB303">
            <v>14939.7</v>
          </cell>
          <cell r="BC303">
            <v>13196.7</v>
          </cell>
          <cell r="BD303">
            <v>13137.4</v>
          </cell>
          <cell r="BE303">
            <v>16023.8</v>
          </cell>
          <cell r="BF303">
            <v>22850.2</v>
          </cell>
          <cell r="BG303">
            <v>10479.4</v>
          </cell>
          <cell r="BH303">
            <v>13100.8</v>
          </cell>
          <cell r="BI303">
            <v>10036.200000000001</v>
          </cell>
          <cell r="BJ303">
            <v>11484.8</v>
          </cell>
          <cell r="BK303">
            <v>13247.6</v>
          </cell>
          <cell r="BL303">
            <v>15100.1</v>
          </cell>
          <cell r="BM303">
            <v>12089</v>
          </cell>
          <cell r="BN303">
            <v>13588.4</v>
          </cell>
          <cell r="BO303">
            <v>19128.900000000001</v>
          </cell>
          <cell r="BP303">
            <v>20013.5</v>
          </cell>
          <cell r="BQ303">
            <v>18583.400000000001</v>
          </cell>
          <cell r="BR303">
            <v>17350.3</v>
          </cell>
          <cell r="BS303">
            <v>11075.2</v>
          </cell>
          <cell r="BT303">
            <v>13477.3</v>
          </cell>
          <cell r="BU303">
            <v>11273.4</v>
          </cell>
          <cell r="BV303">
            <v>11248.9</v>
          </cell>
          <cell r="BW303">
            <v>8517.9</v>
          </cell>
          <cell r="BX303">
            <v>9280.6</v>
          </cell>
          <cell r="BY303">
            <v>9764.7000000000007</v>
          </cell>
          <cell r="BZ303">
            <v>12076.8</v>
          </cell>
          <cell r="CA303">
            <v>13743.8</v>
          </cell>
          <cell r="CB303">
            <v>13500.7</v>
          </cell>
          <cell r="CC303">
            <v>13096.4</v>
          </cell>
          <cell r="CD303">
            <v>13493.1</v>
          </cell>
          <cell r="CE303">
            <v>10334.299999999999</v>
          </cell>
          <cell r="CF303">
            <v>10126.700000000001</v>
          </cell>
          <cell r="CG303">
            <v>7952.4</v>
          </cell>
          <cell r="CH303">
            <v>8437.5</v>
          </cell>
          <cell r="CI303">
            <v>8310</v>
          </cell>
          <cell r="CJ303">
            <v>9085.1</v>
          </cell>
          <cell r="CK303">
            <v>8414.6</v>
          </cell>
          <cell r="CL303">
            <v>7972.1</v>
          </cell>
          <cell r="CM303">
            <v>11023.5</v>
          </cell>
          <cell r="CN303">
            <v>13391.8</v>
          </cell>
          <cell r="CO303">
            <v>16571.5</v>
          </cell>
          <cell r="CP303">
            <v>16439.8</v>
          </cell>
          <cell r="CQ303">
            <v>18676.8</v>
          </cell>
          <cell r="CR303">
            <v>15324.5</v>
          </cell>
          <cell r="CS303">
            <v>10097.6</v>
          </cell>
          <cell r="CT303">
            <v>8721</v>
          </cell>
          <cell r="CU303">
            <v>10220.200000000001</v>
          </cell>
          <cell r="CV303">
            <v>10217.299999999999</v>
          </cell>
          <cell r="CW303">
            <v>10822.6</v>
          </cell>
          <cell r="CX303">
            <v>11679</v>
          </cell>
          <cell r="CY303">
            <v>20588.2</v>
          </cell>
          <cell r="CZ303">
            <v>19603.400000000001</v>
          </cell>
          <cell r="DA303">
            <v>16290.4</v>
          </cell>
          <cell r="DB303">
            <v>23767.8</v>
          </cell>
          <cell r="DC303">
            <v>19580.099999999999</v>
          </cell>
          <cell r="DD303">
            <v>19768.5</v>
          </cell>
          <cell r="DE303">
            <v>17741.2</v>
          </cell>
          <cell r="DF303">
            <v>25236.9</v>
          </cell>
          <cell r="DG303">
            <v>22782.799999999999</v>
          </cell>
          <cell r="DH303">
            <v>21450.400000000001</v>
          </cell>
          <cell r="DI303">
            <v>23022.6</v>
          </cell>
          <cell r="DJ303">
            <v>15361.2</v>
          </cell>
          <cell r="DK303">
            <v>17226.7</v>
          </cell>
          <cell r="DL303">
            <v>21604.6</v>
          </cell>
          <cell r="DM303">
            <v>25164.3</v>
          </cell>
          <cell r="DN303">
            <v>31721.5</v>
          </cell>
          <cell r="DO303">
            <v>29546.3</v>
          </cell>
          <cell r="DP303">
            <v>24198.5</v>
          </cell>
          <cell r="DQ303">
            <v>17647.7</v>
          </cell>
          <cell r="DR303">
            <v>14532.1</v>
          </cell>
          <cell r="DS303">
            <v>13207.5</v>
          </cell>
          <cell r="DT303">
            <v>12727.3</v>
          </cell>
          <cell r="DU303">
            <v>12297.8</v>
          </cell>
          <cell r="DV303">
            <v>13152.5</v>
          </cell>
          <cell r="DW303">
            <v>14272</v>
          </cell>
          <cell r="DX303">
            <v>17006</v>
          </cell>
          <cell r="DY303">
            <v>20772</v>
          </cell>
          <cell r="EM303">
            <v>139832.29999999999</v>
          </cell>
          <cell r="EN303">
            <v>151832.1</v>
          </cell>
          <cell r="EO303">
            <v>158018.39999999997</v>
          </cell>
          <cell r="EP303">
            <v>179702.3</v>
          </cell>
          <cell r="EQ303">
            <v>144406</v>
          </cell>
          <cell r="ER303">
            <v>125112.60000000002</v>
          </cell>
          <cell r="ES303">
            <v>168680.8</v>
          </cell>
        </row>
        <row r="304">
          <cell r="A304" t="str">
            <v>Other Operating Income / (Expense) Items SUB</v>
          </cell>
          <cell r="B304" t="str">
            <v>Cost of Gas</v>
          </cell>
          <cell r="E304" t="str">
            <v>Cost of Gas</v>
          </cell>
          <cell r="F304" t="str">
            <v>6309000</v>
          </cell>
          <cell r="G304" t="str">
            <v>A_6309000</v>
          </cell>
          <cell r="H304" t="str">
            <v>Cost of Natural Gas Sold Sent to BS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F305" t="str">
            <v>630</v>
          </cell>
          <cell r="G305">
            <v>630</v>
          </cell>
          <cell r="J305">
            <v>18105.900000000001</v>
          </cell>
          <cell r="K305">
            <v>11602.2</v>
          </cell>
          <cell r="L305">
            <v>12686.9</v>
          </cell>
          <cell r="M305">
            <v>12086.5</v>
          </cell>
          <cell r="N305">
            <v>9420.9</v>
          </cell>
          <cell r="O305">
            <v>5731.5</v>
          </cell>
          <cell r="P305">
            <v>8346.9</v>
          </cell>
          <cell r="Q305">
            <v>10812.8</v>
          </cell>
          <cell r="R305">
            <v>8469</v>
          </cell>
          <cell r="S305">
            <v>11192.5</v>
          </cell>
          <cell r="T305">
            <v>16009.6</v>
          </cell>
          <cell r="U305">
            <v>11324.3</v>
          </cell>
          <cell r="V305">
            <v>14825.7</v>
          </cell>
          <cell r="W305">
            <v>15652.2</v>
          </cell>
          <cell r="X305">
            <v>10932</v>
          </cell>
          <cell r="Y305">
            <v>12498.9</v>
          </cell>
          <cell r="Z305">
            <v>8506.9</v>
          </cell>
          <cell r="AA305">
            <v>8923.7999999999993</v>
          </cell>
          <cell r="AB305">
            <v>9406.9</v>
          </cell>
          <cell r="AC305">
            <v>10436.1</v>
          </cell>
          <cell r="AD305">
            <v>9882</v>
          </cell>
          <cell r="AE305">
            <v>12511</v>
          </cell>
          <cell r="AF305">
            <v>15720.2</v>
          </cell>
          <cell r="AG305">
            <v>10536.6</v>
          </cell>
          <cell r="AH305">
            <v>16105.8</v>
          </cell>
          <cell r="AI305">
            <v>13782.7</v>
          </cell>
          <cell r="AJ305">
            <v>12768.6</v>
          </cell>
          <cell r="AK305">
            <v>13301.9</v>
          </cell>
          <cell r="AL305">
            <v>8937.7999999999993</v>
          </cell>
          <cell r="AM305">
            <v>9252.5</v>
          </cell>
          <cell r="AN305">
            <v>13531</v>
          </cell>
          <cell r="AO305">
            <v>12901.2</v>
          </cell>
          <cell r="AP305">
            <v>12805</v>
          </cell>
          <cell r="AQ305">
            <v>15335.4</v>
          </cell>
          <cell r="AR305">
            <v>11592.6</v>
          </cell>
          <cell r="AS305">
            <v>11517.6</v>
          </cell>
          <cell r="AT305">
            <v>13504.2</v>
          </cell>
          <cell r="AU305">
            <v>9504.4</v>
          </cell>
          <cell r="AV305">
            <v>13430.8</v>
          </cell>
          <cell r="AW305">
            <v>12495</v>
          </cell>
          <cell r="AX305">
            <v>11630.5</v>
          </cell>
          <cell r="AY305">
            <v>10131.5</v>
          </cell>
          <cell r="AZ305">
            <v>12512.5</v>
          </cell>
          <cell r="BA305">
            <v>17511.900000000001</v>
          </cell>
          <cell r="BB305">
            <v>14939.7</v>
          </cell>
          <cell r="BC305">
            <v>13196.7</v>
          </cell>
          <cell r="BD305">
            <v>13137.4</v>
          </cell>
          <cell r="BE305">
            <v>16023.8</v>
          </cell>
          <cell r="BF305">
            <v>22850.2</v>
          </cell>
          <cell r="BG305">
            <v>10479.4</v>
          </cell>
          <cell r="BH305">
            <v>13100.8</v>
          </cell>
          <cell r="BI305">
            <v>10036.200000000001</v>
          </cell>
          <cell r="BJ305">
            <v>11484.8</v>
          </cell>
          <cell r="BK305">
            <v>13247.6</v>
          </cell>
          <cell r="BL305">
            <v>15100.1</v>
          </cell>
          <cell r="BM305">
            <v>12089</v>
          </cell>
          <cell r="BN305">
            <v>13588.4</v>
          </cell>
          <cell r="BO305">
            <v>19128.900000000001</v>
          </cell>
          <cell r="BP305">
            <v>20013.5</v>
          </cell>
          <cell r="BQ305">
            <v>18583.400000000001</v>
          </cell>
          <cell r="BR305">
            <v>17350.3</v>
          </cell>
          <cell r="BS305">
            <v>11075.2</v>
          </cell>
          <cell r="BT305">
            <v>13477.3</v>
          </cell>
          <cell r="BU305">
            <v>11273.4</v>
          </cell>
          <cell r="BV305">
            <v>11248.9</v>
          </cell>
          <cell r="BW305">
            <v>8517.9</v>
          </cell>
          <cell r="BX305">
            <v>9280.6</v>
          </cell>
          <cell r="BY305">
            <v>9764.7000000000007</v>
          </cell>
          <cell r="BZ305">
            <v>12076.8</v>
          </cell>
          <cell r="CA305">
            <v>13743.8</v>
          </cell>
          <cell r="CB305">
            <v>13500.7</v>
          </cell>
          <cell r="CC305">
            <v>13096.4</v>
          </cell>
          <cell r="CD305">
            <v>13493.1</v>
          </cell>
          <cell r="CE305">
            <v>10334.299999999999</v>
          </cell>
          <cell r="CF305">
            <v>10126.700000000001</v>
          </cell>
          <cell r="CG305">
            <v>7952.4</v>
          </cell>
          <cell r="CH305">
            <v>8437.5</v>
          </cell>
          <cell r="CI305">
            <v>8310</v>
          </cell>
          <cell r="CJ305">
            <v>9085.1</v>
          </cell>
          <cell r="CK305">
            <v>8414.6</v>
          </cell>
          <cell r="CL305">
            <v>7972.1</v>
          </cell>
          <cell r="CM305">
            <v>11023.5</v>
          </cell>
          <cell r="CN305">
            <v>13391.8</v>
          </cell>
          <cell r="CO305">
            <v>16571.5</v>
          </cell>
          <cell r="CP305">
            <v>16439.8</v>
          </cell>
          <cell r="CQ305">
            <v>18676.8</v>
          </cell>
          <cell r="CR305">
            <v>15324.5</v>
          </cell>
          <cell r="CS305">
            <v>10097.6</v>
          </cell>
          <cell r="CT305">
            <v>8721</v>
          </cell>
          <cell r="CU305">
            <v>10220.200000000001</v>
          </cell>
          <cell r="CV305">
            <v>10217.299999999999</v>
          </cell>
          <cell r="CW305">
            <v>10822.6</v>
          </cell>
          <cell r="CX305">
            <v>11679</v>
          </cell>
          <cell r="CY305">
            <v>20588.2</v>
          </cell>
          <cell r="CZ305">
            <v>19603.400000000001</v>
          </cell>
          <cell r="DA305">
            <v>16290.4</v>
          </cell>
          <cell r="DB305">
            <v>23767.8</v>
          </cell>
          <cell r="DC305">
            <v>19580.099999999999</v>
          </cell>
          <cell r="DD305">
            <v>19768.5</v>
          </cell>
          <cell r="DE305">
            <v>17741.2</v>
          </cell>
          <cell r="DF305">
            <v>25236.9</v>
          </cell>
          <cell r="DG305">
            <v>22782.799999999999</v>
          </cell>
          <cell r="DH305">
            <v>21450.400000000001</v>
          </cell>
          <cell r="DI305">
            <v>23022.6</v>
          </cell>
          <cell r="DJ305">
            <v>15361.2</v>
          </cell>
          <cell r="DK305">
            <v>17226.7</v>
          </cell>
          <cell r="DL305">
            <v>21604.6</v>
          </cell>
          <cell r="DM305">
            <v>25164.3</v>
          </cell>
          <cell r="DN305">
            <v>31721.5</v>
          </cell>
          <cell r="DO305">
            <v>29546.3</v>
          </cell>
          <cell r="DP305">
            <v>24198.5</v>
          </cell>
          <cell r="DQ305">
            <v>17647.7</v>
          </cell>
          <cell r="DR305">
            <v>14532.1</v>
          </cell>
          <cell r="DS305">
            <v>13207.5</v>
          </cell>
          <cell r="DT305">
            <v>12727.3</v>
          </cell>
          <cell r="DU305">
            <v>12297.8</v>
          </cell>
          <cell r="DV305">
            <v>13152.5</v>
          </cell>
          <cell r="DW305">
            <v>14272</v>
          </cell>
          <cell r="DX305">
            <v>17006</v>
          </cell>
          <cell r="DY305">
            <v>20772</v>
          </cell>
          <cell r="EM305">
            <v>139832.29999999999</v>
          </cell>
          <cell r="EN305">
            <v>151832.1</v>
          </cell>
          <cell r="EO305">
            <v>158018.39999999997</v>
          </cell>
          <cell r="EP305">
            <v>179702.3</v>
          </cell>
          <cell r="EQ305">
            <v>144406</v>
          </cell>
          <cell r="ER305">
            <v>125112.60000000002</v>
          </cell>
          <cell r="ES305">
            <v>168680.8</v>
          </cell>
        </row>
        <row r="306">
          <cell r="A306" t="str">
            <v>O&amp;M (Net of pass-throughs)</v>
          </cell>
          <cell r="B306" t="str">
            <v>Operations &amp; Maintenance Expense (incl clause)</v>
          </cell>
          <cell r="E306" t="str">
            <v>Operations &amp; Maintenance Expense</v>
          </cell>
          <cell r="F306" t="str">
            <v>6350100</v>
          </cell>
          <cell r="G306" t="str">
            <v>A_6350100</v>
          </cell>
          <cell r="H306" t="str">
            <v>Cost of Goods Sold - TPI Program Costs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0.2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0.2</v>
          </cell>
          <cell r="ES306">
            <v>0</v>
          </cell>
        </row>
        <row r="307">
          <cell r="A307" t="str">
            <v>O&amp;M (Net of pass-throughs)</v>
          </cell>
          <cell r="B307" t="str">
            <v>Operations &amp; Maintenance Expense (incl clause)</v>
          </cell>
          <cell r="E307" t="str">
            <v>Operations &amp; Maintenance Expense</v>
          </cell>
          <cell r="F307" t="str">
            <v>6359000</v>
          </cell>
          <cell r="G307" t="str">
            <v>A_6359000</v>
          </cell>
          <cell r="H307" t="str">
            <v>COGS to Balance Sheet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-0.2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-0.2</v>
          </cell>
          <cell r="ES307">
            <v>0</v>
          </cell>
        </row>
        <row r="308">
          <cell r="F308" t="str">
            <v>635</v>
          </cell>
          <cell r="G308">
            <v>635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 t="str">
            <v>O&amp;M (Net of pass-throughs)</v>
          </cell>
          <cell r="B309" t="str">
            <v>Operations &amp; Maintenance Expense (incl clause)</v>
          </cell>
          <cell r="E309" t="str">
            <v>Operations &amp; Maintenance Expense</v>
          </cell>
          <cell r="F309" t="str">
            <v>6400010</v>
          </cell>
          <cell r="G309" t="str">
            <v>A_6400010</v>
          </cell>
          <cell r="H309" t="str">
            <v>Mat &amp; Supp - Furniture &amp; Computer/Office Equipment</v>
          </cell>
          <cell r="J309">
            <v>68.5</v>
          </cell>
          <cell r="K309">
            <v>7.2</v>
          </cell>
          <cell r="L309">
            <v>5.0999999999999996</v>
          </cell>
          <cell r="M309">
            <v>52.5</v>
          </cell>
          <cell r="N309">
            <v>41.4</v>
          </cell>
          <cell r="O309">
            <v>182.1</v>
          </cell>
          <cell r="P309">
            <v>157.9</v>
          </cell>
          <cell r="Q309">
            <v>24.4</v>
          </cell>
          <cell r="R309">
            <v>10.5</v>
          </cell>
          <cell r="S309">
            <v>15.8</v>
          </cell>
          <cell r="T309">
            <v>11.4</v>
          </cell>
          <cell r="U309">
            <v>3.3</v>
          </cell>
          <cell r="V309">
            <v>5.2</v>
          </cell>
          <cell r="W309">
            <v>2.7</v>
          </cell>
          <cell r="X309">
            <v>10.5</v>
          </cell>
          <cell r="Y309">
            <v>35.799999999999997</v>
          </cell>
          <cell r="Z309">
            <v>6.9</v>
          </cell>
          <cell r="AA309">
            <v>451.1</v>
          </cell>
          <cell r="AB309">
            <v>22.4</v>
          </cell>
          <cell r="AC309">
            <v>-3</v>
          </cell>
          <cell r="AD309">
            <v>19.899999999999999</v>
          </cell>
          <cell r="AE309">
            <v>29.7</v>
          </cell>
          <cell r="AF309">
            <v>4.5999999999999996</v>
          </cell>
          <cell r="AG309">
            <v>83.3</v>
          </cell>
          <cell r="AH309">
            <v>15.7</v>
          </cell>
          <cell r="AI309">
            <v>49.5</v>
          </cell>
          <cell r="AJ309">
            <v>8</v>
          </cell>
          <cell r="AK309">
            <v>350.8</v>
          </cell>
          <cell r="AL309">
            <v>8.1</v>
          </cell>
          <cell r="AM309">
            <v>42.7</v>
          </cell>
          <cell r="AN309">
            <v>250</v>
          </cell>
          <cell r="AO309">
            <v>8.6999999999999993</v>
          </cell>
          <cell r="AP309">
            <v>46.8</v>
          </cell>
          <cell r="AQ309">
            <v>8.8000000000000007</v>
          </cell>
          <cell r="AR309">
            <v>119.1</v>
          </cell>
          <cell r="AS309">
            <v>20.7</v>
          </cell>
          <cell r="AT309">
            <v>1.8</v>
          </cell>
          <cell r="AU309">
            <v>47.4</v>
          </cell>
          <cell r="AV309">
            <v>38.5</v>
          </cell>
          <cell r="AW309">
            <v>24.3</v>
          </cell>
          <cell r="AX309">
            <v>18.2</v>
          </cell>
          <cell r="AY309">
            <v>24.5</v>
          </cell>
          <cell r="AZ309">
            <v>14.1</v>
          </cell>
          <cell r="BA309">
            <v>55.7</v>
          </cell>
          <cell r="BB309">
            <v>11.6</v>
          </cell>
          <cell r="BC309">
            <v>22</v>
          </cell>
          <cell r="BD309">
            <v>24.9</v>
          </cell>
          <cell r="BE309">
            <v>17.5</v>
          </cell>
          <cell r="BF309">
            <v>40.6</v>
          </cell>
          <cell r="BG309">
            <v>19.5</v>
          </cell>
          <cell r="BH309">
            <v>100.5</v>
          </cell>
          <cell r="BI309">
            <v>22.4</v>
          </cell>
          <cell r="BJ309">
            <v>25.3</v>
          </cell>
          <cell r="BK309">
            <v>32.799999999999997</v>
          </cell>
          <cell r="BL309">
            <v>19.2</v>
          </cell>
          <cell r="BM309">
            <v>24.7</v>
          </cell>
          <cell r="BN309">
            <v>96.5</v>
          </cell>
          <cell r="BO309">
            <v>79.3</v>
          </cell>
          <cell r="BP309">
            <v>37.5</v>
          </cell>
          <cell r="BQ309">
            <v>44.8</v>
          </cell>
          <cell r="BR309">
            <v>26.4</v>
          </cell>
          <cell r="BS309">
            <v>21.1</v>
          </cell>
          <cell r="BT309">
            <v>33.299999999999997</v>
          </cell>
          <cell r="BU309">
            <v>21.6</v>
          </cell>
          <cell r="BV309">
            <v>26.3</v>
          </cell>
          <cell r="BW309">
            <v>373.4</v>
          </cell>
          <cell r="BX309">
            <v>13.5</v>
          </cell>
          <cell r="BY309">
            <v>328.2</v>
          </cell>
          <cell r="BZ309">
            <v>216.3</v>
          </cell>
          <cell r="CA309">
            <v>48.6</v>
          </cell>
          <cell r="CB309">
            <v>50.6</v>
          </cell>
          <cell r="CC309">
            <v>-81.5</v>
          </cell>
          <cell r="CD309">
            <v>115.1</v>
          </cell>
          <cell r="CE309">
            <v>26.4</v>
          </cell>
          <cell r="CF309">
            <v>1.8</v>
          </cell>
          <cell r="CG309">
            <v>32.5</v>
          </cell>
          <cell r="CH309">
            <v>13</v>
          </cell>
          <cell r="CI309">
            <v>8.4</v>
          </cell>
          <cell r="CJ309">
            <v>41.2</v>
          </cell>
          <cell r="CK309">
            <v>340.6</v>
          </cell>
          <cell r="CL309">
            <v>52.8</v>
          </cell>
          <cell r="CM309">
            <v>100.6</v>
          </cell>
          <cell r="CN309">
            <v>151.5</v>
          </cell>
          <cell r="CO309">
            <v>29.8</v>
          </cell>
          <cell r="CP309">
            <v>11.6</v>
          </cell>
          <cell r="CQ309">
            <v>30.7</v>
          </cell>
          <cell r="CR309">
            <v>16.100000000000001</v>
          </cell>
          <cell r="CS309">
            <v>22.2</v>
          </cell>
          <cell r="CT309">
            <v>19.5</v>
          </cell>
          <cell r="CU309">
            <v>11.1</v>
          </cell>
          <cell r="CV309">
            <v>64</v>
          </cell>
          <cell r="CW309">
            <v>56.5</v>
          </cell>
          <cell r="CX309">
            <v>43.9</v>
          </cell>
          <cell r="CY309">
            <v>154.1</v>
          </cell>
          <cell r="CZ309">
            <v>132.30000000000001</v>
          </cell>
          <cell r="DA309">
            <v>712.6</v>
          </cell>
          <cell r="DB309">
            <v>37.4</v>
          </cell>
          <cell r="DC309">
            <v>22.7</v>
          </cell>
          <cell r="DD309">
            <v>42.3</v>
          </cell>
          <cell r="DE309">
            <v>34.4</v>
          </cell>
          <cell r="DF309">
            <v>100</v>
          </cell>
          <cell r="DG309">
            <v>92.9</v>
          </cell>
          <cell r="DH309">
            <v>38.299999999999997</v>
          </cell>
          <cell r="DI309">
            <v>35</v>
          </cell>
          <cell r="DJ309">
            <v>39.6</v>
          </cell>
          <cell r="DK309">
            <v>58.4</v>
          </cell>
          <cell r="DL309">
            <v>17</v>
          </cell>
          <cell r="DM309">
            <v>59.9</v>
          </cell>
          <cell r="DN309">
            <v>0.7</v>
          </cell>
          <cell r="DO309">
            <v>0.7</v>
          </cell>
          <cell r="DP309">
            <v>0.7</v>
          </cell>
          <cell r="DQ309">
            <v>0.8</v>
          </cell>
          <cell r="DR309">
            <v>0.8</v>
          </cell>
          <cell r="DS309">
            <v>0.8</v>
          </cell>
          <cell r="DT309">
            <v>0.9</v>
          </cell>
          <cell r="DU309">
            <v>0.9</v>
          </cell>
          <cell r="DV309">
            <v>0.9</v>
          </cell>
          <cell r="DW309">
            <v>0.9</v>
          </cell>
          <cell r="DX309">
            <v>0.9</v>
          </cell>
          <cell r="DY309">
            <v>1</v>
          </cell>
          <cell r="EM309">
            <v>669.1</v>
          </cell>
          <cell r="EN309">
            <v>928.9</v>
          </cell>
          <cell r="EO309">
            <v>300.5</v>
          </cell>
          <cell r="EP309">
            <v>543.1</v>
          </cell>
          <cell r="EQ309">
            <v>1077.7999999999997</v>
          </cell>
          <cell r="ER309">
            <v>913.69999999999993</v>
          </cell>
          <cell r="ES309">
            <v>1274.5999999999999</v>
          </cell>
        </row>
        <row r="310">
          <cell r="A310" t="str">
            <v>O&amp;M (Net of pass-throughs)</v>
          </cell>
          <cell r="B310" t="str">
            <v>Operations &amp; Maintenance Expense (incl clause)</v>
          </cell>
          <cell r="E310" t="str">
            <v>Operations &amp; Maintenance Expense</v>
          </cell>
          <cell r="F310" t="str">
            <v>6400020</v>
          </cell>
          <cell r="G310" t="str">
            <v>A_6400020</v>
          </cell>
          <cell r="H310" t="str">
            <v>Mat &amp; Supp - General and Office Supplies</v>
          </cell>
          <cell r="J310">
            <v>36.5</v>
          </cell>
          <cell r="K310">
            <v>37</v>
          </cell>
          <cell r="L310">
            <v>47.4</v>
          </cell>
          <cell r="M310">
            <v>30.9</v>
          </cell>
          <cell r="N310">
            <v>44.2</v>
          </cell>
          <cell r="O310">
            <v>28.3</v>
          </cell>
          <cell r="P310">
            <v>33.200000000000003</v>
          </cell>
          <cell r="Q310">
            <v>55.8</v>
          </cell>
          <cell r="R310">
            <v>43.9</v>
          </cell>
          <cell r="S310">
            <v>20.399999999999999</v>
          </cell>
          <cell r="T310">
            <v>32.200000000000003</v>
          </cell>
          <cell r="U310">
            <v>63.3</v>
          </cell>
          <cell r="V310">
            <v>32.200000000000003</v>
          </cell>
          <cell r="W310">
            <v>30.9</v>
          </cell>
          <cell r="X310">
            <v>45.5</v>
          </cell>
          <cell r="Y310">
            <v>31.6</v>
          </cell>
          <cell r="Z310">
            <v>15.8</v>
          </cell>
          <cell r="AA310">
            <v>57.5</v>
          </cell>
          <cell r="AB310">
            <v>37.6</v>
          </cell>
          <cell r="AC310">
            <v>17.899999999999999</v>
          </cell>
          <cell r="AD310">
            <v>49.8</v>
          </cell>
          <cell r="AE310">
            <v>37.700000000000003</v>
          </cell>
          <cell r="AF310">
            <v>21.4</v>
          </cell>
          <cell r="AG310">
            <v>72.400000000000006</v>
          </cell>
          <cell r="AH310">
            <v>19.100000000000001</v>
          </cell>
          <cell r="AI310">
            <v>42.9</v>
          </cell>
          <cell r="AJ310">
            <v>31.5</v>
          </cell>
          <cell r="AK310">
            <v>24.5</v>
          </cell>
          <cell r="AL310">
            <v>41.4</v>
          </cell>
          <cell r="AM310">
            <v>50</v>
          </cell>
          <cell r="AN310">
            <v>23</v>
          </cell>
          <cell r="AO310">
            <v>17.3</v>
          </cell>
          <cell r="AP310">
            <v>35</v>
          </cell>
          <cell r="AQ310">
            <v>67.3</v>
          </cell>
          <cell r="AR310">
            <v>44.4</v>
          </cell>
          <cell r="AS310">
            <v>44.2</v>
          </cell>
          <cell r="AT310">
            <v>18.600000000000001</v>
          </cell>
          <cell r="AU310">
            <v>22.5</v>
          </cell>
          <cell r="AV310">
            <v>44.5</v>
          </cell>
          <cell r="AW310">
            <v>12.4</v>
          </cell>
          <cell r="AX310">
            <v>19.899999999999999</v>
          </cell>
          <cell r="AY310">
            <v>93.9</v>
          </cell>
          <cell r="AZ310">
            <v>16.399999999999999</v>
          </cell>
          <cell r="BA310">
            <v>21.3</v>
          </cell>
          <cell r="BB310">
            <v>14.5</v>
          </cell>
          <cell r="BC310">
            <v>24.9</v>
          </cell>
          <cell r="BD310">
            <v>17.600000000000001</v>
          </cell>
          <cell r="BE310">
            <v>19.899999999999999</v>
          </cell>
          <cell r="BF310">
            <v>18.899999999999999</v>
          </cell>
          <cell r="BG310">
            <v>17.8</v>
          </cell>
          <cell r="BH310">
            <v>18.899999999999999</v>
          </cell>
          <cell r="BI310">
            <v>20.2</v>
          </cell>
          <cell r="BJ310">
            <v>26</v>
          </cell>
          <cell r="BK310">
            <v>94.2</v>
          </cell>
          <cell r="BL310">
            <v>17</v>
          </cell>
          <cell r="BM310">
            <v>473.2</v>
          </cell>
          <cell r="BN310">
            <v>23</v>
          </cell>
          <cell r="BO310">
            <v>85</v>
          </cell>
          <cell r="BP310">
            <v>33.4</v>
          </cell>
          <cell r="BQ310">
            <v>67.3</v>
          </cell>
          <cell r="BR310">
            <v>-18.7</v>
          </cell>
          <cell r="BS310">
            <v>20.7</v>
          </cell>
          <cell r="BT310">
            <v>26.6</v>
          </cell>
          <cell r="BU310">
            <v>17.600000000000001</v>
          </cell>
          <cell r="BV310">
            <v>21</v>
          </cell>
          <cell r="BW310">
            <v>28.1</v>
          </cell>
          <cell r="BX310">
            <v>28.1</v>
          </cell>
          <cell r="BY310">
            <v>26.9</v>
          </cell>
          <cell r="BZ310">
            <v>23.6</v>
          </cell>
          <cell r="CA310">
            <v>80.900000000000006</v>
          </cell>
          <cell r="CB310">
            <v>24.5</v>
          </cell>
          <cell r="CC310">
            <v>74.400000000000006</v>
          </cell>
          <cell r="CD310">
            <v>11.3</v>
          </cell>
          <cell r="CE310">
            <v>15</v>
          </cell>
          <cell r="CF310">
            <v>28.2</v>
          </cell>
          <cell r="CG310">
            <v>17.8</v>
          </cell>
          <cell r="CH310">
            <v>18.7</v>
          </cell>
          <cell r="CI310">
            <v>12</v>
          </cell>
          <cell r="CJ310">
            <v>13.2</v>
          </cell>
          <cell r="CK310">
            <v>14.7</v>
          </cell>
          <cell r="CL310">
            <v>15.5</v>
          </cell>
          <cell r="CM310">
            <v>15.3</v>
          </cell>
          <cell r="CN310">
            <v>20.6</v>
          </cell>
          <cell r="CO310">
            <v>35.299999999999997</v>
          </cell>
          <cell r="CP310">
            <v>3.3</v>
          </cell>
          <cell r="CQ310">
            <v>14.8</v>
          </cell>
          <cell r="CR310">
            <v>16.399999999999999</v>
          </cell>
          <cell r="CS310">
            <v>11.6</v>
          </cell>
          <cell r="CT310">
            <v>6.8</v>
          </cell>
          <cell r="CU310">
            <v>20</v>
          </cell>
          <cell r="CV310">
            <v>14.4</v>
          </cell>
          <cell r="CW310">
            <v>12.7</v>
          </cell>
          <cell r="CX310">
            <v>15.8</v>
          </cell>
          <cell r="CY310">
            <v>15.6</v>
          </cell>
          <cell r="CZ310">
            <v>21.8</v>
          </cell>
          <cell r="DA310">
            <v>113.5</v>
          </cell>
          <cell r="DB310">
            <v>14.4</v>
          </cell>
          <cell r="DC310">
            <v>18.399999999999999</v>
          </cell>
          <cell r="DD310">
            <v>22.9</v>
          </cell>
          <cell r="DE310">
            <v>19</v>
          </cell>
          <cell r="DF310">
            <v>18.5</v>
          </cell>
          <cell r="DG310">
            <v>25.3</v>
          </cell>
          <cell r="DH310">
            <v>16.3</v>
          </cell>
          <cell r="DI310">
            <v>22.9</v>
          </cell>
          <cell r="DJ310">
            <v>12.4</v>
          </cell>
          <cell r="DK310">
            <v>30</v>
          </cell>
          <cell r="DL310">
            <v>29.1</v>
          </cell>
          <cell r="DM310">
            <v>20</v>
          </cell>
          <cell r="DN310">
            <v>12.7</v>
          </cell>
          <cell r="DO310">
            <v>12.7</v>
          </cell>
          <cell r="DP310">
            <v>12.7</v>
          </cell>
          <cell r="DQ310">
            <v>13</v>
          </cell>
          <cell r="DR310">
            <v>13</v>
          </cell>
          <cell r="DS310">
            <v>13.1</v>
          </cell>
          <cell r="DT310">
            <v>13.3</v>
          </cell>
          <cell r="DU310">
            <v>13.3</v>
          </cell>
          <cell r="DV310">
            <v>13.3</v>
          </cell>
          <cell r="DW310">
            <v>14.3</v>
          </cell>
          <cell r="DX310">
            <v>14.3</v>
          </cell>
          <cell r="DY310">
            <v>14.5</v>
          </cell>
          <cell r="EM310">
            <v>450.29999999999995</v>
          </cell>
          <cell r="EN310">
            <v>440.6</v>
          </cell>
          <cell r="EO310">
            <v>326.39999999999998</v>
          </cell>
          <cell r="EP310">
            <v>894.9</v>
          </cell>
          <cell r="EQ310">
            <v>353.70000000000005</v>
          </cell>
          <cell r="ER310">
            <v>217.60000000000002</v>
          </cell>
          <cell r="ES310">
            <v>266.70000000000005</v>
          </cell>
        </row>
        <row r="311">
          <cell r="A311" t="str">
            <v>O&amp;M (Net of pass-throughs)</v>
          </cell>
          <cell r="B311" t="str">
            <v>Operations &amp; Maintenance Expense (incl clause)</v>
          </cell>
          <cell r="E311" t="str">
            <v>Operations &amp; Maintenance Expense</v>
          </cell>
          <cell r="F311" t="str">
            <v>6400030</v>
          </cell>
          <cell r="G311" t="str">
            <v>A_6400030</v>
          </cell>
          <cell r="H311" t="str">
            <v>Mat &amp; Supp - Chemicals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0.1</v>
          </cell>
          <cell r="P311">
            <v>0.1</v>
          </cell>
          <cell r="Q311">
            <v>0.1</v>
          </cell>
          <cell r="R311">
            <v>0.1</v>
          </cell>
          <cell r="S311">
            <v>0.1</v>
          </cell>
          <cell r="T311">
            <v>0.1</v>
          </cell>
          <cell r="U311">
            <v>0.1</v>
          </cell>
          <cell r="V311">
            <v>0</v>
          </cell>
          <cell r="W311">
            <v>0.1</v>
          </cell>
          <cell r="X311">
            <v>0.1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0.1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70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EM311">
            <v>0.2</v>
          </cell>
          <cell r="EN311">
            <v>0.1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70</v>
          </cell>
        </row>
        <row r="312">
          <cell r="A312" t="str">
            <v>O&amp;M (Net of pass-throughs)</v>
          </cell>
          <cell r="B312" t="str">
            <v>Operations &amp; Maintenance Expense (incl clause)</v>
          </cell>
          <cell r="E312" t="str">
            <v>Operations &amp; Maintenance Expense</v>
          </cell>
          <cell r="F312" t="str">
            <v>6400040</v>
          </cell>
          <cell r="G312" t="str">
            <v>A_6400040</v>
          </cell>
          <cell r="H312" t="str">
            <v>Mat &amp; Supp - Laboratory materials and supplies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0.5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0.1</v>
          </cell>
          <cell r="BK312">
            <v>0.3</v>
          </cell>
          <cell r="BL312">
            <v>0.3</v>
          </cell>
          <cell r="BM312">
            <v>0</v>
          </cell>
          <cell r="BN312">
            <v>0.1</v>
          </cell>
          <cell r="BO312">
            <v>0.3</v>
          </cell>
          <cell r="BP312">
            <v>0.6</v>
          </cell>
          <cell r="BQ312">
            <v>0.4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0.2</v>
          </cell>
          <cell r="BW312">
            <v>0</v>
          </cell>
          <cell r="BX312">
            <v>0</v>
          </cell>
          <cell r="BY312">
            <v>0.1</v>
          </cell>
          <cell r="BZ312">
            <v>0.2</v>
          </cell>
          <cell r="CA312">
            <v>0.2</v>
          </cell>
          <cell r="CB312">
            <v>0</v>
          </cell>
          <cell r="CC312">
            <v>0.1</v>
          </cell>
          <cell r="CD312">
            <v>0</v>
          </cell>
          <cell r="CE312">
            <v>0.4</v>
          </cell>
          <cell r="CF312">
            <v>0.1</v>
          </cell>
          <cell r="CG312">
            <v>0.2</v>
          </cell>
          <cell r="CH312">
            <v>0.1</v>
          </cell>
          <cell r="CI312">
            <v>0.2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-120.4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EM312">
            <v>0</v>
          </cell>
          <cell r="EN312">
            <v>0.5</v>
          </cell>
          <cell r="EO312">
            <v>0</v>
          </cell>
          <cell r="EP312">
            <v>2.0999999999999996</v>
          </cell>
          <cell r="EQ312">
            <v>0.79999999999999993</v>
          </cell>
          <cell r="ER312">
            <v>1</v>
          </cell>
          <cell r="ES312">
            <v>0</v>
          </cell>
        </row>
        <row r="313">
          <cell r="A313" t="str">
            <v>O&amp;M (Net of pass-throughs)</v>
          </cell>
          <cell r="B313" t="str">
            <v>Operations &amp; Maintenance Expense (incl clause)</v>
          </cell>
          <cell r="E313" t="str">
            <v>Operations &amp; Maintenance Expense</v>
          </cell>
          <cell r="F313" t="str">
            <v>6400050</v>
          </cell>
          <cell r="G313" t="str">
            <v>A_6400050</v>
          </cell>
          <cell r="H313" t="str">
            <v>Mat &amp; Supp - Lubricants</v>
          </cell>
          <cell r="J313">
            <v>0</v>
          </cell>
          <cell r="K313">
            <v>6</v>
          </cell>
          <cell r="L313">
            <v>19.7</v>
          </cell>
          <cell r="M313">
            <v>3.6</v>
          </cell>
          <cell r="N313">
            <v>0.4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0.7</v>
          </cell>
          <cell r="CH313">
            <v>0.7</v>
          </cell>
          <cell r="CI313">
            <v>1.1000000000000001</v>
          </cell>
          <cell r="CJ313">
            <v>0.5</v>
          </cell>
          <cell r="CK313">
            <v>0.5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3.5</v>
          </cell>
          <cell r="ES313">
            <v>0</v>
          </cell>
        </row>
        <row r="314">
          <cell r="A314" t="str">
            <v>O&amp;M (Net of pass-throughs)</v>
          </cell>
          <cell r="B314" t="str">
            <v>Operations &amp; Maintenance Expense (incl clause)</v>
          </cell>
          <cell r="E314" t="str">
            <v>Operations &amp; Maintenance Expense</v>
          </cell>
          <cell r="F314" t="str">
            <v>6400060</v>
          </cell>
          <cell r="G314" t="str">
            <v>A_6400060</v>
          </cell>
          <cell r="H314" t="str">
            <v>Mat &amp; Supp - Operations Consumables</v>
          </cell>
          <cell r="J314">
            <v>51.5</v>
          </cell>
          <cell r="K314">
            <v>50.2</v>
          </cell>
          <cell r="L314">
            <v>28.4</v>
          </cell>
          <cell r="M314">
            <v>20.7</v>
          </cell>
          <cell r="N314">
            <v>67</v>
          </cell>
          <cell r="O314">
            <v>56</v>
          </cell>
          <cell r="P314">
            <v>15.3</v>
          </cell>
          <cell r="Q314">
            <v>21.5</v>
          </cell>
          <cell r="R314">
            <v>102.6</v>
          </cell>
          <cell r="S314">
            <v>67.2</v>
          </cell>
          <cell r="T314">
            <v>35.5</v>
          </cell>
          <cell r="U314">
            <v>72.8</v>
          </cell>
          <cell r="V314">
            <v>25.2</v>
          </cell>
          <cell r="W314">
            <v>34.700000000000003</v>
          </cell>
          <cell r="X314">
            <v>18</v>
          </cell>
          <cell r="Y314">
            <v>59</v>
          </cell>
          <cell r="Z314">
            <v>53.7</v>
          </cell>
          <cell r="AA314">
            <v>32.1</v>
          </cell>
          <cell r="AB314">
            <v>100.4</v>
          </cell>
          <cell r="AC314">
            <v>23.4</v>
          </cell>
          <cell r="AD314">
            <v>61</v>
          </cell>
          <cell r="AE314">
            <v>101.7</v>
          </cell>
          <cell r="AF314">
            <v>45.8</v>
          </cell>
          <cell r="AG314">
            <v>88.8</v>
          </cell>
          <cell r="AH314">
            <v>30</v>
          </cell>
          <cell r="AI314">
            <v>67.8</v>
          </cell>
          <cell r="AJ314">
            <v>57</v>
          </cell>
          <cell r="AK314">
            <v>36.1</v>
          </cell>
          <cell r="AL314">
            <v>65.599999999999994</v>
          </cell>
          <cell r="AM314">
            <v>56.1</v>
          </cell>
          <cell r="AN314">
            <v>44.6</v>
          </cell>
          <cell r="AO314">
            <v>84.1</v>
          </cell>
          <cell r="AP314">
            <v>40.6</v>
          </cell>
          <cell r="AQ314">
            <v>52.5</v>
          </cell>
          <cell r="AR314">
            <v>30.2</v>
          </cell>
          <cell r="AS314">
            <v>36.5</v>
          </cell>
          <cell r="AT314">
            <v>2.8</v>
          </cell>
          <cell r="AU314">
            <v>6.1</v>
          </cell>
          <cell r="AV314">
            <v>28.7</v>
          </cell>
          <cell r="AW314">
            <v>2.2999999999999998</v>
          </cell>
          <cell r="AX314">
            <v>2.5</v>
          </cell>
          <cell r="AY314">
            <v>11.2</v>
          </cell>
          <cell r="AZ314">
            <v>4.2</v>
          </cell>
          <cell r="BA314">
            <v>4.2</v>
          </cell>
          <cell r="BB314">
            <v>4.5</v>
          </cell>
          <cell r="BC314">
            <v>4</v>
          </cell>
          <cell r="BD314">
            <v>4.3</v>
          </cell>
          <cell r="BE314">
            <v>2.6</v>
          </cell>
          <cell r="BF314">
            <v>2.1</v>
          </cell>
          <cell r="BG314">
            <v>1.8</v>
          </cell>
          <cell r="BH314">
            <v>2.2999999999999998</v>
          </cell>
          <cell r="BI314">
            <v>4.4000000000000004</v>
          </cell>
          <cell r="BJ314">
            <v>4.9000000000000004</v>
          </cell>
          <cell r="BK314">
            <v>2.9</v>
          </cell>
          <cell r="BL314">
            <v>2.2000000000000002</v>
          </cell>
          <cell r="BM314">
            <v>2.7</v>
          </cell>
          <cell r="BN314">
            <v>3</v>
          </cell>
          <cell r="BO314">
            <v>6.5</v>
          </cell>
          <cell r="BP314">
            <v>2.1</v>
          </cell>
          <cell r="BQ314">
            <v>3</v>
          </cell>
          <cell r="BR314">
            <v>11</v>
          </cell>
          <cell r="BS314">
            <v>2.7</v>
          </cell>
          <cell r="BT314">
            <v>2.2999999999999998</v>
          </cell>
          <cell r="BU314">
            <v>2.4</v>
          </cell>
          <cell r="BV314">
            <v>2.7</v>
          </cell>
          <cell r="BW314">
            <v>5.9</v>
          </cell>
          <cell r="BX314">
            <v>-0.5</v>
          </cell>
          <cell r="BY314">
            <v>2.4</v>
          </cell>
          <cell r="BZ314">
            <v>3</v>
          </cell>
          <cell r="CA314">
            <v>5.0999999999999996</v>
          </cell>
          <cell r="CB314">
            <v>1.2</v>
          </cell>
          <cell r="CC314">
            <v>4.4000000000000004</v>
          </cell>
          <cell r="CD314">
            <v>5.9</v>
          </cell>
          <cell r="CE314">
            <v>0.8</v>
          </cell>
          <cell r="CF314">
            <v>3.1</v>
          </cell>
          <cell r="CG314">
            <v>2.5</v>
          </cell>
          <cell r="CH314">
            <v>2.9</v>
          </cell>
          <cell r="CI314">
            <v>1.4</v>
          </cell>
          <cell r="CJ314">
            <v>4.5</v>
          </cell>
          <cell r="CK314">
            <v>6.9</v>
          </cell>
          <cell r="CL314">
            <v>1.7</v>
          </cell>
          <cell r="CM314">
            <v>1.8</v>
          </cell>
          <cell r="CN314">
            <v>0.5</v>
          </cell>
          <cell r="CO314">
            <v>1.7</v>
          </cell>
          <cell r="CP314">
            <v>6.4</v>
          </cell>
          <cell r="CQ314">
            <v>3.2</v>
          </cell>
          <cell r="CR314">
            <v>1</v>
          </cell>
          <cell r="CS314">
            <v>2.2000000000000002</v>
          </cell>
          <cell r="CT314">
            <v>4.0999999999999996</v>
          </cell>
          <cell r="CU314">
            <v>3.8</v>
          </cell>
          <cell r="CV314">
            <v>2.2000000000000002</v>
          </cell>
          <cell r="CW314">
            <v>6.4</v>
          </cell>
          <cell r="CX314">
            <v>3.2</v>
          </cell>
          <cell r="CY314">
            <v>1.9</v>
          </cell>
          <cell r="CZ314">
            <v>2.8</v>
          </cell>
          <cell r="DA314">
            <v>3.1</v>
          </cell>
          <cell r="DB314">
            <v>4.3</v>
          </cell>
          <cell r="DC314">
            <v>1.4</v>
          </cell>
          <cell r="DD314">
            <v>-3</v>
          </cell>
          <cell r="DE314">
            <v>2.8</v>
          </cell>
          <cell r="DF314">
            <v>2.4</v>
          </cell>
          <cell r="DG314">
            <v>3.1</v>
          </cell>
          <cell r="DH314">
            <v>2</v>
          </cell>
          <cell r="DI314">
            <v>3.4</v>
          </cell>
          <cell r="DJ314">
            <v>2.1</v>
          </cell>
          <cell r="DK314">
            <v>1.6</v>
          </cell>
          <cell r="DL314">
            <v>1.9</v>
          </cell>
          <cell r="DM314">
            <v>1.4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EM314">
            <v>643.79999999999995</v>
          </cell>
          <cell r="EN314">
            <v>601.10000000000014</v>
          </cell>
          <cell r="EO314">
            <v>77.399999999999991</v>
          </cell>
          <cell r="EP314">
            <v>37.9</v>
          </cell>
          <cell r="EQ314">
            <v>42.6</v>
          </cell>
          <cell r="ER314">
            <v>33.700000000000003</v>
          </cell>
          <cell r="ES314">
            <v>40.299999999999997</v>
          </cell>
        </row>
        <row r="315">
          <cell r="A315" t="str">
            <v>O&amp;M (Net of pass-throughs)</v>
          </cell>
          <cell r="B315" t="str">
            <v>Operations &amp; Maintenance Expense (incl clause)</v>
          </cell>
          <cell r="E315" t="str">
            <v>Operations &amp; Maintenance Expense</v>
          </cell>
          <cell r="F315" t="str">
            <v>6400060</v>
          </cell>
          <cell r="G315" t="str">
            <v>A_S6400060</v>
          </cell>
          <cell r="H315" t="str">
            <v>Settled Mat &amp; Supp - Operations Consumables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0.5</v>
          </cell>
          <cell r="DO315">
            <v>0.5</v>
          </cell>
          <cell r="DP315">
            <v>0.5</v>
          </cell>
          <cell r="DQ315">
            <v>0.5</v>
          </cell>
          <cell r="DR315">
            <v>0.5</v>
          </cell>
          <cell r="DS315">
            <v>0.5</v>
          </cell>
          <cell r="DT315">
            <v>0.5</v>
          </cell>
          <cell r="DU315">
            <v>0.5</v>
          </cell>
          <cell r="DV315">
            <v>0.5</v>
          </cell>
          <cell r="DW315">
            <v>0.5</v>
          </cell>
          <cell r="DX315">
            <v>0.5</v>
          </cell>
          <cell r="DY315">
            <v>0.5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A316" t="str">
            <v>O&amp;M (Net of pass-throughs)</v>
          </cell>
          <cell r="B316" t="str">
            <v>Operations &amp; Maintenance Expense (incl clause)</v>
          </cell>
          <cell r="E316" t="str">
            <v>Operations &amp; Maintenance Expense</v>
          </cell>
          <cell r="F316" t="str">
            <v>6400070</v>
          </cell>
          <cell r="G316" t="str">
            <v>A_6400070</v>
          </cell>
          <cell r="H316" t="str">
            <v>Mat &amp; Supp - Safety/First Aid Supplies &amp; Equipment</v>
          </cell>
          <cell r="J316">
            <v>5.0999999999999996</v>
          </cell>
          <cell r="K316">
            <v>14.2</v>
          </cell>
          <cell r="L316">
            <v>2.2999999999999998</v>
          </cell>
          <cell r="M316">
            <v>5.4</v>
          </cell>
          <cell r="N316">
            <v>6.3</v>
          </cell>
          <cell r="O316">
            <v>3.9</v>
          </cell>
          <cell r="P316">
            <v>2.8</v>
          </cell>
          <cell r="Q316">
            <v>8.1999999999999993</v>
          </cell>
          <cell r="R316">
            <v>3.4</v>
          </cell>
          <cell r="S316">
            <v>4.9000000000000004</v>
          </cell>
          <cell r="T316">
            <v>9.1</v>
          </cell>
          <cell r="U316">
            <v>2.4</v>
          </cell>
          <cell r="V316">
            <v>10.7</v>
          </cell>
          <cell r="W316">
            <v>2.5</v>
          </cell>
          <cell r="X316">
            <v>2.9</v>
          </cell>
          <cell r="Y316">
            <v>1.6</v>
          </cell>
          <cell r="Z316">
            <v>3.6</v>
          </cell>
          <cell r="AA316">
            <v>8.1</v>
          </cell>
          <cell r="AB316">
            <v>2.4</v>
          </cell>
          <cell r="AC316">
            <v>0.4</v>
          </cell>
          <cell r="AD316">
            <v>10.4</v>
          </cell>
          <cell r="AE316">
            <v>10.1</v>
          </cell>
          <cell r="AF316">
            <v>17.5</v>
          </cell>
          <cell r="AG316">
            <v>12.6</v>
          </cell>
          <cell r="AH316">
            <v>9.4</v>
          </cell>
          <cell r="AI316">
            <v>13</v>
          </cell>
          <cell r="AJ316">
            <v>6.8</v>
          </cell>
          <cell r="AK316">
            <v>2.9</v>
          </cell>
          <cell r="AL316">
            <v>4.2</v>
          </cell>
          <cell r="AM316">
            <v>6.5</v>
          </cell>
          <cell r="AN316">
            <v>10.199999999999999</v>
          </cell>
          <cell r="AO316">
            <v>10.4</v>
          </cell>
          <cell r="AP316">
            <v>7.9</v>
          </cell>
          <cell r="AQ316">
            <v>12.3</v>
          </cell>
          <cell r="AR316">
            <v>12.7</v>
          </cell>
          <cell r="AS316">
            <v>7.7</v>
          </cell>
          <cell r="AT316">
            <v>3.9</v>
          </cell>
          <cell r="AU316">
            <v>4.5999999999999996</v>
          </cell>
          <cell r="AV316">
            <v>20.3</v>
          </cell>
          <cell r="AW316">
            <v>5</v>
          </cell>
          <cell r="AX316">
            <v>24.8</v>
          </cell>
          <cell r="AY316">
            <v>22.8</v>
          </cell>
          <cell r="AZ316">
            <v>3.2</v>
          </cell>
          <cell r="BA316">
            <v>4.8</v>
          </cell>
          <cell r="BB316">
            <v>12.5</v>
          </cell>
          <cell r="BC316">
            <v>10.7</v>
          </cell>
          <cell r="BD316">
            <v>3.3</v>
          </cell>
          <cell r="BE316">
            <v>19.899999999999999</v>
          </cell>
          <cell r="BF316">
            <v>21.3</v>
          </cell>
          <cell r="BG316">
            <v>70.2</v>
          </cell>
          <cell r="BH316">
            <v>5.4</v>
          </cell>
          <cell r="BI316">
            <v>3.4</v>
          </cell>
          <cell r="BJ316">
            <v>16.899999999999999</v>
          </cell>
          <cell r="BK316">
            <v>4.3</v>
          </cell>
          <cell r="BL316">
            <v>6.8</v>
          </cell>
          <cell r="BM316">
            <v>4.0999999999999996</v>
          </cell>
          <cell r="BN316">
            <v>2.6</v>
          </cell>
          <cell r="BO316">
            <v>5.3</v>
          </cell>
          <cell r="BP316">
            <v>17.100000000000001</v>
          </cell>
          <cell r="BQ316">
            <v>16.8</v>
          </cell>
          <cell r="BR316">
            <v>4.5</v>
          </cell>
          <cell r="BS316">
            <v>11.1</v>
          </cell>
          <cell r="BT316">
            <v>13.9</v>
          </cell>
          <cell r="BU316">
            <v>6.7</v>
          </cell>
          <cell r="BV316">
            <v>9.1999999999999993</v>
          </cell>
          <cell r="BW316">
            <v>2.9</v>
          </cell>
          <cell r="BX316">
            <v>4</v>
          </cell>
          <cell r="BY316">
            <v>5.7</v>
          </cell>
          <cell r="BZ316">
            <v>10.6</v>
          </cell>
          <cell r="CA316">
            <v>22.3</v>
          </cell>
          <cell r="CB316">
            <v>0.8</v>
          </cell>
          <cell r="CC316">
            <v>12.7</v>
          </cell>
          <cell r="CD316">
            <v>18.399999999999999</v>
          </cell>
          <cell r="CE316">
            <v>13.9</v>
          </cell>
          <cell r="CF316">
            <v>6.3</v>
          </cell>
          <cell r="CG316">
            <v>7.9</v>
          </cell>
          <cell r="CH316">
            <v>80.2</v>
          </cell>
          <cell r="CI316">
            <v>85.9</v>
          </cell>
          <cell r="CJ316">
            <v>9.1</v>
          </cell>
          <cell r="CK316">
            <v>4.8</v>
          </cell>
          <cell r="CL316">
            <v>5.7</v>
          </cell>
          <cell r="CM316">
            <v>11.2</v>
          </cell>
          <cell r="CN316">
            <v>8.8000000000000007</v>
          </cell>
          <cell r="CO316">
            <v>4.2</v>
          </cell>
          <cell r="CP316">
            <v>6</v>
          </cell>
          <cell r="CQ316">
            <v>20.100000000000001</v>
          </cell>
          <cell r="CR316">
            <v>4.5999999999999996</v>
          </cell>
          <cell r="CS316">
            <v>31.6</v>
          </cell>
          <cell r="CT316">
            <v>20.3</v>
          </cell>
          <cell r="CU316">
            <v>5.8</v>
          </cell>
          <cell r="CV316">
            <v>4.5</v>
          </cell>
          <cell r="CW316">
            <v>2</v>
          </cell>
          <cell r="CX316">
            <v>6.4</v>
          </cell>
          <cell r="CY316">
            <v>8.9</v>
          </cell>
          <cell r="CZ316">
            <v>227.1</v>
          </cell>
          <cell r="DA316">
            <v>21.4</v>
          </cell>
          <cell r="DB316">
            <v>11.6</v>
          </cell>
          <cell r="DC316">
            <v>14.7</v>
          </cell>
          <cell r="DD316">
            <v>15.8</v>
          </cell>
          <cell r="DE316">
            <v>6.8</v>
          </cell>
          <cell r="DF316">
            <v>21.3</v>
          </cell>
          <cell r="DG316">
            <v>7.9</v>
          </cell>
          <cell r="DH316">
            <v>15.7</v>
          </cell>
          <cell r="DI316">
            <v>7.8</v>
          </cell>
          <cell r="DJ316">
            <v>2.2000000000000002</v>
          </cell>
          <cell r="DK316">
            <v>7.4</v>
          </cell>
          <cell r="DL316">
            <v>10.4</v>
          </cell>
          <cell r="DM316">
            <v>116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EM316">
            <v>82.799999999999983</v>
          </cell>
          <cell r="EN316">
            <v>104</v>
          </cell>
          <cell r="EO316">
            <v>135.79999999999998</v>
          </cell>
          <cell r="EP316">
            <v>174.20000000000002</v>
          </cell>
          <cell r="EQ316">
            <v>104.4</v>
          </cell>
          <cell r="ER316">
            <v>256.39999999999998</v>
          </cell>
          <cell r="ES316">
            <v>358.7</v>
          </cell>
        </row>
        <row r="317">
          <cell r="A317" t="str">
            <v>O&amp;M (Net of pass-throughs)</v>
          </cell>
          <cell r="B317" t="str">
            <v>Operations &amp; Maintenance Expense (incl clause)</v>
          </cell>
          <cell r="E317" t="str">
            <v>Operations &amp; Maintenance Expense</v>
          </cell>
          <cell r="F317" t="str">
            <v>6400080</v>
          </cell>
          <cell r="G317" t="str">
            <v>A_6400080</v>
          </cell>
          <cell r="H317" t="str">
            <v>Mat &amp; Supp - Vehicle Fuel</v>
          </cell>
          <cell r="J317">
            <v>22.8</v>
          </cell>
          <cell r="K317">
            <v>24.3</v>
          </cell>
          <cell r="L317">
            <v>35.700000000000003</v>
          </cell>
          <cell r="M317">
            <v>20.3</v>
          </cell>
          <cell r="N317">
            <v>0.6</v>
          </cell>
          <cell r="O317">
            <v>6.6</v>
          </cell>
          <cell r="P317">
            <v>3.6</v>
          </cell>
          <cell r="Q317">
            <v>25.4</v>
          </cell>
          <cell r="R317">
            <v>31.4</v>
          </cell>
          <cell r="S317">
            <v>19</v>
          </cell>
          <cell r="T317">
            <v>17.2</v>
          </cell>
          <cell r="U317">
            <v>13.9</v>
          </cell>
          <cell r="V317">
            <v>11.7</v>
          </cell>
          <cell r="W317">
            <v>11</v>
          </cell>
          <cell r="X317">
            <v>10.7</v>
          </cell>
          <cell r="Y317">
            <v>13</v>
          </cell>
          <cell r="Z317">
            <v>14.1</v>
          </cell>
          <cell r="AA317">
            <v>17.899999999999999</v>
          </cell>
          <cell r="AB317">
            <v>14.4</v>
          </cell>
          <cell r="AC317">
            <v>11.2</v>
          </cell>
          <cell r="AD317">
            <v>12.3</v>
          </cell>
          <cell r="AE317">
            <v>0.3</v>
          </cell>
          <cell r="AF317">
            <v>1.4</v>
          </cell>
          <cell r="AG317">
            <v>1.6</v>
          </cell>
          <cell r="AH317">
            <v>0.9</v>
          </cell>
          <cell r="AI317">
            <v>1.8</v>
          </cell>
          <cell r="AJ317">
            <v>1</v>
          </cell>
          <cell r="AK317">
            <v>1.5</v>
          </cell>
          <cell r="AL317">
            <v>0.8</v>
          </cell>
          <cell r="AM317">
            <v>1.9</v>
          </cell>
          <cell r="AN317">
            <v>2.2000000000000002</v>
          </cell>
          <cell r="AO317">
            <v>2.4</v>
          </cell>
          <cell r="AP317">
            <v>1</v>
          </cell>
          <cell r="AQ317">
            <v>1</v>
          </cell>
          <cell r="AR317">
            <v>1.2</v>
          </cell>
          <cell r="AS317">
            <v>1.6</v>
          </cell>
          <cell r="AT317">
            <v>0.6</v>
          </cell>
          <cell r="AU317">
            <v>1.1000000000000001</v>
          </cell>
          <cell r="AV317">
            <v>1</v>
          </cell>
          <cell r="AW317">
            <v>0.5</v>
          </cell>
          <cell r="AX317">
            <v>3.5</v>
          </cell>
          <cell r="AY317">
            <v>1.3</v>
          </cell>
          <cell r="AZ317">
            <v>0.4</v>
          </cell>
          <cell r="BA317">
            <v>0.6</v>
          </cell>
          <cell r="BB317">
            <v>0.9</v>
          </cell>
          <cell r="BC317">
            <v>4.3</v>
          </cell>
          <cell r="BD317">
            <v>1.6</v>
          </cell>
          <cell r="BE317">
            <v>9.8000000000000007</v>
          </cell>
          <cell r="BF317">
            <v>0.4</v>
          </cell>
          <cell r="BG317">
            <v>1.1000000000000001</v>
          </cell>
          <cell r="BH317">
            <v>0.8</v>
          </cell>
          <cell r="BI317">
            <v>1.7</v>
          </cell>
          <cell r="BJ317">
            <v>1.3</v>
          </cell>
          <cell r="BK317">
            <v>6.5</v>
          </cell>
          <cell r="BL317">
            <v>1.3</v>
          </cell>
          <cell r="BM317">
            <v>-3.7</v>
          </cell>
          <cell r="BN317">
            <v>1.2</v>
          </cell>
          <cell r="BO317">
            <v>5.4</v>
          </cell>
          <cell r="BP317">
            <v>2.8</v>
          </cell>
          <cell r="BQ317">
            <v>43.4</v>
          </cell>
          <cell r="BR317">
            <v>5.8</v>
          </cell>
          <cell r="BS317">
            <v>1.6</v>
          </cell>
          <cell r="BT317">
            <v>1.9</v>
          </cell>
          <cell r="BU317">
            <v>1.8</v>
          </cell>
          <cell r="BV317">
            <v>1.3</v>
          </cell>
          <cell r="BW317">
            <v>2.2000000000000002</v>
          </cell>
          <cell r="BX317">
            <v>7.3</v>
          </cell>
          <cell r="BY317">
            <v>2.7</v>
          </cell>
          <cell r="BZ317">
            <v>2.1</v>
          </cell>
          <cell r="CA317">
            <v>2</v>
          </cell>
          <cell r="CB317">
            <v>0.7</v>
          </cell>
          <cell r="CC317">
            <v>1.7</v>
          </cell>
          <cell r="CD317">
            <v>0.1</v>
          </cell>
          <cell r="CE317">
            <v>1</v>
          </cell>
          <cell r="CF317">
            <v>0.5</v>
          </cell>
          <cell r="CG317">
            <v>0.6</v>
          </cell>
          <cell r="CH317">
            <v>1.6</v>
          </cell>
          <cell r="CI317">
            <v>2.4</v>
          </cell>
          <cell r="CJ317">
            <v>3.4</v>
          </cell>
          <cell r="CK317">
            <v>6</v>
          </cell>
          <cell r="CL317">
            <v>0.8</v>
          </cell>
          <cell r="CM317">
            <v>0.6</v>
          </cell>
          <cell r="CN317">
            <v>1.2</v>
          </cell>
          <cell r="CO317">
            <v>1.1000000000000001</v>
          </cell>
          <cell r="CP317">
            <v>0.1</v>
          </cell>
          <cell r="CQ317">
            <v>0.8</v>
          </cell>
          <cell r="CR317">
            <v>1.4</v>
          </cell>
          <cell r="CS317">
            <v>1.2</v>
          </cell>
          <cell r="CT317">
            <v>4.5</v>
          </cell>
          <cell r="CU317">
            <v>4.0999999999999996</v>
          </cell>
          <cell r="CV317">
            <v>2.8</v>
          </cell>
          <cell r="CW317">
            <v>5.5</v>
          </cell>
          <cell r="CX317">
            <v>1.3</v>
          </cell>
          <cell r="CY317">
            <v>1.4</v>
          </cell>
          <cell r="CZ317">
            <v>1.8</v>
          </cell>
          <cell r="DA317">
            <v>5.4</v>
          </cell>
          <cell r="DB317">
            <v>2</v>
          </cell>
          <cell r="DC317">
            <v>1.2</v>
          </cell>
          <cell r="DD317">
            <v>1.2</v>
          </cell>
          <cell r="DE317">
            <v>1.3</v>
          </cell>
          <cell r="DF317">
            <v>2.2000000000000002</v>
          </cell>
          <cell r="DG317">
            <v>6</v>
          </cell>
          <cell r="DH317">
            <v>6.1</v>
          </cell>
          <cell r="DI317">
            <v>2.6</v>
          </cell>
          <cell r="DJ317">
            <v>3.3</v>
          </cell>
          <cell r="DK317">
            <v>1.5</v>
          </cell>
          <cell r="DL317">
            <v>2.8</v>
          </cell>
          <cell r="DM317">
            <v>2.6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EM317">
            <v>119.60000000000001</v>
          </cell>
          <cell r="EN317">
            <v>17.3</v>
          </cell>
          <cell r="EO317">
            <v>25.6</v>
          </cell>
          <cell r="EP317">
            <v>62.2</v>
          </cell>
          <cell r="EQ317">
            <v>31.1</v>
          </cell>
          <cell r="ER317">
            <v>19.3</v>
          </cell>
          <cell r="ES317">
            <v>30.299999999999997</v>
          </cell>
        </row>
        <row r="318">
          <cell r="A318" t="str">
            <v>O&amp;M (Net of pass-throughs)</v>
          </cell>
          <cell r="B318" t="str">
            <v>Operations &amp; Maintenance Expense (incl clause)</v>
          </cell>
          <cell r="E318" t="str">
            <v>Operations &amp; Maintenance Expense</v>
          </cell>
          <cell r="F318" t="str">
            <v>6400100</v>
          </cell>
          <cell r="G318" t="str">
            <v>A_6400100</v>
          </cell>
          <cell r="H318" t="str">
            <v>Mat &amp; Supp - Outside Material Purchases</v>
          </cell>
          <cell r="J318">
            <v>642.20000000000005</v>
          </cell>
          <cell r="K318">
            <v>323.3</v>
          </cell>
          <cell r="L318">
            <v>493.1</v>
          </cell>
          <cell r="M318">
            <v>723.2</v>
          </cell>
          <cell r="N318">
            <v>772</v>
          </cell>
          <cell r="O318">
            <v>631.79999999999995</v>
          </cell>
          <cell r="P318">
            <v>1444.6</v>
          </cell>
          <cell r="Q318">
            <v>669.7</v>
          </cell>
          <cell r="R318">
            <v>598.4</v>
          </cell>
          <cell r="S318">
            <v>1330.5</v>
          </cell>
          <cell r="T318">
            <v>860.5</v>
          </cell>
          <cell r="U318">
            <v>1659.4</v>
          </cell>
          <cell r="V318">
            <v>638.9</v>
          </cell>
          <cell r="W318">
            <v>472.6</v>
          </cell>
          <cell r="X318">
            <v>1179.0999999999999</v>
          </cell>
          <cell r="Y318">
            <v>848.4</v>
          </cell>
          <cell r="Z318">
            <v>1672.1</v>
          </cell>
          <cell r="AA318">
            <v>1124.3</v>
          </cell>
          <cell r="AB318">
            <v>1146.4000000000001</v>
          </cell>
          <cell r="AC318">
            <v>660.5</v>
          </cell>
          <cell r="AD318">
            <v>1045.7</v>
          </cell>
          <cell r="AE318">
            <v>1288.4000000000001</v>
          </cell>
          <cell r="AF318">
            <v>1980.5</v>
          </cell>
          <cell r="AG318">
            <v>3103.9</v>
          </cell>
          <cell r="AH318">
            <v>330.1</v>
          </cell>
          <cell r="AI318">
            <v>995.2</v>
          </cell>
          <cell r="AJ318">
            <v>1527</v>
          </cell>
          <cell r="AK318">
            <v>976.2</v>
          </cell>
          <cell r="AL318">
            <v>994.6</v>
          </cell>
          <cell r="AM318">
            <v>2054.5</v>
          </cell>
          <cell r="AN318">
            <v>1035.4000000000001</v>
          </cell>
          <cell r="AO318">
            <v>1616.5</v>
          </cell>
          <cell r="AP318">
            <v>1423.8</v>
          </cell>
          <cell r="AQ318">
            <v>1427.2</v>
          </cell>
          <cell r="AR318">
            <v>1425.5</v>
          </cell>
          <cell r="AS318">
            <v>2636.6</v>
          </cell>
          <cell r="AT318">
            <v>865.1</v>
          </cell>
          <cell r="AU318">
            <v>1182.4000000000001</v>
          </cell>
          <cell r="AV318">
            <v>1375.7</v>
          </cell>
          <cell r="AW318">
            <v>833.5</v>
          </cell>
          <cell r="AX318">
            <v>2116.8000000000002</v>
          </cell>
          <cell r="AY318">
            <v>1662.2</v>
          </cell>
          <cell r="AZ318">
            <v>1856.1</v>
          </cell>
          <cell r="BA318">
            <v>2020.1</v>
          </cell>
          <cell r="BB318">
            <v>2186.9</v>
          </cell>
          <cell r="BC318">
            <v>1580.4</v>
          </cell>
          <cell r="BD318">
            <v>1413.6</v>
          </cell>
          <cell r="BE318">
            <v>2057.6</v>
          </cell>
          <cell r="BF318">
            <v>920</v>
          </cell>
          <cell r="BG318">
            <v>781.3</v>
          </cell>
          <cell r="BH318">
            <v>2211.1</v>
          </cell>
          <cell r="BI318">
            <v>1184.5</v>
          </cell>
          <cell r="BJ318">
            <v>2851.4</v>
          </cell>
          <cell r="BK318">
            <v>1649.9</v>
          </cell>
          <cell r="BL318">
            <v>1350.6</v>
          </cell>
          <cell r="BM318">
            <v>2237.1</v>
          </cell>
          <cell r="BN318">
            <v>3720.1</v>
          </cell>
          <cell r="BO318">
            <v>1432</v>
          </cell>
          <cell r="BP318">
            <v>2501.6999999999998</v>
          </cell>
          <cell r="BQ318">
            <v>2109.1999999999998</v>
          </cell>
          <cell r="BR318">
            <v>1468</v>
          </cell>
          <cell r="BS318">
            <v>1586.4</v>
          </cell>
          <cell r="BT318">
            <v>3059.1</v>
          </cell>
          <cell r="BU318">
            <v>1741.2</v>
          </cell>
          <cell r="BV318">
            <v>2214.5</v>
          </cell>
          <cell r="BW318">
            <v>2565.4</v>
          </cell>
          <cell r="BX318">
            <v>2988.3</v>
          </cell>
          <cell r="BY318">
            <v>2082.3000000000002</v>
          </cell>
          <cell r="BZ318">
            <v>1555.8</v>
          </cell>
          <cell r="CA318">
            <v>2951.1</v>
          </cell>
          <cell r="CB318">
            <v>1554.1</v>
          </cell>
          <cell r="CC318">
            <v>2826.3</v>
          </cell>
          <cell r="CD318">
            <v>3154.9</v>
          </cell>
          <cell r="CE318">
            <v>1715.6</v>
          </cell>
          <cell r="CF318">
            <v>2116.6</v>
          </cell>
          <cell r="CG318">
            <v>2946.2</v>
          </cell>
          <cell r="CH318">
            <v>3472</v>
          </cell>
          <cell r="CI318">
            <v>2151.1999999999998</v>
          </cell>
          <cell r="CJ318">
            <v>2714.5</v>
          </cell>
          <cell r="CK318">
            <v>6576.8</v>
          </cell>
          <cell r="CL318">
            <v>5043.3</v>
          </cell>
          <cell r="CM318">
            <v>3819.2</v>
          </cell>
          <cell r="CN318">
            <v>4289.1000000000004</v>
          </cell>
          <cell r="CO318">
            <v>4358.3</v>
          </cell>
          <cell r="CP318">
            <v>2915.1</v>
          </cell>
          <cell r="CQ318">
            <v>1317.8</v>
          </cell>
          <cell r="CR318">
            <v>2039.6</v>
          </cell>
          <cell r="CS318">
            <v>2760.3</v>
          </cell>
          <cell r="CT318">
            <v>2356.1</v>
          </cell>
          <cell r="CU318">
            <v>3854.1</v>
          </cell>
          <cell r="CV318">
            <v>9825.5</v>
          </cell>
          <cell r="CW318">
            <v>4032</v>
          </cell>
          <cell r="CX318">
            <v>3228.1</v>
          </cell>
          <cell r="CY318">
            <v>3721.1</v>
          </cell>
          <cell r="CZ318">
            <v>2996.6</v>
          </cell>
          <cell r="DA318">
            <v>4080.5</v>
          </cell>
          <cell r="DB318">
            <v>3026.5</v>
          </cell>
          <cell r="DC318">
            <v>3204.4</v>
          </cell>
          <cell r="DD318">
            <v>5500.3</v>
          </cell>
          <cell r="DE318">
            <v>3074.3</v>
          </cell>
          <cell r="DF318">
            <v>2944.5</v>
          </cell>
          <cell r="DG318">
            <v>3882.7</v>
          </cell>
          <cell r="DH318">
            <v>3358.1</v>
          </cell>
          <cell r="DI318">
            <v>4346.1000000000004</v>
          </cell>
          <cell r="DJ318">
            <v>5800.1</v>
          </cell>
          <cell r="DK318">
            <v>3372.9</v>
          </cell>
          <cell r="DL318">
            <v>2519.9</v>
          </cell>
          <cell r="DM318">
            <v>5886.9</v>
          </cell>
          <cell r="DN318">
            <v>-9.4</v>
          </cell>
          <cell r="DO318">
            <v>-9.4</v>
          </cell>
          <cell r="DP318">
            <v>-9.4</v>
          </cell>
          <cell r="DQ318">
            <v>-9.4</v>
          </cell>
          <cell r="DR318">
            <v>-9.4</v>
          </cell>
          <cell r="DS318">
            <v>-9.4</v>
          </cell>
          <cell r="DT318">
            <v>-9.4</v>
          </cell>
          <cell r="DU318">
            <v>-9.4</v>
          </cell>
          <cell r="DV318">
            <v>-9.4</v>
          </cell>
          <cell r="DW318">
            <v>-9.4</v>
          </cell>
          <cell r="DX318">
            <v>-9.4</v>
          </cell>
          <cell r="DY318">
            <v>-9.4</v>
          </cell>
          <cell r="EM318">
            <v>15160.800000000001</v>
          </cell>
          <cell r="EN318">
            <v>16442.599999999999</v>
          </cell>
          <cell r="EO318">
            <v>19150.399999999998</v>
          </cell>
          <cell r="EP318">
            <v>22948.9</v>
          </cell>
          <cell r="EQ318">
            <v>26592.499999999996</v>
          </cell>
          <cell r="ER318">
            <v>42357.7</v>
          </cell>
          <cell r="ES318">
            <v>43126.799999999996</v>
          </cell>
        </row>
        <row r="319">
          <cell r="A319" t="str">
            <v>O&amp;M (Net of pass-throughs)</v>
          </cell>
          <cell r="B319" t="str">
            <v>Operations &amp; Maintenance Expense (incl clause)</v>
          </cell>
          <cell r="E319" t="str">
            <v>Operations &amp; Maintenance Expense</v>
          </cell>
          <cell r="F319" t="str">
            <v>6400500</v>
          </cell>
          <cell r="G319" t="str">
            <v>A_6400500</v>
          </cell>
          <cell r="H319" t="str">
            <v>Mat &amp; Supp - Parts</v>
          </cell>
          <cell r="J319">
            <v>114.9</v>
          </cell>
          <cell r="K319">
            <v>182</v>
          </cell>
          <cell r="L319">
            <v>105.4</v>
          </cell>
          <cell r="M319">
            <v>174.6</v>
          </cell>
          <cell r="N319">
            <v>86.7</v>
          </cell>
          <cell r="O319">
            <v>102.9</v>
          </cell>
          <cell r="P319">
            <v>104.1</v>
          </cell>
          <cell r="Q319">
            <v>76.3</v>
          </cell>
          <cell r="R319">
            <v>55.6</v>
          </cell>
          <cell r="S319">
            <v>101.7</v>
          </cell>
          <cell r="T319">
            <v>37.4</v>
          </cell>
          <cell r="U319">
            <v>59.5</v>
          </cell>
          <cell r="V319">
            <v>38.1</v>
          </cell>
          <cell r="W319">
            <v>19</v>
          </cell>
          <cell r="X319">
            <v>37.5</v>
          </cell>
          <cell r="Y319">
            <v>57.3</v>
          </cell>
          <cell r="Z319">
            <v>24.8</v>
          </cell>
          <cell r="AA319">
            <v>55</v>
          </cell>
          <cell r="AB319">
            <v>18.600000000000001</v>
          </cell>
          <cell r="AC319">
            <v>19.100000000000001</v>
          </cell>
          <cell r="AD319">
            <v>78</v>
          </cell>
          <cell r="AE319">
            <v>100.3</v>
          </cell>
          <cell r="AF319">
            <v>33.9</v>
          </cell>
          <cell r="AG319">
            <v>109.6</v>
          </cell>
          <cell r="AH319">
            <v>20.7</v>
          </cell>
          <cell r="AI319">
            <v>83.9</v>
          </cell>
          <cell r="AJ319">
            <v>49.6</v>
          </cell>
          <cell r="AK319">
            <v>25</v>
          </cell>
          <cell r="AL319">
            <v>37.6</v>
          </cell>
          <cell r="AM319">
            <v>30.9</v>
          </cell>
          <cell r="AN319">
            <v>18.2</v>
          </cell>
          <cell r="AO319">
            <v>55.9</v>
          </cell>
          <cell r="AP319">
            <v>30.7</v>
          </cell>
          <cell r="AQ319">
            <v>24.7</v>
          </cell>
          <cell r="AR319">
            <v>28.9</v>
          </cell>
          <cell r="AS319">
            <v>39.1</v>
          </cell>
          <cell r="AT319">
            <v>7</v>
          </cell>
          <cell r="AU319">
            <v>29.4</v>
          </cell>
          <cell r="AV319">
            <v>31.6</v>
          </cell>
          <cell r="AW319">
            <v>12.9</v>
          </cell>
          <cell r="AX319">
            <v>9.4</v>
          </cell>
          <cell r="AY319">
            <v>12.7</v>
          </cell>
          <cell r="AZ319">
            <v>14.7</v>
          </cell>
          <cell r="BA319">
            <v>16.7</v>
          </cell>
          <cell r="BB319">
            <v>20.7</v>
          </cell>
          <cell r="BC319">
            <v>18.399999999999999</v>
          </cell>
          <cell r="BD319">
            <v>13.2</v>
          </cell>
          <cell r="BE319">
            <v>32.1</v>
          </cell>
          <cell r="BF319">
            <v>3.1</v>
          </cell>
          <cell r="BG319">
            <v>9.5</v>
          </cell>
          <cell r="BH319">
            <v>5.4</v>
          </cell>
          <cell r="BI319">
            <v>34.6</v>
          </cell>
          <cell r="BJ319">
            <v>11.2</v>
          </cell>
          <cell r="BK319">
            <v>4.0999999999999996</v>
          </cell>
          <cell r="BL319">
            <v>145.4</v>
          </cell>
          <cell r="BM319">
            <v>5.0999999999999996</v>
          </cell>
          <cell r="BN319">
            <v>19.8</v>
          </cell>
          <cell r="BO319">
            <v>28.5</v>
          </cell>
          <cell r="BP319">
            <v>43.7</v>
          </cell>
          <cell r="BQ319">
            <v>37.4</v>
          </cell>
          <cell r="BR319">
            <v>16.399999999999999</v>
          </cell>
          <cell r="BS319">
            <v>25</v>
          </cell>
          <cell r="BT319">
            <v>13.1</v>
          </cell>
          <cell r="BU319">
            <v>22.4</v>
          </cell>
          <cell r="BV319">
            <v>18.899999999999999</v>
          </cell>
          <cell r="BW319">
            <v>16.399999999999999</v>
          </cell>
          <cell r="BX319">
            <v>28.1</v>
          </cell>
          <cell r="BY319">
            <v>40.9</v>
          </cell>
          <cell r="BZ319">
            <v>12.4</v>
          </cell>
          <cell r="CA319">
            <v>47.8</v>
          </cell>
          <cell r="CB319">
            <v>11.1</v>
          </cell>
          <cell r="CC319">
            <v>39.4</v>
          </cell>
          <cell r="CD319">
            <v>5.4</v>
          </cell>
          <cell r="CE319">
            <v>40.5</v>
          </cell>
          <cell r="CF319">
            <v>28.9</v>
          </cell>
          <cell r="CG319">
            <v>5.3</v>
          </cell>
          <cell r="CH319">
            <v>8.5</v>
          </cell>
          <cell r="CI319">
            <v>2.2000000000000002</v>
          </cell>
          <cell r="CJ319">
            <v>82.2</v>
          </cell>
          <cell r="CK319">
            <v>55.8</v>
          </cell>
          <cell r="CL319">
            <v>18.399999999999999</v>
          </cell>
          <cell r="CM319">
            <v>26.5</v>
          </cell>
          <cell r="CN319">
            <v>28.8</v>
          </cell>
          <cell r="CO319">
            <v>33.1</v>
          </cell>
          <cell r="CP319">
            <v>9</v>
          </cell>
          <cell r="CQ319">
            <v>17.899999999999999</v>
          </cell>
          <cell r="CR319">
            <v>37</v>
          </cell>
          <cell r="CS319">
            <v>1.8</v>
          </cell>
          <cell r="CT319">
            <v>11.5</v>
          </cell>
          <cell r="CU319">
            <v>14.9</v>
          </cell>
          <cell r="CV319">
            <v>37.4</v>
          </cell>
          <cell r="CW319">
            <v>3.5</v>
          </cell>
          <cell r="CX319">
            <v>3.9</v>
          </cell>
          <cell r="CY319">
            <v>7</v>
          </cell>
          <cell r="CZ319">
            <v>6.1</v>
          </cell>
          <cell r="DA319">
            <v>10</v>
          </cell>
          <cell r="DB319">
            <v>0.6</v>
          </cell>
          <cell r="DC319">
            <v>11</v>
          </cell>
          <cell r="DD319">
            <v>7.1</v>
          </cell>
          <cell r="DE319">
            <v>5.2</v>
          </cell>
          <cell r="DF319">
            <v>11.8</v>
          </cell>
          <cell r="DG319">
            <v>3.9</v>
          </cell>
          <cell r="DH319">
            <v>3.6</v>
          </cell>
          <cell r="DI319">
            <v>4.4000000000000004</v>
          </cell>
          <cell r="DJ319">
            <v>6</v>
          </cell>
          <cell r="DK319">
            <v>10.1</v>
          </cell>
          <cell r="DL319">
            <v>4.8</v>
          </cell>
          <cell r="DM319">
            <v>3.4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EM319">
            <v>591.19999999999993</v>
          </cell>
          <cell r="EN319">
            <v>445.2</v>
          </cell>
          <cell r="EO319">
            <v>218.79999999999998</v>
          </cell>
          <cell r="EP319">
            <v>347.8</v>
          </cell>
          <cell r="EQ319">
            <v>291.90000000000003</v>
          </cell>
          <cell r="ER319">
            <v>335.60000000000008</v>
          </cell>
          <cell r="ES319">
            <v>160</v>
          </cell>
        </row>
        <row r="320">
          <cell r="A320" t="str">
            <v>O&amp;M (Net of pass-throughs)</v>
          </cell>
          <cell r="B320" t="str">
            <v>Operations &amp; Maintenance Expense (incl clause)</v>
          </cell>
          <cell r="E320" t="str">
            <v>Operations &amp; Maintenance Expense</v>
          </cell>
          <cell r="F320" t="str">
            <v>6400505</v>
          </cell>
          <cell r="G320" t="str">
            <v>A_6400505</v>
          </cell>
          <cell r="H320" t="str">
            <v>Mat &amp; Supp - Part Repairs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0.1</v>
          </cell>
          <cell r="AK320">
            <v>0</v>
          </cell>
          <cell r="AL320">
            <v>0.1</v>
          </cell>
          <cell r="AM320">
            <v>0</v>
          </cell>
          <cell r="AN320">
            <v>0</v>
          </cell>
          <cell r="AO320">
            <v>0.7</v>
          </cell>
          <cell r="AP320">
            <v>0.1</v>
          </cell>
          <cell r="AQ320">
            <v>0</v>
          </cell>
          <cell r="AR320">
            <v>0</v>
          </cell>
          <cell r="AS320">
            <v>0.2</v>
          </cell>
          <cell r="AT320">
            <v>0</v>
          </cell>
          <cell r="AU320">
            <v>2.1</v>
          </cell>
          <cell r="AV320">
            <v>0.1</v>
          </cell>
          <cell r="AW320">
            <v>0</v>
          </cell>
          <cell r="AX320">
            <v>0</v>
          </cell>
          <cell r="AY320">
            <v>0</v>
          </cell>
          <cell r="AZ320">
            <v>0.1</v>
          </cell>
          <cell r="BA320">
            <v>0</v>
          </cell>
          <cell r="BB320">
            <v>0.6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0.5</v>
          </cell>
          <cell r="BJ320">
            <v>0.1</v>
          </cell>
          <cell r="BK320">
            <v>0.5</v>
          </cell>
          <cell r="BL320">
            <v>0</v>
          </cell>
          <cell r="BM320">
            <v>0.8</v>
          </cell>
          <cell r="BN320">
            <v>0</v>
          </cell>
          <cell r="BO320">
            <v>0.3</v>
          </cell>
          <cell r="BP320">
            <v>0</v>
          </cell>
          <cell r="BQ320">
            <v>0.4</v>
          </cell>
          <cell r="BR320">
            <v>0</v>
          </cell>
          <cell r="BS320">
            <v>0.1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0.1</v>
          </cell>
          <cell r="BY320">
            <v>0</v>
          </cell>
          <cell r="BZ320">
            <v>0.1</v>
          </cell>
          <cell r="CA320">
            <v>0.2</v>
          </cell>
          <cell r="CB320">
            <v>0.2</v>
          </cell>
          <cell r="CC320">
            <v>0.1</v>
          </cell>
          <cell r="CD320">
            <v>0</v>
          </cell>
          <cell r="CE320">
            <v>0.7</v>
          </cell>
          <cell r="CF320">
            <v>1.8</v>
          </cell>
          <cell r="CG320">
            <v>0.1</v>
          </cell>
          <cell r="CH320">
            <v>0</v>
          </cell>
          <cell r="CI320">
            <v>0</v>
          </cell>
          <cell r="CJ320">
            <v>0.2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1.6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EM320">
            <v>0</v>
          </cell>
          <cell r="EN320">
            <v>1.2</v>
          </cell>
          <cell r="EO320">
            <v>2.9000000000000004</v>
          </cell>
          <cell r="EP320">
            <v>2.6</v>
          </cell>
          <cell r="EQ320">
            <v>0.79999999999999993</v>
          </cell>
          <cell r="ER320">
            <v>2.8000000000000003</v>
          </cell>
          <cell r="ES320">
            <v>0</v>
          </cell>
        </row>
        <row r="321">
          <cell r="A321" t="str">
            <v>O&amp;M (Net of pass-throughs)</v>
          </cell>
          <cell r="B321" t="str">
            <v>Operations &amp; Maintenance Expense (incl clause)</v>
          </cell>
          <cell r="E321" t="str">
            <v>Operations &amp; Maintenance Expense</v>
          </cell>
          <cell r="F321" t="str">
            <v>6400510</v>
          </cell>
          <cell r="G321" t="str">
            <v>A_6400510</v>
          </cell>
          <cell r="H321" t="str">
            <v>Mat &amp; Supp - Small Tools</v>
          </cell>
          <cell r="J321">
            <v>4</v>
          </cell>
          <cell r="K321">
            <v>7.7</v>
          </cell>
          <cell r="L321">
            <v>15.6</v>
          </cell>
          <cell r="M321">
            <v>28.3</v>
          </cell>
          <cell r="N321">
            <v>9.6999999999999993</v>
          </cell>
          <cell r="O321">
            <v>10.5</v>
          </cell>
          <cell r="P321">
            <v>7.4</v>
          </cell>
          <cell r="Q321">
            <v>11.3</v>
          </cell>
          <cell r="R321">
            <v>20.3</v>
          </cell>
          <cell r="S321">
            <v>22.3</v>
          </cell>
          <cell r="T321">
            <v>33.5</v>
          </cell>
          <cell r="U321">
            <v>24.8</v>
          </cell>
          <cell r="V321">
            <v>5</v>
          </cell>
          <cell r="W321">
            <v>6.9</v>
          </cell>
          <cell r="X321">
            <v>3.5</v>
          </cell>
          <cell r="Y321">
            <v>12.9</v>
          </cell>
          <cell r="Z321">
            <v>6.3</v>
          </cell>
          <cell r="AA321">
            <v>11.1</v>
          </cell>
          <cell r="AB321">
            <v>28.2</v>
          </cell>
          <cell r="AC321">
            <v>22.6</v>
          </cell>
          <cell r="AD321">
            <v>8</v>
          </cell>
          <cell r="AE321">
            <v>48.1</v>
          </cell>
          <cell r="AF321">
            <v>38.200000000000003</v>
          </cell>
          <cell r="AG321">
            <v>11.6</v>
          </cell>
          <cell r="AH321">
            <v>2.4</v>
          </cell>
          <cell r="AI321">
            <v>8.4</v>
          </cell>
          <cell r="AJ321">
            <v>10.1</v>
          </cell>
          <cell r="AK321">
            <v>7.7</v>
          </cell>
          <cell r="AL321">
            <v>40.9</v>
          </cell>
          <cell r="AM321">
            <v>4.8</v>
          </cell>
          <cell r="AN321">
            <v>5.2</v>
          </cell>
          <cell r="AO321">
            <v>6.5</v>
          </cell>
          <cell r="AP321">
            <v>7.7</v>
          </cell>
          <cell r="AQ321">
            <v>4.9000000000000004</v>
          </cell>
          <cell r="AR321">
            <v>8.5</v>
          </cell>
          <cell r="AS321">
            <v>39.4</v>
          </cell>
          <cell r="AT321">
            <v>1.6</v>
          </cell>
          <cell r="AU321">
            <v>6.3</v>
          </cell>
          <cell r="AV321">
            <v>8.6</v>
          </cell>
          <cell r="AW321">
            <v>8.1</v>
          </cell>
          <cell r="AX321">
            <v>9.1999999999999993</v>
          </cell>
          <cell r="AY321">
            <v>7.5</v>
          </cell>
          <cell r="AZ321">
            <v>5.6</v>
          </cell>
          <cell r="BA321">
            <v>11</v>
          </cell>
          <cell r="BB321">
            <v>6.8</v>
          </cell>
          <cell r="BC321">
            <v>23.7</v>
          </cell>
          <cell r="BD321">
            <v>5.7</v>
          </cell>
          <cell r="BE321">
            <v>95.4</v>
          </cell>
          <cell r="BF321">
            <v>2.6</v>
          </cell>
          <cell r="BG321">
            <v>6.1</v>
          </cell>
          <cell r="BH321">
            <v>14.6</v>
          </cell>
          <cell r="BI321">
            <v>13.7</v>
          </cell>
          <cell r="BJ321">
            <v>27.5</v>
          </cell>
          <cell r="BK321">
            <v>20.5</v>
          </cell>
          <cell r="BL321">
            <v>0.2</v>
          </cell>
          <cell r="BM321">
            <v>6.2</v>
          </cell>
          <cell r="BN321">
            <v>2.4</v>
          </cell>
          <cell r="BO321">
            <v>14.2</v>
          </cell>
          <cell r="BP321">
            <v>12.9</v>
          </cell>
          <cell r="BQ321">
            <v>12</v>
          </cell>
          <cell r="BR321">
            <v>33.200000000000003</v>
          </cell>
          <cell r="BS321">
            <v>6.7</v>
          </cell>
          <cell r="BT321">
            <v>8.3000000000000007</v>
          </cell>
          <cell r="BU321">
            <v>1.7</v>
          </cell>
          <cell r="BV321">
            <v>4</v>
          </cell>
          <cell r="BW321">
            <v>5.0999999999999996</v>
          </cell>
          <cell r="BX321">
            <v>35.6</v>
          </cell>
          <cell r="BY321">
            <v>6.4</v>
          </cell>
          <cell r="BZ321">
            <v>3.3</v>
          </cell>
          <cell r="CA321">
            <v>7.6</v>
          </cell>
          <cell r="CB321">
            <v>4.7</v>
          </cell>
          <cell r="CC321">
            <v>11.5</v>
          </cell>
          <cell r="CD321">
            <v>0</v>
          </cell>
          <cell r="CE321">
            <v>3.6</v>
          </cell>
          <cell r="CF321">
            <v>3.5</v>
          </cell>
          <cell r="CG321">
            <v>4.5</v>
          </cell>
          <cell r="CH321">
            <v>5.3</v>
          </cell>
          <cell r="CI321">
            <v>3.9</v>
          </cell>
          <cell r="CJ321">
            <v>6.6</v>
          </cell>
          <cell r="CK321">
            <v>7</v>
          </cell>
          <cell r="CL321">
            <v>15.5</v>
          </cell>
          <cell r="CM321">
            <v>8.6</v>
          </cell>
          <cell r="CN321">
            <v>2.6</v>
          </cell>
          <cell r="CO321">
            <v>26.2</v>
          </cell>
          <cell r="CP321">
            <v>3.4</v>
          </cell>
          <cell r="CQ321">
            <v>4.8</v>
          </cell>
          <cell r="CR321">
            <v>5.6</v>
          </cell>
          <cell r="CS321">
            <v>12.5</v>
          </cell>
          <cell r="CT321">
            <v>28</v>
          </cell>
          <cell r="CU321">
            <v>5.6</v>
          </cell>
          <cell r="CV321">
            <v>8.5</v>
          </cell>
          <cell r="CW321">
            <v>5</v>
          </cell>
          <cell r="CX321">
            <v>9.5</v>
          </cell>
          <cell r="CY321">
            <v>7.3</v>
          </cell>
          <cell r="CZ321">
            <v>7.6</v>
          </cell>
          <cell r="DA321">
            <v>12.9</v>
          </cell>
          <cell r="DB321">
            <v>2.5</v>
          </cell>
          <cell r="DC321">
            <v>5.8</v>
          </cell>
          <cell r="DD321">
            <v>6.8</v>
          </cell>
          <cell r="DE321">
            <v>6.4</v>
          </cell>
          <cell r="DF321">
            <v>5.8</v>
          </cell>
          <cell r="DG321">
            <v>7.5</v>
          </cell>
          <cell r="DH321">
            <v>13.1</v>
          </cell>
          <cell r="DI321">
            <v>12.6</v>
          </cell>
          <cell r="DJ321">
            <v>12.3</v>
          </cell>
          <cell r="DK321">
            <v>15.1</v>
          </cell>
          <cell r="DL321">
            <v>10.4</v>
          </cell>
          <cell r="DM321">
            <v>7.6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EM321">
            <v>202.4</v>
          </cell>
          <cell r="EN321">
            <v>146.5</v>
          </cell>
          <cell r="EO321">
            <v>189.5</v>
          </cell>
          <cell r="EP321">
            <v>132.90000000000003</v>
          </cell>
          <cell r="EQ321">
            <v>128.10000000000002</v>
          </cell>
          <cell r="ER321">
            <v>87.3</v>
          </cell>
          <cell r="ES321">
            <v>110.7</v>
          </cell>
        </row>
        <row r="322">
          <cell r="A322" t="str">
            <v>O&amp;M (Net of pass-throughs)</v>
          </cell>
          <cell r="B322" t="str">
            <v>Operations &amp; Maintenance Expense (incl clause)</v>
          </cell>
          <cell r="E322" t="str">
            <v>Operations &amp; Maintenance Expense</v>
          </cell>
          <cell r="F322" t="str">
            <v>6400520</v>
          </cell>
          <cell r="G322" t="str">
            <v>A_6400520</v>
          </cell>
          <cell r="H322" t="str">
            <v>Mat &amp; Supp - Obsolete Inventory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15.9</v>
          </cell>
          <cell r="AS322">
            <v>27.1</v>
          </cell>
          <cell r="AT322">
            <v>0.2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1.1000000000000001</v>
          </cell>
          <cell r="CB322">
            <v>0.5</v>
          </cell>
          <cell r="CC322">
            <v>9.1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EM322">
            <v>0</v>
          </cell>
          <cell r="EN322">
            <v>43</v>
          </cell>
          <cell r="EO322">
            <v>0.2</v>
          </cell>
          <cell r="EP322">
            <v>0</v>
          </cell>
          <cell r="EQ322">
            <v>10.7</v>
          </cell>
          <cell r="ER322">
            <v>0</v>
          </cell>
          <cell r="ES322">
            <v>0</v>
          </cell>
        </row>
        <row r="323">
          <cell r="A323" t="str">
            <v>O&amp;M (Net of pass-throughs)</v>
          </cell>
          <cell r="B323" t="str">
            <v>Operations &amp; Maintenance Expense (incl clause)</v>
          </cell>
          <cell r="E323" t="str">
            <v>Operations &amp; Maintenance Expense</v>
          </cell>
          <cell r="F323" t="str">
            <v>6400521</v>
          </cell>
          <cell r="G323" t="str">
            <v>A_6400521</v>
          </cell>
          <cell r="H323" t="str">
            <v>Mat &amp; Supp - Defective Inventory Scrap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1.8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A324" t="str">
            <v>O&amp;M (Net of pass-throughs)</v>
          </cell>
          <cell r="B324" t="str">
            <v>Operations &amp; Maintenance Expense (incl clause)</v>
          </cell>
          <cell r="E324" t="str">
            <v>Operations &amp; Maintenance Expense</v>
          </cell>
          <cell r="F324" t="str">
            <v>6400530</v>
          </cell>
          <cell r="G324" t="str">
            <v>A_6400530</v>
          </cell>
          <cell r="H324" t="str">
            <v>Mat &amp; Supp - Inventory Other</v>
          </cell>
          <cell r="J324">
            <v>0.1</v>
          </cell>
          <cell r="K324">
            <v>0.3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-0.4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24.3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EM324">
            <v>0</v>
          </cell>
          <cell r="EN324">
            <v>0</v>
          </cell>
          <cell r="EO324">
            <v>24.3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A325" t="str">
            <v>O&amp;M (Net of pass-throughs)</v>
          </cell>
          <cell r="B325" t="str">
            <v>Operations &amp; Maintenance Expense (incl clause)</v>
          </cell>
          <cell r="E325" t="str">
            <v>Operations &amp; Maintenance Expense</v>
          </cell>
          <cell r="F325" t="str">
            <v>6401000</v>
          </cell>
          <cell r="G325" t="str">
            <v>A_6401000</v>
          </cell>
          <cell r="H325" t="str">
            <v>Mat &amp; Supp - Inventory Issue</v>
          </cell>
          <cell r="J325">
            <v>1074.3</v>
          </cell>
          <cell r="K325">
            <v>531.20000000000005</v>
          </cell>
          <cell r="L325">
            <v>947</v>
          </cell>
          <cell r="M325">
            <v>864</v>
          </cell>
          <cell r="N325">
            <v>712.5</v>
          </cell>
          <cell r="O325">
            <v>706</v>
          </cell>
          <cell r="P325">
            <v>692.8</v>
          </cell>
          <cell r="Q325">
            <v>1088.2</v>
          </cell>
          <cell r="R325">
            <v>608.5</v>
          </cell>
          <cell r="S325">
            <v>916.4</v>
          </cell>
          <cell r="T325">
            <v>499.6</v>
          </cell>
          <cell r="U325">
            <v>1166.3</v>
          </cell>
          <cell r="V325">
            <v>418.4</v>
          </cell>
          <cell r="W325">
            <v>418.4</v>
          </cell>
          <cell r="X325">
            <v>636.5</v>
          </cell>
          <cell r="Y325">
            <v>893.8</v>
          </cell>
          <cell r="Z325">
            <v>473</v>
          </cell>
          <cell r="AA325">
            <v>617.1</v>
          </cell>
          <cell r="AB325">
            <v>795.5</v>
          </cell>
          <cell r="AC325">
            <v>926.8</v>
          </cell>
          <cell r="AD325">
            <v>1094.4000000000001</v>
          </cell>
          <cell r="AE325">
            <v>842.9</v>
          </cell>
          <cell r="AF325">
            <v>1758.2</v>
          </cell>
          <cell r="AG325">
            <v>926.7</v>
          </cell>
          <cell r="AH325">
            <v>432.9</v>
          </cell>
          <cell r="AI325">
            <v>1112</v>
          </cell>
          <cell r="AJ325">
            <v>872.8</v>
          </cell>
          <cell r="AK325">
            <v>644.29999999999995</v>
          </cell>
          <cell r="AL325">
            <v>759</v>
          </cell>
          <cell r="AM325">
            <v>2176.1</v>
          </cell>
          <cell r="AN325">
            <v>486.2</v>
          </cell>
          <cell r="AO325">
            <v>768.8</v>
          </cell>
          <cell r="AP325">
            <v>652.1</v>
          </cell>
          <cell r="AQ325">
            <v>844.3</v>
          </cell>
          <cell r="AR325">
            <v>956.6</v>
          </cell>
          <cell r="AS325">
            <v>770.7</v>
          </cell>
          <cell r="AT325">
            <v>608.29999999999995</v>
          </cell>
          <cell r="AU325">
            <v>765.7</v>
          </cell>
          <cell r="AV325">
            <v>948.6</v>
          </cell>
          <cell r="AW325">
            <v>702.1</v>
          </cell>
          <cell r="AX325">
            <v>944.9</v>
          </cell>
          <cell r="AY325">
            <v>623.70000000000005</v>
          </cell>
          <cell r="AZ325">
            <v>686.6</v>
          </cell>
          <cell r="BA325">
            <v>1110</v>
          </cell>
          <cell r="BB325">
            <v>460.9</v>
          </cell>
          <cell r="BC325">
            <v>1063.2</v>
          </cell>
          <cell r="BD325">
            <v>684.9</v>
          </cell>
          <cell r="BE325">
            <v>1769.6</v>
          </cell>
          <cell r="BF325">
            <v>616.9</v>
          </cell>
          <cell r="BG325">
            <v>797</v>
          </cell>
          <cell r="BH325">
            <v>1080.5999999999999</v>
          </cell>
          <cell r="BI325">
            <v>828.9</v>
          </cell>
          <cell r="BJ325">
            <v>806.9</v>
          </cell>
          <cell r="BK325">
            <v>777.2</v>
          </cell>
          <cell r="BL325">
            <v>943</v>
          </cell>
          <cell r="BM325">
            <v>1300.8</v>
          </cell>
          <cell r="BN325">
            <v>1206.4000000000001</v>
          </cell>
          <cell r="BO325">
            <v>1589.9</v>
          </cell>
          <cell r="BP325">
            <v>1010.8</v>
          </cell>
          <cell r="BQ325">
            <v>1239.5999999999999</v>
          </cell>
          <cell r="BR325">
            <v>739</v>
          </cell>
          <cell r="BS325">
            <v>1074.5</v>
          </cell>
          <cell r="BT325">
            <v>977.9</v>
          </cell>
          <cell r="BU325">
            <v>993.6</v>
          </cell>
          <cell r="BV325">
            <v>1069.2</v>
          </cell>
          <cell r="BW325">
            <v>656.1</v>
          </cell>
          <cell r="BX325">
            <v>1147.5</v>
          </cell>
          <cell r="BY325">
            <v>673.3</v>
          </cell>
          <cell r="BZ325">
            <v>1134.7</v>
          </cell>
          <cell r="CA325">
            <v>1275</v>
          </cell>
          <cell r="CB325">
            <v>1038.7</v>
          </cell>
          <cell r="CC325">
            <v>5587.8</v>
          </cell>
          <cell r="CD325">
            <v>1475</v>
          </cell>
          <cell r="CE325">
            <v>1417</v>
          </cell>
          <cell r="CF325">
            <v>917.9</v>
          </cell>
          <cell r="CG325">
            <v>1766.9</v>
          </cell>
          <cell r="CH325">
            <v>2848.9</v>
          </cell>
          <cell r="CI325">
            <v>2776.9</v>
          </cell>
          <cell r="CJ325">
            <v>1438.6</v>
          </cell>
          <cell r="CK325">
            <v>1869.5</v>
          </cell>
          <cell r="CL325">
            <v>1399.9</v>
          </cell>
          <cell r="CM325">
            <v>748</v>
          </cell>
          <cell r="CN325">
            <v>1430.3</v>
          </cell>
          <cell r="CO325">
            <v>1425.2</v>
          </cell>
          <cell r="CP325">
            <v>1280.2</v>
          </cell>
          <cell r="CQ325">
            <v>1128.3</v>
          </cell>
          <cell r="CR325">
            <v>1114.3</v>
          </cell>
          <cell r="CS325">
            <v>938</v>
          </cell>
          <cell r="CT325">
            <v>949.3</v>
          </cell>
          <cell r="CU325">
            <v>1485.9</v>
          </cell>
          <cell r="CV325">
            <v>1774.5</v>
          </cell>
          <cell r="CW325">
            <v>1012.9</v>
          </cell>
          <cell r="CX325">
            <v>661.4</v>
          </cell>
          <cell r="CY325">
            <v>1316</v>
          </cell>
          <cell r="CZ325">
            <v>7057.6</v>
          </cell>
          <cell r="DA325">
            <v>2530.8000000000002</v>
          </cell>
          <cell r="DB325">
            <v>632.9</v>
          </cell>
          <cell r="DC325">
            <v>1276.8</v>
          </cell>
          <cell r="DD325">
            <v>840</v>
          </cell>
          <cell r="DE325">
            <v>803</v>
          </cell>
          <cell r="DF325">
            <v>826.1</v>
          </cell>
          <cell r="DG325">
            <v>1401.9</v>
          </cell>
          <cell r="DH325">
            <v>1015.5</v>
          </cell>
          <cell r="DI325">
            <v>1201.2</v>
          </cell>
          <cell r="DJ325">
            <v>543.4</v>
          </cell>
          <cell r="DK325">
            <v>1077.7</v>
          </cell>
          <cell r="DL325">
            <v>1797.7</v>
          </cell>
          <cell r="DM325">
            <v>3111.6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EM325">
            <v>9801.7000000000007</v>
          </cell>
          <cell r="EN325">
            <v>10475.800000000001</v>
          </cell>
          <cell r="EO325">
            <v>10368.5</v>
          </cell>
          <cell r="EP325">
            <v>12198</v>
          </cell>
          <cell r="EQ325">
            <v>16367.300000000003</v>
          </cell>
          <cell r="ER325">
            <v>19514.099999999999</v>
          </cell>
          <cell r="ES325">
            <v>21249.200000000001</v>
          </cell>
        </row>
        <row r="326">
          <cell r="A326" t="str">
            <v>O&amp;M (Net of pass-throughs)</v>
          </cell>
          <cell r="B326" t="str">
            <v>Operations &amp; Maintenance Expense (incl clause)</v>
          </cell>
          <cell r="E326" t="str">
            <v>Operations &amp; Maintenance Expense</v>
          </cell>
          <cell r="F326" t="str">
            <v>6401100</v>
          </cell>
          <cell r="G326" t="str">
            <v>A_6401100</v>
          </cell>
          <cell r="H326" t="str">
            <v>Physical Inventory Differences</v>
          </cell>
          <cell r="J326">
            <v>1.2</v>
          </cell>
          <cell r="K326">
            <v>0</v>
          </cell>
          <cell r="L326">
            <v>0</v>
          </cell>
          <cell r="M326">
            <v>-0.7</v>
          </cell>
          <cell r="N326">
            <v>-6.4</v>
          </cell>
          <cell r="O326">
            <v>0</v>
          </cell>
          <cell r="P326">
            <v>-10.3</v>
          </cell>
          <cell r="Q326">
            <v>3.5</v>
          </cell>
          <cell r="R326">
            <v>7.7</v>
          </cell>
          <cell r="S326">
            <v>10.8</v>
          </cell>
          <cell r="T326">
            <v>-16.399999999999999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2</v>
          </cell>
          <cell r="Z326">
            <v>0</v>
          </cell>
          <cell r="AA326">
            <v>0</v>
          </cell>
          <cell r="AB326">
            <v>-2.8</v>
          </cell>
          <cell r="AC326">
            <v>0</v>
          </cell>
          <cell r="AD326">
            <v>-0.6</v>
          </cell>
          <cell r="AE326">
            <v>17.3</v>
          </cell>
          <cell r="AF326">
            <v>-1</v>
          </cell>
          <cell r="AG326">
            <v>88.7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3.9</v>
          </cell>
          <cell r="AP326">
            <v>0</v>
          </cell>
          <cell r="AQ326">
            <v>2.1</v>
          </cell>
          <cell r="AR326">
            <v>-13.7</v>
          </cell>
          <cell r="AS326">
            <v>24.1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-0.2</v>
          </cell>
          <cell r="BB326">
            <v>0</v>
          </cell>
          <cell r="BC326">
            <v>0.5</v>
          </cell>
          <cell r="BD326">
            <v>58.1</v>
          </cell>
          <cell r="BE326">
            <v>35.6</v>
          </cell>
          <cell r="BF326">
            <v>74.400000000000006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-0.1</v>
          </cell>
          <cell r="BN326">
            <v>-0.1</v>
          </cell>
          <cell r="BO326">
            <v>4.5</v>
          </cell>
          <cell r="BP326">
            <v>24.6</v>
          </cell>
          <cell r="BQ326">
            <v>5.8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0.5</v>
          </cell>
          <cell r="BZ326">
            <v>0</v>
          </cell>
          <cell r="CA326">
            <v>-7.3</v>
          </cell>
          <cell r="CB326">
            <v>6.6</v>
          </cell>
          <cell r="CC326">
            <v>91.2</v>
          </cell>
          <cell r="CD326">
            <v>-0.2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0.2</v>
          </cell>
          <cell r="CM326">
            <v>0</v>
          </cell>
          <cell r="CN326">
            <v>137.30000000000001</v>
          </cell>
          <cell r="CO326">
            <v>1.7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0.1</v>
          </cell>
          <cell r="CZ326">
            <v>-5492.7</v>
          </cell>
          <cell r="DA326">
            <v>87.4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-13.3</v>
          </cell>
          <cell r="DM326">
            <v>564.70000000000005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EM326">
            <v>103.60000000000001</v>
          </cell>
          <cell r="EN326">
            <v>16.400000000000002</v>
          </cell>
          <cell r="EO326">
            <v>94</v>
          </cell>
          <cell r="EP326">
            <v>109.10000000000001</v>
          </cell>
          <cell r="EQ326">
            <v>91</v>
          </cell>
          <cell r="ER326">
            <v>139</v>
          </cell>
          <cell r="ES326">
            <v>-5405.2</v>
          </cell>
        </row>
        <row r="327">
          <cell r="A327" t="str">
            <v>O&amp;M (Net of pass-throughs)</v>
          </cell>
          <cell r="B327" t="str">
            <v>Operations &amp; Maintenance Expense (incl clause)</v>
          </cell>
          <cell r="E327" t="str">
            <v>Operations &amp; Maintenance Expense</v>
          </cell>
          <cell r="F327" t="str">
            <v>6401200</v>
          </cell>
          <cell r="G327" t="str">
            <v>A_6401200</v>
          </cell>
          <cell r="H327" t="str">
            <v>Materials Price Differences</v>
          </cell>
          <cell r="J327">
            <v>-4.0999999999999996</v>
          </cell>
          <cell r="K327">
            <v>-0.6</v>
          </cell>
          <cell r="L327">
            <v>-1.4</v>
          </cell>
          <cell r="M327">
            <v>1.6</v>
          </cell>
          <cell r="N327">
            <v>-0.4</v>
          </cell>
          <cell r="O327">
            <v>0.1</v>
          </cell>
          <cell r="P327">
            <v>1.2</v>
          </cell>
          <cell r="Q327">
            <v>-0.3</v>
          </cell>
          <cell r="R327">
            <v>-0.7</v>
          </cell>
          <cell r="S327">
            <v>0.4</v>
          </cell>
          <cell r="T327">
            <v>-3.4</v>
          </cell>
          <cell r="U327">
            <v>-0.5</v>
          </cell>
          <cell r="V327">
            <v>7</v>
          </cell>
          <cell r="W327">
            <v>-0.3</v>
          </cell>
          <cell r="X327">
            <v>-0.1</v>
          </cell>
          <cell r="Y327">
            <v>-0.3</v>
          </cell>
          <cell r="Z327">
            <v>6.8</v>
          </cell>
          <cell r="AA327">
            <v>-0.3</v>
          </cell>
          <cell r="AB327">
            <v>-0.1</v>
          </cell>
          <cell r="AC327">
            <v>1.8</v>
          </cell>
          <cell r="AD327">
            <v>-1</v>
          </cell>
          <cell r="AE327">
            <v>-1.5</v>
          </cell>
          <cell r="AF327">
            <v>1.6</v>
          </cell>
          <cell r="AG327">
            <v>2.4</v>
          </cell>
          <cell r="AH327">
            <v>-0.3</v>
          </cell>
          <cell r="AI327">
            <v>-3.4</v>
          </cell>
          <cell r="AJ327">
            <v>-0.7</v>
          </cell>
          <cell r="AK327">
            <v>-1.3</v>
          </cell>
          <cell r="AL327">
            <v>0.1</v>
          </cell>
          <cell r="AM327">
            <v>-0.3</v>
          </cell>
          <cell r="AN327">
            <v>-0.1</v>
          </cell>
          <cell r="AO327">
            <v>-2.4</v>
          </cell>
          <cell r="AP327">
            <v>-0.2</v>
          </cell>
          <cell r="AQ327">
            <v>-6.5</v>
          </cell>
          <cell r="AR327">
            <v>0.8</v>
          </cell>
          <cell r="AS327">
            <v>0.9</v>
          </cell>
          <cell r="AT327">
            <v>-0.1</v>
          </cell>
          <cell r="AU327">
            <v>-0.6</v>
          </cell>
          <cell r="AV327">
            <v>-0.1</v>
          </cell>
          <cell r="AW327">
            <v>-3.6</v>
          </cell>
          <cell r="AX327">
            <v>5.0999999999999996</v>
          </cell>
          <cell r="AY327">
            <v>-0.2</v>
          </cell>
          <cell r="AZ327">
            <v>-1.1000000000000001</v>
          </cell>
          <cell r="BA327">
            <v>-2.2000000000000002</v>
          </cell>
          <cell r="BB327">
            <v>2.1</v>
          </cell>
          <cell r="BC327">
            <v>1.5</v>
          </cell>
          <cell r="BD327">
            <v>-0.4</v>
          </cell>
          <cell r="BE327">
            <v>-1.3</v>
          </cell>
          <cell r="BF327">
            <v>-1.1000000000000001</v>
          </cell>
          <cell r="BG327">
            <v>0.5</v>
          </cell>
          <cell r="BH327">
            <v>-0.9</v>
          </cell>
          <cell r="BI327">
            <v>-0.9</v>
          </cell>
          <cell r="BJ327">
            <v>-1.5</v>
          </cell>
          <cell r="BK327">
            <v>-0.9</v>
          </cell>
          <cell r="BL327">
            <v>-1.4</v>
          </cell>
          <cell r="BM327">
            <v>-18.3</v>
          </cell>
          <cell r="BN327">
            <v>-22.4</v>
          </cell>
          <cell r="BO327">
            <v>0.4</v>
          </cell>
          <cell r="BP327">
            <v>-0.5</v>
          </cell>
          <cell r="BQ327">
            <v>-3.8</v>
          </cell>
          <cell r="BR327">
            <v>-3.1</v>
          </cell>
          <cell r="BS327">
            <v>-6.4</v>
          </cell>
          <cell r="BT327">
            <v>-0.6</v>
          </cell>
          <cell r="BU327">
            <v>16.2</v>
          </cell>
          <cell r="BV327">
            <v>-0.7</v>
          </cell>
          <cell r="BW327">
            <v>7.3</v>
          </cell>
          <cell r="BX327">
            <v>-9.1</v>
          </cell>
          <cell r="BY327">
            <v>0.2</v>
          </cell>
          <cell r="BZ327">
            <v>-0.7</v>
          </cell>
          <cell r="CA327">
            <v>-2.9</v>
          </cell>
          <cell r="CB327">
            <v>-1</v>
          </cell>
          <cell r="CC327">
            <v>-0.5</v>
          </cell>
          <cell r="CD327">
            <v>-0.6</v>
          </cell>
          <cell r="CE327">
            <v>-1.6</v>
          </cell>
          <cell r="CF327">
            <v>-0.8</v>
          </cell>
          <cell r="CG327">
            <v>-0.6</v>
          </cell>
          <cell r="CH327">
            <v>-3.8</v>
          </cell>
          <cell r="CI327">
            <v>-6.5</v>
          </cell>
          <cell r="CJ327">
            <v>-2.2999999999999998</v>
          </cell>
          <cell r="CK327">
            <v>-1.6</v>
          </cell>
          <cell r="CL327">
            <v>-1.7</v>
          </cell>
          <cell r="CM327">
            <v>-1.2</v>
          </cell>
          <cell r="CN327">
            <v>-2.9</v>
          </cell>
          <cell r="CO327">
            <v>-2</v>
          </cell>
          <cell r="CP327">
            <v>-3.3</v>
          </cell>
          <cell r="CQ327">
            <v>4</v>
          </cell>
          <cell r="CR327">
            <v>-2.5</v>
          </cell>
          <cell r="CS327">
            <v>-1.1000000000000001</v>
          </cell>
          <cell r="CT327">
            <v>1.1000000000000001</v>
          </cell>
          <cell r="CU327">
            <v>10.5</v>
          </cell>
          <cell r="CV327">
            <v>39.4</v>
          </cell>
          <cell r="CW327">
            <v>2.5</v>
          </cell>
          <cell r="CX327">
            <v>0.6</v>
          </cell>
          <cell r="CY327">
            <v>-0.4</v>
          </cell>
          <cell r="CZ327">
            <v>-0.1</v>
          </cell>
          <cell r="DA327">
            <v>-4.3</v>
          </cell>
          <cell r="DB327">
            <v>2.6</v>
          </cell>
          <cell r="DC327">
            <v>-0.2</v>
          </cell>
          <cell r="DD327">
            <v>-0.5</v>
          </cell>
          <cell r="DE327">
            <v>-0.6</v>
          </cell>
          <cell r="DF327">
            <v>1.2</v>
          </cell>
          <cell r="DG327">
            <v>-0.5</v>
          </cell>
          <cell r="DH327">
            <v>-0.1</v>
          </cell>
          <cell r="DI327">
            <v>0</v>
          </cell>
          <cell r="DJ327">
            <v>0</v>
          </cell>
          <cell r="DK327">
            <v>0</v>
          </cell>
          <cell r="DL327">
            <v>-0.1</v>
          </cell>
          <cell r="DM327">
            <v>-0.1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EM327">
            <v>16</v>
          </cell>
          <cell r="EN327">
            <v>-13.399999999999997</v>
          </cell>
          <cell r="EO327">
            <v>-0.90000000000000069</v>
          </cell>
          <cell r="EP327">
            <v>-50.8</v>
          </cell>
          <cell r="EQ327">
            <v>-1.3000000000000003</v>
          </cell>
          <cell r="ER327">
            <v>-25.599999999999998</v>
          </cell>
          <cell r="ES327">
            <v>46.4</v>
          </cell>
        </row>
        <row r="328">
          <cell r="A328" t="str">
            <v>O&amp;M (Net of pass-throughs)</v>
          </cell>
          <cell r="B328" t="str">
            <v>Operations &amp; Maintenance Expense (incl clause)</v>
          </cell>
          <cell r="E328" t="str">
            <v>Operations &amp; Maintenance Expense</v>
          </cell>
          <cell r="F328" t="str">
            <v>6401300</v>
          </cell>
          <cell r="G328" t="str">
            <v>A_6401300</v>
          </cell>
          <cell r="H328" t="str">
            <v>Re-Stock Salvage</v>
          </cell>
          <cell r="J328">
            <v>0</v>
          </cell>
          <cell r="K328">
            <v>-2.6</v>
          </cell>
          <cell r="L328">
            <v>0</v>
          </cell>
          <cell r="M328">
            <v>0.1</v>
          </cell>
          <cell r="N328">
            <v>0.1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</row>
        <row r="329">
          <cell r="A329" t="str">
            <v>O&amp;M (Net of pass-throughs)</v>
          </cell>
          <cell r="B329" t="str">
            <v>Operations &amp; Maintenance Expense (incl clause)</v>
          </cell>
          <cell r="E329" t="str">
            <v>Operations &amp; Maintenance Expense</v>
          </cell>
          <cell r="F329" t="str">
            <v>6408999</v>
          </cell>
          <cell r="G329" t="str">
            <v>A_6408999</v>
          </cell>
          <cell r="H329" t="str">
            <v>Mat &amp; Supp - Expense Reclass</v>
          </cell>
          <cell r="J329">
            <v>1026.9000000000001</v>
          </cell>
          <cell r="K329">
            <v>0</v>
          </cell>
          <cell r="L329">
            <v>0</v>
          </cell>
          <cell r="M329">
            <v>-4</v>
          </cell>
          <cell r="N329">
            <v>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-959.7</v>
          </cell>
          <cell r="T329">
            <v>0.6</v>
          </cell>
          <cell r="U329">
            <v>12.1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-1.1000000000000001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-7</v>
          </cell>
          <cell r="AG329">
            <v>-0.9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-85.5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-452.8</v>
          </cell>
          <cell r="BN329">
            <v>452.9</v>
          </cell>
          <cell r="BO329">
            <v>0</v>
          </cell>
          <cell r="BP329">
            <v>0</v>
          </cell>
          <cell r="BQ329">
            <v>161.19999999999999</v>
          </cell>
          <cell r="BR329">
            <v>0</v>
          </cell>
          <cell r="BS329">
            <v>0</v>
          </cell>
          <cell r="BT329">
            <v>0</v>
          </cell>
          <cell r="BU329">
            <v>11.4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30.2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101.9</v>
          </cell>
          <cell r="CL329">
            <v>56.5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0.9</v>
          </cell>
          <cell r="CR329">
            <v>0</v>
          </cell>
          <cell r="CS329">
            <v>2.5</v>
          </cell>
          <cell r="CT329">
            <v>0</v>
          </cell>
          <cell r="CU329">
            <v>83.9</v>
          </cell>
          <cell r="CV329">
            <v>63.3</v>
          </cell>
          <cell r="CW329">
            <v>0</v>
          </cell>
          <cell r="CX329">
            <v>384.7</v>
          </cell>
          <cell r="CY329">
            <v>0</v>
          </cell>
          <cell r="CZ329">
            <v>19.100000000000001</v>
          </cell>
          <cell r="DA329">
            <v>0.2</v>
          </cell>
          <cell r="DB329">
            <v>0</v>
          </cell>
          <cell r="DC329">
            <v>0.1</v>
          </cell>
          <cell r="DD329">
            <v>1.2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22.8</v>
          </cell>
          <cell r="DJ329">
            <v>0</v>
          </cell>
          <cell r="DK329">
            <v>-8.4</v>
          </cell>
          <cell r="DL329">
            <v>8.4</v>
          </cell>
          <cell r="DM329">
            <v>0.2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EM329">
            <v>-9</v>
          </cell>
          <cell r="EN329">
            <v>-85.5</v>
          </cell>
          <cell r="EO329">
            <v>0</v>
          </cell>
          <cell r="EP329">
            <v>161.29999999999995</v>
          </cell>
          <cell r="EQ329">
            <v>41.6</v>
          </cell>
          <cell r="ER329">
            <v>158.4</v>
          </cell>
          <cell r="ES329">
            <v>554.6</v>
          </cell>
        </row>
        <row r="330">
          <cell r="A330" t="str">
            <v>O&amp;M (Net of pass-throughs)</v>
          </cell>
          <cell r="B330" t="str">
            <v>Operations &amp; Maintenance Expense (incl clause)</v>
          </cell>
          <cell r="E330" t="str">
            <v>Operations &amp; Maintenance Expense</v>
          </cell>
          <cell r="F330" t="str">
            <v>6408999</v>
          </cell>
          <cell r="G330" t="str">
            <v>A_S6408999</v>
          </cell>
          <cell r="H330" t="str">
            <v>Settled Materials &amp; Supplies Expense Reclass</v>
          </cell>
          <cell r="DN330">
            <v>-1</v>
          </cell>
          <cell r="DO330">
            <v>-1</v>
          </cell>
          <cell r="DP330">
            <v>-1</v>
          </cell>
          <cell r="DQ330">
            <v>-1</v>
          </cell>
          <cell r="DR330">
            <v>-1</v>
          </cell>
          <cell r="DS330">
            <v>-1</v>
          </cell>
          <cell r="DT330">
            <v>-1</v>
          </cell>
          <cell r="DU330">
            <v>-1</v>
          </cell>
          <cell r="DV330">
            <v>-1</v>
          </cell>
          <cell r="DW330">
            <v>-1</v>
          </cell>
          <cell r="DX330">
            <v>-1</v>
          </cell>
          <cell r="DY330">
            <v>-1</v>
          </cell>
        </row>
        <row r="331">
          <cell r="A331" t="str">
            <v>O&amp;M (Net of pass-throughs)</v>
          </cell>
          <cell r="B331" t="str">
            <v>Operations &amp; Maintenance Expense (incl clause)</v>
          </cell>
          <cell r="E331" t="str">
            <v>Operations &amp; Maintenance Expense</v>
          </cell>
          <cell r="F331" t="str">
            <v>6409000</v>
          </cell>
          <cell r="G331" t="str">
            <v>A_6409000</v>
          </cell>
          <cell r="H331" t="str">
            <v>Materials &amp; Supplies Expense sent to Balance Sheet</v>
          </cell>
          <cell r="J331">
            <v>-2758.6</v>
          </cell>
          <cell r="K331">
            <v>-920.8</v>
          </cell>
          <cell r="L331">
            <v>-1381.9</v>
          </cell>
          <cell r="M331">
            <v>-1695.4</v>
          </cell>
          <cell r="N331">
            <v>-1442.3</v>
          </cell>
          <cell r="O331">
            <v>-1466.9</v>
          </cell>
          <cell r="P331">
            <v>-2172.4</v>
          </cell>
          <cell r="Q331">
            <v>-1733.6</v>
          </cell>
          <cell r="R331">
            <v>-1202.7</v>
          </cell>
          <cell r="S331">
            <v>-1303.4000000000001</v>
          </cell>
          <cell r="T331">
            <v>-1409.1</v>
          </cell>
          <cell r="U331">
            <v>-2819.1</v>
          </cell>
          <cell r="V331">
            <v>-1005.3</v>
          </cell>
          <cell r="W331">
            <v>-817.7</v>
          </cell>
          <cell r="X331">
            <v>-1718.9</v>
          </cell>
          <cell r="Y331">
            <v>-1639.8</v>
          </cell>
          <cell r="Z331">
            <v>-2066.9</v>
          </cell>
          <cell r="AA331">
            <v>-2029.6</v>
          </cell>
          <cell r="AB331">
            <v>-1823.6</v>
          </cell>
          <cell r="AC331">
            <v>-1502.3</v>
          </cell>
          <cell r="AD331">
            <v>-2032.1</v>
          </cell>
          <cell r="AE331">
            <v>-2183.9</v>
          </cell>
          <cell r="AF331">
            <v>-3592.3</v>
          </cell>
          <cell r="AG331">
            <v>-4064.4</v>
          </cell>
          <cell r="AH331">
            <v>-706.6</v>
          </cell>
          <cell r="AI331">
            <v>-2118</v>
          </cell>
          <cell r="AJ331">
            <v>-2335.6999999999998</v>
          </cell>
          <cell r="AK331">
            <v>-1813.8</v>
          </cell>
          <cell r="AL331">
            <v>-1710</v>
          </cell>
          <cell r="AM331">
            <v>-3897.7</v>
          </cell>
          <cell r="AN331">
            <v>-1720.3</v>
          </cell>
          <cell r="AO331">
            <v>-2326.4</v>
          </cell>
          <cell r="AP331">
            <v>-2040.5</v>
          </cell>
          <cell r="AQ331">
            <v>-2089.4</v>
          </cell>
          <cell r="AR331">
            <v>-2279</v>
          </cell>
          <cell r="AS331">
            <v>-3067.5</v>
          </cell>
          <cell r="AT331">
            <v>-1462.8</v>
          </cell>
          <cell r="AU331">
            <v>-1672.1</v>
          </cell>
          <cell r="AV331">
            <v>-2252.1999999999998</v>
          </cell>
          <cell r="AW331">
            <v>-1510.8</v>
          </cell>
          <cell r="AX331">
            <v>-2967.5</v>
          </cell>
          <cell r="AY331">
            <v>-1959.9</v>
          </cell>
          <cell r="AZ331">
            <v>-2650.9</v>
          </cell>
          <cell r="BA331">
            <v>-3083.6</v>
          </cell>
          <cell r="BB331">
            <v>-2551.5</v>
          </cell>
          <cell r="BC331">
            <v>-2581</v>
          </cell>
          <cell r="BD331">
            <v>-1884.3</v>
          </cell>
          <cell r="BE331">
            <v>-3984.3</v>
          </cell>
          <cell r="BF331">
            <v>-1420.9</v>
          </cell>
          <cell r="BG331">
            <v>-1528.3</v>
          </cell>
          <cell r="BH331">
            <v>-3159.8</v>
          </cell>
          <cell r="BI331">
            <v>-1848.2</v>
          </cell>
          <cell r="BJ331">
            <v>-3369.4</v>
          </cell>
          <cell r="BK331">
            <v>-2385</v>
          </cell>
          <cell r="BL331">
            <v>-2278.6999999999998</v>
          </cell>
          <cell r="BM331">
            <v>-3450.4</v>
          </cell>
          <cell r="BN331">
            <v>-5360</v>
          </cell>
          <cell r="BO331">
            <v>-3085.8</v>
          </cell>
          <cell r="BP331">
            <v>-3452.2</v>
          </cell>
          <cell r="BQ331">
            <v>-3423.8</v>
          </cell>
          <cell r="BR331">
            <v>-2110.5</v>
          </cell>
          <cell r="BS331">
            <v>-2501.1999999999998</v>
          </cell>
          <cell r="BT331">
            <v>-3936.3</v>
          </cell>
          <cell r="BU331">
            <v>-2576.3000000000002</v>
          </cell>
          <cell r="BV331">
            <v>-3185.4</v>
          </cell>
          <cell r="BW331">
            <v>-3469.1</v>
          </cell>
          <cell r="BX331">
            <v>-4032.5</v>
          </cell>
          <cell r="BY331">
            <v>-2984.3</v>
          </cell>
          <cell r="BZ331">
            <v>-2704.5</v>
          </cell>
          <cell r="CA331">
            <v>-4211.6000000000004</v>
          </cell>
          <cell r="CB331">
            <v>-2498.1</v>
          </cell>
          <cell r="CC331">
            <v>-8113.1</v>
          </cell>
          <cell r="CD331">
            <v>-4576.5</v>
          </cell>
          <cell r="CE331">
            <v>-3074.6</v>
          </cell>
          <cell r="CF331">
            <v>-2823.7</v>
          </cell>
          <cell r="CG331">
            <v>-4456.8999999999996</v>
          </cell>
          <cell r="CH331">
            <v>-5733.9</v>
          </cell>
          <cell r="CI331">
            <v>-4787.2</v>
          </cell>
          <cell r="CJ331">
            <v>-4033.9</v>
          </cell>
          <cell r="CK331">
            <v>-8669.1</v>
          </cell>
          <cell r="CL331">
            <v>-6339.2</v>
          </cell>
          <cell r="CM331">
            <v>-4466.8</v>
          </cell>
          <cell r="CN331">
            <v>-5829.4</v>
          </cell>
          <cell r="CO331">
            <v>-5616.2</v>
          </cell>
          <cell r="CP331">
            <v>-4121.1000000000004</v>
          </cell>
          <cell r="CQ331">
            <v>-1691.8</v>
          </cell>
          <cell r="CR331">
            <v>-2705.3</v>
          </cell>
          <cell r="CS331">
            <v>-3531.8</v>
          </cell>
          <cell r="CT331">
            <v>-2762</v>
          </cell>
          <cell r="CU331">
            <v>-4712</v>
          </cell>
          <cell r="CV331">
            <v>-11371.4</v>
          </cell>
          <cell r="CW331">
            <v>-4911.6000000000004</v>
          </cell>
          <cell r="CX331">
            <v>-4199.3999999999996</v>
          </cell>
          <cell r="CY331">
            <v>-4901.8</v>
          </cell>
          <cell r="CZ331">
            <v>-4179.3</v>
          </cell>
          <cell r="DA331">
            <v>-7019.6</v>
          </cell>
          <cell r="DB331">
            <v>-3518.7</v>
          </cell>
          <cell r="DC331">
            <v>-4035.8</v>
          </cell>
          <cell r="DD331">
            <v>-5635.5</v>
          </cell>
          <cell r="DE331">
            <v>-3691.7</v>
          </cell>
          <cell r="DF331">
            <v>-3751.6</v>
          </cell>
          <cell r="DG331">
            <v>-5347.8</v>
          </cell>
          <cell r="DH331">
            <v>-4090.2</v>
          </cell>
          <cell r="DI331">
            <v>-5305.2</v>
          </cell>
          <cell r="DJ331">
            <v>-6301</v>
          </cell>
          <cell r="DK331">
            <v>-4348.6000000000004</v>
          </cell>
          <cell r="DL331">
            <v>-4198.8999999999996</v>
          </cell>
          <cell r="DM331">
            <v>-8809.6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EM331">
            <v>-24476.800000000003</v>
          </cell>
          <cell r="EN331">
            <v>-26104.9</v>
          </cell>
          <cell r="EO331">
            <v>-28560.899999999998</v>
          </cell>
          <cell r="EP331">
            <v>-34762.5</v>
          </cell>
          <cell r="EQ331">
            <v>-42322.899999999994</v>
          </cell>
          <cell r="ER331">
            <v>-60407.4</v>
          </cell>
          <cell r="ES331">
            <v>-56107.100000000006</v>
          </cell>
        </row>
        <row r="332">
          <cell r="A332" t="str">
            <v>O&amp;M (Net of pass-throughs)</v>
          </cell>
          <cell r="B332" t="str">
            <v>Operations &amp; Maintenance Expense (incl clause)</v>
          </cell>
          <cell r="E332" t="str">
            <v>Operations &amp; Maintenance Expense</v>
          </cell>
          <cell r="F332" t="str">
            <v>6400010</v>
          </cell>
          <cell r="G332" t="str">
            <v>A_S6400010</v>
          </cell>
          <cell r="H332" t="str">
            <v>Settled Mat &amp; Supp - Furniture &amp; Computer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5.6</v>
          </cell>
          <cell r="DO332">
            <v>5.6</v>
          </cell>
          <cell r="DP332">
            <v>3.2</v>
          </cell>
          <cell r="DQ332">
            <v>3.7</v>
          </cell>
          <cell r="DR332">
            <v>6.2</v>
          </cell>
          <cell r="DS332">
            <v>3.3</v>
          </cell>
          <cell r="DT332">
            <v>3.4</v>
          </cell>
          <cell r="DU332">
            <v>3.3</v>
          </cell>
          <cell r="DV332">
            <v>3.3</v>
          </cell>
          <cell r="DW332">
            <v>3.4</v>
          </cell>
          <cell r="DX332">
            <v>3.3</v>
          </cell>
          <cell r="DY332">
            <v>3.3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A333" t="str">
            <v>O&amp;M (Net of pass-throughs)</v>
          </cell>
          <cell r="B333" t="str">
            <v>Operations &amp; Maintenance Expense (incl clause)</v>
          </cell>
          <cell r="E333" t="str">
            <v>Operations &amp; Maintenance Expense</v>
          </cell>
          <cell r="F333" t="str">
            <v>6400020</v>
          </cell>
          <cell r="G333" t="str">
            <v>A_S6400020</v>
          </cell>
          <cell r="H333" t="str">
            <v>Settled Mat &amp; Supp - General and Office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12</v>
          </cell>
          <cell r="DO333">
            <v>11.8</v>
          </cell>
          <cell r="DP333">
            <v>13.2</v>
          </cell>
          <cell r="DQ333">
            <v>12.1</v>
          </cell>
          <cell r="DR333">
            <v>11.8</v>
          </cell>
          <cell r="DS333">
            <v>14.9</v>
          </cell>
          <cell r="DT333">
            <v>15.8</v>
          </cell>
          <cell r="DU333">
            <v>14.4</v>
          </cell>
          <cell r="DV333">
            <v>15.2</v>
          </cell>
          <cell r="DW333">
            <v>14.1</v>
          </cell>
          <cell r="DX333">
            <v>15</v>
          </cell>
          <cell r="DY333">
            <v>15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A334" t="str">
            <v>O&amp;M (Net of pass-throughs)</v>
          </cell>
          <cell r="B334" t="str">
            <v>Operations &amp; Maintenance Expense (incl clause)</v>
          </cell>
          <cell r="E334" t="str">
            <v>Operations &amp; Maintenance Expense</v>
          </cell>
          <cell r="F334" t="str">
            <v>6400050</v>
          </cell>
          <cell r="G334" t="str">
            <v>A_S6400050</v>
          </cell>
          <cell r="H334" t="str">
            <v>Settled Mat &amp; Supp - Lubricants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A335" t="str">
            <v>O&amp;M (Net of pass-throughs)</v>
          </cell>
          <cell r="B335" t="str">
            <v>Operations &amp; Maintenance Expense (incl clause)</v>
          </cell>
          <cell r="E335" t="str">
            <v>Operations &amp; Maintenance Expense</v>
          </cell>
          <cell r="F335" t="str">
            <v>6400070</v>
          </cell>
          <cell r="G335" t="str">
            <v>A_S6400070</v>
          </cell>
          <cell r="H335" t="str">
            <v>Settled Mat &amp; Supp - Safety/First Aid Supplies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1.7</v>
          </cell>
          <cell r="DR335">
            <v>0</v>
          </cell>
          <cell r="DS335">
            <v>0.5</v>
          </cell>
          <cell r="DT335">
            <v>0.5</v>
          </cell>
          <cell r="DU335">
            <v>0.5</v>
          </cell>
          <cell r="DV335">
            <v>0.5</v>
          </cell>
          <cell r="DW335">
            <v>0.5</v>
          </cell>
          <cell r="DX335">
            <v>0.5</v>
          </cell>
          <cell r="DY335">
            <v>0.5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 t="str">
            <v>O&amp;M (Net of pass-throughs)</v>
          </cell>
          <cell r="B336" t="str">
            <v>Operations &amp; Maintenance Expense (incl clause)</v>
          </cell>
          <cell r="E336" t="str">
            <v>Operations &amp; Maintenance Expense</v>
          </cell>
          <cell r="F336" t="str">
            <v>6400080</v>
          </cell>
          <cell r="G336" t="str">
            <v>A_S6400080</v>
          </cell>
          <cell r="H336" t="str">
            <v>Settled Mat &amp; Supp - Vehicle Fuel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</row>
        <row r="337">
          <cell r="A337" t="str">
            <v>O&amp;M (Net of pass-throughs)</v>
          </cell>
          <cell r="B337" t="str">
            <v>Operations &amp; Maintenance Expense (incl clause)</v>
          </cell>
          <cell r="E337" t="str">
            <v>Operations &amp; Maintenance Expense</v>
          </cell>
          <cell r="F337" t="str">
            <v>6400100</v>
          </cell>
          <cell r="G337" t="str">
            <v>A_S6400100</v>
          </cell>
          <cell r="H337" t="str">
            <v>Settled Mat &amp; Supp - Outside Material Purchases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230.9</v>
          </cell>
          <cell r="DO337">
            <v>231.4</v>
          </cell>
          <cell r="DP337">
            <v>231.3</v>
          </cell>
          <cell r="DQ337">
            <v>232.4</v>
          </cell>
          <cell r="DR337">
            <v>231.3</v>
          </cell>
          <cell r="DS337">
            <v>231.3</v>
          </cell>
          <cell r="DT337">
            <v>231.3</v>
          </cell>
          <cell r="DU337">
            <v>230.8</v>
          </cell>
          <cell r="DV337">
            <v>231.3</v>
          </cell>
          <cell r="DW337">
            <v>231.3</v>
          </cell>
          <cell r="DX337">
            <v>230.8</v>
          </cell>
          <cell r="DY337">
            <v>231.3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A338" t="str">
            <v>O&amp;M (Net of pass-throughs)</v>
          </cell>
          <cell r="B338" t="str">
            <v>Operations &amp; Maintenance Expense (incl clause)</v>
          </cell>
          <cell r="E338" t="str">
            <v>Operations &amp; Maintenance Expense</v>
          </cell>
          <cell r="F338" t="str">
            <v>6400510</v>
          </cell>
          <cell r="G338" t="str">
            <v>A_S6400510</v>
          </cell>
          <cell r="H338" t="str">
            <v>Settled Mat &amp; Supp - Small Tools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A339" t="str">
            <v>O&amp;M (Net of pass-throughs)</v>
          </cell>
          <cell r="B339" t="str">
            <v>Operations &amp; Maintenance Expense (incl clause)</v>
          </cell>
          <cell r="E339" t="str">
            <v>Operations &amp; Maintenance Expense</v>
          </cell>
          <cell r="F339" t="str">
            <v>6401000</v>
          </cell>
          <cell r="G339" t="str">
            <v>A_S6401000</v>
          </cell>
          <cell r="H339" t="str">
            <v>Settled M&amp;S Inventory Issues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A340" t="str">
            <v>O&amp;M (Net of pass-throughs)</v>
          </cell>
          <cell r="B340" t="str">
            <v>Operations &amp; Maintenance Expense (incl clause)</v>
          </cell>
          <cell r="E340" t="str">
            <v>Operations &amp; Maintenance Expense</v>
          </cell>
          <cell r="F340" t="str">
            <v>6400000</v>
          </cell>
          <cell r="G340" t="str">
            <v>A_S6400000</v>
          </cell>
          <cell r="H340" t="str">
            <v>Settled Materials &amp; Supplies Expense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3.6</v>
          </cell>
          <cell r="DO340">
            <v>3.6</v>
          </cell>
          <cell r="DP340">
            <v>3.7</v>
          </cell>
          <cell r="DQ340">
            <v>12.8</v>
          </cell>
          <cell r="DR340">
            <v>3.6</v>
          </cell>
          <cell r="DS340">
            <v>12.9</v>
          </cell>
          <cell r="DT340">
            <v>3.6</v>
          </cell>
          <cell r="DU340">
            <v>3.6</v>
          </cell>
          <cell r="DV340">
            <v>3.7</v>
          </cell>
          <cell r="DW340">
            <v>12.8</v>
          </cell>
          <cell r="DX340">
            <v>3.6</v>
          </cell>
          <cell r="DY340">
            <v>3.7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A341" t="str">
            <v>O&amp;M (Net of pass-throughs)</v>
          </cell>
          <cell r="B341" t="str">
            <v>Operations &amp; Maintenance Expense (incl clause)</v>
          </cell>
          <cell r="E341" t="str">
            <v>Operations &amp; Maintenance Expense</v>
          </cell>
          <cell r="F341" t="str">
            <v>6400000</v>
          </cell>
          <cell r="G341" t="str">
            <v>A_P6400000</v>
          </cell>
          <cell r="H341" t="str">
            <v>Planned Materials &amp; Supplies Expense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F342" t="str">
            <v>640</v>
          </cell>
          <cell r="G342">
            <v>640</v>
          </cell>
          <cell r="J342">
            <v>285.30000000000064</v>
          </cell>
          <cell r="K342">
            <v>259.40000000000032</v>
          </cell>
          <cell r="L342">
            <v>316.39999999999986</v>
          </cell>
          <cell r="M342">
            <v>225.09999999999968</v>
          </cell>
          <cell r="N342">
            <v>295.79999999999973</v>
          </cell>
          <cell r="O342">
            <v>261.39999999999964</v>
          </cell>
          <cell r="P342">
            <v>280.29999999999973</v>
          </cell>
          <cell r="Q342">
            <v>250.10000000000014</v>
          </cell>
          <cell r="R342">
            <v>280.79999999999995</v>
          </cell>
          <cell r="S342">
            <v>246.40000000000032</v>
          </cell>
          <cell r="T342">
            <v>108.19999999999982</v>
          </cell>
          <cell r="U342">
            <v>258.30000000000018</v>
          </cell>
          <cell r="V342">
            <v>187.10000000000014</v>
          </cell>
          <cell r="W342">
            <v>180.79999999999995</v>
          </cell>
          <cell r="X342">
            <v>225.29999999999995</v>
          </cell>
          <cell r="Y342">
            <v>315.30000000000018</v>
          </cell>
          <cell r="Z342">
            <v>209.09999999999991</v>
          </cell>
          <cell r="AA342">
            <v>344.29999999999973</v>
          </cell>
          <cell r="AB342">
            <v>339.40000000000009</v>
          </cell>
          <cell r="AC342">
            <v>178.40000000000009</v>
          </cell>
          <cell r="AD342">
            <v>345.80000000000018</v>
          </cell>
          <cell r="AE342">
            <v>291.09999999999991</v>
          </cell>
          <cell r="AF342">
            <v>302.79999999999973</v>
          </cell>
          <cell r="AG342">
            <v>436.29999999999973</v>
          </cell>
          <cell r="AH342">
            <v>154.30000000000007</v>
          </cell>
          <cell r="AI342">
            <v>253.20000000000027</v>
          </cell>
          <cell r="AJ342">
            <v>227.5</v>
          </cell>
          <cell r="AK342">
            <v>253.89999999999986</v>
          </cell>
          <cell r="AL342">
            <v>242.39999999999986</v>
          </cell>
          <cell r="AM342">
            <v>525.5</v>
          </cell>
          <cell r="AN342">
            <v>155.10000000000036</v>
          </cell>
          <cell r="AO342">
            <v>246.40000000000009</v>
          </cell>
          <cell r="AP342">
            <v>205</v>
          </cell>
          <cell r="AQ342">
            <v>349.19999999999982</v>
          </cell>
          <cell r="AR342">
            <v>351.10000000000036</v>
          </cell>
          <cell r="AS342">
            <v>495.79999999999927</v>
          </cell>
          <cell r="AT342">
            <v>47.000000000000227</v>
          </cell>
          <cell r="AU342">
            <v>394.90000000000055</v>
          </cell>
          <cell r="AV342">
            <v>245.30000000000018</v>
          </cell>
          <cell r="AW342">
            <v>86.700000000000045</v>
          </cell>
          <cell r="AX342">
            <v>186.80000000000018</v>
          </cell>
          <cell r="AY342">
            <v>499.70000000000027</v>
          </cell>
          <cell r="AZ342">
            <v>-50.600000000000364</v>
          </cell>
          <cell r="BA342">
            <v>158.40000000000009</v>
          </cell>
          <cell r="BB342">
            <v>170.5</v>
          </cell>
          <cell r="BC342">
            <v>196.90000000000055</v>
          </cell>
          <cell r="BD342">
            <v>342.49999999999977</v>
          </cell>
          <cell r="BE342">
            <v>74.399999999999181</v>
          </cell>
          <cell r="BF342">
            <v>278.30000000000018</v>
          </cell>
          <cell r="BG342">
            <v>176.5</v>
          </cell>
          <cell r="BH342">
            <v>278.89999999999964</v>
          </cell>
          <cell r="BI342">
            <v>265.19999999999959</v>
          </cell>
          <cell r="BJ342">
            <v>400.69999999999982</v>
          </cell>
          <cell r="BK342">
            <v>207.29999999999973</v>
          </cell>
          <cell r="BL342">
            <v>205.90000000000009</v>
          </cell>
          <cell r="BM342">
            <v>129.39999999999964</v>
          </cell>
          <cell r="BN342">
            <v>145.5</v>
          </cell>
          <cell r="BO342">
            <v>165.79999999999973</v>
          </cell>
          <cell r="BP342">
            <v>234.49999999999955</v>
          </cell>
          <cell r="BQ342">
            <v>313.69999999999936</v>
          </cell>
          <cell r="BR342">
            <v>172.00000000000045</v>
          </cell>
          <cell r="BS342">
            <v>242.30000000000018</v>
          </cell>
          <cell r="BT342">
            <v>199.49999999999909</v>
          </cell>
          <cell r="BU342">
            <v>260.29999999999973</v>
          </cell>
          <cell r="BV342">
            <v>181.20000000000027</v>
          </cell>
          <cell r="BW342">
            <v>193.70000000000027</v>
          </cell>
          <cell r="BX342">
            <v>210.39999999999964</v>
          </cell>
          <cell r="BY342">
            <v>185.30000000000018</v>
          </cell>
          <cell r="BZ342">
            <v>256.90000000000009</v>
          </cell>
          <cell r="CA342">
            <v>220.09999999999945</v>
          </cell>
          <cell r="CB342">
            <v>194.59999999999991</v>
          </cell>
          <cell r="CC342">
            <v>493.80000000000109</v>
          </cell>
          <cell r="CD342">
            <v>208.80000000000018</v>
          </cell>
          <cell r="CE342">
            <v>158.69999999999982</v>
          </cell>
          <cell r="CF342">
            <v>284.20000000000027</v>
          </cell>
          <cell r="CG342">
            <v>327.69999999999982</v>
          </cell>
          <cell r="CH342">
            <v>714.19999999999982</v>
          </cell>
          <cell r="CI342">
            <v>251.90000000000055</v>
          </cell>
          <cell r="CJ342">
            <v>277.79999999999973</v>
          </cell>
          <cell r="CK342">
            <v>313.79999999999927</v>
          </cell>
          <cell r="CL342">
            <v>269.40000000000055</v>
          </cell>
          <cell r="CM342">
            <v>263.79999999999927</v>
          </cell>
          <cell r="CN342">
            <v>238.40000000000236</v>
          </cell>
          <cell r="CO342">
            <v>298.40000000000055</v>
          </cell>
          <cell r="CP342">
            <v>110.69999999999982</v>
          </cell>
          <cell r="CQ342">
            <v>851.49999999999977</v>
          </cell>
          <cell r="CR342">
            <v>528.19999999999982</v>
          </cell>
          <cell r="CS342">
            <v>251.00000000000045</v>
          </cell>
          <cell r="CT342">
            <v>639.19999999999936</v>
          </cell>
          <cell r="CU342">
            <v>787.69999999999982</v>
          </cell>
          <cell r="CV342">
            <v>465.09999999999854</v>
          </cell>
          <cell r="CW342">
            <v>227.39999999999964</v>
          </cell>
          <cell r="CX342">
            <v>159.40000000000055</v>
          </cell>
          <cell r="CY342">
            <v>401.20000000000073</v>
          </cell>
          <cell r="CZ342">
            <v>800.70000000000073</v>
          </cell>
          <cell r="DA342">
            <v>553.89999999999873</v>
          </cell>
          <cell r="DB342">
            <v>216.09999999999991</v>
          </cell>
          <cell r="DC342">
            <v>520.50000000000091</v>
          </cell>
          <cell r="DD342">
            <v>798.60000000000036</v>
          </cell>
          <cell r="DE342">
            <v>260.90000000000055</v>
          </cell>
          <cell r="DF342">
            <v>182.20000000000027</v>
          </cell>
          <cell r="DG342">
            <v>82.899999999999636</v>
          </cell>
          <cell r="DH342">
            <v>257.99999999999909</v>
          </cell>
          <cell r="DI342">
            <v>353.60000000000036</v>
          </cell>
          <cell r="DJ342">
            <v>120.40000000000055</v>
          </cell>
          <cell r="DK342">
            <v>217.69999999999982</v>
          </cell>
          <cell r="DL342">
            <v>191.69999999999982</v>
          </cell>
          <cell r="DM342">
            <v>964.60000000000036</v>
          </cell>
          <cell r="DN342">
            <v>255.6</v>
          </cell>
          <cell r="DO342">
            <v>255.9</v>
          </cell>
          <cell r="DP342">
            <v>254.9</v>
          </cell>
          <cell r="DQ342">
            <v>266.60000000000002</v>
          </cell>
          <cell r="DR342">
            <v>256.8</v>
          </cell>
          <cell r="DS342">
            <v>266.89999999999998</v>
          </cell>
          <cell r="DT342">
            <v>258.90000000000003</v>
          </cell>
          <cell r="DU342">
            <v>256.90000000000003</v>
          </cell>
          <cell r="DV342">
            <v>258.3</v>
          </cell>
          <cell r="DW342">
            <v>267.40000000000003</v>
          </cell>
          <cell r="DX342">
            <v>258.5</v>
          </cell>
          <cell r="DY342">
            <v>259.40000000000003</v>
          </cell>
          <cell r="EM342">
            <v>3355.6999999999994</v>
          </cell>
          <cell r="EN342">
            <v>3459.4</v>
          </cell>
          <cell r="EO342">
            <v>2352.5000000000005</v>
          </cell>
          <cell r="EP342">
            <v>2801.6999999999975</v>
          </cell>
          <cell r="EQ342">
            <v>2810.1000000000004</v>
          </cell>
          <cell r="ER342">
            <v>3607.1000000000022</v>
          </cell>
          <cell r="ES342">
            <v>5775.9999999999982</v>
          </cell>
        </row>
        <row r="343">
          <cell r="A343" t="str">
            <v>O&amp;M (Net of pass-throughs)</v>
          </cell>
          <cell r="B343" t="str">
            <v>Operations &amp; Maintenance Expense (incl clause)</v>
          </cell>
          <cell r="E343" t="str">
            <v>Operations &amp; Maintenance Expense</v>
          </cell>
          <cell r="F343" t="str">
            <v>6500010</v>
          </cell>
          <cell r="G343" t="str">
            <v>A_6500010</v>
          </cell>
          <cell r="H343" t="str">
            <v>Transportation - Vehicle expense</v>
          </cell>
          <cell r="J343">
            <v>82.3</v>
          </cell>
          <cell r="K343">
            <v>82.8</v>
          </cell>
          <cell r="L343">
            <v>98.2</v>
          </cell>
          <cell r="M343">
            <v>66.599999999999994</v>
          </cell>
          <cell r="N343">
            <v>91.2</v>
          </cell>
          <cell r="O343">
            <v>92.6</v>
          </cell>
          <cell r="P343">
            <v>83.1</v>
          </cell>
          <cell r="Q343">
            <v>115.1</v>
          </cell>
          <cell r="R343">
            <v>59.2</v>
          </cell>
          <cell r="S343">
            <v>162.6</v>
          </cell>
          <cell r="T343">
            <v>61.8</v>
          </cell>
          <cell r="U343">
            <v>65.8</v>
          </cell>
          <cell r="V343">
            <v>50.6</v>
          </cell>
          <cell r="W343">
            <v>66.5</v>
          </cell>
          <cell r="X343">
            <v>63.2</v>
          </cell>
          <cell r="Y343">
            <v>77.8</v>
          </cell>
          <cell r="Z343">
            <v>119</v>
          </cell>
          <cell r="AA343">
            <v>71.599999999999994</v>
          </cell>
          <cell r="AB343">
            <v>80.7</v>
          </cell>
          <cell r="AC343">
            <v>69.900000000000006</v>
          </cell>
          <cell r="AD343">
            <v>76.5</v>
          </cell>
          <cell r="AE343">
            <v>63.6</v>
          </cell>
          <cell r="AF343">
            <v>119.3</v>
          </cell>
          <cell r="AG343">
            <v>73.099999999999994</v>
          </cell>
          <cell r="AH343">
            <v>13.3</v>
          </cell>
          <cell r="AI343">
            <v>65.7</v>
          </cell>
          <cell r="AJ343">
            <v>110</v>
          </cell>
          <cell r="AK343">
            <v>86.8</v>
          </cell>
          <cell r="AL343">
            <v>77.900000000000006</v>
          </cell>
          <cell r="AM343">
            <v>80.3</v>
          </cell>
          <cell r="AN343">
            <v>80.400000000000006</v>
          </cell>
          <cell r="AO343">
            <v>84.5</v>
          </cell>
          <cell r="AP343">
            <v>78.400000000000006</v>
          </cell>
          <cell r="AQ343">
            <v>166.1</v>
          </cell>
          <cell r="AR343">
            <v>67</v>
          </cell>
          <cell r="AS343">
            <v>102.3</v>
          </cell>
          <cell r="AT343">
            <v>72.900000000000006</v>
          </cell>
          <cell r="AU343">
            <v>92.2</v>
          </cell>
          <cell r="AV343">
            <v>129.4</v>
          </cell>
          <cell r="AW343">
            <v>104.8</v>
          </cell>
          <cell r="AX343">
            <v>58.6</v>
          </cell>
          <cell r="AY343">
            <v>103.8</v>
          </cell>
          <cell r="AZ343">
            <v>78</v>
          </cell>
          <cell r="BA343">
            <v>73.7</v>
          </cell>
          <cell r="BB343">
            <v>85.2</v>
          </cell>
          <cell r="BC343">
            <v>70.400000000000006</v>
          </cell>
          <cell r="BD343">
            <v>87.2</v>
          </cell>
          <cell r="BE343">
            <v>126.4</v>
          </cell>
          <cell r="BF343">
            <v>52.4</v>
          </cell>
          <cell r="BG343">
            <v>85.2</v>
          </cell>
          <cell r="BH343">
            <v>76.5</v>
          </cell>
          <cell r="BI343">
            <v>60.1</v>
          </cell>
          <cell r="BJ343">
            <v>136.80000000000001</v>
          </cell>
          <cell r="BK343">
            <v>56.5</v>
          </cell>
          <cell r="BL343">
            <v>111.3</v>
          </cell>
          <cell r="BM343">
            <v>96.8</v>
          </cell>
          <cell r="BN343">
            <v>52.2</v>
          </cell>
          <cell r="BO343">
            <v>112.3</v>
          </cell>
          <cell r="BP343">
            <v>83.8</v>
          </cell>
          <cell r="BQ343">
            <v>129.9</v>
          </cell>
          <cell r="BR343">
            <v>61.2</v>
          </cell>
          <cell r="BS343">
            <v>111.7</v>
          </cell>
          <cell r="BT343">
            <v>125.5</v>
          </cell>
          <cell r="BU343">
            <v>82.3</v>
          </cell>
          <cell r="BV343">
            <v>92.5</v>
          </cell>
          <cell r="BW343">
            <v>86.6</v>
          </cell>
          <cell r="BX343">
            <v>93.8</v>
          </cell>
          <cell r="BY343">
            <v>108.4</v>
          </cell>
          <cell r="BZ343">
            <v>61.7</v>
          </cell>
          <cell r="CA343">
            <v>106.9</v>
          </cell>
          <cell r="CB343">
            <v>99.6</v>
          </cell>
          <cell r="CC343">
            <v>126.8</v>
          </cell>
          <cell r="CD343">
            <v>63.8</v>
          </cell>
          <cell r="CE343">
            <v>90.9</v>
          </cell>
          <cell r="CF343">
            <v>77.8</v>
          </cell>
          <cell r="CG343">
            <v>106.8</v>
          </cell>
          <cell r="CH343">
            <v>70.599999999999994</v>
          </cell>
          <cell r="CI343">
            <v>46.8</v>
          </cell>
          <cell r="CJ343">
            <v>93.7</v>
          </cell>
          <cell r="CK343">
            <v>95.9</v>
          </cell>
          <cell r="CL343">
            <v>69.3</v>
          </cell>
          <cell r="CM343">
            <v>81.400000000000006</v>
          </cell>
          <cell r="CN343">
            <v>71.099999999999994</v>
          </cell>
          <cell r="CO343">
            <v>125.8</v>
          </cell>
          <cell r="CP343">
            <v>42.6</v>
          </cell>
          <cell r="CQ343">
            <v>104.9</v>
          </cell>
          <cell r="CR343">
            <v>67.5</v>
          </cell>
          <cell r="CS343">
            <v>119</v>
          </cell>
          <cell r="CT343">
            <v>62.3</v>
          </cell>
          <cell r="CU343">
            <v>128.69999999999999</v>
          </cell>
          <cell r="CV343">
            <v>176.3</v>
          </cell>
          <cell r="CW343">
            <v>90.6</v>
          </cell>
          <cell r="CX343">
            <v>71.099999999999994</v>
          </cell>
          <cell r="CY343">
            <v>155.69999999999999</v>
          </cell>
          <cell r="CZ343">
            <v>93.6</v>
          </cell>
          <cell r="DA343">
            <v>103.3</v>
          </cell>
          <cell r="DB343">
            <v>90.6</v>
          </cell>
          <cell r="DC343">
            <v>81.3</v>
          </cell>
          <cell r="DD343">
            <v>137.6</v>
          </cell>
          <cell r="DE343">
            <v>211.5</v>
          </cell>
          <cell r="DF343">
            <v>54.4</v>
          </cell>
          <cell r="DG343">
            <v>61.8</v>
          </cell>
          <cell r="DH343">
            <v>72.2</v>
          </cell>
          <cell r="DI343">
            <v>135.1</v>
          </cell>
          <cell r="DJ343">
            <v>102.8</v>
          </cell>
          <cell r="DK343">
            <v>167.4</v>
          </cell>
          <cell r="DL343">
            <v>232</v>
          </cell>
          <cell r="DM343">
            <v>130.19999999999999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EM343">
            <v>931.80000000000007</v>
          </cell>
          <cell r="EN343">
            <v>1012.7</v>
          </cell>
          <cell r="EO343">
            <v>1082.6000000000001</v>
          </cell>
          <cell r="EP343">
            <v>1053.8</v>
          </cell>
          <cell r="EQ343">
            <v>1156.9999999999998</v>
          </cell>
          <cell r="ER343">
            <v>993.89999999999986</v>
          </cell>
          <cell r="ES343">
            <v>1215.5999999999999</v>
          </cell>
        </row>
        <row r="344">
          <cell r="A344" t="str">
            <v>O&amp;M (Net of pass-throughs)</v>
          </cell>
          <cell r="B344" t="str">
            <v>Operations &amp; Maintenance Expense (incl clause)</v>
          </cell>
          <cell r="E344" t="str">
            <v>Operations &amp; Maintenance Expense</v>
          </cell>
          <cell r="F344" t="str">
            <v>6500015</v>
          </cell>
          <cell r="G344" t="str">
            <v>A_6500015</v>
          </cell>
          <cell r="H344" t="str">
            <v>Transportation - Vehicle Gas</v>
          </cell>
          <cell r="J344">
            <v>102.2</v>
          </cell>
          <cell r="K344">
            <v>108.5</v>
          </cell>
          <cell r="L344">
            <v>110.5</v>
          </cell>
          <cell r="M344">
            <v>85.7</v>
          </cell>
          <cell r="N344">
            <v>118.5</v>
          </cell>
          <cell r="O344">
            <v>115.4</v>
          </cell>
          <cell r="P344">
            <v>137.1</v>
          </cell>
          <cell r="Q344">
            <v>121</v>
          </cell>
          <cell r="R344">
            <v>120.4</v>
          </cell>
          <cell r="S344">
            <v>138.19999999999999</v>
          </cell>
          <cell r="T344">
            <v>140.69999999999999</v>
          </cell>
          <cell r="U344">
            <v>99.6</v>
          </cell>
          <cell r="V344">
            <v>97.8</v>
          </cell>
          <cell r="W344">
            <v>87.7</v>
          </cell>
          <cell r="X344">
            <v>84.4</v>
          </cell>
          <cell r="Y344">
            <v>109.9</v>
          </cell>
          <cell r="Z344">
            <v>108.3</v>
          </cell>
          <cell r="AA344">
            <v>107.3</v>
          </cell>
          <cell r="AB344">
            <v>120.5</v>
          </cell>
          <cell r="AC344">
            <v>101.6</v>
          </cell>
          <cell r="AD344">
            <v>100.3</v>
          </cell>
          <cell r="AE344">
            <v>98.8</v>
          </cell>
          <cell r="AF344">
            <v>102.7</v>
          </cell>
          <cell r="AG344">
            <v>85.2</v>
          </cell>
          <cell r="AH344">
            <v>86.3</v>
          </cell>
          <cell r="AI344">
            <v>84.3</v>
          </cell>
          <cell r="AJ344">
            <v>90.7</v>
          </cell>
          <cell r="AK344">
            <v>85.9</v>
          </cell>
          <cell r="AL344">
            <v>90.8</v>
          </cell>
          <cell r="AM344">
            <v>99.1</v>
          </cell>
          <cell r="AN344">
            <v>108.6</v>
          </cell>
          <cell r="AO344">
            <v>92.2</v>
          </cell>
          <cell r="AP344">
            <v>106.8</v>
          </cell>
          <cell r="AQ344">
            <v>104.6</v>
          </cell>
          <cell r="AR344">
            <v>120.5</v>
          </cell>
          <cell r="AS344">
            <v>93</v>
          </cell>
          <cell r="AT344">
            <v>85.7</v>
          </cell>
          <cell r="AU344">
            <v>109.5</v>
          </cell>
          <cell r="AV344">
            <v>99</v>
          </cell>
          <cell r="AW344">
            <v>99.7</v>
          </cell>
          <cell r="AX344">
            <v>104.6</v>
          </cell>
          <cell r="AY344">
            <v>119.5</v>
          </cell>
          <cell r="AZ344">
            <v>109.2</v>
          </cell>
          <cell r="BA344">
            <v>98.5</v>
          </cell>
          <cell r="BB344">
            <v>127.8</v>
          </cell>
          <cell r="BC344">
            <v>114.1</v>
          </cell>
          <cell r="BD344">
            <v>118.8</v>
          </cell>
          <cell r="BE344">
            <v>111.1</v>
          </cell>
          <cell r="BF344">
            <v>97.7</v>
          </cell>
          <cell r="BG344">
            <v>130</v>
          </cell>
          <cell r="BH344">
            <v>119</v>
          </cell>
          <cell r="BI344">
            <v>121.2</v>
          </cell>
          <cell r="BJ344">
            <v>127.5</v>
          </cell>
          <cell r="BK344">
            <v>134.30000000000001</v>
          </cell>
          <cell r="BL344">
            <v>134.9</v>
          </cell>
          <cell r="BM344">
            <v>159</v>
          </cell>
          <cell r="BN344">
            <v>134</v>
          </cell>
          <cell r="BO344">
            <v>128.69999999999999</v>
          </cell>
          <cell r="BP344">
            <v>147.1</v>
          </cell>
          <cell r="BQ344">
            <v>131</v>
          </cell>
          <cell r="BR344">
            <v>98.4</v>
          </cell>
          <cell r="BS344">
            <v>138.80000000000001</v>
          </cell>
          <cell r="BT344">
            <v>89.6</v>
          </cell>
          <cell r="BU344">
            <v>125</v>
          </cell>
          <cell r="BV344">
            <v>129.4</v>
          </cell>
          <cell r="BW344">
            <v>135.5</v>
          </cell>
          <cell r="BX344">
            <v>115.1</v>
          </cell>
          <cell r="BY344">
            <v>140.1</v>
          </cell>
          <cell r="BZ344">
            <v>140.30000000000001</v>
          </cell>
          <cell r="CA344">
            <v>121.2</v>
          </cell>
          <cell r="CB344">
            <v>141.30000000000001</v>
          </cell>
          <cell r="CC344">
            <v>113.4</v>
          </cell>
          <cell r="CD344">
            <v>117.8</v>
          </cell>
          <cell r="CE344">
            <v>135.30000000000001</v>
          </cell>
          <cell r="CF344">
            <v>124.4</v>
          </cell>
          <cell r="CG344">
            <v>105.9</v>
          </cell>
          <cell r="CH344">
            <v>85.7</v>
          </cell>
          <cell r="CI344">
            <v>82</v>
          </cell>
          <cell r="CJ344">
            <v>106.8</v>
          </cell>
          <cell r="CK344">
            <v>111.1</v>
          </cell>
          <cell r="CL344">
            <v>107.5</v>
          </cell>
          <cell r="CM344">
            <v>114.6</v>
          </cell>
          <cell r="CN344">
            <v>116.8</v>
          </cell>
          <cell r="CO344">
            <v>92.2</v>
          </cell>
          <cell r="CP344">
            <v>104</v>
          </cell>
          <cell r="CQ344">
            <v>109.3</v>
          </cell>
          <cell r="CR344">
            <v>123.2</v>
          </cell>
          <cell r="CS344">
            <v>153.69999999999999</v>
          </cell>
          <cell r="CT344">
            <v>138.19999999999999</v>
          </cell>
          <cell r="CU344">
            <v>136.6</v>
          </cell>
          <cell r="CV344">
            <v>150.19999999999999</v>
          </cell>
          <cell r="CW344">
            <v>174.6</v>
          </cell>
          <cell r="CX344">
            <v>169.1</v>
          </cell>
          <cell r="CY344">
            <v>167.1</v>
          </cell>
          <cell r="CZ344">
            <v>176.1</v>
          </cell>
          <cell r="DA344">
            <v>154.19999999999999</v>
          </cell>
          <cell r="DB344">
            <v>152.1</v>
          </cell>
          <cell r="DC344">
            <v>166.9</v>
          </cell>
          <cell r="DD344">
            <v>178.8</v>
          </cell>
          <cell r="DE344">
            <v>235.5</v>
          </cell>
          <cell r="DF344">
            <v>214.1</v>
          </cell>
          <cell r="DG344">
            <v>243.8</v>
          </cell>
          <cell r="DH344">
            <v>283.3</v>
          </cell>
          <cell r="DI344">
            <v>238</v>
          </cell>
          <cell r="DJ344">
            <v>245.2</v>
          </cell>
          <cell r="DK344">
            <v>208.4</v>
          </cell>
          <cell r="DL344">
            <v>202.8</v>
          </cell>
          <cell r="DM344">
            <v>197.2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EM344">
            <v>1204.5</v>
          </cell>
          <cell r="EN344">
            <v>1162.8000000000002</v>
          </cell>
          <cell r="EO344">
            <v>1297.4999999999998</v>
          </cell>
          <cell r="EP344">
            <v>1564.3999999999999</v>
          </cell>
          <cell r="EQ344">
            <v>1488.1000000000001</v>
          </cell>
          <cell r="ER344">
            <v>1300.0999999999999</v>
          </cell>
          <cell r="ES344">
            <v>1756.2999999999997</v>
          </cell>
        </row>
        <row r="345">
          <cell r="A345" t="str">
            <v>O&amp;M (Net of pass-throughs)</v>
          </cell>
          <cell r="B345" t="str">
            <v>Operations &amp; Maintenance Expense (incl clause)</v>
          </cell>
          <cell r="E345" t="str">
            <v>Operations &amp; Maintenance Expense</v>
          </cell>
          <cell r="F345" t="str">
            <v>6500020</v>
          </cell>
          <cell r="G345" t="str">
            <v>A_6500020</v>
          </cell>
          <cell r="H345" t="str">
            <v>Transportation - Trailers</v>
          </cell>
          <cell r="J345">
            <v>0.1</v>
          </cell>
          <cell r="K345">
            <v>0</v>
          </cell>
          <cell r="L345">
            <v>0.2</v>
          </cell>
          <cell r="M345">
            <v>0</v>
          </cell>
          <cell r="N345">
            <v>11.7</v>
          </cell>
          <cell r="O345">
            <v>0.1</v>
          </cell>
          <cell r="P345">
            <v>0.1</v>
          </cell>
          <cell r="Q345">
            <v>-0.3</v>
          </cell>
          <cell r="R345">
            <v>221.9</v>
          </cell>
          <cell r="S345">
            <v>228.6</v>
          </cell>
          <cell r="T345">
            <v>0.1</v>
          </cell>
          <cell r="U345">
            <v>0.1</v>
          </cell>
          <cell r="V345">
            <v>0.1</v>
          </cell>
          <cell r="W345">
            <v>0.1</v>
          </cell>
          <cell r="X345">
            <v>0.1</v>
          </cell>
          <cell r="Y345">
            <v>0.2</v>
          </cell>
          <cell r="Z345">
            <v>0.1</v>
          </cell>
          <cell r="AA345">
            <v>0.1</v>
          </cell>
          <cell r="AB345">
            <v>0.1</v>
          </cell>
          <cell r="AC345">
            <v>-1.1000000000000001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0.1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0.1</v>
          </cell>
          <cell r="AT345">
            <v>0.6</v>
          </cell>
          <cell r="AU345">
            <v>0</v>
          </cell>
          <cell r="AV345">
            <v>0.2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1.1000000000000001</v>
          </cell>
          <cell r="BI345">
            <v>-0.1</v>
          </cell>
          <cell r="BJ345">
            <v>0.3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0.6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2.6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0.6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0.1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0.1</v>
          </cell>
          <cell r="CZ345">
            <v>0</v>
          </cell>
          <cell r="DA345">
            <v>0</v>
          </cell>
          <cell r="DB345">
            <v>0</v>
          </cell>
          <cell r="DC345">
            <v>0.3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EM345">
            <v>-0.30000000000000016</v>
          </cell>
          <cell r="EN345">
            <v>0.2</v>
          </cell>
          <cell r="EO345">
            <v>0.8</v>
          </cell>
          <cell r="EP345">
            <v>1.3</v>
          </cell>
          <cell r="EQ345">
            <v>3.2</v>
          </cell>
          <cell r="ER345">
            <v>0.6</v>
          </cell>
          <cell r="ES345">
            <v>0.2</v>
          </cell>
        </row>
        <row r="346">
          <cell r="A346" t="str">
            <v>O&amp;M (Net of pass-throughs)</v>
          </cell>
          <cell r="B346" t="str">
            <v>Operations &amp; Maintenance Expense (incl clause)</v>
          </cell>
          <cell r="C346" t="str">
            <v>Transportation Vehicle Depr</v>
          </cell>
          <cell r="E346" t="str">
            <v>Operations &amp; Maintenance Expense</v>
          </cell>
          <cell r="F346" t="str">
            <v>6500810</v>
          </cell>
          <cell r="G346" t="str">
            <v>A_6500810</v>
          </cell>
          <cell r="H346" t="str">
            <v>Transportation -vehicle depreciation</v>
          </cell>
          <cell r="J346">
            <v>139.5</v>
          </cell>
          <cell r="K346">
            <v>136</v>
          </cell>
          <cell r="L346">
            <v>134.4</v>
          </cell>
          <cell r="M346">
            <v>133.9</v>
          </cell>
          <cell r="N346">
            <v>133.9</v>
          </cell>
          <cell r="O346">
            <v>137.5</v>
          </cell>
          <cell r="P346">
            <v>135.6</v>
          </cell>
          <cell r="Q346">
            <v>135.6</v>
          </cell>
          <cell r="R346">
            <v>135.6</v>
          </cell>
          <cell r="S346">
            <v>135.4</v>
          </cell>
          <cell r="T346">
            <v>137.80000000000001</v>
          </cell>
          <cell r="U346">
            <v>138.4</v>
          </cell>
          <cell r="V346">
            <v>144.5</v>
          </cell>
          <cell r="W346">
            <v>144.5</v>
          </cell>
          <cell r="X346">
            <v>144.5</v>
          </cell>
          <cell r="Y346">
            <v>140.4</v>
          </cell>
          <cell r="Z346">
            <v>141.9</v>
          </cell>
          <cell r="AA346">
            <v>143.9</v>
          </cell>
          <cell r="AB346">
            <v>143.9</v>
          </cell>
          <cell r="AC346">
            <v>143.9</v>
          </cell>
          <cell r="AD346">
            <v>149.5</v>
          </cell>
          <cell r="AE346">
            <v>155</v>
          </cell>
          <cell r="AF346">
            <v>155.9</v>
          </cell>
          <cell r="AG346">
            <v>158.69999999999999</v>
          </cell>
          <cell r="AH346">
            <v>159.30000000000001</v>
          </cell>
          <cell r="AI346">
            <v>161.9</v>
          </cell>
          <cell r="AJ346">
            <v>163</v>
          </cell>
          <cell r="AK346">
            <v>161.4</v>
          </cell>
          <cell r="AL346">
            <v>162</v>
          </cell>
          <cell r="AM346">
            <v>161.6</v>
          </cell>
          <cell r="AN346">
            <v>83</v>
          </cell>
          <cell r="AO346">
            <v>232.3</v>
          </cell>
          <cell r="AP346">
            <v>161.1</v>
          </cell>
          <cell r="AQ346">
            <v>160.5</v>
          </cell>
          <cell r="AR346">
            <v>163.30000000000001</v>
          </cell>
          <cell r="AS346">
            <v>203.4</v>
          </cell>
          <cell r="AT346">
            <v>173.3</v>
          </cell>
          <cell r="AU346">
            <v>178</v>
          </cell>
          <cell r="AV346">
            <v>177.4</v>
          </cell>
          <cell r="AW346">
            <v>179.7</v>
          </cell>
          <cell r="AX346">
            <v>176.6</v>
          </cell>
          <cell r="AY346">
            <v>176.6</v>
          </cell>
          <cell r="AZ346">
            <v>176.5</v>
          </cell>
          <cell r="BA346">
            <v>176.5</v>
          </cell>
          <cell r="BB346">
            <v>175.9</v>
          </cell>
          <cell r="BC346">
            <v>175.9</v>
          </cell>
          <cell r="BD346">
            <v>176.5</v>
          </cell>
          <cell r="BE346">
            <v>180.7</v>
          </cell>
          <cell r="BF346">
            <v>181.5</v>
          </cell>
          <cell r="BG346">
            <v>187.3</v>
          </cell>
          <cell r="BH346">
            <v>188.9</v>
          </cell>
          <cell r="BI346">
            <v>190.7</v>
          </cell>
          <cell r="BJ346">
            <v>189.8</v>
          </cell>
          <cell r="BK346">
            <v>189.9</v>
          </cell>
          <cell r="BL346">
            <v>191.7</v>
          </cell>
          <cell r="BM346">
            <v>192</v>
          </cell>
          <cell r="BN346">
            <v>176.5</v>
          </cell>
          <cell r="BO346">
            <v>206.9</v>
          </cell>
          <cell r="BP346">
            <v>190.1</v>
          </cell>
          <cell r="BQ346">
            <v>193.4</v>
          </cell>
          <cell r="BR346">
            <v>197.8</v>
          </cell>
          <cell r="BS346">
            <v>198</v>
          </cell>
          <cell r="BT346">
            <v>199.8</v>
          </cell>
          <cell r="BU346">
            <v>209.3</v>
          </cell>
          <cell r="BV346">
            <v>213.9</v>
          </cell>
          <cell r="BW346">
            <v>214.1</v>
          </cell>
          <cell r="BX346">
            <v>212.5</v>
          </cell>
          <cell r="BY346">
            <v>208.1</v>
          </cell>
          <cell r="BZ346">
            <v>207.5</v>
          </cell>
          <cell r="CA346">
            <v>207.5</v>
          </cell>
          <cell r="CB346">
            <v>223.2</v>
          </cell>
          <cell r="CC346">
            <v>225.4</v>
          </cell>
          <cell r="CD346">
            <v>227.2</v>
          </cell>
          <cell r="CE346">
            <v>232.4</v>
          </cell>
          <cell r="CF346">
            <v>234</v>
          </cell>
          <cell r="CG346">
            <v>234.1</v>
          </cell>
          <cell r="CH346">
            <v>233.4</v>
          </cell>
          <cell r="CI346">
            <v>234.9</v>
          </cell>
          <cell r="CJ346">
            <v>236.8</v>
          </cell>
          <cell r="CK346">
            <v>241</v>
          </cell>
          <cell r="CL346">
            <v>245.3</v>
          </cell>
          <cell r="CM346">
            <v>248.9</v>
          </cell>
          <cell r="CN346">
            <v>249</v>
          </cell>
          <cell r="CO346">
            <v>252.3</v>
          </cell>
          <cell r="CP346">
            <v>136.6</v>
          </cell>
          <cell r="CQ346">
            <v>138.80000000000001</v>
          </cell>
          <cell r="CR346">
            <v>141.1</v>
          </cell>
          <cell r="CS346">
            <v>142.69999999999999</v>
          </cell>
          <cell r="CT346">
            <v>142.30000000000001</v>
          </cell>
          <cell r="CU346">
            <v>142.4</v>
          </cell>
          <cell r="CV346">
            <v>142.69999999999999</v>
          </cell>
          <cell r="CW346">
            <v>143.80000000000001</v>
          </cell>
          <cell r="CX346">
            <v>145.4</v>
          </cell>
          <cell r="CY346">
            <v>145.4</v>
          </cell>
          <cell r="CZ346">
            <v>142.9</v>
          </cell>
          <cell r="DA346">
            <v>142.69999999999999</v>
          </cell>
          <cell r="DB346">
            <v>144.1</v>
          </cell>
          <cell r="DC346">
            <v>141.80000000000001</v>
          </cell>
          <cell r="DD346">
            <v>142.69999999999999</v>
          </cell>
          <cell r="DE346">
            <v>144.1</v>
          </cell>
          <cell r="DF346">
            <v>144.1</v>
          </cell>
          <cell r="DG346">
            <v>145.4</v>
          </cell>
          <cell r="DH346">
            <v>147.80000000000001</v>
          </cell>
          <cell r="DI346">
            <v>148.6</v>
          </cell>
          <cell r="DJ346">
            <v>152.80000000000001</v>
          </cell>
          <cell r="DK346">
            <v>157.5</v>
          </cell>
          <cell r="DL346">
            <v>157.9</v>
          </cell>
          <cell r="DM346">
            <v>163</v>
          </cell>
          <cell r="DN346">
            <v>158.9</v>
          </cell>
          <cell r="DO346">
            <v>168.1</v>
          </cell>
          <cell r="DP346">
            <v>171.9</v>
          </cell>
          <cell r="DQ346">
            <v>174.7</v>
          </cell>
          <cell r="DR346">
            <v>177.5</v>
          </cell>
          <cell r="DS346">
            <v>179.3</v>
          </cell>
          <cell r="DT346">
            <v>183.8</v>
          </cell>
          <cell r="DU346">
            <v>186</v>
          </cell>
          <cell r="DV346">
            <v>188.9</v>
          </cell>
          <cell r="DW346">
            <v>191</v>
          </cell>
          <cell r="DX346">
            <v>193.5</v>
          </cell>
          <cell r="DY346">
            <v>195.3</v>
          </cell>
          <cell r="EM346">
            <v>1766.6000000000001</v>
          </cell>
          <cell r="EN346">
            <v>1972.8</v>
          </cell>
          <cell r="EO346">
            <v>2123.6000000000004</v>
          </cell>
          <cell r="EP346">
            <v>2278.7000000000003</v>
          </cell>
          <cell r="EQ346">
            <v>2517.1</v>
          </cell>
          <cell r="ER346">
            <v>2869.3000000000006</v>
          </cell>
          <cell r="ES346">
            <v>1706.8000000000002</v>
          </cell>
        </row>
        <row r="347">
          <cell r="A347" t="str">
            <v>O&amp;M (Net of pass-throughs)</v>
          </cell>
          <cell r="B347" t="str">
            <v>Operations &amp; Maintenance Expense (incl clause)</v>
          </cell>
          <cell r="E347" t="str">
            <v>Operations &amp; Maintenance Expense</v>
          </cell>
          <cell r="F347" t="str">
            <v>6508999</v>
          </cell>
          <cell r="G347" t="str">
            <v>A_6508999</v>
          </cell>
          <cell r="H347" t="str">
            <v>Transportation Expense Reclass</v>
          </cell>
          <cell r="J347">
            <v>1.3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</v>
          </cell>
          <cell r="U347">
            <v>0.2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0.6</v>
          </cell>
          <cell r="AA347">
            <v>0.2</v>
          </cell>
          <cell r="AB347">
            <v>0.1</v>
          </cell>
          <cell r="AC347">
            <v>0.2</v>
          </cell>
          <cell r="AD347">
            <v>0.2</v>
          </cell>
          <cell r="AE347">
            <v>0.1</v>
          </cell>
          <cell r="AF347">
            <v>0.5</v>
          </cell>
          <cell r="AG347">
            <v>0.3</v>
          </cell>
          <cell r="AH347">
            <v>0.3</v>
          </cell>
          <cell r="AI347">
            <v>0.2</v>
          </cell>
          <cell r="AJ347">
            <v>0.1</v>
          </cell>
          <cell r="AK347">
            <v>0.2</v>
          </cell>
          <cell r="AL347">
            <v>0</v>
          </cell>
          <cell r="AM347">
            <v>0.5</v>
          </cell>
          <cell r="AN347">
            <v>0.5</v>
          </cell>
          <cell r="AO347">
            <v>0.3</v>
          </cell>
          <cell r="AP347">
            <v>0.6</v>
          </cell>
          <cell r="AQ347">
            <v>0.3</v>
          </cell>
          <cell r="AR347">
            <v>0.8</v>
          </cell>
          <cell r="AS347">
            <v>-2</v>
          </cell>
          <cell r="AT347">
            <v>0.7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-2.1</v>
          </cell>
          <cell r="CR347">
            <v>2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-0.2</v>
          </cell>
          <cell r="DL347">
            <v>0.2</v>
          </cell>
          <cell r="DM347">
            <v>0</v>
          </cell>
          <cell r="DN347">
            <v>-158.9</v>
          </cell>
          <cell r="DO347">
            <v>-168.1</v>
          </cell>
          <cell r="DP347">
            <v>-171.9</v>
          </cell>
          <cell r="DQ347">
            <v>-174.7</v>
          </cell>
          <cell r="DR347">
            <v>-177.5</v>
          </cell>
          <cell r="DS347">
            <v>-179.3</v>
          </cell>
          <cell r="DT347">
            <v>-183.8</v>
          </cell>
          <cell r="DU347">
            <v>-186</v>
          </cell>
          <cell r="DV347">
            <v>-188.9</v>
          </cell>
          <cell r="DW347">
            <v>-191</v>
          </cell>
          <cell r="DX347">
            <v>-193.5</v>
          </cell>
          <cell r="DY347">
            <v>-195.3</v>
          </cell>
          <cell r="EM347">
            <v>2.2000000000000002</v>
          </cell>
          <cell r="EN347">
            <v>1.7999999999999998</v>
          </cell>
          <cell r="EO347">
            <v>0.7</v>
          </cell>
          <cell r="EP347">
            <v>0</v>
          </cell>
          <cell r="EQ347">
            <v>0</v>
          </cell>
          <cell r="ER347">
            <v>0</v>
          </cell>
          <cell r="ES347">
            <v>-0.10000000000000009</v>
          </cell>
        </row>
        <row r="348">
          <cell r="A348" t="str">
            <v>O&amp;M (Net of pass-throughs)</v>
          </cell>
          <cell r="B348" t="str">
            <v>Operations &amp; Maintenance Expense (incl clause)</v>
          </cell>
          <cell r="E348" t="str">
            <v>Operations &amp; Maintenance Expense</v>
          </cell>
          <cell r="F348" t="str">
            <v>6500000</v>
          </cell>
          <cell r="G348" t="str">
            <v>A_A6500000</v>
          </cell>
          <cell r="H348" t="str">
            <v>Assessed Transportation Expense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A349" t="str">
            <v>O&amp;M (Net of pass-throughs)</v>
          </cell>
          <cell r="B349" t="str">
            <v>Operations &amp; Maintenance Expense (incl clause)</v>
          </cell>
          <cell r="E349" t="str">
            <v>Operations &amp; Maintenance Expense</v>
          </cell>
          <cell r="F349" t="str">
            <v>6500000</v>
          </cell>
          <cell r="G349" t="str">
            <v>A_P6500000</v>
          </cell>
          <cell r="H349" t="str">
            <v>Planned Transportation Expense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 t="str">
            <v>O&amp;M (Net of pass-throughs)</v>
          </cell>
          <cell r="B350" t="str">
            <v>Operations &amp; Maintenance Expense (incl clause)</v>
          </cell>
          <cell r="E350" t="str">
            <v>Operations &amp; Maintenance Expense</v>
          </cell>
          <cell r="F350" t="str">
            <v>6500000</v>
          </cell>
          <cell r="G350" t="str">
            <v>A_S6500000</v>
          </cell>
          <cell r="H350" t="str">
            <v>Settled Transportation Exp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10.6</v>
          </cell>
          <cell r="DO350">
            <v>10.6</v>
          </cell>
          <cell r="DP350">
            <v>10.6</v>
          </cell>
          <cell r="DQ350">
            <v>10.6</v>
          </cell>
          <cell r="DR350">
            <v>10.6</v>
          </cell>
          <cell r="DS350">
            <v>10.6</v>
          </cell>
          <cell r="DT350">
            <v>10.6</v>
          </cell>
          <cell r="DU350">
            <v>10.6</v>
          </cell>
          <cell r="DV350">
            <v>10.6</v>
          </cell>
          <cell r="DW350">
            <v>10.6</v>
          </cell>
          <cell r="DX350">
            <v>10.6</v>
          </cell>
          <cell r="DY350">
            <v>10.6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</row>
        <row r="351">
          <cell r="A351" t="str">
            <v>O&amp;M (Net of pass-throughs)</v>
          </cell>
          <cell r="B351" t="str">
            <v>Operations &amp; Maintenance Expense (incl clause)</v>
          </cell>
          <cell r="E351" t="str">
            <v>Operations &amp; Maintenance Expense</v>
          </cell>
          <cell r="F351" t="str">
            <v>6500010</v>
          </cell>
          <cell r="G351" t="str">
            <v>A_S6500010</v>
          </cell>
          <cell r="H351" t="str">
            <v>Settled Transportation - Vehicle expense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18.399999999999999</v>
          </cell>
          <cell r="DO351">
            <v>18.399999999999999</v>
          </cell>
          <cell r="DP351">
            <v>18.399999999999999</v>
          </cell>
          <cell r="DQ351">
            <v>18.399999999999999</v>
          </cell>
          <cell r="DR351">
            <v>18.399999999999999</v>
          </cell>
          <cell r="DS351">
            <v>18.399999999999999</v>
          </cell>
          <cell r="DT351">
            <v>18.399999999999999</v>
          </cell>
          <cell r="DU351">
            <v>18.399999999999999</v>
          </cell>
          <cell r="DV351">
            <v>18.399999999999999</v>
          </cell>
          <cell r="DW351">
            <v>18.399999999999999</v>
          </cell>
          <cell r="DX351">
            <v>18.399999999999999</v>
          </cell>
          <cell r="DY351">
            <v>18.399999999999999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 t="str">
            <v>O&amp;M (Net of pass-throughs)</v>
          </cell>
          <cell r="B352" t="str">
            <v>Operations &amp; Maintenance Expense (incl clause)</v>
          </cell>
          <cell r="E352" t="str">
            <v>Operations &amp; Maintenance Expense</v>
          </cell>
          <cell r="F352" t="str">
            <v>6500015</v>
          </cell>
          <cell r="G352" t="str">
            <v>A_S6500015</v>
          </cell>
          <cell r="H352" t="str">
            <v>Settled Transportation - Vehicle Gas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0.4</v>
          </cell>
          <cell r="DO352">
            <v>0.4</v>
          </cell>
          <cell r="DP352">
            <v>0.4</v>
          </cell>
          <cell r="DQ352">
            <v>0.4</v>
          </cell>
          <cell r="DR352">
            <v>0.4</v>
          </cell>
          <cell r="DS352">
            <v>0.4</v>
          </cell>
          <cell r="DT352">
            <v>0.4</v>
          </cell>
          <cell r="DU352">
            <v>0.4</v>
          </cell>
          <cell r="DV352">
            <v>0.4</v>
          </cell>
          <cell r="DW352">
            <v>0.4</v>
          </cell>
          <cell r="DX352">
            <v>0.4</v>
          </cell>
          <cell r="DY352">
            <v>0.4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</row>
        <row r="353">
          <cell r="A353" t="str">
            <v>O&amp;M (Net of pass-throughs)</v>
          </cell>
          <cell r="B353" t="str">
            <v>Operations &amp; Maintenance Expense (incl clause)</v>
          </cell>
          <cell r="E353" t="str">
            <v>Operations &amp; Maintenance Expense</v>
          </cell>
          <cell r="F353" t="str">
            <v>6509000</v>
          </cell>
          <cell r="G353" t="str">
            <v>A_6509000</v>
          </cell>
          <cell r="H353" t="str">
            <v>Transportation Expense sent to Balance Sheet</v>
          </cell>
          <cell r="J353">
            <v>19.399999999999999</v>
          </cell>
          <cell r="K353">
            <v>0</v>
          </cell>
          <cell r="L353">
            <v>-2.5</v>
          </cell>
          <cell r="M353">
            <v>0</v>
          </cell>
          <cell r="N353">
            <v>0</v>
          </cell>
          <cell r="O353">
            <v>-0.3</v>
          </cell>
          <cell r="P353">
            <v>3</v>
          </cell>
          <cell r="Q353">
            <v>-10.199999999999999</v>
          </cell>
          <cell r="R353">
            <v>-224</v>
          </cell>
          <cell r="S353">
            <v>-320.7</v>
          </cell>
          <cell r="T353">
            <v>0.4</v>
          </cell>
          <cell r="U353">
            <v>-0.2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-0.6</v>
          </cell>
          <cell r="AA353">
            <v>-0.2</v>
          </cell>
          <cell r="AB353">
            <v>1.5</v>
          </cell>
          <cell r="AC353">
            <v>0.3</v>
          </cell>
          <cell r="AD353">
            <v>-0.5</v>
          </cell>
          <cell r="AE353">
            <v>-0.1</v>
          </cell>
          <cell r="AF353">
            <v>0</v>
          </cell>
          <cell r="AG353">
            <v>-0.7</v>
          </cell>
          <cell r="AH353">
            <v>-0.2</v>
          </cell>
          <cell r="AI353">
            <v>0</v>
          </cell>
          <cell r="AJ353">
            <v>-12.5</v>
          </cell>
          <cell r="AK353">
            <v>-0.8</v>
          </cell>
          <cell r="AL353">
            <v>-0.4</v>
          </cell>
          <cell r="AM353">
            <v>5.3</v>
          </cell>
          <cell r="AN353">
            <v>-0.4</v>
          </cell>
          <cell r="AO353">
            <v>-0.2</v>
          </cell>
          <cell r="AP353">
            <v>-6.1</v>
          </cell>
          <cell r="AQ353">
            <v>-72.599999999999994</v>
          </cell>
          <cell r="AR353">
            <v>-15.8</v>
          </cell>
          <cell r="AS353">
            <v>0.4</v>
          </cell>
          <cell r="AT353">
            <v>-0.5</v>
          </cell>
          <cell r="AU353">
            <v>-0.1</v>
          </cell>
          <cell r="AV353">
            <v>-26.8</v>
          </cell>
          <cell r="AW353">
            <v>0</v>
          </cell>
          <cell r="AX353">
            <v>0</v>
          </cell>
          <cell r="AY353">
            <v>-0.2</v>
          </cell>
          <cell r="AZ353">
            <v>-0.2</v>
          </cell>
          <cell r="BA353">
            <v>-1.3</v>
          </cell>
          <cell r="BB353">
            <v>-6.1</v>
          </cell>
          <cell r="BC353">
            <v>4.2</v>
          </cell>
          <cell r="BD353">
            <v>-6.1</v>
          </cell>
          <cell r="BE353">
            <v>-4.8</v>
          </cell>
          <cell r="BF353">
            <v>0</v>
          </cell>
          <cell r="BG353">
            <v>-2</v>
          </cell>
          <cell r="BH353">
            <v>-2.7</v>
          </cell>
          <cell r="BI353">
            <v>-4.5</v>
          </cell>
          <cell r="BJ353">
            <v>-23.4</v>
          </cell>
          <cell r="BK353">
            <v>-13.2</v>
          </cell>
          <cell r="BL353">
            <v>-1.5</v>
          </cell>
          <cell r="BM353">
            <v>-6.4</v>
          </cell>
          <cell r="BN353">
            <v>-2.2999999999999998</v>
          </cell>
          <cell r="BO353">
            <v>-1.6</v>
          </cell>
          <cell r="BP353">
            <v>-6</v>
          </cell>
          <cell r="BQ353">
            <v>-3.9</v>
          </cell>
          <cell r="BR353">
            <v>0</v>
          </cell>
          <cell r="BS353">
            <v>0</v>
          </cell>
          <cell r="BT353">
            <v>-0.4</v>
          </cell>
          <cell r="BU353">
            <v>-0.2</v>
          </cell>
          <cell r="BV353">
            <v>-0.8</v>
          </cell>
          <cell r="BW353">
            <v>-0.1</v>
          </cell>
          <cell r="BX353">
            <v>-2.6</v>
          </cell>
          <cell r="BY353">
            <v>-1.7</v>
          </cell>
          <cell r="BZ353">
            <v>-0.4</v>
          </cell>
          <cell r="CA353">
            <v>-0.7</v>
          </cell>
          <cell r="CB353">
            <v>-4.5</v>
          </cell>
          <cell r="CC353">
            <v>-2</v>
          </cell>
          <cell r="CD353">
            <v>0</v>
          </cell>
          <cell r="CE353">
            <v>-5.7</v>
          </cell>
          <cell r="CF353">
            <v>0</v>
          </cell>
          <cell r="CG353">
            <v>0</v>
          </cell>
          <cell r="CH353">
            <v>0</v>
          </cell>
          <cell r="CI353">
            <v>10</v>
          </cell>
          <cell r="CJ353">
            <v>-5.7</v>
          </cell>
          <cell r="CK353">
            <v>-1.7</v>
          </cell>
          <cell r="CL353">
            <v>-13.2</v>
          </cell>
          <cell r="CM353">
            <v>-0.5</v>
          </cell>
          <cell r="CN353">
            <v>-2.5</v>
          </cell>
          <cell r="CO353">
            <v>-2.6</v>
          </cell>
          <cell r="CP353">
            <v>-0.3</v>
          </cell>
          <cell r="CQ353">
            <v>0</v>
          </cell>
          <cell r="CR353">
            <v>-4.0999999999999996</v>
          </cell>
          <cell r="CS353">
            <v>-1.7</v>
          </cell>
          <cell r="CT353">
            <v>-0.2</v>
          </cell>
          <cell r="CU353">
            <v>-0.4</v>
          </cell>
          <cell r="CV353">
            <v>-0.3</v>
          </cell>
          <cell r="CW353">
            <v>-0.5</v>
          </cell>
          <cell r="CX353">
            <v>0</v>
          </cell>
          <cell r="CY353">
            <v>-0.3</v>
          </cell>
          <cell r="CZ353">
            <v>0</v>
          </cell>
          <cell r="DA353">
            <v>-1.5</v>
          </cell>
          <cell r="DB353">
            <v>-1.3</v>
          </cell>
          <cell r="DC353">
            <v>-1.3</v>
          </cell>
          <cell r="DD353">
            <v>-1.3</v>
          </cell>
          <cell r="DE353">
            <v>-7.6</v>
          </cell>
          <cell r="DF353">
            <v>0</v>
          </cell>
          <cell r="DG353">
            <v>-1</v>
          </cell>
          <cell r="DH353">
            <v>-1.5</v>
          </cell>
          <cell r="DI353">
            <v>-0.4</v>
          </cell>
          <cell r="DJ353">
            <v>-5.3</v>
          </cell>
          <cell r="DK353">
            <v>-11.7</v>
          </cell>
          <cell r="DL353">
            <v>-9.6</v>
          </cell>
          <cell r="DM353">
            <v>-1.8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EM353">
            <v>-0.29999999999999993</v>
          </cell>
          <cell r="EN353">
            <v>-103.29999999999998</v>
          </cell>
          <cell r="EO353">
            <v>-41.9</v>
          </cell>
          <cell r="EP353">
            <v>-67.5</v>
          </cell>
          <cell r="EQ353">
            <v>-13.400000000000002</v>
          </cell>
          <cell r="ER353">
            <v>-21.900000000000002</v>
          </cell>
          <cell r="ES353">
            <v>-9.3000000000000007</v>
          </cell>
        </row>
        <row r="354">
          <cell r="F354" t="str">
            <v>650</v>
          </cell>
          <cell r="G354">
            <v>650</v>
          </cell>
          <cell r="J354">
            <v>344.8</v>
          </cell>
          <cell r="K354">
            <v>327.3</v>
          </cell>
          <cell r="L354">
            <v>340.79999999999995</v>
          </cell>
          <cell r="M354">
            <v>286.20000000000005</v>
          </cell>
          <cell r="N354">
            <v>355.29999999999995</v>
          </cell>
          <cell r="O354">
            <v>345.3</v>
          </cell>
          <cell r="P354">
            <v>358.9</v>
          </cell>
          <cell r="Q354">
            <v>361.2</v>
          </cell>
          <cell r="R354">
            <v>313.10000000000002</v>
          </cell>
          <cell r="S354">
            <v>344.09999999999997</v>
          </cell>
          <cell r="T354">
            <v>342.79999999999995</v>
          </cell>
          <cell r="U354">
            <v>303.89999999999998</v>
          </cell>
          <cell r="V354">
            <v>293</v>
          </cell>
          <cell r="W354">
            <v>298.79999999999995</v>
          </cell>
          <cell r="X354">
            <v>292.20000000000005</v>
          </cell>
          <cell r="Y354">
            <v>328.29999999999995</v>
          </cell>
          <cell r="Z354">
            <v>369.3</v>
          </cell>
          <cell r="AA354">
            <v>322.89999999999998</v>
          </cell>
          <cell r="AB354">
            <v>346.8</v>
          </cell>
          <cell r="AC354">
            <v>314.8</v>
          </cell>
          <cell r="AD354">
            <v>326</v>
          </cell>
          <cell r="AE354">
            <v>317.39999999999998</v>
          </cell>
          <cell r="AF354">
            <v>378.4</v>
          </cell>
          <cell r="AG354">
            <v>316.60000000000002</v>
          </cell>
          <cell r="AH354">
            <v>259</v>
          </cell>
          <cell r="AI354">
            <v>312.09999999999997</v>
          </cell>
          <cell r="AJ354">
            <v>351.3</v>
          </cell>
          <cell r="AK354">
            <v>333.5</v>
          </cell>
          <cell r="AL354">
            <v>330.4</v>
          </cell>
          <cell r="AM354">
            <v>346.8</v>
          </cell>
          <cell r="AN354">
            <v>272.10000000000002</v>
          </cell>
          <cell r="AO354">
            <v>409.1</v>
          </cell>
          <cell r="AP354">
            <v>340.79999999999995</v>
          </cell>
          <cell r="AQ354">
            <v>358.9</v>
          </cell>
          <cell r="AR354">
            <v>335.8</v>
          </cell>
          <cell r="AS354">
            <v>397.2</v>
          </cell>
          <cell r="AT354">
            <v>332.7</v>
          </cell>
          <cell r="AU354">
            <v>379.59999999999997</v>
          </cell>
          <cell r="AV354">
            <v>379.2</v>
          </cell>
          <cell r="AW354">
            <v>384.2</v>
          </cell>
          <cell r="AX354">
            <v>339.79999999999995</v>
          </cell>
          <cell r="AY354">
            <v>399.7</v>
          </cell>
          <cell r="AZ354">
            <v>363.5</v>
          </cell>
          <cell r="BA354">
            <v>347.4</v>
          </cell>
          <cell r="BB354">
            <v>382.79999999999995</v>
          </cell>
          <cell r="BC354">
            <v>364.59999999999997</v>
          </cell>
          <cell r="BD354">
            <v>376.4</v>
          </cell>
          <cell r="BE354">
            <v>413.4</v>
          </cell>
          <cell r="BF354">
            <v>331.6</v>
          </cell>
          <cell r="BG354">
            <v>400.5</v>
          </cell>
          <cell r="BH354">
            <v>382.8</v>
          </cell>
          <cell r="BI354">
            <v>367.4</v>
          </cell>
          <cell r="BJ354">
            <v>431.00000000000006</v>
          </cell>
          <cell r="BK354">
            <v>367.50000000000006</v>
          </cell>
          <cell r="BL354">
            <v>436.4</v>
          </cell>
          <cell r="BM354">
            <v>441.40000000000003</v>
          </cell>
          <cell r="BN354">
            <v>360.4</v>
          </cell>
          <cell r="BO354">
            <v>446.29999999999995</v>
          </cell>
          <cell r="BP354">
            <v>415</v>
          </cell>
          <cell r="BQ354">
            <v>450.4</v>
          </cell>
          <cell r="BR354">
            <v>357.40000000000003</v>
          </cell>
          <cell r="BS354">
            <v>449.1</v>
          </cell>
          <cell r="BT354">
            <v>414.5</v>
          </cell>
          <cell r="BU354">
            <v>416.40000000000003</v>
          </cell>
          <cell r="BV354">
            <v>435</v>
          </cell>
          <cell r="BW354">
            <v>436.09999999999997</v>
          </cell>
          <cell r="BX354">
            <v>418.79999999999995</v>
          </cell>
          <cell r="BY354">
            <v>457.5</v>
          </cell>
          <cell r="BZ354">
            <v>409.1</v>
          </cell>
          <cell r="CA354">
            <v>434.90000000000003</v>
          </cell>
          <cell r="CB354">
            <v>459.6</v>
          </cell>
          <cell r="CC354">
            <v>463.6</v>
          </cell>
          <cell r="CD354">
            <v>408.79999999999995</v>
          </cell>
          <cell r="CE354">
            <v>453.50000000000006</v>
          </cell>
          <cell r="CF354">
            <v>436.2</v>
          </cell>
          <cell r="CG354">
            <v>446.79999999999995</v>
          </cell>
          <cell r="CH354">
            <v>389.70000000000005</v>
          </cell>
          <cell r="CI354">
            <v>373.70000000000005</v>
          </cell>
          <cell r="CJ354">
            <v>431.6</v>
          </cell>
          <cell r="CK354">
            <v>446.3</v>
          </cell>
          <cell r="CL354">
            <v>408.90000000000003</v>
          </cell>
          <cell r="CM354">
            <v>444.4</v>
          </cell>
          <cell r="CN354">
            <v>434.4</v>
          </cell>
          <cell r="CO354">
            <v>467.7</v>
          </cell>
          <cell r="CP354">
            <v>282.89999999999998</v>
          </cell>
          <cell r="CQ354">
            <v>350.9</v>
          </cell>
          <cell r="CR354">
            <v>329.69999999999993</v>
          </cell>
          <cell r="CS354">
            <v>413.7</v>
          </cell>
          <cell r="CT354">
            <v>342.7</v>
          </cell>
          <cell r="CU354">
            <v>407.29999999999995</v>
          </cell>
          <cell r="CV354">
            <v>468.9</v>
          </cell>
          <cell r="CW354">
            <v>408.5</v>
          </cell>
          <cell r="CX354">
            <v>385.6</v>
          </cell>
          <cell r="CY354">
            <v>467.99999999999994</v>
          </cell>
          <cell r="CZ354">
            <v>412.6</v>
          </cell>
          <cell r="DA354">
            <v>398.7</v>
          </cell>
          <cell r="DB354">
            <v>385.49999999999994</v>
          </cell>
          <cell r="DC354">
            <v>389</v>
          </cell>
          <cell r="DD354">
            <v>457.79999999999995</v>
          </cell>
          <cell r="DE354">
            <v>583.5</v>
          </cell>
          <cell r="DF354">
            <v>412.6</v>
          </cell>
          <cell r="DG354">
            <v>450</v>
          </cell>
          <cell r="DH354">
            <v>501.8</v>
          </cell>
          <cell r="DI354">
            <v>521.30000000000007</v>
          </cell>
          <cell r="DJ354">
            <v>495.5</v>
          </cell>
          <cell r="DK354">
            <v>521.39999999999986</v>
          </cell>
          <cell r="DL354">
            <v>583.30000000000007</v>
          </cell>
          <cell r="DM354">
            <v>488.59999999999997</v>
          </cell>
          <cell r="DN354">
            <v>29.4</v>
          </cell>
          <cell r="DO354">
            <v>29.4</v>
          </cell>
          <cell r="DP354">
            <v>29.4</v>
          </cell>
          <cell r="DQ354">
            <v>29.4</v>
          </cell>
          <cell r="DR354">
            <v>29.4</v>
          </cell>
          <cell r="DS354">
            <v>29.4</v>
          </cell>
          <cell r="DT354">
            <v>29.4</v>
          </cell>
          <cell r="DU354">
            <v>29.4</v>
          </cell>
          <cell r="DV354">
            <v>29.4</v>
          </cell>
          <cell r="DW354">
            <v>29.4</v>
          </cell>
          <cell r="DX354">
            <v>29.4</v>
          </cell>
          <cell r="DY354">
            <v>29.4</v>
          </cell>
          <cell r="EM354">
            <v>3904.5000000000005</v>
          </cell>
          <cell r="EN354">
            <v>4046.9999999999995</v>
          </cell>
          <cell r="EO354">
            <v>4463.2999999999993</v>
          </cell>
          <cell r="EP354">
            <v>4830.7</v>
          </cell>
          <cell r="EQ354">
            <v>5152.0000000000009</v>
          </cell>
          <cell r="ER354">
            <v>5141.9999999999991</v>
          </cell>
          <cell r="ES354">
            <v>4669.5</v>
          </cell>
        </row>
        <row r="355">
          <cell r="A355" t="str">
            <v>O&amp;M (Net of pass-throughs)</v>
          </cell>
          <cell r="B355" t="str">
            <v>Operations &amp; Maintenance Expense (incl clause)</v>
          </cell>
          <cell r="E355" t="str">
            <v>Operations &amp; Maintenance Expense</v>
          </cell>
          <cell r="F355" t="str">
            <v>6700400</v>
          </cell>
          <cell r="G355" t="str">
            <v>A_6700400</v>
          </cell>
          <cell r="H355" t="str">
            <v>Insurance - FPSC Storm Reserve Expense Accrual</v>
          </cell>
          <cell r="J355">
            <v>4.8</v>
          </cell>
          <cell r="K355">
            <v>4.8</v>
          </cell>
          <cell r="L355">
            <v>4.8</v>
          </cell>
          <cell r="M355">
            <v>4.8</v>
          </cell>
          <cell r="N355">
            <v>4.8</v>
          </cell>
          <cell r="O355">
            <v>4.8</v>
          </cell>
          <cell r="P355">
            <v>4.8</v>
          </cell>
          <cell r="Q355">
            <v>4.8</v>
          </cell>
          <cell r="R355">
            <v>4.8</v>
          </cell>
          <cell r="S355">
            <v>4.8</v>
          </cell>
          <cell r="T355">
            <v>4.8</v>
          </cell>
          <cell r="U355">
            <v>4.8</v>
          </cell>
          <cell r="V355">
            <v>4.8</v>
          </cell>
          <cell r="W355">
            <v>4.8</v>
          </cell>
          <cell r="X355">
            <v>4.8</v>
          </cell>
          <cell r="Y355">
            <v>4.8</v>
          </cell>
          <cell r="Z355">
            <v>4.8</v>
          </cell>
          <cell r="AA355">
            <v>4.8</v>
          </cell>
          <cell r="AB355">
            <v>4.8</v>
          </cell>
          <cell r="AC355">
            <v>4.8</v>
          </cell>
          <cell r="AD355">
            <v>4.8</v>
          </cell>
          <cell r="AE355">
            <v>4.8</v>
          </cell>
          <cell r="AF355">
            <v>4.8</v>
          </cell>
          <cell r="AG355">
            <v>4.8</v>
          </cell>
          <cell r="AH355">
            <v>4.8</v>
          </cell>
          <cell r="AI355">
            <v>4.8</v>
          </cell>
          <cell r="AJ355">
            <v>4.8</v>
          </cell>
          <cell r="AK355">
            <v>4.8</v>
          </cell>
          <cell r="AL355">
            <v>4.8</v>
          </cell>
          <cell r="AM355">
            <v>4.8</v>
          </cell>
          <cell r="AN355">
            <v>4.8</v>
          </cell>
          <cell r="AO355">
            <v>4.8</v>
          </cell>
          <cell r="AP355">
            <v>4.8</v>
          </cell>
          <cell r="AQ355">
            <v>4.8</v>
          </cell>
          <cell r="AR355">
            <v>4.8</v>
          </cell>
          <cell r="AS355">
            <v>4.8</v>
          </cell>
          <cell r="AT355">
            <v>4.8</v>
          </cell>
          <cell r="AU355">
            <v>4.8</v>
          </cell>
          <cell r="AV355">
            <v>4.8</v>
          </cell>
          <cell r="AW355">
            <v>4.8</v>
          </cell>
          <cell r="AX355">
            <v>4.8</v>
          </cell>
          <cell r="AY355">
            <v>4.8</v>
          </cell>
          <cell r="AZ355">
            <v>4.8</v>
          </cell>
          <cell r="BA355">
            <v>4.8</v>
          </cell>
          <cell r="BB355">
            <v>4.8</v>
          </cell>
          <cell r="BC355">
            <v>4.8</v>
          </cell>
          <cell r="BD355">
            <v>4.8</v>
          </cell>
          <cell r="BE355">
            <v>4.8</v>
          </cell>
          <cell r="BF355">
            <v>4.8</v>
          </cell>
          <cell r="BG355">
            <v>4.8</v>
          </cell>
          <cell r="BH355">
            <v>4.8</v>
          </cell>
          <cell r="BI355">
            <v>4.8</v>
          </cell>
          <cell r="BJ355">
            <v>4.8</v>
          </cell>
          <cell r="BK355">
            <v>4.8</v>
          </cell>
          <cell r="BL355">
            <v>4.8</v>
          </cell>
          <cell r="BM355">
            <v>4.8</v>
          </cell>
          <cell r="BN355">
            <v>4.8</v>
          </cell>
          <cell r="BO355">
            <v>4.8</v>
          </cell>
          <cell r="BP355">
            <v>4.8</v>
          </cell>
          <cell r="BQ355">
            <v>4.8</v>
          </cell>
          <cell r="BR355">
            <v>4.8</v>
          </cell>
          <cell r="BS355">
            <v>4.8</v>
          </cell>
          <cell r="BT355">
            <v>4.8</v>
          </cell>
          <cell r="BU355">
            <v>4.8</v>
          </cell>
          <cell r="BV355">
            <v>4.8</v>
          </cell>
          <cell r="BW355">
            <v>4.8</v>
          </cell>
          <cell r="BX355">
            <v>4.8</v>
          </cell>
          <cell r="BY355">
            <v>579.70000000000005</v>
          </cell>
          <cell r="BZ355">
            <v>610.79999999999995</v>
          </cell>
          <cell r="CA355">
            <v>608.79999999999995</v>
          </cell>
          <cell r="CB355">
            <v>688.7</v>
          </cell>
          <cell r="CC355">
            <v>957.5</v>
          </cell>
          <cell r="CD355">
            <v>4.8</v>
          </cell>
          <cell r="CE355">
            <v>4.8</v>
          </cell>
          <cell r="CF355">
            <v>4.8</v>
          </cell>
          <cell r="CG355">
            <v>4.8</v>
          </cell>
          <cell r="CH355">
            <v>4.8</v>
          </cell>
          <cell r="CI355">
            <v>4.8</v>
          </cell>
          <cell r="CJ355">
            <v>4.8</v>
          </cell>
          <cell r="CK355">
            <v>4.8</v>
          </cell>
          <cell r="CL355">
            <v>4.8</v>
          </cell>
          <cell r="CM355">
            <v>4.8</v>
          </cell>
          <cell r="CN355">
            <v>4.8</v>
          </cell>
          <cell r="CO355">
            <v>4.8</v>
          </cell>
          <cell r="CP355">
            <v>31.7</v>
          </cell>
          <cell r="CQ355">
            <v>31.7</v>
          </cell>
          <cell r="CR355">
            <v>31.7</v>
          </cell>
          <cell r="CS355">
            <v>31.7</v>
          </cell>
          <cell r="CT355">
            <v>31.7</v>
          </cell>
          <cell r="CU355">
            <v>31.7</v>
          </cell>
          <cell r="CV355">
            <v>31.7</v>
          </cell>
          <cell r="CW355">
            <v>31.7</v>
          </cell>
          <cell r="CX355">
            <v>31.7</v>
          </cell>
          <cell r="CY355">
            <v>31.7</v>
          </cell>
          <cell r="CZ355">
            <v>31.7</v>
          </cell>
          <cell r="DA355">
            <v>31.7</v>
          </cell>
          <cell r="DB355">
            <v>31.7</v>
          </cell>
          <cell r="DC355">
            <v>31.7</v>
          </cell>
          <cell r="DD355">
            <v>31.7</v>
          </cell>
          <cell r="DE355">
            <v>31.7</v>
          </cell>
          <cell r="DF355">
            <v>31.7</v>
          </cell>
          <cell r="DG355">
            <v>31.7</v>
          </cell>
          <cell r="DH355">
            <v>31.7</v>
          </cell>
          <cell r="DI355">
            <v>31.7</v>
          </cell>
          <cell r="DJ355">
            <v>31.7</v>
          </cell>
          <cell r="DK355">
            <v>31.7</v>
          </cell>
          <cell r="DL355">
            <v>31.7</v>
          </cell>
          <cell r="DM355">
            <v>31.7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EM355">
            <v>57.599999999999987</v>
          </cell>
          <cell r="EN355">
            <v>57.599999999999987</v>
          </cell>
          <cell r="EO355">
            <v>57.599999999999987</v>
          </cell>
          <cell r="EP355">
            <v>57.599999999999987</v>
          </cell>
          <cell r="EQ355">
            <v>3479.1</v>
          </cell>
          <cell r="ER355">
            <v>57.599999999999987</v>
          </cell>
          <cell r="ES355">
            <v>380.39999999999992</v>
          </cell>
        </row>
        <row r="356">
          <cell r="A356" t="str">
            <v>O&amp;M (Net of pass-throughs)</v>
          </cell>
          <cell r="B356" t="str">
            <v>Operations &amp; Maintenance Expense (incl clause)</v>
          </cell>
          <cell r="E356" t="str">
            <v>Operations &amp; Maintenance Expense</v>
          </cell>
          <cell r="F356" t="str">
            <v>6700500</v>
          </cell>
          <cell r="G356" t="str">
            <v>A_6700500</v>
          </cell>
          <cell r="H356" t="str">
            <v>Insurance - Automobile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</row>
        <row r="357">
          <cell r="A357" t="str">
            <v>O&amp;M (Net of pass-throughs)</v>
          </cell>
          <cell r="B357" t="str">
            <v>Operations &amp; Maintenance Expense (incl clause)</v>
          </cell>
          <cell r="E357" t="str">
            <v>Operations &amp; Maintenance Expense</v>
          </cell>
          <cell r="F357" t="str">
            <v>6700502</v>
          </cell>
          <cell r="G357" t="str">
            <v>A_6700502</v>
          </cell>
          <cell r="H357" t="str">
            <v>Insurance - Brokerage Fees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26</v>
          </cell>
          <cell r="O357">
            <v>0</v>
          </cell>
          <cell r="P357">
            <v>0</v>
          </cell>
          <cell r="Q357">
            <v>-22.7</v>
          </cell>
          <cell r="R357">
            <v>19.7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2.5</v>
          </cell>
          <cell r="AA357">
            <v>0</v>
          </cell>
          <cell r="AB357">
            <v>0</v>
          </cell>
          <cell r="AC357">
            <v>16.899999999999999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2.5</v>
          </cell>
          <cell r="AM357">
            <v>17.8</v>
          </cell>
          <cell r="AN357">
            <v>-4.0999999999999996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12.4</v>
          </cell>
          <cell r="AT357">
            <v>0</v>
          </cell>
          <cell r="AU357">
            <v>0</v>
          </cell>
          <cell r="AV357">
            <v>2.2000000000000002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42.5</v>
          </cell>
          <cell r="BF357">
            <v>-19.8</v>
          </cell>
          <cell r="BG357">
            <v>23.1</v>
          </cell>
          <cell r="BH357">
            <v>0.7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45.5</v>
          </cell>
          <cell r="BR357">
            <v>0</v>
          </cell>
          <cell r="BS357">
            <v>0</v>
          </cell>
          <cell r="BT357">
            <v>0</v>
          </cell>
          <cell r="BU357">
            <v>-8.6999999999999993</v>
          </cell>
          <cell r="BV357">
            <v>0.7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65.5</v>
          </cell>
          <cell r="CD357">
            <v>-5.8</v>
          </cell>
          <cell r="CE357">
            <v>0.7</v>
          </cell>
          <cell r="CF357">
            <v>0</v>
          </cell>
          <cell r="CG357">
            <v>0</v>
          </cell>
          <cell r="CH357">
            <v>0.1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82</v>
          </cell>
          <cell r="CP357">
            <v>-28.4</v>
          </cell>
          <cell r="CQ357">
            <v>0</v>
          </cell>
          <cell r="CR357">
            <v>0.8</v>
          </cell>
          <cell r="CS357">
            <v>0</v>
          </cell>
          <cell r="CT357">
            <v>0</v>
          </cell>
          <cell r="CU357">
            <v>0</v>
          </cell>
          <cell r="CV357">
            <v>0.8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59.5</v>
          </cell>
          <cell r="DB357">
            <v>-1.8</v>
          </cell>
          <cell r="DC357">
            <v>0</v>
          </cell>
          <cell r="DD357">
            <v>0</v>
          </cell>
          <cell r="DE357">
            <v>-0.1</v>
          </cell>
          <cell r="DF357">
            <v>0</v>
          </cell>
          <cell r="DG357">
            <v>0</v>
          </cell>
          <cell r="DH357">
            <v>-2.6</v>
          </cell>
          <cell r="DI357">
            <v>0.9</v>
          </cell>
          <cell r="DJ357">
            <v>0</v>
          </cell>
          <cell r="DK357">
            <v>0</v>
          </cell>
          <cell r="DL357">
            <v>0</v>
          </cell>
          <cell r="DM357">
            <v>119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EM357">
            <v>19.399999999999999</v>
          </cell>
          <cell r="EN357">
            <v>28.6</v>
          </cell>
          <cell r="EO357">
            <v>44.7</v>
          </cell>
          <cell r="EP357">
            <v>49.5</v>
          </cell>
          <cell r="EQ357">
            <v>57.5</v>
          </cell>
          <cell r="ER357">
            <v>77</v>
          </cell>
          <cell r="ES357">
            <v>32.700000000000003</v>
          </cell>
        </row>
        <row r="358">
          <cell r="A358" t="str">
            <v>O&amp;M (Net of pass-throughs)</v>
          </cell>
          <cell r="B358" t="str">
            <v>Operations &amp; Maintenance Expense (incl clause)</v>
          </cell>
          <cell r="E358" t="str">
            <v>Operations &amp; Maintenance Expense</v>
          </cell>
          <cell r="F358" t="str">
            <v>6700503</v>
          </cell>
          <cell r="G358" t="str">
            <v>A_6700503</v>
          </cell>
          <cell r="H358" t="str">
            <v>Insurance - Crime &amp; Fidelity</v>
          </cell>
          <cell r="J358">
            <v>0.4</v>
          </cell>
          <cell r="K358">
            <v>0.4</v>
          </cell>
          <cell r="L358">
            <v>0.4</v>
          </cell>
          <cell r="M358">
            <v>0.4</v>
          </cell>
          <cell r="N358">
            <v>0.4</v>
          </cell>
          <cell r="O358">
            <v>0.4</v>
          </cell>
          <cell r="P358">
            <v>0.4</v>
          </cell>
          <cell r="Q358">
            <v>0.4</v>
          </cell>
          <cell r="R358">
            <v>0.4</v>
          </cell>
          <cell r="S358">
            <v>0.4</v>
          </cell>
          <cell r="T358">
            <v>0.4</v>
          </cell>
          <cell r="U358">
            <v>0.4</v>
          </cell>
          <cell r="V358">
            <v>0.4</v>
          </cell>
          <cell r="W358">
            <v>0.4</v>
          </cell>
          <cell r="X358">
            <v>0.4</v>
          </cell>
          <cell r="Y358">
            <v>0.4</v>
          </cell>
          <cell r="Z358">
            <v>0.4</v>
          </cell>
          <cell r="AA358">
            <v>0.8</v>
          </cell>
          <cell r="AB358">
            <v>0.4</v>
          </cell>
          <cell r="AC358">
            <v>0.4</v>
          </cell>
          <cell r="AD358">
            <v>0.4</v>
          </cell>
          <cell r="AE358">
            <v>0.4</v>
          </cell>
          <cell r="AF358">
            <v>0.4</v>
          </cell>
          <cell r="AG358">
            <v>0.4</v>
          </cell>
          <cell r="AH358">
            <v>0.4</v>
          </cell>
          <cell r="AI358">
            <v>0.4</v>
          </cell>
          <cell r="AJ358">
            <v>0.4</v>
          </cell>
          <cell r="AK358">
            <v>0.4</v>
          </cell>
          <cell r="AL358">
            <v>0.4</v>
          </cell>
          <cell r="AM358">
            <v>0.4</v>
          </cell>
          <cell r="AN358">
            <v>0.6</v>
          </cell>
          <cell r="AO358">
            <v>0.2</v>
          </cell>
          <cell r="AP358">
            <v>1</v>
          </cell>
          <cell r="AQ358">
            <v>0.2</v>
          </cell>
          <cell r="AR358">
            <v>0.2</v>
          </cell>
          <cell r="AS358">
            <v>0.2</v>
          </cell>
          <cell r="AT358">
            <v>0</v>
          </cell>
          <cell r="AU358">
            <v>0</v>
          </cell>
          <cell r="AV358">
            <v>1.4</v>
          </cell>
          <cell r="AW358">
            <v>0.5</v>
          </cell>
          <cell r="AX358">
            <v>0.5</v>
          </cell>
          <cell r="AY358">
            <v>0.5</v>
          </cell>
          <cell r="AZ358">
            <v>0.5</v>
          </cell>
          <cell r="BA358">
            <v>0.5</v>
          </cell>
          <cell r="BB358">
            <v>0.5</v>
          </cell>
          <cell r="BC358">
            <v>0.5</v>
          </cell>
          <cell r="BD358">
            <v>0.5</v>
          </cell>
          <cell r="BE358">
            <v>0.5</v>
          </cell>
          <cell r="BF358">
            <v>0.5</v>
          </cell>
          <cell r="BG358">
            <v>0.5</v>
          </cell>
          <cell r="BH358">
            <v>1.2</v>
          </cell>
          <cell r="BI358">
            <v>0.7</v>
          </cell>
          <cell r="BJ358">
            <v>0.7</v>
          </cell>
          <cell r="BK358">
            <v>0.7</v>
          </cell>
          <cell r="BL358">
            <v>0.7</v>
          </cell>
          <cell r="BM358">
            <v>0.7</v>
          </cell>
          <cell r="BN358">
            <v>0.7</v>
          </cell>
          <cell r="BO358">
            <v>0.7</v>
          </cell>
          <cell r="BP358">
            <v>0.7</v>
          </cell>
          <cell r="BQ358">
            <v>0.7</v>
          </cell>
          <cell r="BR358">
            <v>0.7</v>
          </cell>
          <cell r="BS358">
            <v>0.7</v>
          </cell>
          <cell r="BT358">
            <v>0.7</v>
          </cell>
          <cell r="BU358">
            <v>0.7</v>
          </cell>
          <cell r="BV358">
            <v>0.7</v>
          </cell>
          <cell r="BW358">
            <v>0.7</v>
          </cell>
          <cell r="BX358">
            <v>0.7</v>
          </cell>
          <cell r="BY358">
            <v>0.7</v>
          </cell>
          <cell r="BZ358">
            <v>0.7</v>
          </cell>
          <cell r="CA358">
            <v>0.7</v>
          </cell>
          <cell r="CB358">
            <v>0.7</v>
          </cell>
          <cell r="CC358">
            <v>0.7</v>
          </cell>
          <cell r="CD358">
            <v>0.3</v>
          </cell>
          <cell r="CE358">
            <v>0.6</v>
          </cell>
          <cell r="CF358">
            <v>0.5</v>
          </cell>
          <cell r="CG358">
            <v>0.5</v>
          </cell>
          <cell r="CH358">
            <v>0.5</v>
          </cell>
          <cell r="CI358">
            <v>0.5</v>
          </cell>
          <cell r="CJ358">
            <v>0.5</v>
          </cell>
          <cell r="CK358">
            <v>0.5</v>
          </cell>
          <cell r="CL358">
            <v>0.5</v>
          </cell>
          <cell r="CM358">
            <v>0.5</v>
          </cell>
          <cell r="CN358">
            <v>0.5</v>
          </cell>
          <cell r="CO358">
            <v>0.5</v>
          </cell>
          <cell r="CP358">
            <v>0.6</v>
          </cell>
          <cell r="CQ358">
            <v>0.6</v>
          </cell>
          <cell r="CR358">
            <v>0.6</v>
          </cell>
          <cell r="CS358">
            <v>0.6</v>
          </cell>
          <cell r="CT358">
            <v>0.6</v>
          </cell>
          <cell r="CU358">
            <v>0.6</v>
          </cell>
          <cell r="CV358">
            <v>0.6</v>
          </cell>
          <cell r="CW358">
            <v>0.6</v>
          </cell>
          <cell r="CX358">
            <v>0.6</v>
          </cell>
          <cell r="CY358">
            <v>0.6</v>
          </cell>
          <cell r="CZ358">
            <v>0.6</v>
          </cell>
          <cell r="DA358">
            <v>0.6</v>
          </cell>
          <cell r="DB358">
            <v>0.7</v>
          </cell>
          <cell r="DC358">
            <v>0.8</v>
          </cell>
          <cell r="DD358">
            <v>0.8</v>
          </cell>
          <cell r="DE358">
            <v>0.8</v>
          </cell>
          <cell r="DF358">
            <v>0.8</v>
          </cell>
          <cell r="DG358">
            <v>0.8</v>
          </cell>
          <cell r="DH358">
            <v>0.8</v>
          </cell>
          <cell r="DI358">
            <v>0.8</v>
          </cell>
          <cell r="DJ358">
            <v>0.8</v>
          </cell>
          <cell r="DK358">
            <v>0.8</v>
          </cell>
          <cell r="DL358">
            <v>0.8</v>
          </cell>
          <cell r="DM358">
            <v>0.8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EM358">
            <v>5.2</v>
          </cell>
          <cell r="EN358">
            <v>4.8000000000000007</v>
          </cell>
          <cell r="EO358">
            <v>5.9</v>
          </cell>
          <cell r="EP358">
            <v>8.5000000000000018</v>
          </cell>
          <cell r="EQ358">
            <v>8.4</v>
          </cell>
          <cell r="ER358">
            <v>5.9</v>
          </cell>
          <cell r="ES358">
            <v>7.1999999999999984</v>
          </cell>
        </row>
        <row r="359">
          <cell r="A359" t="str">
            <v>O&amp;M (Net of pass-throughs)</v>
          </cell>
          <cell r="B359" t="str">
            <v>Operations &amp; Maintenance Expense (incl clause)</v>
          </cell>
          <cell r="E359" t="str">
            <v>Operations &amp; Maintenance Expense</v>
          </cell>
          <cell r="F359" t="str">
            <v>6700504</v>
          </cell>
          <cell r="G359" t="str">
            <v>A_6700504</v>
          </cell>
          <cell r="H359" t="str">
            <v>Insurance - Directors &amp; Officers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4</v>
          </cell>
          <cell r="CE359">
            <v>4</v>
          </cell>
          <cell r="CF359">
            <v>4</v>
          </cell>
          <cell r="CG359">
            <v>4</v>
          </cell>
          <cell r="CH359">
            <v>4</v>
          </cell>
          <cell r="CI359">
            <v>4</v>
          </cell>
          <cell r="CJ359">
            <v>4</v>
          </cell>
          <cell r="CK359">
            <v>4</v>
          </cell>
          <cell r="CL359">
            <v>4</v>
          </cell>
          <cell r="CM359">
            <v>4</v>
          </cell>
          <cell r="CN359">
            <v>4</v>
          </cell>
          <cell r="CO359">
            <v>4</v>
          </cell>
          <cell r="CP359">
            <v>4.7</v>
          </cell>
          <cell r="CQ359">
            <v>4.8</v>
          </cell>
          <cell r="CR359">
            <v>4.8</v>
          </cell>
          <cell r="CS359">
            <v>4.8</v>
          </cell>
          <cell r="CT359">
            <v>4.8</v>
          </cell>
          <cell r="CU359">
            <v>4.8</v>
          </cell>
          <cell r="CV359">
            <v>4.8</v>
          </cell>
          <cell r="CW359">
            <v>4.8</v>
          </cell>
          <cell r="CX359">
            <v>4.8</v>
          </cell>
          <cell r="CY359">
            <v>4.8</v>
          </cell>
          <cell r="CZ359">
            <v>4.8</v>
          </cell>
          <cell r="DA359">
            <v>4.8</v>
          </cell>
          <cell r="DB359">
            <v>5.9</v>
          </cell>
          <cell r="DC359">
            <v>5.9</v>
          </cell>
          <cell r="DD359">
            <v>5.9</v>
          </cell>
          <cell r="DE359">
            <v>5.9</v>
          </cell>
          <cell r="DF359">
            <v>5.9</v>
          </cell>
          <cell r="DG359">
            <v>5.9</v>
          </cell>
          <cell r="DH359">
            <v>5.9</v>
          </cell>
          <cell r="DI359">
            <v>5.9</v>
          </cell>
          <cell r="DJ359">
            <v>5.9</v>
          </cell>
          <cell r="DK359">
            <v>5.9</v>
          </cell>
          <cell r="DL359">
            <v>5.9</v>
          </cell>
          <cell r="DM359">
            <v>5.9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48</v>
          </cell>
          <cell r="ES359">
            <v>57.499999999999986</v>
          </cell>
        </row>
        <row r="360">
          <cell r="A360" t="str">
            <v>O&amp;M (Net of pass-throughs)</v>
          </cell>
          <cell r="B360" t="str">
            <v>Operations &amp; Maintenance Expense (incl clause)</v>
          </cell>
          <cell r="E360" t="str">
            <v>Operations &amp; Maintenance Expense</v>
          </cell>
          <cell r="F360" t="str">
            <v>6700505</v>
          </cell>
          <cell r="G360" t="str">
            <v>A_6700505</v>
          </cell>
          <cell r="H360" t="str">
            <v>Insurance - Errors &amp; Omissions</v>
          </cell>
          <cell r="J360">
            <v>2.1</v>
          </cell>
          <cell r="K360">
            <v>2.1</v>
          </cell>
          <cell r="L360">
            <v>2.1</v>
          </cell>
          <cell r="M360">
            <v>2.1</v>
          </cell>
          <cell r="N360">
            <v>2.1</v>
          </cell>
          <cell r="O360">
            <v>2.1</v>
          </cell>
          <cell r="P360">
            <v>2.2999999999999998</v>
          </cell>
          <cell r="Q360">
            <v>2.2999999999999998</v>
          </cell>
          <cell r="R360">
            <v>2.2999999999999998</v>
          </cell>
          <cell r="S360">
            <v>2.2999999999999998</v>
          </cell>
          <cell r="T360">
            <v>2.2999999999999998</v>
          </cell>
          <cell r="U360">
            <v>2.2999999999999998</v>
          </cell>
          <cell r="V360">
            <v>2.2999999999999998</v>
          </cell>
          <cell r="W360">
            <v>2.2999999999999998</v>
          </cell>
          <cell r="X360">
            <v>2.2999999999999998</v>
          </cell>
          <cell r="Y360">
            <v>2.2999999999999998</v>
          </cell>
          <cell r="Z360">
            <v>2.2999999999999998</v>
          </cell>
          <cell r="AA360">
            <v>2.2999999999999998</v>
          </cell>
          <cell r="AB360">
            <v>0.3</v>
          </cell>
          <cell r="AC360">
            <v>0.3</v>
          </cell>
          <cell r="AD360">
            <v>0.3</v>
          </cell>
          <cell r="AE360">
            <v>0.3</v>
          </cell>
          <cell r="AF360">
            <v>0.3</v>
          </cell>
          <cell r="AG360">
            <v>0.3</v>
          </cell>
          <cell r="AH360">
            <v>0.3</v>
          </cell>
          <cell r="AI360">
            <v>0.3</v>
          </cell>
          <cell r="AJ360">
            <v>0.3</v>
          </cell>
          <cell r="AK360">
            <v>0.3</v>
          </cell>
          <cell r="AL360">
            <v>0.3</v>
          </cell>
          <cell r="AM360">
            <v>0.3</v>
          </cell>
          <cell r="AN360">
            <v>0.2</v>
          </cell>
          <cell r="AO360">
            <v>0.2</v>
          </cell>
          <cell r="AP360">
            <v>0.2</v>
          </cell>
          <cell r="AQ360">
            <v>0.2</v>
          </cell>
          <cell r="AR360">
            <v>0.2</v>
          </cell>
          <cell r="AS360">
            <v>0.2</v>
          </cell>
          <cell r="AT360">
            <v>0.2</v>
          </cell>
          <cell r="AU360">
            <v>0.2</v>
          </cell>
          <cell r="AV360">
            <v>0.2</v>
          </cell>
          <cell r="AW360">
            <v>0.2</v>
          </cell>
          <cell r="AX360">
            <v>0.2</v>
          </cell>
          <cell r="AY360">
            <v>0.2</v>
          </cell>
          <cell r="AZ360">
            <v>0.2</v>
          </cell>
          <cell r="BA360">
            <v>0.2</v>
          </cell>
          <cell r="BB360">
            <v>0.2</v>
          </cell>
          <cell r="BC360">
            <v>0.2</v>
          </cell>
          <cell r="BD360">
            <v>0.2</v>
          </cell>
          <cell r="BE360">
            <v>0.2</v>
          </cell>
          <cell r="BF360">
            <v>0.2</v>
          </cell>
          <cell r="BG360">
            <v>0.2</v>
          </cell>
          <cell r="BH360">
            <v>0.2</v>
          </cell>
          <cell r="BI360">
            <v>0.2</v>
          </cell>
          <cell r="BJ360">
            <v>0.2</v>
          </cell>
          <cell r="BK360">
            <v>0.2</v>
          </cell>
          <cell r="BL360">
            <v>0.2</v>
          </cell>
          <cell r="BM360">
            <v>0.2</v>
          </cell>
          <cell r="BN360">
            <v>0.2</v>
          </cell>
          <cell r="BO360">
            <v>0.2</v>
          </cell>
          <cell r="BP360">
            <v>0.2</v>
          </cell>
          <cell r="BQ360">
            <v>0.2</v>
          </cell>
          <cell r="BR360">
            <v>0.2</v>
          </cell>
          <cell r="BS360">
            <v>0.2</v>
          </cell>
          <cell r="BT360">
            <v>0.2</v>
          </cell>
          <cell r="BU360">
            <v>0.2</v>
          </cell>
          <cell r="BV360">
            <v>0.2</v>
          </cell>
          <cell r="BW360">
            <v>0.2</v>
          </cell>
          <cell r="BX360">
            <v>0.2</v>
          </cell>
          <cell r="BY360">
            <v>0.2</v>
          </cell>
          <cell r="BZ360">
            <v>0.2</v>
          </cell>
          <cell r="CA360">
            <v>0.2</v>
          </cell>
          <cell r="CB360">
            <v>0.2</v>
          </cell>
          <cell r="CC360">
            <v>0.2</v>
          </cell>
          <cell r="CD360">
            <v>0.2</v>
          </cell>
          <cell r="CE360">
            <v>0.2</v>
          </cell>
          <cell r="CF360">
            <v>0.2</v>
          </cell>
          <cell r="CG360">
            <v>0.2</v>
          </cell>
          <cell r="CH360">
            <v>0.2</v>
          </cell>
          <cell r="CI360">
            <v>0.2</v>
          </cell>
          <cell r="CJ360">
            <v>0.2</v>
          </cell>
          <cell r="CK360">
            <v>0.2</v>
          </cell>
          <cell r="CL360">
            <v>0.2</v>
          </cell>
          <cell r="CM360">
            <v>0.2</v>
          </cell>
          <cell r="CN360">
            <v>0.2</v>
          </cell>
          <cell r="CO360">
            <v>0.3</v>
          </cell>
          <cell r="CP360">
            <v>0.2</v>
          </cell>
          <cell r="CQ360">
            <v>0.2</v>
          </cell>
          <cell r="CR360">
            <v>0.2</v>
          </cell>
          <cell r="CS360">
            <v>0.3</v>
          </cell>
          <cell r="CT360">
            <v>0.2</v>
          </cell>
          <cell r="CU360">
            <v>0.2</v>
          </cell>
          <cell r="CV360">
            <v>0.2</v>
          </cell>
          <cell r="CW360">
            <v>0.2</v>
          </cell>
          <cell r="CX360">
            <v>0.2</v>
          </cell>
          <cell r="CY360">
            <v>0.2</v>
          </cell>
          <cell r="CZ360">
            <v>0.2</v>
          </cell>
          <cell r="DA360">
            <v>0.3</v>
          </cell>
          <cell r="DB360">
            <v>0.2</v>
          </cell>
          <cell r="DC360">
            <v>0.3</v>
          </cell>
          <cell r="DD360">
            <v>0.3</v>
          </cell>
          <cell r="DE360">
            <v>0.3</v>
          </cell>
          <cell r="DF360">
            <v>0.3</v>
          </cell>
          <cell r="DG360">
            <v>0.3</v>
          </cell>
          <cell r="DH360">
            <v>0.3</v>
          </cell>
          <cell r="DI360">
            <v>0.3</v>
          </cell>
          <cell r="DJ360">
            <v>0.3</v>
          </cell>
          <cell r="DK360">
            <v>0.3</v>
          </cell>
          <cell r="DL360">
            <v>0.3</v>
          </cell>
          <cell r="DM360">
            <v>0.3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EM360">
            <v>15.600000000000005</v>
          </cell>
          <cell r="EN360">
            <v>3.0000000000000009</v>
          </cell>
          <cell r="EO360">
            <v>2.4</v>
          </cell>
          <cell r="EP360">
            <v>2.4</v>
          </cell>
          <cell r="EQ360">
            <v>2.4</v>
          </cell>
          <cell r="ER360">
            <v>2.4999999999999996</v>
          </cell>
          <cell r="ES360">
            <v>2.6</v>
          </cell>
        </row>
        <row r="361">
          <cell r="A361" t="str">
            <v>O&amp;M (Net of pass-throughs)</v>
          </cell>
          <cell r="B361" t="str">
            <v>Operations &amp; Maintenance Expense (incl clause)</v>
          </cell>
          <cell r="E361" t="str">
            <v>Operations &amp; Maintenance Expense</v>
          </cell>
          <cell r="F361" t="str">
            <v>6700506</v>
          </cell>
          <cell r="G361" t="str">
            <v>A_6700506</v>
          </cell>
          <cell r="H361" t="str">
            <v>Insurance - Excess Automobile</v>
          </cell>
          <cell r="J361">
            <v>11.5</v>
          </cell>
          <cell r="K361">
            <v>11.5</v>
          </cell>
          <cell r="L361">
            <v>11.5</v>
          </cell>
          <cell r="M361">
            <v>11.5</v>
          </cell>
          <cell r="N361">
            <v>11.5</v>
          </cell>
          <cell r="O361">
            <v>11.5</v>
          </cell>
          <cell r="P361">
            <v>12.6</v>
          </cell>
          <cell r="Q361">
            <v>12.6</v>
          </cell>
          <cell r="R361">
            <v>12.6</v>
          </cell>
          <cell r="S361">
            <v>12.6</v>
          </cell>
          <cell r="T361">
            <v>12.6</v>
          </cell>
          <cell r="U361">
            <v>12.6</v>
          </cell>
          <cell r="V361">
            <v>12.6</v>
          </cell>
          <cell r="W361">
            <v>12.6</v>
          </cell>
          <cell r="X361">
            <v>12.6</v>
          </cell>
          <cell r="Y361">
            <v>12.6</v>
          </cell>
          <cell r="Z361">
            <v>12.6</v>
          </cell>
          <cell r="AA361">
            <v>12.6</v>
          </cell>
          <cell r="AB361">
            <v>9</v>
          </cell>
          <cell r="AC361">
            <v>9</v>
          </cell>
          <cell r="AD361">
            <v>9</v>
          </cell>
          <cell r="AE361">
            <v>9</v>
          </cell>
          <cell r="AF361">
            <v>9</v>
          </cell>
          <cell r="AG361">
            <v>9</v>
          </cell>
          <cell r="AH361">
            <v>9</v>
          </cell>
          <cell r="AI361">
            <v>10</v>
          </cell>
          <cell r="AJ361">
            <v>9</v>
          </cell>
          <cell r="AK361">
            <v>9</v>
          </cell>
          <cell r="AL361">
            <v>9</v>
          </cell>
          <cell r="AM361">
            <v>9</v>
          </cell>
          <cell r="AN361">
            <v>10.199999999999999</v>
          </cell>
          <cell r="AO361">
            <v>10.199999999999999</v>
          </cell>
          <cell r="AP361">
            <v>10.199999999999999</v>
          </cell>
          <cell r="AQ361">
            <v>10.199999999999999</v>
          </cell>
          <cell r="AR361">
            <v>10.199999999999999</v>
          </cell>
          <cell r="AS361">
            <v>10.199999999999999</v>
          </cell>
          <cell r="AT361">
            <v>10.199999999999999</v>
          </cell>
          <cell r="AU361">
            <v>10.199999999999999</v>
          </cell>
          <cell r="AV361">
            <v>12.6</v>
          </cell>
          <cell r="AW361">
            <v>10.8</v>
          </cell>
          <cell r="AX361">
            <v>10.8</v>
          </cell>
          <cell r="AY361">
            <v>10.8</v>
          </cell>
          <cell r="AZ361">
            <v>10.8</v>
          </cell>
          <cell r="BA361">
            <v>10.8</v>
          </cell>
          <cell r="BB361">
            <v>10.8</v>
          </cell>
          <cell r="BC361">
            <v>10.8</v>
          </cell>
          <cell r="BD361">
            <v>10.8</v>
          </cell>
          <cell r="BE361">
            <v>11.9</v>
          </cell>
          <cell r="BF361">
            <v>21.7</v>
          </cell>
          <cell r="BG361">
            <v>16.8</v>
          </cell>
          <cell r="BH361">
            <v>16.8</v>
          </cell>
          <cell r="BI361">
            <v>16.8</v>
          </cell>
          <cell r="BJ361">
            <v>16.8</v>
          </cell>
          <cell r="BK361">
            <v>16.8</v>
          </cell>
          <cell r="BL361">
            <v>16.8</v>
          </cell>
          <cell r="BM361">
            <v>16.8</v>
          </cell>
          <cell r="BN361">
            <v>16.8</v>
          </cell>
          <cell r="BO361">
            <v>16.8</v>
          </cell>
          <cell r="BP361">
            <v>16.8</v>
          </cell>
          <cell r="BQ361">
            <v>17</v>
          </cell>
          <cell r="BR361">
            <v>17</v>
          </cell>
          <cell r="BS361">
            <v>17</v>
          </cell>
          <cell r="BT361">
            <v>17</v>
          </cell>
          <cell r="BU361">
            <v>17</v>
          </cell>
          <cell r="BV361">
            <v>17</v>
          </cell>
          <cell r="BW361">
            <v>17</v>
          </cell>
          <cell r="BX361">
            <v>17</v>
          </cell>
          <cell r="BY361">
            <v>17</v>
          </cell>
          <cell r="BZ361">
            <v>17</v>
          </cell>
          <cell r="CA361">
            <v>17</v>
          </cell>
          <cell r="CB361">
            <v>17</v>
          </cell>
          <cell r="CC361">
            <v>17</v>
          </cell>
          <cell r="CD361">
            <v>17</v>
          </cell>
          <cell r="CE361">
            <v>17.3</v>
          </cell>
          <cell r="CF361">
            <v>17.100000000000001</v>
          </cell>
          <cell r="CG361">
            <v>17.100000000000001</v>
          </cell>
          <cell r="CH361">
            <v>17.100000000000001</v>
          </cell>
          <cell r="CI361">
            <v>-12.3</v>
          </cell>
          <cell r="CJ361">
            <v>12.9</v>
          </cell>
          <cell r="CK361">
            <v>12.9</v>
          </cell>
          <cell r="CL361">
            <v>12.9</v>
          </cell>
          <cell r="CM361">
            <v>12.9</v>
          </cell>
          <cell r="CN361">
            <v>12.9</v>
          </cell>
          <cell r="CO361">
            <v>11.7</v>
          </cell>
          <cell r="CP361">
            <v>12.8</v>
          </cell>
          <cell r="CQ361">
            <v>12.8</v>
          </cell>
          <cell r="CR361">
            <v>12.8</v>
          </cell>
          <cell r="CS361">
            <v>12.8</v>
          </cell>
          <cell r="CT361">
            <v>12.8</v>
          </cell>
          <cell r="CU361">
            <v>6.1</v>
          </cell>
          <cell r="CV361">
            <v>6.1</v>
          </cell>
          <cell r="CW361">
            <v>6.1</v>
          </cell>
          <cell r="CX361">
            <v>6.1</v>
          </cell>
          <cell r="CY361">
            <v>6.1</v>
          </cell>
          <cell r="CZ361">
            <v>6.1</v>
          </cell>
          <cell r="DA361">
            <v>6.1</v>
          </cell>
          <cell r="DB361">
            <v>6.1</v>
          </cell>
          <cell r="DC361">
            <v>6.1</v>
          </cell>
          <cell r="DD361">
            <v>6.1</v>
          </cell>
          <cell r="DE361">
            <v>6.1</v>
          </cell>
          <cell r="DF361">
            <v>6.1</v>
          </cell>
          <cell r="DG361">
            <v>7.7</v>
          </cell>
          <cell r="DH361">
            <v>14.4</v>
          </cell>
          <cell r="DI361">
            <v>11.1</v>
          </cell>
          <cell r="DJ361">
            <v>11.1</v>
          </cell>
          <cell r="DK361">
            <v>11.1</v>
          </cell>
          <cell r="DL361">
            <v>11.1</v>
          </cell>
          <cell r="DM361">
            <v>11.1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EM361">
            <v>129.6</v>
          </cell>
          <cell r="EN361">
            <v>116.20000000000002</v>
          </cell>
          <cell r="EO361">
            <v>131.29999999999998</v>
          </cell>
          <cell r="EP361">
            <v>206.70000000000002</v>
          </cell>
          <cell r="EQ361">
            <v>204</v>
          </cell>
          <cell r="ER361">
            <v>149.5</v>
          </cell>
          <cell r="ES361">
            <v>106.69999999999996</v>
          </cell>
        </row>
        <row r="362">
          <cell r="A362" t="str">
            <v>O&amp;M (Net of pass-throughs)</v>
          </cell>
          <cell r="B362" t="str">
            <v>Operations &amp; Maintenance Expense (incl clause)</v>
          </cell>
          <cell r="E362" t="str">
            <v>Operations &amp; Maintenance Expense</v>
          </cell>
          <cell r="F362" t="str">
            <v>6700507</v>
          </cell>
          <cell r="G362" t="str">
            <v>A_6700507</v>
          </cell>
          <cell r="H362" t="str">
            <v>Insurance - Excess General Liability</v>
          </cell>
          <cell r="J362">
            <v>89.1</v>
          </cell>
          <cell r="K362">
            <v>89.1</v>
          </cell>
          <cell r="L362">
            <v>89.1</v>
          </cell>
          <cell r="M362">
            <v>85.2</v>
          </cell>
          <cell r="N362">
            <v>85.2</v>
          </cell>
          <cell r="O362">
            <v>85.2</v>
          </cell>
          <cell r="P362">
            <v>99.2</v>
          </cell>
          <cell r="Q362">
            <v>86.3</v>
          </cell>
          <cell r="R362">
            <v>92.8</v>
          </cell>
          <cell r="S362">
            <v>96.7</v>
          </cell>
          <cell r="T362">
            <v>93.8</v>
          </cell>
          <cell r="U362">
            <v>93.8</v>
          </cell>
          <cell r="V362">
            <v>93.8</v>
          </cell>
          <cell r="W362">
            <v>93.8</v>
          </cell>
          <cell r="X362">
            <v>82.5</v>
          </cell>
          <cell r="Y362">
            <v>93.8</v>
          </cell>
          <cell r="Z362">
            <v>93.8</v>
          </cell>
          <cell r="AA362">
            <v>93.8</v>
          </cell>
          <cell r="AB362">
            <v>102.9</v>
          </cell>
          <cell r="AC362">
            <v>102.9</v>
          </cell>
          <cell r="AD362">
            <v>102.9</v>
          </cell>
          <cell r="AE362">
            <v>111.8</v>
          </cell>
          <cell r="AF362">
            <v>102.9</v>
          </cell>
          <cell r="AG362">
            <v>102.9</v>
          </cell>
          <cell r="AH362">
            <v>102.9</v>
          </cell>
          <cell r="AI362">
            <v>102.9</v>
          </cell>
          <cell r="AJ362">
            <v>102.9</v>
          </cell>
          <cell r="AK362">
            <v>42.2</v>
          </cell>
          <cell r="AL362">
            <v>102.9</v>
          </cell>
          <cell r="AM362">
            <v>102.9</v>
          </cell>
          <cell r="AN362">
            <v>102.9</v>
          </cell>
          <cell r="AO362">
            <v>102.9</v>
          </cell>
          <cell r="AP362">
            <v>102.9</v>
          </cell>
          <cell r="AQ362">
            <v>111.8</v>
          </cell>
          <cell r="AR362">
            <v>102.9</v>
          </cell>
          <cell r="AS362">
            <v>102.9</v>
          </cell>
          <cell r="AT362">
            <v>111.4</v>
          </cell>
          <cell r="AU362">
            <v>102.9</v>
          </cell>
          <cell r="AV362">
            <v>116.5</v>
          </cell>
          <cell r="AW362">
            <v>104.3</v>
          </cell>
          <cell r="AX362">
            <v>101.5</v>
          </cell>
          <cell r="AY362">
            <v>103.9</v>
          </cell>
          <cell r="AZ362">
            <v>103.9</v>
          </cell>
          <cell r="BA362">
            <v>103.9</v>
          </cell>
          <cell r="BB362">
            <v>103.9</v>
          </cell>
          <cell r="BC362">
            <v>104.7</v>
          </cell>
          <cell r="BD362">
            <v>103.9</v>
          </cell>
          <cell r="BE362">
            <v>132.1</v>
          </cell>
          <cell r="BF362">
            <v>98.5</v>
          </cell>
          <cell r="BG362">
            <v>114.5</v>
          </cell>
          <cell r="BH362">
            <v>115.4</v>
          </cell>
          <cell r="BI362">
            <v>115.4</v>
          </cell>
          <cell r="BJ362">
            <v>119.3</v>
          </cell>
          <cell r="BK362">
            <v>-40</v>
          </cell>
          <cell r="BL362">
            <v>116</v>
          </cell>
          <cell r="BM362">
            <v>116</v>
          </cell>
          <cell r="BN362">
            <v>116</v>
          </cell>
          <cell r="BO362">
            <v>116</v>
          </cell>
          <cell r="BP362">
            <v>116</v>
          </cell>
          <cell r="BQ362">
            <v>156.30000000000001</v>
          </cell>
          <cell r="BR362">
            <v>149.30000000000001</v>
          </cell>
          <cell r="BS362">
            <v>127.3</v>
          </cell>
          <cell r="BT362">
            <v>144.4</v>
          </cell>
          <cell r="BU362">
            <v>144.30000000000001</v>
          </cell>
          <cell r="BV362">
            <v>-48.8</v>
          </cell>
          <cell r="BW362">
            <v>144.19999999999999</v>
          </cell>
          <cell r="BX362">
            <v>144.19999999999999</v>
          </cell>
          <cell r="BY362">
            <v>144.19999999999999</v>
          </cell>
          <cell r="BZ362">
            <v>144.19999999999999</v>
          </cell>
          <cell r="CA362">
            <v>144.19999999999999</v>
          </cell>
          <cell r="CB362">
            <v>144.19999999999999</v>
          </cell>
          <cell r="CC362">
            <v>183.7</v>
          </cell>
          <cell r="CD362">
            <v>-55.6</v>
          </cell>
          <cell r="CE362">
            <v>237.3</v>
          </cell>
          <cell r="CF362">
            <v>222.1</v>
          </cell>
          <cell r="CG362">
            <v>191.2</v>
          </cell>
          <cell r="CH362">
            <v>191.2</v>
          </cell>
          <cell r="CI362">
            <v>111.9</v>
          </cell>
          <cell r="CJ362">
            <v>207.9</v>
          </cell>
          <cell r="CK362">
            <v>207.8</v>
          </cell>
          <cell r="CL362">
            <v>207.8</v>
          </cell>
          <cell r="CM362">
            <v>207.8</v>
          </cell>
          <cell r="CN362">
            <v>207.8</v>
          </cell>
          <cell r="CO362">
            <v>253.2</v>
          </cell>
          <cell r="CP362">
            <v>244.4</v>
          </cell>
          <cell r="CQ362">
            <v>284.8</v>
          </cell>
          <cell r="CR362">
            <v>243.9</v>
          </cell>
          <cell r="CS362">
            <v>242.4</v>
          </cell>
          <cell r="CT362">
            <v>243.9</v>
          </cell>
          <cell r="CU362">
            <v>367.2</v>
          </cell>
          <cell r="CV362">
            <v>367.2</v>
          </cell>
          <cell r="CW362">
            <v>367.2</v>
          </cell>
          <cell r="CX362">
            <v>367.2</v>
          </cell>
          <cell r="CY362">
            <v>367.2</v>
          </cell>
          <cell r="CZ362">
            <v>367.2</v>
          </cell>
          <cell r="DA362">
            <v>402.7</v>
          </cell>
          <cell r="DB362">
            <v>397.7</v>
          </cell>
          <cell r="DC362">
            <v>400.2</v>
          </cell>
          <cell r="DD362">
            <v>400.2</v>
          </cell>
          <cell r="DE362">
            <v>400.2</v>
          </cell>
          <cell r="DF362">
            <v>400.2</v>
          </cell>
          <cell r="DG362">
            <v>469</v>
          </cell>
          <cell r="DH362">
            <v>497.5</v>
          </cell>
          <cell r="DI362">
            <v>483.3</v>
          </cell>
          <cell r="DJ362">
            <v>483.3</v>
          </cell>
          <cell r="DK362">
            <v>483.3</v>
          </cell>
          <cell r="DL362">
            <v>483.3</v>
          </cell>
          <cell r="DM362">
            <v>483.3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EM362">
            <v>1177.8</v>
          </cell>
          <cell r="EN362">
            <v>1183</v>
          </cell>
          <cell r="EO362">
            <v>1292.8999999999999</v>
          </cell>
          <cell r="EP362">
            <v>1259.3999999999999</v>
          </cell>
          <cell r="EQ362">
            <v>1565.4000000000003</v>
          </cell>
          <cell r="ER362">
            <v>2190.3999999999996</v>
          </cell>
          <cell r="ES362">
            <v>3865.2999999999993</v>
          </cell>
        </row>
        <row r="363">
          <cell r="A363" t="str">
            <v>O&amp;M (Net of pass-throughs)</v>
          </cell>
          <cell r="B363" t="str">
            <v>Operations &amp; Maintenance Expense (incl clause)</v>
          </cell>
          <cell r="E363" t="str">
            <v>Operations &amp; Maintenance Expense</v>
          </cell>
          <cell r="F363" t="str">
            <v>6700508</v>
          </cell>
          <cell r="G363" t="str">
            <v>A_6700508</v>
          </cell>
          <cell r="H363" t="str">
            <v>Insurance - Fiduciary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0.6</v>
          </cell>
          <cell r="CE363">
            <v>0.6</v>
          </cell>
          <cell r="CF363">
            <v>0.6</v>
          </cell>
          <cell r="CG363">
            <v>0.6</v>
          </cell>
          <cell r="CH363">
            <v>0.6</v>
          </cell>
          <cell r="CI363">
            <v>0.6</v>
          </cell>
          <cell r="CJ363">
            <v>0.6</v>
          </cell>
          <cell r="CK363">
            <v>0.6</v>
          </cell>
          <cell r="CL363">
            <v>0.6</v>
          </cell>
          <cell r="CM363">
            <v>0.6</v>
          </cell>
          <cell r="CN363">
            <v>0.6</v>
          </cell>
          <cell r="CO363">
            <v>0.6</v>
          </cell>
          <cell r="CP363">
            <v>0.6</v>
          </cell>
          <cell r="CQ363">
            <v>0.7</v>
          </cell>
          <cell r="CR363">
            <v>0.7</v>
          </cell>
          <cell r="CS363">
            <v>0.7</v>
          </cell>
          <cell r="CT363">
            <v>0.7</v>
          </cell>
          <cell r="CU363">
            <v>0.7</v>
          </cell>
          <cell r="CV363">
            <v>0.7</v>
          </cell>
          <cell r="CW363">
            <v>0.7</v>
          </cell>
          <cell r="CX363">
            <v>0.7</v>
          </cell>
          <cell r="CY363">
            <v>0.7</v>
          </cell>
          <cell r="CZ363">
            <v>0.7</v>
          </cell>
          <cell r="DA363">
            <v>0.7</v>
          </cell>
          <cell r="DB363">
            <v>0.8</v>
          </cell>
          <cell r="DC363">
            <v>0.7</v>
          </cell>
          <cell r="DD363">
            <v>0.7</v>
          </cell>
          <cell r="DE363">
            <v>0.7</v>
          </cell>
          <cell r="DF363">
            <v>0.7</v>
          </cell>
          <cell r="DG363">
            <v>0.7</v>
          </cell>
          <cell r="DH363">
            <v>0.7</v>
          </cell>
          <cell r="DI363">
            <v>0.7</v>
          </cell>
          <cell r="DJ363">
            <v>0.7</v>
          </cell>
          <cell r="DK363">
            <v>0.7</v>
          </cell>
          <cell r="DL363">
            <v>0.7</v>
          </cell>
          <cell r="DM363">
            <v>0.7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7.1999999999999984</v>
          </cell>
          <cell r="ES363">
            <v>8.3000000000000007</v>
          </cell>
        </row>
        <row r="364">
          <cell r="A364" t="str">
            <v>O&amp;M (Net of pass-throughs)</v>
          </cell>
          <cell r="B364" t="str">
            <v>Operations &amp; Maintenance Expense (incl clause)</v>
          </cell>
          <cell r="E364" t="str">
            <v>Operations &amp; Maintenance Expense</v>
          </cell>
          <cell r="F364" t="str">
            <v>6700509</v>
          </cell>
          <cell r="G364" t="str">
            <v>A_6700509</v>
          </cell>
          <cell r="H364" t="str">
            <v>Insurance - I&amp;D Reserves</v>
          </cell>
          <cell r="J364">
            <v>150</v>
          </cell>
          <cell r="K364">
            <v>150</v>
          </cell>
          <cell r="L364">
            <v>7.8</v>
          </cell>
          <cell r="M364">
            <v>152.5</v>
          </cell>
          <cell r="N364">
            <v>150</v>
          </cell>
          <cell r="O364">
            <v>-297.5</v>
          </cell>
          <cell r="P364">
            <v>150</v>
          </cell>
          <cell r="Q364">
            <v>147.5</v>
          </cell>
          <cell r="R364">
            <v>-97.3</v>
          </cell>
          <cell r="S364">
            <v>150</v>
          </cell>
          <cell r="T364">
            <v>150</v>
          </cell>
          <cell r="U364">
            <v>-438.3</v>
          </cell>
          <cell r="V364">
            <v>0</v>
          </cell>
          <cell r="W364">
            <v>0</v>
          </cell>
          <cell r="X364">
            <v>-428.3</v>
          </cell>
          <cell r="Y364">
            <v>0</v>
          </cell>
          <cell r="Z364">
            <v>0</v>
          </cell>
          <cell r="AA364">
            <v>-276.3</v>
          </cell>
          <cell r="AB364">
            <v>0</v>
          </cell>
          <cell r="AC364">
            <v>0</v>
          </cell>
          <cell r="AD364">
            <v>-234</v>
          </cell>
          <cell r="AE364">
            <v>0</v>
          </cell>
          <cell r="AF364">
            <v>0</v>
          </cell>
          <cell r="AG364">
            <v>386.5</v>
          </cell>
          <cell r="AH364">
            <v>0</v>
          </cell>
          <cell r="AI364">
            <v>0</v>
          </cell>
          <cell r="AJ364">
            <v>-424.4</v>
          </cell>
          <cell r="AK364">
            <v>0</v>
          </cell>
          <cell r="AL364">
            <v>0</v>
          </cell>
          <cell r="AM364">
            <v>393.8</v>
          </cell>
          <cell r="AN364">
            <v>0</v>
          </cell>
          <cell r="AO364">
            <v>0</v>
          </cell>
          <cell r="AP364">
            <v>-100.9</v>
          </cell>
          <cell r="AQ364">
            <v>0</v>
          </cell>
          <cell r="AR364">
            <v>0</v>
          </cell>
          <cell r="AS364">
            <v>256.60000000000002</v>
          </cell>
          <cell r="AT364">
            <v>0</v>
          </cell>
          <cell r="AU364">
            <v>0</v>
          </cell>
          <cell r="AV364">
            <v>6.3</v>
          </cell>
          <cell r="AW364">
            <v>0</v>
          </cell>
          <cell r="AX364">
            <v>0</v>
          </cell>
          <cell r="AY364">
            <v>-157</v>
          </cell>
          <cell r="AZ364">
            <v>0</v>
          </cell>
          <cell r="BA364">
            <v>0</v>
          </cell>
          <cell r="BB364">
            <v>380.6</v>
          </cell>
          <cell r="BC364">
            <v>0</v>
          </cell>
          <cell r="BD364">
            <v>0</v>
          </cell>
          <cell r="BE364">
            <v>-413.7</v>
          </cell>
          <cell r="BF364">
            <v>0</v>
          </cell>
          <cell r="BG364">
            <v>0</v>
          </cell>
          <cell r="BH364">
            <v>-120.1</v>
          </cell>
          <cell r="BI364">
            <v>0</v>
          </cell>
          <cell r="BJ364">
            <v>0</v>
          </cell>
          <cell r="BK364">
            <v>89.9</v>
          </cell>
          <cell r="BL364">
            <v>0</v>
          </cell>
          <cell r="BM364">
            <v>0</v>
          </cell>
          <cell r="BN364">
            <v>35.4</v>
          </cell>
          <cell r="BO364">
            <v>0</v>
          </cell>
          <cell r="BP364">
            <v>0</v>
          </cell>
          <cell r="BQ364">
            <v>-62.1</v>
          </cell>
          <cell r="BR364">
            <v>0</v>
          </cell>
          <cell r="BS364">
            <v>0</v>
          </cell>
          <cell r="BT364">
            <v>810.7</v>
          </cell>
          <cell r="BU364">
            <v>0</v>
          </cell>
          <cell r="BV364">
            <v>0</v>
          </cell>
          <cell r="BW364">
            <v>212.9</v>
          </cell>
          <cell r="BX364">
            <v>1000</v>
          </cell>
          <cell r="BY364">
            <v>0</v>
          </cell>
          <cell r="BZ364">
            <v>-554.6</v>
          </cell>
          <cell r="CA364">
            <v>0</v>
          </cell>
          <cell r="CB364">
            <v>135</v>
          </cell>
          <cell r="CC364">
            <v>104.6</v>
          </cell>
          <cell r="CD364">
            <v>0</v>
          </cell>
          <cell r="CE364">
            <v>0</v>
          </cell>
          <cell r="CF364">
            <v>-335.7</v>
          </cell>
          <cell r="CG364">
            <v>0</v>
          </cell>
          <cell r="CH364">
            <v>0</v>
          </cell>
          <cell r="CI364">
            <v>306.39999999999998</v>
          </cell>
          <cell r="CJ364">
            <v>0</v>
          </cell>
          <cell r="CK364">
            <v>0</v>
          </cell>
          <cell r="CL364">
            <v>-90.5</v>
          </cell>
          <cell r="CM364">
            <v>0</v>
          </cell>
          <cell r="CN364">
            <v>0</v>
          </cell>
          <cell r="CO364">
            <v>646.1</v>
          </cell>
          <cell r="CP364">
            <v>0</v>
          </cell>
          <cell r="CQ364">
            <v>0</v>
          </cell>
          <cell r="CR364">
            <v>143.69999999999999</v>
          </cell>
          <cell r="CS364">
            <v>0</v>
          </cell>
          <cell r="CT364">
            <v>0</v>
          </cell>
          <cell r="CU364">
            <v>-97.2</v>
          </cell>
          <cell r="CV364">
            <v>0</v>
          </cell>
          <cell r="CW364">
            <v>0</v>
          </cell>
          <cell r="CX364">
            <v>312.5</v>
          </cell>
          <cell r="CY364">
            <v>0</v>
          </cell>
          <cell r="CZ364">
            <v>0</v>
          </cell>
          <cell r="DA364">
            <v>1091.8</v>
          </cell>
          <cell r="DB364">
            <v>0</v>
          </cell>
          <cell r="DC364">
            <v>0</v>
          </cell>
          <cell r="DD364">
            <v>-520.29999999999995</v>
          </cell>
          <cell r="DE364">
            <v>0</v>
          </cell>
          <cell r="DF364">
            <v>0</v>
          </cell>
          <cell r="DG364">
            <v>-27.9</v>
          </cell>
          <cell r="DH364">
            <v>0</v>
          </cell>
          <cell r="DI364">
            <v>0</v>
          </cell>
          <cell r="DJ364">
            <v>-1160.7</v>
          </cell>
          <cell r="DK364">
            <v>0</v>
          </cell>
          <cell r="DL364">
            <v>0</v>
          </cell>
          <cell r="DM364">
            <v>-872.1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EM364">
            <v>-552.1</v>
          </cell>
          <cell r="EN364">
            <v>125.10000000000005</v>
          </cell>
          <cell r="EO364">
            <v>-183.79999999999995</v>
          </cell>
          <cell r="EP364">
            <v>-56.899999999999991</v>
          </cell>
          <cell r="EQ364">
            <v>1708.6</v>
          </cell>
          <cell r="ER364">
            <v>526.29999999999995</v>
          </cell>
          <cell r="ES364">
            <v>1450.8</v>
          </cell>
        </row>
        <row r="365">
          <cell r="A365" t="str">
            <v>O&amp;M (Net of pass-throughs)</v>
          </cell>
          <cell r="B365" t="str">
            <v>Operations &amp; Maintenance Expense (incl clause)</v>
          </cell>
          <cell r="E365" t="str">
            <v>Operations &amp; Maintenance Expense</v>
          </cell>
          <cell r="F365" t="str">
            <v>6700513</v>
          </cell>
          <cell r="G365" t="str">
            <v>A_6700513</v>
          </cell>
          <cell r="H365" t="str">
            <v>Insurance - Practices Liability</v>
          </cell>
          <cell r="J365">
            <v>2.4</v>
          </cell>
          <cell r="K365">
            <v>2.4</v>
          </cell>
          <cell r="L365">
            <v>2.4</v>
          </cell>
          <cell r="M365">
            <v>2.4</v>
          </cell>
          <cell r="N365">
            <v>2.4</v>
          </cell>
          <cell r="O365">
            <v>2.4</v>
          </cell>
          <cell r="P365">
            <v>2.8</v>
          </cell>
          <cell r="Q365">
            <v>2.8</v>
          </cell>
          <cell r="R365">
            <v>2.8</v>
          </cell>
          <cell r="S365">
            <v>2.8</v>
          </cell>
          <cell r="T365">
            <v>2.8</v>
          </cell>
          <cell r="U365">
            <v>2.8</v>
          </cell>
          <cell r="V365">
            <v>2.8</v>
          </cell>
          <cell r="W365">
            <v>2.8</v>
          </cell>
          <cell r="X365">
            <v>2.8</v>
          </cell>
          <cell r="Y365">
            <v>2.8</v>
          </cell>
          <cell r="Z365">
            <v>2.8</v>
          </cell>
          <cell r="AA365">
            <v>2.8</v>
          </cell>
          <cell r="AB365">
            <v>0.9</v>
          </cell>
          <cell r="AC365">
            <v>0.9</v>
          </cell>
          <cell r="AD365">
            <v>0.9</v>
          </cell>
          <cell r="AE365">
            <v>0.9</v>
          </cell>
          <cell r="AF365">
            <v>0.9</v>
          </cell>
          <cell r="AG365">
            <v>0.9</v>
          </cell>
          <cell r="AH365">
            <v>0.9</v>
          </cell>
          <cell r="AI365">
            <v>0.9</v>
          </cell>
          <cell r="AJ365">
            <v>0.9</v>
          </cell>
          <cell r="AK365">
            <v>0.9</v>
          </cell>
          <cell r="AL365">
            <v>0.9</v>
          </cell>
          <cell r="AM365">
            <v>0.9</v>
          </cell>
          <cell r="AN365">
            <v>0.9</v>
          </cell>
          <cell r="AO365">
            <v>0.9</v>
          </cell>
          <cell r="AP365">
            <v>0.9</v>
          </cell>
          <cell r="AQ365">
            <v>0.9</v>
          </cell>
          <cell r="AR365">
            <v>0.9</v>
          </cell>
          <cell r="AS365">
            <v>0.9</v>
          </cell>
          <cell r="AT365">
            <v>0.9</v>
          </cell>
          <cell r="AU365">
            <v>0.9</v>
          </cell>
          <cell r="AV365">
            <v>1.1000000000000001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  <cell r="BA365">
            <v>1</v>
          </cell>
          <cell r="BB365">
            <v>1</v>
          </cell>
          <cell r="BC365">
            <v>1</v>
          </cell>
          <cell r="BD365">
            <v>1</v>
          </cell>
          <cell r="BE365">
            <v>0.9</v>
          </cell>
          <cell r="BF365">
            <v>-0.9</v>
          </cell>
          <cell r="BG365">
            <v>0.9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EM365">
            <v>22.199999999999992</v>
          </cell>
          <cell r="EN365">
            <v>10.800000000000002</v>
          </cell>
          <cell r="EO365">
            <v>11.8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A366" t="str">
            <v>O&amp;M (Net of pass-throughs)</v>
          </cell>
          <cell r="B366" t="str">
            <v>Operations &amp; Maintenance Expense (incl clause)</v>
          </cell>
          <cell r="E366" t="str">
            <v>Operations &amp; Maintenance Expense</v>
          </cell>
          <cell r="F366" t="str">
            <v>6700514</v>
          </cell>
          <cell r="G366" t="str">
            <v>A_6700514</v>
          </cell>
          <cell r="H366" t="str">
            <v>Insurance - Property</v>
          </cell>
          <cell r="J366">
            <v>8.1</v>
          </cell>
          <cell r="K366">
            <v>8.1</v>
          </cell>
          <cell r="L366">
            <v>8.1</v>
          </cell>
          <cell r="M366">
            <v>7.5</v>
          </cell>
          <cell r="N366">
            <v>7.6</v>
          </cell>
          <cell r="O366">
            <v>7.6</v>
          </cell>
          <cell r="P366">
            <v>7.6</v>
          </cell>
          <cell r="Q366">
            <v>7.7</v>
          </cell>
          <cell r="R366">
            <v>7.6</v>
          </cell>
          <cell r="S366">
            <v>7.6</v>
          </cell>
          <cell r="T366">
            <v>7.6</v>
          </cell>
          <cell r="U366">
            <v>7.6</v>
          </cell>
          <cell r="V366">
            <v>7.6</v>
          </cell>
          <cell r="W366">
            <v>7.6</v>
          </cell>
          <cell r="X366">
            <v>7.6</v>
          </cell>
          <cell r="Y366">
            <v>7.6</v>
          </cell>
          <cell r="Z366">
            <v>5.3</v>
          </cell>
          <cell r="AA366">
            <v>6.1</v>
          </cell>
          <cell r="AB366">
            <v>6.1</v>
          </cell>
          <cell r="AC366">
            <v>6.1</v>
          </cell>
          <cell r="AD366">
            <v>6.1</v>
          </cell>
          <cell r="AE366">
            <v>6.1</v>
          </cell>
          <cell r="AF366">
            <v>6.1</v>
          </cell>
          <cell r="AG366">
            <v>6.1</v>
          </cell>
          <cell r="AH366">
            <v>6</v>
          </cell>
          <cell r="AI366">
            <v>6</v>
          </cell>
          <cell r="AJ366">
            <v>6.1</v>
          </cell>
          <cell r="AK366">
            <v>5.4</v>
          </cell>
          <cell r="AL366">
            <v>5.4</v>
          </cell>
          <cell r="AM366">
            <v>5.4</v>
          </cell>
          <cell r="AN366">
            <v>5.4</v>
          </cell>
          <cell r="AO366">
            <v>5.4</v>
          </cell>
          <cell r="AP366">
            <v>5.4</v>
          </cell>
          <cell r="AQ366">
            <v>5.4</v>
          </cell>
          <cell r="AR366">
            <v>5.4</v>
          </cell>
          <cell r="AS366">
            <v>5.4</v>
          </cell>
          <cell r="AT366">
            <v>5.4</v>
          </cell>
          <cell r="AU366">
            <v>5.4</v>
          </cell>
          <cell r="AV366">
            <v>2.5</v>
          </cell>
          <cell r="AW366">
            <v>2.8</v>
          </cell>
          <cell r="AX366">
            <v>3.1</v>
          </cell>
          <cell r="AY366">
            <v>3</v>
          </cell>
          <cell r="AZ366">
            <v>3</v>
          </cell>
          <cell r="BA366">
            <v>3</v>
          </cell>
          <cell r="BB366">
            <v>3</v>
          </cell>
          <cell r="BC366">
            <v>3</v>
          </cell>
          <cell r="BD366">
            <v>3</v>
          </cell>
          <cell r="BE366">
            <v>3</v>
          </cell>
          <cell r="BF366">
            <v>2.9</v>
          </cell>
          <cell r="BG366">
            <v>3.3</v>
          </cell>
          <cell r="BH366">
            <v>2.9</v>
          </cell>
          <cell r="BI366">
            <v>3</v>
          </cell>
          <cell r="BJ366">
            <v>3</v>
          </cell>
          <cell r="BK366">
            <v>3</v>
          </cell>
          <cell r="BL366">
            <v>3</v>
          </cell>
          <cell r="BM366">
            <v>3</v>
          </cell>
          <cell r="BN366">
            <v>3</v>
          </cell>
          <cell r="BO366">
            <v>3</v>
          </cell>
          <cell r="BP366">
            <v>3</v>
          </cell>
          <cell r="BQ366">
            <v>5</v>
          </cell>
          <cell r="BR366">
            <v>5</v>
          </cell>
          <cell r="BS366">
            <v>-1.2</v>
          </cell>
          <cell r="BT366">
            <v>2.9</v>
          </cell>
          <cell r="BU366">
            <v>2.9</v>
          </cell>
          <cell r="BV366">
            <v>2.9</v>
          </cell>
          <cell r="BW366">
            <v>2.9</v>
          </cell>
          <cell r="BX366">
            <v>2.9</v>
          </cell>
          <cell r="BY366">
            <v>2.9</v>
          </cell>
          <cell r="BZ366">
            <v>2.9</v>
          </cell>
          <cell r="CA366">
            <v>2.9</v>
          </cell>
          <cell r="CB366">
            <v>2.9</v>
          </cell>
          <cell r="CC366">
            <v>3.6</v>
          </cell>
          <cell r="CD366">
            <v>3.6</v>
          </cell>
          <cell r="CE366">
            <v>3.6</v>
          </cell>
          <cell r="CF366">
            <v>3.5</v>
          </cell>
          <cell r="CG366">
            <v>3.5</v>
          </cell>
          <cell r="CH366">
            <v>3.5</v>
          </cell>
          <cell r="CI366">
            <v>1.4</v>
          </cell>
          <cell r="CJ366">
            <v>2.6</v>
          </cell>
          <cell r="CK366">
            <v>3.1</v>
          </cell>
          <cell r="CL366">
            <v>3</v>
          </cell>
          <cell r="CM366">
            <v>-5.2</v>
          </cell>
          <cell r="CN366">
            <v>-1.8</v>
          </cell>
          <cell r="CO366">
            <v>2.5</v>
          </cell>
          <cell r="CP366">
            <v>2.5</v>
          </cell>
          <cell r="CQ366">
            <v>2.5</v>
          </cell>
          <cell r="CR366">
            <v>3.6</v>
          </cell>
          <cell r="CS366">
            <v>3.6</v>
          </cell>
          <cell r="CT366">
            <v>3.9</v>
          </cell>
          <cell r="CU366">
            <v>3.7</v>
          </cell>
          <cell r="CV366">
            <v>3.8</v>
          </cell>
          <cell r="CW366">
            <v>3.7</v>
          </cell>
          <cell r="CX366">
            <v>3.7</v>
          </cell>
          <cell r="CY366">
            <v>3.7</v>
          </cell>
          <cell r="CZ366">
            <v>3.7</v>
          </cell>
          <cell r="DA366">
            <v>3.7</v>
          </cell>
          <cell r="DB366">
            <v>3.7</v>
          </cell>
          <cell r="DC366">
            <v>3.7</v>
          </cell>
          <cell r="DD366">
            <v>4.5999999999999996</v>
          </cell>
          <cell r="DE366">
            <v>3.1</v>
          </cell>
          <cell r="DF366">
            <v>4.7</v>
          </cell>
          <cell r="DG366">
            <v>4.7</v>
          </cell>
          <cell r="DH366">
            <v>10</v>
          </cell>
          <cell r="DI366">
            <v>5</v>
          </cell>
          <cell r="DJ366">
            <v>5.8</v>
          </cell>
          <cell r="DK366">
            <v>5.8</v>
          </cell>
          <cell r="DL366">
            <v>5.8</v>
          </cell>
          <cell r="DM366">
            <v>5.8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EM366">
            <v>78.399999999999991</v>
          </cell>
          <cell r="EN366">
            <v>66.699999999999989</v>
          </cell>
          <cell r="EO366">
            <v>40.200000000000003</v>
          </cell>
          <cell r="EP366">
            <v>38.1</v>
          </cell>
          <cell r="EQ366">
            <v>33.499999999999993</v>
          </cell>
          <cell r="ER366">
            <v>23.3</v>
          </cell>
          <cell r="ES366">
            <v>42.1</v>
          </cell>
        </row>
        <row r="367">
          <cell r="A367" t="str">
            <v>O&amp;M (Net of pass-throughs)</v>
          </cell>
          <cell r="B367" t="str">
            <v>Operations &amp; Maintenance Expense (incl clause)</v>
          </cell>
          <cell r="E367" t="str">
            <v>Operations &amp; Maintenance Expense</v>
          </cell>
          <cell r="F367" t="str">
            <v>6700515</v>
          </cell>
          <cell r="G367" t="str">
            <v>A_6700515</v>
          </cell>
          <cell r="H367" t="str">
            <v>Insurance - Punitive Damages</v>
          </cell>
          <cell r="J367">
            <v>3.5</v>
          </cell>
          <cell r="K367">
            <v>3.5</v>
          </cell>
          <cell r="L367">
            <v>3.5</v>
          </cell>
          <cell r="M367">
            <v>3.5</v>
          </cell>
          <cell r="N367">
            <v>3.5</v>
          </cell>
          <cell r="O367">
            <v>3.5</v>
          </cell>
          <cell r="P367">
            <v>3.8</v>
          </cell>
          <cell r="Q367">
            <v>3.8</v>
          </cell>
          <cell r="R367">
            <v>3.8</v>
          </cell>
          <cell r="S367">
            <v>3.8</v>
          </cell>
          <cell r="T367">
            <v>3.8</v>
          </cell>
          <cell r="U367">
            <v>3.8</v>
          </cell>
          <cell r="V367">
            <v>3.8</v>
          </cell>
          <cell r="W367">
            <v>3.8</v>
          </cell>
          <cell r="X367">
            <v>3.8</v>
          </cell>
          <cell r="Y367">
            <v>3.8</v>
          </cell>
          <cell r="Z367">
            <v>3.8</v>
          </cell>
          <cell r="AA367">
            <v>3.8</v>
          </cell>
          <cell r="AB367">
            <v>2.7</v>
          </cell>
          <cell r="AC367">
            <v>2.7</v>
          </cell>
          <cell r="AD367">
            <v>2.7</v>
          </cell>
          <cell r="AE367">
            <v>2.7</v>
          </cell>
          <cell r="AF367">
            <v>2.7</v>
          </cell>
          <cell r="AG367">
            <v>2.7</v>
          </cell>
          <cell r="AH367">
            <v>2.7</v>
          </cell>
          <cell r="AI367">
            <v>2.7</v>
          </cell>
          <cell r="AJ367">
            <v>2.7</v>
          </cell>
          <cell r="AK367">
            <v>2.7</v>
          </cell>
          <cell r="AL367">
            <v>2.7</v>
          </cell>
          <cell r="AM367">
            <v>2.7</v>
          </cell>
          <cell r="AN367">
            <v>2.8</v>
          </cell>
          <cell r="AO367">
            <v>2.8</v>
          </cell>
          <cell r="AP367">
            <v>2.8</v>
          </cell>
          <cell r="AQ367">
            <v>2.8</v>
          </cell>
          <cell r="AR367">
            <v>2.8</v>
          </cell>
          <cell r="AS367">
            <v>2.8</v>
          </cell>
          <cell r="AT367">
            <v>2.8</v>
          </cell>
          <cell r="AU367">
            <v>2.8</v>
          </cell>
          <cell r="AV367">
            <v>3.9</v>
          </cell>
          <cell r="AW367">
            <v>2.9</v>
          </cell>
          <cell r="AX367">
            <v>2.9</v>
          </cell>
          <cell r="AY367">
            <v>2.9</v>
          </cell>
          <cell r="AZ367">
            <v>2.9</v>
          </cell>
          <cell r="BA367">
            <v>2.9</v>
          </cell>
          <cell r="BB367">
            <v>2.9</v>
          </cell>
          <cell r="BC367">
            <v>2.9</v>
          </cell>
          <cell r="BD367">
            <v>2.9</v>
          </cell>
          <cell r="BE367">
            <v>3</v>
          </cell>
          <cell r="BF367">
            <v>3</v>
          </cell>
          <cell r="BG367">
            <v>3</v>
          </cell>
          <cell r="BH367">
            <v>3</v>
          </cell>
          <cell r="BI367">
            <v>3</v>
          </cell>
          <cell r="BJ367">
            <v>3.9</v>
          </cell>
          <cell r="BK367">
            <v>3.2</v>
          </cell>
          <cell r="BL367">
            <v>3.2</v>
          </cell>
          <cell r="BM367">
            <v>3.2</v>
          </cell>
          <cell r="BN367">
            <v>3.2</v>
          </cell>
          <cell r="BO367">
            <v>3.2</v>
          </cell>
          <cell r="BP367">
            <v>3.2</v>
          </cell>
          <cell r="BQ367">
            <v>3.2</v>
          </cell>
          <cell r="BR367">
            <v>2.8</v>
          </cell>
          <cell r="BS367">
            <v>3</v>
          </cell>
          <cell r="BT367">
            <v>3.1</v>
          </cell>
          <cell r="BU367">
            <v>3</v>
          </cell>
          <cell r="BV367">
            <v>3</v>
          </cell>
          <cell r="BW367">
            <v>3</v>
          </cell>
          <cell r="BX367">
            <v>3</v>
          </cell>
          <cell r="BY367">
            <v>3</v>
          </cell>
          <cell r="BZ367">
            <v>3</v>
          </cell>
          <cell r="CA367">
            <v>3</v>
          </cell>
          <cell r="CB367">
            <v>3</v>
          </cell>
          <cell r="CC367">
            <v>3.2</v>
          </cell>
          <cell r="CD367">
            <v>3.2</v>
          </cell>
          <cell r="CE367">
            <v>3.2</v>
          </cell>
          <cell r="CF367">
            <v>3.2</v>
          </cell>
          <cell r="CG367">
            <v>3.2</v>
          </cell>
          <cell r="CH367">
            <v>3.2</v>
          </cell>
          <cell r="CI367">
            <v>3.2</v>
          </cell>
          <cell r="CJ367">
            <v>3.2</v>
          </cell>
          <cell r="CK367">
            <v>3.2</v>
          </cell>
          <cell r="CL367">
            <v>3.2</v>
          </cell>
          <cell r="CM367">
            <v>3.2</v>
          </cell>
          <cell r="CN367">
            <v>3.2</v>
          </cell>
          <cell r="CO367">
            <v>3.2</v>
          </cell>
          <cell r="CP367">
            <v>3.2</v>
          </cell>
          <cell r="CQ367">
            <v>3.2</v>
          </cell>
          <cell r="CR367">
            <v>3.2</v>
          </cell>
          <cell r="CS367">
            <v>3.2</v>
          </cell>
          <cell r="CT367">
            <v>3.2</v>
          </cell>
          <cell r="CU367">
            <v>2.8</v>
          </cell>
          <cell r="CV367">
            <v>2.8</v>
          </cell>
          <cell r="CW367">
            <v>2.8</v>
          </cell>
          <cell r="CX367">
            <v>2.8</v>
          </cell>
          <cell r="CY367">
            <v>2.8</v>
          </cell>
          <cell r="CZ367">
            <v>2.8</v>
          </cell>
          <cell r="DA367">
            <v>2.8</v>
          </cell>
          <cell r="DB367">
            <v>2.8</v>
          </cell>
          <cell r="DC367">
            <v>2.8</v>
          </cell>
          <cell r="DD367">
            <v>2.8</v>
          </cell>
          <cell r="DE367">
            <v>2.8</v>
          </cell>
          <cell r="DF367">
            <v>2.8</v>
          </cell>
          <cell r="DG367">
            <v>3.5</v>
          </cell>
          <cell r="DH367">
            <v>2.2000000000000002</v>
          </cell>
          <cell r="DI367">
            <v>2.8</v>
          </cell>
          <cell r="DJ367">
            <v>2.8</v>
          </cell>
          <cell r="DK367">
            <v>2.8</v>
          </cell>
          <cell r="DL367">
            <v>2.8</v>
          </cell>
          <cell r="DM367">
            <v>2.8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EM367">
            <v>39.000000000000007</v>
          </cell>
          <cell r="EN367">
            <v>33</v>
          </cell>
          <cell r="EO367">
            <v>35.699999999999996</v>
          </cell>
          <cell r="EP367">
            <v>38.300000000000004</v>
          </cell>
          <cell r="EQ367">
            <v>36.1</v>
          </cell>
          <cell r="ER367">
            <v>38.4</v>
          </cell>
          <cell r="ES367">
            <v>35.6</v>
          </cell>
        </row>
        <row r="368">
          <cell r="A368" t="str">
            <v>O&amp;M (Net of pass-throughs)</v>
          </cell>
          <cell r="B368" t="str">
            <v>Operations &amp; Maintenance Expense (incl clause)</v>
          </cell>
          <cell r="E368" t="str">
            <v>Operations &amp; Maintenance Expense</v>
          </cell>
          <cell r="F368" t="str">
            <v>6700516</v>
          </cell>
          <cell r="G368" t="str">
            <v>A_6700516</v>
          </cell>
          <cell r="H368" t="str">
            <v>Insurance - Special Risk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0.2</v>
          </cell>
          <cell r="T368">
            <v>0.2</v>
          </cell>
          <cell r="U368">
            <v>1.5</v>
          </cell>
          <cell r="V368">
            <v>0.2</v>
          </cell>
          <cell r="W368">
            <v>0.2</v>
          </cell>
          <cell r="X368">
            <v>0.2</v>
          </cell>
          <cell r="Y368">
            <v>0.2</v>
          </cell>
          <cell r="Z368">
            <v>0.2</v>
          </cell>
          <cell r="AA368">
            <v>0.2</v>
          </cell>
          <cell r="AB368">
            <v>-1.4</v>
          </cell>
          <cell r="AC368">
            <v>0.1</v>
          </cell>
          <cell r="AD368">
            <v>0.1</v>
          </cell>
          <cell r="AE368">
            <v>0.1</v>
          </cell>
          <cell r="AF368">
            <v>0.1</v>
          </cell>
          <cell r="AG368">
            <v>0.1</v>
          </cell>
          <cell r="AH368">
            <v>0.1</v>
          </cell>
          <cell r="AI368">
            <v>0.1</v>
          </cell>
          <cell r="AJ368">
            <v>0.1</v>
          </cell>
          <cell r="AK368">
            <v>0.1</v>
          </cell>
          <cell r="AL368">
            <v>0.1</v>
          </cell>
          <cell r="AM368">
            <v>0.1</v>
          </cell>
          <cell r="AN368">
            <v>0.1</v>
          </cell>
          <cell r="AO368">
            <v>0.1</v>
          </cell>
          <cell r="AP368">
            <v>0.1</v>
          </cell>
          <cell r="AQ368">
            <v>0.1</v>
          </cell>
          <cell r="AR368">
            <v>0.1</v>
          </cell>
          <cell r="AS368">
            <v>0.1</v>
          </cell>
          <cell r="AT368">
            <v>0.1</v>
          </cell>
          <cell r="AU368">
            <v>0.1</v>
          </cell>
          <cell r="AV368">
            <v>0.1</v>
          </cell>
          <cell r="AW368">
            <v>0.1</v>
          </cell>
          <cell r="AX368">
            <v>0.1</v>
          </cell>
          <cell r="AY368">
            <v>0.1</v>
          </cell>
          <cell r="AZ368">
            <v>0.1</v>
          </cell>
          <cell r="BA368">
            <v>-0.3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0.2</v>
          </cell>
          <cell r="BI368">
            <v>0.1</v>
          </cell>
          <cell r="BJ368">
            <v>0.1</v>
          </cell>
          <cell r="BK368">
            <v>0.1</v>
          </cell>
          <cell r="BL368">
            <v>0.1</v>
          </cell>
          <cell r="BM368">
            <v>0.1</v>
          </cell>
          <cell r="BN368">
            <v>0.1</v>
          </cell>
          <cell r="BO368">
            <v>0.1</v>
          </cell>
          <cell r="BP368">
            <v>0.1</v>
          </cell>
          <cell r="BQ368">
            <v>0.1</v>
          </cell>
          <cell r="BR368">
            <v>0.1</v>
          </cell>
          <cell r="BS368">
            <v>0.1</v>
          </cell>
          <cell r="BT368">
            <v>0.1</v>
          </cell>
          <cell r="BU368">
            <v>0.1</v>
          </cell>
          <cell r="BV368">
            <v>0.1</v>
          </cell>
          <cell r="BW368">
            <v>0.1</v>
          </cell>
          <cell r="BX368">
            <v>0.1</v>
          </cell>
          <cell r="BY368">
            <v>0.1</v>
          </cell>
          <cell r="BZ368">
            <v>0.1</v>
          </cell>
          <cell r="CA368">
            <v>0.1</v>
          </cell>
          <cell r="CB368">
            <v>0.1</v>
          </cell>
          <cell r="CC368">
            <v>0.1</v>
          </cell>
          <cell r="CD368">
            <v>0.2</v>
          </cell>
          <cell r="CE368">
            <v>0.2</v>
          </cell>
          <cell r="CF368">
            <v>0.2</v>
          </cell>
          <cell r="CG368">
            <v>0.2</v>
          </cell>
          <cell r="CH368">
            <v>0.2</v>
          </cell>
          <cell r="CI368">
            <v>0.2</v>
          </cell>
          <cell r="CJ368">
            <v>0.2</v>
          </cell>
          <cell r="CK368">
            <v>0.2</v>
          </cell>
          <cell r="CL368">
            <v>0.2</v>
          </cell>
          <cell r="CM368">
            <v>0.2</v>
          </cell>
          <cell r="CN368">
            <v>0.2</v>
          </cell>
          <cell r="CO368">
            <v>0.2</v>
          </cell>
          <cell r="CP368">
            <v>0.1</v>
          </cell>
          <cell r="CQ368">
            <v>0.1</v>
          </cell>
          <cell r="CR368">
            <v>0.1</v>
          </cell>
          <cell r="CS368">
            <v>0.1</v>
          </cell>
          <cell r="CT368">
            <v>0.1</v>
          </cell>
          <cell r="CU368">
            <v>0.1</v>
          </cell>
          <cell r="CV368">
            <v>0.1</v>
          </cell>
          <cell r="CW368">
            <v>0.1</v>
          </cell>
          <cell r="CX368">
            <v>0.1</v>
          </cell>
          <cell r="CY368">
            <v>0.1</v>
          </cell>
          <cell r="CZ368">
            <v>0.1</v>
          </cell>
          <cell r="DA368">
            <v>0.1</v>
          </cell>
          <cell r="DB368">
            <v>0.1</v>
          </cell>
          <cell r="DC368">
            <v>-0.8</v>
          </cell>
          <cell r="DD368">
            <v>0.1</v>
          </cell>
          <cell r="DE368">
            <v>0.1</v>
          </cell>
          <cell r="DF368">
            <v>0.1</v>
          </cell>
          <cell r="DG368">
            <v>0.1</v>
          </cell>
          <cell r="DH368">
            <v>0.1</v>
          </cell>
          <cell r="DI368">
            <v>0.1</v>
          </cell>
          <cell r="DJ368">
            <v>0.1</v>
          </cell>
          <cell r="DK368">
            <v>0.1</v>
          </cell>
          <cell r="DL368">
            <v>0.1</v>
          </cell>
          <cell r="DM368">
            <v>0.1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EM368">
            <v>0.30000000000000004</v>
          </cell>
          <cell r="EN368">
            <v>1.2</v>
          </cell>
          <cell r="EO368">
            <v>0.39999999999999997</v>
          </cell>
          <cell r="EP368">
            <v>1.0999999999999999</v>
          </cell>
          <cell r="EQ368">
            <v>1.2</v>
          </cell>
          <cell r="ER368">
            <v>2.4</v>
          </cell>
          <cell r="ES368">
            <v>1.2</v>
          </cell>
        </row>
        <row r="369">
          <cell r="A369" t="str">
            <v>O&amp;M (Net of pass-throughs)</v>
          </cell>
          <cell r="B369" t="str">
            <v>Operations &amp; Maintenance Expense (incl clause)</v>
          </cell>
          <cell r="E369" t="str">
            <v>Operations &amp; Maintenance Expense</v>
          </cell>
          <cell r="F369" t="str">
            <v>6700517</v>
          </cell>
          <cell r="G369" t="str">
            <v>A_6700517</v>
          </cell>
          <cell r="H369" t="str">
            <v>Insurance - Surety Bonds</v>
          </cell>
          <cell r="J369">
            <v>0</v>
          </cell>
          <cell r="K369">
            <v>0.2</v>
          </cell>
          <cell r="L369">
            <v>0.1</v>
          </cell>
          <cell r="M369">
            <v>2.4</v>
          </cell>
          <cell r="N369">
            <v>0</v>
          </cell>
          <cell r="O369">
            <v>1.8</v>
          </cell>
          <cell r="P369">
            <v>0</v>
          </cell>
          <cell r="Q369">
            <v>0.5</v>
          </cell>
          <cell r="R369">
            <v>0</v>
          </cell>
          <cell r="S369">
            <v>-2.2000000000000002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</v>
          </cell>
          <cell r="Y369">
            <v>2.2000000000000002</v>
          </cell>
          <cell r="Z369">
            <v>0</v>
          </cell>
          <cell r="AA369">
            <v>3.1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0.1</v>
          </cell>
          <cell r="AG369">
            <v>0.3</v>
          </cell>
          <cell r="AH369">
            <v>0</v>
          </cell>
          <cell r="AI369">
            <v>0.5</v>
          </cell>
          <cell r="AJ369">
            <v>0.3</v>
          </cell>
          <cell r="AK369">
            <v>0</v>
          </cell>
          <cell r="AL369">
            <v>7.6</v>
          </cell>
          <cell r="AM369">
            <v>1.9</v>
          </cell>
          <cell r="AN369">
            <v>0.7</v>
          </cell>
          <cell r="AO369">
            <v>1.1000000000000001</v>
          </cell>
          <cell r="AP369">
            <v>10.6</v>
          </cell>
          <cell r="AQ369">
            <v>0</v>
          </cell>
          <cell r="AR369">
            <v>0</v>
          </cell>
          <cell r="AS369">
            <v>1.5</v>
          </cell>
          <cell r="AT369">
            <v>-0.1</v>
          </cell>
          <cell r="AU369">
            <v>0</v>
          </cell>
          <cell r="AV369">
            <v>0.9</v>
          </cell>
          <cell r="AW369">
            <v>2.2000000000000002</v>
          </cell>
          <cell r="AX369">
            <v>0</v>
          </cell>
          <cell r="AY369">
            <v>0.8</v>
          </cell>
          <cell r="AZ369">
            <v>-1.5</v>
          </cell>
          <cell r="BA369">
            <v>0.6</v>
          </cell>
          <cell r="BB369">
            <v>0.2</v>
          </cell>
          <cell r="BC369">
            <v>0.1</v>
          </cell>
          <cell r="BD369">
            <v>-1.9</v>
          </cell>
          <cell r="BE369">
            <v>0</v>
          </cell>
          <cell r="BF369">
            <v>0</v>
          </cell>
          <cell r="BG369">
            <v>2.1</v>
          </cell>
          <cell r="BH369">
            <v>0.8</v>
          </cell>
          <cell r="BI369">
            <v>0.1</v>
          </cell>
          <cell r="BJ369">
            <v>3.4</v>
          </cell>
          <cell r="BK369">
            <v>0.5</v>
          </cell>
          <cell r="BL369">
            <v>0</v>
          </cell>
          <cell r="BM369">
            <v>3</v>
          </cell>
          <cell r="BN369">
            <v>0</v>
          </cell>
          <cell r="BO369">
            <v>0.1</v>
          </cell>
          <cell r="BP369">
            <v>0.3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0.4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0.4</v>
          </cell>
          <cell r="CC369">
            <v>54.4</v>
          </cell>
          <cell r="CD369">
            <v>0.2</v>
          </cell>
          <cell r="CE369">
            <v>1.3</v>
          </cell>
          <cell r="CF369">
            <v>3.8</v>
          </cell>
          <cell r="CG369">
            <v>0</v>
          </cell>
          <cell r="CH369">
            <v>0</v>
          </cell>
          <cell r="CI369">
            <v>0</v>
          </cell>
          <cell r="CJ369">
            <v>0.2</v>
          </cell>
          <cell r="CK369">
            <v>0</v>
          </cell>
          <cell r="CL369">
            <v>0</v>
          </cell>
          <cell r="CM369">
            <v>4.5999999999999996</v>
          </cell>
          <cell r="CN369">
            <v>2.2999999999999998</v>
          </cell>
          <cell r="CO369">
            <v>48.9</v>
          </cell>
          <cell r="CP369">
            <v>0.1</v>
          </cell>
          <cell r="CQ369">
            <v>0</v>
          </cell>
          <cell r="CR369">
            <v>0</v>
          </cell>
          <cell r="CS369">
            <v>0.8</v>
          </cell>
          <cell r="CT369">
            <v>0.8</v>
          </cell>
          <cell r="CU369">
            <v>3</v>
          </cell>
          <cell r="CV369">
            <v>0</v>
          </cell>
          <cell r="CW369">
            <v>0</v>
          </cell>
          <cell r="CX369">
            <v>0</v>
          </cell>
          <cell r="CY369">
            <v>2</v>
          </cell>
          <cell r="CZ369">
            <v>0.1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5.3</v>
          </cell>
          <cell r="DF369">
            <v>15.1</v>
          </cell>
          <cell r="DG369">
            <v>0</v>
          </cell>
          <cell r="DH369">
            <v>0</v>
          </cell>
          <cell r="DI369">
            <v>0.8</v>
          </cell>
          <cell r="DJ369">
            <v>0.6</v>
          </cell>
          <cell r="DK369">
            <v>2.2000000000000002</v>
          </cell>
          <cell r="DL369">
            <v>2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EM369">
            <v>6.7</v>
          </cell>
          <cell r="EN369">
            <v>24.2</v>
          </cell>
          <cell r="EO369">
            <v>1.3000000000000003</v>
          </cell>
          <cell r="EP369">
            <v>10.3</v>
          </cell>
          <cell r="EQ369">
            <v>55.199999999999996</v>
          </cell>
          <cell r="ER369">
            <v>61.3</v>
          </cell>
          <cell r="ES369">
            <v>6.8</v>
          </cell>
        </row>
        <row r="370">
          <cell r="A370" t="str">
            <v>O&amp;M (Net of pass-throughs)</v>
          </cell>
          <cell r="B370" t="str">
            <v>Operations &amp; Maintenance Expense (incl clause)</v>
          </cell>
          <cell r="E370" t="str">
            <v>Operations &amp; Maintenance Expense</v>
          </cell>
          <cell r="F370" t="str">
            <v>6700518</v>
          </cell>
          <cell r="G370" t="str">
            <v>A_6700518</v>
          </cell>
          <cell r="H370" t="str">
            <v>Insurance - Travel Accident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0.9</v>
          </cell>
          <cell r="V370">
            <v>0.9</v>
          </cell>
          <cell r="W370">
            <v>-0.9</v>
          </cell>
          <cell r="X370">
            <v>0.3</v>
          </cell>
          <cell r="Y370">
            <v>-0.1</v>
          </cell>
          <cell r="Z370">
            <v>0.4</v>
          </cell>
          <cell r="AA370">
            <v>0.1</v>
          </cell>
          <cell r="AB370">
            <v>0.1</v>
          </cell>
          <cell r="AC370">
            <v>0.1</v>
          </cell>
          <cell r="AD370">
            <v>0.1</v>
          </cell>
          <cell r="AE370">
            <v>0.1</v>
          </cell>
          <cell r="AF370">
            <v>0.1</v>
          </cell>
          <cell r="AG370">
            <v>0.1</v>
          </cell>
          <cell r="AH370">
            <v>0.1</v>
          </cell>
          <cell r="AI370">
            <v>0.1</v>
          </cell>
          <cell r="AJ370">
            <v>0.1</v>
          </cell>
          <cell r="AK370">
            <v>0.1</v>
          </cell>
          <cell r="AL370">
            <v>0.1</v>
          </cell>
          <cell r="AM370">
            <v>0.1</v>
          </cell>
          <cell r="AN370">
            <v>0.1</v>
          </cell>
          <cell r="AO370">
            <v>0.1</v>
          </cell>
          <cell r="AP370">
            <v>0.1</v>
          </cell>
          <cell r="AQ370">
            <v>0.1</v>
          </cell>
          <cell r="AR370">
            <v>0.1</v>
          </cell>
          <cell r="AS370">
            <v>0.1</v>
          </cell>
          <cell r="AT370">
            <v>0</v>
          </cell>
          <cell r="AU370">
            <v>0</v>
          </cell>
          <cell r="AV370">
            <v>0.2</v>
          </cell>
          <cell r="AW370">
            <v>0.1</v>
          </cell>
          <cell r="AX370">
            <v>0.1</v>
          </cell>
          <cell r="AY370">
            <v>0.1</v>
          </cell>
          <cell r="AZ370">
            <v>0.1</v>
          </cell>
          <cell r="BA370">
            <v>0.1</v>
          </cell>
          <cell r="BB370">
            <v>0.1</v>
          </cell>
          <cell r="BC370">
            <v>0.1</v>
          </cell>
          <cell r="BD370">
            <v>0.1</v>
          </cell>
          <cell r="BE370">
            <v>0.1</v>
          </cell>
          <cell r="BF370">
            <v>0.1</v>
          </cell>
          <cell r="BG370">
            <v>0.1</v>
          </cell>
          <cell r="BH370">
            <v>0.1</v>
          </cell>
          <cell r="BI370">
            <v>0.1</v>
          </cell>
          <cell r="BJ370">
            <v>0.1</v>
          </cell>
          <cell r="BK370">
            <v>0.1</v>
          </cell>
          <cell r="BL370">
            <v>0.1</v>
          </cell>
          <cell r="BM370">
            <v>0.1</v>
          </cell>
          <cell r="BN370">
            <v>0.1</v>
          </cell>
          <cell r="BO370">
            <v>0.1</v>
          </cell>
          <cell r="BP370">
            <v>0.1</v>
          </cell>
          <cell r="BQ370">
            <v>0.1</v>
          </cell>
          <cell r="BR370">
            <v>0.1</v>
          </cell>
          <cell r="BS370">
            <v>0.1</v>
          </cell>
          <cell r="BT370">
            <v>0.1</v>
          </cell>
          <cell r="BU370">
            <v>0.1</v>
          </cell>
          <cell r="BV370">
            <v>0.1</v>
          </cell>
          <cell r="BW370">
            <v>0.1</v>
          </cell>
          <cell r="BX370">
            <v>0.1</v>
          </cell>
          <cell r="BY370">
            <v>0.1</v>
          </cell>
          <cell r="BZ370">
            <v>0.1</v>
          </cell>
          <cell r="CA370">
            <v>0.1</v>
          </cell>
          <cell r="CB370">
            <v>0.1</v>
          </cell>
          <cell r="CC370">
            <v>0.1</v>
          </cell>
          <cell r="CD370">
            <v>0.1</v>
          </cell>
          <cell r="CE370">
            <v>0.1</v>
          </cell>
          <cell r="CF370">
            <v>0.1</v>
          </cell>
          <cell r="CG370">
            <v>0.1</v>
          </cell>
          <cell r="CH370">
            <v>0.1</v>
          </cell>
          <cell r="CI370">
            <v>0.1</v>
          </cell>
          <cell r="CJ370">
            <v>0.1</v>
          </cell>
          <cell r="CK370">
            <v>0.1</v>
          </cell>
          <cell r="CL370">
            <v>0.1</v>
          </cell>
          <cell r="CM370">
            <v>0.1</v>
          </cell>
          <cell r="CN370">
            <v>0.1</v>
          </cell>
          <cell r="CO370">
            <v>0.1</v>
          </cell>
          <cell r="CP370">
            <v>0.1</v>
          </cell>
          <cell r="CQ370">
            <v>0.1</v>
          </cell>
          <cell r="CR370">
            <v>0.1</v>
          </cell>
          <cell r="CS370">
            <v>0.1</v>
          </cell>
          <cell r="CT370">
            <v>0.1</v>
          </cell>
          <cell r="CU370">
            <v>0.1</v>
          </cell>
          <cell r="CV370">
            <v>0.1</v>
          </cell>
          <cell r="CW370">
            <v>0.1</v>
          </cell>
          <cell r="CX370">
            <v>0.1</v>
          </cell>
          <cell r="CY370">
            <v>0.1</v>
          </cell>
          <cell r="CZ370">
            <v>0.1</v>
          </cell>
          <cell r="DA370">
            <v>0.1</v>
          </cell>
          <cell r="DB370">
            <v>0.1</v>
          </cell>
          <cell r="DC370">
            <v>0.1</v>
          </cell>
          <cell r="DD370">
            <v>0.1</v>
          </cell>
          <cell r="DE370">
            <v>0.1</v>
          </cell>
          <cell r="DF370">
            <v>0.1</v>
          </cell>
          <cell r="DG370">
            <v>0.1</v>
          </cell>
          <cell r="DH370">
            <v>0.1</v>
          </cell>
          <cell r="DI370">
            <v>0.1</v>
          </cell>
          <cell r="DJ370">
            <v>0.1</v>
          </cell>
          <cell r="DK370">
            <v>0.1</v>
          </cell>
          <cell r="DL370">
            <v>0.1</v>
          </cell>
          <cell r="DM370">
            <v>0.1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EM370">
            <v>1.3</v>
          </cell>
          <cell r="EN370">
            <v>1.2</v>
          </cell>
          <cell r="EO370">
            <v>1.0999999999999999</v>
          </cell>
          <cell r="EP370">
            <v>1.2</v>
          </cell>
          <cell r="EQ370">
            <v>1.2</v>
          </cell>
          <cell r="ER370">
            <v>1.2</v>
          </cell>
          <cell r="ES370">
            <v>1.2</v>
          </cell>
        </row>
        <row r="371">
          <cell r="A371" t="str">
            <v>O&amp;M (Net of pass-throughs)</v>
          </cell>
          <cell r="B371" t="str">
            <v>Operations &amp; Maintenance Expense (incl clause)</v>
          </cell>
          <cell r="E371" t="str">
            <v>Operations &amp; Maintenance Expense</v>
          </cell>
          <cell r="F371" t="str">
            <v>6700519</v>
          </cell>
          <cell r="G371" t="str">
            <v>A_6700519</v>
          </cell>
          <cell r="H371" t="str">
            <v>Insurance - Workers Compensation - Excess</v>
          </cell>
          <cell r="J371">
            <v>10.6</v>
          </cell>
          <cell r="K371">
            <v>10.6</v>
          </cell>
          <cell r="L371">
            <v>10.6</v>
          </cell>
          <cell r="M371">
            <v>8.6999999999999993</v>
          </cell>
          <cell r="N371">
            <v>10.6</v>
          </cell>
          <cell r="O371">
            <v>10.6</v>
          </cell>
          <cell r="P371">
            <v>11.1</v>
          </cell>
          <cell r="Q371">
            <v>11.1</v>
          </cell>
          <cell r="R371">
            <v>11.1</v>
          </cell>
          <cell r="S371">
            <v>11.1</v>
          </cell>
          <cell r="T371">
            <v>11.1</v>
          </cell>
          <cell r="U371">
            <v>11.1</v>
          </cell>
          <cell r="V371">
            <v>11.1</v>
          </cell>
          <cell r="W371">
            <v>11.1</v>
          </cell>
          <cell r="X371">
            <v>11.1</v>
          </cell>
          <cell r="Y371">
            <v>11.1</v>
          </cell>
          <cell r="Z371">
            <v>11.1</v>
          </cell>
          <cell r="AA371">
            <v>11.1</v>
          </cell>
          <cell r="AB371">
            <v>13.3</v>
          </cell>
          <cell r="AC371">
            <v>13.3</v>
          </cell>
          <cell r="AD371">
            <v>13.3</v>
          </cell>
          <cell r="AE371">
            <v>13.3</v>
          </cell>
          <cell r="AF371">
            <v>13.3</v>
          </cell>
          <cell r="AG371">
            <v>13.3</v>
          </cell>
          <cell r="AH371">
            <v>15.5</v>
          </cell>
          <cell r="AI371">
            <v>13.3</v>
          </cell>
          <cell r="AJ371">
            <v>13.3</v>
          </cell>
          <cell r="AK371">
            <v>15.2</v>
          </cell>
          <cell r="AL371">
            <v>4.4000000000000004</v>
          </cell>
          <cell r="AM371">
            <v>13.3</v>
          </cell>
          <cell r="AN371">
            <v>8.3000000000000007</v>
          </cell>
          <cell r="AO371">
            <v>6.5</v>
          </cell>
          <cell r="AP371">
            <v>6.5</v>
          </cell>
          <cell r="AQ371">
            <v>13.2</v>
          </cell>
          <cell r="AR371">
            <v>6.5</v>
          </cell>
          <cell r="AS371">
            <v>6.5</v>
          </cell>
          <cell r="AT371">
            <v>8.3000000000000007</v>
          </cell>
          <cell r="AU371">
            <v>6.5</v>
          </cell>
          <cell r="AV371">
            <v>6.5</v>
          </cell>
          <cell r="AW371">
            <v>6.5</v>
          </cell>
          <cell r="AX371">
            <v>6.5</v>
          </cell>
          <cell r="AY371">
            <v>8.6999999999999993</v>
          </cell>
          <cell r="AZ371">
            <v>7.9</v>
          </cell>
          <cell r="BA371">
            <v>5.7</v>
          </cell>
          <cell r="BB371">
            <v>5.7</v>
          </cell>
          <cell r="BC371">
            <v>7.9</v>
          </cell>
          <cell r="BD371">
            <v>5.7</v>
          </cell>
          <cell r="BE371">
            <v>5.9</v>
          </cell>
          <cell r="BF371">
            <v>8</v>
          </cell>
          <cell r="BG371">
            <v>5.8</v>
          </cell>
          <cell r="BH371">
            <v>5.8</v>
          </cell>
          <cell r="BI371">
            <v>7.1</v>
          </cell>
          <cell r="BJ371">
            <v>5.8</v>
          </cell>
          <cell r="BK371">
            <v>5.8</v>
          </cell>
          <cell r="BL371">
            <v>7.1</v>
          </cell>
          <cell r="BM371">
            <v>5.8</v>
          </cell>
          <cell r="BN371">
            <v>5.8</v>
          </cell>
          <cell r="BO371">
            <v>7.1</v>
          </cell>
          <cell r="BP371">
            <v>7.1</v>
          </cell>
          <cell r="BQ371">
            <v>5.5</v>
          </cell>
          <cell r="BR371">
            <v>5.5</v>
          </cell>
          <cell r="BS371">
            <v>5.5</v>
          </cell>
          <cell r="BT371">
            <v>5.5</v>
          </cell>
          <cell r="BU371">
            <v>5.5</v>
          </cell>
          <cell r="BV371">
            <v>5.5</v>
          </cell>
          <cell r="BW371">
            <v>5.5</v>
          </cell>
          <cell r="BX371">
            <v>5.5</v>
          </cell>
          <cell r="BY371">
            <v>5.5</v>
          </cell>
          <cell r="BZ371">
            <v>7.1</v>
          </cell>
          <cell r="CA371">
            <v>5.5</v>
          </cell>
          <cell r="CB371">
            <v>5.5</v>
          </cell>
          <cell r="CC371">
            <v>5.8</v>
          </cell>
          <cell r="CD371">
            <v>5.8</v>
          </cell>
          <cell r="CE371">
            <v>7.8</v>
          </cell>
          <cell r="CF371">
            <v>8</v>
          </cell>
          <cell r="CG371">
            <v>6.5</v>
          </cell>
          <cell r="CH371">
            <v>6.5</v>
          </cell>
          <cell r="CI371">
            <v>6.5</v>
          </cell>
          <cell r="CJ371">
            <v>6.5</v>
          </cell>
          <cell r="CK371">
            <v>6.5</v>
          </cell>
          <cell r="CL371">
            <v>6.5</v>
          </cell>
          <cell r="CM371">
            <v>6.5</v>
          </cell>
          <cell r="CN371">
            <v>6.5</v>
          </cell>
          <cell r="CO371">
            <v>7.3</v>
          </cell>
          <cell r="CP371">
            <v>7.3</v>
          </cell>
          <cell r="CQ371">
            <v>9.6</v>
          </cell>
          <cell r="CR371">
            <v>8.1</v>
          </cell>
          <cell r="CS371">
            <v>12</v>
          </cell>
          <cell r="CT371">
            <v>8.1</v>
          </cell>
          <cell r="CU371">
            <v>8.1</v>
          </cell>
          <cell r="CV371">
            <v>8.1</v>
          </cell>
          <cell r="CW371">
            <v>8.1</v>
          </cell>
          <cell r="CX371">
            <v>8.1</v>
          </cell>
          <cell r="CY371">
            <v>8.1</v>
          </cell>
          <cell r="CZ371">
            <v>8.1</v>
          </cell>
          <cell r="DA371">
            <v>9</v>
          </cell>
          <cell r="DB371">
            <v>8.1</v>
          </cell>
          <cell r="DC371">
            <v>10.1</v>
          </cell>
          <cell r="DD371">
            <v>12.8</v>
          </cell>
          <cell r="DE371">
            <v>8.5</v>
          </cell>
          <cell r="DF371">
            <v>8.5</v>
          </cell>
          <cell r="DG371">
            <v>8.9</v>
          </cell>
          <cell r="DH371">
            <v>9.3000000000000007</v>
          </cell>
          <cell r="DI371">
            <v>8.8000000000000007</v>
          </cell>
          <cell r="DJ371">
            <v>8.8000000000000007</v>
          </cell>
          <cell r="DK371">
            <v>8.8000000000000007</v>
          </cell>
          <cell r="DL371">
            <v>8.9</v>
          </cell>
          <cell r="DM371">
            <v>11.2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EM371">
            <v>146.4</v>
          </cell>
          <cell r="EN371">
            <v>122.5</v>
          </cell>
          <cell r="EO371">
            <v>81.800000000000011</v>
          </cell>
          <cell r="EP371">
            <v>76.699999999999989</v>
          </cell>
          <cell r="EQ371">
            <v>67.900000000000006</v>
          </cell>
          <cell r="ER371">
            <v>80.899999999999991</v>
          </cell>
          <cell r="ES371">
            <v>102.69999999999999</v>
          </cell>
        </row>
        <row r="372">
          <cell r="A372" t="str">
            <v>O&amp;M (Net of pass-throughs)</v>
          </cell>
          <cell r="B372" t="str">
            <v>Operations &amp; Maintenance Expense (incl clause)</v>
          </cell>
          <cell r="E372" t="str">
            <v>Operations &amp; Maintenance Expense</v>
          </cell>
          <cell r="F372" t="str">
            <v>6700520</v>
          </cell>
          <cell r="G372" t="str">
            <v>A_6700520</v>
          </cell>
          <cell r="H372" t="str">
            <v>Insurance - Workers Compensation - States</v>
          </cell>
          <cell r="J372">
            <v>-8.5</v>
          </cell>
          <cell r="K372">
            <v>0</v>
          </cell>
          <cell r="L372">
            <v>0</v>
          </cell>
          <cell r="M372">
            <v>-12</v>
          </cell>
          <cell r="N372">
            <v>-25.3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0.1</v>
          </cell>
          <cell r="Y372">
            <v>-0.1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0.1</v>
          </cell>
          <cell r="AK372">
            <v>0</v>
          </cell>
          <cell r="AL372">
            <v>0</v>
          </cell>
          <cell r="AM372">
            <v>0</v>
          </cell>
          <cell r="AN372">
            <v>-30.8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7.5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EM372">
            <v>0</v>
          </cell>
          <cell r="EN372">
            <v>-30.7</v>
          </cell>
          <cell r="EO372">
            <v>7.5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A373" t="str">
            <v>O&amp;M (Net of pass-throughs)</v>
          </cell>
          <cell r="B373" t="str">
            <v>Operations &amp; Maintenance Expense (incl clause)</v>
          </cell>
          <cell r="E373" t="str">
            <v>Operations &amp; Maintenance Expense</v>
          </cell>
          <cell r="F373" t="str">
            <v>6700599</v>
          </cell>
          <cell r="G373" t="str">
            <v>A_6700599</v>
          </cell>
          <cell r="H373" t="str">
            <v>Insurance - Other</v>
          </cell>
          <cell r="J373">
            <v>2.7</v>
          </cell>
          <cell r="K373">
            <v>0</v>
          </cell>
          <cell r="L373">
            <v>0.5</v>
          </cell>
          <cell r="M373">
            <v>0</v>
          </cell>
          <cell r="N373">
            <v>0</v>
          </cell>
          <cell r="O373">
            <v>0</v>
          </cell>
          <cell r="P373">
            <v>3.4</v>
          </cell>
          <cell r="Q373">
            <v>8.8000000000000007</v>
          </cell>
          <cell r="R373">
            <v>0.3</v>
          </cell>
          <cell r="S373">
            <v>2.9</v>
          </cell>
          <cell r="T373">
            <v>0.3</v>
          </cell>
          <cell r="U373">
            <v>0.3</v>
          </cell>
          <cell r="V373">
            <v>2.8</v>
          </cell>
          <cell r="W373">
            <v>0.3</v>
          </cell>
          <cell r="X373">
            <v>0.3</v>
          </cell>
          <cell r="Y373">
            <v>2.5</v>
          </cell>
          <cell r="Z373">
            <v>0.3</v>
          </cell>
          <cell r="AA373">
            <v>-0.5</v>
          </cell>
          <cell r="AB373">
            <v>2.2000000000000002</v>
          </cell>
          <cell r="AC373">
            <v>6</v>
          </cell>
          <cell r="AD373">
            <v>0</v>
          </cell>
          <cell r="AE373">
            <v>2.2000000000000002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0.1</v>
          </cell>
          <cell r="AM373">
            <v>0.1</v>
          </cell>
          <cell r="AN373">
            <v>0.1</v>
          </cell>
          <cell r="AO373">
            <v>0.4</v>
          </cell>
          <cell r="AP373">
            <v>0.4</v>
          </cell>
          <cell r="AQ373">
            <v>0.4</v>
          </cell>
          <cell r="AR373">
            <v>0.4</v>
          </cell>
          <cell r="AS373">
            <v>0.4</v>
          </cell>
          <cell r="AT373">
            <v>0.4</v>
          </cell>
          <cell r="AU373">
            <v>0.4</v>
          </cell>
          <cell r="AV373">
            <v>0.4</v>
          </cell>
          <cell r="AW373">
            <v>0.4</v>
          </cell>
          <cell r="AX373">
            <v>0.4</v>
          </cell>
          <cell r="AY373">
            <v>0.4</v>
          </cell>
          <cell r="AZ373">
            <v>1.9</v>
          </cell>
          <cell r="BA373">
            <v>1.2</v>
          </cell>
          <cell r="BB373">
            <v>1.2</v>
          </cell>
          <cell r="BC373">
            <v>1.2</v>
          </cell>
          <cell r="BD373">
            <v>1.2</v>
          </cell>
          <cell r="BE373">
            <v>1.4</v>
          </cell>
          <cell r="BF373">
            <v>1.2</v>
          </cell>
          <cell r="BG373">
            <v>1.2</v>
          </cell>
          <cell r="BH373">
            <v>1.2</v>
          </cell>
          <cell r="BI373">
            <v>1.2</v>
          </cell>
          <cell r="BJ373">
            <v>1.2</v>
          </cell>
          <cell r="BK373">
            <v>0.5</v>
          </cell>
          <cell r="BL373">
            <v>0.5</v>
          </cell>
          <cell r="BM373">
            <v>2.8</v>
          </cell>
          <cell r="BN373">
            <v>3.4</v>
          </cell>
          <cell r="BO373">
            <v>2.2999999999999998</v>
          </cell>
          <cell r="BP373">
            <v>2.2999999999999998</v>
          </cell>
          <cell r="BQ373">
            <v>2.2999999999999998</v>
          </cell>
          <cell r="BR373">
            <v>3.7</v>
          </cell>
          <cell r="BS373">
            <v>6.6</v>
          </cell>
          <cell r="BT373">
            <v>2.7</v>
          </cell>
          <cell r="BU373">
            <v>2.7</v>
          </cell>
          <cell r="BV373">
            <v>2.5</v>
          </cell>
          <cell r="BW373">
            <v>1.3</v>
          </cell>
          <cell r="BX373">
            <v>5.0999999999999996</v>
          </cell>
          <cell r="BY373">
            <v>3</v>
          </cell>
          <cell r="BZ373">
            <v>3</v>
          </cell>
          <cell r="CA373">
            <v>2.8</v>
          </cell>
          <cell r="CB373">
            <v>3.4</v>
          </cell>
          <cell r="CC373">
            <v>3</v>
          </cell>
          <cell r="CD373">
            <v>3</v>
          </cell>
          <cell r="CE373">
            <v>3</v>
          </cell>
          <cell r="CF373">
            <v>6.2</v>
          </cell>
          <cell r="CG373">
            <v>3</v>
          </cell>
          <cell r="CH373">
            <v>2.7</v>
          </cell>
          <cell r="CI373">
            <v>2.8</v>
          </cell>
          <cell r="CJ373">
            <v>4.3</v>
          </cell>
          <cell r="CK373">
            <v>0.8</v>
          </cell>
          <cell r="CL373">
            <v>13.8</v>
          </cell>
          <cell r="CM373">
            <v>62.2</v>
          </cell>
          <cell r="CN373">
            <v>4.3</v>
          </cell>
          <cell r="CO373">
            <v>4</v>
          </cell>
          <cell r="CP373">
            <v>4.3</v>
          </cell>
          <cell r="CQ373">
            <v>4.2</v>
          </cell>
          <cell r="CR373">
            <v>4.2</v>
          </cell>
          <cell r="CS373">
            <v>4.2</v>
          </cell>
          <cell r="CT373">
            <v>4.5</v>
          </cell>
          <cell r="CU373">
            <v>4.5</v>
          </cell>
          <cell r="CV373">
            <v>4.0999999999999996</v>
          </cell>
          <cell r="CW373">
            <v>5.9</v>
          </cell>
          <cell r="CX373">
            <v>5.9</v>
          </cell>
          <cell r="CY373">
            <v>5.6</v>
          </cell>
          <cell r="CZ373">
            <v>6.2</v>
          </cell>
          <cell r="DA373">
            <v>5.9</v>
          </cell>
          <cell r="DB373">
            <v>5.9</v>
          </cell>
          <cell r="DC373">
            <v>5.9</v>
          </cell>
          <cell r="DD373">
            <v>5.9</v>
          </cell>
          <cell r="DE373">
            <v>5.9</v>
          </cell>
          <cell r="DF373">
            <v>6.1</v>
          </cell>
          <cell r="DG373">
            <v>6.1</v>
          </cell>
          <cell r="DH373">
            <v>5.6</v>
          </cell>
          <cell r="DI373">
            <v>8.8000000000000007</v>
          </cell>
          <cell r="DJ373">
            <v>8.8000000000000007</v>
          </cell>
          <cell r="DK373">
            <v>8.8000000000000007</v>
          </cell>
          <cell r="DL373">
            <v>8.1999999999999993</v>
          </cell>
          <cell r="DM373">
            <v>9.4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EM373">
            <v>16.099999999999998</v>
          </cell>
          <cell r="EN373">
            <v>2.2999999999999998</v>
          </cell>
          <cell r="EO373">
            <v>10.5</v>
          </cell>
          <cell r="EP373">
            <v>20.100000000000001</v>
          </cell>
          <cell r="EQ373">
            <v>39.799999999999997</v>
          </cell>
          <cell r="ER373">
            <v>110.10000000000001</v>
          </cell>
          <cell r="ES373">
            <v>59.5</v>
          </cell>
        </row>
        <row r="374">
          <cell r="A374" t="str">
            <v>O&amp;M (Net of pass-throughs)</v>
          </cell>
          <cell r="B374" t="str">
            <v>Operations &amp; Maintenance Expense (incl clause)</v>
          </cell>
          <cell r="E374" t="str">
            <v>Operations &amp; Maintenance Expense</v>
          </cell>
          <cell r="F374" t="str">
            <v>6709000</v>
          </cell>
          <cell r="G374" t="str">
            <v>A_6709000</v>
          </cell>
          <cell r="H374" t="str">
            <v>Insurance Expense sent to Balance Sheet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-0.1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-2.2999999999999998</v>
          </cell>
          <cell r="AM374">
            <v>-1.9</v>
          </cell>
          <cell r="AN374">
            <v>-0.1</v>
          </cell>
          <cell r="AO374">
            <v>0</v>
          </cell>
          <cell r="AP374">
            <v>-10.5</v>
          </cell>
          <cell r="AQ374">
            <v>0</v>
          </cell>
          <cell r="AR374">
            <v>0</v>
          </cell>
          <cell r="AS374">
            <v>-1.2</v>
          </cell>
          <cell r="AT374">
            <v>0</v>
          </cell>
          <cell r="AU374">
            <v>0</v>
          </cell>
          <cell r="AV374">
            <v>-0.4</v>
          </cell>
          <cell r="AW374">
            <v>0</v>
          </cell>
          <cell r="AX374">
            <v>0</v>
          </cell>
          <cell r="AY374">
            <v>0</v>
          </cell>
          <cell r="AZ374">
            <v>1.2</v>
          </cell>
          <cell r="BA374">
            <v>-0.1</v>
          </cell>
          <cell r="BB374">
            <v>0</v>
          </cell>
          <cell r="BC374">
            <v>0</v>
          </cell>
          <cell r="BD374">
            <v>1.9</v>
          </cell>
          <cell r="BE374">
            <v>0</v>
          </cell>
          <cell r="BF374">
            <v>0</v>
          </cell>
          <cell r="BG374">
            <v>-0.1</v>
          </cell>
          <cell r="BH374">
            <v>0</v>
          </cell>
          <cell r="BI374">
            <v>0</v>
          </cell>
          <cell r="BJ374">
            <v>-0.9</v>
          </cell>
          <cell r="BK374">
            <v>0</v>
          </cell>
          <cell r="BL374">
            <v>0</v>
          </cell>
          <cell r="BM374">
            <v>-0.9</v>
          </cell>
          <cell r="BN374">
            <v>0</v>
          </cell>
          <cell r="BO374">
            <v>-0.1</v>
          </cell>
          <cell r="BP374">
            <v>-0.1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-0.1</v>
          </cell>
          <cell r="CB374">
            <v>0</v>
          </cell>
          <cell r="CC374">
            <v>-53.8</v>
          </cell>
          <cell r="CD374">
            <v>-0.2</v>
          </cell>
          <cell r="CE374">
            <v>-1.3</v>
          </cell>
          <cell r="CF374">
            <v>-1.8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-6.5</v>
          </cell>
          <cell r="CM374">
            <v>-3.8</v>
          </cell>
          <cell r="CN374">
            <v>-2.2999999999999998</v>
          </cell>
          <cell r="CO374">
            <v>-48.9</v>
          </cell>
          <cell r="CP374">
            <v>-0.1</v>
          </cell>
          <cell r="CQ374">
            <v>0</v>
          </cell>
          <cell r="CR374">
            <v>0</v>
          </cell>
          <cell r="CS374">
            <v>-0.8</v>
          </cell>
          <cell r="CT374">
            <v>-0.8</v>
          </cell>
          <cell r="CU374">
            <v>-3</v>
          </cell>
          <cell r="CV374">
            <v>0</v>
          </cell>
          <cell r="CW374">
            <v>0</v>
          </cell>
          <cell r="CX374">
            <v>0</v>
          </cell>
          <cell r="CY374">
            <v>-2</v>
          </cell>
          <cell r="CZ374">
            <v>-0.1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-2.5</v>
          </cell>
          <cell r="DF374">
            <v>-15.1</v>
          </cell>
          <cell r="DG374">
            <v>0</v>
          </cell>
          <cell r="DH374">
            <v>0</v>
          </cell>
          <cell r="DI374">
            <v>-0.8</v>
          </cell>
          <cell r="DJ374">
            <v>-0.6</v>
          </cell>
          <cell r="DK374">
            <v>-2.2000000000000002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EM374">
            <v>-0.1</v>
          </cell>
          <cell r="EN374">
            <v>-15.999999999999998</v>
          </cell>
          <cell r="EO374">
            <v>2.5999999999999996</v>
          </cell>
          <cell r="EP374">
            <v>-2.1</v>
          </cell>
          <cell r="EQ374">
            <v>-53.9</v>
          </cell>
          <cell r="ER374">
            <v>-64.8</v>
          </cell>
          <cell r="ES374">
            <v>-6.8</v>
          </cell>
        </row>
        <row r="375">
          <cell r="A375" t="str">
            <v>O&amp;M (Net of pass-throughs)</v>
          </cell>
          <cell r="B375" t="str">
            <v>Operations &amp; Maintenance Expense (incl clause)</v>
          </cell>
          <cell r="E375" t="str">
            <v>Operations &amp; Maintenance Expense</v>
          </cell>
          <cell r="F375" t="str">
            <v>6700000</v>
          </cell>
          <cell r="G375" t="str">
            <v>A_S6700000</v>
          </cell>
          <cell r="H375" t="str">
            <v>Settled Insurance Exp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</row>
        <row r="376">
          <cell r="A376" t="str">
            <v>O&amp;M (Net of pass-throughs)</v>
          </cell>
          <cell r="B376" t="str">
            <v>Operations &amp; Maintenance Expense (incl clause)</v>
          </cell>
          <cell r="E376" t="str">
            <v>Operations &amp; Maintenance Expense</v>
          </cell>
          <cell r="F376" t="str">
            <v>6700400</v>
          </cell>
          <cell r="G376" t="str">
            <v>A_S6700400</v>
          </cell>
          <cell r="H376" t="str">
            <v>Settled Insurance - FPSC Storm Reserve Expense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31.7</v>
          </cell>
          <cell r="DO376">
            <v>31.7</v>
          </cell>
          <cell r="DP376">
            <v>31.7</v>
          </cell>
          <cell r="DQ376">
            <v>31.7</v>
          </cell>
          <cell r="DR376">
            <v>31.7</v>
          </cell>
          <cell r="DS376">
            <v>31.7</v>
          </cell>
          <cell r="DT376">
            <v>31.7</v>
          </cell>
          <cell r="DU376">
            <v>31.7</v>
          </cell>
          <cell r="DV376">
            <v>31.7</v>
          </cell>
          <cell r="DW376">
            <v>31.7</v>
          </cell>
          <cell r="DX376">
            <v>31.7</v>
          </cell>
          <cell r="DY376">
            <v>31.7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A377" t="str">
            <v>O&amp;M (Net of pass-throughs)</v>
          </cell>
          <cell r="B377" t="str">
            <v>Operations &amp; Maintenance Expense (incl clause)</v>
          </cell>
          <cell r="E377" t="str">
            <v>Operations &amp; Maintenance Expense</v>
          </cell>
          <cell r="F377" t="str">
            <v>6700502</v>
          </cell>
          <cell r="G377" t="str">
            <v>A_S6700502</v>
          </cell>
          <cell r="H377" t="str">
            <v>Settled Insurance - Brokerage Fees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65.400000000000006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A378" t="str">
            <v>O&amp;M (Net of pass-throughs)</v>
          </cell>
          <cell r="B378" t="str">
            <v>Operations &amp; Maintenance Expense (incl clause)</v>
          </cell>
          <cell r="E378" t="str">
            <v>Operations &amp; Maintenance Expense</v>
          </cell>
          <cell r="F378" t="str">
            <v>6700503</v>
          </cell>
          <cell r="G378" t="str">
            <v>A_S6700503</v>
          </cell>
          <cell r="H378" t="str">
            <v>Settled Insurance - Crime &amp; Fidelity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0.9</v>
          </cell>
          <cell r="DO378">
            <v>0.9</v>
          </cell>
          <cell r="DP378">
            <v>0.9</v>
          </cell>
          <cell r="DQ378">
            <v>0.9</v>
          </cell>
          <cell r="DR378">
            <v>0.9</v>
          </cell>
          <cell r="DS378">
            <v>0.9</v>
          </cell>
          <cell r="DT378">
            <v>0.9</v>
          </cell>
          <cell r="DU378">
            <v>0.9</v>
          </cell>
          <cell r="DV378">
            <v>0.9</v>
          </cell>
          <cell r="DW378">
            <v>0.9</v>
          </cell>
          <cell r="DX378">
            <v>0.9</v>
          </cell>
          <cell r="DY378">
            <v>0.9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A379" t="str">
            <v>O&amp;M (Net of pass-throughs)</v>
          </cell>
          <cell r="B379" t="str">
            <v>Operations &amp; Maintenance Expense (incl clause)</v>
          </cell>
          <cell r="E379" t="str">
            <v>Operations &amp; Maintenance Expense</v>
          </cell>
          <cell r="F379" t="str">
            <v>6700504</v>
          </cell>
          <cell r="G379" t="str">
            <v>A_S6700504</v>
          </cell>
          <cell r="H379" t="str">
            <v>Settled Insurance - Directors &amp; Officers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9.4</v>
          </cell>
          <cell r="DO379">
            <v>9.4</v>
          </cell>
          <cell r="DP379">
            <v>9.4</v>
          </cell>
          <cell r="DQ379">
            <v>9.4</v>
          </cell>
          <cell r="DR379">
            <v>9.4</v>
          </cell>
          <cell r="DS379">
            <v>9.4</v>
          </cell>
          <cell r="DT379">
            <v>9.4</v>
          </cell>
          <cell r="DU379">
            <v>9.4</v>
          </cell>
          <cell r="DV379">
            <v>9.4</v>
          </cell>
          <cell r="DW379">
            <v>9.4</v>
          </cell>
          <cell r="DX379">
            <v>9.4</v>
          </cell>
          <cell r="DY379">
            <v>9.4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A380" t="str">
            <v>O&amp;M (Net of pass-throughs)</v>
          </cell>
          <cell r="B380" t="str">
            <v>Operations &amp; Maintenance Expense (incl clause)</v>
          </cell>
          <cell r="E380" t="str">
            <v>Operations &amp; Maintenance Expense</v>
          </cell>
          <cell r="F380" t="str">
            <v>6700505</v>
          </cell>
          <cell r="G380" t="str">
            <v>A_S6700505</v>
          </cell>
          <cell r="H380" t="str">
            <v>Settled Insurance - Errors and Omissions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0.3</v>
          </cell>
          <cell r="DO380">
            <v>0.3</v>
          </cell>
          <cell r="DP380">
            <v>0.3</v>
          </cell>
          <cell r="DQ380">
            <v>0.3</v>
          </cell>
          <cell r="DR380">
            <v>0.3</v>
          </cell>
          <cell r="DS380">
            <v>0.4</v>
          </cell>
          <cell r="DT380">
            <v>0.4</v>
          </cell>
          <cell r="DU380">
            <v>0.4</v>
          </cell>
          <cell r="DV380">
            <v>0.4</v>
          </cell>
          <cell r="DW380">
            <v>0.4</v>
          </cell>
          <cell r="DX380">
            <v>0.4</v>
          </cell>
          <cell r="DY380">
            <v>0.4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A381" t="str">
            <v>O&amp;M (Net of pass-throughs)</v>
          </cell>
          <cell r="B381" t="str">
            <v>Operations &amp; Maintenance Expense (incl clause)</v>
          </cell>
          <cell r="E381" t="str">
            <v>Operations &amp; Maintenance Expense</v>
          </cell>
          <cell r="F381" t="str">
            <v>6700506</v>
          </cell>
          <cell r="G381" t="str">
            <v>A_S6700506</v>
          </cell>
          <cell r="H381" t="str">
            <v>Settled Insurance - Excess Automobile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11.1</v>
          </cell>
          <cell r="DO381">
            <v>11.1</v>
          </cell>
          <cell r="DP381">
            <v>11.1</v>
          </cell>
          <cell r="DQ381">
            <v>11.1</v>
          </cell>
          <cell r="DR381">
            <v>11.1</v>
          </cell>
          <cell r="DS381">
            <v>12.7</v>
          </cell>
          <cell r="DT381">
            <v>12.7</v>
          </cell>
          <cell r="DU381">
            <v>12.7</v>
          </cell>
          <cell r="DV381">
            <v>12.7</v>
          </cell>
          <cell r="DW381">
            <v>12.7</v>
          </cell>
          <cell r="DX381">
            <v>12.7</v>
          </cell>
          <cell r="DY381">
            <v>12.7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A382" t="str">
            <v>O&amp;M (Net of pass-throughs)</v>
          </cell>
          <cell r="B382" t="str">
            <v>Operations &amp; Maintenance Expense (incl clause)</v>
          </cell>
          <cell r="E382" t="str">
            <v>Operations &amp; Maintenance Expense</v>
          </cell>
          <cell r="F382" t="str">
            <v>6700507</v>
          </cell>
          <cell r="G382" t="str">
            <v>A_S6700507</v>
          </cell>
          <cell r="H382" t="str">
            <v>Settled Insurance - Excess General Liability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483.3</v>
          </cell>
          <cell r="DO382">
            <v>483.3</v>
          </cell>
          <cell r="DP382">
            <v>483.3</v>
          </cell>
          <cell r="DQ382">
            <v>483.3</v>
          </cell>
          <cell r="DR382">
            <v>483.3</v>
          </cell>
          <cell r="DS382">
            <v>545.79999999999995</v>
          </cell>
          <cell r="DT382">
            <v>545.79999999999995</v>
          </cell>
          <cell r="DU382">
            <v>545.79999999999995</v>
          </cell>
          <cell r="DV382">
            <v>545.79999999999995</v>
          </cell>
          <cell r="DW382">
            <v>545.79999999999995</v>
          </cell>
          <cell r="DX382">
            <v>545.79999999999995</v>
          </cell>
          <cell r="DY382">
            <v>545.79999999999995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A383" t="str">
            <v>O&amp;M (Net of pass-throughs)</v>
          </cell>
          <cell r="B383" t="str">
            <v>Operations &amp; Maintenance Expense (incl clause)</v>
          </cell>
          <cell r="E383" t="str">
            <v>Operations &amp; Maintenance Expense</v>
          </cell>
          <cell r="F383" t="str">
            <v>6700508</v>
          </cell>
          <cell r="G383" t="str">
            <v>A_S6700508</v>
          </cell>
          <cell r="H383" t="str">
            <v>Settled Insurance - Fiduciary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0.8</v>
          </cell>
          <cell r="DO383">
            <v>0.8</v>
          </cell>
          <cell r="DP383">
            <v>0.8</v>
          </cell>
          <cell r="DQ383">
            <v>0.8</v>
          </cell>
          <cell r="DR383">
            <v>0.8</v>
          </cell>
          <cell r="DS383">
            <v>0.8</v>
          </cell>
          <cell r="DT383">
            <v>0.8</v>
          </cell>
          <cell r="DU383">
            <v>0.8</v>
          </cell>
          <cell r="DV383">
            <v>0.8</v>
          </cell>
          <cell r="DW383">
            <v>0.8</v>
          </cell>
          <cell r="DX383">
            <v>0.8</v>
          </cell>
          <cell r="DY383">
            <v>0.8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A384" t="str">
            <v>O&amp;M (Net of pass-throughs)</v>
          </cell>
          <cell r="B384" t="str">
            <v>Operations &amp; Maintenance Expense (incl clause)</v>
          </cell>
          <cell r="E384" t="str">
            <v>Operations &amp; Maintenance Expense</v>
          </cell>
          <cell r="F384" t="str">
            <v>6700509</v>
          </cell>
          <cell r="G384" t="str">
            <v>A_S6700509</v>
          </cell>
          <cell r="H384" t="str">
            <v>Settled Insurance - I&amp;D Reserves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>O&amp;M (Net of pass-throughs)</v>
          </cell>
          <cell r="B385" t="str">
            <v>Operations &amp; Maintenance Expense (incl clause)</v>
          </cell>
          <cell r="E385" t="str">
            <v>Operations &amp; Maintenance Expense</v>
          </cell>
          <cell r="F385" t="str">
            <v>6700514</v>
          </cell>
          <cell r="G385" t="str">
            <v>A_S6700514</v>
          </cell>
          <cell r="H385" t="str">
            <v>Settled Insurance - Property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6.6</v>
          </cell>
          <cell r="DO385">
            <v>6.6</v>
          </cell>
          <cell r="DP385">
            <v>9.1999999999999993</v>
          </cell>
          <cell r="DQ385">
            <v>9.1999999999999993</v>
          </cell>
          <cell r="DR385">
            <v>9.1999999999999993</v>
          </cell>
          <cell r="DS385">
            <v>9.1999999999999993</v>
          </cell>
          <cell r="DT385">
            <v>9.1999999999999993</v>
          </cell>
          <cell r="DU385">
            <v>9.1999999999999993</v>
          </cell>
          <cell r="DV385">
            <v>9.1999999999999993</v>
          </cell>
          <cell r="DW385">
            <v>9.1999999999999993</v>
          </cell>
          <cell r="DX385">
            <v>9.1999999999999993</v>
          </cell>
          <cell r="DY385">
            <v>9.1999999999999993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</row>
        <row r="386">
          <cell r="A386" t="str">
            <v>O&amp;M (Net of pass-throughs)</v>
          </cell>
          <cell r="B386" t="str">
            <v>Operations &amp; Maintenance Expense (incl clause)</v>
          </cell>
          <cell r="E386" t="str">
            <v>Operations &amp; Maintenance Expense</v>
          </cell>
          <cell r="F386" t="str">
            <v>6700515</v>
          </cell>
          <cell r="G386" t="str">
            <v>A_S6700515</v>
          </cell>
          <cell r="H386" t="str">
            <v>Settled Insurance - Punitive Damages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2.8</v>
          </cell>
          <cell r="DO386">
            <v>2.8</v>
          </cell>
          <cell r="DP386">
            <v>2.8</v>
          </cell>
          <cell r="DQ386">
            <v>2.8</v>
          </cell>
          <cell r="DR386">
            <v>2.8</v>
          </cell>
          <cell r="DS386">
            <v>3.1</v>
          </cell>
          <cell r="DT386">
            <v>3.1</v>
          </cell>
          <cell r="DU386">
            <v>3.1</v>
          </cell>
          <cell r="DV386">
            <v>3.1</v>
          </cell>
          <cell r="DW386">
            <v>3.1</v>
          </cell>
          <cell r="DX386">
            <v>3.1</v>
          </cell>
          <cell r="DY386">
            <v>3.1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A387" t="str">
            <v>O&amp;M (Net of pass-throughs)</v>
          </cell>
          <cell r="B387" t="str">
            <v>Operations &amp; Maintenance Expense (incl clause)</v>
          </cell>
          <cell r="E387" t="str">
            <v>Operations &amp; Maintenance Expense</v>
          </cell>
          <cell r="F387" t="str">
            <v>6700516</v>
          </cell>
          <cell r="G387" t="str">
            <v>A_S6700516</v>
          </cell>
          <cell r="H387" t="str">
            <v>Settled Insurance - Special Risk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0.1</v>
          </cell>
          <cell r="DO387">
            <v>0.1</v>
          </cell>
          <cell r="DP387">
            <v>0.1</v>
          </cell>
          <cell r="DQ387">
            <v>0.1</v>
          </cell>
          <cell r="DR387">
            <v>0.1</v>
          </cell>
          <cell r="DS387">
            <v>0.1</v>
          </cell>
          <cell r="DT387">
            <v>0.1</v>
          </cell>
          <cell r="DU387">
            <v>0.1</v>
          </cell>
          <cell r="DV387">
            <v>0.1</v>
          </cell>
          <cell r="DW387">
            <v>0.1</v>
          </cell>
          <cell r="DX387">
            <v>0.1</v>
          </cell>
          <cell r="DY387">
            <v>0.1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A388" t="str">
            <v>O&amp;M (Net of pass-throughs)</v>
          </cell>
          <cell r="B388" t="str">
            <v>Operations &amp; Maintenance Expense (incl clause)</v>
          </cell>
          <cell r="E388" t="str">
            <v>Operations &amp; Maintenance Expense</v>
          </cell>
          <cell r="F388" t="str">
            <v>6700517</v>
          </cell>
          <cell r="G388" t="str">
            <v>A_S6700517</v>
          </cell>
          <cell r="H388" t="str">
            <v>Settled Insurance - Surety Bonds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1.4</v>
          </cell>
          <cell r="DO388">
            <v>1.4</v>
          </cell>
          <cell r="DP388">
            <v>1.4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16.5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A389" t="str">
            <v>O&amp;M (Net of pass-throughs)</v>
          </cell>
          <cell r="B389" t="str">
            <v>Operations &amp; Maintenance Expense (incl clause)</v>
          </cell>
          <cell r="E389" t="str">
            <v>Operations &amp; Maintenance Expense</v>
          </cell>
          <cell r="F389" t="str">
            <v>6700518</v>
          </cell>
          <cell r="G389" t="str">
            <v>A_S6700518</v>
          </cell>
          <cell r="H389" t="str">
            <v>Settled Insurance - Travel Accident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0.1</v>
          </cell>
          <cell r="DO389">
            <v>0.1</v>
          </cell>
          <cell r="DP389">
            <v>0.1</v>
          </cell>
          <cell r="DQ389">
            <v>0.1</v>
          </cell>
          <cell r="DR389">
            <v>0.1</v>
          </cell>
          <cell r="DS389">
            <v>0.1</v>
          </cell>
          <cell r="DT389">
            <v>0.1</v>
          </cell>
          <cell r="DU389">
            <v>0.1</v>
          </cell>
          <cell r="DV389">
            <v>0.1</v>
          </cell>
          <cell r="DW389">
            <v>0.1</v>
          </cell>
          <cell r="DX389">
            <v>0.1</v>
          </cell>
          <cell r="DY389">
            <v>0.1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A390" t="str">
            <v>O&amp;M (Net of pass-throughs)</v>
          </cell>
          <cell r="B390" t="str">
            <v>Operations &amp; Maintenance Expense (incl clause)</v>
          </cell>
          <cell r="E390" t="str">
            <v>Operations &amp; Maintenance Expense</v>
          </cell>
          <cell r="F390" t="str">
            <v>6700519</v>
          </cell>
          <cell r="G390" t="str">
            <v>A_S6700519</v>
          </cell>
          <cell r="H390" t="str">
            <v>Settled Insurance - Workers Compensation - Exces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8.9</v>
          </cell>
          <cell r="DO390">
            <v>8.9</v>
          </cell>
          <cell r="DP390">
            <v>10.1</v>
          </cell>
          <cell r="DQ390">
            <v>8.9</v>
          </cell>
          <cell r="DR390">
            <v>8.9</v>
          </cell>
          <cell r="DS390">
            <v>11</v>
          </cell>
          <cell r="DT390">
            <v>9.8000000000000007</v>
          </cell>
          <cell r="DU390">
            <v>9.8000000000000007</v>
          </cell>
          <cell r="DV390">
            <v>11</v>
          </cell>
          <cell r="DW390">
            <v>9.8000000000000007</v>
          </cell>
          <cell r="DX390">
            <v>9.8000000000000007</v>
          </cell>
          <cell r="DY390">
            <v>11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A391" t="str">
            <v>O&amp;M (Net of pass-throughs)</v>
          </cell>
          <cell r="B391" t="str">
            <v>Operations &amp; Maintenance Expense (incl clause)</v>
          </cell>
          <cell r="E391" t="str">
            <v>Operations &amp; Maintenance Expense</v>
          </cell>
          <cell r="F391" t="str">
            <v>6700599</v>
          </cell>
          <cell r="G391" t="str">
            <v>A_S6700599</v>
          </cell>
          <cell r="H391" t="str">
            <v>Settled Insurance - Other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9</v>
          </cell>
          <cell r="DO391">
            <v>9</v>
          </cell>
          <cell r="DP391">
            <v>9</v>
          </cell>
          <cell r="DQ391">
            <v>9</v>
          </cell>
          <cell r="DR391">
            <v>9</v>
          </cell>
          <cell r="DS391">
            <v>9</v>
          </cell>
          <cell r="DT391">
            <v>9</v>
          </cell>
          <cell r="DU391">
            <v>13.3</v>
          </cell>
          <cell r="DV391">
            <v>13.3</v>
          </cell>
          <cell r="DW391">
            <v>13.4</v>
          </cell>
          <cell r="DX391">
            <v>13.4</v>
          </cell>
          <cell r="DY391">
            <v>13.4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>O&amp;M (Net of pass-throughs)</v>
          </cell>
          <cell r="B392" t="str">
            <v>Operations &amp; Maintenance Expense (incl clause)</v>
          </cell>
          <cell r="E392" t="str">
            <v>Operations &amp; Maintenance Expense</v>
          </cell>
          <cell r="F392" t="str">
            <v>6709000</v>
          </cell>
          <cell r="G392" t="str">
            <v>A_S6709000</v>
          </cell>
          <cell r="H392" t="str">
            <v>Settled Insurance Expense to Balance Sheet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F393" t="str">
            <v>670</v>
          </cell>
          <cell r="G393">
            <v>670</v>
          </cell>
          <cell r="J393">
            <v>276.7</v>
          </cell>
          <cell r="K393">
            <v>282.7</v>
          </cell>
          <cell r="L393">
            <v>140.89999999999998</v>
          </cell>
          <cell r="M393">
            <v>268.99999999999994</v>
          </cell>
          <cell r="N393">
            <v>278.8</v>
          </cell>
          <cell r="O393">
            <v>-167.6</v>
          </cell>
          <cell r="P393">
            <v>298.00000000000006</v>
          </cell>
          <cell r="Q393">
            <v>265.90000000000003</v>
          </cell>
          <cell r="R393">
            <v>60.899999999999991</v>
          </cell>
          <cell r="S393">
            <v>293.00000000000006</v>
          </cell>
          <cell r="T393">
            <v>289.70000000000005</v>
          </cell>
          <cell r="U393">
            <v>-296.39999999999992</v>
          </cell>
          <cell r="V393">
            <v>143.1</v>
          </cell>
          <cell r="W393">
            <v>138.79999999999998</v>
          </cell>
          <cell r="X393">
            <v>-298.49999999999994</v>
          </cell>
          <cell r="Y393">
            <v>143.89999999999998</v>
          </cell>
          <cell r="Z393">
            <v>140.30000000000001</v>
          </cell>
          <cell r="AA393">
            <v>-135.30000000000001</v>
          </cell>
          <cell r="AB393">
            <v>141.29999999999998</v>
          </cell>
          <cell r="AC393">
            <v>163.5</v>
          </cell>
          <cell r="AD393">
            <v>-93.4</v>
          </cell>
          <cell r="AE393">
            <v>151.69999999999999</v>
          </cell>
          <cell r="AF393">
            <v>140.69999999999999</v>
          </cell>
          <cell r="AG393">
            <v>527.29999999999995</v>
          </cell>
          <cell r="AH393">
            <v>142.69999999999999</v>
          </cell>
          <cell r="AI393">
            <v>142</v>
          </cell>
          <cell r="AJ393">
            <v>-283.39999999999992</v>
          </cell>
          <cell r="AK393">
            <v>81.099999999999994</v>
          </cell>
          <cell r="AL393">
            <v>138.89999999999998</v>
          </cell>
          <cell r="AM393">
            <v>551.6</v>
          </cell>
          <cell r="AN393">
            <v>102.10000000000001</v>
          </cell>
          <cell r="AO393">
            <v>135.60000000000002</v>
          </cell>
          <cell r="AP393">
            <v>34.5</v>
          </cell>
          <cell r="AQ393">
            <v>150.1</v>
          </cell>
          <cell r="AR393">
            <v>134.50000000000003</v>
          </cell>
          <cell r="AS393">
            <v>403.8</v>
          </cell>
          <cell r="AT393">
            <v>144.40000000000003</v>
          </cell>
          <cell r="AU393">
            <v>134.20000000000002</v>
          </cell>
          <cell r="AV393">
            <v>166.7</v>
          </cell>
          <cell r="AW393">
            <v>136.6</v>
          </cell>
          <cell r="AX393">
            <v>131.9</v>
          </cell>
          <cell r="AY393">
            <v>-19.799999999999997</v>
          </cell>
          <cell r="AZ393">
            <v>136.79999999999998</v>
          </cell>
          <cell r="BA393">
            <v>134.29999999999998</v>
          </cell>
          <cell r="BB393">
            <v>514.90000000000009</v>
          </cell>
          <cell r="BC393">
            <v>137.19999999999999</v>
          </cell>
          <cell r="BD393">
            <v>134.1</v>
          </cell>
          <cell r="BE393">
            <v>-207.39999999999998</v>
          </cell>
          <cell r="BF393">
            <v>120.2</v>
          </cell>
          <cell r="BG393">
            <v>176.20000000000002</v>
          </cell>
          <cell r="BH393">
            <v>33.000000000000028</v>
          </cell>
          <cell r="BI393">
            <v>152.49999999999997</v>
          </cell>
          <cell r="BJ393">
            <v>158.4</v>
          </cell>
          <cell r="BK393">
            <v>85.6</v>
          </cell>
          <cell r="BL393">
            <v>152.49999999999997</v>
          </cell>
          <cell r="BM393">
            <v>155.6</v>
          </cell>
          <cell r="BN393">
            <v>189.5</v>
          </cell>
          <cell r="BO393">
            <v>154.29999999999998</v>
          </cell>
          <cell r="BP393">
            <v>154.5</v>
          </cell>
          <cell r="BQ393">
            <v>178.6</v>
          </cell>
          <cell r="BR393">
            <v>189.2</v>
          </cell>
          <cell r="BS393">
            <v>164.1</v>
          </cell>
          <cell r="BT393">
            <v>992.20000000000016</v>
          </cell>
          <cell r="BU393">
            <v>173</v>
          </cell>
          <cell r="BV393">
            <v>-11.299999999999997</v>
          </cell>
          <cell r="BW393">
            <v>392.7</v>
          </cell>
          <cell r="BX393">
            <v>1183.5999999999999</v>
          </cell>
          <cell r="BY393">
            <v>756.4000000000002</v>
          </cell>
          <cell r="BZ393">
            <v>234.50000000000006</v>
          </cell>
          <cell r="CA393">
            <v>785.2</v>
          </cell>
          <cell r="CB393">
            <v>1001.2000000000002</v>
          </cell>
          <cell r="CC393">
            <v>1345.6</v>
          </cell>
          <cell r="CD393">
            <v>-18.599999999999998</v>
          </cell>
          <cell r="CE393">
            <v>283.40000000000009</v>
          </cell>
          <cell r="CF393">
            <v>-63.2</v>
          </cell>
          <cell r="CG393">
            <v>234.89999999999995</v>
          </cell>
          <cell r="CH393">
            <v>234.69999999999993</v>
          </cell>
          <cell r="CI393">
            <v>430.29999999999995</v>
          </cell>
          <cell r="CJ393">
            <v>247.99999999999997</v>
          </cell>
          <cell r="CK393">
            <v>244.7</v>
          </cell>
          <cell r="CL393">
            <v>160.6</v>
          </cell>
          <cell r="CM393">
            <v>298.59999999999997</v>
          </cell>
          <cell r="CN393">
            <v>243.29999999999998</v>
          </cell>
          <cell r="CO393">
            <v>1020.5000000000001</v>
          </cell>
          <cell r="CP393">
            <v>284.10000000000008</v>
          </cell>
          <cell r="CQ393">
            <v>355.3</v>
          </cell>
          <cell r="CR393">
            <v>458.50000000000006</v>
          </cell>
          <cell r="CS393">
            <v>316.50000000000006</v>
          </cell>
          <cell r="CT393">
            <v>314.60000000000002</v>
          </cell>
          <cell r="CU393">
            <v>333.40000000000003</v>
          </cell>
          <cell r="CV393">
            <v>431.10000000000008</v>
          </cell>
          <cell r="CW393">
            <v>432</v>
          </cell>
          <cell r="CX393">
            <v>744.5</v>
          </cell>
          <cell r="CY393">
            <v>431.70000000000005</v>
          </cell>
          <cell r="CZ393">
            <v>432.3</v>
          </cell>
          <cell r="DA393">
            <v>1619.7999999999997</v>
          </cell>
          <cell r="DB393">
            <v>462.00000000000006</v>
          </cell>
          <cell r="DC393">
            <v>467.5</v>
          </cell>
          <cell r="DD393">
            <v>-48.29999999999999</v>
          </cell>
          <cell r="DE393">
            <v>468.90000000000003</v>
          </cell>
          <cell r="DF393">
            <v>468.00000000000006</v>
          </cell>
          <cell r="DG393">
            <v>511.60000000000008</v>
          </cell>
          <cell r="DH393">
            <v>576.00000000000011</v>
          </cell>
          <cell r="DI393">
            <v>560.29999999999995</v>
          </cell>
          <cell r="DJ393">
            <v>-600.50000000000011</v>
          </cell>
          <cell r="DK393">
            <v>560.19999999999993</v>
          </cell>
          <cell r="DL393">
            <v>561.70000000000005</v>
          </cell>
          <cell r="DM393">
            <v>-189.89999999999995</v>
          </cell>
          <cell r="DN393">
            <v>566.4</v>
          </cell>
          <cell r="DO393">
            <v>566.4</v>
          </cell>
          <cell r="DP393">
            <v>570.20000000000005</v>
          </cell>
          <cell r="DQ393">
            <v>567.6</v>
          </cell>
          <cell r="DR393">
            <v>567.6</v>
          </cell>
          <cell r="DS393">
            <v>634.20000000000005</v>
          </cell>
          <cell r="DT393">
            <v>633</v>
          </cell>
          <cell r="DU393">
            <v>637.29999999999995</v>
          </cell>
          <cell r="DV393">
            <v>638.5</v>
          </cell>
          <cell r="DW393">
            <v>637.4</v>
          </cell>
          <cell r="DX393">
            <v>637.4</v>
          </cell>
          <cell r="DY393">
            <v>720.5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M393">
            <v>1163.4000000000001</v>
          </cell>
          <cell r="EN393">
            <v>1733.5</v>
          </cell>
          <cell r="EO393">
            <v>1543.9</v>
          </cell>
          <cell r="EP393">
            <v>1710.8999999999999</v>
          </cell>
          <cell r="EQ393">
            <v>7206.4</v>
          </cell>
          <cell r="ER393">
            <v>3317.2000000000003</v>
          </cell>
          <cell r="ES393">
            <v>6153.7999999999993</v>
          </cell>
        </row>
        <row r="394">
          <cell r="A394" t="str">
            <v>O&amp;M (Net of pass-throughs)</v>
          </cell>
          <cell r="B394" t="str">
            <v>Operations &amp; Maintenance Expense (incl clause)</v>
          </cell>
          <cell r="E394" t="str">
            <v>Operations &amp; Maintenance Expense</v>
          </cell>
          <cell r="F394" t="str">
            <v>6710020</v>
          </cell>
          <cell r="G394" t="str">
            <v>A_6710020</v>
          </cell>
          <cell r="H394" t="str">
            <v>Rent - Non-Office Equipment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</row>
        <row r="395">
          <cell r="A395" t="str">
            <v>O&amp;M (Net of pass-throughs)</v>
          </cell>
          <cell r="B395" t="str">
            <v>Operations &amp; Maintenance Expense (incl clause)</v>
          </cell>
          <cell r="E395" t="str">
            <v>Operations &amp; Maintenance Expense</v>
          </cell>
          <cell r="F395" t="str">
            <v>6710030</v>
          </cell>
          <cell r="G395" t="str">
            <v>A_6710030</v>
          </cell>
          <cell r="H395" t="str">
            <v>Short-term Rent - Office Equipment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</row>
        <row r="396">
          <cell r="A396" t="str">
            <v>O&amp;M (Net of pass-throughs)</v>
          </cell>
          <cell r="B396" t="str">
            <v>Operations &amp; Maintenance Expense (incl clause)</v>
          </cell>
          <cell r="E396" t="str">
            <v>Operations &amp; Maintenance Expense</v>
          </cell>
          <cell r="F396" t="str">
            <v>6710040</v>
          </cell>
          <cell r="G396" t="str">
            <v>A_6710040</v>
          </cell>
          <cell r="H396" t="str">
            <v>Rent - Office Space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-0.9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A397" t="str">
            <v>O&amp;M (Net of pass-throughs)</v>
          </cell>
          <cell r="B397" t="str">
            <v>Operations &amp; Maintenance Expense (incl clause)</v>
          </cell>
          <cell r="E397" t="str">
            <v>Operations &amp; Maintenance Expense</v>
          </cell>
          <cell r="F397" t="str">
            <v>6710040</v>
          </cell>
          <cell r="G397" t="str">
            <v>A_S6710040</v>
          </cell>
          <cell r="H397" t="str">
            <v>Settled Short-term Rent - Office Space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3</v>
          </cell>
          <cell r="DP397">
            <v>1.2</v>
          </cell>
          <cell r="DQ397">
            <v>2.1</v>
          </cell>
          <cell r="DR397">
            <v>2.1</v>
          </cell>
          <cell r="DS397">
            <v>2.1</v>
          </cell>
          <cell r="DT397">
            <v>2.1</v>
          </cell>
          <cell r="DU397">
            <v>2.1</v>
          </cell>
          <cell r="DV397">
            <v>2.1</v>
          </cell>
          <cell r="DW397">
            <v>2.1</v>
          </cell>
          <cell r="DX397">
            <v>2.1</v>
          </cell>
          <cell r="DY397">
            <v>2.1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A398" t="str">
            <v>O&amp;M (Net of pass-throughs)</v>
          </cell>
          <cell r="B398" t="str">
            <v>Operations &amp; Maintenance Expense (incl clause)</v>
          </cell>
          <cell r="E398" t="str">
            <v>Operations &amp; Maintenance Expense</v>
          </cell>
          <cell r="F398" t="str">
            <v>6710050</v>
          </cell>
          <cell r="G398" t="str">
            <v>A_6710050</v>
          </cell>
          <cell r="H398" t="str">
            <v>Rent - Right of way</v>
          </cell>
          <cell r="J398">
            <v>7.6</v>
          </cell>
          <cell r="K398">
            <v>3.2</v>
          </cell>
          <cell r="L398">
            <v>1.3</v>
          </cell>
          <cell r="M398">
            <v>0.5</v>
          </cell>
          <cell r="N398">
            <v>0.1</v>
          </cell>
          <cell r="O398">
            <v>17.100000000000001</v>
          </cell>
          <cell r="P398">
            <v>2.5</v>
          </cell>
          <cell r="Q398">
            <v>15.4</v>
          </cell>
          <cell r="R398">
            <v>1.5</v>
          </cell>
          <cell r="S398">
            <v>2.1</v>
          </cell>
          <cell r="T398">
            <v>115.8</v>
          </cell>
          <cell r="U398">
            <v>-0.6</v>
          </cell>
          <cell r="V398">
            <v>13.7</v>
          </cell>
          <cell r="W398">
            <v>8.1999999999999993</v>
          </cell>
          <cell r="X398">
            <v>23.8</v>
          </cell>
          <cell r="Y398">
            <v>0.2</v>
          </cell>
          <cell r="Z398">
            <v>16.8</v>
          </cell>
          <cell r="AA398">
            <v>6.2</v>
          </cell>
          <cell r="AB398">
            <v>0.4</v>
          </cell>
          <cell r="AC398">
            <v>0.9</v>
          </cell>
          <cell r="AD398">
            <v>7.5</v>
          </cell>
          <cell r="AE398">
            <v>11.9</v>
          </cell>
          <cell r="AF398">
            <v>114.5</v>
          </cell>
          <cell r="AG398">
            <v>1135.2</v>
          </cell>
          <cell r="AH398">
            <v>67.2</v>
          </cell>
          <cell r="AI398">
            <v>14.1</v>
          </cell>
          <cell r="AJ398">
            <v>10.5</v>
          </cell>
          <cell r="AK398">
            <v>2.1</v>
          </cell>
          <cell r="AL398">
            <v>1.1000000000000001</v>
          </cell>
          <cell r="AM398">
            <v>6.3</v>
          </cell>
          <cell r="AN398">
            <v>96.2</v>
          </cell>
          <cell r="AO398">
            <v>5.0999999999999996</v>
          </cell>
          <cell r="AP398">
            <v>1.7</v>
          </cell>
          <cell r="AQ398">
            <v>113</v>
          </cell>
          <cell r="AR398">
            <v>1.8</v>
          </cell>
          <cell r="AS398">
            <v>49.8</v>
          </cell>
          <cell r="AT398">
            <v>10.7</v>
          </cell>
          <cell r="AU398">
            <v>15.7</v>
          </cell>
          <cell r="AV398">
            <v>5.5</v>
          </cell>
          <cell r="AW398">
            <v>4.3</v>
          </cell>
          <cell r="AX398">
            <v>6.6</v>
          </cell>
          <cell r="AY398">
            <v>1.7</v>
          </cell>
          <cell r="AZ398">
            <v>7.4</v>
          </cell>
          <cell r="BA398">
            <v>17.100000000000001</v>
          </cell>
          <cell r="BB398">
            <v>2.6</v>
          </cell>
          <cell r="BC398">
            <v>-2.4</v>
          </cell>
          <cell r="BD398">
            <v>129.6</v>
          </cell>
          <cell r="BE398">
            <v>32.799999999999997</v>
          </cell>
          <cell r="BF398">
            <v>7.9</v>
          </cell>
          <cell r="BG398">
            <v>19.2</v>
          </cell>
          <cell r="BH398">
            <v>1.8</v>
          </cell>
          <cell r="BI398">
            <v>4</v>
          </cell>
          <cell r="BJ398">
            <v>1.2</v>
          </cell>
          <cell r="BK398">
            <v>2.2999999999999998</v>
          </cell>
          <cell r="BL398">
            <v>55.9</v>
          </cell>
          <cell r="BM398">
            <v>14.4</v>
          </cell>
          <cell r="BN398">
            <v>13.5</v>
          </cell>
          <cell r="BO398">
            <v>3.4</v>
          </cell>
          <cell r="BP398">
            <v>118.3</v>
          </cell>
          <cell r="BQ398">
            <v>43.4</v>
          </cell>
          <cell r="BR398">
            <v>13.7</v>
          </cell>
          <cell r="BS398">
            <v>9.1</v>
          </cell>
          <cell r="BT398">
            <v>9.5</v>
          </cell>
          <cell r="BU398">
            <v>2.9</v>
          </cell>
          <cell r="BV398">
            <v>1</v>
          </cell>
          <cell r="BW398">
            <v>-0.4</v>
          </cell>
          <cell r="BX398">
            <v>5.0999999999999996</v>
          </cell>
          <cell r="BY398">
            <v>3.4</v>
          </cell>
          <cell r="BZ398">
            <v>-0.3</v>
          </cell>
          <cell r="CA398">
            <v>6.9</v>
          </cell>
          <cell r="CB398">
            <v>136.6</v>
          </cell>
          <cell r="CC398">
            <v>51.6</v>
          </cell>
          <cell r="CD398">
            <v>7.2</v>
          </cell>
          <cell r="CE398">
            <v>6.3</v>
          </cell>
          <cell r="CF398">
            <v>21.4</v>
          </cell>
          <cell r="CG398">
            <v>2.6</v>
          </cell>
          <cell r="CH398">
            <v>6.4</v>
          </cell>
          <cell r="CI398">
            <v>7.5</v>
          </cell>
          <cell r="CJ398">
            <v>7.5</v>
          </cell>
          <cell r="CK398">
            <v>2.5</v>
          </cell>
          <cell r="CL398">
            <v>2.6</v>
          </cell>
          <cell r="CM398">
            <v>18.399999999999999</v>
          </cell>
          <cell r="CN398">
            <v>19.399999999999999</v>
          </cell>
          <cell r="CO398">
            <v>155.80000000000001</v>
          </cell>
          <cell r="CP398">
            <v>0.6</v>
          </cell>
          <cell r="CQ398">
            <v>10.8</v>
          </cell>
          <cell r="CR398">
            <v>13.1</v>
          </cell>
          <cell r="CS398">
            <v>4.4000000000000004</v>
          </cell>
          <cell r="CT398">
            <v>5.5</v>
          </cell>
          <cell r="CU398">
            <v>10.6</v>
          </cell>
          <cell r="CV398">
            <v>5.4</v>
          </cell>
          <cell r="CW398">
            <v>1.6</v>
          </cell>
          <cell r="CX398">
            <v>1.5</v>
          </cell>
          <cell r="CY398">
            <v>1.4</v>
          </cell>
          <cell r="CZ398">
            <v>143.5</v>
          </cell>
          <cell r="DA398">
            <v>36</v>
          </cell>
          <cell r="DB398">
            <v>3.5</v>
          </cell>
          <cell r="DC398">
            <v>1.6</v>
          </cell>
          <cell r="DD398">
            <v>3.1</v>
          </cell>
          <cell r="DE398">
            <v>1</v>
          </cell>
          <cell r="DF398">
            <v>24.7</v>
          </cell>
          <cell r="DG398">
            <v>1.1000000000000001</v>
          </cell>
          <cell r="DH398">
            <v>8.6</v>
          </cell>
          <cell r="DI398">
            <v>12.5</v>
          </cell>
          <cell r="DJ398">
            <v>18.399999999999999</v>
          </cell>
          <cell r="DK398">
            <v>2.4</v>
          </cell>
          <cell r="DL398">
            <v>14.4</v>
          </cell>
          <cell r="DM398">
            <v>144.6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EM398">
            <v>1339.3000000000002</v>
          </cell>
          <cell r="EN398">
            <v>368.9</v>
          </cell>
          <cell r="EO398">
            <v>231.59999999999997</v>
          </cell>
          <cell r="EP398">
            <v>285.3</v>
          </cell>
          <cell r="EQ398">
            <v>239.1</v>
          </cell>
          <cell r="ER398">
            <v>257.60000000000002</v>
          </cell>
          <cell r="ES398">
            <v>234.4</v>
          </cell>
        </row>
        <row r="399">
          <cell r="A399" t="str">
            <v>O&amp;M (Net of pass-throughs)</v>
          </cell>
          <cell r="B399" t="str">
            <v>Operations &amp; Maintenance Expense (incl clause)</v>
          </cell>
          <cell r="E399" t="str">
            <v>Operations &amp; Maintenance Expense</v>
          </cell>
          <cell r="F399" t="str">
            <v>6710060</v>
          </cell>
          <cell r="G399" t="str">
            <v>A_6710060</v>
          </cell>
          <cell r="H399" t="str">
            <v>Rent - Vehicle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0.2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0.2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0.2</v>
          </cell>
          <cell r="BA399">
            <v>0</v>
          </cell>
          <cell r="BB399">
            <v>0</v>
          </cell>
          <cell r="BC399">
            <v>0</v>
          </cell>
          <cell r="BD399">
            <v>0.1</v>
          </cell>
          <cell r="BE399">
            <v>0.2</v>
          </cell>
          <cell r="BF399">
            <v>0</v>
          </cell>
          <cell r="BG399">
            <v>0</v>
          </cell>
          <cell r="BH399">
            <v>0</v>
          </cell>
          <cell r="BI399">
            <v>0.2</v>
          </cell>
          <cell r="BJ399">
            <v>0</v>
          </cell>
          <cell r="BK399">
            <v>0.4</v>
          </cell>
          <cell r="BL399">
            <v>0</v>
          </cell>
          <cell r="BM399">
            <v>0.3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0.5</v>
          </cell>
          <cell r="BZ399">
            <v>0</v>
          </cell>
          <cell r="CA399">
            <v>0.6</v>
          </cell>
          <cell r="CB399">
            <v>0.5</v>
          </cell>
          <cell r="CC399">
            <v>0.5</v>
          </cell>
          <cell r="CD399">
            <v>0</v>
          </cell>
          <cell r="CE399">
            <v>0.6</v>
          </cell>
          <cell r="CF399">
            <v>0.4</v>
          </cell>
          <cell r="CG399">
            <v>0.1</v>
          </cell>
          <cell r="CH399">
            <v>0</v>
          </cell>
          <cell r="CI399">
            <v>2.6</v>
          </cell>
          <cell r="CJ399">
            <v>3.3</v>
          </cell>
          <cell r="CK399">
            <v>1.4</v>
          </cell>
          <cell r="CL399">
            <v>0</v>
          </cell>
          <cell r="CM399">
            <v>0</v>
          </cell>
          <cell r="CN399">
            <v>0.1</v>
          </cell>
          <cell r="CO399">
            <v>0</v>
          </cell>
          <cell r="CP399">
            <v>0.2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0.1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0.1</v>
          </cell>
          <cell r="DK399">
            <v>0.2</v>
          </cell>
          <cell r="DL399">
            <v>0.1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EM399">
            <v>0</v>
          </cell>
          <cell r="EN399">
            <v>0.4</v>
          </cell>
          <cell r="EO399">
            <v>0.5</v>
          </cell>
          <cell r="EP399">
            <v>0.90000000000000013</v>
          </cell>
          <cell r="EQ399">
            <v>2.1</v>
          </cell>
          <cell r="ER399">
            <v>8.5</v>
          </cell>
          <cell r="ES399">
            <v>0.30000000000000004</v>
          </cell>
        </row>
        <row r="400">
          <cell r="A400" t="str">
            <v>O&amp;M (Net of pass-throughs)</v>
          </cell>
          <cell r="B400" t="str">
            <v>Operations &amp; Maintenance Expense (incl clause)</v>
          </cell>
          <cell r="E400" t="str">
            <v>Operations &amp; Maintenance Expense</v>
          </cell>
          <cell r="F400" t="str">
            <v>6710700</v>
          </cell>
          <cell r="G400" t="str">
            <v>A_6710700</v>
          </cell>
          <cell r="H400" t="str">
            <v>Rent - Intercompany</v>
          </cell>
          <cell r="J400">
            <v>39.6</v>
          </cell>
          <cell r="K400">
            <v>39.6</v>
          </cell>
          <cell r="L400">
            <v>39.6</v>
          </cell>
          <cell r="M400">
            <v>39.6</v>
          </cell>
          <cell r="N400">
            <v>39.6</v>
          </cell>
          <cell r="O400">
            <v>38.700000000000003</v>
          </cell>
          <cell r="P400">
            <v>38.700000000000003</v>
          </cell>
          <cell r="Q400">
            <v>38.6</v>
          </cell>
          <cell r="R400">
            <v>38.6</v>
          </cell>
          <cell r="S400">
            <v>38.6</v>
          </cell>
          <cell r="T400">
            <v>38.6</v>
          </cell>
          <cell r="U400">
            <v>38.6</v>
          </cell>
          <cell r="V400">
            <v>31.6</v>
          </cell>
          <cell r="W400">
            <v>31.6</v>
          </cell>
          <cell r="X400">
            <v>31.6</v>
          </cell>
          <cell r="Y400">
            <v>31.6</v>
          </cell>
          <cell r="Z400">
            <v>31.6</v>
          </cell>
          <cell r="AA400">
            <v>31.6</v>
          </cell>
          <cell r="AB400">
            <v>31.6</v>
          </cell>
          <cell r="AC400">
            <v>31.6</v>
          </cell>
          <cell r="AD400">
            <v>32.6</v>
          </cell>
          <cell r="AE400">
            <v>32.6</v>
          </cell>
          <cell r="AF400">
            <v>32.6</v>
          </cell>
          <cell r="AG400">
            <v>32.6</v>
          </cell>
          <cell r="AH400">
            <v>31.1</v>
          </cell>
          <cell r="AI400">
            <v>31.3</v>
          </cell>
          <cell r="AJ400">
            <v>31.3</v>
          </cell>
          <cell r="AK400">
            <v>31.1</v>
          </cell>
          <cell r="AL400">
            <v>31.1</v>
          </cell>
          <cell r="AM400">
            <v>31.1</v>
          </cell>
          <cell r="AN400">
            <v>31.1</v>
          </cell>
          <cell r="AO400">
            <v>31.1</v>
          </cell>
          <cell r="AP400">
            <v>31.1</v>
          </cell>
          <cell r="AQ400">
            <v>31.1</v>
          </cell>
          <cell r="AR400">
            <v>31.3</v>
          </cell>
          <cell r="AS400">
            <v>31.3</v>
          </cell>
          <cell r="AT400">
            <v>37.700000000000003</v>
          </cell>
          <cell r="AU400">
            <v>37.700000000000003</v>
          </cell>
          <cell r="AV400">
            <v>37.700000000000003</v>
          </cell>
          <cell r="AW400">
            <v>37.700000000000003</v>
          </cell>
          <cell r="AX400">
            <v>37.700000000000003</v>
          </cell>
          <cell r="AY400">
            <v>37.700000000000003</v>
          </cell>
          <cell r="AZ400">
            <v>37.700000000000003</v>
          </cell>
          <cell r="BA400">
            <v>37.700000000000003</v>
          </cell>
          <cell r="BB400">
            <v>37.700000000000003</v>
          </cell>
          <cell r="BC400">
            <v>37.700000000000003</v>
          </cell>
          <cell r="BD400">
            <v>37.700000000000003</v>
          </cell>
          <cell r="BE400">
            <v>37.700000000000003</v>
          </cell>
          <cell r="BF400">
            <v>36.5</v>
          </cell>
          <cell r="BG400">
            <v>36.5</v>
          </cell>
          <cell r="BH400">
            <v>36.5</v>
          </cell>
          <cell r="BI400">
            <v>36.5</v>
          </cell>
          <cell r="BJ400">
            <v>36.5</v>
          </cell>
          <cell r="BK400">
            <v>36.5</v>
          </cell>
          <cell r="BL400">
            <v>36.5</v>
          </cell>
          <cell r="BM400">
            <v>36.5</v>
          </cell>
          <cell r="BN400">
            <v>36.5</v>
          </cell>
          <cell r="BO400">
            <v>36.5</v>
          </cell>
          <cell r="BP400">
            <v>36.5</v>
          </cell>
          <cell r="BQ400">
            <v>36.5</v>
          </cell>
          <cell r="BR400">
            <v>36.9</v>
          </cell>
          <cell r="BS400">
            <v>36.9</v>
          </cell>
          <cell r="BT400">
            <v>36.9</v>
          </cell>
          <cell r="BU400">
            <v>36.9</v>
          </cell>
          <cell r="BV400">
            <v>36.9</v>
          </cell>
          <cell r="BW400">
            <v>36.9</v>
          </cell>
          <cell r="BX400">
            <v>36.9</v>
          </cell>
          <cell r="BY400">
            <v>36.9</v>
          </cell>
          <cell r="BZ400">
            <v>36.9</v>
          </cell>
          <cell r="CA400">
            <v>36.9</v>
          </cell>
          <cell r="CB400">
            <v>36.9</v>
          </cell>
          <cell r="CC400">
            <v>36.9</v>
          </cell>
          <cell r="CD400">
            <v>44.8</v>
          </cell>
          <cell r="CE400">
            <v>44.8</v>
          </cell>
          <cell r="CF400">
            <v>44.8</v>
          </cell>
          <cell r="CG400">
            <v>44.8</v>
          </cell>
          <cell r="CH400">
            <v>44.8</v>
          </cell>
          <cell r="CI400">
            <v>44.8</v>
          </cell>
          <cell r="CJ400">
            <v>44.8</v>
          </cell>
          <cell r="CK400">
            <v>44.8</v>
          </cell>
          <cell r="CL400">
            <v>44.8</v>
          </cell>
          <cell r="CM400">
            <v>44.8</v>
          </cell>
          <cell r="CN400">
            <v>44.8</v>
          </cell>
          <cell r="CO400">
            <v>44.8</v>
          </cell>
          <cell r="CP400">
            <v>37.4</v>
          </cell>
          <cell r="CQ400">
            <v>37.4</v>
          </cell>
          <cell r="CR400">
            <v>62.5</v>
          </cell>
          <cell r="CS400">
            <v>45.7</v>
          </cell>
          <cell r="CT400">
            <v>45.7</v>
          </cell>
          <cell r="CU400">
            <v>45.7</v>
          </cell>
          <cell r="CV400">
            <v>45.7</v>
          </cell>
          <cell r="CW400">
            <v>45.7</v>
          </cell>
          <cell r="CX400">
            <v>45.7</v>
          </cell>
          <cell r="CY400">
            <v>45.7</v>
          </cell>
          <cell r="CZ400">
            <v>45.7</v>
          </cell>
          <cell r="DA400">
            <v>45.7</v>
          </cell>
          <cell r="DB400">
            <v>45.7</v>
          </cell>
          <cell r="DC400">
            <v>45.7</v>
          </cell>
          <cell r="DD400">
            <v>45.7</v>
          </cell>
          <cell r="DE400">
            <v>45.7</v>
          </cell>
          <cell r="DF400">
            <v>45.7</v>
          </cell>
          <cell r="DG400">
            <v>45.7</v>
          </cell>
          <cell r="DH400">
            <v>45.7</v>
          </cell>
          <cell r="DI400">
            <v>45.7</v>
          </cell>
          <cell r="DJ400">
            <v>45.7</v>
          </cell>
          <cell r="DK400">
            <v>45.7</v>
          </cell>
          <cell r="DL400">
            <v>45.7</v>
          </cell>
          <cell r="DM400">
            <v>45.7</v>
          </cell>
          <cell r="DN400">
            <v>51</v>
          </cell>
          <cell r="DO400">
            <v>51</v>
          </cell>
          <cell r="DP400">
            <v>51</v>
          </cell>
          <cell r="DQ400">
            <v>51</v>
          </cell>
          <cell r="DR400">
            <v>51</v>
          </cell>
          <cell r="DS400">
            <v>51</v>
          </cell>
          <cell r="DT400">
            <v>51</v>
          </cell>
          <cell r="DU400">
            <v>51</v>
          </cell>
          <cell r="DV400">
            <v>51</v>
          </cell>
          <cell r="DW400">
            <v>51</v>
          </cell>
          <cell r="DX400">
            <v>51</v>
          </cell>
          <cell r="DY400">
            <v>51</v>
          </cell>
          <cell r="EM400">
            <v>383.20000000000005</v>
          </cell>
          <cell r="EN400">
            <v>374.00000000000006</v>
          </cell>
          <cell r="EO400">
            <v>452.39999999999992</v>
          </cell>
          <cell r="EP400">
            <v>438</v>
          </cell>
          <cell r="EQ400">
            <v>442.7999999999999</v>
          </cell>
          <cell r="ER400">
            <v>537.6</v>
          </cell>
          <cell r="ES400">
            <v>548.59999999999991</v>
          </cell>
        </row>
        <row r="401">
          <cell r="A401" t="str">
            <v>O&amp;M (Net of pass-throughs)</v>
          </cell>
          <cell r="B401" t="str">
            <v>Operations &amp; Maintenance Expense (incl clause)</v>
          </cell>
          <cell r="E401" t="str">
            <v>Operations &amp; Maintenance Expense</v>
          </cell>
          <cell r="F401" t="str">
            <v>6710800</v>
          </cell>
          <cell r="G401" t="str">
            <v>A_6710800</v>
          </cell>
          <cell r="H401" t="str">
            <v>Rent - Other</v>
          </cell>
          <cell r="J401">
            <v>1.2</v>
          </cell>
          <cell r="K401">
            <v>2.5</v>
          </cell>
          <cell r="L401">
            <v>0.9</v>
          </cell>
          <cell r="M401">
            <v>1.7</v>
          </cell>
          <cell r="N401">
            <v>1.1000000000000001</v>
          </cell>
          <cell r="O401">
            <v>1.1000000000000001</v>
          </cell>
          <cell r="P401">
            <v>3.8</v>
          </cell>
          <cell r="Q401">
            <v>0.2</v>
          </cell>
          <cell r="R401">
            <v>1</v>
          </cell>
          <cell r="S401">
            <v>1.8</v>
          </cell>
          <cell r="T401">
            <v>2.7</v>
          </cell>
          <cell r="U401">
            <v>0.9</v>
          </cell>
          <cell r="V401">
            <v>1.4</v>
          </cell>
          <cell r="W401">
            <v>1.1000000000000001</v>
          </cell>
          <cell r="X401">
            <v>1.6</v>
          </cell>
          <cell r="Y401">
            <v>0.9</v>
          </cell>
          <cell r="Z401">
            <v>4.3</v>
          </cell>
          <cell r="AA401">
            <v>2.1</v>
          </cell>
          <cell r="AB401">
            <v>2.2999999999999998</v>
          </cell>
          <cell r="AC401">
            <v>0.5</v>
          </cell>
          <cell r="AD401">
            <v>1.8</v>
          </cell>
          <cell r="AE401">
            <v>3.8</v>
          </cell>
          <cell r="AF401">
            <v>0.8</v>
          </cell>
          <cell r="AG401">
            <v>3.4</v>
          </cell>
          <cell r="AH401">
            <v>1</v>
          </cell>
          <cell r="AI401">
            <v>0.8</v>
          </cell>
          <cell r="AJ401">
            <v>0.4</v>
          </cell>
          <cell r="AK401">
            <v>0.6</v>
          </cell>
          <cell r="AL401">
            <v>1.2</v>
          </cell>
          <cell r="AM401">
            <v>1.9</v>
          </cell>
          <cell r="AN401">
            <v>1.7</v>
          </cell>
          <cell r="AO401">
            <v>2.6</v>
          </cell>
          <cell r="AP401">
            <v>0.9</v>
          </cell>
          <cell r="AQ401">
            <v>0.9</v>
          </cell>
          <cell r="AR401">
            <v>1.3</v>
          </cell>
          <cell r="AS401">
            <v>2.9</v>
          </cell>
          <cell r="AT401">
            <v>2.5</v>
          </cell>
          <cell r="AU401">
            <v>2</v>
          </cell>
          <cell r="AV401">
            <v>7.6</v>
          </cell>
          <cell r="AW401">
            <v>2.1</v>
          </cell>
          <cell r="AX401">
            <v>6.7</v>
          </cell>
          <cell r="AY401">
            <v>1.6</v>
          </cell>
          <cell r="AZ401">
            <v>3.9</v>
          </cell>
          <cell r="BA401">
            <v>4.5</v>
          </cell>
          <cell r="BB401">
            <v>1.8</v>
          </cell>
          <cell r="BC401">
            <v>2.8</v>
          </cell>
          <cell r="BD401">
            <v>1.9</v>
          </cell>
          <cell r="BE401">
            <v>1.2</v>
          </cell>
          <cell r="BF401">
            <v>8.1999999999999993</v>
          </cell>
          <cell r="BG401">
            <v>3.1</v>
          </cell>
          <cell r="BH401">
            <v>2.9</v>
          </cell>
          <cell r="BI401">
            <v>1.6</v>
          </cell>
          <cell r="BJ401">
            <v>19.3</v>
          </cell>
          <cell r="BK401">
            <v>1.2</v>
          </cell>
          <cell r="BL401">
            <v>1.4</v>
          </cell>
          <cell r="BM401">
            <v>4.4000000000000004</v>
          </cell>
          <cell r="BN401">
            <v>1.6</v>
          </cell>
          <cell r="BO401">
            <v>1.3</v>
          </cell>
          <cell r="BP401">
            <v>5</v>
          </cell>
          <cell r="BQ401">
            <v>1.8</v>
          </cell>
          <cell r="BR401">
            <v>8.1</v>
          </cell>
          <cell r="BS401">
            <v>1.1000000000000001</v>
          </cell>
          <cell r="BT401">
            <v>0.9</v>
          </cell>
          <cell r="BU401">
            <v>-0.1</v>
          </cell>
          <cell r="BV401">
            <v>1.1000000000000001</v>
          </cell>
          <cell r="BW401">
            <v>1.1000000000000001</v>
          </cell>
          <cell r="BX401">
            <v>1</v>
          </cell>
          <cell r="BY401">
            <v>1.4</v>
          </cell>
          <cell r="BZ401">
            <v>1.4</v>
          </cell>
          <cell r="CA401">
            <v>1.7</v>
          </cell>
          <cell r="CB401">
            <v>1.5</v>
          </cell>
          <cell r="CC401">
            <v>1.3</v>
          </cell>
          <cell r="CD401">
            <v>1.2</v>
          </cell>
          <cell r="CE401">
            <v>0.9</v>
          </cell>
          <cell r="CF401">
            <v>0.8</v>
          </cell>
          <cell r="CG401">
            <v>0.6</v>
          </cell>
          <cell r="CH401">
            <v>1.3</v>
          </cell>
          <cell r="CI401">
            <v>0.7</v>
          </cell>
          <cell r="CJ401">
            <v>0.3</v>
          </cell>
          <cell r="CK401">
            <v>0.8</v>
          </cell>
          <cell r="CL401">
            <v>3.4</v>
          </cell>
          <cell r="CM401">
            <v>1.3</v>
          </cell>
          <cell r="CN401">
            <v>0.7</v>
          </cell>
          <cell r="CO401">
            <v>0.9</v>
          </cell>
          <cell r="CP401">
            <v>7.9</v>
          </cell>
          <cell r="CQ401">
            <v>1.9</v>
          </cell>
          <cell r="CR401">
            <v>1.2</v>
          </cell>
          <cell r="CS401">
            <v>2.4</v>
          </cell>
          <cell r="CT401">
            <v>1.8</v>
          </cell>
          <cell r="CU401">
            <v>0.9</v>
          </cell>
          <cell r="CV401">
            <v>0.7</v>
          </cell>
          <cell r="CW401">
            <v>1.6</v>
          </cell>
          <cell r="CX401">
            <v>3.4</v>
          </cell>
          <cell r="CY401">
            <v>0.3</v>
          </cell>
          <cell r="CZ401">
            <v>1.7</v>
          </cell>
          <cell r="DA401">
            <v>1.3</v>
          </cell>
          <cell r="DB401">
            <v>1.6</v>
          </cell>
          <cell r="DC401">
            <v>2.7</v>
          </cell>
          <cell r="DD401">
            <v>1.2</v>
          </cell>
          <cell r="DE401">
            <v>3.5</v>
          </cell>
          <cell r="DF401">
            <v>3.4</v>
          </cell>
          <cell r="DG401">
            <v>3.8</v>
          </cell>
          <cell r="DH401">
            <v>1.7</v>
          </cell>
          <cell r="DI401">
            <v>1.4</v>
          </cell>
          <cell r="DJ401">
            <v>3.7</v>
          </cell>
          <cell r="DK401">
            <v>5.5</v>
          </cell>
          <cell r="DL401">
            <v>5.7</v>
          </cell>
          <cell r="DM401">
            <v>1.8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EM401">
            <v>24</v>
          </cell>
          <cell r="EN401">
            <v>16.200000000000003</v>
          </cell>
          <cell r="EO401">
            <v>38.599999999999994</v>
          </cell>
          <cell r="EP401">
            <v>51.8</v>
          </cell>
          <cell r="EQ401">
            <v>20.5</v>
          </cell>
          <cell r="ER401">
            <v>12.9</v>
          </cell>
          <cell r="ES401">
            <v>25.1</v>
          </cell>
        </row>
        <row r="402">
          <cell r="A402" t="str">
            <v>O&amp;M (Net of pass-throughs)</v>
          </cell>
          <cell r="B402" t="str">
            <v>Operations &amp; Maintenance Expense (incl clause)</v>
          </cell>
          <cell r="E402" t="str">
            <v>Operations &amp; Maintenance Expense</v>
          </cell>
          <cell r="F402" t="str">
            <v>6719000</v>
          </cell>
          <cell r="G402" t="str">
            <v>A_6719000</v>
          </cell>
          <cell r="H402" t="str">
            <v>Rent Expense sent to Balance Sheet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-0.2</v>
          </cell>
          <cell r="P402">
            <v>-0.2</v>
          </cell>
          <cell r="Q402">
            <v>-11.1</v>
          </cell>
          <cell r="R402">
            <v>-0.3</v>
          </cell>
          <cell r="S402">
            <v>-0.5</v>
          </cell>
          <cell r="T402">
            <v>0</v>
          </cell>
          <cell r="U402">
            <v>-0.2</v>
          </cell>
          <cell r="V402">
            <v>-0.2</v>
          </cell>
          <cell r="W402">
            <v>-0.1</v>
          </cell>
          <cell r="X402">
            <v>-0.1</v>
          </cell>
          <cell r="Y402">
            <v>-0.2</v>
          </cell>
          <cell r="Z402">
            <v>-0.4</v>
          </cell>
          <cell r="AA402">
            <v>-0.3</v>
          </cell>
          <cell r="AB402">
            <v>-0.4</v>
          </cell>
          <cell r="AC402">
            <v>-0.2</v>
          </cell>
          <cell r="AD402">
            <v>-0.6</v>
          </cell>
          <cell r="AE402">
            <v>-0.7</v>
          </cell>
          <cell r="AF402">
            <v>-5.7</v>
          </cell>
          <cell r="AG402">
            <v>-1128.9000000000001</v>
          </cell>
          <cell r="AH402">
            <v>-31</v>
          </cell>
          <cell r="AI402">
            <v>-3.9</v>
          </cell>
          <cell r="AJ402">
            <v>-0.2</v>
          </cell>
          <cell r="AK402">
            <v>-0.2</v>
          </cell>
          <cell r="AL402">
            <v>0</v>
          </cell>
          <cell r="AM402">
            <v>-1</v>
          </cell>
          <cell r="AN402">
            <v>-95.1</v>
          </cell>
          <cell r="AO402">
            <v>-2.6</v>
          </cell>
          <cell r="AP402">
            <v>-0.2</v>
          </cell>
          <cell r="AQ402">
            <v>-0.3</v>
          </cell>
          <cell r="AR402">
            <v>-0.5</v>
          </cell>
          <cell r="AS402">
            <v>0</v>
          </cell>
          <cell r="AT402">
            <v>-5.2</v>
          </cell>
          <cell r="AU402">
            <v>0</v>
          </cell>
          <cell r="AV402">
            <v>-4.9000000000000004</v>
          </cell>
          <cell r="AW402">
            <v>-0.8</v>
          </cell>
          <cell r="AX402">
            <v>-8.6999999999999993</v>
          </cell>
          <cell r="AY402">
            <v>-0.3</v>
          </cell>
          <cell r="AZ402">
            <v>-5.4</v>
          </cell>
          <cell r="BA402">
            <v>-1.8</v>
          </cell>
          <cell r="BB402">
            <v>0</v>
          </cell>
          <cell r="BC402">
            <v>-0.4</v>
          </cell>
          <cell r="BD402">
            <v>-1.5</v>
          </cell>
          <cell r="BE402">
            <v>-1.1000000000000001</v>
          </cell>
          <cell r="BF402">
            <v>-4.5</v>
          </cell>
          <cell r="BG402">
            <v>-3.4</v>
          </cell>
          <cell r="BH402">
            <v>-1.3</v>
          </cell>
          <cell r="BI402">
            <v>-1</v>
          </cell>
          <cell r="BJ402">
            <v>-18.2</v>
          </cell>
          <cell r="BK402">
            <v>0</v>
          </cell>
          <cell r="BL402">
            <v>-53.3</v>
          </cell>
          <cell r="BM402">
            <v>-3</v>
          </cell>
          <cell r="BN402">
            <v>-0.7</v>
          </cell>
          <cell r="BO402">
            <v>-0.3</v>
          </cell>
          <cell r="BP402">
            <v>-3.8</v>
          </cell>
          <cell r="BQ402">
            <v>-1.1000000000000001</v>
          </cell>
          <cell r="BR402">
            <v>-6.7</v>
          </cell>
          <cell r="BS402">
            <v>-0.2</v>
          </cell>
          <cell r="BT402">
            <v>-0.1</v>
          </cell>
          <cell r="BU402">
            <v>1</v>
          </cell>
          <cell r="BV402">
            <v>-0.9</v>
          </cell>
          <cell r="BW402">
            <v>-0.1</v>
          </cell>
          <cell r="BX402">
            <v>-0.7</v>
          </cell>
          <cell r="BY402">
            <v>-0.8</v>
          </cell>
          <cell r="BZ402">
            <v>-0.5</v>
          </cell>
          <cell r="CA402">
            <v>-0.6</v>
          </cell>
          <cell r="CB402">
            <v>-2</v>
          </cell>
          <cell r="CC402">
            <v>-1.3</v>
          </cell>
          <cell r="CD402">
            <v>-1.8</v>
          </cell>
          <cell r="CE402">
            <v>-1.4</v>
          </cell>
          <cell r="CF402">
            <v>-2.1</v>
          </cell>
          <cell r="CG402">
            <v>-1.7</v>
          </cell>
          <cell r="CH402">
            <v>-1.1000000000000001</v>
          </cell>
          <cell r="CI402">
            <v>-0.9</v>
          </cell>
          <cell r="CJ402">
            <v>-1.3</v>
          </cell>
          <cell r="CK402">
            <v>-1.1000000000000001</v>
          </cell>
          <cell r="CL402">
            <v>-3.9</v>
          </cell>
          <cell r="CM402">
            <v>-3.6</v>
          </cell>
          <cell r="CN402">
            <v>-1.3</v>
          </cell>
          <cell r="CO402">
            <v>-0.7</v>
          </cell>
          <cell r="CP402">
            <v>-6.8</v>
          </cell>
          <cell r="CQ402">
            <v>-0.2</v>
          </cell>
          <cell r="CR402">
            <v>-0.4</v>
          </cell>
          <cell r="CS402">
            <v>-1.1000000000000001</v>
          </cell>
          <cell r="CT402">
            <v>-0.5</v>
          </cell>
          <cell r="CU402">
            <v>-0.7</v>
          </cell>
          <cell r="CV402">
            <v>-0.8</v>
          </cell>
          <cell r="CW402">
            <v>-0.4</v>
          </cell>
          <cell r="CX402">
            <v>-0.9</v>
          </cell>
          <cell r="CY402">
            <v>-1</v>
          </cell>
          <cell r="CZ402">
            <v>-0.7</v>
          </cell>
          <cell r="DA402">
            <v>-0.7</v>
          </cell>
          <cell r="DB402">
            <v>-1.1000000000000001</v>
          </cell>
          <cell r="DC402">
            <v>-1</v>
          </cell>
          <cell r="DD402">
            <v>-0.4</v>
          </cell>
          <cell r="DE402">
            <v>-0.8</v>
          </cell>
          <cell r="DF402">
            <v>-0.9</v>
          </cell>
          <cell r="DG402">
            <v>-0.5</v>
          </cell>
          <cell r="DH402">
            <v>-0.9</v>
          </cell>
          <cell r="DI402">
            <v>-0.7</v>
          </cell>
          <cell r="DJ402">
            <v>-0.9</v>
          </cell>
          <cell r="DK402">
            <v>-0.6</v>
          </cell>
          <cell r="DL402">
            <v>-0.6</v>
          </cell>
          <cell r="DM402">
            <v>-0.3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EM402">
            <v>-1137.8000000000002</v>
          </cell>
          <cell r="EN402">
            <v>-135</v>
          </cell>
          <cell r="EO402">
            <v>-30.100000000000005</v>
          </cell>
          <cell r="EP402">
            <v>-90.59999999999998</v>
          </cell>
          <cell r="EQ402">
            <v>-12.9</v>
          </cell>
          <cell r="ER402">
            <v>-20.900000000000002</v>
          </cell>
          <cell r="ES402">
            <v>-14.2</v>
          </cell>
        </row>
        <row r="403">
          <cell r="A403" t="str">
            <v>O&amp;M (Net of pass-throughs)</v>
          </cell>
          <cell r="B403" t="str">
            <v>Operations &amp; Maintenance Expense (incl clause)</v>
          </cell>
          <cell r="E403" t="str">
            <v>Operations &amp; Maintenance Expense</v>
          </cell>
          <cell r="F403" t="str">
            <v>6710000</v>
          </cell>
          <cell r="G403" t="str">
            <v>A_S6710000</v>
          </cell>
          <cell r="H403" t="str">
            <v>Settled Rent Expense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A404" t="str">
            <v>O&amp;M (Net of pass-throughs)</v>
          </cell>
          <cell r="B404" t="str">
            <v>Operations &amp; Maintenance Expense (incl clause)</v>
          </cell>
          <cell r="E404" t="str">
            <v>Operations &amp; Maintenance Expense</v>
          </cell>
          <cell r="F404" t="str">
            <v>6710050</v>
          </cell>
          <cell r="G404" t="str">
            <v>A_S6710050</v>
          </cell>
          <cell r="H404" t="str">
            <v>Settled Short-term Rent - Right of way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3.3</v>
          </cell>
          <cell r="DO404">
            <v>11.1</v>
          </cell>
          <cell r="DP404">
            <v>4.4000000000000004</v>
          </cell>
          <cell r="DQ404">
            <v>2.1</v>
          </cell>
          <cell r="DR404">
            <v>12.4</v>
          </cell>
          <cell r="DS404">
            <v>11.2</v>
          </cell>
          <cell r="DT404">
            <v>3.9</v>
          </cell>
          <cell r="DU404">
            <v>10.9</v>
          </cell>
          <cell r="DV404">
            <v>3.6</v>
          </cell>
          <cell r="DW404">
            <v>2.1</v>
          </cell>
          <cell r="DX404">
            <v>89.7</v>
          </cell>
          <cell r="DY404">
            <v>40.1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A405" t="str">
            <v>O&amp;M (Net of pass-throughs)</v>
          </cell>
          <cell r="B405" t="str">
            <v>Operations &amp; Maintenance Expense (incl clause)</v>
          </cell>
          <cell r="E405" t="str">
            <v>Operations &amp; Maintenance Expense</v>
          </cell>
          <cell r="F405" t="str">
            <v>6710700</v>
          </cell>
          <cell r="G405" t="str">
            <v>A_S6710700</v>
          </cell>
          <cell r="H405" t="str">
            <v>Settled Short-term Rent - Intercompany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  <row r="406">
          <cell r="A406" t="str">
            <v>O&amp;M (Net of pass-throughs)</v>
          </cell>
          <cell r="B406" t="str">
            <v>Operations &amp; Maintenance Expense (incl clause)</v>
          </cell>
          <cell r="E406" t="str">
            <v>Operations &amp; Maintenance Expense</v>
          </cell>
          <cell r="F406" t="str">
            <v>6710800</v>
          </cell>
          <cell r="G406" t="str">
            <v>A_S6710800</v>
          </cell>
          <cell r="H406" t="str">
            <v>Settled Short-term Rent - Other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1.8</v>
          </cell>
          <cell r="DO406">
            <v>2.4</v>
          </cell>
          <cell r="DP406">
            <v>1.8</v>
          </cell>
          <cell r="DQ406">
            <v>2.1</v>
          </cell>
          <cell r="DR406">
            <v>10.4</v>
          </cell>
          <cell r="DS406">
            <v>1.8</v>
          </cell>
          <cell r="DT406">
            <v>2.2000000000000002</v>
          </cell>
          <cell r="DU406">
            <v>1.8</v>
          </cell>
          <cell r="DV406">
            <v>1.8</v>
          </cell>
          <cell r="DW406">
            <v>1.8</v>
          </cell>
          <cell r="DX406">
            <v>75.400000000000006</v>
          </cell>
          <cell r="DY406">
            <v>1.8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</row>
        <row r="407">
          <cell r="A407" t="str">
            <v>O&amp;M (Net of pass-throughs)</v>
          </cell>
          <cell r="B407" t="str">
            <v>Operations &amp; Maintenance Expense (incl clause)</v>
          </cell>
          <cell r="E407" t="str">
            <v>Operations &amp; Maintenance Expense</v>
          </cell>
          <cell r="F407" t="str">
            <v>6719000</v>
          </cell>
          <cell r="G407" t="str">
            <v>A_S6719000</v>
          </cell>
          <cell r="H407" t="str">
            <v>Settled Short-term Rent Expense to BS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</row>
        <row r="408">
          <cell r="A408" t="str">
            <v>O&amp;M (Net of pass-throughs)</v>
          </cell>
          <cell r="B408" t="str">
            <v>Operations &amp; Maintenance Expense (incl clause)</v>
          </cell>
          <cell r="E408" t="str">
            <v>Operations &amp; Maintenance Expense</v>
          </cell>
          <cell r="F408" t="str">
            <v>6710000</v>
          </cell>
          <cell r="G408" t="str">
            <v>A_P6710000</v>
          </cell>
          <cell r="H408" t="str">
            <v>Planned Rent Expense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</row>
        <row r="409">
          <cell r="F409" t="str">
            <v>671</v>
          </cell>
          <cell r="G409">
            <v>671</v>
          </cell>
          <cell r="J409">
            <v>48.400000000000006</v>
          </cell>
          <cell r="K409">
            <v>45.300000000000004</v>
          </cell>
          <cell r="L409">
            <v>41.8</v>
          </cell>
          <cell r="M409">
            <v>41.800000000000004</v>
          </cell>
          <cell r="N409">
            <v>40.800000000000004</v>
          </cell>
          <cell r="O409">
            <v>56.7</v>
          </cell>
          <cell r="P409">
            <v>44.8</v>
          </cell>
          <cell r="Q409">
            <v>43.1</v>
          </cell>
          <cell r="R409">
            <v>40.800000000000004</v>
          </cell>
          <cell r="S409">
            <v>42</v>
          </cell>
          <cell r="T409">
            <v>157.1</v>
          </cell>
          <cell r="U409">
            <v>38.699999999999996</v>
          </cell>
          <cell r="V409">
            <v>46.499999999999993</v>
          </cell>
          <cell r="W409">
            <v>40.799999999999997</v>
          </cell>
          <cell r="X409">
            <v>56.900000000000006</v>
          </cell>
          <cell r="Y409">
            <v>32.5</v>
          </cell>
          <cell r="Z409">
            <v>52.300000000000004</v>
          </cell>
          <cell r="AA409">
            <v>39.600000000000009</v>
          </cell>
          <cell r="AB409">
            <v>33.9</v>
          </cell>
          <cell r="AC409">
            <v>32.799999999999997</v>
          </cell>
          <cell r="AD409">
            <v>41.3</v>
          </cell>
          <cell r="AE409">
            <v>47.599999999999994</v>
          </cell>
          <cell r="AF409">
            <v>142.20000000000002</v>
          </cell>
          <cell r="AG409">
            <v>42.299999999999955</v>
          </cell>
          <cell r="AH409">
            <v>68.300000000000011</v>
          </cell>
          <cell r="AI409">
            <v>42.3</v>
          </cell>
          <cell r="AJ409">
            <v>41.999999999999993</v>
          </cell>
          <cell r="AK409">
            <v>33.6</v>
          </cell>
          <cell r="AL409">
            <v>33.6</v>
          </cell>
          <cell r="AM409">
            <v>38.299999999999997</v>
          </cell>
          <cell r="AN409">
            <v>33.900000000000006</v>
          </cell>
          <cell r="AO409">
            <v>36.200000000000003</v>
          </cell>
          <cell r="AP409">
            <v>33.5</v>
          </cell>
          <cell r="AQ409">
            <v>144.9</v>
          </cell>
          <cell r="AR409">
            <v>33.9</v>
          </cell>
          <cell r="AS409">
            <v>84</v>
          </cell>
          <cell r="AT409">
            <v>45.7</v>
          </cell>
          <cell r="AU409">
            <v>55.400000000000006</v>
          </cell>
          <cell r="AV409">
            <v>45.900000000000006</v>
          </cell>
          <cell r="AW409">
            <v>43.300000000000004</v>
          </cell>
          <cell r="AX409">
            <v>42.300000000000011</v>
          </cell>
          <cell r="AY409">
            <v>40.70000000000001</v>
          </cell>
          <cell r="AZ409">
            <v>43.800000000000004</v>
          </cell>
          <cell r="BA409">
            <v>57.500000000000007</v>
          </cell>
          <cell r="BB409">
            <v>42.1</v>
          </cell>
          <cell r="BC409">
            <v>37.700000000000003</v>
          </cell>
          <cell r="BD409">
            <v>167.79999999999998</v>
          </cell>
          <cell r="BE409">
            <v>70.800000000000011</v>
          </cell>
          <cell r="BF409">
            <v>48.099999999999994</v>
          </cell>
          <cell r="BG409">
            <v>55.400000000000006</v>
          </cell>
          <cell r="BH409">
            <v>39.9</v>
          </cell>
          <cell r="BI409">
            <v>41.300000000000004</v>
          </cell>
          <cell r="BJ409">
            <v>38.799999999999997</v>
          </cell>
          <cell r="BK409">
            <v>40.400000000000006</v>
          </cell>
          <cell r="BL409">
            <v>40.500000000000014</v>
          </cell>
          <cell r="BM409">
            <v>52.6</v>
          </cell>
          <cell r="BN409">
            <v>50.9</v>
          </cell>
          <cell r="BO409">
            <v>40.9</v>
          </cell>
          <cell r="BP409">
            <v>156</v>
          </cell>
          <cell r="BQ409">
            <v>80.600000000000009</v>
          </cell>
          <cell r="BR409">
            <v>51.999999999999993</v>
          </cell>
          <cell r="BS409">
            <v>46.9</v>
          </cell>
          <cell r="BT409">
            <v>47.199999999999996</v>
          </cell>
          <cell r="BU409">
            <v>40.699999999999996</v>
          </cell>
          <cell r="BV409">
            <v>38.1</v>
          </cell>
          <cell r="BW409">
            <v>37.5</v>
          </cell>
          <cell r="BX409">
            <v>42.3</v>
          </cell>
          <cell r="BY409">
            <v>41.4</v>
          </cell>
          <cell r="BZ409">
            <v>37.5</v>
          </cell>
          <cell r="CA409">
            <v>45.5</v>
          </cell>
          <cell r="CB409">
            <v>173.5</v>
          </cell>
          <cell r="CC409">
            <v>89</v>
          </cell>
          <cell r="CD409">
            <v>51.400000000000006</v>
          </cell>
          <cell r="CE409">
            <v>51.199999999999996</v>
          </cell>
          <cell r="CF409">
            <v>65.3</v>
          </cell>
          <cell r="CG409">
            <v>46.4</v>
          </cell>
          <cell r="CH409">
            <v>51.399999999999991</v>
          </cell>
          <cell r="CI409">
            <v>54.7</v>
          </cell>
          <cell r="CJ409">
            <v>54.599999999999994</v>
          </cell>
          <cell r="CK409">
            <v>48.399999999999991</v>
          </cell>
          <cell r="CL409">
            <v>46.9</v>
          </cell>
          <cell r="CM409">
            <v>60.9</v>
          </cell>
          <cell r="CN409">
            <v>63.7</v>
          </cell>
          <cell r="CO409">
            <v>200.80000000000004</v>
          </cell>
          <cell r="CP409">
            <v>39.299999999999997</v>
          </cell>
          <cell r="CQ409">
            <v>49.9</v>
          </cell>
          <cell r="CR409">
            <v>76.399999999999991</v>
          </cell>
          <cell r="CS409">
            <v>51.4</v>
          </cell>
          <cell r="CT409">
            <v>52.5</v>
          </cell>
          <cell r="CU409">
            <v>56.5</v>
          </cell>
          <cell r="CV409">
            <v>51.000000000000007</v>
          </cell>
          <cell r="CW409">
            <v>48.500000000000007</v>
          </cell>
          <cell r="CX409">
            <v>49.800000000000004</v>
          </cell>
          <cell r="CY409">
            <v>46.4</v>
          </cell>
          <cell r="CZ409">
            <v>190.2</v>
          </cell>
          <cell r="DA409">
            <v>82.3</v>
          </cell>
          <cell r="DB409">
            <v>49.7</v>
          </cell>
          <cell r="DC409">
            <v>49.000000000000007</v>
          </cell>
          <cell r="DD409">
            <v>48.70000000000001</v>
          </cell>
          <cell r="DE409">
            <v>49.400000000000006</v>
          </cell>
          <cell r="DF409">
            <v>72.900000000000006</v>
          </cell>
          <cell r="DG409">
            <v>50.1</v>
          </cell>
          <cell r="DH409">
            <v>55.100000000000009</v>
          </cell>
          <cell r="DI409">
            <v>58.9</v>
          </cell>
          <cell r="DJ409">
            <v>67</v>
          </cell>
          <cell r="DK409">
            <v>53.2</v>
          </cell>
          <cell r="DL409">
            <v>65.300000000000011</v>
          </cell>
          <cell r="DM409">
            <v>191.8</v>
          </cell>
          <cell r="DN409">
            <v>56.099999999999994</v>
          </cell>
          <cell r="DO409">
            <v>67.5</v>
          </cell>
          <cell r="DP409">
            <v>58.4</v>
          </cell>
          <cell r="DQ409">
            <v>57.300000000000004</v>
          </cell>
          <cell r="DR409">
            <v>75.900000000000006</v>
          </cell>
          <cell r="DS409">
            <v>66.099999999999994</v>
          </cell>
          <cell r="DT409">
            <v>59.2</v>
          </cell>
          <cell r="DU409">
            <v>65.8</v>
          </cell>
          <cell r="DV409">
            <v>58.5</v>
          </cell>
          <cell r="DW409">
            <v>57</v>
          </cell>
          <cell r="DX409">
            <v>218.20000000000002</v>
          </cell>
          <cell r="DY409">
            <v>95</v>
          </cell>
          <cell r="EM409">
            <v>608.70000000000005</v>
          </cell>
          <cell r="EN409">
            <v>624.5</v>
          </cell>
          <cell r="EO409">
            <v>693</v>
          </cell>
          <cell r="EP409">
            <v>685.4</v>
          </cell>
          <cell r="EQ409">
            <v>691.59999999999991</v>
          </cell>
          <cell r="ER409">
            <v>795.7</v>
          </cell>
          <cell r="ES409">
            <v>794.2</v>
          </cell>
        </row>
        <row r="410">
          <cell r="A410" t="str">
            <v>O&amp;M (Net of pass-throughs)</v>
          </cell>
          <cell r="B410" t="str">
            <v>Operations &amp; Maintenance Expense (incl clause)</v>
          </cell>
          <cell r="E410" t="str">
            <v>Operations &amp; Maintenance Expense</v>
          </cell>
          <cell r="F410" t="str">
            <v>6720010</v>
          </cell>
          <cell r="G410" t="str">
            <v>A_6720010</v>
          </cell>
          <cell r="H410" t="str">
            <v>Lease - Building</v>
          </cell>
          <cell r="J410">
            <v>30.7</v>
          </cell>
          <cell r="K410">
            <v>26.6</v>
          </cell>
          <cell r="L410">
            <v>21.2</v>
          </cell>
          <cell r="M410">
            <v>32.1</v>
          </cell>
          <cell r="N410">
            <v>21.2</v>
          </cell>
          <cell r="O410">
            <v>26.6</v>
          </cell>
          <cell r="P410">
            <v>26.6</v>
          </cell>
          <cell r="Q410">
            <v>21.4</v>
          </cell>
          <cell r="R410">
            <v>21.2</v>
          </cell>
          <cell r="S410">
            <v>30.8</v>
          </cell>
          <cell r="T410">
            <v>25.4</v>
          </cell>
          <cell r="U410">
            <v>32.4</v>
          </cell>
          <cell r="V410">
            <v>18</v>
          </cell>
          <cell r="W410">
            <v>44.2</v>
          </cell>
          <cell r="X410">
            <v>34.299999999999997</v>
          </cell>
          <cell r="Y410">
            <v>24.3</v>
          </cell>
          <cell r="Z410">
            <v>23.6</v>
          </cell>
          <cell r="AA410">
            <v>16.7</v>
          </cell>
          <cell r="AB410">
            <v>32.1</v>
          </cell>
          <cell r="AC410">
            <v>22.3</v>
          </cell>
          <cell r="AD410">
            <v>24.4</v>
          </cell>
          <cell r="AE410">
            <v>18.8</v>
          </cell>
          <cell r="AF410">
            <v>24.5</v>
          </cell>
          <cell r="AG410">
            <v>28.7</v>
          </cell>
          <cell r="AH410">
            <v>26</v>
          </cell>
          <cell r="AI410">
            <v>24.7</v>
          </cell>
          <cell r="AJ410">
            <v>24.7</v>
          </cell>
          <cell r="AK410">
            <v>24.7</v>
          </cell>
          <cell r="AL410">
            <v>24.7</v>
          </cell>
          <cell r="AM410">
            <v>33.4</v>
          </cell>
          <cell r="AN410">
            <v>26</v>
          </cell>
          <cell r="AO410">
            <v>26</v>
          </cell>
          <cell r="AP410">
            <v>26</v>
          </cell>
          <cell r="AQ410">
            <v>26</v>
          </cell>
          <cell r="AR410">
            <v>26.2</v>
          </cell>
          <cell r="AS410">
            <v>19.100000000000001</v>
          </cell>
          <cell r="AT410">
            <v>37.5</v>
          </cell>
          <cell r="AU410">
            <v>28.9</v>
          </cell>
          <cell r="AV410">
            <v>29.7</v>
          </cell>
          <cell r="AW410">
            <v>29.9</v>
          </cell>
          <cell r="AX410">
            <v>29.8</v>
          </cell>
          <cell r="AY410">
            <v>29.8</v>
          </cell>
          <cell r="AZ410">
            <v>29.8</v>
          </cell>
          <cell r="BA410">
            <v>29.8</v>
          </cell>
          <cell r="BB410">
            <v>29.8</v>
          </cell>
          <cell r="BC410">
            <v>29.8</v>
          </cell>
          <cell r="BD410">
            <v>30</v>
          </cell>
          <cell r="BE410">
            <v>21.8</v>
          </cell>
          <cell r="BF410">
            <v>37.299999999999997</v>
          </cell>
          <cell r="BG410">
            <v>27.7</v>
          </cell>
          <cell r="BH410">
            <v>29.3</v>
          </cell>
          <cell r="BI410">
            <v>29.5</v>
          </cell>
          <cell r="BJ410">
            <v>29.5</v>
          </cell>
          <cell r="BK410">
            <v>29.5</v>
          </cell>
          <cell r="BL410">
            <v>29.5</v>
          </cell>
          <cell r="BM410">
            <v>29.5</v>
          </cell>
          <cell r="BN410">
            <v>22.8</v>
          </cell>
          <cell r="BO410">
            <v>36.200000000000003</v>
          </cell>
          <cell r="BP410">
            <v>29.7</v>
          </cell>
          <cell r="BQ410">
            <v>29.6</v>
          </cell>
          <cell r="BR410">
            <v>27.6</v>
          </cell>
          <cell r="BS410">
            <v>21.9</v>
          </cell>
          <cell r="BT410">
            <v>28.9</v>
          </cell>
          <cell r="BU410">
            <v>35.799999999999997</v>
          </cell>
          <cell r="BV410">
            <v>28.9</v>
          </cell>
          <cell r="BW410">
            <v>28.9</v>
          </cell>
          <cell r="BX410">
            <v>28.9</v>
          </cell>
          <cell r="BY410">
            <v>28.9</v>
          </cell>
          <cell r="BZ410">
            <v>28.9</v>
          </cell>
          <cell r="CA410">
            <v>28.9</v>
          </cell>
          <cell r="CB410">
            <v>21.9</v>
          </cell>
          <cell r="CC410">
            <v>35.1</v>
          </cell>
          <cell r="CD410">
            <v>41.7</v>
          </cell>
          <cell r="CE410">
            <v>42.7</v>
          </cell>
          <cell r="CF410">
            <v>37.700000000000003</v>
          </cell>
          <cell r="CG410">
            <v>35.6</v>
          </cell>
          <cell r="CH410">
            <v>28.4</v>
          </cell>
          <cell r="CI410">
            <v>42.9</v>
          </cell>
          <cell r="CJ410">
            <v>35.6</v>
          </cell>
          <cell r="CK410">
            <v>35.6</v>
          </cell>
          <cell r="CL410">
            <v>35.6</v>
          </cell>
          <cell r="CM410">
            <v>35.700000000000003</v>
          </cell>
          <cell r="CN410">
            <v>34.700000000000003</v>
          </cell>
          <cell r="CO410">
            <v>36.700000000000003</v>
          </cell>
          <cell r="CP410">
            <v>36.5</v>
          </cell>
          <cell r="CQ410">
            <v>29.1</v>
          </cell>
          <cell r="CR410">
            <v>36.5</v>
          </cell>
          <cell r="CS410">
            <v>44.1</v>
          </cell>
          <cell r="CT410">
            <v>38.5</v>
          </cell>
          <cell r="CU410">
            <v>36.4</v>
          </cell>
          <cell r="CV410">
            <v>36.4</v>
          </cell>
          <cell r="CW410">
            <v>36.4</v>
          </cell>
          <cell r="CX410">
            <v>28.8</v>
          </cell>
          <cell r="CY410">
            <v>44.3</v>
          </cell>
          <cell r="CZ410">
            <v>35.4</v>
          </cell>
          <cell r="DA410">
            <v>37.4</v>
          </cell>
          <cell r="DB410">
            <v>28.3</v>
          </cell>
          <cell r="DC410">
            <v>45.2</v>
          </cell>
          <cell r="DD410">
            <v>36.6</v>
          </cell>
          <cell r="DE410">
            <v>36.6</v>
          </cell>
          <cell r="DF410">
            <v>36.6</v>
          </cell>
          <cell r="DG410">
            <v>36.6</v>
          </cell>
          <cell r="DH410">
            <v>36.6</v>
          </cell>
          <cell r="DI410">
            <v>36.6</v>
          </cell>
          <cell r="DJ410">
            <v>36.6</v>
          </cell>
          <cell r="DK410">
            <v>36.6</v>
          </cell>
          <cell r="DL410">
            <v>36.6</v>
          </cell>
          <cell r="DM410">
            <v>28.8</v>
          </cell>
          <cell r="DN410">
            <v>9</v>
          </cell>
          <cell r="DO410">
            <v>9</v>
          </cell>
          <cell r="DP410">
            <v>9</v>
          </cell>
          <cell r="DQ410">
            <v>9</v>
          </cell>
          <cell r="DR410">
            <v>9</v>
          </cell>
          <cell r="DS410">
            <v>9</v>
          </cell>
          <cell r="DT410">
            <v>9</v>
          </cell>
          <cell r="DU410">
            <v>9</v>
          </cell>
          <cell r="DV410">
            <v>9</v>
          </cell>
          <cell r="DW410">
            <v>9</v>
          </cell>
          <cell r="DX410">
            <v>9</v>
          </cell>
          <cell r="DY410">
            <v>9</v>
          </cell>
          <cell r="EM410">
            <v>311.89999999999998</v>
          </cell>
          <cell r="EN410">
            <v>307.50000000000006</v>
          </cell>
          <cell r="EO410">
            <v>356.60000000000008</v>
          </cell>
          <cell r="EP410">
            <v>360.1</v>
          </cell>
          <cell r="EQ410">
            <v>344.59999999999997</v>
          </cell>
          <cell r="ER410">
            <v>442.90000000000003</v>
          </cell>
          <cell r="ES410">
            <v>439.79999999999995</v>
          </cell>
        </row>
        <row r="411">
          <cell r="A411" t="str">
            <v>O&amp;M (Net of pass-throughs)</v>
          </cell>
          <cell r="B411" t="str">
            <v>Operations &amp; Maintenance Expense (incl clause)</v>
          </cell>
          <cell r="E411" t="str">
            <v>Operations &amp; Maintenance Expense</v>
          </cell>
          <cell r="F411" t="str">
            <v>6720020</v>
          </cell>
          <cell r="G411" t="str">
            <v>A_6720020</v>
          </cell>
          <cell r="H411" t="str">
            <v>Lease - Non-Office Equipment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0.2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0.3</v>
          </cell>
          <cell r="AN411">
            <v>-0.3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0.1</v>
          </cell>
          <cell r="BB411">
            <v>0</v>
          </cell>
          <cell r="BC411">
            <v>0</v>
          </cell>
          <cell r="BD411">
            <v>0.9</v>
          </cell>
          <cell r="BE411">
            <v>0.7</v>
          </cell>
          <cell r="BF411">
            <v>0.1</v>
          </cell>
          <cell r="BG411">
            <v>0</v>
          </cell>
          <cell r="BH411">
            <v>0.6</v>
          </cell>
          <cell r="BI411">
            <v>-0.5</v>
          </cell>
          <cell r="BJ411">
            <v>0.3</v>
          </cell>
          <cell r="BK411">
            <v>-0.1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EM411">
            <v>0.2</v>
          </cell>
          <cell r="EN411">
            <v>0</v>
          </cell>
          <cell r="EO411">
            <v>1.7</v>
          </cell>
          <cell r="EP411">
            <v>0.39999999999999991</v>
          </cell>
          <cell r="EQ411">
            <v>0</v>
          </cell>
          <cell r="ER411">
            <v>0</v>
          </cell>
          <cell r="ES411">
            <v>0</v>
          </cell>
        </row>
        <row r="412">
          <cell r="A412" t="str">
            <v>O&amp;M (Net of pass-throughs)</v>
          </cell>
          <cell r="B412" t="str">
            <v>Operations &amp; Maintenance Expense (incl clause)</v>
          </cell>
          <cell r="E412" t="str">
            <v>Operations &amp; Maintenance Expense</v>
          </cell>
          <cell r="F412" t="str">
            <v>6720030</v>
          </cell>
          <cell r="G412" t="str">
            <v>A_6720030</v>
          </cell>
          <cell r="H412" t="str">
            <v>Lease - Office Equipment</v>
          </cell>
          <cell r="J412">
            <v>11</v>
          </cell>
          <cell r="K412">
            <v>25</v>
          </cell>
          <cell r="L412">
            <v>29.9</v>
          </cell>
          <cell r="M412">
            <v>22.1</v>
          </cell>
          <cell r="N412">
            <v>17.899999999999999</v>
          </cell>
          <cell r="O412">
            <v>30.4</v>
          </cell>
          <cell r="P412">
            <v>2.7</v>
          </cell>
          <cell r="Q412">
            <v>12</v>
          </cell>
          <cell r="R412">
            <v>12</v>
          </cell>
          <cell r="S412">
            <v>11.8</v>
          </cell>
          <cell r="T412">
            <v>19.600000000000001</v>
          </cell>
          <cell r="U412">
            <v>15.6</v>
          </cell>
          <cell r="V412">
            <v>7.3</v>
          </cell>
          <cell r="W412">
            <v>18.3</v>
          </cell>
          <cell r="X412">
            <v>11.3</v>
          </cell>
          <cell r="Y412">
            <v>5.2</v>
          </cell>
          <cell r="Z412">
            <v>12.8</v>
          </cell>
          <cell r="AA412">
            <v>5</v>
          </cell>
          <cell r="AB412">
            <v>3.1</v>
          </cell>
          <cell r="AC412">
            <v>6.3</v>
          </cell>
          <cell r="AD412">
            <v>18.7</v>
          </cell>
          <cell r="AE412">
            <v>3.4</v>
          </cell>
          <cell r="AF412">
            <v>12.1</v>
          </cell>
          <cell r="AG412">
            <v>3.3</v>
          </cell>
          <cell r="AH412">
            <v>3.5</v>
          </cell>
          <cell r="AI412">
            <v>11.6</v>
          </cell>
          <cell r="AJ412">
            <v>3.4</v>
          </cell>
          <cell r="AK412">
            <v>-4.9000000000000004</v>
          </cell>
          <cell r="AL412">
            <v>9.6</v>
          </cell>
          <cell r="AM412">
            <v>3.2</v>
          </cell>
          <cell r="AN412">
            <v>10</v>
          </cell>
          <cell r="AO412">
            <v>0.2</v>
          </cell>
          <cell r="AP412">
            <v>1.9</v>
          </cell>
          <cell r="AQ412">
            <v>1.6</v>
          </cell>
          <cell r="AR412">
            <v>2</v>
          </cell>
          <cell r="AS412">
            <v>1.9</v>
          </cell>
          <cell r="AT412">
            <v>2.5</v>
          </cell>
          <cell r="AU412">
            <v>1.9</v>
          </cell>
          <cell r="AV412">
            <v>2.2000000000000002</v>
          </cell>
          <cell r="AW412">
            <v>2.1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0.6</v>
          </cell>
          <cell r="BF412">
            <v>0.2</v>
          </cell>
          <cell r="BG412">
            <v>23.1</v>
          </cell>
          <cell r="BH412">
            <v>0</v>
          </cell>
          <cell r="BI412">
            <v>0</v>
          </cell>
          <cell r="BJ412">
            <v>-1.8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-0.5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EM412">
            <v>106.80000000000001</v>
          </cell>
          <cell r="EN412">
            <v>44</v>
          </cell>
          <cell r="EO412">
            <v>9.3000000000000007</v>
          </cell>
          <cell r="EP412">
            <v>21.5</v>
          </cell>
          <cell r="EQ412">
            <v>-0.5</v>
          </cell>
          <cell r="ER412">
            <v>0</v>
          </cell>
          <cell r="ES412">
            <v>0</v>
          </cell>
        </row>
        <row r="413">
          <cell r="A413" t="str">
            <v>O&amp;M (Net of pass-throughs)</v>
          </cell>
          <cell r="B413" t="str">
            <v>Operations &amp; Maintenance Expense (incl clause)</v>
          </cell>
          <cell r="E413" t="str">
            <v>Operations &amp; Maintenance Expense</v>
          </cell>
          <cell r="F413" t="str">
            <v>6720050</v>
          </cell>
          <cell r="G413" t="str">
            <v>A_6720050</v>
          </cell>
          <cell r="H413" t="str">
            <v>Lease - Vehicle</v>
          </cell>
          <cell r="J413">
            <v>0.1</v>
          </cell>
          <cell r="K413">
            <v>0.2</v>
          </cell>
          <cell r="L413">
            <v>0.2</v>
          </cell>
          <cell r="M413">
            <v>0.2</v>
          </cell>
          <cell r="N413">
            <v>0.2</v>
          </cell>
          <cell r="O413">
            <v>0.4</v>
          </cell>
          <cell r="P413">
            <v>0.2</v>
          </cell>
          <cell r="Q413">
            <v>0.1</v>
          </cell>
          <cell r="R413">
            <v>0.3</v>
          </cell>
          <cell r="S413">
            <v>0.1</v>
          </cell>
          <cell r="T413">
            <v>0.2</v>
          </cell>
          <cell r="U413">
            <v>0.2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0.3</v>
          </cell>
          <cell r="AA413">
            <v>0.1</v>
          </cell>
          <cell r="AB413">
            <v>0.1</v>
          </cell>
          <cell r="AC413">
            <v>0.1</v>
          </cell>
          <cell r="AD413">
            <v>0</v>
          </cell>
          <cell r="AE413">
            <v>0</v>
          </cell>
          <cell r="AF413">
            <v>0</v>
          </cell>
          <cell r="AG413">
            <v>0.1</v>
          </cell>
          <cell r="AH413">
            <v>0.3</v>
          </cell>
          <cell r="AI413">
            <v>0.4</v>
          </cell>
          <cell r="AJ413">
            <v>0.4</v>
          </cell>
          <cell r="AK413">
            <v>0.1</v>
          </cell>
          <cell r="AL413">
            <v>0.2</v>
          </cell>
          <cell r="AM413">
            <v>0.1</v>
          </cell>
          <cell r="AN413">
            <v>0.1</v>
          </cell>
          <cell r="AO413">
            <v>0.1</v>
          </cell>
          <cell r="AP413">
            <v>0.2</v>
          </cell>
          <cell r="AQ413">
            <v>0.1</v>
          </cell>
          <cell r="AR413">
            <v>0.1</v>
          </cell>
          <cell r="AS413">
            <v>0.1</v>
          </cell>
          <cell r="AT413">
            <v>0.1</v>
          </cell>
          <cell r="AU413">
            <v>0.1</v>
          </cell>
          <cell r="AV413">
            <v>0</v>
          </cell>
          <cell r="AW413">
            <v>0.1</v>
          </cell>
          <cell r="AX413">
            <v>0</v>
          </cell>
          <cell r="AY413">
            <v>0.1</v>
          </cell>
          <cell r="AZ413">
            <v>0.2</v>
          </cell>
          <cell r="BA413">
            <v>0.1</v>
          </cell>
          <cell r="BB413">
            <v>0</v>
          </cell>
          <cell r="BC413">
            <v>0</v>
          </cell>
          <cell r="BD413">
            <v>0.1</v>
          </cell>
          <cell r="BE413">
            <v>0.1</v>
          </cell>
          <cell r="BF413">
            <v>0</v>
          </cell>
          <cell r="BG413">
            <v>0.1</v>
          </cell>
          <cell r="BH413">
            <v>0</v>
          </cell>
          <cell r="BI413">
            <v>0.1</v>
          </cell>
          <cell r="BJ413">
            <v>0.3</v>
          </cell>
          <cell r="BK413">
            <v>0.1</v>
          </cell>
          <cell r="BL413">
            <v>0.1</v>
          </cell>
          <cell r="BM413">
            <v>0</v>
          </cell>
          <cell r="BN413">
            <v>0.2</v>
          </cell>
          <cell r="BO413">
            <v>0.1</v>
          </cell>
          <cell r="BP413">
            <v>0.1</v>
          </cell>
          <cell r="BQ413">
            <v>0.1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0.5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EM413">
            <v>0.7</v>
          </cell>
          <cell r="EN413">
            <v>2.2000000000000006</v>
          </cell>
          <cell r="EO413">
            <v>0.9</v>
          </cell>
          <cell r="EP413">
            <v>1.2</v>
          </cell>
          <cell r="EQ413">
            <v>0</v>
          </cell>
          <cell r="ER413">
            <v>0</v>
          </cell>
          <cell r="ES413">
            <v>0.5</v>
          </cell>
        </row>
        <row r="414">
          <cell r="A414" t="str">
            <v>O&amp;M (Net of pass-throughs)</v>
          </cell>
          <cell r="B414" t="str">
            <v>Operations &amp; Maintenance Expense (incl clause)</v>
          </cell>
          <cell r="E414" t="str">
            <v>Operations &amp; Maintenance Expense</v>
          </cell>
          <cell r="F414" t="str">
            <v>6720060</v>
          </cell>
          <cell r="G414" t="str">
            <v>A_6720060</v>
          </cell>
          <cell r="H414" t="str">
            <v>Long-term Lease - Variable Lease Expense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</row>
        <row r="415">
          <cell r="A415" t="str">
            <v>O&amp;M (Net of pass-throughs)</v>
          </cell>
          <cell r="B415" t="str">
            <v>Operations &amp; Maintenance Expense (incl clause)</v>
          </cell>
          <cell r="E415" t="str">
            <v>Operations &amp; Maintenance Expense</v>
          </cell>
          <cell r="F415" t="str">
            <v>6720800</v>
          </cell>
          <cell r="G415" t="str">
            <v>A_6720800</v>
          </cell>
          <cell r="H415" t="str">
            <v>Lease - Other</v>
          </cell>
          <cell r="J415">
            <v>0.2</v>
          </cell>
          <cell r="K415">
            <v>0</v>
          </cell>
          <cell r="L415">
            <v>0</v>
          </cell>
          <cell r="M415">
            <v>0.2</v>
          </cell>
          <cell r="N415">
            <v>0</v>
          </cell>
          <cell r="O415">
            <v>0</v>
          </cell>
          <cell r="P415">
            <v>3.9</v>
          </cell>
          <cell r="Q415">
            <v>0</v>
          </cell>
          <cell r="R415">
            <v>0</v>
          </cell>
          <cell r="S415">
            <v>0</v>
          </cell>
          <cell r="T415">
            <v>1.3</v>
          </cell>
          <cell r="U415">
            <v>2.2000000000000002</v>
          </cell>
          <cell r="V415">
            <v>1.5</v>
          </cell>
          <cell r="W415">
            <v>0</v>
          </cell>
          <cell r="X415">
            <v>1.4</v>
          </cell>
          <cell r="Y415">
            <v>0.1</v>
          </cell>
          <cell r="Z415">
            <v>0.1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0.1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0.5</v>
          </cell>
          <cell r="AK415">
            <v>0.1</v>
          </cell>
          <cell r="AL415">
            <v>0.1</v>
          </cell>
          <cell r="AM415">
            <v>0.1</v>
          </cell>
          <cell r="AN415">
            <v>0.1</v>
          </cell>
          <cell r="AO415">
            <v>0.1</v>
          </cell>
          <cell r="AP415">
            <v>0.1</v>
          </cell>
          <cell r="AQ415">
            <v>0.1</v>
          </cell>
          <cell r="AR415">
            <v>0.9</v>
          </cell>
          <cell r="AS415">
            <v>0.2</v>
          </cell>
          <cell r="AT415">
            <v>0.1</v>
          </cell>
          <cell r="AU415">
            <v>0.1</v>
          </cell>
          <cell r="AV415">
            <v>0.5</v>
          </cell>
          <cell r="AW415">
            <v>0.2</v>
          </cell>
          <cell r="AX415">
            <v>0.1</v>
          </cell>
          <cell r="AY415">
            <v>0.1</v>
          </cell>
          <cell r="AZ415">
            <v>0.1</v>
          </cell>
          <cell r="BA415">
            <v>0</v>
          </cell>
          <cell r="BB415">
            <v>0.1</v>
          </cell>
          <cell r="BC415">
            <v>0.1</v>
          </cell>
          <cell r="BD415">
            <v>0.2</v>
          </cell>
          <cell r="BE415">
            <v>0.1</v>
          </cell>
          <cell r="BF415">
            <v>0.1</v>
          </cell>
          <cell r="BG415">
            <v>0.3</v>
          </cell>
          <cell r="BH415">
            <v>0.4</v>
          </cell>
          <cell r="BI415">
            <v>0.3</v>
          </cell>
          <cell r="BJ415">
            <v>2.7</v>
          </cell>
          <cell r="BK415">
            <v>0.4</v>
          </cell>
          <cell r="BL415">
            <v>0.7</v>
          </cell>
          <cell r="BM415">
            <v>0.3</v>
          </cell>
          <cell r="BN415">
            <v>0.3</v>
          </cell>
          <cell r="BO415">
            <v>0.3</v>
          </cell>
          <cell r="BP415">
            <v>-0.2</v>
          </cell>
          <cell r="BQ415">
            <v>0.3</v>
          </cell>
          <cell r="BR415">
            <v>0.3</v>
          </cell>
          <cell r="BS415">
            <v>0.3</v>
          </cell>
          <cell r="BT415">
            <v>0.3</v>
          </cell>
          <cell r="BU415">
            <v>0.4</v>
          </cell>
          <cell r="BV415">
            <v>0.3</v>
          </cell>
          <cell r="BW415">
            <v>0.3</v>
          </cell>
          <cell r="BX415">
            <v>0.4</v>
          </cell>
          <cell r="BY415">
            <v>0.1</v>
          </cell>
          <cell r="BZ415">
            <v>0.6</v>
          </cell>
          <cell r="CA415">
            <v>0.9</v>
          </cell>
          <cell r="CB415">
            <v>0.3</v>
          </cell>
          <cell r="CC415">
            <v>0.4</v>
          </cell>
          <cell r="CD415">
            <v>0.4</v>
          </cell>
          <cell r="CE415">
            <v>0.4</v>
          </cell>
          <cell r="CF415">
            <v>0.4</v>
          </cell>
          <cell r="CG415">
            <v>0.4</v>
          </cell>
          <cell r="CH415">
            <v>0.4</v>
          </cell>
          <cell r="CI415">
            <v>0.1</v>
          </cell>
          <cell r="CJ415">
            <v>0.4</v>
          </cell>
          <cell r="CK415">
            <v>0.4</v>
          </cell>
          <cell r="CL415">
            <v>0.4</v>
          </cell>
          <cell r="CM415">
            <v>0.4</v>
          </cell>
          <cell r="CN415">
            <v>0.4</v>
          </cell>
          <cell r="CO415">
            <v>0.4</v>
          </cell>
          <cell r="CP415">
            <v>0.4</v>
          </cell>
          <cell r="CQ415">
            <v>0.4</v>
          </cell>
          <cell r="CR415">
            <v>0.4</v>
          </cell>
          <cell r="CS415">
            <v>0.4</v>
          </cell>
          <cell r="CT415">
            <v>0.4</v>
          </cell>
          <cell r="CU415">
            <v>0.3</v>
          </cell>
          <cell r="CV415">
            <v>0.3</v>
          </cell>
          <cell r="CW415">
            <v>0.3</v>
          </cell>
          <cell r="CX415">
            <v>0.5</v>
          </cell>
          <cell r="CY415">
            <v>0.1</v>
          </cell>
          <cell r="CZ415">
            <v>0.6</v>
          </cell>
          <cell r="DA415">
            <v>0.5</v>
          </cell>
          <cell r="DB415">
            <v>0.4</v>
          </cell>
          <cell r="DC415">
            <v>0.4</v>
          </cell>
          <cell r="DD415">
            <v>0.3</v>
          </cell>
          <cell r="DE415">
            <v>0.7</v>
          </cell>
          <cell r="DF415">
            <v>1.1000000000000001</v>
          </cell>
          <cell r="DG415">
            <v>0.4</v>
          </cell>
          <cell r="DH415">
            <v>0.5</v>
          </cell>
          <cell r="DI415">
            <v>0.5</v>
          </cell>
          <cell r="DJ415">
            <v>0.4</v>
          </cell>
          <cell r="DK415">
            <v>0.4</v>
          </cell>
          <cell r="DL415">
            <v>0.3</v>
          </cell>
          <cell r="DM415">
            <v>0.3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EM415">
            <v>3.2</v>
          </cell>
          <cell r="EN415">
            <v>2.3000000000000003</v>
          </cell>
          <cell r="EO415">
            <v>1.7000000000000002</v>
          </cell>
          <cell r="EP415">
            <v>5.8999999999999995</v>
          </cell>
          <cell r="EQ415">
            <v>4.6000000000000005</v>
          </cell>
          <cell r="ER415">
            <v>4.5</v>
          </cell>
          <cell r="ES415">
            <v>4.5999999999999996</v>
          </cell>
        </row>
        <row r="416">
          <cell r="A416" t="str">
            <v>O&amp;M (Net of pass-throughs)</v>
          </cell>
          <cell r="B416" t="str">
            <v>Operations &amp; Maintenance Expense (incl clause)</v>
          </cell>
          <cell r="E416" t="str">
            <v>Operations &amp; Maintenance Expense</v>
          </cell>
          <cell r="F416" t="str">
            <v>6720000</v>
          </cell>
          <cell r="G416" t="str">
            <v>A_S6720000</v>
          </cell>
          <cell r="H416" t="str">
            <v>Settled Lease Expense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</row>
        <row r="417">
          <cell r="A417" t="str">
            <v>O&amp;M (Net of pass-throughs)</v>
          </cell>
          <cell r="B417" t="str">
            <v>Operations &amp; Maintenance Expense (incl clause)</v>
          </cell>
          <cell r="E417" t="str">
            <v>Operations &amp; Maintenance Expense</v>
          </cell>
          <cell r="F417" t="str">
            <v>6720010</v>
          </cell>
          <cell r="G417" t="str">
            <v>A_S6720010</v>
          </cell>
          <cell r="H417" t="str">
            <v>Settled Long-term Lease - Building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25.4</v>
          </cell>
          <cell r="DO417">
            <v>25.4</v>
          </cell>
          <cell r="DP417">
            <v>25.4</v>
          </cell>
          <cell r="DQ417">
            <v>25.4</v>
          </cell>
          <cell r="DR417">
            <v>25.4</v>
          </cell>
          <cell r="DS417">
            <v>25.4</v>
          </cell>
          <cell r="DT417">
            <v>25.4</v>
          </cell>
          <cell r="DU417">
            <v>25.4</v>
          </cell>
          <cell r="DV417">
            <v>25.4</v>
          </cell>
          <cell r="DW417">
            <v>25.4</v>
          </cell>
          <cell r="DX417">
            <v>25.4</v>
          </cell>
          <cell r="DY417">
            <v>25.4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</row>
        <row r="418">
          <cell r="A418" t="str">
            <v>O&amp;M (Net of pass-throughs)</v>
          </cell>
          <cell r="B418" t="str">
            <v>Operations &amp; Maintenance Expense (incl clause)</v>
          </cell>
          <cell r="E418" t="str">
            <v>Operations &amp; Maintenance Expense</v>
          </cell>
          <cell r="F418" t="str">
            <v>6720800</v>
          </cell>
          <cell r="G418" t="str">
            <v>A_S6720800</v>
          </cell>
          <cell r="H418" t="str">
            <v>Settled Long-term Lease - Other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1.5</v>
          </cell>
          <cell r="DO418">
            <v>1.5</v>
          </cell>
          <cell r="DP418">
            <v>1.5</v>
          </cell>
          <cell r="DQ418">
            <v>1.5</v>
          </cell>
          <cell r="DR418">
            <v>1.5</v>
          </cell>
          <cell r="DS418">
            <v>1.5</v>
          </cell>
          <cell r="DT418">
            <v>1.5</v>
          </cell>
          <cell r="DU418">
            <v>1.5</v>
          </cell>
          <cell r="DV418">
            <v>1.5</v>
          </cell>
          <cell r="DW418">
            <v>1.5</v>
          </cell>
          <cell r="DX418">
            <v>1.5</v>
          </cell>
          <cell r="DY418">
            <v>1.5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</row>
        <row r="419">
          <cell r="A419" t="str">
            <v>O&amp;M (Net of pass-throughs)</v>
          </cell>
          <cell r="B419" t="str">
            <v>Operations &amp; Maintenance Expense (incl clause)</v>
          </cell>
          <cell r="E419" t="str">
            <v>Operations &amp; Maintenance Expense</v>
          </cell>
          <cell r="F419" t="str">
            <v>6729000</v>
          </cell>
          <cell r="G419" t="str">
            <v>A_6729000</v>
          </cell>
          <cell r="H419" t="str">
            <v>Lease Expense sent to Balance Sheet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-3.9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-0.2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0.2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</row>
        <row r="420">
          <cell r="F420" t="str">
            <v>672</v>
          </cell>
          <cell r="G420">
            <v>672</v>
          </cell>
          <cell r="J420">
            <v>42.000000000000007</v>
          </cell>
          <cell r="K420">
            <v>51.800000000000004</v>
          </cell>
          <cell r="L420">
            <v>51.3</v>
          </cell>
          <cell r="M420">
            <v>54.600000000000009</v>
          </cell>
          <cell r="N420">
            <v>39.299999999999997</v>
          </cell>
          <cell r="O420">
            <v>57.4</v>
          </cell>
          <cell r="P420">
            <v>29.5</v>
          </cell>
          <cell r="Q420">
            <v>33.5</v>
          </cell>
          <cell r="R420">
            <v>33.5</v>
          </cell>
          <cell r="S420">
            <v>42.7</v>
          </cell>
          <cell r="T420">
            <v>46.5</v>
          </cell>
          <cell r="U420">
            <v>50.400000000000006</v>
          </cell>
          <cell r="V420">
            <v>26.8</v>
          </cell>
          <cell r="W420">
            <v>62.5</v>
          </cell>
          <cell r="X420">
            <v>47.199999999999996</v>
          </cell>
          <cell r="Y420">
            <v>29.6</v>
          </cell>
          <cell r="Z420">
            <v>36.800000000000004</v>
          </cell>
          <cell r="AA420">
            <v>21.8</v>
          </cell>
          <cell r="AB420">
            <v>35.300000000000004</v>
          </cell>
          <cell r="AC420">
            <v>28.700000000000003</v>
          </cell>
          <cell r="AD420">
            <v>43.099999999999994</v>
          </cell>
          <cell r="AE420">
            <v>22.3</v>
          </cell>
          <cell r="AF420">
            <v>36.6</v>
          </cell>
          <cell r="AG420">
            <v>32.1</v>
          </cell>
          <cell r="AH420">
            <v>29.8</v>
          </cell>
          <cell r="AI420">
            <v>36.699999999999996</v>
          </cell>
          <cell r="AJ420">
            <v>28.999999999999996</v>
          </cell>
          <cell r="AK420">
            <v>20</v>
          </cell>
          <cell r="AL420">
            <v>34.6</v>
          </cell>
          <cell r="AM420">
            <v>37.1</v>
          </cell>
          <cell r="AN420">
            <v>35.900000000000006</v>
          </cell>
          <cell r="AO420">
            <v>26.400000000000002</v>
          </cell>
          <cell r="AP420">
            <v>28.2</v>
          </cell>
          <cell r="AQ420">
            <v>27.800000000000004</v>
          </cell>
          <cell r="AR420">
            <v>29.2</v>
          </cell>
          <cell r="AS420">
            <v>21.3</v>
          </cell>
          <cell r="AT420">
            <v>40.200000000000003</v>
          </cell>
          <cell r="AU420">
            <v>31</v>
          </cell>
          <cell r="AV420">
            <v>32.4</v>
          </cell>
          <cell r="AW420">
            <v>32.300000000000004</v>
          </cell>
          <cell r="AX420">
            <v>29.900000000000002</v>
          </cell>
          <cell r="AY420">
            <v>30.000000000000004</v>
          </cell>
          <cell r="AZ420">
            <v>30.1</v>
          </cell>
          <cell r="BA420">
            <v>30.000000000000004</v>
          </cell>
          <cell r="BB420">
            <v>29.900000000000002</v>
          </cell>
          <cell r="BC420">
            <v>29.900000000000002</v>
          </cell>
          <cell r="BD420">
            <v>31.2</v>
          </cell>
          <cell r="BE420">
            <v>23.300000000000004</v>
          </cell>
          <cell r="BF420">
            <v>37.700000000000003</v>
          </cell>
          <cell r="BG420">
            <v>51.199999999999996</v>
          </cell>
          <cell r="BH420">
            <v>30.1</v>
          </cell>
          <cell r="BI420">
            <v>29.400000000000002</v>
          </cell>
          <cell r="BJ420">
            <v>31</v>
          </cell>
          <cell r="BK420">
            <v>29.9</v>
          </cell>
          <cell r="BL420">
            <v>30.3</v>
          </cell>
          <cell r="BM420">
            <v>29.8</v>
          </cell>
          <cell r="BN420">
            <v>23.3</v>
          </cell>
          <cell r="BO420">
            <v>36.6</v>
          </cell>
          <cell r="BP420">
            <v>29.8</v>
          </cell>
          <cell r="BQ420">
            <v>30.000000000000004</v>
          </cell>
          <cell r="BR420">
            <v>27.900000000000002</v>
          </cell>
          <cell r="BS420">
            <v>22.2</v>
          </cell>
          <cell r="BT420">
            <v>29.2</v>
          </cell>
          <cell r="BU420">
            <v>36.199999999999996</v>
          </cell>
          <cell r="BV420">
            <v>29.2</v>
          </cell>
          <cell r="BW420">
            <v>29.2</v>
          </cell>
          <cell r="BX420">
            <v>29.299999999999997</v>
          </cell>
          <cell r="BY420">
            <v>29</v>
          </cell>
          <cell r="BZ420">
            <v>29.5</v>
          </cell>
          <cell r="CA420">
            <v>29.299999999999997</v>
          </cell>
          <cell r="CB420">
            <v>22.2</v>
          </cell>
          <cell r="CC420">
            <v>35.5</v>
          </cell>
          <cell r="CD420">
            <v>42.1</v>
          </cell>
          <cell r="CE420">
            <v>43.1</v>
          </cell>
          <cell r="CF420">
            <v>38.1</v>
          </cell>
          <cell r="CG420">
            <v>36</v>
          </cell>
          <cell r="CH420">
            <v>28.799999999999997</v>
          </cell>
          <cell r="CI420">
            <v>43</v>
          </cell>
          <cell r="CJ420">
            <v>36</v>
          </cell>
          <cell r="CK420">
            <v>36</v>
          </cell>
          <cell r="CL420">
            <v>36</v>
          </cell>
          <cell r="CM420">
            <v>36.1</v>
          </cell>
          <cell r="CN420">
            <v>35.1</v>
          </cell>
          <cell r="CO420">
            <v>37.1</v>
          </cell>
          <cell r="CP420">
            <v>36.9</v>
          </cell>
          <cell r="CQ420">
            <v>29.5</v>
          </cell>
          <cell r="CR420">
            <v>36.9</v>
          </cell>
          <cell r="CS420">
            <v>44.5</v>
          </cell>
          <cell r="CT420">
            <v>39.4</v>
          </cell>
          <cell r="CU420">
            <v>36.699999999999996</v>
          </cell>
          <cell r="CV420">
            <v>36.699999999999996</v>
          </cell>
          <cell r="CW420">
            <v>36.699999999999996</v>
          </cell>
          <cell r="CX420">
            <v>29.3</v>
          </cell>
          <cell r="CY420">
            <v>44.4</v>
          </cell>
          <cell r="CZ420">
            <v>36</v>
          </cell>
          <cell r="DA420">
            <v>37.9</v>
          </cell>
          <cell r="DB420">
            <v>28.7</v>
          </cell>
          <cell r="DC420">
            <v>45.6</v>
          </cell>
          <cell r="DD420">
            <v>36.9</v>
          </cell>
          <cell r="DE420">
            <v>37.300000000000004</v>
          </cell>
          <cell r="DF420">
            <v>37.700000000000003</v>
          </cell>
          <cell r="DG420">
            <v>37</v>
          </cell>
          <cell r="DH420">
            <v>37.1</v>
          </cell>
          <cell r="DI420">
            <v>37.1</v>
          </cell>
          <cell r="DJ420">
            <v>37</v>
          </cell>
          <cell r="DK420">
            <v>37</v>
          </cell>
          <cell r="DL420">
            <v>36.9</v>
          </cell>
          <cell r="DM420">
            <v>29.1</v>
          </cell>
          <cell r="DN420">
            <v>35.9</v>
          </cell>
          <cell r="DO420">
            <v>35.9</v>
          </cell>
          <cell r="DP420">
            <v>35.9</v>
          </cell>
          <cell r="DQ420">
            <v>35.9</v>
          </cell>
          <cell r="DR420">
            <v>35.9</v>
          </cell>
          <cell r="DS420">
            <v>35.9</v>
          </cell>
          <cell r="DT420">
            <v>35.9</v>
          </cell>
          <cell r="DU420">
            <v>35.9</v>
          </cell>
          <cell r="DV420">
            <v>35.9</v>
          </cell>
          <cell r="DW420">
            <v>35.9</v>
          </cell>
          <cell r="DX420">
            <v>35.9</v>
          </cell>
          <cell r="DY420">
            <v>35.9</v>
          </cell>
          <cell r="EM420">
            <v>422.8</v>
          </cell>
          <cell r="EN420">
            <v>356</v>
          </cell>
          <cell r="EO420">
            <v>370.2</v>
          </cell>
          <cell r="EP420">
            <v>389.10000000000008</v>
          </cell>
          <cell r="EQ420">
            <v>348.7</v>
          </cell>
          <cell r="ER420">
            <v>447.40000000000009</v>
          </cell>
          <cell r="ES420">
            <v>444.9</v>
          </cell>
        </row>
        <row r="421">
          <cell r="A421" t="str">
            <v>O&amp;M (Net of pass-throughs)</v>
          </cell>
          <cell r="B421" t="str">
            <v>Operations &amp; Maintenance Expense (incl clause)</v>
          </cell>
          <cell r="E421" t="str">
            <v>Operations &amp; Maintenance Expense</v>
          </cell>
          <cell r="F421" t="str">
            <v>6730010</v>
          </cell>
          <cell r="G421" t="str">
            <v>A_6730010</v>
          </cell>
          <cell r="H421" t="str">
            <v>Utilities - Electricity</v>
          </cell>
          <cell r="J421">
            <v>38.6</v>
          </cell>
          <cell r="K421">
            <v>32.5</v>
          </cell>
          <cell r="L421">
            <v>27.7</v>
          </cell>
          <cell r="M421">
            <v>2.1</v>
          </cell>
          <cell r="N421">
            <v>44.9</v>
          </cell>
          <cell r="O421">
            <v>28.9</v>
          </cell>
          <cell r="P421">
            <v>52</v>
          </cell>
          <cell r="Q421">
            <v>39.1</v>
          </cell>
          <cell r="R421">
            <v>27.6</v>
          </cell>
          <cell r="S421">
            <v>56.3</v>
          </cell>
          <cell r="T421">
            <v>19.8</v>
          </cell>
          <cell r="U421">
            <v>39.1</v>
          </cell>
          <cell r="V421">
            <v>38.700000000000003</v>
          </cell>
          <cell r="W421">
            <v>26.9</v>
          </cell>
          <cell r="X421">
            <v>39.4</v>
          </cell>
          <cell r="Y421">
            <v>30.2</v>
          </cell>
          <cell r="Z421">
            <v>23</v>
          </cell>
          <cell r="AA421">
            <v>46.3</v>
          </cell>
          <cell r="AB421">
            <v>37.9</v>
          </cell>
          <cell r="AC421">
            <v>27</v>
          </cell>
          <cell r="AD421">
            <v>47</v>
          </cell>
          <cell r="AE421">
            <v>27.9</v>
          </cell>
          <cell r="AF421">
            <v>31.4</v>
          </cell>
          <cell r="AG421">
            <v>165.9</v>
          </cell>
          <cell r="AH421">
            <v>30.4</v>
          </cell>
          <cell r="AI421">
            <v>32</v>
          </cell>
          <cell r="AJ421">
            <v>31.3</v>
          </cell>
          <cell r="AK421">
            <v>38.1</v>
          </cell>
          <cell r="AL421">
            <v>29.2</v>
          </cell>
          <cell r="AM421">
            <v>33</v>
          </cell>
          <cell r="AN421">
            <v>32.6</v>
          </cell>
          <cell r="AO421">
            <v>43.5</v>
          </cell>
          <cell r="AP421">
            <v>36.700000000000003</v>
          </cell>
          <cell r="AQ421">
            <v>34.299999999999997</v>
          </cell>
          <cell r="AR421">
            <v>36.6</v>
          </cell>
          <cell r="AS421">
            <v>39.4</v>
          </cell>
          <cell r="AT421">
            <v>29.8</v>
          </cell>
          <cell r="AU421">
            <v>33.5</v>
          </cell>
          <cell r="AV421">
            <v>29.2</v>
          </cell>
          <cell r="AW421">
            <v>32.9</v>
          </cell>
          <cell r="AX421">
            <v>32.200000000000003</v>
          </cell>
          <cell r="AY421">
            <v>38.200000000000003</v>
          </cell>
          <cell r="AZ421">
            <v>34.9</v>
          </cell>
          <cell r="BA421">
            <v>33.5</v>
          </cell>
          <cell r="BB421">
            <v>33.299999999999997</v>
          </cell>
          <cell r="BC421">
            <v>37.5</v>
          </cell>
          <cell r="BD421">
            <v>31.7</v>
          </cell>
          <cell r="BE421">
            <v>33.200000000000003</v>
          </cell>
          <cell r="BF421">
            <v>38</v>
          </cell>
          <cell r="BG421">
            <v>25.7</v>
          </cell>
          <cell r="BH421">
            <v>27.7</v>
          </cell>
          <cell r="BI421">
            <v>35.700000000000003</v>
          </cell>
          <cell r="BJ421">
            <v>25.2</v>
          </cell>
          <cell r="BK421">
            <v>41.1</v>
          </cell>
          <cell r="BL421">
            <v>27.5</v>
          </cell>
          <cell r="BM421">
            <v>32.799999999999997</v>
          </cell>
          <cell r="BN421">
            <v>38.4</v>
          </cell>
          <cell r="BO421">
            <v>31.2</v>
          </cell>
          <cell r="BP421">
            <v>25.9</v>
          </cell>
          <cell r="BQ421">
            <v>44</v>
          </cell>
          <cell r="BR421">
            <v>25.2</v>
          </cell>
          <cell r="BS421">
            <v>27.9</v>
          </cell>
          <cell r="BT421">
            <v>32.200000000000003</v>
          </cell>
          <cell r="BU421">
            <v>27.3</v>
          </cell>
          <cell r="BV421">
            <v>30.4</v>
          </cell>
          <cell r="BW421">
            <v>28.5</v>
          </cell>
          <cell r="BX421">
            <v>26.6</v>
          </cell>
          <cell r="BY421">
            <v>24.1</v>
          </cell>
          <cell r="BZ421">
            <v>51.2</v>
          </cell>
          <cell r="CA421">
            <v>44.5</v>
          </cell>
          <cell r="CB421">
            <v>23</v>
          </cell>
          <cell r="CC421">
            <v>30.8</v>
          </cell>
          <cell r="CD421">
            <v>28.2</v>
          </cell>
          <cell r="CE421">
            <v>26.8</v>
          </cell>
          <cell r="CF421">
            <v>24.7</v>
          </cell>
          <cell r="CG421">
            <v>25.8</v>
          </cell>
          <cell r="CH421">
            <v>24.9</v>
          </cell>
          <cell r="CI421">
            <v>27.5</v>
          </cell>
          <cell r="CJ421">
            <v>28.6</v>
          </cell>
          <cell r="CK421">
            <v>32.700000000000003</v>
          </cell>
          <cell r="CL421">
            <v>21.1</v>
          </cell>
          <cell r="CM421">
            <v>20.9</v>
          </cell>
          <cell r="CN421">
            <v>51.2</v>
          </cell>
          <cell r="CO421">
            <v>26.2</v>
          </cell>
          <cell r="CP421">
            <v>70.7</v>
          </cell>
          <cell r="CQ421">
            <v>34.200000000000003</v>
          </cell>
          <cell r="CR421">
            <v>26.5</v>
          </cell>
          <cell r="CS421">
            <v>40.1</v>
          </cell>
          <cell r="CT421">
            <v>22</v>
          </cell>
          <cell r="CU421">
            <v>46.5</v>
          </cell>
          <cell r="CV421">
            <v>41.9</v>
          </cell>
          <cell r="CW421">
            <v>18</v>
          </cell>
          <cell r="CX421">
            <v>72.099999999999994</v>
          </cell>
          <cell r="CY421">
            <v>46.8</v>
          </cell>
          <cell r="CZ421">
            <v>27.9</v>
          </cell>
          <cell r="DA421">
            <v>28.6</v>
          </cell>
          <cell r="DB421">
            <v>36.700000000000003</v>
          </cell>
          <cell r="DC421">
            <v>60.9</v>
          </cell>
          <cell r="DD421">
            <v>50.6</v>
          </cell>
          <cell r="DE421">
            <v>46.1</v>
          </cell>
          <cell r="DF421">
            <v>39.5</v>
          </cell>
          <cell r="DG421">
            <v>30.1</v>
          </cell>
          <cell r="DH421">
            <v>47.6</v>
          </cell>
          <cell r="DI421">
            <v>53.5</v>
          </cell>
          <cell r="DJ421">
            <v>48.4</v>
          </cell>
          <cell r="DK421">
            <v>49.6</v>
          </cell>
          <cell r="DL421">
            <v>37.4</v>
          </cell>
          <cell r="DM421">
            <v>51.9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EM421">
            <v>541.59999999999991</v>
          </cell>
          <cell r="EN421">
            <v>417.1</v>
          </cell>
          <cell r="EO421">
            <v>399.90000000000003</v>
          </cell>
          <cell r="EP421">
            <v>393.19999999999993</v>
          </cell>
          <cell r="EQ421">
            <v>371.7</v>
          </cell>
          <cell r="ER421">
            <v>338.59999999999997</v>
          </cell>
          <cell r="ES421">
            <v>475.3</v>
          </cell>
        </row>
        <row r="422">
          <cell r="A422" t="str">
            <v>O&amp;M (Net of pass-throughs)</v>
          </cell>
          <cell r="B422" t="str">
            <v>Operations &amp; Maintenance Expense (incl clause)</v>
          </cell>
          <cell r="E422" t="str">
            <v>Operations &amp; Maintenance Expense</v>
          </cell>
          <cell r="F422" t="str">
            <v>6730020</v>
          </cell>
          <cell r="G422" t="str">
            <v>A_6730020</v>
          </cell>
          <cell r="H422" t="str">
            <v xml:space="preserve"> Utilities - Gas 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0.1</v>
          </cell>
          <cell r="BG422">
            <v>0.1</v>
          </cell>
          <cell r="BH422">
            <v>1</v>
          </cell>
          <cell r="BI422">
            <v>0</v>
          </cell>
          <cell r="BJ422">
            <v>0</v>
          </cell>
          <cell r="BK422">
            <v>0.1</v>
          </cell>
          <cell r="BL422">
            <v>0.1</v>
          </cell>
          <cell r="BM422">
            <v>0</v>
          </cell>
          <cell r="BN422">
            <v>0.8</v>
          </cell>
          <cell r="BO422">
            <v>0.1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0.1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2.3000000000000003</v>
          </cell>
          <cell r="EQ422">
            <v>0</v>
          </cell>
          <cell r="ER422">
            <v>0</v>
          </cell>
          <cell r="ES422">
            <v>0.1</v>
          </cell>
        </row>
        <row r="423">
          <cell r="A423" t="str">
            <v>O&amp;M (Net of pass-throughs)</v>
          </cell>
          <cell r="B423" t="str">
            <v>Operations &amp; Maintenance Expense (incl clause)</v>
          </cell>
          <cell r="E423" t="str">
            <v>Operations &amp; Maintenance Expense</v>
          </cell>
          <cell r="F423" t="str">
            <v>6730030</v>
          </cell>
          <cell r="G423" t="str">
            <v>A_6730030</v>
          </cell>
          <cell r="H423" t="str">
            <v>Utilities - Telecom</v>
          </cell>
          <cell r="J423">
            <v>176.8</v>
          </cell>
          <cell r="K423">
            <v>145.6</v>
          </cell>
          <cell r="L423">
            <v>161.19999999999999</v>
          </cell>
          <cell r="M423">
            <v>126.2</v>
          </cell>
          <cell r="N423">
            <v>147.69999999999999</v>
          </cell>
          <cell r="O423">
            <v>149.80000000000001</v>
          </cell>
          <cell r="P423">
            <v>155.69999999999999</v>
          </cell>
          <cell r="Q423">
            <v>137.5</v>
          </cell>
          <cell r="R423">
            <v>167.2</v>
          </cell>
          <cell r="S423">
            <v>151</v>
          </cell>
          <cell r="T423">
            <v>147.19999999999999</v>
          </cell>
          <cell r="U423">
            <v>143.5</v>
          </cell>
          <cell r="V423">
            <v>146.6</v>
          </cell>
          <cell r="W423">
            <v>133</v>
          </cell>
          <cell r="X423">
            <v>149.4</v>
          </cell>
          <cell r="Y423">
            <v>123.1</v>
          </cell>
          <cell r="Z423">
            <v>181.4</v>
          </cell>
          <cell r="AA423">
            <v>153.5</v>
          </cell>
          <cell r="AB423">
            <v>125.9</v>
          </cell>
          <cell r="AC423">
            <v>139.69999999999999</v>
          </cell>
          <cell r="AD423">
            <v>139.19999999999999</v>
          </cell>
          <cell r="AE423">
            <v>130.5</v>
          </cell>
          <cell r="AF423">
            <v>138.69999999999999</v>
          </cell>
          <cell r="AG423">
            <v>142.1</v>
          </cell>
          <cell r="AH423">
            <v>138.4</v>
          </cell>
          <cell r="AI423">
            <v>133.5</v>
          </cell>
          <cell r="AJ423">
            <v>145.9</v>
          </cell>
          <cell r="AK423">
            <v>135.6</v>
          </cell>
          <cell r="AL423">
            <v>125.4</v>
          </cell>
          <cell r="AM423">
            <v>146.69999999999999</v>
          </cell>
          <cell r="AN423">
            <v>141.19999999999999</v>
          </cell>
          <cell r="AO423">
            <v>118.1</v>
          </cell>
          <cell r="AP423">
            <v>163.6</v>
          </cell>
          <cell r="AQ423">
            <v>136.19999999999999</v>
          </cell>
          <cell r="AR423">
            <v>140.30000000000001</v>
          </cell>
          <cell r="AS423">
            <v>136.9</v>
          </cell>
          <cell r="AT423">
            <v>123</v>
          </cell>
          <cell r="AU423">
            <v>145.6</v>
          </cell>
          <cell r="AV423">
            <v>138</v>
          </cell>
          <cell r="AW423">
            <v>139.19999999999999</v>
          </cell>
          <cell r="AX423">
            <v>141.4</v>
          </cell>
          <cell r="AY423">
            <v>168.6</v>
          </cell>
          <cell r="AZ423">
            <v>137.1</v>
          </cell>
          <cell r="BA423">
            <v>149.9</v>
          </cell>
          <cell r="BB423">
            <v>137.1</v>
          </cell>
          <cell r="BC423">
            <v>139.19999999999999</v>
          </cell>
          <cell r="BD423">
            <v>142.5</v>
          </cell>
          <cell r="BE423">
            <v>124.5</v>
          </cell>
          <cell r="BF423">
            <v>138.4</v>
          </cell>
          <cell r="BG423">
            <v>138.30000000000001</v>
          </cell>
          <cell r="BH423">
            <v>141.5</v>
          </cell>
          <cell r="BI423">
            <v>136.4</v>
          </cell>
          <cell r="BJ423">
            <v>137.9</v>
          </cell>
          <cell r="BK423">
            <v>130.80000000000001</v>
          </cell>
          <cell r="BL423">
            <v>138.30000000000001</v>
          </cell>
          <cell r="BM423">
            <v>144</v>
          </cell>
          <cell r="BN423">
            <v>201.4</v>
          </cell>
          <cell r="BO423">
            <v>175.9</v>
          </cell>
          <cell r="BP423">
            <v>160.19999999999999</v>
          </cell>
          <cell r="BQ423">
            <v>138</v>
          </cell>
          <cell r="BR423">
            <v>158.5</v>
          </cell>
          <cell r="BS423">
            <v>148.80000000000001</v>
          </cell>
          <cell r="BT423">
            <v>158.69999999999999</v>
          </cell>
          <cell r="BU423">
            <v>165.5</v>
          </cell>
          <cell r="BV423">
            <v>164.3</v>
          </cell>
          <cell r="BW423">
            <v>166.4</v>
          </cell>
          <cell r="BX423">
            <v>173.1</v>
          </cell>
          <cell r="BY423">
            <v>172.7</v>
          </cell>
          <cell r="BZ423">
            <v>169.4</v>
          </cell>
          <cell r="CA423">
            <v>175.4</v>
          </cell>
          <cell r="CB423">
            <v>160.1</v>
          </cell>
          <cell r="CC423">
            <v>194.1</v>
          </cell>
          <cell r="CD423">
            <v>175.5</v>
          </cell>
          <cell r="CE423">
            <v>178.6</v>
          </cell>
          <cell r="CF423">
            <v>170.6</v>
          </cell>
          <cell r="CG423">
            <v>172</v>
          </cell>
          <cell r="CH423">
            <v>153.30000000000001</v>
          </cell>
          <cell r="CI423">
            <v>216.3</v>
          </cell>
          <cell r="CJ423">
            <v>179.1</v>
          </cell>
          <cell r="CK423">
            <v>166.8</v>
          </cell>
          <cell r="CL423">
            <v>202.4</v>
          </cell>
          <cell r="CM423">
            <v>185.8</v>
          </cell>
          <cell r="CN423">
            <v>190.1</v>
          </cell>
          <cell r="CO423">
            <v>189</v>
          </cell>
          <cell r="CP423">
            <v>186.3</v>
          </cell>
          <cell r="CQ423">
            <v>197.6</v>
          </cell>
          <cell r="CR423">
            <v>195.3</v>
          </cell>
          <cell r="CS423">
            <v>196.8</v>
          </cell>
          <cell r="CT423">
            <v>193</v>
          </cell>
          <cell r="CU423">
            <v>194.6</v>
          </cell>
          <cell r="CV423">
            <v>208.5</v>
          </cell>
          <cell r="CW423">
            <v>206.7</v>
          </cell>
          <cell r="CX423">
            <v>198</v>
          </cell>
          <cell r="CY423">
            <v>201.8</v>
          </cell>
          <cell r="CZ423">
            <v>234.1</v>
          </cell>
          <cell r="DA423">
            <v>203.1</v>
          </cell>
          <cell r="DB423">
            <v>192.1</v>
          </cell>
          <cell r="DC423">
            <v>198</v>
          </cell>
          <cell r="DD423">
            <v>195.1</v>
          </cell>
          <cell r="DE423">
            <v>201</v>
          </cell>
          <cell r="DF423">
            <v>192</v>
          </cell>
          <cell r="DG423">
            <v>217.5</v>
          </cell>
          <cell r="DH423">
            <v>196.9</v>
          </cell>
          <cell r="DI423">
            <v>172.6</v>
          </cell>
          <cell r="DJ423">
            <v>157.80000000000001</v>
          </cell>
          <cell r="DK423">
            <v>566.6</v>
          </cell>
          <cell r="DL423">
            <v>194.4</v>
          </cell>
          <cell r="DM423">
            <v>199.2</v>
          </cell>
          <cell r="DN423">
            <v>10.6</v>
          </cell>
          <cell r="DO423">
            <v>10.6</v>
          </cell>
          <cell r="DP423">
            <v>10.6</v>
          </cell>
          <cell r="DQ423">
            <v>10.9</v>
          </cell>
          <cell r="DR423">
            <v>10.9</v>
          </cell>
          <cell r="DS423">
            <v>10.9</v>
          </cell>
          <cell r="DT423">
            <v>11.1</v>
          </cell>
          <cell r="DU423">
            <v>11.1</v>
          </cell>
          <cell r="DV423">
            <v>11.1</v>
          </cell>
          <cell r="DW423">
            <v>11.1</v>
          </cell>
          <cell r="DX423">
            <v>11.1</v>
          </cell>
          <cell r="DY423">
            <v>11.3</v>
          </cell>
          <cell r="EM423">
            <v>1703.1</v>
          </cell>
          <cell r="EN423">
            <v>1661.8</v>
          </cell>
          <cell r="EO423">
            <v>1686.1</v>
          </cell>
          <cell r="EP423">
            <v>1781.1000000000001</v>
          </cell>
          <cell r="EQ423">
            <v>2007</v>
          </cell>
          <cell r="ER423">
            <v>2179.5</v>
          </cell>
          <cell r="ES423">
            <v>2415.7999999999997</v>
          </cell>
        </row>
        <row r="424">
          <cell r="A424" t="str">
            <v>O&amp;M (Net of pass-throughs)</v>
          </cell>
          <cell r="B424" t="str">
            <v>Operations &amp; Maintenance Expense (incl clause)</v>
          </cell>
          <cell r="E424" t="str">
            <v>Operations &amp; Maintenance Expense</v>
          </cell>
          <cell r="F424" t="str">
            <v>6730050</v>
          </cell>
          <cell r="G424" t="str">
            <v>A_6730050</v>
          </cell>
          <cell r="H424" t="str">
            <v>Utilities - Waste &amp; Trash Management</v>
          </cell>
          <cell r="J424">
            <v>8.5</v>
          </cell>
          <cell r="K424">
            <v>5.6</v>
          </cell>
          <cell r="L424">
            <v>6.2</v>
          </cell>
          <cell r="M424">
            <v>7</v>
          </cell>
          <cell r="N424">
            <v>8.1</v>
          </cell>
          <cell r="O424">
            <v>7.2</v>
          </cell>
          <cell r="P424">
            <v>7.7</v>
          </cell>
          <cell r="Q424">
            <v>6.4</v>
          </cell>
          <cell r="R424">
            <v>5.6</v>
          </cell>
          <cell r="S424">
            <v>10.4</v>
          </cell>
          <cell r="T424">
            <v>6.2</v>
          </cell>
          <cell r="U424">
            <v>7.1</v>
          </cell>
          <cell r="V424">
            <v>6.3</v>
          </cell>
          <cell r="W424">
            <v>5.4</v>
          </cell>
          <cell r="X424">
            <v>5.4</v>
          </cell>
          <cell r="Y424">
            <v>9</v>
          </cell>
          <cell r="Z424">
            <v>5.3</v>
          </cell>
          <cell r="AA424">
            <v>4.9000000000000004</v>
          </cell>
          <cell r="AB424">
            <v>10.7</v>
          </cell>
          <cell r="AC424">
            <v>4.4000000000000004</v>
          </cell>
          <cell r="AD424">
            <v>4.5</v>
          </cell>
          <cell r="AE424">
            <v>7.8</v>
          </cell>
          <cell r="AF424">
            <v>5.2</v>
          </cell>
          <cell r="AG424">
            <v>5.0999999999999996</v>
          </cell>
          <cell r="AH424">
            <v>6.9</v>
          </cell>
          <cell r="AI424">
            <v>5.0999999999999996</v>
          </cell>
          <cell r="AJ424">
            <v>5.6</v>
          </cell>
          <cell r="AK424">
            <v>7.3</v>
          </cell>
          <cell r="AL424">
            <v>6.8</v>
          </cell>
          <cell r="AM424">
            <v>7.1</v>
          </cell>
          <cell r="AN424">
            <v>6.9</v>
          </cell>
          <cell r="AO424">
            <v>5.0999999999999996</v>
          </cell>
          <cell r="AP424">
            <v>10.5</v>
          </cell>
          <cell r="AQ424">
            <v>3.6</v>
          </cell>
          <cell r="AR424">
            <v>8.1</v>
          </cell>
          <cell r="AS424">
            <v>6.7</v>
          </cell>
          <cell r="AT424">
            <v>11.9</v>
          </cell>
          <cell r="AU424">
            <v>4.0999999999999996</v>
          </cell>
          <cell r="AV424">
            <v>3.1</v>
          </cell>
          <cell r="AW424">
            <v>4.4000000000000004</v>
          </cell>
          <cell r="AX424">
            <v>4.3</v>
          </cell>
          <cell r="AY424">
            <v>2.2999999999999998</v>
          </cell>
          <cell r="AZ424">
            <v>4.5999999999999996</v>
          </cell>
          <cell r="BA424">
            <v>3.5</v>
          </cell>
          <cell r="BB424">
            <v>3.4</v>
          </cell>
          <cell r="BC424">
            <v>7.4</v>
          </cell>
          <cell r="BD424">
            <v>3.6</v>
          </cell>
          <cell r="BE424">
            <v>3.4</v>
          </cell>
          <cell r="BF424">
            <v>4.4000000000000004</v>
          </cell>
          <cell r="BG424">
            <v>3.2</v>
          </cell>
          <cell r="BH424">
            <v>2</v>
          </cell>
          <cell r="BI424">
            <v>7.1</v>
          </cell>
          <cell r="BJ424">
            <v>3.8</v>
          </cell>
          <cell r="BK424">
            <v>2.9</v>
          </cell>
          <cell r="BL424">
            <v>7.3</v>
          </cell>
          <cell r="BM424">
            <v>6.2</v>
          </cell>
          <cell r="BN424">
            <v>1</v>
          </cell>
          <cell r="BO424">
            <v>3.4</v>
          </cell>
          <cell r="BP424">
            <v>7</v>
          </cell>
          <cell r="BQ424">
            <v>2</v>
          </cell>
          <cell r="BR424">
            <v>6.3</v>
          </cell>
          <cell r="BS424">
            <v>3.9</v>
          </cell>
          <cell r="BT424">
            <v>4.4000000000000004</v>
          </cell>
          <cell r="BU424">
            <v>4.5999999999999996</v>
          </cell>
          <cell r="BV424">
            <v>6.7</v>
          </cell>
          <cell r="BW424">
            <v>3</v>
          </cell>
          <cell r="BX424">
            <v>6.8</v>
          </cell>
          <cell r="BY424">
            <v>5.3</v>
          </cell>
          <cell r="BZ424">
            <v>6</v>
          </cell>
          <cell r="CA424">
            <v>7.4</v>
          </cell>
          <cell r="CB424">
            <v>6.5</v>
          </cell>
          <cell r="CC424">
            <v>5.0999999999999996</v>
          </cell>
          <cell r="CD424">
            <v>8.9</v>
          </cell>
          <cell r="CE424">
            <v>7</v>
          </cell>
          <cell r="CF424">
            <v>6.6</v>
          </cell>
          <cell r="CG424">
            <v>7.8</v>
          </cell>
          <cell r="CH424">
            <v>12.9</v>
          </cell>
          <cell r="CI424">
            <v>12.3</v>
          </cell>
          <cell r="CJ424">
            <v>1.5</v>
          </cell>
          <cell r="CK424">
            <v>5.0999999999999996</v>
          </cell>
          <cell r="CL424">
            <v>5.5</v>
          </cell>
          <cell r="CM424">
            <v>6.2</v>
          </cell>
          <cell r="CN424">
            <v>6.5</v>
          </cell>
          <cell r="CO424">
            <v>5.8</v>
          </cell>
          <cell r="CP424">
            <v>16.100000000000001</v>
          </cell>
          <cell r="CQ424">
            <v>3.1</v>
          </cell>
          <cell r="CR424">
            <v>10.3</v>
          </cell>
          <cell r="CS424">
            <v>7.4</v>
          </cell>
          <cell r="CT424">
            <v>6.3</v>
          </cell>
          <cell r="CU424">
            <v>9.1999999999999993</v>
          </cell>
          <cell r="CV424">
            <v>9.6999999999999993</v>
          </cell>
          <cell r="CW424">
            <v>6.7</v>
          </cell>
          <cell r="CX424">
            <v>15.6</v>
          </cell>
          <cell r="CY424">
            <v>6.6</v>
          </cell>
          <cell r="CZ424">
            <v>10.6</v>
          </cell>
          <cell r="DA424">
            <v>9.1999999999999993</v>
          </cell>
          <cell r="DB424">
            <v>14</v>
          </cell>
          <cell r="DC424">
            <v>3.6</v>
          </cell>
          <cell r="DD424">
            <v>8.3000000000000007</v>
          </cell>
          <cell r="DE424">
            <v>9.4</v>
          </cell>
          <cell r="DF424">
            <v>11.6</v>
          </cell>
          <cell r="DG424">
            <v>12.9</v>
          </cell>
          <cell r="DH424">
            <v>5.9</v>
          </cell>
          <cell r="DI424">
            <v>4.4000000000000004</v>
          </cell>
          <cell r="DJ424">
            <v>4.5</v>
          </cell>
          <cell r="DK424">
            <v>12.3</v>
          </cell>
          <cell r="DL424">
            <v>5.6</v>
          </cell>
          <cell r="DM424">
            <v>4.5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EM424">
            <v>73.999999999999986</v>
          </cell>
          <cell r="EN424">
            <v>79.7</v>
          </cell>
          <cell r="EO424">
            <v>56</v>
          </cell>
          <cell r="EP424">
            <v>50.300000000000004</v>
          </cell>
          <cell r="EQ424">
            <v>65.999999999999986</v>
          </cell>
          <cell r="ER424">
            <v>86.1</v>
          </cell>
          <cell r="ES424">
            <v>110.8</v>
          </cell>
        </row>
        <row r="425">
          <cell r="A425" t="str">
            <v>O&amp;M (Net of pass-throughs)</v>
          </cell>
          <cell r="B425" t="str">
            <v>Operations &amp; Maintenance Expense (incl clause)</v>
          </cell>
          <cell r="E425" t="str">
            <v>Operations &amp; Maintenance Expense</v>
          </cell>
          <cell r="F425" t="str">
            <v>6730060</v>
          </cell>
          <cell r="G425" t="str">
            <v>A_6730060</v>
          </cell>
          <cell r="H425" t="str">
            <v>Utilities - Water</v>
          </cell>
          <cell r="J425">
            <v>1.6</v>
          </cell>
          <cell r="K425">
            <v>2.1</v>
          </cell>
          <cell r="L425">
            <v>2.6</v>
          </cell>
          <cell r="M425">
            <v>0.5</v>
          </cell>
          <cell r="N425">
            <v>3.1</v>
          </cell>
          <cell r="O425">
            <v>1.7</v>
          </cell>
          <cell r="P425">
            <v>2.1</v>
          </cell>
          <cell r="Q425">
            <v>0.7</v>
          </cell>
          <cell r="R425">
            <v>1.2</v>
          </cell>
          <cell r="S425">
            <v>2.5</v>
          </cell>
          <cell r="T425">
            <v>1.1000000000000001</v>
          </cell>
          <cell r="U425">
            <v>1.3</v>
          </cell>
          <cell r="V425">
            <v>1.7</v>
          </cell>
          <cell r="W425">
            <v>0.3</v>
          </cell>
          <cell r="X425">
            <v>2.4</v>
          </cell>
          <cell r="Y425">
            <v>1.8</v>
          </cell>
          <cell r="Z425">
            <v>0.9</v>
          </cell>
          <cell r="AA425">
            <v>1.8</v>
          </cell>
          <cell r="AB425">
            <v>1.5</v>
          </cell>
          <cell r="AC425">
            <v>0.5</v>
          </cell>
          <cell r="AD425">
            <v>2.5</v>
          </cell>
          <cell r="AE425">
            <v>1.5</v>
          </cell>
          <cell r="AF425">
            <v>1.4</v>
          </cell>
          <cell r="AG425">
            <v>1.2</v>
          </cell>
          <cell r="AH425">
            <v>0.7</v>
          </cell>
          <cell r="AI425">
            <v>1.4</v>
          </cell>
          <cell r="AJ425">
            <v>1.2</v>
          </cell>
          <cell r="AK425">
            <v>1.3</v>
          </cell>
          <cell r="AL425">
            <v>1.3</v>
          </cell>
          <cell r="AM425">
            <v>1.7</v>
          </cell>
          <cell r="AN425">
            <v>1.4</v>
          </cell>
          <cell r="AO425">
            <v>1.8</v>
          </cell>
          <cell r="AP425">
            <v>0.7</v>
          </cell>
          <cell r="AQ425">
            <v>2.1</v>
          </cell>
          <cell r="AR425">
            <v>1.5</v>
          </cell>
          <cell r="AS425">
            <v>4.3</v>
          </cell>
          <cell r="AT425">
            <v>1.9</v>
          </cell>
          <cell r="AU425">
            <v>1.5</v>
          </cell>
          <cell r="AV425">
            <v>2.1</v>
          </cell>
          <cell r="AW425">
            <v>1.4</v>
          </cell>
          <cell r="AX425">
            <v>1.2</v>
          </cell>
          <cell r="AY425">
            <v>2.8</v>
          </cell>
          <cell r="AZ425">
            <v>5.6</v>
          </cell>
          <cell r="BA425">
            <v>3.4</v>
          </cell>
          <cell r="BB425">
            <v>3.6</v>
          </cell>
          <cell r="BC425">
            <v>9.5</v>
          </cell>
          <cell r="BD425">
            <v>2.1</v>
          </cell>
          <cell r="BE425">
            <v>8.3000000000000007</v>
          </cell>
          <cell r="BF425">
            <v>12.6</v>
          </cell>
          <cell r="BG425">
            <v>3.5</v>
          </cell>
          <cell r="BH425">
            <v>3.2</v>
          </cell>
          <cell r="BI425">
            <v>3.8</v>
          </cell>
          <cell r="BJ425">
            <v>2.9</v>
          </cell>
          <cell r="BK425">
            <v>5</v>
          </cell>
          <cell r="BL425">
            <v>9.1</v>
          </cell>
          <cell r="BM425">
            <v>1.7</v>
          </cell>
          <cell r="BN425">
            <v>0.7</v>
          </cell>
          <cell r="BO425">
            <v>11</v>
          </cell>
          <cell r="BP425">
            <v>2.9</v>
          </cell>
          <cell r="BQ425">
            <v>2.9</v>
          </cell>
          <cell r="BR425">
            <v>9.6999999999999993</v>
          </cell>
          <cell r="BS425">
            <v>2.2999999999999998</v>
          </cell>
          <cell r="BT425">
            <v>5.0999999999999996</v>
          </cell>
          <cell r="BU425">
            <v>4.8</v>
          </cell>
          <cell r="BV425">
            <v>7</v>
          </cell>
          <cell r="BW425">
            <v>3.8</v>
          </cell>
          <cell r="BX425">
            <v>3.1</v>
          </cell>
          <cell r="BY425">
            <v>1.5</v>
          </cell>
          <cell r="BZ425">
            <v>3.6</v>
          </cell>
          <cell r="CA425">
            <v>6.9</v>
          </cell>
          <cell r="CB425">
            <v>2.9</v>
          </cell>
          <cell r="CC425">
            <v>3.6</v>
          </cell>
          <cell r="CD425">
            <v>3.1</v>
          </cell>
          <cell r="CE425">
            <v>3.3</v>
          </cell>
          <cell r="CF425">
            <v>3.3</v>
          </cell>
          <cell r="CG425">
            <v>4.9000000000000004</v>
          </cell>
          <cell r="CH425">
            <v>1.2</v>
          </cell>
          <cell r="CI425">
            <v>0.3</v>
          </cell>
          <cell r="CJ425">
            <v>17.399999999999999</v>
          </cell>
          <cell r="CK425">
            <v>3.8</v>
          </cell>
          <cell r="CL425">
            <v>0.7</v>
          </cell>
          <cell r="CM425">
            <v>2.5</v>
          </cell>
          <cell r="CN425">
            <v>6</v>
          </cell>
          <cell r="CO425">
            <v>6.7</v>
          </cell>
          <cell r="CP425">
            <v>4.5</v>
          </cell>
          <cell r="CQ425">
            <v>1.4</v>
          </cell>
          <cell r="CR425">
            <v>6.1</v>
          </cell>
          <cell r="CS425">
            <v>4.4000000000000004</v>
          </cell>
          <cell r="CT425">
            <v>4</v>
          </cell>
          <cell r="CU425">
            <v>4.3</v>
          </cell>
          <cell r="CV425">
            <v>3.9</v>
          </cell>
          <cell r="CW425">
            <v>3.1</v>
          </cell>
          <cell r="CX425">
            <v>3.9</v>
          </cell>
          <cell r="CY425">
            <v>1.1000000000000001</v>
          </cell>
          <cell r="CZ425">
            <v>6.5</v>
          </cell>
          <cell r="DA425">
            <v>0.5</v>
          </cell>
          <cell r="DB425">
            <v>0.7</v>
          </cell>
          <cell r="DC425">
            <v>15</v>
          </cell>
          <cell r="DD425">
            <v>2</v>
          </cell>
          <cell r="DE425">
            <v>1.2</v>
          </cell>
          <cell r="DF425">
            <v>1</v>
          </cell>
          <cell r="DG425">
            <v>1.7</v>
          </cell>
          <cell r="DH425">
            <v>5.6</v>
          </cell>
          <cell r="DI425">
            <v>10.7</v>
          </cell>
          <cell r="DJ425">
            <v>7.8</v>
          </cell>
          <cell r="DK425">
            <v>23.5</v>
          </cell>
          <cell r="DL425">
            <v>7.4</v>
          </cell>
          <cell r="DM425">
            <v>1.6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EM425">
            <v>17.5</v>
          </cell>
          <cell r="EN425">
            <v>19.399999999999999</v>
          </cell>
          <cell r="EO425">
            <v>43.400000000000006</v>
          </cell>
          <cell r="EP425">
            <v>59.300000000000004</v>
          </cell>
          <cell r="EQ425">
            <v>54.300000000000004</v>
          </cell>
          <cell r="ER425">
            <v>53.2</v>
          </cell>
          <cell r="ES425">
            <v>43.7</v>
          </cell>
        </row>
        <row r="426">
          <cell r="A426" t="str">
            <v>O&amp;M (Net of pass-throughs)</v>
          </cell>
          <cell r="B426" t="str">
            <v>Operations &amp; Maintenance Expense (incl clause)</v>
          </cell>
          <cell r="E426" t="str">
            <v>Operations &amp; Maintenance Expense</v>
          </cell>
          <cell r="F426" t="str">
            <v>6730800</v>
          </cell>
          <cell r="G426" t="str">
            <v>A_6730800</v>
          </cell>
          <cell r="H426" t="str">
            <v>Utilities - Other</v>
          </cell>
          <cell r="J426">
            <v>2</v>
          </cell>
          <cell r="K426">
            <v>0.7</v>
          </cell>
          <cell r="L426">
            <v>0.8</v>
          </cell>
          <cell r="M426">
            <v>1</v>
          </cell>
          <cell r="N426">
            <v>0.6</v>
          </cell>
          <cell r="O426">
            <v>1.2</v>
          </cell>
          <cell r="P426">
            <v>1.3</v>
          </cell>
          <cell r="Q426">
            <v>0.2</v>
          </cell>
          <cell r="R426">
            <v>1.5</v>
          </cell>
          <cell r="S426">
            <v>1.9</v>
          </cell>
          <cell r="T426">
            <v>0.3</v>
          </cell>
          <cell r="U426">
            <v>0.8</v>
          </cell>
          <cell r="V426">
            <v>0.5</v>
          </cell>
          <cell r="W426">
            <v>0</v>
          </cell>
          <cell r="X426">
            <v>1</v>
          </cell>
          <cell r="Y426">
            <v>0.5</v>
          </cell>
          <cell r="Z426">
            <v>1.3</v>
          </cell>
          <cell r="AA426">
            <v>1</v>
          </cell>
          <cell r="AB426">
            <v>0.5</v>
          </cell>
          <cell r="AC426">
            <v>0.5</v>
          </cell>
          <cell r="AD426">
            <v>0.8</v>
          </cell>
          <cell r="AE426">
            <v>0.3</v>
          </cell>
          <cell r="AF426">
            <v>0.6</v>
          </cell>
          <cell r="AG426">
            <v>0.9</v>
          </cell>
          <cell r="AH426">
            <v>0.3</v>
          </cell>
          <cell r="AI426">
            <v>0.8</v>
          </cell>
          <cell r="AJ426">
            <v>0.7</v>
          </cell>
          <cell r="AK426">
            <v>0.7</v>
          </cell>
          <cell r="AL426">
            <v>10</v>
          </cell>
          <cell r="AM426">
            <v>0.7</v>
          </cell>
          <cell r="AN426">
            <v>0.7</v>
          </cell>
          <cell r="AO426">
            <v>1.3</v>
          </cell>
          <cell r="AP426">
            <v>0.1</v>
          </cell>
          <cell r="AQ426">
            <v>0.8</v>
          </cell>
          <cell r="AR426">
            <v>2.9</v>
          </cell>
          <cell r="AS426">
            <v>0.7</v>
          </cell>
          <cell r="AT426">
            <v>0.8</v>
          </cell>
          <cell r="AU426">
            <v>0.5</v>
          </cell>
          <cell r="AV426">
            <v>0.8</v>
          </cell>
          <cell r="AW426">
            <v>0.8</v>
          </cell>
          <cell r="AX426">
            <v>0.4</v>
          </cell>
          <cell r="AY426">
            <v>0.6</v>
          </cell>
          <cell r="AZ426">
            <v>0.8</v>
          </cell>
          <cell r="BA426">
            <v>1.9</v>
          </cell>
          <cell r="BB426">
            <v>0.7</v>
          </cell>
          <cell r="BC426">
            <v>1.1000000000000001</v>
          </cell>
          <cell r="BD426">
            <v>0.8</v>
          </cell>
          <cell r="BE426">
            <v>1</v>
          </cell>
          <cell r="BF426">
            <v>1.6</v>
          </cell>
          <cell r="BG426">
            <v>0.6</v>
          </cell>
          <cell r="BH426">
            <v>0.8</v>
          </cell>
          <cell r="BI426">
            <v>1</v>
          </cell>
          <cell r="BJ426">
            <v>0.7</v>
          </cell>
          <cell r="BK426">
            <v>1</v>
          </cell>
          <cell r="BL426">
            <v>0.3</v>
          </cell>
          <cell r="BM426">
            <v>0.8</v>
          </cell>
          <cell r="BN426">
            <v>0.6</v>
          </cell>
          <cell r="BO426">
            <v>1.1000000000000001</v>
          </cell>
          <cell r="BP426">
            <v>0.4</v>
          </cell>
          <cell r="BQ426">
            <v>0.7</v>
          </cell>
          <cell r="BR426">
            <v>0.5</v>
          </cell>
          <cell r="BS426">
            <v>2.5</v>
          </cell>
          <cell r="BT426">
            <v>0.5</v>
          </cell>
          <cell r="BU426">
            <v>0.4</v>
          </cell>
          <cell r="BV426">
            <v>0.8</v>
          </cell>
          <cell r="BW426">
            <v>0.9</v>
          </cell>
          <cell r="BX426">
            <v>0.9</v>
          </cell>
          <cell r="BY426">
            <v>2.2999999999999998</v>
          </cell>
          <cell r="BZ426">
            <v>0.8</v>
          </cell>
          <cell r="CA426">
            <v>1.4</v>
          </cell>
          <cell r="CB426">
            <v>0.4</v>
          </cell>
          <cell r="CC426">
            <v>0.9</v>
          </cell>
          <cell r="CD426">
            <v>1.6</v>
          </cell>
          <cell r="CE426">
            <v>1.1000000000000001</v>
          </cell>
          <cell r="CF426">
            <v>1.2</v>
          </cell>
          <cell r="CG426">
            <v>0.5</v>
          </cell>
          <cell r="CH426">
            <v>0.9</v>
          </cell>
          <cell r="CI426">
            <v>1.4</v>
          </cell>
          <cell r="CJ426">
            <v>1.7</v>
          </cell>
          <cell r="CK426">
            <v>2.1</v>
          </cell>
          <cell r="CL426">
            <v>1.9</v>
          </cell>
          <cell r="CM426">
            <v>1.7</v>
          </cell>
          <cell r="CN426">
            <v>4.2</v>
          </cell>
          <cell r="CO426">
            <v>1.5</v>
          </cell>
          <cell r="CP426">
            <v>2.2999999999999998</v>
          </cell>
          <cell r="CQ426">
            <v>3</v>
          </cell>
          <cell r="CR426">
            <v>2.2000000000000002</v>
          </cell>
          <cell r="CS426">
            <v>0.9</v>
          </cell>
          <cell r="CT426">
            <v>0.8</v>
          </cell>
          <cell r="CU426">
            <v>1.5</v>
          </cell>
          <cell r="CV426">
            <v>1.8</v>
          </cell>
          <cell r="CW426">
            <v>2.2999999999999998</v>
          </cell>
          <cell r="CX426">
            <v>1.6</v>
          </cell>
          <cell r="CY426">
            <v>8.1</v>
          </cell>
          <cell r="CZ426">
            <v>1.1000000000000001</v>
          </cell>
          <cell r="DA426">
            <v>13.3</v>
          </cell>
          <cell r="DB426">
            <v>3.9</v>
          </cell>
          <cell r="DC426">
            <v>6.4</v>
          </cell>
          <cell r="DD426">
            <v>-4.3</v>
          </cell>
          <cell r="DE426">
            <v>4</v>
          </cell>
          <cell r="DF426">
            <v>2.4</v>
          </cell>
          <cell r="DG426">
            <v>1.6</v>
          </cell>
          <cell r="DH426">
            <v>2.4</v>
          </cell>
          <cell r="DI426">
            <v>3.5</v>
          </cell>
          <cell r="DJ426">
            <v>5</v>
          </cell>
          <cell r="DK426">
            <v>-1.3</v>
          </cell>
          <cell r="DL426">
            <v>3.3</v>
          </cell>
          <cell r="DM426">
            <v>5.9</v>
          </cell>
          <cell r="DN426">
            <v>1.2</v>
          </cell>
          <cell r="DO426">
            <v>0.6</v>
          </cell>
          <cell r="DP426">
            <v>0.3</v>
          </cell>
          <cell r="DQ426">
            <v>0.3</v>
          </cell>
          <cell r="DR426">
            <v>0.4</v>
          </cell>
          <cell r="DS426">
            <v>0.9</v>
          </cell>
          <cell r="DT426">
            <v>0.9</v>
          </cell>
          <cell r="DU426">
            <v>1</v>
          </cell>
          <cell r="DV426">
            <v>0.7</v>
          </cell>
          <cell r="DW426">
            <v>0.3</v>
          </cell>
          <cell r="DX426">
            <v>0.5</v>
          </cell>
          <cell r="DY426">
            <v>0.8</v>
          </cell>
          <cell r="EM426">
            <v>7.8999999999999995</v>
          </cell>
          <cell r="EN426">
            <v>19.699999999999996</v>
          </cell>
          <cell r="EO426">
            <v>10.200000000000001</v>
          </cell>
          <cell r="EP426">
            <v>9.6</v>
          </cell>
          <cell r="EQ426">
            <v>12.300000000000002</v>
          </cell>
          <cell r="ER426">
            <v>19.8</v>
          </cell>
          <cell r="ES426">
            <v>38.900000000000006</v>
          </cell>
        </row>
        <row r="427">
          <cell r="A427" t="str">
            <v>O&amp;M (Net of pass-throughs)</v>
          </cell>
          <cell r="B427" t="str">
            <v>Operations &amp; Maintenance Expense (incl clause)</v>
          </cell>
          <cell r="E427" t="str">
            <v>Operations &amp; Maintenance Expense</v>
          </cell>
          <cell r="F427" t="str">
            <v>6730000</v>
          </cell>
          <cell r="G427" t="str">
            <v>A_S6730000</v>
          </cell>
          <cell r="H427" t="str">
            <v>Settled Utilities Expense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1.4</v>
          </cell>
          <cell r="DO427">
            <v>1.4</v>
          </cell>
          <cell r="DP427">
            <v>1.4</v>
          </cell>
          <cell r="DQ427">
            <v>1.4</v>
          </cell>
          <cell r="DR427">
            <v>1.4</v>
          </cell>
          <cell r="DS427">
            <v>1.4</v>
          </cell>
          <cell r="DT427">
            <v>1.4</v>
          </cell>
          <cell r="DU427">
            <v>1.4</v>
          </cell>
          <cell r="DV427">
            <v>1.4</v>
          </cell>
          <cell r="DW427">
            <v>1.4</v>
          </cell>
          <cell r="DX427">
            <v>1.4</v>
          </cell>
          <cell r="DY427">
            <v>1.4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</row>
        <row r="428">
          <cell r="A428" t="str">
            <v>O&amp;M (Net of pass-throughs)</v>
          </cell>
          <cell r="B428" t="str">
            <v>Operations &amp; Maintenance Expense (incl clause)</v>
          </cell>
          <cell r="E428" t="str">
            <v>Operations &amp; Maintenance Expense</v>
          </cell>
          <cell r="F428" t="str">
            <v>6730010</v>
          </cell>
          <cell r="G428" t="str">
            <v>A_S6730010</v>
          </cell>
          <cell r="H428" t="str">
            <v>Settled Utilities - Electricity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-3.9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-0.2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0.2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0.1</v>
          </cell>
          <cell r="DO428">
            <v>0.1</v>
          </cell>
          <cell r="DP428">
            <v>0.1</v>
          </cell>
          <cell r="DQ428">
            <v>0.1</v>
          </cell>
          <cell r="DR428">
            <v>0.1</v>
          </cell>
          <cell r="DS428">
            <v>0.1</v>
          </cell>
          <cell r="DT428">
            <v>0.1</v>
          </cell>
          <cell r="DU428">
            <v>0.1</v>
          </cell>
          <cell r="DV428">
            <v>0.1</v>
          </cell>
          <cell r="DW428">
            <v>0.1</v>
          </cell>
          <cell r="DX428">
            <v>0.1</v>
          </cell>
          <cell r="DY428">
            <v>0.1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</row>
        <row r="429">
          <cell r="A429" t="str">
            <v>O&amp;M (Net of pass-throughs)</v>
          </cell>
          <cell r="B429" t="str">
            <v>Operations &amp; Maintenance Expense (incl clause)</v>
          </cell>
          <cell r="E429" t="str">
            <v>Operations &amp; Maintenance Expense</v>
          </cell>
          <cell r="F429" t="str">
            <v>6730030</v>
          </cell>
          <cell r="G429" t="str">
            <v>A_S6730030</v>
          </cell>
          <cell r="H429" t="str">
            <v>Settled Utilities - Telecom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217</v>
          </cell>
          <cell r="DO429">
            <v>217</v>
          </cell>
          <cell r="DP429">
            <v>217</v>
          </cell>
          <cell r="DQ429">
            <v>217</v>
          </cell>
          <cell r="DR429">
            <v>217</v>
          </cell>
          <cell r="DS429">
            <v>217.4</v>
          </cell>
          <cell r="DT429">
            <v>217.4</v>
          </cell>
          <cell r="DU429">
            <v>217.4</v>
          </cell>
          <cell r="DV429">
            <v>217.4</v>
          </cell>
          <cell r="DW429">
            <v>217.4</v>
          </cell>
          <cell r="DX429">
            <v>217.4</v>
          </cell>
          <cell r="DY429">
            <v>217.4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</row>
        <row r="430">
          <cell r="A430" t="str">
            <v>O&amp;M (Net of pass-throughs)</v>
          </cell>
          <cell r="B430" t="str">
            <v>Operations &amp; Maintenance Expense (incl clause)</v>
          </cell>
          <cell r="E430" t="str">
            <v>Operations &amp; Maintenance Expense</v>
          </cell>
          <cell r="F430" t="str">
            <v>6730800</v>
          </cell>
          <cell r="G430" t="str">
            <v>A_S6730800</v>
          </cell>
          <cell r="H430" t="str">
            <v>Settled Utilities - Other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-4.0999999999999996</v>
          </cell>
          <cell r="DO430">
            <v>-4.0999999999999996</v>
          </cell>
          <cell r="DP430">
            <v>-4.0999999999999996</v>
          </cell>
          <cell r="DQ430">
            <v>-4.0999999999999996</v>
          </cell>
          <cell r="DR430">
            <v>-4.0999999999999996</v>
          </cell>
          <cell r="DS430">
            <v>-4.0999999999999996</v>
          </cell>
          <cell r="DT430">
            <v>-4.0999999999999996</v>
          </cell>
          <cell r="DU430">
            <v>-4.0999999999999996</v>
          </cell>
          <cell r="DV430">
            <v>-4.0999999999999996</v>
          </cell>
          <cell r="DW430">
            <v>-4.0999999999999996</v>
          </cell>
          <cell r="DX430">
            <v>-4.0999999999999996</v>
          </cell>
          <cell r="DY430">
            <v>-4.0999999999999996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</row>
        <row r="431">
          <cell r="A431" t="str">
            <v>O&amp;M (Net of pass-throughs)</v>
          </cell>
          <cell r="B431" t="str">
            <v>Operations &amp; Maintenance Expense (incl clause)</v>
          </cell>
          <cell r="E431" t="str">
            <v>Operations &amp; Maintenance Expense</v>
          </cell>
          <cell r="F431" t="str">
            <v>6739000</v>
          </cell>
          <cell r="G431" t="str">
            <v>A_6739000</v>
          </cell>
          <cell r="H431" t="str">
            <v>Utilities - to balance sheet</v>
          </cell>
          <cell r="J431">
            <v>-4.5</v>
          </cell>
          <cell r="K431">
            <v>0</v>
          </cell>
          <cell r="L431">
            <v>-4.5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-0.3</v>
          </cell>
          <cell r="AA431">
            <v>-0.2</v>
          </cell>
          <cell r="AB431">
            <v>-0.1</v>
          </cell>
          <cell r="AC431">
            <v>-0.1</v>
          </cell>
          <cell r="AD431">
            <v>-0.1</v>
          </cell>
          <cell r="AE431">
            <v>-0.1</v>
          </cell>
          <cell r="AF431">
            <v>-0.1</v>
          </cell>
          <cell r="AG431">
            <v>-125.1</v>
          </cell>
          <cell r="AH431">
            <v>-0.1</v>
          </cell>
          <cell r="AI431">
            <v>-0.1</v>
          </cell>
          <cell r="AJ431">
            <v>-0.1</v>
          </cell>
          <cell r="AK431">
            <v>-0.1</v>
          </cell>
          <cell r="AL431">
            <v>-9.1999999999999993</v>
          </cell>
          <cell r="AM431">
            <v>-0.3</v>
          </cell>
          <cell r="AN431">
            <v>-0.1</v>
          </cell>
          <cell r="AO431">
            <v>-0.1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-0.5</v>
          </cell>
          <cell r="AZ431">
            <v>0</v>
          </cell>
          <cell r="BA431">
            <v>0</v>
          </cell>
          <cell r="BB431">
            <v>-0.2</v>
          </cell>
          <cell r="BC431">
            <v>-7.6</v>
          </cell>
          <cell r="BD431">
            <v>-0.5</v>
          </cell>
          <cell r="BE431">
            <v>-0.2</v>
          </cell>
          <cell r="BF431">
            <v>-11.1</v>
          </cell>
          <cell r="BG431">
            <v>-0.1</v>
          </cell>
          <cell r="BH431">
            <v>-1.9</v>
          </cell>
          <cell r="BI431">
            <v>0.6</v>
          </cell>
          <cell r="BJ431">
            <v>-0.2</v>
          </cell>
          <cell r="BK431">
            <v>-0.3</v>
          </cell>
          <cell r="BL431">
            <v>-7.3</v>
          </cell>
          <cell r="BM431">
            <v>-0.2</v>
          </cell>
          <cell r="BN431">
            <v>-52.1</v>
          </cell>
          <cell r="BO431">
            <v>-7.1</v>
          </cell>
          <cell r="BP431">
            <v>-0.8</v>
          </cell>
          <cell r="BQ431">
            <v>-0.1</v>
          </cell>
          <cell r="BR431">
            <v>-5.2</v>
          </cell>
          <cell r="BS431">
            <v>-0.1</v>
          </cell>
          <cell r="BT431">
            <v>-1.2</v>
          </cell>
          <cell r="BU431">
            <v>-0.1</v>
          </cell>
          <cell r="BV431">
            <v>-5</v>
          </cell>
          <cell r="BW431">
            <v>-2.4</v>
          </cell>
          <cell r="BX431">
            <v>-4</v>
          </cell>
          <cell r="BY431">
            <v>-5.9</v>
          </cell>
          <cell r="BZ431">
            <v>-3.7</v>
          </cell>
          <cell r="CA431">
            <v>-4.9000000000000004</v>
          </cell>
          <cell r="CB431">
            <v>-3.6</v>
          </cell>
          <cell r="CC431">
            <v>-4.4000000000000004</v>
          </cell>
          <cell r="CD431">
            <v>-4.8</v>
          </cell>
          <cell r="CE431">
            <v>-5.9</v>
          </cell>
          <cell r="CF431">
            <v>-4.5</v>
          </cell>
          <cell r="CG431">
            <v>-4.4000000000000004</v>
          </cell>
          <cell r="CH431">
            <v>-4</v>
          </cell>
          <cell r="CI431">
            <v>-4.2</v>
          </cell>
          <cell r="CJ431">
            <v>-5</v>
          </cell>
          <cell r="CK431">
            <v>-4.7</v>
          </cell>
          <cell r="CL431">
            <v>-5.7</v>
          </cell>
          <cell r="CM431">
            <v>-4.3</v>
          </cell>
          <cell r="CN431">
            <v>-11.2</v>
          </cell>
          <cell r="CO431">
            <v>-6.4</v>
          </cell>
          <cell r="CP431">
            <v>-6.5</v>
          </cell>
          <cell r="CQ431">
            <v>-8</v>
          </cell>
          <cell r="CR431">
            <v>-4.9000000000000004</v>
          </cell>
          <cell r="CS431">
            <v>-9</v>
          </cell>
          <cell r="CT431">
            <v>-9.5</v>
          </cell>
          <cell r="CU431">
            <v>-8.6</v>
          </cell>
          <cell r="CV431">
            <v>-20.8</v>
          </cell>
          <cell r="CW431">
            <v>-14.9</v>
          </cell>
          <cell r="CX431">
            <v>-12.6</v>
          </cell>
          <cell r="CY431">
            <v>-14.4</v>
          </cell>
          <cell r="CZ431">
            <v>-46.5</v>
          </cell>
          <cell r="DA431">
            <v>-20.9</v>
          </cell>
          <cell r="DB431">
            <v>-11.8</v>
          </cell>
          <cell r="DC431">
            <v>-11.6</v>
          </cell>
          <cell r="DD431">
            <v>-10.6</v>
          </cell>
          <cell r="DE431">
            <v>-22.8</v>
          </cell>
          <cell r="DF431">
            <v>-4.9000000000000004</v>
          </cell>
          <cell r="DG431">
            <v>-32.299999999999997</v>
          </cell>
          <cell r="DH431">
            <v>-4.5</v>
          </cell>
          <cell r="DI431">
            <v>-4.4000000000000004</v>
          </cell>
          <cell r="DJ431">
            <v>-4.7</v>
          </cell>
          <cell r="DK431">
            <v>-460.6</v>
          </cell>
          <cell r="DL431">
            <v>-11.6</v>
          </cell>
          <cell r="DM431">
            <v>-11.6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EM431">
            <v>-126.1</v>
          </cell>
          <cell r="EN431">
            <v>-10.1</v>
          </cell>
          <cell r="EO431">
            <v>-8.9999999999999982</v>
          </cell>
          <cell r="EP431">
            <v>-80.59999999999998</v>
          </cell>
          <cell r="EQ431">
            <v>-40.5</v>
          </cell>
          <cell r="ER431">
            <v>-65.100000000000009</v>
          </cell>
          <cell r="ES431">
            <v>-176.6</v>
          </cell>
        </row>
        <row r="432">
          <cell r="F432" t="str">
            <v>673</v>
          </cell>
          <cell r="G432">
            <v>673</v>
          </cell>
          <cell r="J432">
            <v>223</v>
          </cell>
          <cell r="K432">
            <v>186.49999999999997</v>
          </cell>
          <cell r="L432">
            <v>193.99999999999997</v>
          </cell>
          <cell r="M432">
            <v>136.80000000000001</v>
          </cell>
          <cell r="N432">
            <v>204.39999999999998</v>
          </cell>
          <cell r="O432">
            <v>188.79999999999998</v>
          </cell>
          <cell r="P432">
            <v>218.79999999999998</v>
          </cell>
          <cell r="Q432">
            <v>183.89999999999998</v>
          </cell>
          <cell r="R432">
            <v>203.09999999999997</v>
          </cell>
          <cell r="S432">
            <v>222.10000000000002</v>
          </cell>
          <cell r="T432">
            <v>174.6</v>
          </cell>
          <cell r="U432">
            <v>191.8</v>
          </cell>
          <cell r="V432">
            <v>193.8</v>
          </cell>
          <cell r="W432">
            <v>165.60000000000002</v>
          </cell>
          <cell r="X432">
            <v>197.60000000000002</v>
          </cell>
          <cell r="Y432">
            <v>164.6</v>
          </cell>
          <cell r="Z432">
            <v>211.60000000000002</v>
          </cell>
          <cell r="AA432">
            <v>207.30000000000004</v>
          </cell>
          <cell r="AB432">
            <v>176.4</v>
          </cell>
          <cell r="AC432">
            <v>172</v>
          </cell>
          <cell r="AD432">
            <v>193.9</v>
          </cell>
          <cell r="AE432">
            <v>167.90000000000003</v>
          </cell>
          <cell r="AF432">
            <v>177.2</v>
          </cell>
          <cell r="AG432">
            <v>190.1</v>
          </cell>
          <cell r="AH432">
            <v>176.60000000000002</v>
          </cell>
          <cell r="AI432">
            <v>172.70000000000002</v>
          </cell>
          <cell r="AJ432">
            <v>184.6</v>
          </cell>
          <cell r="AK432">
            <v>182.9</v>
          </cell>
          <cell r="AL432">
            <v>163.50000000000003</v>
          </cell>
          <cell r="AM432">
            <v>188.89999999999995</v>
          </cell>
          <cell r="AN432">
            <v>182.7</v>
          </cell>
          <cell r="AO432">
            <v>169.70000000000002</v>
          </cell>
          <cell r="AP432">
            <v>211.6</v>
          </cell>
          <cell r="AQ432">
            <v>177</v>
          </cell>
          <cell r="AR432">
            <v>189.4</v>
          </cell>
          <cell r="AS432">
            <v>188</v>
          </cell>
          <cell r="AT432">
            <v>167.40000000000003</v>
          </cell>
          <cell r="AU432">
            <v>185.2</v>
          </cell>
          <cell r="AV432">
            <v>173.2</v>
          </cell>
          <cell r="AW432">
            <v>178.70000000000002</v>
          </cell>
          <cell r="AX432">
            <v>179.50000000000003</v>
          </cell>
          <cell r="AY432">
            <v>212.00000000000003</v>
          </cell>
          <cell r="AZ432">
            <v>183</v>
          </cell>
          <cell r="BA432">
            <v>192.20000000000002</v>
          </cell>
          <cell r="BB432">
            <v>177.89999999999998</v>
          </cell>
          <cell r="BC432">
            <v>187.1</v>
          </cell>
          <cell r="BD432">
            <v>180.2</v>
          </cell>
          <cell r="BE432">
            <v>170.20000000000002</v>
          </cell>
          <cell r="BF432">
            <v>184</v>
          </cell>
          <cell r="BG432">
            <v>171.3</v>
          </cell>
          <cell r="BH432">
            <v>174.29999999999998</v>
          </cell>
          <cell r="BI432">
            <v>184.60000000000002</v>
          </cell>
          <cell r="BJ432">
            <v>170.3</v>
          </cell>
          <cell r="BK432">
            <v>180.6</v>
          </cell>
          <cell r="BL432">
            <v>175.3</v>
          </cell>
          <cell r="BM432">
            <v>185.3</v>
          </cell>
          <cell r="BN432">
            <v>190.79999999999998</v>
          </cell>
          <cell r="BO432">
            <v>215.60000000000002</v>
          </cell>
          <cell r="BP432">
            <v>195.6</v>
          </cell>
          <cell r="BQ432">
            <v>187.5</v>
          </cell>
          <cell r="BR432">
            <v>195</v>
          </cell>
          <cell r="BS432">
            <v>185.30000000000004</v>
          </cell>
          <cell r="BT432">
            <v>199.7</v>
          </cell>
          <cell r="BU432">
            <v>202.50000000000003</v>
          </cell>
          <cell r="BV432">
            <v>204.20000000000002</v>
          </cell>
          <cell r="BW432">
            <v>200.20000000000002</v>
          </cell>
          <cell r="BX432">
            <v>206.5</v>
          </cell>
          <cell r="BY432">
            <v>200</v>
          </cell>
          <cell r="BZ432">
            <v>227.30000000000004</v>
          </cell>
          <cell r="CA432">
            <v>230.70000000000002</v>
          </cell>
          <cell r="CB432">
            <v>189.3</v>
          </cell>
          <cell r="CC432">
            <v>230.1</v>
          </cell>
          <cell r="CD432">
            <v>212.49999999999997</v>
          </cell>
          <cell r="CE432">
            <v>210.9</v>
          </cell>
          <cell r="CF432">
            <v>201.89999999999998</v>
          </cell>
          <cell r="CG432">
            <v>206.60000000000002</v>
          </cell>
          <cell r="CH432">
            <v>189.20000000000002</v>
          </cell>
          <cell r="CI432">
            <v>253.60000000000002</v>
          </cell>
          <cell r="CJ432">
            <v>223.29999999999998</v>
          </cell>
          <cell r="CK432">
            <v>205.8</v>
          </cell>
          <cell r="CL432">
            <v>225.9</v>
          </cell>
          <cell r="CM432">
            <v>212.79999999999998</v>
          </cell>
          <cell r="CN432">
            <v>246.8</v>
          </cell>
          <cell r="CO432">
            <v>222.79999999999998</v>
          </cell>
          <cell r="CP432">
            <v>273.50000000000006</v>
          </cell>
          <cell r="CQ432">
            <v>231.3</v>
          </cell>
          <cell r="CR432">
            <v>235.5</v>
          </cell>
          <cell r="CS432">
            <v>240.60000000000002</v>
          </cell>
          <cell r="CT432">
            <v>216.60000000000002</v>
          </cell>
          <cell r="CU432">
            <v>247.50000000000003</v>
          </cell>
          <cell r="CV432">
            <v>245</v>
          </cell>
          <cell r="CW432">
            <v>221.89999999999998</v>
          </cell>
          <cell r="CX432">
            <v>278.60000000000002</v>
          </cell>
          <cell r="CY432">
            <v>250.00000000000003</v>
          </cell>
          <cell r="CZ432">
            <v>233.70000000000005</v>
          </cell>
          <cell r="DA432">
            <v>233.79999999999998</v>
          </cell>
          <cell r="DB432">
            <v>235.6</v>
          </cell>
          <cell r="DC432">
            <v>272.29999999999995</v>
          </cell>
          <cell r="DD432">
            <v>241.1</v>
          </cell>
          <cell r="DE432">
            <v>238.89999999999998</v>
          </cell>
          <cell r="DF432">
            <v>241.6</v>
          </cell>
          <cell r="DG432">
            <v>231.5</v>
          </cell>
          <cell r="DH432">
            <v>253.89999999999998</v>
          </cell>
          <cell r="DI432">
            <v>240.29999999999998</v>
          </cell>
          <cell r="DJ432">
            <v>218.80000000000004</v>
          </cell>
          <cell r="DK432">
            <v>190.10000000000002</v>
          </cell>
          <cell r="DL432">
            <v>236.50000000000003</v>
          </cell>
          <cell r="DM432">
            <v>251.49999999999997</v>
          </cell>
          <cell r="DN432">
            <v>226.20000000000002</v>
          </cell>
          <cell r="DO432">
            <v>225.6</v>
          </cell>
          <cell r="DP432">
            <v>225.3</v>
          </cell>
          <cell r="DQ432">
            <v>225.6</v>
          </cell>
          <cell r="DR432">
            <v>225.70000000000002</v>
          </cell>
          <cell r="DS432">
            <v>226.60000000000002</v>
          </cell>
          <cell r="DT432">
            <v>226.8</v>
          </cell>
          <cell r="DU432">
            <v>226.9</v>
          </cell>
          <cell r="DV432">
            <v>226.60000000000002</v>
          </cell>
          <cell r="DW432">
            <v>226.20000000000002</v>
          </cell>
          <cell r="DX432">
            <v>226.4</v>
          </cell>
          <cell r="DY432">
            <v>226.9</v>
          </cell>
          <cell r="EM432">
            <v>2218.0000000000005</v>
          </cell>
          <cell r="EN432">
            <v>2187.6000000000004</v>
          </cell>
          <cell r="EO432">
            <v>2186.6</v>
          </cell>
          <cell r="EP432">
            <v>2215.1999999999998</v>
          </cell>
          <cell r="EQ432">
            <v>2470.8000000000002</v>
          </cell>
          <cell r="ER432">
            <v>2612.1000000000004</v>
          </cell>
          <cell r="ES432">
            <v>2908</v>
          </cell>
        </row>
        <row r="433">
          <cell r="A433" t="str">
            <v>O&amp;M (Net of pass-throughs)</v>
          </cell>
          <cell r="B433" t="str">
            <v>Operations &amp; Maintenance Expense (incl clause)</v>
          </cell>
          <cell r="E433" t="str">
            <v>Operations &amp; Maintenance Expense</v>
          </cell>
          <cell r="F433" t="str">
            <v>6780020</v>
          </cell>
          <cell r="G433" t="str">
            <v>A_6780020</v>
          </cell>
          <cell r="H433" t="str">
            <v>Miscellaneous Billing Exp Material Sales</v>
          </cell>
          <cell r="J433">
            <v>-19.899999999999999</v>
          </cell>
          <cell r="K433">
            <v>-23.2</v>
          </cell>
          <cell r="L433">
            <v>-18</v>
          </cell>
          <cell r="M433">
            <v>-1.2</v>
          </cell>
          <cell r="N433">
            <v>-25.8</v>
          </cell>
          <cell r="O433">
            <v>-17.100000000000001</v>
          </cell>
          <cell r="P433">
            <v>-30.4</v>
          </cell>
          <cell r="Q433">
            <v>0</v>
          </cell>
          <cell r="R433">
            <v>-13.6</v>
          </cell>
          <cell r="S433">
            <v>-14</v>
          </cell>
          <cell r="T433">
            <v>-14.4</v>
          </cell>
          <cell r="U433">
            <v>-11.3</v>
          </cell>
          <cell r="V433">
            <v>-0.1</v>
          </cell>
          <cell r="W433">
            <v>0</v>
          </cell>
          <cell r="X433">
            <v>-62.2</v>
          </cell>
          <cell r="Y433">
            <v>-1.5</v>
          </cell>
          <cell r="Z433">
            <v>-31.4</v>
          </cell>
          <cell r="AA433">
            <v>-10.4</v>
          </cell>
          <cell r="AB433">
            <v>-4.3</v>
          </cell>
          <cell r="AC433">
            <v>-10.6</v>
          </cell>
          <cell r="AD433">
            <v>-3.3</v>
          </cell>
          <cell r="AE433">
            <v>-34.299999999999997</v>
          </cell>
          <cell r="AF433">
            <v>-29.1</v>
          </cell>
          <cell r="AG433">
            <v>-12.3</v>
          </cell>
          <cell r="AH433">
            <v>-8.4</v>
          </cell>
          <cell r="AI433">
            <v>-2.9</v>
          </cell>
          <cell r="AJ433">
            <v>-64.900000000000006</v>
          </cell>
          <cell r="AK433">
            <v>-4.2</v>
          </cell>
          <cell r="AL433">
            <v>-77.7</v>
          </cell>
          <cell r="AM433">
            <v>-10.5</v>
          </cell>
          <cell r="AN433">
            <v>-3</v>
          </cell>
          <cell r="AO433">
            <v>-13.7</v>
          </cell>
          <cell r="AP433">
            <v>-39.1</v>
          </cell>
          <cell r="AQ433">
            <v>-26.6</v>
          </cell>
          <cell r="AR433">
            <v>-8.1999999999999993</v>
          </cell>
          <cell r="AS433">
            <v>-12.2</v>
          </cell>
          <cell r="AT433">
            <v>-5.0999999999999996</v>
          </cell>
          <cell r="AU433">
            <v>-28.7</v>
          </cell>
          <cell r="AV433">
            <v>-6.1</v>
          </cell>
          <cell r="AW433">
            <v>-43.6</v>
          </cell>
          <cell r="AX433">
            <v>-29.8</v>
          </cell>
          <cell r="AY433">
            <v>-8.9</v>
          </cell>
          <cell r="AZ433">
            <v>-20.9</v>
          </cell>
          <cell r="BA433">
            <v>-15.8</v>
          </cell>
          <cell r="BB433">
            <v>0</v>
          </cell>
          <cell r="BC433">
            <v>-1.4</v>
          </cell>
          <cell r="BD433">
            <v>-34.5</v>
          </cell>
          <cell r="BE433">
            <v>-1.5</v>
          </cell>
          <cell r="BF433">
            <v>-0.3</v>
          </cell>
          <cell r="BG433">
            <v>0</v>
          </cell>
          <cell r="BH433">
            <v>-1.3</v>
          </cell>
          <cell r="BI433">
            <v>-33.200000000000003</v>
          </cell>
          <cell r="BJ433">
            <v>-46.6</v>
          </cell>
          <cell r="BK433">
            <v>0</v>
          </cell>
          <cell r="BL433">
            <v>-1.7</v>
          </cell>
          <cell r="BM433">
            <v>-45.8</v>
          </cell>
          <cell r="BN433">
            <v>-74.5</v>
          </cell>
          <cell r="BO433">
            <v>-0.3</v>
          </cell>
          <cell r="BP433">
            <v>0</v>
          </cell>
          <cell r="BQ433">
            <v>0.2</v>
          </cell>
          <cell r="BR433">
            <v>-1</v>
          </cell>
          <cell r="BS433">
            <v>-1.4</v>
          </cell>
          <cell r="BT433">
            <v>0</v>
          </cell>
          <cell r="BU433">
            <v>-53.6</v>
          </cell>
          <cell r="BV433">
            <v>0</v>
          </cell>
          <cell r="BW433">
            <v>-108.1</v>
          </cell>
          <cell r="BX433">
            <v>-39.9</v>
          </cell>
          <cell r="BY433">
            <v>-13</v>
          </cell>
          <cell r="BZ433">
            <v>-0.7</v>
          </cell>
          <cell r="CA433">
            <v>-17.600000000000001</v>
          </cell>
          <cell r="CB433">
            <v>-3.8</v>
          </cell>
          <cell r="CC433">
            <v>-47.9</v>
          </cell>
          <cell r="CD433">
            <v>-29.8</v>
          </cell>
          <cell r="CE433">
            <v>-5.9</v>
          </cell>
          <cell r="CF433">
            <v>-79</v>
          </cell>
          <cell r="CG433">
            <v>-1.3</v>
          </cell>
          <cell r="CH433">
            <v>0.7</v>
          </cell>
          <cell r="CI433">
            <v>-0.6</v>
          </cell>
          <cell r="CJ433">
            <v>-47</v>
          </cell>
          <cell r="CK433">
            <v>-0.2</v>
          </cell>
          <cell r="CL433">
            <v>-37.200000000000003</v>
          </cell>
          <cell r="CM433">
            <v>-10.5</v>
          </cell>
          <cell r="CN433">
            <v>-42.1</v>
          </cell>
          <cell r="CO433">
            <v>0</v>
          </cell>
          <cell r="CP433">
            <v>0</v>
          </cell>
          <cell r="CQ433">
            <v>0</v>
          </cell>
          <cell r="CR433">
            <v>-32.5</v>
          </cell>
          <cell r="CS433">
            <v>0</v>
          </cell>
          <cell r="CT433">
            <v>-67.900000000000006</v>
          </cell>
          <cell r="CU433">
            <v>-12.6</v>
          </cell>
          <cell r="CV433">
            <v>0</v>
          </cell>
          <cell r="CW433">
            <v>0</v>
          </cell>
          <cell r="CX433">
            <v>-137.6</v>
          </cell>
          <cell r="CY433">
            <v>-25.3</v>
          </cell>
          <cell r="CZ433">
            <v>-21.5</v>
          </cell>
          <cell r="DA433">
            <v>-112.4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-1.7</v>
          </cell>
          <cell r="DG433">
            <v>0</v>
          </cell>
          <cell r="DH433">
            <v>-33.1</v>
          </cell>
          <cell r="DI433">
            <v>0</v>
          </cell>
          <cell r="DJ433">
            <v>0</v>
          </cell>
          <cell r="DK433">
            <v>0</v>
          </cell>
          <cell r="DL433">
            <v>-137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EM433">
            <v>-199.5</v>
          </cell>
          <cell r="EN433">
            <v>-271.39999999999998</v>
          </cell>
          <cell r="EO433">
            <v>-196.3</v>
          </cell>
          <cell r="EP433">
            <v>-203.50000000000003</v>
          </cell>
          <cell r="EQ433">
            <v>-287</v>
          </cell>
          <cell r="ER433">
            <v>-252.89999999999995</v>
          </cell>
          <cell r="ES433">
            <v>-409.79999999999995</v>
          </cell>
        </row>
        <row r="434">
          <cell r="A434" t="str">
            <v>O&amp;M (Net of pass-throughs)</v>
          </cell>
          <cell r="B434" t="str">
            <v>Operations &amp; Maintenance Expense (incl clause)</v>
          </cell>
          <cell r="E434" t="str">
            <v>Operations &amp; Maintenance Expense</v>
          </cell>
          <cell r="F434" t="str">
            <v>6780040</v>
          </cell>
          <cell r="G434" t="str">
            <v>A_6780040</v>
          </cell>
          <cell r="H434" t="str">
            <v>Miscellaneous Billing Exp Damaged Facilities</v>
          </cell>
          <cell r="J434">
            <v>185.2</v>
          </cell>
          <cell r="K434">
            <v>20.7</v>
          </cell>
          <cell r="L434">
            <v>-62</v>
          </cell>
          <cell r="M434">
            <v>-35.4</v>
          </cell>
          <cell r="N434">
            <v>51.4</v>
          </cell>
          <cell r="O434">
            <v>-26.6</v>
          </cell>
          <cell r="P434">
            <v>-76.900000000000006</v>
          </cell>
          <cell r="Q434">
            <v>-42.2</v>
          </cell>
          <cell r="R434">
            <v>-10.1</v>
          </cell>
          <cell r="S434">
            <v>-29.5</v>
          </cell>
          <cell r="T434">
            <v>-25.7</v>
          </cell>
          <cell r="U434">
            <v>-43.7</v>
          </cell>
          <cell r="V434">
            <v>24.6</v>
          </cell>
          <cell r="W434">
            <v>-51.1</v>
          </cell>
          <cell r="X434">
            <v>-96.9</v>
          </cell>
          <cell r="Y434">
            <v>-30.8</v>
          </cell>
          <cell r="Z434">
            <v>-44.4</v>
          </cell>
          <cell r="AA434">
            <v>-32</v>
          </cell>
          <cell r="AB434">
            <v>-17.7</v>
          </cell>
          <cell r="AC434">
            <v>-25.1</v>
          </cell>
          <cell r="AD434">
            <v>24</v>
          </cell>
          <cell r="AE434">
            <v>-37.6</v>
          </cell>
          <cell r="AF434">
            <v>-37.200000000000003</v>
          </cell>
          <cell r="AG434">
            <v>-127.4</v>
          </cell>
          <cell r="AH434">
            <v>-38.5</v>
          </cell>
          <cell r="AI434">
            <v>-12.5</v>
          </cell>
          <cell r="AJ434">
            <v>-44</v>
          </cell>
          <cell r="AK434">
            <v>-39.4</v>
          </cell>
          <cell r="AL434">
            <v>-7.8</v>
          </cell>
          <cell r="AM434">
            <v>-125.5</v>
          </cell>
          <cell r="AN434">
            <v>3.6</v>
          </cell>
          <cell r="AO434">
            <v>22.8</v>
          </cell>
          <cell r="AP434">
            <v>-106.4</v>
          </cell>
          <cell r="AQ434">
            <v>-133.1</v>
          </cell>
          <cell r="AR434">
            <v>-52.3</v>
          </cell>
          <cell r="AS434">
            <v>-67.7</v>
          </cell>
          <cell r="AT434">
            <v>-23.2</v>
          </cell>
          <cell r="AU434">
            <v>-35.4</v>
          </cell>
          <cell r="AV434">
            <v>-230.4</v>
          </cell>
          <cell r="AW434">
            <v>145.9</v>
          </cell>
          <cell r="AX434">
            <v>-68.3</v>
          </cell>
          <cell r="AY434">
            <v>-25.3</v>
          </cell>
          <cell r="AZ434">
            <v>10.8</v>
          </cell>
          <cell r="BA434">
            <v>80.099999999999994</v>
          </cell>
          <cell r="BB434">
            <v>-36.1</v>
          </cell>
          <cell r="BC434">
            <v>-127.2</v>
          </cell>
          <cell r="BD434">
            <v>19.3</v>
          </cell>
          <cell r="BE434">
            <v>-241.8</v>
          </cell>
          <cell r="BF434">
            <v>24.8</v>
          </cell>
          <cell r="BG434">
            <v>-50.7</v>
          </cell>
          <cell r="BH434">
            <v>-60.5</v>
          </cell>
          <cell r="BI434">
            <v>-115.3</v>
          </cell>
          <cell r="BJ434">
            <v>-40.5</v>
          </cell>
          <cell r="BK434">
            <v>-51.2</v>
          </cell>
          <cell r="BL434">
            <v>-122.5</v>
          </cell>
          <cell r="BM434">
            <v>-139</v>
          </cell>
          <cell r="BN434">
            <v>-69.599999999999994</v>
          </cell>
          <cell r="BO434">
            <v>-4.5</v>
          </cell>
          <cell r="BP434">
            <v>-3.9</v>
          </cell>
          <cell r="BQ434">
            <v>-175.2</v>
          </cell>
          <cell r="BR434">
            <v>-22.4</v>
          </cell>
          <cell r="BS434">
            <v>-64</v>
          </cell>
          <cell r="BT434">
            <v>-97.4</v>
          </cell>
          <cell r="BU434">
            <v>-89.1</v>
          </cell>
          <cell r="BV434">
            <v>-42.9</v>
          </cell>
          <cell r="BW434">
            <v>-45.8</v>
          </cell>
          <cell r="BX434">
            <v>-114.8</v>
          </cell>
          <cell r="BY434">
            <v>-13</v>
          </cell>
          <cell r="BZ434">
            <v>-130.80000000000001</v>
          </cell>
          <cell r="CA434">
            <v>-19.8</v>
          </cell>
          <cell r="CB434">
            <v>-75.7</v>
          </cell>
          <cell r="CC434">
            <v>-71.3</v>
          </cell>
          <cell r="CD434">
            <v>-20.399999999999999</v>
          </cell>
          <cell r="CE434">
            <v>-54</v>
          </cell>
          <cell r="CF434">
            <v>-46.2</v>
          </cell>
          <cell r="CG434">
            <v>-141.30000000000001</v>
          </cell>
          <cell r="CH434">
            <v>-205.5</v>
          </cell>
          <cell r="CI434">
            <v>-180.7</v>
          </cell>
          <cell r="CJ434">
            <v>-83.8</v>
          </cell>
          <cell r="CK434">
            <v>-10</v>
          </cell>
          <cell r="CL434">
            <v>-83.2</v>
          </cell>
          <cell r="CM434">
            <v>19.399999999999999</v>
          </cell>
          <cell r="CN434">
            <v>-116.9</v>
          </cell>
          <cell r="CO434">
            <v>14.5</v>
          </cell>
          <cell r="CP434">
            <v>-18.399999999999999</v>
          </cell>
          <cell r="CQ434">
            <v>-110.5</v>
          </cell>
          <cell r="CR434">
            <v>-15.7</v>
          </cell>
          <cell r="CS434">
            <v>-132.80000000000001</v>
          </cell>
          <cell r="CT434">
            <v>-21.3</v>
          </cell>
          <cell r="CU434">
            <v>-130.5</v>
          </cell>
          <cell r="CV434">
            <v>-49.6</v>
          </cell>
          <cell r="CW434">
            <v>-272.2</v>
          </cell>
          <cell r="CX434">
            <v>-44.8</v>
          </cell>
          <cell r="CY434">
            <v>-24.1</v>
          </cell>
          <cell r="CZ434">
            <v>-88.7</v>
          </cell>
          <cell r="DA434">
            <v>-7.4</v>
          </cell>
          <cell r="DB434">
            <v>-82</v>
          </cell>
          <cell r="DC434">
            <v>-111.5</v>
          </cell>
          <cell r="DD434">
            <v>-59.4</v>
          </cell>
          <cell r="DE434">
            <v>-101.2</v>
          </cell>
          <cell r="DF434">
            <v>-62.1</v>
          </cell>
          <cell r="DG434">
            <v>2.4</v>
          </cell>
          <cell r="DH434">
            <v>-230</v>
          </cell>
          <cell r="DI434">
            <v>-246.7</v>
          </cell>
          <cell r="DJ434">
            <v>-49.8</v>
          </cell>
          <cell r="DK434">
            <v>-87.7</v>
          </cell>
          <cell r="DL434">
            <v>31.3</v>
          </cell>
          <cell r="DM434">
            <v>-531.29999999999995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EM434">
            <v>-451.6</v>
          </cell>
          <cell r="EN434">
            <v>-600.80000000000007</v>
          </cell>
          <cell r="EO434">
            <v>-531.59999999999991</v>
          </cell>
          <cell r="EP434">
            <v>-808.09999999999991</v>
          </cell>
          <cell r="EQ434">
            <v>-787</v>
          </cell>
          <cell r="ER434">
            <v>-908.1</v>
          </cell>
          <cell r="ES434">
            <v>-916</v>
          </cell>
        </row>
        <row r="435">
          <cell r="A435" t="str">
            <v>O&amp;M (Net of pass-throughs)</v>
          </cell>
          <cell r="B435" t="str">
            <v>Operations &amp; Maintenance Expense (incl clause)</v>
          </cell>
          <cell r="E435" t="str">
            <v>Operations &amp; Maintenance Expense</v>
          </cell>
          <cell r="F435" t="str">
            <v>6780800</v>
          </cell>
          <cell r="G435" t="str">
            <v>A_6780800</v>
          </cell>
          <cell r="H435" t="str">
            <v>Miscellaneous Billing Exp General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-50.7</v>
          </cell>
          <cell r="P435">
            <v>0</v>
          </cell>
          <cell r="Q435">
            <v>-59.7</v>
          </cell>
          <cell r="R435">
            <v>-17.100000000000001</v>
          </cell>
          <cell r="S435">
            <v>-0.1</v>
          </cell>
          <cell r="T435">
            <v>0</v>
          </cell>
          <cell r="U435">
            <v>-4.5999999999999996</v>
          </cell>
          <cell r="V435">
            <v>0</v>
          </cell>
          <cell r="W435">
            <v>0</v>
          </cell>
          <cell r="X435">
            <v>-3</v>
          </cell>
          <cell r="Y435">
            <v>-31.1</v>
          </cell>
          <cell r="Z435">
            <v>-0.6</v>
          </cell>
          <cell r="AA435">
            <v>-0.6</v>
          </cell>
          <cell r="AB435">
            <v>-60.5</v>
          </cell>
          <cell r="AC435">
            <v>-3</v>
          </cell>
          <cell r="AD435">
            <v>-2.2999999999999998</v>
          </cell>
          <cell r="AE435">
            <v>-3</v>
          </cell>
          <cell r="AF435">
            <v>-0.9</v>
          </cell>
          <cell r="AG435">
            <v>0</v>
          </cell>
          <cell r="AH435">
            <v>0</v>
          </cell>
          <cell r="AI435">
            <v>-46.9</v>
          </cell>
          <cell r="AJ435">
            <v>-0.6</v>
          </cell>
          <cell r="AK435">
            <v>-33.5</v>
          </cell>
          <cell r="AL435">
            <v>-566.4</v>
          </cell>
          <cell r="AM435">
            <v>-2.9</v>
          </cell>
          <cell r="AN435">
            <v>-0.7</v>
          </cell>
          <cell r="AO435">
            <v>-24.6</v>
          </cell>
          <cell r="AP435">
            <v>24.9</v>
          </cell>
          <cell r="AQ435">
            <v>-0.7</v>
          </cell>
          <cell r="AR435">
            <v>-0.1</v>
          </cell>
          <cell r="AS435">
            <v>-27.7</v>
          </cell>
          <cell r="AT435">
            <v>-1.3</v>
          </cell>
          <cell r="AU435">
            <v>0</v>
          </cell>
          <cell r="AV435">
            <v>-0.3</v>
          </cell>
          <cell r="AW435">
            <v>-0.3</v>
          </cell>
          <cell r="AX435">
            <v>-358.2</v>
          </cell>
          <cell r="AY435">
            <v>67.7</v>
          </cell>
          <cell r="AZ435">
            <v>-59.5</v>
          </cell>
          <cell r="BA435">
            <v>-0.4</v>
          </cell>
          <cell r="BB435">
            <v>-0.2</v>
          </cell>
          <cell r="BC435">
            <v>-0.9</v>
          </cell>
          <cell r="BD435">
            <v>0</v>
          </cell>
          <cell r="BE435">
            <v>-0.2</v>
          </cell>
          <cell r="BF435">
            <v>-0.1</v>
          </cell>
          <cell r="BG435">
            <v>59</v>
          </cell>
          <cell r="BH435">
            <v>-7.6</v>
          </cell>
          <cell r="BI435">
            <v>-5.3</v>
          </cell>
          <cell r="BJ435">
            <v>-387.6</v>
          </cell>
          <cell r="BK435">
            <v>237</v>
          </cell>
          <cell r="BL435">
            <v>-4.5999999999999996</v>
          </cell>
          <cell r="BM435">
            <v>-22.7</v>
          </cell>
          <cell r="BN435">
            <v>98</v>
          </cell>
          <cell r="BO435">
            <v>-0.6</v>
          </cell>
          <cell r="BP435">
            <v>-1.8</v>
          </cell>
          <cell r="BQ435">
            <v>-2.1</v>
          </cell>
          <cell r="BR435">
            <v>-4</v>
          </cell>
          <cell r="BS435">
            <v>-0.8</v>
          </cell>
          <cell r="BT435">
            <v>-1.2</v>
          </cell>
          <cell r="BU435">
            <v>-9.6</v>
          </cell>
          <cell r="BV435">
            <v>-31.4</v>
          </cell>
          <cell r="BW435">
            <v>-1</v>
          </cell>
          <cell r="BX435">
            <v>-36</v>
          </cell>
          <cell r="BY435">
            <v>-1</v>
          </cell>
          <cell r="BZ435">
            <v>-1</v>
          </cell>
          <cell r="CA435">
            <v>-0.7</v>
          </cell>
          <cell r="CB435">
            <v>-2.2999999999999998</v>
          </cell>
          <cell r="CC435">
            <v>0</v>
          </cell>
          <cell r="CD435">
            <v>-0.1</v>
          </cell>
          <cell r="CE435">
            <v>0</v>
          </cell>
          <cell r="CF435">
            <v>-7.9</v>
          </cell>
          <cell r="CG435">
            <v>-0.7</v>
          </cell>
          <cell r="CH435">
            <v>-19.2</v>
          </cell>
          <cell r="CI435">
            <v>-73.900000000000006</v>
          </cell>
          <cell r="CJ435">
            <v>-2.8</v>
          </cell>
          <cell r="CK435">
            <v>-19.7</v>
          </cell>
          <cell r="CL435">
            <v>-38.200000000000003</v>
          </cell>
          <cell r="CM435">
            <v>-10.7</v>
          </cell>
          <cell r="CN435">
            <v>-746.7</v>
          </cell>
          <cell r="CO435">
            <v>15.8</v>
          </cell>
          <cell r="CP435">
            <v>-1.5</v>
          </cell>
          <cell r="CQ435">
            <v>-1.3</v>
          </cell>
          <cell r="CR435">
            <v>-0.6</v>
          </cell>
          <cell r="CS435">
            <v>-57.1</v>
          </cell>
          <cell r="CT435">
            <v>-0.3</v>
          </cell>
          <cell r="CU435">
            <v>-0.9</v>
          </cell>
          <cell r="CV435">
            <v>-0.7</v>
          </cell>
          <cell r="CW435">
            <v>-3.4</v>
          </cell>
          <cell r="CX435">
            <v>-0.6</v>
          </cell>
          <cell r="CY435">
            <v>-0.8</v>
          </cell>
          <cell r="CZ435">
            <v>45</v>
          </cell>
          <cell r="DA435">
            <v>-0.7</v>
          </cell>
          <cell r="DB435">
            <v>-1.5</v>
          </cell>
          <cell r="DC435">
            <v>-1.1000000000000001</v>
          </cell>
          <cell r="DD435">
            <v>-0.1</v>
          </cell>
          <cell r="DE435">
            <v>-0.7</v>
          </cell>
          <cell r="DF435">
            <v>-0.3</v>
          </cell>
          <cell r="DG435">
            <v>-10.9</v>
          </cell>
          <cell r="DH435">
            <v>-4.8</v>
          </cell>
          <cell r="DI435">
            <v>-7.1</v>
          </cell>
          <cell r="DJ435">
            <v>-3.9</v>
          </cell>
          <cell r="DK435">
            <v>-0.2</v>
          </cell>
          <cell r="DL435">
            <v>0</v>
          </cell>
          <cell r="DM435">
            <v>-34.5</v>
          </cell>
          <cell r="DN435">
            <v>-25.4</v>
          </cell>
          <cell r="DO435">
            <v>-25.4</v>
          </cell>
          <cell r="DP435">
            <v>-25.4</v>
          </cell>
          <cell r="DQ435">
            <v>-25.4</v>
          </cell>
          <cell r="DR435">
            <v>-25.4</v>
          </cell>
          <cell r="DS435">
            <v>-25.4</v>
          </cell>
          <cell r="DT435">
            <v>-25.4</v>
          </cell>
          <cell r="DU435">
            <v>-25.4</v>
          </cell>
          <cell r="DV435">
            <v>-25.4</v>
          </cell>
          <cell r="DW435">
            <v>-25.4</v>
          </cell>
          <cell r="DX435">
            <v>-25.4</v>
          </cell>
          <cell r="DY435">
            <v>-25.4</v>
          </cell>
          <cell r="EM435">
            <v>-105.00000000000001</v>
          </cell>
          <cell r="EN435">
            <v>-679.20000000000016</v>
          </cell>
          <cell r="EO435">
            <v>-353.59999999999991</v>
          </cell>
          <cell r="EP435">
            <v>-38.400000000000006</v>
          </cell>
          <cell r="EQ435">
            <v>-89</v>
          </cell>
          <cell r="ER435">
            <v>-904.10000000000014</v>
          </cell>
          <cell r="ES435">
            <v>-22.899999999999988</v>
          </cell>
        </row>
        <row r="436">
          <cell r="A436" t="str">
            <v>O&amp;M (Net of pass-throughs)</v>
          </cell>
          <cell r="B436" t="str">
            <v>Operations &amp; Maintenance Expense (incl clause)</v>
          </cell>
          <cell r="E436" t="str">
            <v>Operations &amp; Maintenance Expense</v>
          </cell>
          <cell r="F436" t="str">
            <v>6780800</v>
          </cell>
          <cell r="G436" t="str">
            <v>A_S6780800</v>
          </cell>
          <cell r="H436" t="str">
            <v>Settled Miscellaneous Billing Exp General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-8.6</v>
          </cell>
          <cell r="DO436">
            <v>-8.6</v>
          </cell>
          <cell r="DP436">
            <v>-8.6</v>
          </cell>
          <cell r="DQ436">
            <v>-8.6</v>
          </cell>
          <cell r="DR436">
            <v>-8.6</v>
          </cell>
          <cell r="DS436">
            <v>-8.6</v>
          </cell>
          <cell r="DT436">
            <v>-8.6</v>
          </cell>
          <cell r="DU436">
            <v>-8.6</v>
          </cell>
          <cell r="DV436">
            <v>-8.6</v>
          </cell>
          <cell r="DW436">
            <v>-8.6</v>
          </cell>
          <cell r="DX436">
            <v>-8.6</v>
          </cell>
          <cell r="DY436">
            <v>-8.6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</row>
        <row r="437">
          <cell r="A437" t="str">
            <v>O&amp;M (Net of pass-throughs)</v>
          </cell>
          <cell r="B437" t="str">
            <v>Operations &amp; Maintenance Expense (incl clause)</v>
          </cell>
          <cell r="E437" t="str">
            <v>Operations &amp; Maintenance Expense</v>
          </cell>
          <cell r="F437" t="str">
            <v>6780000</v>
          </cell>
          <cell r="G437" t="str">
            <v>A_S6780000</v>
          </cell>
          <cell r="H437" t="str">
            <v>Settled Misc Billing Exp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-1.8</v>
          </cell>
          <cell r="DO437">
            <v>-1.8</v>
          </cell>
          <cell r="DP437">
            <v>-1.8</v>
          </cell>
          <cell r="DQ437">
            <v>-1.8</v>
          </cell>
          <cell r="DR437">
            <v>-1.8</v>
          </cell>
          <cell r="DS437">
            <v>-1.8</v>
          </cell>
          <cell r="DT437">
            <v>-1.8</v>
          </cell>
          <cell r="DU437">
            <v>-1.8</v>
          </cell>
          <cell r="DV437">
            <v>-1.8</v>
          </cell>
          <cell r="DW437">
            <v>-1.8</v>
          </cell>
          <cell r="DX437">
            <v>-1.8</v>
          </cell>
          <cell r="DY437">
            <v>-1.8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</row>
        <row r="438">
          <cell r="A438" t="str">
            <v>O&amp;M (Net of pass-throughs)</v>
          </cell>
          <cell r="B438" t="str">
            <v>Operations &amp; Maintenance Expense (incl clause)</v>
          </cell>
          <cell r="E438" t="str">
            <v>Operations &amp; Maintenance Expense</v>
          </cell>
          <cell r="F438" t="str">
            <v>6780040</v>
          </cell>
          <cell r="G438" t="str">
            <v>A_S6780040</v>
          </cell>
          <cell r="H438" t="str">
            <v>Settled Miscellaneous Billing Exp Damaged Facili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-58.3</v>
          </cell>
          <cell r="DO438">
            <v>-58.3</v>
          </cell>
          <cell r="DP438">
            <v>-58.3</v>
          </cell>
          <cell r="DQ438">
            <v>-58.3</v>
          </cell>
          <cell r="DR438">
            <v>-58.3</v>
          </cell>
          <cell r="DS438">
            <v>-58.3</v>
          </cell>
          <cell r="DT438">
            <v>-58.3</v>
          </cell>
          <cell r="DU438">
            <v>-58.3</v>
          </cell>
          <cell r="DV438">
            <v>-58.3</v>
          </cell>
          <cell r="DW438">
            <v>-58.3</v>
          </cell>
          <cell r="DX438">
            <v>-58.3</v>
          </cell>
          <cell r="DY438">
            <v>-58.3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</row>
        <row r="439">
          <cell r="A439" t="str">
            <v>O&amp;M (Net of pass-throughs)</v>
          </cell>
          <cell r="B439" t="str">
            <v>Operations &amp; Maintenance Expense (incl clause)</v>
          </cell>
          <cell r="E439" t="str">
            <v>Operations &amp; Maintenance Expense</v>
          </cell>
          <cell r="F439" t="str">
            <v>6789000</v>
          </cell>
          <cell r="G439" t="str">
            <v>A_6789000</v>
          </cell>
          <cell r="H439" t="str">
            <v>Miscellaneous Billing Exp to Balance Sheet</v>
          </cell>
          <cell r="J439">
            <v>19.899999999999999</v>
          </cell>
          <cell r="K439">
            <v>23.2</v>
          </cell>
          <cell r="L439">
            <v>18</v>
          </cell>
          <cell r="M439">
            <v>1.2</v>
          </cell>
          <cell r="N439">
            <v>25.8</v>
          </cell>
          <cell r="O439">
            <v>67.8</v>
          </cell>
          <cell r="P439">
            <v>30.4</v>
          </cell>
          <cell r="Q439">
            <v>0</v>
          </cell>
          <cell r="R439">
            <v>13.6</v>
          </cell>
          <cell r="S439">
            <v>14</v>
          </cell>
          <cell r="T439">
            <v>14.4</v>
          </cell>
          <cell r="U439">
            <v>11.3</v>
          </cell>
          <cell r="V439">
            <v>0.1</v>
          </cell>
          <cell r="W439">
            <v>0</v>
          </cell>
          <cell r="X439">
            <v>62.2</v>
          </cell>
          <cell r="Y439">
            <v>24.4</v>
          </cell>
          <cell r="Z439">
            <v>31.4</v>
          </cell>
          <cell r="AA439">
            <v>24.6</v>
          </cell>
          <cell r="AB439">
            <v>64.2</v>
          </cell>
          <cell r="AC439">
            <v>10.6</v>
          </cell>
          <cell r="AD439">
            <v>3.3</v>
          </cell>
          <cell r="AE439">
            <v>34.299999999999997</v>
          </cell>
          <cell r="AF439">
            <v>29.1</v>
          </cell>
          <cell r="AG439">
            <v>40.4</v>
          </cell>
          <cell r="AH439">
            <v>8.4</v>
          </cell>
          <cell r="AI439">
            <v>49.8</v>
          </cell>
          <cell r="AJ439">
            <v>64.900000000000006</v>
          </cell>
          <cell r="AK439">
            <v>29.5</v>
          </cell>
          <cell r="AL439">
            <v>77.7</v>
          </cell>
          <cell r="AM439">
            <v>10.5</v>
          </cell>
          <cell r="AN439">
            <v>3</v>
          </cell>
          <cell r="AO439">
            <v>37.799999999999997</v>
          </cell>
          <cell r="AP439">
            <v>13.8</v>
          </cell>
          <cell r="AQ439">
            <v>26.6</v>
          </cell>
          <cell r="AR439">
            <v>4.8</v>
          </cell>
          <cell r="AS439">
            <v>-15.5</v>
          </cell>
          <cell r="AT439">
            <v>5.0999999999999996</v>
          </cell>
          <cell r="AU439">
            <v>28.7</v>
          </cell>
          <cell r="AV439">
            <v>72.400000000000006</v>
          </cell>
          <cell r="AW439">
            <v>43.6</v>
          </cell>
          <cell r="AX439">
            <v>386.5</v>
          </cell>
          <cell r="AY439">
            <v>-63.6</v>
          </cell>
          <cell r="AZ439">
            <v>80</v>
          </cell>
          <cell r="BA439">
            <v>15.8</v>
          </cell>
          <cell r="BB439">
            <v>0</v>
          </cell>
          <cell r="BC439">
            <v>1.4</v>
          </cell>
          <cell r="BD439">
            <v>34.5</v>
          </cell>
          <cell r="BE439">
            <v>1.5</v>
          </cell>
          <cell r="BF439">
            <v>0.3</v>
          </cell>
          <cell r="BG439">
            <v>-59.1</v>
          </cell>
          <cell r="BH439">
            <v>1.3</v>
          </cell>
          <cell r="BI439">
            <v>33.200000000000003</v>
          </cell>
          <cell r="BJ439">
            <v>433.9</v>
          </cell>
          <cell r="BK439">
            <v>-243.1</v>
          </cell>
          <cell r="BL439">
            <v>1.7</v>
          </cell>
          <cell r="BM439">
            <v>67.5</v>
          </cell>
          <cell r="BN439">
            <v>-31.4</v>
          </cell>
          <cell r="BO439">
            <v>0.5</v>
          </cell>
          <cell r="BP439">
            <v>0</v>
          </cell>
          <cell r="BQ439">
            <v>0</v>
          </cell>
          <cell r="BR439">
            <v>1</v>
          </cell>
          <cell r="BS439">
            <v>1.4</v>
          </cell>
          <cell r="BT439">
            <v>0</v>
          </cell>
          <cell r="BU439">
            <v>53.6</v>
          </cell>
          <cell r="BV439">
            <v>24.2</v>
          </cell>
          <cell r="BW439">
            <v>108.1</v>
          </cell>
          <cell r="BX439">
            <v>75.599999999999994</v>
          </cell>
          <cell r="BY439">
            <v>13</v>
          </cell>
          <cell r="BZ439">
            <v>42.9</v>
          </cell>
          <cell r="CA439">
            <v>17.600000000000001</v>
          </cell>
          <cell r="CB439">
            <v>3.8</v>
          </cell>
          <cell r="CC439">
            <v>47.9</v>
          </cell>
          <cell r="CD439">
            <v>29.8</v>
          </cell>
          <cell r="CE439">
            <v>5.9</v>
          </cell>
          <cell r="CF439">
            <v>79</v>
          </cell>
          <cell r="CG439">
            <v>1.3</v>
          </cell>
          <cell r="CH439">
            <v>-0.7</v>
          </cell>
          <cell r="CI439">
            <v>12.5</v>
          </cell>
          <cell r="CJ439">
            <v>47</v>
          </cell>
          <cell r="CK439">
            <v>16.3</v>
          </cell>
          <cell r="CL439">
            <v>73.7</v>
          </cell>
          <cell r="CM439">
            <v>10.5</v>
          </cell>
          <cell r="CN439">
            <v>786.7</v>
          </cell>
          <cell r="CO439">
            <v>-16.3</v>
          </cell>
          <cell r="CP439">
            <v>0</v>
          </cell>
          <cell r="CQ439">
            <v>0</v>
          </cell>
          <cell r="CR439">
            <v>32.5</v>
          </cell>
          <cell r="CS439">
            <v>33.4</v>
          </cell>
          <cell r="CT439">
            <v>67.900000000000006</v>
          </cell>
          <cell r="CU439">
            <v>12.6</v>
          </cell>
          <cell r="CV439">
            <v>0</v>
          </cell>
          <cell r="CW439">
            <v>0</v>
          </cell>
          <cell r="CX439">
            <v>144.80000000000001</v>
          </cell>
          <cell r="CY439">
            <v>25.3</v>
          </cell>
          <cell r="CZ439">
            <v>-25.2</v>
          </cell>
          <cell r="DA439">
            <v>112.4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1.7</v>
          </cell>
          <cell r="DG439">
            <v>0</v>
          </cell>
          <cell r="DH439">
            <v>37.9</v>
          </cell>
          <cell r="DI439">
            <v>0</v>
          </cell>
          <cell r="DJ439">
            <v>0</v>
          </cell>
          <cell r="DK439">
            <v>0</v>
          </cell>
          <cell r="DL439">
            <v>137</v>
          </cell>
          <cell r="DM439">
            <v>25.3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EM439">
            <v>324.59999999999997</v>
          </cell>
          <cell r="EN439">
            <v>311.30000000000007</v>
          </cell>
          <cell r="EO439">
            <v>605.89999999999986</v>
          </cell>
          <cell r="EP439">
            <v>204.79999999999995</v>
          </cell>
          <cell r="EQ439">
            <v>389.09999999999997</v>
          </cell>
          <cell r="ER439">
            <v>1045.7</v>
          </cell>
          <cell r="ES439">
            <v>403.70000000000005</v>
          </cell>
        </row>
        <row r="440">
          <cell r="F440" t="str">
            <v>678</v>
          </cell>
          <cell r="G440">
            <v>678</v>
          </cell>
          <cell r="J440">
            <v>185.2</v>
          </cell>
          <cell r="K440">
            <v>20.7</v>
          </cell>
          <cell r="L440">
            <v>-62</v>
          </cell>
          <cell r="M440">
            <v>-35.4</v>
          </cell>
          <cell r="N440">
            <v>51.4</v>
          </cell>
          <cell r="O440">
            <v>-26.600000000000009</v>
          </cell>
          <cell r="P440">
            <v>-76.900000000000006</v>
          </cell>
          <cell r="Q440">
            <v>-101.9</v>
          </cell>
          <cell r="R440">
            <v>-27.199999999999996</v>
          </cell>
          <cell r="S440">
            <v>-29.6</v>
          </cell>
          <cell r="T440">
            <v>-25.700000000000003</v>
          </cell>
          <cell r="U440">
            <v>-48.3</v>
          </cell>
          <cell r="V440">
            <v>24.6</v>
          </cell>
          <cell r="W440">
            <v>-51.1</v>
          </cell>
          <cell r="X440">
            <v>-99.90000000000002</v>
          </cell>
          <cell r="Y440">
            <v>-39</v>
          </cell>
          <cell r="Z440">
            <v>-44.999999999999993</v>
          </cell>
          <cell r="AA440">
            <v>-18.399999999999999</v>
          </cell>
          <cell r="AB440">
            <v>-18.299999999999997</v>
          </cell>
          <cell r="AC440">
            <v>-28.1</v>
          </cell>
          <cell r="AD440">
            <v>21.7</v>
          </cell>
          <cell r="AE440">
            <v>-40.600000000000009</v>
          </cell>
          <cell r="AF440">
            <v>-38.100000000000016</v>
          </cell>
          <cell r="AG440">
            <v>-99.300000000000011</v>
          </cell>
          <cell r="AH440">
            <v>-38.5</v>
          </cell>
          <cell r="AI440">
            <v>-12.5</v>
          </cell>
          <cell r="AJ440">
            <v>-44.599999999999994</v>
          </cell>
          <cell r="AK440">
            <v>-47.599999999999994</v>
          </cell>
          <cell r="AL440">
            <v>-574.19999999999993</v>
          </cell>
          <cell r="AM440">
            <v>-128.4</v>
          </cell>
          <cell r="AN440">
            <v>2.9000000000000004</v>
          </cell>
          <cell r="AO440">
            <v>22.299999999999997</v>
          </cell>
          <cell r="AP440">
            <v>-106.8</v>
          </cell>
          <cell r="AQ440">
            <v>-133.79999999999998</v>
          </cell>
          <cell r="AR440">
            <v>-55.800000000000004</v>
          </cell>
          <cell r="AS440">
            <v>-123.10000000000001</v>
          </cell>
          <cell r="AT440">
            <v>-24.5</v>
          </cell>
          <cell r="AU440">
            <v>-35.399999999999991</v>
          </cell>
          <cell r="AV440">
            <v>-164.4</v>
          </cell>
          <cell r="AW440">
            <v>145.60000000000002</v>
          </cell>
          <cell r="AX440">
            <v>-69.799999999999955</v>
          </cell>
          <cell r="AY440">
            <v>-30.1</v>
          </cell>
          <cell r="AZ440">
            <v>10.400000000000006</v>
          </cell>
          <cell r="BA440">
            <v>79.7</v>
          </cell>
          <cell r="BB440">
            <v>-36.300000000000004</v>
          </cell>
          <cell r="BC440">
            <v>-128.1</v>
          </cell>
          <cell r="BD440">
            <v>19.3</v>
          </cell>
          <cell r="BE440">
            <v>-242</v>
          </cell>
          <cell r="BF440">
            <v>24.7</v>
          </cell>
          <cell r="BG440">
            <v>-50.800000000000004</v>
          </cell>
          <cell r="BH440">
            <v>-68.099999999999994</v>
          </cell>
          <cell r="BI440">
            <v>-120.60000000000001</v>
          </cell>
          <cell r="BJ440">
            <v>-40.800000000000068</v>
          </cell>
          <cell r="BK440">
            <v>-57.299999999999983</v>
          </cell>
          <cell r="BL440">
            <v>-127.10000000000001</v>
          </cell>
          <cell r="BM440">
            <v>-140</v>
          </cell>
          <cell r="BN440">
            <v>-77.5</v>
          </cell>
          <cell r="BO440">
            <v>-4.8999999999999995</v>
          </cell>
          <cell r="BP440">
            <v>-5.7</v>
          </cell>
          <cell r="BQ440">
            <v>-177.1</v>
          </cell>
          <cell r="BR440">
            <v>-26.4</v>
          </cell>
          <cell r="BS440">
            <v>-64.8</v>
          </cell>
          <cell r="BT440">
            <v>-98.600000000000009</v>
          </cell>
          <cell r="BU440">
            <v>-98.699999999999989</v>
          </cell>
          <cell r="BV440">
            <v>-50.099999999999994</v>
          </cell>
          <cell r="BW440">
            <v>-46.799999999999983</v>
          </cell>
          <cell r="BX440">
            <v>-115.1</v>
          </cell>
          <cell r="BY440">
            <v>-14</v>
          </cell>
          <cell r="BZ440">
            <v>-89.6</v>
          </cell>
          <cell r="CA440">
            <v>-20.500000000000007</v>
          </cell>
          <cell r="CB440">
            <v>-78</v>
          </cell>
          <cell r="CC440">
            <v>-71.299999999999983</v>
          </cell>
          <cell r="CD440">
            <v>-20.500000000000004</v>
          </cell>
          <cell r="CE440">
            <v>-54</v>
          </cell>
          <cell r="CF440">
            <v>-54.099999999999994</v>
          </cell>
          <cell r="CG440">
            <v>-142</v>
          </cell>
          <cell r="CH440">
            <v>-224.7</v>
          </cell>
          <cell r="CI440">
            <v>-242.7</v>
          </cell>
          <cell r="CJ440">
            <v>-86.600000000000023</v>
          </cell>
          <cell r="CK440">
            <v>-13.599999999999998</v>
          </cell>
          <cell r="CL440">
            <v>-84.90000000000002</v>
          </cell>
          <cell r="CM440">
            <v>8.6999999999999993</v>
          </cell>
          <cell r="CN440">
            <v>-119</v>
          </cell>
          <cell r="CO440">
            <v>14</v>
          </cell>
          <cell r="CP440">
            <v>-19.899999999999999</v>
          </cell>
          <cell r="CQ440">
            <v>-111.8</v>
          </cell>
          <cell r="CR440">
            <v>-16.300000000000004</v>
          </cell>
          <cell r="CS440">
            <v>-156.5</v>
          </cell>
          <cell r="CT440">
            <v>-21.599999999999994</v>
          </cell>
          <cell r="CU440">
            <v>-131.4</v>
          </cell>
          <cell r="CV440">
            <v>-50.300000000000004</v>
          </cell>
          <cell r="CW440">
            <v>-275.59999999999997</v>
          </cell>
          <cell r="CX440">
            <v>-38.19999999999996</v>
          </cell>
          <cell r="CY440">
            <v>-24.900000000000002</v>
          </cell>
          <cell r="CZ440">
            <v>-90.4</v>
          </cell>
          <cell r="DA440">
            <v>-8.1000000000000085</v>
          </cell>
          <cell r="DB440">
            <v>-83.5</v>
          </cell>
          <cell r="DC440">
            <v>-112.6</v>
          </cell>
          <cell r="DD440">
            <v>-59.5</v>
          </cell>
          <cell r="DE440">
            <v>-101.9</v>
          </cell>
          <cell r="DF440">
            <v>-62.400000000000006</v>
          </cell>
          <cell r="DG440">
            <v>-8.5</v>
          </cell>
          <cell r="DH440">
            <v>-230.00000000000003</v>
          </cell>
          <cell r="DI440">
            <v>-253.79999999999998</v>
          </cell>
          <cell r="DJ440">
            <v>-53.699999999999996</v>
          </cell>
          <cell r="DK440">
            <v>-87.9</v>
          </cell>
          <cell r="DL440">
            <v>31.299999999999997</v>
          </cell>
          <cell r="DM440">
            <v>-540.5</v>
          </cell>
          <cell r="DN440">
            <v>-94.1</v>
          </cell>
          <cell r="DO440">
            <v>-94.1</v>
          </cell>
          <cell r="DP440">
            <v>-94.1</v>
          </cell>
          <cell r="DQ440">
            <v>-94.1</v>
          </cell>
          <cell r="DR440">
            <v>-94.1</v>
          </cell>
          <cell r="DS440">
            <v>-94.1</v>
          </cell>
          <cell r="DT440">
            <v>-94.1</v>
          </cell>
          <cell r="DU440">
            <v>-94.1</v>
          </cell>
          <cell r="DV440">
            <v>-94.1</v>
          </cell>
          <cell r="DW440">
            <v>-94.1</v>
          </cell>
          <cell r="DX440">
            <v>-94.1</v>
          </cell>
          <cell r="DY440">
            <v>-94.1</v>
          </cell>
          <cell r="EM440">
            <v>-431.50000000000011</v>
          </cell>
          <cell r="EN440">
            <v>-1240.0999999999997</v>
          </cell>
          <cell r="EO440">
            <v>-475.59999999999991</v>
          </cell>
          <cell r="EP440">
            <v>-845.20000000000016</v>
          </cell>
          <cell r="EQ440">
            <v>-773.9</v>
          </cell>
          <cell r="ER440">
            <v>-1019.4000000000001</v>
          </cell>
          <cell r="ES440">
            <v>-944.99999999999989</v>
          </cell>
        </row>
        <row r="441">
          <cell r="A441" t="str">
            <v>O&amp;M (Net of pass-throughs)</v>
          </cell>
          <cell r="B441" t="str">
            <v>Operations &amp; Maintenance Expense (incl clause)</v>
          </cell>
          <cell r="E441" t="str">
            <v>Operations &amp; Maintenance Expense</v>
          </cell>
          <cell r="F441" t="str">
            <v>6790010</v>
          </cell>
          <cell r="G441" t="str">
            <v>A_6790010</v>
          </cell>
          <cell r="H441" t="str">
            <v>Bad Debt Expense</v>
          </cell>
          <cell r="J441">
            <v>97.8</v>
          </cell>
          <cell r="K441">
            <v>82.7</v>
          </cell>
          <cell r="L441">
            <v>70.2</v>
          </cell>
          <cell r="M441">
            <v>59.9</v>
          </cell>
          <cell r="N441">
            <v>53.6</v>
          </cell>
          <cell r="O441">
            <v>58.1</v>
          </cell>
          <cell r="P441">
            <v>54.4</v>
          </cell>
          <cell r="Q441">
            <v>51.7</v>
          </cell>
          <cell r="R441">
            <v>70.5</v>
          </cell>
          <cell r="S441">
            <v>59.2</v>
          </cell>
          <cell r="T441">
            <v>65.2</v>
          </cell>
          <cell r="U441">
            <v>85.3</v>
          </cell>
          <cell r="V441">
            <v>93</v>
          </cell>
          <cell r="W441">
            <v>108</v>
          </cell>
          <cell r="X441">
            <v>83.6</v>
          </cell>
          <cell r="Y441">
            <v>68.400000000000006</v>
          </cell>
          <cell r="Z441">
            <v>60</v>
          </cell>
          <cell r="AA441">
            <v>62.1</v>
          </cell>
          <cell r="AB441">
            <v>58.9</v>
          </cell>
          <cell r="AC441">
            <v>55.1</v>
          </cell>
          <cell r="AD441">
            <v>51.8</v>
          </cell>
          <cell r="AE441">
            <v>51.3</v>
          </cell>
          <cell r="AF441">
            <v>53.8</v>
          </cell>
          <cell r="AG441">
            <v>59.5</v>
          </cell>
          <cell r="AH441">
            <v>74.3</v>
          </cell>
          <cell r="AI441">
            <v>78.900000000000006</v>
          </cell>
          <cell r="AJ441">
            <v>62.8</v>
          </cell>
          <cell r="AK441">
            <v>54.4</v>
          </cell>
          <cell r="AL441">
            <v>46.8</v>
          </cell>
          <cell r="AM441">
            <v>45.3</v>
          </cell>
          <cell r="AN441">
            <v>45</v>
          </cell>
          <cell r="AO441">
            <v>45.5</v>
          </cell>
          <cell r="AP441">
            <v>49.9</v>
          </cell>
          <cell r="AQ441">
            <v>50.3</v>
          </cell>
          <cell r="AR441">
            <v>57.8</v>
          </cell>
          <cell r="AS441">
            <v>-682.3</v>
          </cell>
          <cell r="AT441">
            <v>77</v>
          </cell>
          <cell r="AU441">
            <v>54.2</v>
          </cell>
          <cell r="AV441">
            <v>145.19999999999999</v>
          </cell>
          <cell r="AW441">
            <v>165.4</v>
          </cell>
          <cell r="AX441">
            <v>46.5</v>
          </cell>
          <cell r="AY441">
            <v>68.099999999999994</v>
          </cell>
          <cell r="AZ441">
            <v>154.69999999999999</v>
          </cell>
          <cell r="BA441">
            <v>195</v>
          </cell>
          <cell r="BB441">
            <v>290</v>
          </cell>
          <cell r="BC441">
            <v>240.7</v>
          </cell>
          <cell r="BD441">
            <v>112.9</v>
          </cell>
          <cell r="BE441">
            <v>58.5</v>
          </cell>
          <cell r="BF441">
            <v>169</v>
          </cell>
          <cell r="BG441">
            <v>-38.5</v>
          </cell>
          <cell r="BH441">
            <v>43.3</v>
          </cell>
          <cell r="BI441">
            <v>143.1</v>
          </cell>
          <cell r="BJ441">
            <v>143.30000000000001</v>
          </cell>
          <cell r="BK441">
            <v>90.9</v>
          </cell>
          <cell r="BL441">
            <v>145.6</v>
          </cell>
          <cell r="BM441">
            <v>126</v>
          </cell>
          <cell r="BN441">
            <v>107.7</v>
          </cell>
          <cell r="BO441">
            <v>116.8</v>
          </cell>
          <cell r="BP441">
            <v>134.6</v>
          </cell>
          <cell r="BQ441">
            <v>247.1</v>
          </cell>
          <cell r="BR441">
            <v>138.80000000000001</v>
          </cell>
          <cell r="BS441">
            <v>81.5</v>
          </cell>
          <cell r="BT441">
            <v>159.9</v>
          </cell>
          <cell r="BU441">
            <v>233.6</v>
          </cell>
          <cell r="BV441">
            <v>86.9</v>
          </cell>
          <cell r="BW441">
            <v>63.6</v>
          </cell>
          <cell r="BX441">
            <v>75.900000000000006</v>
          </cell>
          <cell r="BY441">
            <v>75</v>
          </cell>
          <cell r="BZ441">
            <v>110.2</v>
          </cell>
          <cell r="CA441">
            <v>69.7</v>
          </cell>
          <cell r="CB441">
            <v>82.1</v>
          </cell>
          <cell r="CC441">
            <v>87</v>
          </cell>
          <cell r="CD441">
            <v>123.6</v>
          </cell>
          <cell r="CE441">
            <v>7.3</v>
          </cell>
          <cell r="CF441">
            <v>176.2</v>
          </cell>
          <cell r="CG441">
            <v>224.3</v>
          </cell>
          <cell r="CH441">
            <v>232.9</v>
          </cell>
          <cell r="CI441">
            <v>265.89999999999998</v>
          </cell>
          <cell r="CJ441">
            <v>203.4</v>
          </cell>
          <cell r="CK441">
            <v>-322.10000000000002</v>
          </cell>
          <cell r="CL441">
            <v>169.3</v>
          </cell>
          <cell r="CM441">
            <v>893.9</v>
          </cell>
          <cell r="CN441">
            <v>204.8</v>
          </cell>
          <cell r="CO441">
            <v>-313.3</v>
          </cell>
          <cell r="CP441">
            <v>282.2</v>
          </cell>
          <cell r="CQ441">
            <v>218.9</v>
          </cell>
          <cell r="CR441">
            <v>-291.5</v>
          </cell>
          <cell r="CS441">
            <v>211.4</v>
          </cell>
          <cell r="CT441">
            <v>178.8</v>
          </cell>
          <cell r="CU441">
            <v>128.69999999999999</v>
          </cell>
          <cell r="CV441">
            <v>172.8</v>
          </cell>
          <cell r="CW441">
            <v>164</v>
          </cell>
          <cell r="CX441">
            <v>148.5</v>
          </cell>
          <cell r="CY441">
            <v>191</v>
          </cell>
          <cell r="CZ441">
            <v>45.4</v>
          </cell>
          <cell r="DA441">
            <v>122.4</v>
          </cell>
          <cell r="DB441">
            <v>142.69999999999999</v>
          </cell>
          <cell r="DC441">
            <v>32.299999999999997</v>
          </cell>
          <cell r="DD441">
            <v>105</v>
          </cell>
          <cell r="DE441">
            <v>2.1</v>
          </cell>
          <cell r="DF441">
            <v>124.8</v>
          </cell>
          <cell r="DG441">
            <v>168.3</v>
          </cell>
          <cell r="DH441">
            <v>115</v>
          </cell>
          <cell r="DI441">
            <v>209.5</v>
          </cell>
          <cell r="DJ441">
            <v>110.2</v>
          </cell>
          <cell r="DK441">
            <v>108.6</v>
          </cell>
          <cell r="DL441">
            <v>36.200000000000003</v>
          </cell>
          <cell r="DM441">
            <v>-163.9</v>
          </cell>
          <cell r="DN441">
            <v>-49.6</v>
          </cell>
          <cell r="DO441">
            <v>-49.6</v>
          </cell>
          <cell r="DP441">
            <v>-49.6</v>
          </cell>
          <cell r="DQ441">
            <v>-49.6</v>
          </cell>
          <cell r="DR441">
            <v>-49.6</v>
          </cell>
          <cell r="DS441">
            <v>-49.6</v>
          </cell>
          <cell r="DT441">
            <v>-49.6</v>
          </cell>
          <cell r="DU441">
            <v>-49.6</v>
          </cell>
          <cell r="DV441">
            <v>-49.6</v>
          </cell>
          <cell r="DW441">
            <v>-49.6</v>
          </cell>
          <cell r="DX441">
            <v>-49.6</v>
          </cell>
          <cell r="DY441">
            <v>-49.6</v>
          </cell>
          <cell r="EM441">
            <v>805.49999999999989</v>
          </cell>
          <cell r="EN441">
            <v>-71.300000000000068</v>
          </cell>
          <cell r="EO441">
            <v>1608.2</v>
          </cell>
          <cell r="EP441">
            <v>1428.8999999999999</v>
          </cell>
          <cell r="EQ441">
            <v>1264.2</v>
          </cell>
          <cell r="ER441">
            <v>1866.2000000000005</v>
          </cell>
          <cell r="ES441">
            <v>1572.6000000000001</v>
          </cell>
        </row>
        <row r="442">
          <cell r="A442" t="str">
            <v>O&amp;M (Net of pass-throughs)</v>
          </cell>
          <cell r="B442" t="str">
            <v>Operations &amp; Maintenance Expense (incl clause)</v>
          </cell>
          <cell r="E442" t="str">
            <v>Operations &amp; Maintenance Expense</v>
          </cell>
          <cell r="F442" t="str">
            <v>6790020</v>
          </cell>
          <cell r="G442" t="str">
            <v>A_6790020</v>
          </cell>
          <cell r="H442" t="str">
            <v>Bad Debt Expense ARM</v>
          </cell>
          <cell r="J442">
            <v>0</v>
          </cell>
          <cell r="K442">
            <v>0</v>
          </cell>
          <cell r="L442">
            <v>0</v>
          </cell>
          <cell r="M442">
            <v>5.9</v>
          </cell>
          <cell r="N442">
            <v>0.6</v>
          </cell>
          <cell r="O442">
            <v>-4.4000000000000004</v>
          </cell>
          <cell r="P442">
            <v>-2.1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1.1000000000000001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50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EM442">
            <v>1.1000000000000001</v>
          </cell>
          <cell r="EN442">
            <v>50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</row>
        <row r="443">
          <cell r="A443" t="str">
            <v>O&amp;M (Net of pass-throughs)</v>
          </cell>
          <cell r="B443" t="str">
            <v>Operations &amp; Maintenance Expense (incl clause)</v>
          </cell>
          <cell r="E443" t="str">
            <v>Operations &amp; Maintenance Expense</v>
          </cell>
          <cell r="F443" t="str">
            <v>6790030</v>
          </cell>
          <cell r="G443" t="str">
            <v>A_6790030</v>
          </cell>
          <cell r="H443" t="str">
            <v>Director's Expense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57.3</v>
          </cell>
          <cell r="CJ443">
            <v>0</v>
          </cell>
          <cell r="CK443">
            <v>0</v>
          </cell>
          <cell r="CL443">
            <v>0</v>
          </cell>
          <cell r="CM443">
            <v>20.6</v>
          </cell>
          <cell r="CN443">
            <v>0</v>
          </cell>
          <cell r="CO443">
            <v>28.5</v>
          </cell>
          <cell r="CP443">
            <v>0.3</v>
          </cell>
          <cell r="CQ443">
            <v>0</v>
          </cell>
          <cell r="CR443">
            <v>0</v>
          </cell>
          <cell r="CS443">
            <v>28.7</v>
          </cell>
          <cell r="CT443">
            <v>9.6</v>
          </cell>
          <cell r="CU443">
            <v>28.5</v>
          </cell>
          <cell r="CV443">
            <v>0</v>
          </cell>
          <cell r="CW443">
            <v>0</v>
          </cell>
          <cell r="CX443">
            <v>28.5</v>
          </cell>
          <cell r="CY443">
            <v>0</v>
          </cell>
          <cell r="CZ443">
            <v>0</v>
          </cell>
          <cell r="DA443">
            <v>28.5</v>
          </cell>
          <cell r="DB443">
            <v>0</v>
          </cell>
          <cell r="DC443">
            <v>0</v>
          </cell>
          <cell r="DD443">
            <v>32.4</v>
          </cell>
          <cell r="DE443">
            <v>0</v>
          </cell>
          <cell r="DF443">
            <v>0</v>
          </cell>
          <cell r="DG443">
            <v>0</v>
          </cell>
          <cell r="DH443">
            <v>32.4</v>
          </cell>
          <cell r="DI443">
            <v>0</v>
          </cell>
          <cell r="DJ443">
            <v>32.4</v>
          </cell>
          <cell r="DK443">
            <v>0</v>
          </cell>
          <cell r="DL443">
            <v>0</v>
          </cell>
          <cell r="DM443">
            <v>31.9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106.4</v>
          </cell>
          <cell r="ES443">
            <v>124.1</v>
          </cell>
        </row>
        <row r="444">
          <cell r="A444" t="str">
            <v>O&amp;M (Net of pass-throughs)</v>
          </cell>
          <cell r="B444" t="str">
            <v>Operations &amp; Maintenance Expense (incl clause)</v>
          </cell>
          <cell r="E444" t="str">
            <v>Operations &amp; Maintenance Expense</v>
          </cell>
          <cell r="F444" t="str">
            <v>6790040</v>
          </cell>
          <cell r="G444" t="str">
            <v>A_6790040</v>
          </cell>
          <cell r="H444" t="str">
            <v>Director's Restricted Stock Expense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-1.8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EM444">
            <v>-1.8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</row>
        <row r="445">
          <cell r="A445" t="str">
            <v>O&amp;M (Net of pass-throughs)</v>
          </cell>
          <cell r="B445" t="str">
            <v>Operations &amp; Maintenance Expense (incl clause)</v>
          </cell>
          <cell r="E445" t="str">
            <v>Operations &amp; Maintenance Expense</v>
          </cell>
          <cell r="F445" t="str">
            <v>6790050</v>
          </cell>
          <cell r="G445" t="str">
            <v>A_6790050</v>
          </cell>
          <cell r="H445" t="str">
            <v>Deferred Compensation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</row>
        <row r="446">
          <cell r="A446" t="str">
            <v>O&amp;M (Net of pass-throughs)</v>
          </cell>
          <cell r="B446" t="str">
            <v>Operations &amp; Maintenance Expense (incl clause)</v>
          </cell>
          <cell r="E446" t="str">
            <v>Operations &amp; Maintenance Expense</v>
          </cell>
          <cell r="F446" t="str">
            <v>6790055</v>
          </cell>
          <cell r="G446" t="str">
            <v>A_6790055</v>
          </cell>
          <cell r="H446" t="str">
            <v>Economic Development</v>
          </cell>
          <cell r="J446">
            <v>20</v>
          </cell>
          <cell r="K446">
            <v>40.9</v>
          </cell>
          <cell r="L446">
            <v>63.7</v>
          </cell>
          <cell r="M446">
            <v>35.9</v>
          </cell>
          <cell r="N446">
            <v>51</v>
          </cell>
          <cell r="O446">
            <v>1.7</v>
          </cell>
          <cell r="P446">
            <v>1.7</v>
          </cell>
          <cell r="Q446">
            <v>11.6</v>
          </cell>
          <cell r="R446">
            <v>23.3</v>
          </cell>
          <cell r="S446">
            <v>1.1000000000000001</v>
          </cell>
          <cell r="T446">
            <v>1</v>
          </cell>
          <cell r="U446">
            <v>3.9</v>
          </cell>
          <cell r="V446">
            <v>25</v>
          </cell>
          <cell r="W446">
            <v>74.599999999999994</v>
          </cell>
          <cell r="X446">
            <v>2</v>
          </cell>
          <cell r="Y446">
            <v>74.599999999999994</v>
          </cell>
          <cell r="Z446">
            <v>14.2</v>
          </cell>
          <cell r="AA446">
            <v>7.5</v>
          </cell>
          <cell r="AB446">
            <v>16.2</v>
          </cell>
          <cell r="AC446">
            <v>12.3</v>
          </cell>
          <cell r="AD446">
            <v>15</v>
          </cell>
          <cell r="AE446">
            <v>4.9000000000000004</v>
          </cell>
          <cell r="AF446">
            <v>1.6</v>
          </cell>
          <cell r="AG446">
            <v>18</v>
          </cell>
          <cell r="AH446">
            <v>135</v>
          </cell>
          <cell r="AI446">
            <v>14</v>
          </cell>
          <cell r="AJ446">
            <v>57.1</v>
          </cell>
          <cell r="AK446">
            <v>2.9</v>
          </cell>
          <cell r="AL446">
            <v>4.7</v>
          </cell>
          <cell r="AM446">
            <v>9.1</v>
          </cell>
          <cell r="AN446">
            <v>4.9000000000000004</v>
          </cell>
          <cell r="AO446">
            <v>5.6</v>
          </cell>
          <cell r="AP446">
            <v>8.4</v>
          </cell>
          <cell r="AQ446">
            <v>21.9</v>
          </cell>
          <cell r="AR446">
            <v>26.6</v>
          </cell>
          <cell r="AS446">
            <v>150.80000000000001</v>
          </cell>
          <cell r="AT446">
            <v>20.399999999999999</v>
          </cell>
          <cell r="AU446">
            <v>5.4</v>
          </cell>
          <cell r="AV446">
            <v>12.5</v>
          </cell>
          <cell r="AW446">
            <v>0.8</v>
          </cell>
          <cell r="AX446">
            <v>3.7</v>
          </cell>
          <cell r="AY446">
            <v>0.3</v>
          </cell>
          <cell r="AZ446">
            <v>17.100000000000001</v>
          </cell>
          <cell r="BA446">
            <v>5.6</v>
          </cell>
          <cell r="BB446">
            <v>6</v>
          </cell>
          <cell r="BC446">
            <v>16.7</v>
          </cell>
          <cell r="BD446">
            <v>6</v>
          </cell>
          <cell r="BE446">
            <v>84.3</v>
          </cell>
          <cell r="BF446">
            <v>48</v>
          </cell>
          <cell r="BG446">
            <v>15</v>
          </cell>
          <cell r="BH446">
            <v>39.6</v>
          </cell>
          <cell r="BI446">
            <v>2.9</v>
          </cell>
          <cell r="BJ446">
            <v>25.7</v>
          </cell>
          <cell r="BK446">
            <v>68.3</v>
          </cell>
          <cell r="BL446">
            <v>39.1</v>
          </cell>
          <cell r="BM446">
            <v>2.1</v>
          </cell>
          <cell r="BN446">
            <v>5.9</v>
          </cell>
          <cell r="BO446">
            <v>18.600000000000001</v>
          </cell>
          <cell r="BP446">
            <v>12.7</v>
          </cell>
          <cell r="BQ446">
            <v>35.4</v>
          </cell>
          <cell r="BR446">
            <v>54.9</v>
          </cell>
          <cell r="BS446">
            <v>50.7</v>
          </cell>
          <cell r="BT446">
            <v>7.8</v>
          </cell>
          <cell r="BU446">
            <v>52</v>
          </cell>
          <cell r="BV446">
            <v>26.4</v>
          </cell>
          <cell r="BW446">
            <v>64.3</v>
          </cell>
          <cell r="BX446">
            <v>2</v>
          </cell>
          <cell r="BY446">
            <v>-23.4</v>
          </cell>
          <cell r="BZ446">
            <v>5.8</v>
          </cell>
          <cell r="CA446">
            <v>14.5</v>
          </cell>
          <cell r="CB446">
            <v>8.1</v>
          </cell>
          <cell r="CC446">
            <v>33.9</v>
          </cell>
          <cell r="CD446">
            <v>66</v>
          </cell>
          <cell r="CE446">
            <v>64.3</v>
          </cell>
          <cell r="CF446">
            <v>1.1000000000000001</v>
          </cell>
          <cell r="CG446">
            <v>6.6</v>
          </cell>
          <cell r="CH446">
            <v>39.700000000000003</v>
          </cell>
          <cell r="CI446">
            <v>4.2</v>
          </cell>
          <cell r="CJ446">
            <v>16.899999999999999</v>
          </cell>
          <cell r="CK446">
            <v>25</v>
          </cell>
          <cell r="CL446">
            <v>6</v>
          </cell>
          <cell r="CM446">
            <v>6.1</v>
          </cell>
          <cell r="CN446">
            <v>14.5</v>
          </cell>
          <cell r="CO446">
            <v>98</v>
          </cell>
          <cell r="CP446">
            <v>0</v>
          </cell>
          <cell r="CQ446">
            <v>109.2</v>
          </cell>
          <cell r="CR446">
            <v>43.8</v>
          </cell>
          <cell r="CS446">
            <v>28.7</v>
          </cell>
          <cell r="CT446">
            <v>2.2999999999999998</v>
          </cell>
          <cell r="CU446">
            <v>15.1</v>
          </cell>
          <cell r="CV446">
            <v>2.6</v>
          </cell>
          <cell r="CW446">
            <v>24.5</v>
          </cell>
          <cell r="CX446">
            <v>12.4</v>
          </cell>
          <cell r="CY446">
            <v>38.1</v>
          </cell>
          <cell r="CZ446">
            <v>8.1999999999999993</v>
          </cell>
          <cell r="DA446">
            <v>87.5</v>
          </cell>
          <cell r="DB446">
            <v>85.2</v>
          </cell>
          <cell r="DC446">
            <v>4.0999999999999996</v>
          </cell>
          <cell r="DD446">
            <v>16.2</v>
          </cell>
          <cell r="DE446">
            <v>10.1</v>
          </cell>
          <cell r="DF446">
            <v>58.9</v>
          </cell>
          <cell r="DG446">
            <v>10.1</v>
          </cell>
          <cell r="DH446">
            <v>21.9</v>
          </cell>
          <cell r="DI446">
            <v>34.1</v>
          </cell>
          <cell r="DJ446">
            <v>13.5</v>
          </cell>
          <cell r="DK446">
            <v>5.3</v>
          </cell>
          <cell r="DL446">
            <v>19.3</v>
          </cell>
          <cell r="DM446">
            <v>43.1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EM446">
            <v>265.89999999999998</v>
          </cell>
          <cell r="EN446">
            <v>441</v>
          </cell>
          <cell r="EO446">
            <v>178.8</v>
          </cell>
          <cell r="EP446">
            <v>313.29999999999995</v>
          </cell>
          <cell r="EQ446">
            <v>296.99999999999994</v>
          </cell>
          <cell r="ER446">
            <v>348.4</v>
          </cell>
          <cell r="ES446">
            <v>372.4</v>
          </cell>
        </row>
        <row r="447">
          <cell r="A447" t="str">
            <v>O&amp;M (Net of pass-throughs)</v>
          </cell>
          <cell r="B447" t="str">
            <v>Operations &amp; Maintenance Expense (incl clause)</v>
          </cell>
          <cell r="E447" t="str">
            <v>Operations &amp; Maintenance Expense</v>
          </cell>
          <cell r="F447" t="str">
            <v>6790060</v>
          </cell>
          <cell r="G447" t="str">
            <v>A_6790060</v>
          </cell>
          <cell r="H447" t="str">
            <v>Industry Dues</v>
          </cell>
          <cell r="J447">
            <v>59.1</v>
          </cell>
          <cell r="K447">
            <v>87.7</v>
          </cell>
          <cell r="L447">
            <v>191.2</v>
          </cell>
          <cell r="M447">
            <v>41.2</v>
          </cell>
          <cell r="N447">
            <v>52.7</v>
          </cell>
          <cell r="O447">
            <v>41.7</v>
          </cell>
          <cell r="P447">
            <v>297.39999999999998</v>
          </cell>
          <cell r="Q447">
            <v>41.7</v>
          </cell>
          <cell r="R447">
            <v>41.8</v>
          </cell>
          <cell r="S447">
            <v>42.9</v>
          </cell>
          <cell r="T447">
            <v>148.4</v>
          </cell>
          <cell r="U447">
            <v>56.7</v>
          </cell>
          <cell r="V447">
            <v>10</v>
          </cell>
          <cell r="W447">
            <v>130.30000000000001</v>
          </cell>
          <cell r="X447">
            <v>4.3</v>
          </cell>
          <cell r="Y447">
            <v>60.2</v>
          </cell>
          <cell r="Z447">
            <v>2.4</v>
          </cell>
          <cell r="AA447">
            <v>7</v>
          </cell>
          <cell r="AB447">
            <v>61.2</v>
          </cell>
          <cell r="AC447">
            <v>27.3</v>
          </cell>
          <cell r="AD447">
            <v>189.4</v>
          </cell>
          <cell r="AE447">
            <v>0</v>
          </cell>
          <cell r="AF447">
            <v>78.2</v>
          </cell>
          <cell r="AG447">
            <v>15.2</v>
          </cell>
          <cell r="AH447">
            <v>12.6</v>
          </cell>
          <cell r="AI447">
            <v>56.8</v>
          </cell>
          <cell r="AJ447">
            <v>0</v>
          </cell>
          <cell r="AK447">
            <v>56.8</v>
          </cell>
          <cell r="AL447">
            <v>0.5</v>
          </cell>
          <cell r="AM447">
            <v>216.6</v>
          </cell>
          <cell r="AN447">
            <v>61.8</v>
          </cell>
          <cell r="AO447">
            <v>11.3</v>
          </cell>
          <cell r="AP447">
            <v>0.6</v>
          </cell>
          <cell r="AQ447">
            <v>81</v>
          </cell>
          <cell r="AR447">
            <v>6.1</v>
          </cell>
          <cell r="AS447">
            <v>62.3</v>
          </cell>
          <cell r="AT447">
            <v>44.2</v>
          </cell>
          <cell r="AU447">
            <v>72.2</v>
          </cell>
          <cell r="AV447">
            <v>29.2</v>
          </cell>
          <cell r="AW447">
            <v>90.7</v>
          </cell>
          <cell r="AX447">
            <v>48.5</v>
          </cell>
          <cell r="AY447">
            <v>29.2</v>
          </cell>
          <cell r="AZ447">
            <v>172.1</v>
          </cell>
          <cell r="BA447">
            <v>56.4</v>
          </cell>
          <cell r="BB447">
            <v>29.5</v>
          </cell>
          <cell r="BC447">
            <v>84.7</v>
          </cell>
          <cell r="BD447">
            <v>31.7</v>
          </cell>
          <cell r="BE447">
            <v>105.4</v>
          </cell>
          <cell r="BF447">
            <v>33.299999999999997</v>
          </cell>
          <cell r="BG447">
            <v>291.10000000000002</v>
          </cell>
          <cell r="BH447">
            <v>36.799999999999997</v>
          </cell>
          <cell r="BI447">
            <v>58.3</v>
          </cell>
          <cell r="BJ447">
            <v>84.3</v>
          </cell>
          <cell r="BK447">
            <v>62.5</v>
          </cell>
          <cell r="BL447">
            <v>84.5</v>
          </cell>
          <cell r="BM447">
            <v>39.1</v>
          </cell>
          <cell r="BN447">
            <v>33.299999999999997</v>
          </cell>
          <cell r="BO447">
            <v>84.3</v>
          </cell>
          <cell r="BP447">
            <v>33.299999999999997</v>
          </cell>
          <cell r="BQ447">
            <v>37.1</v>
          </cell>
          <cell r="BR447">
            <v>44.2</v>
          </cell>
          <cell r="BS447">
            <v>121</v>
          </cell>
          <cell r="BT447">
            <v>261</v>
          </cell>
          <cell r="BU447">
            <v>124.2</v>
          </cell>
          <cell r="BV447">
            <v>41.7</v>
          </cell>
          <cell r="BW447">
            <v>41.7</v>
          </cell>
          <cell r="BX447">
            <v>117.6</v>
          </cell>
          <cell r="BY447">
            <v>52.4</v>
          </cell>
          <cell r="BZ447">
            <v>79.2</v>
          </cell>
          <cell r="CA447">
            <v>101.7</v>
          </cell>
          <cell r="CB447">
            <v>41.7</v>
          </cell>
          <cell r="CC447">
            <v>41.7</v>
          </cell>
          <cell r="CD447">
            <v>82</v>
          </cell>
          <cell r="CE447">
            <v>274.2</v>
          </cell>
          <cell r="CF447">
            <v>63.9</v>
          </cell>
          <cell r="CG447">
            <v>100.2</v>
          </cell>
          <cell r="CH447">
            <v>41.7</v>
          </cell>
          <cell r="CI447">
            <v>41.7</v>
          </cell>
          <cell r="CJ447">
            <v>100.2</v>
          </cell>
          <cell r="CK447">
            <v>25</v>
          </cell>
          <cell r="CL447">
            <v>0</v>
          </cell>
          <cell r="CM447">
            <v>66.599999999999994</v>
          </cell>
          <cell r="CN447">
            <v>0</v>
          </cell>
          <cell r="CO447">
            <v>200</v>
          </cell>
          <cell r="CP447">
            <v>177.7</v>
          </cell>
          <cell r="CQ447">
            <v>95.4</v>
          </cell>
          <cell r="CR447">
            <v>21.8</v>
          </cell>
          <cell r="CS447">
            <v>56.3</v>
          </cell>
          <cell r="CT447">
            <v>0</v>
          </cell>
          <cell r="CU447">
            <v>62.7</v>
          </cell>
          <cell r="CV447">
            <v>86.3</v>
          </cell>
          <cell r="CW447">
            <v>0</v>
          </cell>
          <cell r="CX447">
            <v>0</v>
          </cell>
          <cell r="CY447">
            <v>56.3</v>
          </cell>
          <cell r="CZ447">
            <v>5</v>
          </cell>
          <cell r="DA447">
            <v>39.5</v>
          </cell>
          <cell r="DB447">
            <v>403.6</v>
          </cell>
          <cell r="DC447">
            <v>59.7</v>
          </cell>
          <cell r="DD447">
            <v>0</v>
          </cell>
          <cell r="DE447">
            <v>294.7</v>
          </cell>
          <cell r="DF447">
            <v>30</v>
          </cell>
          <cell r="DG447">
            <v>8</v>
          </cell>
          <cell r="DH447">
            <v>73.7</v>
          </cell>
          <cell r="DI447">
            <v>0</v>
          </cell>
          <cell r="DJ447">
            <v>0</v>
          </cell>
          <cell r="DK447">
            <v>57.2</v>
          </cell>
          <cell r="DL447">
            <v>0</v>
          </cell>
          <cell r="DM447">
            <v>44.5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EM447">
            <v>585.50000000000011</v>
          </cell>
          <cell r="EN447">
            <v>566.4</v>
          </cell>
          <cell r="EO447">
            <v>793.80000000000007</v>
          </cell>
          <cell r="EP447">
            <v>877.9</v>
          </cell>
          <cell r="EQ447">
            <v>1068.1000000000001</v>
          </cell>
          <cell r="ER447">
            <v>995.50000000000011</v>
          </cell>
          <cell r="ES447">
            <v>601</v>
          </cell>
        </row>
        <row r="448">
          <cell r="A448" t="str">
            <v>O&amp;M (Net of pass-throughs) SUB</v>
          </cell>
          <cell r="B448" t="str">
            <v>Operations &amp; Maintenance Expense (incl clause)</v>
          </cell>
          <cell r="E448" t="str">
            <v>Operations &amp; Maintenance Expense</v>
          </cell>
          <cell r="F448" t="str">
            <v>6790090</v>
          </cell>
          <cell r="G448" t="str">
            <v>A_6790090</v>
          </cell>
          <cell r="H448" t="str">
            <v>Donations - Charitable (501c)</v>
          </cell>
          <cell r="J448">
            <v>6.7</v>
          </cell>
          <cell r="K448">
            <v>2.8</v>
          </cell>
          <cell r="L448">
            <v>3.5</v>
          </cell>
          <cell r="M448">
            <v>1.6</v>
          </cell>
          <cell r="N448">
            <v>5.5</v>
          </cell>
          <cell r="O448">
            <v>1.1000000000000001</v>
          </cell>
          <cell r="P448">
            <v>0.5</v>
          </cell>
          <cell r="Q448">
            <v>0.3</v>
          </cell>
          <cell r="R448">
            <v>3.2</v>
          </cell>
          <cell r="S448">
            <v>2.2000000000000002</v>
          </cell>
          <cell r="T448">
            <v>4.7</v>
          </cell>
          <cell r="U448">
            <v>14.5</v>
          </cell>
          <cell r="V448">
            <v>4.7</v>
          </cell>
          <cell r="W448">
            <v>5</v>
          </cell>
          <cell r="X448">
            <v>4.4000000000000004</v>
          </cell>
          <cell r="Y448">
            <v>34.5</v>
          </cell>
          <cell r="Z448">
            <v>0.5</v>
          </cell>
          <cell r="AA448">
            <v>6.9</v>
          </cell>
          <cell r="AB448">
            <v>3.7</v>
          </cell>
          <cell r="AC448">
            <v>3.8</v>
          </cell>
          <cell r="AD448">
            <v>7</v>
          </cell>
          <cell r="AE448">
            <v>6.6</v>
          </cell>
          <cell r="AF448">
            <v>1.5</v>
          </cell>
          <cell r="AG448">
            <v>18.3</v>
          </cell>
          <cell r="AH448">
            <v>1</v>
          </cell>
          <cell r="AI448">
            <v>6.8</v>
          </cell>
          <cell r="AJ448">
            <v>3.7</v>
          </cell>
          <cell r="AK448">
            <v>12.8</v>
          </cell>
          <cell r="AL448">
            <v>8</v>
          </cell>
          <cell r="AM448">
            <v>38.6</v>
          </cell>
          <cell r="AN448">
            <v>0.6</v>
          </cell>
          <cell r="AO448">
            <v>1.1000000000000001</v>
          </cell>
          <cell r="AP448">
            <v>10.8</v>
          </cell>
          <cell r="AQ448">
            <v>13.2</v>
          </cell>
          <cell r="AR448">
            <v>6.6</v>
          </cell>
          <cell r="AS448">
            <v>20.7</v>
          </cell>
          <cell r="AT448">
            <v>1</v>
          </cell>
          <cell r="AU448">
            <v>6.1</v>
          </cell>
          <cell r="AV448">
            <v>1.1000000000000001</v>
          </cell>
          <cell r="AW448">
            <v>1.2</v>
          </cell>
          <cell r="AX448">
            <v>3.2</v>
          </cell>
          <cell r="AY448">
            <v>2.9</v>
          </cell>
          <cell r="AZ448">
            <v>17.5</v>
          </cell>
          <cell r="BA448">
            <v>6.2</v>
          </cell>
          <cell r="BB448">
            <v>6.4</v>
          </cell>
          <cell r="BC448">
            <v>5.6</v>
          </cell>
          <cell r="BD448">
            <v>3.6</v>
          </cell>
          <cell r="BE448">
            <v>7.1</v>
          </cell>
          <cell r="BF448">
            <v>0.8</v>
          </cell>
          <cell r="BG448">
            <v>1.9</v>
          </cell>
          <cell r="BH448">
            <v>6.1</v>
          </cell>
          <cell r="BI448">
            <v>5.3</v>
          </cell>
          <cell r="BJ448">
            <v>0.4</v>
          </cell>
          <cell r="BK448">
            <v>4.4000000000000004</v>
          </cell>
          <cell r="BL448">
            <v>3.9</v>
          </cell>
          <cell r="BM448">
            <v>8.6</v>
          </cell>
          <cell r="BN448">
            <v>1.6</v>
          </cell>
          <cell r="BO448">
            <v>30.3</v>
          </cell>
          <cell r="BP448">
            <v>1.7</v>
          </cell>
          <cell r="BQ448">
            <v>19.600000000000001</v>
          </cell>
          <cell r="BR448">
            <v>10.1</v>
          </cell>
          <cell r="BS448">
            <v>4</v>
          </cell>
          <cell r="BT448">
            <v>3.9</v>
          </cell>
          <cell r="BU448">
            <v>1.3</v>
          </cell>
          <cell r="BV448">
            <v>15.2</v>
          </cell>
          <cell r="BW448">
            <v>3.8</v>
          </cell>
          <cell r="BX448">
            <v>0.7</v>
          </cell>
          <cell r="BY448">
            <v>7.6</v>
          </cell>
          <cell r="BZ448">
            <v>20.7</v>
          </cell>
          <cell r="CA448">
            <v>1.5</v>
          </cell>
          <cell r="CB448">
            <v>4.2</v>
          </cell>
          <cell r="CC448">
            <v>10.6</v>
          </cell>
          <cell r="CD448">
            <v>3.7</v>
          </cell>
          <cell r="CE448">
            <v>5.7</v>
          </cell>
          <cell r="CF448">
            <v>10.4</v>
          </cell>
          <cell r="CG448">
            <v>105</v>
          </cell>
          <cell r="CH448">
            <v>20.3</v>
          </cell>
          <cell r="CI448">
            <v>50.9</v>
          </cell>
          <cell r="CJ448">
            <v>0</v>
          </cell>
          <cell r="CK448">
            <v>4.5999999999999996</v>
          </cell>
          <cell r="CL448">
            <v>2.2000000000000002</v>
          </cell>
          <cell r="CM448">
            <v>4.8</v>
          </cell>
          <cell r="CN448">
            <v>3.2</v>
          </cell>
          <cell r="CO448">
            <v>34.5</v>
          </cell>
          <cell r="CP448">
            <v>0.7</v>
          </cell>
          <cell r="CQ448">
            <v>6.1</v>
          </cell>
          <cell r="CR448">
            <v>16.600000000000001</v>
          </cell>
          <cell r="CS448">
            <v>16.2</v>
          </cell>
          <cell r="CT448">
            <v>0.3</v>
          </cell>
          <cell r="CU448">
            <v>0.1</v>
          </cell>
          <cell r="CV448">
            <v>0.3</v>
          </cell>
          <cell r="CW448">
            <v>20.3</v>
          </cell>
          <cell r="CX448">
            <v>4.2</v>
          </cell>
          <cell r="CY448">
            <v>9.6999999999999993</v>
          </cell>
          <cell r="CZ448">
            <v>15</v>
          </cell>
          <cell r="DA448">
            <v>69.099999999999994</v>
          </cell>
          <cell r="DB448">
            <v>1.4</v>
          </cell>
          <cell r="DC448">
            <v>1.9</v>
          </cell>
          <cell r="DD448">
            <v>11.3</v>
          </cell>
          <cell r="DE448">
            <v>39.200000000000003</v>
          </cell>
          <cell r="DF448">
            <v>13.7</v>
          </cell>
          <cell r="DG448">
            <v>21</v>
          </cell>
          <cell r="DH448">
            <v>16.100000000000001</v>
          </cell>
          <cell r="DI448">
            <v>-6.5</v>
          </cell>
          <cell r="DJ448">
            <v>23.1</v>
          </cell>
          <cell r="DK448">
            <v>54.2</v>
          </cell>
          <cell r="DL448">
            <v>36.9</v>
          </cell>
          <cell r="DM448">
            <v>25.2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EM448">
            <v>96.899999999999991</v>
          </cell>
          <cell r="EN448">
            <v>123.89999999999999</v>
          </cell>
          <cell r="EO448">
            <v>61.900000000000006</v>
          </cell>
          <cell r="EP448">
            <v>84.6</v>
          </cell>
          <cell r="EQ448">
            <v>83.6</v>
          </cell>
          <cell r="ER448">
            <v>245.29999999999998</v>
          </cell>
          <cell r="ES448">
            <v>158.6</v>
          </cell>
        </row>
        <row r="449">
          <cell r="A449" t="str">
            <v>O&amp;M (Net of pass-throughs) SUB</v>
          </cell>
          <cell r="B449" t="str">
            <v>Operations &amp; Maintenance Expense (incl clause)</v>
          </cell>
          <cell r="E449" t="str">
            <v>Operations &amp; Maintenance Expense</v>
          </cell>
          <cell r="F449" t="str">
            <v>6790091</v>
          </cell>
          <cell r="G449" t="str">
            <v>A_6790091</v>
          </cell>
          <cell r="H449" t="str">
            <v>Donations - Non deductible</v>
          </cell>
          <cell r="J449">
            <v>0.8</v>
          </cell>
          <cell r="K449">
            <v>0.1</v>
          </cell>
          <cell r="L449">
            <v>3.2</v>
          </cell>
          <cell r="M449">
            <v>0.6</v>
          </cell>
          <cell r="N449">
            <v>2.1</v>
          </cell>
          <cell r="O449">
            <v>0.2</v>
          </cell>
          <cell r="P449">
            <v>2</v>
          </cell>
          <cell r="Q449">
            <v>1.2</v>
          </cell>
          <cell r="R449">
            <v>0</v>
          </cell>
          <cell r="S449">
            <v>0.8</v>
          </cell>
          <cell r="T449">
            <v>1.5</v>
          </cell>
          <cell r="U449">
            <v>7.6</v>
          </cell>
          <cell r="V449">
            <v>4.2</v>
          </cell>
          <cell r="W449">
            <v>2</v>
          </cell>
          <cell r="X449">
            <v>12.9</v>
          </cell>
          <cell r="Y449">
            <v>0.3</v>
          </cell>
          <cell r="Z449">
            <v>3</v>
          </cell>
          <cell r="AA449">
            <v>3.4</v>
          </cell>
          <cell r="AB449">
            <v>8.5</v>
          </cell>
          <cell r="AC449">
            <v>1.2</v>
          </cell>
          <cell r="AD449">
            <v>3.1</v>
          </cell>
          <cell r="AE449">
            <v>2.5</v>
          </cell>
          <cell r="AF449">
            <v>0.3</v>
          </cell>
          <cell r="AG449">
            <v>3.2</v>
          </cell>
          <cell r="AH449">
            <v>1.9</v>
          </cell>
          <cell r="AI449">
            <v>1.8</v>
          </cell>
          <cell r="AJ449">
            <v>16.8</v>
          </cell>
          <cell r="AK449">
            <v>1.5</v>
          </cell>
          <cell r="AL449">
            <v>0</v>
          </cell>
          <cell r="AM449">
            <v>5.3</v>
          </cell>
          <cell r="AN449">
            <v>1.5</v>
          </cell>
          <cell r="AO449">
            <v>5.2</v>
          </cell>
          <cell r="AP449">
            <v>2.2999999999999998</v>
          </cell>
          <cell r="AQ449">
            <v>5.8</v>
          </cell>
          <cell r="AR449">
            <v>1.3</v>
          </cell>
          <cell r="AS449">
            <v>1.4</v>
          </cell>
          <cell r="AT449">
            <v>6.6</v>
          </cell>
          <cell r="AU449">
            <v>1.9</v>
          </cell>
          <cell r="AV449">
            <v>3.3</v>
          </cell>
          <cell r="AW449">
            <v>14.4</v>
          </cell>
          <cell r="AX449">
            <v>2.8</v>
          </cell>
          <cell r="AY449">
            <v>2.5</v>
          </cell>
          <cell r="AZ449">
            <v>5.9</v>
          </cell>
          <cell r="BA449">
            <v>2</v>
          </cell>
          <cell r="BB449">
            <v>16.5</v>
          </cell>
          <cell r="BC449">
            <v>7.4</v>
          </cell>
          <cell r="BD449">
            <v>1.6</v>
          </cell>
          <cell r="BE449">
            <v>5.9</v>
          </cell>
          <cell r="BF449">
            <v>4.3</v>
          </cell>
          <cell r="BG449">
            <v>4.3</v>
          </cell>
          <cell r="BH449">
            <v>9.8000000000000007</v>
          </cell>
          <cell r="BI449">
            <v>15.2</v>
          </cell>
          <cell r="BJ449">
            <v>6</v>
          </cell>
          <cell r="BK449">
            <v>4.5999999999999996</v>
          </cell>
          <cell r="BL449">
            <v>1.2</v>
          </cell>
          <cell r="BM449">
            <v>1.7</v>
          </cell>
          <cell r="BN449">
            <v>4.2</v>
          </cell>
          <cell r="BO449">
            <v>1.3</v>
          </cell>
          <cell r="BP449">
            <v>9.1999999999999993</v>
          </cell>
          <cell r="BQ449">
            <v>2.2000000000000002</v>
          </cell>
          <cell r="BR449">
            <v>15.4</v>
          </cell>
          <cell r="BS449">
            <v>5.2</v>
          </cell>
          <cell r="BT449">
            <v>5.2</v>
          </cell>
          <cell r="BU449">
            <v>6.6</v>
          </cell>
          <cell r="BV449">
            <v>5.6</v>
          </cell>
          <cell r="BW449">
            <v>0</v>
          </cell>
          <cell r="BX449">
            <v>4.9000000000000004</v>
          </cell>
          <cell r="BY449">
            <v>5</v>
          </cell>
          <cell r="BZ449">
            <v>42.5</v>
          </cell>
          <cell r="CA449">
            <v>8.4</v>
          </cell>
          <cell r="CB449">
            <v>4.3</v>
          </cell>
          <cell r="CC449">
            <v>20.100000000000001</v>
          </cell>
          <cell r="CD449">
            <v>1.4</v>
          </cell>
          <cell r="CE449">
            <v>62</v>
          </cell>
          <cell r="CF449">
            <v>26.3</v>
          </cell>
          <cell r="CG449">
            <v>0.1</v>
          </cell>
          <cell r="CH449">
            <v>8.5</v>
          </cell>
          <cell r="CI449">
            <v>1.7</v>
          </cell>
          <cell r="CJ449">
            <v>0</v>
          </cell>
          <cell r="CK449">
            <v>0</v>
          </cell>
          <cell r="CL449">
            <v>0</v>
          </cell>
          <cell r="CM449">
            <v>13</v>
          </cell>
          <cell r="CN449">
            <v>9.5</v>
          </cell>
          <cell r="CO449">
            <v>5.5</v>
          </cell>
          <cell r="CP449">
            <v>0</v>
          </cell>
          <cell r="CQ449">
            <v>34.6</v>
          </cell>
          <cell r="CR449">
            <v>0</v>
          </cell>
          <cell r="CS449">
            <v>1.5</v>
          </cell>
          <cell r="CT449">
            <v>7</v>
          </cell>
          <cell r="CU449">
            <v>2.5</v>
          </cell>
          <cell r="CV449">
            <v>3</v>
          </cell>
          <cell r="CW449">
            <v>5</v>
          </cell>
          <cell r="CX449">
            <v>16.600000000000001</v>
          </cell>
          <cell r="CY449">
            <v>0</v>
          </cell>
          <cell r="CZ449">
            <v>1.6</v>
          </cell>
          <cell r="DA449">
            <v>5.3</v>
          </cell>
          <cell r="DB449">
            <v>49.9</v>
          </cell>
          <cell r="DC449">
            <v>0.3</v>
          </cell>
          <cell r="DD449">
            <v>3.4</v>
          </cell>
          <cell r="DE449">
            <v>7.3</v>
          </cell>
          <cell r="DF449">
            <v>22.2</v>
          </cell>
          <cell r="DG449">
            <v>0</v>
          </cell>
          <cell r="DH449">
            <v>4</v>
          </cell>
          <cell r="DI449">
            <v>3.7</v>
          </cell>
          <cell r="DJ449">
            <v>0.1</v>
          </cell>
          <cell r="DK449">
            <v>4.2</v>
          </cell>
          <cell r="DL449">
            <v>7.7</v>
          </cell>
          <cell r="DM449">
            <v>-0.3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EM449">
            <v>44.6</v>
          </cell>
          <cell r="EN449">
            <v>44.79999999999999</v>
          </cell>
          <cell r="EO449">
            <v>70.800000000000011</v>
          </cell>
          <cell r="EP449">
            <v>64</v>
          </cell>
          <cell r="EQ449">
            <v>123.20000000000002</v>
          </cell>
          <cell r="ER449">
            <v>128</v>
          </cell>
          <cell r="ES449">
            <v>77.099999999999994</v>
          </cell>
        </row>
        <row r="450">
          <cell r="A450" t="str">
            <v>O&amp;M (Net of pass-throughs) SUB</v>
          </cell>
          <cell r="B450" t="str">
            <v>Operations &amp; Maintenance Expense (incl clause)</v>
          </cell>
          <cell r="E450" t="str">
            <v>Operations &amp; Maintenance Expense</v>
          </cell>
          <cell r="F450" t="str">
            <v>6790092</v>
          </cell>
          <cell r="G450" t="str">
            <v>A_6790092</v>
          </cell>
          <cell r="H450" t="str">
            <v>Donations - Other</v>
          </cell>
          <cell r="J450">
            <v>2</v>
          </cell>
          <cell r="K450">
            <v>4.5999999999999996</v>
          </cell>
          <cell r="L450">
            <v>13.6</v>
          </cell>
          <cell r="M450">
            <v>2.9</v>
          </cell>
          <cell r="N450">
            <v>23.7</v>
          </cell>
          <cell r="O450">
            <v>7.8</v>
          </cell>
          <cell r="P450">
            <v>15.8</v>
          </cell>
          <cell r="Q450">
            <v>9.9</v>
          </cell>
          <cell r="R450">
            <v>1.2</v>
          </cell>
          <cell r="S450">
            <v>1.9</v>
          </cell>
          <cell r="T450">
            <v>4.8</v>
          </cell>
          <cell r="U450">
            <v>22.2</v>
          </cell>
          <cell r="V450">
            <v>6.6</v>
          </cell>
          <cell r="W450">
            <v>6.9</v>
          </cell>
          <cell r="X450">
            <v>32.299999999999997</v>
          </cell>
          <cell r="Y450">
            <v>12.2</v>
          </cell>
          <cell r="Z450">
            <v>10.3</v>
          </cell>
          <cell r="AA450">
            <v>5.9</v>
          </cell>
          <cell r="AB450">
            <v>15.7</v>
          </cell>
          <cell r="AC450">
            <v>7.7</v>
          </cell>
          <cell r="AD450">
            <v>6.6</v>
          </cell>
          <cell r="AE450">
            <v>9.4</v>
          </cell>
          <cell r="AF450">
            <v>3.2</v>
          </cell>
          <cell r="AG450">
            <v>16.2</v>
          </cell>
          <cell r="AH450">
            <v>19.3</v>
          </cell>
          <cell r="AI450">
            <v>3.6</v>
          </cell>
          <cell r="AJ450">
            <v>14</v>
          </cell>
          <cell r="AK450">
            <v>6</v>
          </cell>
          <cell r="AL450">
            <v>12</v>
          </cell>
          <cell r="AM450">
            <v>29.7</v>
          </cell>
          <cell r="AN450">
            <v>11.1</v>
          </cell>
          <cell r="AO450">
            <v>11</v>
          </cell>
          <cell r="AP450">
            <v>14.2</v>
          </cell>
          <cell r="AQ450">
            <v>9</v>
          </cell>
          <cell r="AR450">
            <v>6.6</v>
          </cell>
          <cell r="AS450">
            <v>36.5</v>
          </cell>
          <cell r="AT450">
            <v>-25.1</v>
          </cell>
          <cell r="AU450">
            <v>12.1</v>
          </cell>
          <cell r="AV450">
            <v>3.1</v>
          </cell>
          <cell r="AW450">
            <v>9.1999999999999993</v>
          </cell>
          <cell r="AX450">
            <v>9.1999999999999993</v>
          </cell>
          <cell r="AY450">
            <v>8.4</v>
          </cell>
          <cell r="AZ450">
            <v>7.7</v>
          </cell>
          <cell r="BA450">
            <v>16.8</v>
          </cell>
          <cell r="BB450">
            <v>12.6</v>
          </cell>
          <cell r="BC450">
            <v>5.6</v>
          </cell>
          <cell r="BD450">
            <v>14.3</v>
          </cell>
          <cell r="BE450">
            <v>18.5</v>
          </cell>
          <cell r="BF450">
            <v>8.4</v>
          </cell>
          <cell r="BG450">
            <v>8.8000000000000007</v>
          </cell>
          <cell r="BH450">
            <v>4.8</v>
          </cell>
          <cell r="BI450">
            <v>25.5</v>
          </cell>
          <cell r="BJ450">
            <v>24.1</v>
          </cell>
          <cell r="BK450">
            <v>4.3</v>
          </cell>
          <cell r="BL450">
            <v>2.2999999999999998</v>
          </cell>
          <cell r="BM450">
            <v>16.899999999999999</v>
          </cell>
          <cell r="BN450">
            <v>9.1</v>
          </cell>
          <cell r="BO450">
            <v>32.799999999999997</v>
          </cell>
          <cell r="BP450">
            <v>28</v>
          </cell>
          <cell r="BQ450">
            <v>9.4</v>
          </cell>
          <cell r="BR450">
            <v>8.9</v>
          </cell>
          <cell r="BS450">
            <v>10.4</v>
          </cell>
          <cell r="BT450">
            <v>15.4</v>
          </cell>
          <cell r="BU450">
            <v>10.3</v>
          </cell>
          <cell r="BV450">
            <v>11.2</v>
          </cell>
          <cell r="BW450">
            <v>13.7</v>
          </cell>
          <cell r="BX450">
            <v>4.5</v>
          </cell>
          <cell r="BY450">
            <v>13.2</v>
          </cell>
          <cell r="BZ450">
            <v>8.3000000000000007</v>
          </cell>
          <cell r="CA450">
            <v>2.8</v>
          </cell>
          <cell r="CB450">
            <v>31.4</v>
          </cell>
          <cell r="CC450">
            <v>31.8</v>
          </cell>
          <cell r="CD450">
            <v>3.8</v>
          </cell>
          <cell r="CE450">
            <v>7.1</v>
          </cell>
          <cell r="CF450">
            <v>3.9</v>
          </cell>
          <cell r="CG450">
            <v>1.3</v>
          </cell>
          <cell r="CH450">
            <v>1.6</v>
          </cell>
          <cell r="CI450">
            <v>4.0999999999999996</v>
          </cell>
          <cell r="CJ450">
            <v>1.5</v>
          </cell>
          <cell r="CK450">
            <v>4.5999999999999996</v>
          </cell>
          <cell r="CL450">
            <v>1.9</v>
          </cell>
          <cell r="CM450">
            <v>12.2</v>
          </cell>
          <cell r="CN450">
            <v>4.4000000000000004</v>
          </cell>
          <cell r="CO450">
            <v>30.6</v>
          </cell>
          <cell r="CP450">
            <v>1.7</v>
          </cell>
          <cell r="CQ450">
            <v>3.4</v>
          </cell>
          <cell r="CR450">
            <v>4.5</v>
          </cell>
          <cell r="CS450">
            <v>1.9</v>
          </cell>
          <cell r="CT450">
            <v>2.1</v>
          </cell>
          <cell r="CU450">
            <v>4.8</v>
          </cell>
          <cell r="CV450">
            <v>2.5</v>
          </cell>
          <cell r="CW450">
            <v>2.6</v>
          </cell>
          <cell r="CX450">
            <v>15.1</v>
          </cell>
          <cell r="CY450">
            <v>2.4</v>
          </cell>
          <cell r="CZ450">
            <v>0.6</v>
          </cell>
          <cell r="DA450">
            <v>6.6</v>
          </cell>
          <cell r="DB450">
            <v>2.2999999999999998</v>
          </cell>
          <cell r="DC450">
            <v>5.0999999999999996</v>
          </cell>
          <cell r="DD450">
            <v>7.6</v>
          </cell>
          <cell r="DE450">
            <v>9.1999999999999993</v>
          </cell>
          <cell r="DF450">
            <v>2.2999999999999998</v>
          </cell>
          <cell r="DG450">
            <v>3.8</v>
          </cell>
          <cell r="DH450">
            <v>2.5</v>
          </cell>
          <cell r="DI450">
            <v>4.0999999999999996</v>
          </cell>
          <cell r="DJ450">
            <v>2.8</v>
          </cell>
          <cell r="DK450">
            <v>5.9</v>
          </cell>
          <cell r="DL450">
            <v>9.5</v>
          </cell>
          <cell r="DM450">
            <v>21.4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EM450">
            <v>133</v>
          </cell>
          <cell r="EN450">
            <v>173</v>
          </cell>
          <cell r="EO450">
            <v>92.4</v>
          </cell>
          <cell r="EP450">
            <v>174.4</v>
          </cell>
          <cell r="EQ450">
            <v>161.9</v>
          </cell>
          <cell r="ER450">
            <v>77</v>
          </cell>
          <cell r="ES450">
            <v>48.2</v>
          </cell>
        </row>
        <row r="451">
          <cell r="A451" t="str">
            <v>O&amp;M (Net of pass-throughs) SUB</v>
          </cell>
          <cell r="B451" t="str">
            <v>Operations &amp; Maintenance Expense (incl clause)</v>
          </cell>
          <cell r="E451" t="str">
            <v>Operations &amp; Maintenance Expense</v>
          </cell>
          <cell r="F451" t="str">
            <v>6790099</v>
          </cell>
          <cell r="G451" t="str">
            <v>A_6790099</v>
          </cell>
          <cell r="H451" t="str">
            <v>In-Kind Donations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</row>
        <row r="452">
          <cell r="A452" t="str">
            <v>O&amp;M (Net of pass-throughs)</v>
          </cell>
          <cell r="B452" t="str">
            <v>Operations &amp; Maintenance Expense (incl clause)</v>
          </cell>
          <cell r="E452" t="str">
            <v>Operations &amp; Maintenance Expense</v>
          </cell>
          <cell r="F452" t="str">
            <v>6790100</v>
          </cell>
          <cell r="G452" t="str">
            <v>A_6790100</v>
          </cell>
          <cell r="H452" t="str">
            <v>Fees - AMM Guatemala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</row>
        <row r="453">
          <cell r="A453" t="str">
            <v>O&amp;M (Net of pass-throughs)</v>
          </cell>
          <cell r="B453" t="str">
            <v>Operations &amp; Maintenance Expense (incl clause)</v>
          </cell>
          <cell r="E453" t="str">
            <v>Operations &amp; Maintenance Expense</v>
          </cell>
          <cell r="F453" t="str">
            <v>6790101</v>
          </cell>
          <cell r="G453" t="str">
            <v>A_6790101</v>
          </cell>
          <cell r="H453" t="str">
            <v>Fees - Bank</v>
          </cell>
          <cell r="J453">
            <v>31.8</v>
          </cell>
          <cell r="K453">
            <v>65.099999999999994</v>
          </cell>
          <cell r="L453">
            <v>29</v>
          </cell>
          <cell r="M453">
            <v>55</v>
          </cell>
          <cell r="N453">
            <v>29.8</v>
          </cell>
          <cell r="O453">
            <v>28.4</v>
          </cell>
          <cell r="P453">
            <v>55.5</v>
          </cell>
          <cell r="Q453">
            <v>30.4</v>
          </cell>
          <cell r="R453">
            <v>55.6</v>
          </cell>
          <cell r="S453">
            <v>28</v>
          </cell>
          <cell r="T453">
            <v>28.3</v>
          </cell>
          <cell r="U453">
            <v>33.9</v>
          </cell>
          <cell r="V453">
            <v>55.1</v>
          </cell>
          <cell r="W453">
            <v>27.4</v>
          </cell>
          <cell r="X453">
            <v>27</v>
          </cell>
          <cell r="Y453">
            <v>53</v>
          </cell>
          <cell r="Z453">
            <v>28.1</v>
          </cell>
          <cell r="AA453">
            <v>29.5</v>
          </cell>
          <cell r="AB453">
            <v>57.6</v>
          </cell>
          <cell r="AC453">
            <v>31.1</v>
          </cell>
          <cell r="AD453">
            <v>30.5</v>
          </cell>
          <cell r="AE453">
            <v>56.9</v>
          </cell>
          <cell r="AF453">
            <v>30.6</v>
          </cell>
          <cell r="AG453">
            <v>36.299999999999997</v>
          </cell>
          <cell r="AH453">
            <v>55.2</v>
          </cell>
          <cell r="AI453">
            <v>28.2</v>
          </cell>
          <cell r="AJ453">
            <v>31.2</v>
          </cell>
          <cell r="AK453">
            <v>58.4</v>
          </cell>
          <cell r="AL453">
            <v>31.3</v>
          </cell>
          <cell r="AM453">
            <v>28.8</v>
          </cell>
          <cell r="AN453">
            <v>55.4</v>
          </cell>
          <cell r="AO453">
            <v>18.3</v>
          </cell>
          <cell r="AP453">
            <v>29.4</v>
          </cell>
          <cell r="AQ453">
            <v>55</v>
          </cell>
          <cell r="AR453">
            <v>27.9</v>
          </cell>
          <cell r="AS453">
            <v>33.6</v>
          </cell>
          <cell r="AT453">
            <v>53</v>
          </cell>
          <cell r="AU453">
            <v>33.700000000000003</v>
          </cell>
          <cell r="AV453">
            <v>42.4</v>
          </cell>
          <cell r="AW453">
            <v>77.400000000000006</v>
          </cell>
          <cell r="AX453">
            <v>28.4</v>
          </cell>
          <cell r="AY453">
            <v>28.9</v>
          </cell>
          <cell r="AZ453">
            <v>55</v>
          </cell>
          <cell r="BA453">
            <v>28.5</v>
          </cell>
          <cell r="BB453">
            <v>29.5</v>
          </cell>
          <cell r="BC453">
            <v>52.8</v>
          </cell>
          <cell r="BD453">
            <v>28.4</v>
          </cell>
          <cell r="BE453">
            <v>24.2</v>
          </cell>
          <cell r="BF453">
            <v>43.1</v>
          </cell>
          <cell r="BG453">
            <v>18.7</v>
          </cell>
          <cell r="BH453">
            <v>25.9</v>
          </cell>
          <cell r="BI453">
            <v>45.5</v>
          </cell>
          <cell r="BJ453">
            <v>18.100000000000001</v>
          </cell>
          <cell r="BK453">
            <v>22.2</v>
          </cell>
          <cell r="BL453">
            <v>47.4</v>
          </cell>
          <cell r="BM453">
            <v>22.7</v>
          </cell>
          <cell r="BN453">
            <v>21.9</v>
          </cell>
          <cell r="BO453">
            <v>47.2</v>
          </cell>
          <cell r="BP453">
            <v>18.8</v>
          </cell>
          <cell r="BQ453">
            <v>19</v>
          </cell>
          <cell r="BR453">
            <v>45.4</v>
          </cell>
          <cell r="BS453">
            <v>19.5</v>
          </cell>
          <cell r="BT453">
            <v>25.5</v>
          </cell>
          <cell r="BU453">
            <v>45.7</v>
          </cell>
          <cell r="BV453">
            <v>20.9</v>
          </cell>
          <cell r="BW453">
            <v>23.4</v>
          </cell>
          <cell r="BX453">
            <v>48.9</v>
          </cell>
          <cell r="BY453">
            <v>24.6</v>
          </cell>
          <cell r="BZ453">
            <v>24.9</v>
          </cell>
          <cell r="CA453">
            <v>42.2</v>
          </cell>
          <cell r="CB453">
            <v>34.5</v>
          </cell>
          <cell r="CC453">
            <v>24</v>
          </cell>
          <cell r="CD453">
            <v>51.7</v>
          </cell>
          <cell r="CE453">
            <v>24.6</v>
          </cell>
          <cell r="CF453">
            <v>30.7</v>
          </cell>
          <cell r="CG453">
            <v>57.8</v>
          </cell>
          <cell r="CH453">
            <v>23.9</v>
          </cell>
          <cell r="CI453">
            <v>23.8</v>
          </cell>
          <cell r="CJ453">
            <v>56.8</v>
          </cell>
          <cell r="CK453">
            <v>25.3</v>
          </cell>
          <cell r="CL453">
            <v>25.8</v>
          </cell>
          <cell r="CM453">
            <v>55.9</v>
          </cell>
          <cell r="CN453">
            <v>24.5</v>
          </cell>
          <cell r="CO453">
            <v>54.8</v>
          </cell>
          <cell r="CP453">
            <v>34.9</v>
          </cell>
          <cell r="CQ453">
            <v>23.2</v>
          </cell>
          <cell r="CR453">
            <v>20.6</v>
          </cell>
          <cell r="CS453">
            <v>82.2</v>
          </cell>
          <cell r="CT453">
            <v>13.9</v>
          </cell>
          <cell r="CU453">
            <v>13.6</v>
          </cell>
          <cell r="CV453">
            <v>79.8</v>
          </cell>
          <cell r="CW453">
            <v>15</v>
          </cell>
          <cell r="CX453">
            <v>16.5</v>
          </cell>
          <cell r="CY453">
            <v>81.5</v>
          </cell>
          <cell r="CZ453">
            <v>17.3</v>
          </cell>
          <cell r="DA453">
            <v>76.2</v>
          </cell>
          <cell r="DB453">
            <v>29.2</v>
          </cell>
          <cell r="DC453">
            <v>17.5</v>
          </cell>
          <cell r="DD453">
            <v>19.100000000000001</v>
          </cell>
          <cell r="DE453">
            <v>85.2</v>
          </cell>
          <cell r="DF453">
            <v>18.100000000000001</v>
          </cell>
          <cell r="DG453">
            <v>18.899999999999999</v>
          </cell>
          <cell r="DH453">
            <v>83.9</v>
          </cell>
          <cell r="DI453">
            <v>20.6</v>
          </cell>
          <cell r="DJ453">
            <v>25.1</v>
          </cell>
          <cell r="DK453">
            <v>87.6</v>
          </cell>
          <cell r="DL453">
            <v>20.3</v>
          </cell>
          <cell r="DM453">
            <v>18.3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EM453">
            <v>463.1</v>
          </cell>
          <cell r="EN453">
            <v>452.7</v>
          </cell>
          <cell r="EO453">
            <v>482.2</v>
          </cell>
          <cell r="EP453">
            <v>350.49999999999994</v>
          </cell>
          <cell r="EQ453">
            <v>379.5</v>
          </cell>
          <cell r="ER453">
            <v>455.6</v>
          </cell>
          <cell r="ES453">
            <v>474.7</v>
          </cell>
        </row>
        <row r="454">
          <cell r="A454" t="str">
            <v>O&amp;M (Net of pass-throughs)</v>
          </cell>
          <cell r="B454" t="str">
            <v>Operations &amp; Maintenance Expense (incl clause)</v>
          </cell>
          <cell r="E454" t="str">
            <v>Operations &amp; Maintenance Expense</v>
          </cell>
          <cell r="F454" t="str">
            <v>6790102</v>
          </cell>
          <cell r="G454" t="str">
            <v>A_6790102</v>
          </cell>
          <cell r="H454" t="str">
            <v>Fees - Report Filing</v>
          </cell>
          <cell r="J454">
            <v>0</v>
          </cell>
          <cell r="K454">
            <v>0</v>
          </cell>
          <cell r="L454">
            <v>0.2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0.2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0.1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0.2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0.2</v>
          </cell>
          <cell r="BS454">
            <v>15</v>
          </cell>
          <cell r="BT454">
            <v>0.7</v>
          </cell>
          <cell r="BU454">
            <v>-15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0.2</v>
          </cell>
          <cell r="CE454">
            <v>0</v>
          </cell>
          <cell r="CF454">
            <v>1.9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15</v>
          </cell>
          <cell r="CM454">
            <v>0</v>
          </cell>
          <cell r="CN454">
            <v>0</v>
          </cell>
          <cell r="CO454">
            <v>3</v>
          </cell>
          <cell r="CP454">
            <v>0</v>
          </cell>
          <cell r="CQ454">
            <v>0.2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0.2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EM454">
            <v>0.2</v>
          </cell>
          <cell r="EN454">
            <v>0</v>
          </cell>
          <cell r="EO454">
            <v>0.1</v>
          </cell>
          <cell r="EP454">
            <v>0.2</v>
          </cell>
          <cell r="EQ454">
            <v>0.89999999999999858</v>
          </cell>
          <cell r="ER454">
            <v>20.100000000000001</v>
          </cell>
          <cell r="ES454">
            <v>0.2</v>
          </cell>
        </row>
        <row r="455">
          <cell r="A455" t="str">
            <v>O&amp;M (Net of pass-throughs)</v>
          </cell>
          <cell r="B455" t="str">
            <v>Operations &amp; Maintenance Expense (incl clause)</v>
          </cell>
          <cell r="E455" t="str">
            <v>Operations &amp; Maintenance Expense</v>
          </cell>
          <cell r="F455" t="str">
            <v>6790103</v>
          </cell>
          <cell r="G455" t="str">
            <v>A_6790103</v>
          </cell>
          <cell r="H455" t="str">
            <v>Fees - Registration</v>
          </cell>
          <cell r="J455">
            <v>0</v>
          </cell>
          <cell r="K455">
            <v>1.2</v>
          </cell>
          <cell r="L455">
            <v>1.1000000000000001</v>
          </cell>
          <cell r="M455">
            <v>0.8</v>
          </cell>
          <cell r="N455">
            <v>1.2</v>
          </cell>
          <cell r="O455">
            <v>0</v>
          </cell>
          <cell r="P455">
            <v>1.5</v>
          </cell>
          <cell r="Q455">
            <v>0</v>
          </cell>
          <cell r="R455">
            <v>0</v>
          </cell>
          <cell r="S455">
            <v>0.8</v>
          </cell>
          <cell r="T455">
            <v>0</v>
          </cell>
          <cell r="U455">
            <v>0.8</v>
          </cell>
          <cell r="V455">
            <v>0</v>
          </cell>
          <cell r="W455">
            <v>0</v>
          </cell>
          <cell r="X455">
            <v>0.7</v>
          </cell>
          <cell r="Y455">
            <v>0.1</v>
          </cell>
          <cell r="Z455">
            <v>1.1000000000000001</v>
          </cell>
          <cell r="AA455">
            <v>0</v>
          </cell>
          <cell r="AB455">
            <v>0</v>
          </cell>
          <cell r="AC455">
            <v>2.6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1.2</v>
          </cell>
          <cell r="AJ455">
            <v>14</v>
          </cell>
          <cell r="AK455">
            <v>0</v>
          </cell>
          <cell r="AL455">
            <v>0.7</v>
          </cell>
          <cell r="AM455">
            <v>0.3</v>
          </cell>
          <cell r="AN455">
            <v>0</v>
          </cell>
          <cell r="AO455">
            <v>0.2</v>
          </cell>
          <cell r="AP455">
            <v>4.8</v>
          </cell>
          <cell r="AQ455">
            <v>0.9</v>
          </cell>
          <cell r="AR455">
            <v>0</v>
          </cell>
          <cell r="AS455">
            <v>0.6</v>
          </cell>
          <cell r="AT455">
            <v>2.4</v>
          </cell>
          <cell r="AU455">
            <v>0</v>
          </cell>
          <cell r="AV455">
            <v>0</v>
          </cell>
          <cell r="AW455">
            <v>0.8</v>
          </cell>
          <cell r="AX455">
            <v>0</v>
          </cell>
          <cell r="AY455">
            <v>0</v>
          </cell>
          <cell r="AZ455">
            <v>0.9</v>
          </cell>
          <cell r="BA455">
            <v>0</v>
          </cell>
          <cell r="BB455">
            <v>2.2999999999999998</v>
          </cell>
          <cell r="BC455">
            <v>0.6</v>
          </cell>
          <cell r="BD455">
            <v>0</v>
          </cell>
          <cell r="BE455">
            <v>1.7</v>
          </cell>
          <cell r="BF455">
            <v>0</v>
          </cell>
          <cell r="BG455">
            <v>-1</v>
          </cell>
          <cell r="BH455">
            <v>0</v>
          </cell>
          <cell r="BI455">
            <v>0</v>
          </cell>
          <cell r="BJ455">
            <v>0.5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0.1</v>
          </cell>
          <cell r="BP455">
            <v>0</v>
          </cell>
          <cell r="BQ455">
            <v>0.6</v>
          </cell>
          <cell r="BR455">
            <v>0</v>
          </cell>
          <cell r="BS455">
            <v>0</v>
          </cell>
          <cell r="BT455">
            <v>0</v>
          </cell>
          <cell r="BU455">
            <v>0.6</v>
          </cell>
          <cell r="BV455">
            <v>0</v>
          </cell>
          <cell r="BW455">
            <v>0</v>
          </cell>
          <cell r="BX455">
            <v>-0.5</v>
          </cell>
          <cell r="BY455">
            <v>0</v>
          </cell>
          <cell r="BZ455">
            <v>1.1000000000000001</v>
          </cell>
          <cell r="CA455">
            <v>0</v>
          </cell>
          <cell r="CB455">
            <v>0.1</v>
          </cell>
          <cell r="CC455">
            <v>0.7</v>
          </cell>
          <cell r="CD455">
            <v>0</v>
          </cell>
          <cell r="CE455">
            <v>0.5</v>
          </cell>
          <cell r="CF455">
            <v>0.5</v>
          </cell>
          <cell r="CG455">
            <v>0.2</v>
          </cell>
          <cell r="CH455">
            <v>0</v>
          </cell>
          <cell r="CI455">
            <v>0.2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0.1</v>
          </cell>
          <cell r="DO455">
            <v>0.1</v>
          </cell>
          <cell r="DP455">
            <v>0.1</v>
          </cell>
          <cell r="DQ455">
            <v>0.1</v>
          </cell>
          <cell r="DR455">
            <v>0.1</v>
          </cell>
          <cell r="DS455">
            <v>0.1</v>
          </cell>
          <cell r="DT455">
            <v>0.1</v>
          </cell>
          <cell r="DU455">
            <v>0.1</v>
          </cell>
          <cell r="DV455">
            <v>0.1</v>
          </cell>
          <cell r="DW455">
            <v>0.1</v>
          </cell>
          <cell r="DX455">
            <v>0.1</v>
          </cell>
          <cell r="DY455">
            <v>0.1</v>
          </cell>
          <cell r="EM455">
            <v>4.5</v>
          </cell>
          <cell r="EN455">
            <v>22.7</v>
          </cell>
          <cell r="EO455">
            <v>8.6999999999999993</v>
          </cell>
          <cell r="EP455">
            <v>0.19999999999999996</v>
          </cell>
          <cell r="EQ455">
            <v>2</v>
          </cell>
          <cell r="ER455">
            <v>1.4</v>
          </cell>
          <cell r="ES455">
            <v>0</v>
          </cell>
        </row>
        <row r="456">
          <cell r="A456" t="str">
            <v>O&amp;M (Net of pass-throughs)</v>
          </cell>
          <cell r="B456" t="str">
            <v>Operations &amp; Maintenance Expense (incl clause)</v>
          </cell>
          <cell r="E456" t="str">
            <v>Operations &amp; Maintenance Expense</v>
          </cell>
          <cell r="F456" t="str">
            <v>6790105</v>
          </cell>
          <cell r="G456" t="str">
            <v>A_6790105</v>
          </cell>
          <cell r="H456" t="str">
            <v>Fees - Transmission Line - Spot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48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25.9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25.1</v>
          </cell>
          <cell r="BJ456">
            <v>0</v>
          </cell>
          <cell r="BK456">
            <v>30.1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56.1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57.9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57.9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64.8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EM456">
            <v>0</v>
          </cell>
          <cell r="EN456">
            <v>48</v>
          </cell>
          <cell r="EO456">
            <v>25.9</v>
          </cell>
          <cell r="EP456">
            <v>55.2</v>
          </cell>
          <cell r="EQ456">
            <v>56.1</v>
          </cell>
          <cell r="ER456">
            <v>57.9</v>
          </cell>
          <cell r="ES456">
            <v>57.9</v>
          </cell>
        </row>
        <row r="457">
          <cell r="A457" t="str">
            <v>O&amp;M (Net of pass-throughs)</v>
          </cell>
          <cell r="B457" t="str">
            <v>Operations &amp; Maintenance Expense (incl clause)</v>
          </cell>
          <cell r="E457" t="str">
            <v>Operations &amp; Maintenance Expense</v>
          </cell>
          <cell r="F457" t="str">
            <v>6790198</v>
          </cell>
          <cell r="G457" t="str">
            <v>A_6790198</v>
          </cell>
          <cell r="H457" t="str">
            <v>Fees - Miscellaneous - Above the line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</row>
        <row r="458">
          <cell r="A458" t="str">
            <v>O&amp;M (Net of pass-throughs)</v>
          </cell>
          <cell r="B458" t="str">
            <v>Operations &amp; Maintenance Expense (incl clause)</v>
          </cell>
          <cell r="E458" t="str">
            <v>Operations &amp; Maintenance Expense</v>
          </cell>
          <cell r="F458" t="str">
            <v>6790199</v>
          </cell>
          <cell r="G458" t="str">
            <v>A_6790199</v>
          </cell>
          <cell r="H458" t="str">
            <v>Fees - Miscellaneous</v>
          </cell>
          <cell r="J458">
            <v>1</v>
          </cell>
          <cell r="K458">
            <v>16.3</v>
          </cell>
          <cell r="L458">
            <v>1.7</v>
          </cell>
          <cell r="M458">
            <v>42.5</v>
          </cell>
          <cell r="N458">
            <v>26.4</v>
          </cell>
          <cell r="O458">
            <v>2.2999999999999998</v>
          </cell>
          <cell r="P458">
            <v>3.7</v>
          </cell>
          <cell r="Q458">
            <v>1.7</v>
          </cell>
          <cell r="R458">
            <v>3.8</v>
          </cell>
          <cell r="S458">
            <v>0.7</v>
          </cell>
          <cell r="T458">
            <v>0.3</v>
          </cell>
          <cell r="U458">
            <v>0.2</v>
          </cell>
          <cell r="V458">
            <v>0</v>
          </cell>
          <cell r="W458">
            <v>5.6</v>
          </cell>
          <cell r="X458">
            <v>0.3</v>
          </cell>
          <cell r="Y458">
            <v>50.3</v>
          </cell>
          <cell r="Z458">
            <v>0</v>
          </cell>
          <cell r="AA458">
            <v>4.2</v>
          </cell>
          <cell r="AB458">
            <v>0.8</v>
          </cell>
          <cell r="AC458">
            <v>0.1</v>
          </cell>
          <cell r="AD458">
            <v>1.1000000000000001</v>
          </cell>
          <cell r="AE458">
            <v>0</v>
          </cell>
          <cell r="AF458">
            <v>0.1</v>
          </cell>
          <cell r="AG458">
            <v>0.1</v>
          </cell>
          <cell r="AH458">
            <v>0</v>
          </cell>
          <cell r="AI458">
            <v>5.9</v>
          </cell>
          <cell r="AJ458">
            <v>0</v>
          </cell>
          <cell r="AK458">
            <v>0.3</v>
          </cell>
          <cell r="AL458">
            <v>0.2</v>
          </cell>
          <cell r="AM458">
            <v>0</v>
          </cell>
          <cell r="AN458">
            <v>0.3</v>
          </cell>
          <cell r="AO458">
            <v>0.1</v>
          </cell>
          <cell r="AP458">
            <v>4.5</v>
          </cell>
          <cell r="AQ458">
            <v>0</v>
          </cell>
          <cell r="AR458">
            <v>0</v>
          </cell>
          <cell r="AS458">
            <v>0.5</v>
          </cell>
          <cell r="AT458">
            <v>0</v>
          </cell>
          <cell r="AU458">
            <v>8.4</v>
          </cell>
          <cell r="AV458">
            <v>0.7</v>
          </cell>
          <cell r="AW458">
            <v>0.3</v>
          </cell>
          <cell r="AX458">
            <v>0.1</v>
          </cell>
          <cell r="AY458">
            <v>30</v>
          </cell>
          <cell r="AZ458">
            <v>3.3</v>
          </cell>
          <cell r="BA458">
            <v>0.4</v>
          </cell>
          <cell r="BB458">
            <v>1.1000000000000001</v>
          </cell>
          <cell r="BC458">
            <v>15.3</v>
          </cell>
          <cell r="BD458">
            <v>0.2</v>
          </cell>
          <cell r="BE458">
            <v>0.8</v>
          </cell>
          <cell r="BF458">
            <v>0</v>
          </cell>
          <cell r="BG458">
            <v>6.3</v>
          </cell>
          <cell r="BH458">
            <v>0.5</v>
          </cell>
          <cell r="BI458">
            <v>0.3</v>
          </cell>
          <cell r="BJ458">
            <v>1</v>
          </cell>
          <cell r="BK458">
            <v>1.1000000000000001</v>
          </cell>
          <cell r="BL458">
            <v>2.4</v>
          </cell>
          <cell r="BM458">
            <v>3.5</v>
          </cell>
          <cell r="BN458">
            <v>0.2</v>
          </cell>
          <cell r="BO458">
            <v>0.3</v>
          </cell>
          <cell r="BP458">
            <v>0</v>
          </cell>
          <cell r="BQ458">
            <v>0.8</v>
          </cell>
          <cell r="BR458">
            <v>0.3</v>
          </cell>
          <cell r="BS458">
            <v>6.2</v>
          </cell>
          <cell r="BT458">
            <v>-5.7</v>
          </cell>
          <cell r="BU458">
            <v>0</v>
          </cell>
          <cell r="BV458">
            <v>0.1</v>
          </cell>
          <cell r="BW458">
            <v>0.2</v>
          </cell>
          <cell r="BX458">
            <v>1.9</v>
          </cell>
          <cell r="BY458">
            <v>0.2</v>
          </cell>
          <cell r="BZ458">
            <v>0.6</v>
          </cell>
          <cell r="CA458">
            <v>5.5</v>
          </cell>
          <cell r="CB458">
            <v>3</v>
          </cell>
          <cell r="CC458">
            <v>0.7</v>
          </cell>
          <cell r="CD458">
            <v>24.3</v>
          </cell>
          <cell r="CE458">
            <v>0.2</v>
          </cell>
          <cell r="CF458">
            <v>0.6</v>
          </cell>
          <cell r="CG458">
            <v>0</v>
          </cell>
          <cell r="CH458">
            <v>0</v>
          </cell>
          <cell r="CI458">
            <v>6</v>
          </cell>
          <cell r="CJ458">
            <v>0</v>
          </cell>
          <cell r="CK458">
            <v>1.2</v>
          </cell>
          <cell r="CL458">
            <v>0.2</v>
          </cell>
          <cell r="CM458">
            <v>0.8</v>
          </cell>
          <cell r="CN458">
            <v>0.6</v>
          </cell>
          <cell r="CO458">
            <v>0.6</v>
          </cell>
          <cell r="CP458">
            <v>2.8</v>
          </cell>
          <cell r="CQ458">
            <v>0.2</v>
          </cell>
          <cell r="CR458">
            <v>1.7</v>
          </cell>
          <cell r="CS458">
            <v>0.3</v>
          </cell>
          <cell r="CT458">
            <v>0.5</v>
          </cell>
          <cell r="CU458">
            <v>1.7</v>
          </cell>
          <cell r="CV458">
            <v>2.4</v>
          </cell>
          <cell r="CW458">
            <v>1.6</v>
          </cell>
          <cell r="CX458">
            <v>0.2</v>
          </cell>
          <cell r="CY458">
            <v>2.8</v>
          </cell>
          <cell r="CZ458">
            <v>12.5</v>
          </cell>
          <cell r="DA458">
            <v>5.8</v>
          </cell>
          <cell r="DB458">
            <v>1</v>
          </cell>
          <cell r="DC458">
            <v>2</v>
          </cell>
          <cell r="DD458">
            <v>2.6</v>
          </cell>
          <cell r="DE458">
            <v>9.6</v>
          </cell>
          <cell r="DF458">
            <v>5.4</v>
          </cell>
          <cell r="DG458">
            <v>3.7</v>
          </cell>
          <cell r="DH458">
            <v>1</v>
          </cell>
          <cell r="DI458">
            <v>19.899999999999999</v>
          </cell>
          <cell r="DJ458">
            <v>3.9</v>
          </cell>
          <cell r="DK458">
            <v>2.4</v>
          </cell>
          <cell r="DL458">
            <v>8.4</v>
          </cell>
          <cell r="DM458">
            <v>2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EM458">
            <v>62.6</v>
          </cell>
          <cell r="EN458">
            <v>11.8</v>
          </cell>
          <cell r="EO458">
            <v>60.599999999999994</v>
          </cell>
          <cell r="EP458">
            <v>16.399999999999999</v>
          </cell>
          <cell r="EQ458">
            <v>13</v>
          </cell>
          <cell r="ER458">
            <v>34.500000000000007</v>
          </cell>
          <cell r="ES458">
            <v>32.5</v>
          </cell>
        </row>
        <row r="459">
          <cell r="A459" t="str">
            <v>O&amp;M (Net of pass-throughs) SUB</v>
          </cell>
          <cell r="B459" t="str">
            <v>Operations &amp; Maintenance Expense (incl clause)</v>
          </cell>
          <cell r="E459" t="str">
            <v>Operations &amp; Maintenance Expense</v>
          </cell>
          <cell r="F459" t="str">
            <v>6790200</v>
          </cell>
          <cell r="G459" t="str">
            <v>A_6790200</v>
          </cell>
          <cell r="H459" t="str">
            <v>Penalties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1000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1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0.7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0.5</v>
          </cell>
          <cell r="BP459">
            <v>-0.5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0.6</v>
          </cell>
          <cell r="CB459">
            <v>-0.4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EM459">
            <v>0</v>
          </cell>
          <cell r="EN459">
            <v>1000</v>
          </cell>
          <cell r="EO459">
            <v>1</v>
          </cell>
          <cell r="EP459">
            <v>0.7</v>
          </cell>
          <cell r="EQ459">
            <v>0.19999999999999996</v>
          </cell>
          <cell r="ER459">
            <v>0</v>
          </cell>
          <cell r="ES459">
            <v>0</v>
          </cell>
        </row>
        <row r="460">
          <cell r="A460" t="str">
            <v>O&amp;M (Net of pass-throughs)</v>
          </cell>
          <cell r="B460" t="str">
            <v>Operations &amp; Maintenance Expense (incl clause)</v>
          </cell>
          <cell r="E460" t="str">
            <v>Operations &amp; Maintenance Expense</v>
          </cell>
          <cell r="F460" t="str">
            <v>6790210</v>
          </cell>
          <cell r="G460" t="str">
            <v>A_6790210</v>
          </cell>
          <cell r="H460" t="str">
            <v>Permitting</v>
          </cell>
          <cell r="J460">
            <v>39.200000000000003</v>
          </cell>
          <cell r="K460">
            <v>14.9</v>
          </cell>
          <cell r="L460">
            <v>107.5</v>
          </cell>
          <cell r="M460">
            <v>13.1</v>
          </cell>
          <cell r="N460">
            <v>122.5</v>
          </cell>
          <cell r="O460">
            <v>153.30000000000001</v>
          </cell>
          <cell r="P460">
            <v>60.1</v>
          </cell>
          <cell r="Q460">
            <v>207.5</v>
          </cell>
          <cell r="R460">
            <v>50.9</v>
          </cell>
          <cell r="S460">
            <v>48.5</v>
          </cell>
          <cell r="T460">
            <v>145.6</v>
          </cell>
          <cell r="U460">
            <v>80.8</v>
          </cell>
          <cell r="V460">
            <v>24.8</v>
          </cell>
          <cell r="W460">
            <v>20.5</v>
          </cell>
          <cell r="X460">
            <v>12.9</v>
          </cell>
          <cell r="Y460">
            <v>21.6</v>
          </cell>
          <cell r="Z460">
            <v>14.8</v>
          </cell>
          <cell r="AA460">
            <v>15.5</v>
          </cell>
          <cell r="AB460">
            <v>28.9</v>
          </cell>
          <cell r="AC460">
            <v>3</v>
          </cell>
          <cell r="AD460">
            <v>30</v>
          </cell>
          <cell r="AE460">
            <v>15.3</v>
          </cell>
          <cell r="AF460">
            <v>15.4</v>
          </cell>
          <cell r="AG460">
            <v>111.7</v>
          </cell>
          <cell r="AH460">
            <v>20.8</v>
          </cell>
          <cell r="AI460">
            <v>50.7</v>
          </cell>
          <cell r="AJ460">
            <v>29.5</v>
          </cell>
          <cell r="AK460">
            <v>31.4</v>
          </cell>
          <cell r="AL460">
            <v>32.1</v>
          </cell>
          <cell r="AM460">
            <v>39.6</v>
          </cell>
          <cell r="AN460">
            <v>20.5</v>
          </cell>
          <cell r="AO460">
            <v>30.2</v>
          </cell>
          <cell r="AP460">
            <v>43.8</v>
          </cell>
          <cell r="AQ460">
            <v>38.700000000000003</v>
          </cell>
          <cell r="AR460">
            <v>46.2</v>
          </cell>
          <cell r="AS460">
            <v>111.2</v>
          </cell>
          <cell r="AT460">
            <v>24.2</v>
          </cell>
          <cell r="AU460">
            <v>24.3</v>
          </cell>
          <cell r="AV460">
            <v>68.5</v>
          </cell>
          <cell r="AW460">
            <v>60.7</v>
          </cell>
          <cell r="AX460">
            <v>74.599999999999994</v>
          </cell>
          <cell r="AY460">
            <v>43.6</v>
          </cell>
          <cell r="AZ460">
            <v>8.1</v>
          </cell>
          <cell r="BA460">
            <v>43.5</v>
          </cell>
          <cell r="BB460">
            <v>28.3</v>
          </cell>
          <cell r="BC460">
            <v>42.2</v>
          </cell>
          <cell r="BD460">
            <v>26.2</v>
          </cell>
          <cell r="BE460">
            <v>142.30000000000001</v>
          </cell>
          <cell r="BF460">
            <v>21.7</v>
          </cell>
          <cell r="BG460">
            <v>86</v>
          </cell>
          <cell r="BH460">
            <v>47.8</v>
          </cell>
          <cell r="BI460">
            <v>49.7</v>
          </cell>
          <cell r="BJ460">
            <v>49.8</v>
          </cell>
          <cell r="BK460">
            <v>79.099999999999994</v>
          </cell>
          <cell r="BL460">
            <v>29.8</v>
          </cell>
          <cell r="BM460">
            <v>68.5</v>
          </cell>
          <cell r="BN460">
            <v>50.6</v>
          </cell>
          <cell r="BO460">
            <v>83.7</v>
          </cell>
          <cell r="BP460">
            <v>272.3</v>
          </cell>
          <cell r="BQ460">
            <v>154.1</v>
          </cell>
          <cell r="BR460">
            <v>17.899999999999999</v>
          </cell>
          <cell r="BS460">
            <v>52.1</v>
          </cell>
          <cell r="BT460">
            <v>98.5</v>
          </cell>
          <cell r="BU460">
            <v>42.5</v>
          </cell>
          <cell r="BV460">
            <v>138.69999999999999</v>
          </cell>
          <cell r="BW460">
            <v>75.3</v>
          </cell>
          <cell r="BX460">
            <v>84.1</v>
          </cell>
          <cell r="BY460">
            <v>89.2</v>
          </cell>
          <cell r="BZ460">
            <v>82.2</v>
          </cell>
          <cell r="CA460">
            <v>89.5</v>
          </cell>
          <cell r="CB460">
            <v>38.200000000000003</v>
          </cell>
          <cell r="CC460">
            <v>162.19999999999999</v>
          </cell>
          <cell r="CD460">
            <v>32.4</v>
          </cell>
          <cell r="CE460">
            <v>-79.2</v>
          </cell>
          <cell r="CF460">
            <v>104.9</v>
          </cell>
          <cell r="CG460">
            <v>55.6</v>
          </cell>
          <cell r="CH460">
            <v>125.9</v>
          </cell>
          <cell r="CI460">
            <v>31.3</v>
          </cell>
          <cell r="CJ460">
            <v>340.8</v>
          </cell>
          <cell r="CK460">
            <v>132.80000000000001</v>
          </cell>
          <cell r="CL460">
            <v>170.4</v>
          </cell>
          <cell r="CM460">
            <v>254.7</v>
          </cell>
          <cell r="CN460">
            <v>187.2</v>
          </cell>
          <cell r="CO460">
            <v>122.2</v>
          </cell>
          <cell r="CP460">
            <v>38.1</v>
          </cell>
          <cell r="CQ460">
            <v>376</v>
          </cell>
          <cell r="CR460">
            <v>75</v>
          </cell>
          <cell r="CS460">
            <v>88.9</v>
          </cell>
          <cell r="CT460">
            <v>76.8</v>
          </cell>
          <cell r="CU460">
            <v>57.8</v>
          </cell>
          <cell r="CV460">
            <v>67.5</v>
          </cell>
          <cell r="CW460">
            <v>77.599999999999994</v>
          </cell>
          <cell r="CX460">
            <v>151.30000000000001</v>
          </cell>
          <cell r="CY460">
            <v>66.099999999999994</v>
          </cell>
          <cell r="CZ460">
            <v>124.1</v>
          </cell>
          <cell r="DA460">
            <v>180.4</v>
          </cell>
          <cell r="DB460">
            <v>14.7</v>
          </cell>
          <cell r="DC460">
            <v>75.3</v>
          </cell>
          <cell r="DD460">
            <v>146</v>
          </cell>
          <cell r="DE460">
            <v>75.8</v>
          </cell>
          <cell r="DF460">
            <v>91</v>
          </cell>
          <cell r="DG460">
            <v>103.5</v>
          </cell>
          <cell r="DH460">
            <v>69</v>
          </cell>
          <cell r="DI460">
            <v>100</v>
          </cell>
          <cell r="DJ460">
            <v>101.1</v>
          </cell>
          <cell r="DK460">
            <v>45.6</v>
          </cell>
          <cell r="DL460">
            <v>46.9</v>
          </cell>
          <cell r="DM460">
            <v>137.1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EM460">
            <v>314.40000000000003</v>
          </cell>
          <cell r="EN460">
            <v>494.69999999999993</v>
          </cell>
          <cell r="EO460">
            <v>586.5</v>
          </cell>
          <cell r="EP460">
            <v>993.1</v>
          </cell>
          <cell r="EQ460">
            <v>970.40000000000009</v>
          </cell>
          <cell r="ER460">
            <v>1479</v>
          </cell>
          <cell r="ES460">
            <v>1379.6</v>
          </cell>
        </row>
        <row r="461">
          <cell r="A461" t="str">
            <v>O&amp;M (Net of pass-throughs) SUB</v>
          </cell>
          <cell r="B461" t="str">
            <v>Operations &amp; Maintenance Expense (incl clause)</v>
          </cell>
          <cell r="E461" t="str">
            <v>Operations &amp; Maintenance Expense</v>
          </cell>
          <cell r="F461" t="str">
            <v>6790220</v>
          </cell>
          <cell r="G461" t="str">
            <v>A_6790220</v>
          </cell>
          <cell r="H461" t="str">
            <v>Political Contributions</v>
          </cell>
          <cell r="J461">
            <v>4.2</v>
          </cell>
          <cell r="K461">
            <v>8.3000000000000007</v>
          </cell>
          <cell r="L461">
            <v>4.2</v>
          </cell>
          <cell r="M461">
            <v>4.2</v>
          </cell>
          <cell r="N461">
            <v>4.2</v>
          </cell>
          <cell r="O461">
            <v>4.2</v>
          </cell>
          <cell r="P461">
            <v>4.2</v>
          </cell>
          <cell r="Q461">
            <v>4.2</v>
          </cell>
          <cell r="R461">
            <v>4.2</v>
          </cell>
          <cell r="S461">
            <v>4.2</v>
          </cell>
          <cell r="T461">
            <v>4.2</v>
          </cell>
          <cell r="U461">
            <v>8.3000000000000007</v>
          </cell>
          <cell r="V461">
            <v>4.2</v>
          </cell>
          <cell r="W461">
            <v>4.2</v>
          </cell>
          <cell r="X461">
            <v>4.2</v>
          </cell>
          <cell r="Y461">
            <v>21.3</v>
          </cell>
          <cell r="Z461">
            <v>8.3000000000000007</v>
          </cell>
          <cell r="AA461">
            <v>8.3000000000000007</v>
          </cell>
          <cell r="AB461">
            <v>8.3000000000000007</v>
          </cell>
          <cell r="AC461">
            <v>8.3000000000000007</v>
          </cell>
          <cell r="AD461">
            <v>8.4</v>
          </cell>
          <cell r="AE461">
            <v>8.3000000000000007</v>
          </cell>
          <cell r="AF461">
            <v>8.4</v>
          </cell>
          <cell r="AG461">
            <v>38.299999999999997</v>
          </cell>
          <cell r="AH461">
            <v>8.3000000000000007</v>
          </cell>
          <cell r="AI461">
            <v>8.3000000000000007</v>
          </cell>
          <cell r="AJ461">
            <v>8.3000000000000007</v>
          </cell>
          <cell r="AK461">
            <v>8.3000000000000007</v>
          </cell>
          <cell r="AL461">
            <v>8.3000000000000007</v>
          </cell>
          <cell r="AM461">
            <v>18.5</v>
          </cell>
          <cell r="AN461">
            <v>8.3000000000000007</v>
          </cell>
          <cell r="AO461">
            <v>8.3000000000000007</v>
          </cell>
          <cell r="AP461">
            <v>8.3000000000000007</v>
          </cell>
          <cell r="AQ461">
            <v>8.3000000000000007</v>
          </cell>
          <cell r="AR461">
            <v>8.3000000000000007</v>
          </cell>
          <cell r="AS461">
            <v>8.3000000000000007</v>
          </cell>
          <cell r="AT461">
            <v>4.2</v>
          </cell>
          <cell r="AU461">
            <v>-4.2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4.2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25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1.1000000000000001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5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10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24</v>
          </cell>
          <cell r="DE461">
            <v>10</v>
          </cell>
          <cell r="DF461">
            <v>0</v>
          </cell>
          <cell r="DG461">
            <v>0</v>
          </cell>
          <cell r="DH461">
            <v>0</v>
          </cell>
          <cell r="DI461">
            <v>16</v>
          </cell>
          <cell r="DJ461">
            <v>1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EM461">
            <v>130.5</v>
          </cell>
          <cell r="EN461">
            <v>109.79999999999998</v>
          </cell>
          <cell r="EO461">
            <v>4.2</v>
          </cell>
          <cell r="EP461">
            <v>25</v>
          </cell>
          <cell r="EQ461">
            <v>0</v>
          </cell>
          <cell r="ER461">
            <v>6.1</v>
          </cell>
          <cell r="ES461">
            <v>10</v>
          </cell>
        </row>
        <row r="462">
          <cell r="A462" t="str">
            <v>O&amp;M (Net of pass-throughs)</v>
          </cell>
          <cell r="B462" t="str">
            <v>Operations &amp; Maintenance Expense (incl clause)</v>
          </cell>
          <cell r="E462" t="str">
            <v>Operations &amp; Maintenance Expense</v>
          </cell>
          <cell r="F462" t="str">
            <v>6790230</v>
          </cell>
          <cell r="G462" t="str">
            <v>A_6790230</v>
          </cell>
          <cell r="H462" t="str">
            <v>Postage, Shipping and Courier</v>
          </cell>
          <cell r="J462">
            <v>145.4</v>
          </cell>
          <cell r="K462">
            <v>135.69999999999999</v>
          </cell>
          <cell r="L462">
            <v>133.9</v>
          </cell>
          <cell r="M462">
            <v>151.69999999999999</v>
          </cell>
          <cell r="N462">
            <v>150.1</v>
          </cell>
          <cell r="O462">
            <v>155.4</v>
          </cell>
          <cell r="P462">
            <v>159.19999999999999</v>
          </cell>
          <cell r="Q462">
            <v>147.19999999999999</v>
          </cell>
          <cell r="R462">
            <v>144.5</v>
          </cell>
          <cell r="S462">
            <v>150.9</v>
          </cell>
          <cell r="T462">
            <v>152</v>
          </cell>
          <cell r="U462">
            <v>157.5</v>
          </cell>
          <cell r="V462">
            <v>143.1</v>
          </cell>
          <cell r="W462">
            <v>147.19999999999999</v>
          </cell>
          <cell r="X462">
            <v>148.69999999999999</v>
          </cell>
          <cell r="Y462">
            <v>143.1</v>
          </cell>
          <cell r="Z462">
            <v>143.69999999999999</v>
          </cell>
          <cell r="AA462">
            <v>149.6</v>
          </cell>
          <cell r="AB462">
            <v>150.9</v>
          </cell>
          <cell r="AC462">
            <v>147.30000000000001</v>
          </cell>
          <cell r="AD462">
            <v>143.19999999999999</v>
          </cell>
          <cell r="AE462">
            <v>152.69999999999999</v>
          </cell>
          <cell r="AF462">
            <v>158.30000000000001</v>
          </cell>
          <cell r="AG462">
            <v>158.6</v>
          </cell>
          <cell r="AH462">
            <v>146.6</v>
          </cell>
          <cell r="AI462">
            <v>163</v>
          </cell>
          <cell r="AJ462">
            <v>173.1</v>
          </cell>
          <cell r="AK462">
            <v>148.80000000000001</v>
          </cell>
          <cell r="AL462">
            <v>152</v>
          </cell>
          <cell r="AM462">
            <v>144.9</v>
          </cell>
          <cell r="AN462">
            <v>135.4</v>
          </cell>
          <cell r="AO462">
            <v>162.1</v>
          </cell>
          <cell r="AP462">
            <v>162.19999999999999</v>
          </cell>
          <cell r="AQ462">
            <v>150.69999999999999</v>
          </cell>
          <cell r="AR462">
            <v>153.6</v>
          </cell>
          <cell r="AS462">
            <v>199.2</v>
          </cell>
          <cell r="AT462">
            <v>145.1</v>
          </cell>
          <cell r="AU462">
            <v>147.30000000000001</v>
          </cell>
          <cell r="AV462">
            <v>-73.400000000000006</v>
          </cell>
          <cell r="AW462">
            <v>61.5</v>
          </cell>
          <cell r="AX462">
            <v>13.9</v>
          </cell>
          <cell r="AY462">
            <v>18.3</v>
          </cell>
          <cell r="AZ462">
            <v>12.4</v>
          </cell>
          <cell r="BA462">
            <v>13.5</v>
          </cell>
          <cell r="BB462">
            <v>-30.6</v>
          </cell>
          <cell r="BC462">
            <v>18.7</v>
          </cell>
          <cell r="BD462">
            <v>10.4</v>
          </cell>
          <cell r="BE462">
            <v>17.3</v>
          </cell>
          <cell r="BF462">
            <v>10.8</v>
          </cell>
          <cell r="BG462">
            <v>9.6</v>
          </cell>
          <cell r="BH462">
            <v>21.6</v>
          </cell>
          <cell r="BI462">
            <v>9.4</v>
          </cell>
          <cell r="BJ462">
            <v>12.5</v>
          </cell>
          <cell r="BK462">
            <v>13.4</v>
          </cell>
          <cell r="BL462">
            <v>17.399999999999999</v>
          </cell>
          <cell r="BM462">
            <v>11.6</v>
          </cell>
          <cell r="BN462">
            <v>15.3</v>
          </cell>
          <cell r="BO462">
            <v>9.9</v>
          </cell>
          <cell r="BP462">
            <v>9.1999999999999993</v>
          </cell>
          <cell r="BQ462">
            <v>18.2</v>
          </cell>
          <cell r="BR462">
            <v>12</v>
          </cell>
          <cell r="BS462">
            <v>21.5</v>
          </cell>
          <cell r="BT462">
            <v>19.3</v>
          </cell>
          <cell r="BU462">
            <v>14.2</v>
          </cell>
          <cell r="BV462">
            <v>25.1</v>
          </cell>
          <cell r="BW462">
            <v>9.1</v>
          </cell>
          <cell r="BX462">
            <v>19.5</v>
          </cell>
          <cell r="BY462">
            <v>11.9</v>
          </cell>
          <cell r="BZ462">
            <v>8.6999999999999993</v>
          </cell>
          <cell r="CA462">
            <v>6.4</v>
          </cell>
          <cell r="CB462">
            <v>8.8000000000000007</v>
          </cell>
          <cell r="CC462">
            <v>12</v>
          </cell>
          <cell r="CD462">
            <v>7</v>
          </cell>
          <cell r="CE462">
            <v>15.1</v>
          </cell>
          <cell r="CF462">
            <v>6.7</v>
          </cell>
          <cell r="CG462">
            <v>9.3000000000000007</v>
          </cell>
          <cell r="CH462">
            <v>19.100000000000001</v>
          </cell>
          <cell r="CI462">
            <v>15.9</v>
          </cell>
          <cell r="CJ462">
            <v>6.1</v>
          </cell>
          <cell r="CK462">
            <v>21.2</v>
          </cell>
          <cell r="CL462">
            <v>51</v>
          </cell>
          <cell r="CM462">
            <v>24.1</v>
          </cell>
          <cell r="CN462">
            <v>6.6</v>
          </cell>
          <cell r="CO462">
            <v>20.399999999999999</v>
          </cell>
          <cell r="CP462">
            <v>26.8</v>
          </cell>
          <cell r="CQ462">
            <v>17.7</v>
          </cell>
          <cell r="CR462">
            <v>10.9</v>
          </cell>
          <cell r="CS462">
            <v>16</v>
          </cell>
          <cell r="CT462">
            <v>13.9</v>
          </cell>
          <cell r="CU462">
            <v>39.700000000000003</v>
          </cell>
          <cell r="CV462">
            <v>21.2</v>
          </cell>
          <cell r="CW462">
            <v>6</v>
          </cell>
          <cell r="CX462">
            <v>5.8</v>
          </cell>
          <cell r="CY462">
            <v>14.6</v>
          </cell>
          <cell r="CZ462">
            <v>18.3</v>
          </cell>
          <cell r="DA462">
            <v>18.8</v>
          </cell>
          <cell r="DB462">
            <v>8.6999999999999993</v>
          </cell>
          <cell r="DC462">
            <v>22</v>
          </cell>
          <cell r="DD462">
            <v>15.6</v>
          </cell>
          <cell r="DE462">
            <v>28.3</v>
          </cell>
          <cell r="DF462">
            <v>13.3</v>
          </cell>
          <cell r="DG462">
            <v>31.8</v>
          </cell>
          <cell r="DH462">
            <v>8.3000000000000007</v>
          </cell>
          <cell r="DI462">
            <v>10.199999999999999</v>
          </cell>
          <cell r="DJ462">
            <v>8.1999999999999993</v>
          </cell>
          <cell r="DK462">
            <v>8.1</v>
          </cell>
          <cell r="DL462">
            <v>9.1999999999999993</v>
          </cell>
          <cell r="DM462">
            <v>22.2</v>
          </cell>
          <cell r="DN462">
            <v>0.1</v>
          </cell>
          <cell r="DO462">
            <v>0.1</v>
          </cell>
          <cell r="DP462">
            <v>0.1</v>
          </cell>
          <cell r="DQ462">
            <v>0.1</v>
          </cell>
          <cell r="DR462">
            <v>0.1</v>
          </cell>
          <cell r="DS462">
            <v>0.1</v>
          </cell>
          <cell r="DT462">
            <v>0.1</v>
          </cell>
          <cell r="DU462">
            <v>0.1</v>
          </cell>
          <cell r="DV462">
            <v>0.1</v>
          </cell>
          <cell r="DW462">
            <v>0.1</v>
          </cell>
          <cell r="DX462">
            <v>0.1</v>
          </cell>
          <cell r="DY462">
            <v>0.1</v>
          </cell>
          <cell r="EM462">
            <v>1786.3999999999999</v>
          </cell>
          <cell r="EN462">
            <v>1891.6</v>
          </cell>
          <cell r="EO462">
            <v>354.39999999999992</v>
          </cell>
          <cell r="EP462">
            <v>158.89999999999995</v>
          </cell>
          <cell r="EQ462">
            <v>168.5</v>
          </cell>
          <cell r="ER462">
            <v>202.5</v>
          </cell>
          <cell r="ES462">
            <v>209.70000000000005</v>
          </cell>
        </row>
        <row r="463">
          <cell r="A463" t="str">
            <v>O&amp;M (Net of pass-throughs)</v>
          </cell>
          <cell r="B463" t="str">
            <v>Operations &amp; Maintenance Expense (incl clause)</v>
          </cell>
          <cell r="E463" t="str">
            <v>Operations &amp; Maintenance Expense</v>
          </cell>
          <cell r="F463" t="str">
            <v>6790250</v>
          </cell>
          <cell r="G463" t="str">
            <v>A_6790250</v>
          </cell>
          <cell r="H463" t="str">
            <v>Energy Conservation Allowances</v>
          </cell>
          <cell r="J463">
            <v>949.7</v>
          </cell>
          <cell r="K463">
            <v>664.1</v>
          </cell>
          <cell r="L463">
            <v>661.4</v>
          </cell>
          <cell r="M463">
            <v>725.4</v>
          </cell>
          <cell r="N463">
            <v>691.8</v>
          </cell>
          <cell r="O463">
            <v>749.1</v>
          </cell>
          <cell r="P463">
            <v>1066.5</v>
          </cell>
          <cell r="Q463">
            <v>722.6</v>
          </cell>
          <cell r="R463">
            <v>916.5</v>
          </cell>
          <cell r="S463">
            <v>871.3</v>
          </cell>
          <cell r="T463">
            <v>789.8</v>
          </cell>
          <cell r="U463">
            <v>659.1</v>
          </cell>
          <cell r="V463">
            <v>1238.7</v>
          </cell>
          <cell r="W463">
            <v>798.9</v>
          </cell>
          <cell r="X463">
            <v>982.4</v>
          </cell>
          <cell r="Y463">
            <v>750.1</v>
          </cell>
          <cell r="Z463">
            <v>972.8</v>
          </cell>
          <cell r="AA463">
            <v>861</v>
          </cell>
          <cell r="AB463">
            <v>835.7</v>
          </cell>
          <cell r="AC463">
            <v>884.5</v>
          </cell>
          <cell r="AD463">
            <v>801.9</v>
          </cell>
          <cell r="AE463">
            <v>1094.0999999999999</v>
          </cell>
          <cell r="AF463">
            <v>799.7</v>
          </cell>
          <cell r="AG463">
            <v>744.2</v>
          </cell>
          <cell r="AH463">
            <v>973.2</v>
          </cell>
          <cell r="AI463">
            <v>893.7</v>
          </cell>
          <cell r="AJ463">
            <v>903.1</v>
          </cell>
          <cell r="AK463">
            <v>804</v>
          </cell>
          <cell r="AL463">
            <v>1092.9000000000001</v>
          </cell>
          <cell r="AM463">
            <v>999.9</v>
          </cell>
          <cell r="AN463">
            <v>943.2</v>
          </cell>
          <cell r="AO463">
            <v>1082.3</v>
          </cell>
          <cell r="AP463">
            <v>789.7</v>
          </cell>
          <cell r="AQ463">
            <v>1108.3</v>
          </cell>
          <cell r="AR463">
            <v>794.4</v>
          </cell>
          <cell r="AS463">
            <v>1407.4</v>
          </cell>
          <cell r="AT463">
            <v>310.2</v>
          </cell>
          <cell r="AU463">
            <v>606.6</v>
          </cell>
          <cell r="AV463">
            <v>838.8</v>
          </cell>
          <cell r="AW463">
            <v>815.1</v>
          </cell>
          <cell r="AX463">
            <v>1318.2</v>
          </cell>
          <cell r="AY463">
            <v>1393.4</v>
          </cell>
          <cell r="AZ463">
            <v>1338.4</v>
          </cell>
          <cell r="BA463">
            <v>1558.5</v>
          </cell>
          <cell r="BB463">
            <v>1236.4000000000001</v>
          </cell>
          <cell r="BC463">
            <v>1536.3</v>
          </cell>
          <cell r="BD463">
            <v>1053.3</v>
          </cell>
          <cell r="BE463">
            <v>929.6</v>
          </cell>
          <cell r="BF463">
            <v>1200.8</v>
          </cell>
          <cell r="BG463">
            <v>1460.4</v>
          </cell>
          <cell r="BH463">
            <v>1683.8</v>
          </cell>
          <cell r="BI463">
            <v>2493.4</v>
          </cell>
          <cell r="BJ463">
            <v>897.2</v>
          </cell>
          <cell r="BK463">
            <v>968.6</v>
          </cell>
          <cell r="BL463">
            <v>1917.3</v>
          </cell>
          <cell r="BM463">
            <v>1282.2</v>
          </cell>
          <cell r="BN463">
            <v>840.3</v>
          </cell>
          <cell r="BO463">
            <v>1629.1</v>
          </cell>
          <cell r="BP463">
            <v>940.3</v>
          </cell>
          <cell r="BQ463">
            <v>1251.0999999999999</v>
          </cell>
          <cell r="BR463">
            <v>1596.9</v>
          </cell>
          <cell r="BS463">
            <v>735.5</v>
          </cell>
          <cell r="BT463">
            <v>947.3</v>
          </cell>
          <cell r="BU463">
            <v>1151.3</v>
          </cell>
          <cell r="BV463">
            <v>925.1</v>
          </cell>
          <cell r="BW463">
            <v>1723.2</v>
          </cell>
          <cell r="BX463">
            <v>1992.9</v>
          </cell>
          <cell r="BY463">
            <v>1308.9000000000001</v>
          </cell>
          <cell r="BZ463">
            <v>901.4</v>
          </cell>
          <cell r="CA463">
            <v>1214.7</v>
          </cell>
          <cell r="CB463">
            <v>1237.9000000000001</v>
          </cell>
          <cell r="CC463">
            <v>1323.3</v>
          </cell>
          <cell r="CD463">
            <v>1431.4</v>
          </cell>
          <cell r="CE463">
            <v>1001.5</v>
          </cell>
          <cell r="CF463">
            <v>983.8</v>
          </cell>
          <cell r="CG463">
            <v>1322.3</v>
          </cell>
          <cell r="CH463">
            <v>1188.5999999999999</v>
          </cell>
          <cell r="CI463">
            <v>1323.6</v>
          </cell>
          <cell r="CJ463">
            <v>1155.3</v>
          </cell>
          <cell r="CK463">
            <v>1204.9000000000001</v>
          </cell>
          <cell r="CL463">
            <v>1574.4</v>
          </cell>
          <cell r="CM463">
            <v>1436.7</v>
          </cell>
          <cell r="CN463">
            <v>1170.5</v>
          </cell>
          <cell r="CO463">
            <v>1300</v>
          </cell>
          <cell r="CP463">
            <v>1165.0999999999999</v>
          </cell>
          <cell r="CQ463">
            <v>1475</v>
          </cell>
          <cell r="CR463">
            <v>1512.9</v>
          </cell>
          <cell r="CS463">
            <v>1312.5</v>
          </cell>
          <cell r="CT463">
            <v>1151</v>
          </cell>
          <cell r="CU463">
            <v>1138.2</v>
          </cell>
          <cell r="CV463">
            <v>1285.8</v>
          </cell>
          <cell r="CW463">
            <v>912.1</v>
          </cell>
          <cell r="CX463">
            <v>1422.3</v>
          </cell>
          <cell r="CY463">
            <v>1374.3</v>
          </cell>
          <cell r="CZ463">
            <v>1332</v>
          </cell>
          <cell r="DA463">
            <v>1042.5999999999999</v>
          </cell>
          <cell r="DB463">
            <v>1611.7</v>
          </cell>
          <cell r="DC463">
            <v>1348.6</v>
          </cell>
          <cell r="DD463">
            <v>2526.5</v>
          </cell>
          <cell r="DE463">
            <v>1326.3</v>
          </cell>
          <cell r="DF463">
            <v>1051.0999999999999</v>
          </cell>
          <cell r="DG463">
            <v>734.6</v>
          </cell>
          <cell r="DH463">
            <v>2843.4</v>
          </cell>
          <cell r="DI463">
            <v>1635.2</v>
          </cell>
          <cell r="DJ463">
            <v>2126.1</v>
          </cell>
          <cell r="DK463">
            <v>1771.7</v>
          </cell>
          <cell r="DL463">
            <v>1903</v>
          </cell>
          <cell r="DM463">
            <v>1884.4</v>
          </cell>
          <cell r="DN463">
            <v>1615.4</v>
          </cell>
          <cell r="DO463">
            <v>1615.4</v>
          </cell>
          <cell r="DP463">
            <v>1615.4</v>
          </cell>
          <cell r="DQ463">
            <v>1615.4</v>
          </cell>
          <cell r="DR463">
            <v>1615.4</v>
          </cell>
          <cell r="DS463">
            <v>1615.4</v>
          </cell>
          <cell r="DT463">
            <v>1615.4</v>
          </cell>
          <cell r="DU463">
            <v>1615.4</v>
          </cell>
          <cell r="DV463">
            <v>1615.4</v>
          </cell>
          <cell r="DW463">
            <v>1615.4</v>
          </cell>
          <cell r="DX463">
            <v>1615.4</v>
          </cell>
          <cell r="DY463">
            <v>1615.4</v>
          </cell>
          <cell r="EM463">
            <v>10764</v>
          </cell>
          <cell r="EN463">
            <v>11792.099999999999</v>
          </cell>
          <cell r="EO463">
            <v>12934.799999999997</v>
          </cell>
          <cell r="EP463">
            <v>16564.499999999996</v>
          </cell>
          <cell r="EQ463">
            <v>15058.4</v>
          </cell>
          <cell r="ER463">
            <v>15093</v>
          </cell>
          <cell r="ES463">
            <v>15123.8</v>
          </cell>
        </row>
        <row r="464">
          <cell r="A464" t="str">
            <v>O&amp;M (Net of pass-throughs)</v>
          </cell>
          <cell r="B464" t="str">
            <v>Operations &amp; Maintenance Expense (incl clause)</v>
          </cell>
          <cell r="E464" t="str">
            <v>Operations &amp; Maintenance Expense</v>
          </cell>
          <cell r="F464" t="str">
            <v>6790255</v>
          </cell>
          <cell r="G464" t="str">
            <v>A_6790255</v>
          </cell>
          <cell r="H464" t="str">
            <v>Selling and Marketing Expense</v>
          </cell>
          <cell r="J464">
            <v>28.7</v>
          </cell>
          <cell r="K464">
            <v>8.4</v>
          </cell>
          <cell r="L464">
            <v>12.2</v>
          </cell>
          <cell r="M464">
            <v>10.7</v>
          </cell>
          <cell r="N464">
            <v>35.1</v>
          </cell>
          <cell r="O464">
            <v>1.1000000000000001</v>
          </cell>
          <cell r="P464">
            <v>35.1</v>
          </cell>
          <cell r="Q464">
            <v>44</v>
          </cell>
          <cell r="R464">
            <v>41.1</v>
          </cell>
          <cell r="S464">
            <v>4.5</v>
          </cell>
          <cell r="T464">
            <v>39.1</v>
          </cell>
          <cell r="U464">
            <v>217.9</v>
          </cell>
          <cell r="V464">
            <v>27.2</v>
          </cell>
          <cell r="W464">
            <v>23.5</v>
          </cell>
          <cell r="X464">
            <v>48.4</v>
          </cell>
          <cell r="Y464">
            <v>18.8</v>
          </cell>
          <cell r="Z464">
            <v>20.9</v>
          </cell>
          <cell r="AA464">
            <v>34</v>
          </cell>
          <cell r="AB464">
            <v>69.599999999999994</v>
          </cell>
          <cell r="AC464">
            <v>85.9</v>
          </cell>
          <cell r="AD464">
            <v>24.5</v>
          </cell>
          <cell r="AE464">
            <v>2.9</v>
          </cell>
          <cell r="AF464">
            <v>169.1</v>
          </cell>
          <cell r="AG464">
            <v>9.9</v>
          </cell>
          <cell r="AH464">
            <v>16.2</v>
          </cell>
          <cell r="AI464">
            <v>43.9</v>
          </cell>
          <cell r="AJ464">
            <v>18.7</v>
          </cell>
          <cell r="AK464">
            <v>3.3</v>
          </cell>
          <cell r="AL464">
            <v>209.5</v>
          </cell>
          <cell r="AM464">
            <v>19.600000000000001</v>
          </cell>
          <cell r="AN464">
            <v>18</v>
          </cell>
          <cell r="AO464">
            <v>7.4</v>
          </cell>
          <cell r="AP464">
            <v>4.9000000000000004</v>
          </cell>
          <cell r="AQ464">
            <v>26.2</v>
          </cell>
          <cell r="AR464">
            <v>1.8</v>
          </cell>
          <cell r="AS464">
            <v>49.8</v>
          </cell>
          <cell r="AT464">
            <v>6.2</v>
          </cell>
          <cell r="AU464">
            <v>15.7</v>
          </cell>
          <cell r="AV464">
            <v>13.2</v>
          </cell>
          <cell r="AW464">
            <v>7</v>
          </cell>
          <cell r="AX464">
            <v>5.7</v>
          </cell>
          <cell r="AY464">
            <v>5</v>
          </cell>
          <cell r="AZ464">
            <v>158</v>
          </cell>
          <cell r="BA464">
            <v>16.600000000000001</v>
          </cell>
          <cell r="BB464">
            <v>10.9</v>
          </cell>
          <cell r="BC464">
            <v>40</v>
          </cell>
          <cell r="BD464">
            <v>48.2</v>
          </cell>
          <cell r="BE464">
            <v>-78</v>
          </cell>
          <cell r="BF464">
            <v>25.5</v>
          </cell>
          <cell r="BG464">
            <v>16.8</v>
          </cell>
          <cell r="BH464">
            <v>16.399999999999999</v>
          </cell>
          <cell r="BI464">
            <v>-10.9</v>
          </cell>
          <cell r="BJ464">
            <v>7.8</v>
          </cell>
          <cell r="BK464">
            <v>0.2</v>
          </cell>
          <cell r="BL464">
            <v>19.899999999999999</v>
          </cell>
          <cell r="BM464">
            <v>5</v>
          </cell>
          <cell r="BN464">
            <v>0.5</v>
          </cell>
          <cell r="BO464">
            <v>17</v>
          </cell>
          <cell r="BP464">
            <v>16.100000000000001</v>
          </cell>
          <cell r="BQ464">
            <v>40.299999999999997</v>
          </cell>
          <cell r="BR464">
            <v>13.8</v>
          </cell>
          <cell r="BS464">
            <v>17.5</v>
          </cell>
          <cell r="BT464">
            <v>0</v>
          </cell>
          <cell r="BU464">
            <v>0</v>
          </cell>
          <cell r="BV464">
            <v>165.2</v>
          </cell>
          <cell r="BW464">
            <v>0</v>
          </cell>
          <cell r="BX464">
            <v>1.7</v>
          </cell>
          <cell r="BY464">
            <v>0</v>
          </cell>
          <cell r="BZ464">
            <v>7.2</v>
          </cell>
          <cell r="CA464">
            <v>1.6</v>
          </cell>
          <cell r="CB464">
            <v>39.200000000000003</v>
          </cell>
          <cell r="CC464">
            <v>47.9</v>
          </cell>
          <cell r="CD464">
            <v>0</v>
          </cell>
          <cell r="CE464">
            <v>13</v>
          </cell>
          <cell r="CF464">
            <v>25</v>
          </cell>
          <cell r="CG464">
            <v>4.5</v>
          </cell>
          <cell r="CH464">
            <v>16.3</v>
          </cell>
          <cell r="CI464">
            <v>0</v>
          </cell>
          <cell r="CJ464">
            <v>3.4</v>
          </cell>
          <cell r="CK464">
            <v>0.7</v>
          </cell>
          <cell r="CL464">
            <v>153</v>
          </cell>
          <cell r="CM464">
            <v>11.1</v>
          </cell>
          <cell r="CN464">
            <v>-153</v>
          </cell>
          <cell r="CO464">
            <v>10.3</v>
          </cell>
          <cell r="CP464">
            <v>0</v>
          </cell>
          <cell r="CQ464">
            <v>0</v>
          </cell>
          <cell r="CR464">
            <v>0</v>
          </cell>
          <cell r="CS464">
            <v>20.6</v>
          </cell>
          <cell r="CT464">
            <v>-20.6</v>
          </cell>
          <cell r="CU464">
            <v>22.5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28.7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43.6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12.7</v>
          </cell>
          <cell r="DO464">
            <v>12.7</v>
          </cell>
          <cell r="DP464">
            <v>12.7</v>
          </cell>
          <cell r="DQ464">
            <v>14.5</v>
          </cell>
          <cell r="DR464">
            <v>14.5</v>
          </cell>
          <cell r="DS464">
            <v>14.5</v>
          </cell>
          <cell r="DT464">
            <v>16.3</v>
          </cell>
          <cell r="DU464">
            <v>16.3</v>
          </cell>
          <cell r="DV464">
            <v>16.3</v>
          </cell>
          <cell r="DW464">
            <v>16.3</v>
          </cell>
          <cell r="DX464">
            <v>16.3</v>
          </cell>
          <cell r="DY464">
            <v>18.100000000000001</v>
          </cell>
          <cell r="EM464">
            <v>534.69999999999993</v>
          </cell>
          <cell r="EN464">
            <v>419.3</v>
          </cell>
          <cell r="EO464">
            <v>248.5</v>
          </cell>
          <cell r="EP464">
            <v>154.59999999999997</v>
          </cell>
          <cell r="EQ464">
            <v>294.09999999999997</v>
          </cell>
          <cell r="ER464">
            <v>84.3</v>
          </cell>
          <cell r="ES464">
            <v>51.2</v>
          </cell>
        </row>
        <row r="465">
          <cell r="A465" t="str">
            <v>O&amp;M (Net of pass-throughs)</v>
          </cell>
          <cell r="B465" t="str">
            <v>Operations &amp; Maintenance Expense (incl clause)</v>
          </cell>
          <cell r="E465" t="str">
            <v>Operations &amp; Maintenance Expense</v>
          </cell>
          <cell r="F465" t="str">
            <v>6790260</v>
          </cell>
          <cell r="G465" t="str">
            <v>A_6790260</v>
          </cell>
          <cell r="H465" t="str">
            <v>Settlements/Claims Expense</v>
          </cell>
          <cell r="J465">
            <v>0.1</v>
          </cell>
          <cell r="K465">
            <v>4.5999999999999996</v>
          </cell>
          <cell r="L465">
            <v>-2381.9</v>
          </cell>
          <cell r="M465">
            <v>17.2</v>
          </cell>
          <cell r="N465">
            <v>7.6</v>
          </cell>
          <cell r="O465">
            <v>8.6999999999999993</v>
          </cell>
          <cell r="P465">
            <v>2.2000000000000002</v>
          </cell>
          <cell r="Q465">
            <v>4.3</v>
          </cell>
          <cell r="R465">
            <v>-3.7</v>
          </cell>
          <cell r="S465">
            <v>15.5</v>
          </cell>
          <cell r="T465">
            <v>1.8</v>
          </cell>
          <cell r="U465">
            <v>23.4</v>
          </cell>
          <cell r="V465">
            <v>9.1999999999999993</v>
          </cell>
          <cell r="W465">
            <v>15.3</v>
          </cell>
          <cell r="X465">
            <v>29.3</v>
          </cell>
          <cell r="Y465">
            <v>4</v>
          </cell>
          <cell r="Z465">
            <v>7.9</v>
          </cell>
          <cell r="AA465">
            <v>19.899999999999999</v>
          </cell>
          <cell r="AB465">
            <v>16.100000000000001</v>
          </cell>
          <cell r="AC465">
            <v>7.5</v>
          </cell>
          <cell r="AD465">
            <v>30.7</v>
          </cell>
          <cell r="AE465">
            <v>37</v>
          </cell>
          <cell r="AF465">
            <v>22.5</v>
          </cell>
          <cell r="AG465">
            <v>512.70000000000005</v>
          </cell>
          <cell r="AH465">
            <v>3.2</v>
          </cell>
          <cell r="AI465">
            <v>15.1</v>
          </cell>
          <cell r="AJ465">
            <v>10.199999999999999</v>
          </cell>
          <cell r="AK465">
            <v>11.3</v>
          </cell>
          <cell r="AL465">
            <v>6.8</v>
          </cell>
          <cell r="AM465">
            <v>17.100000000000001</v>
          </cell>
          <cell r="AN465">
            <v>5.4</v>
          </cell>
          <cell r="AO465">
            <v>10.5</v>
          </cell>
          <cell r="AP465">
            <v>56.6</v>
          </cell>
          <cell r="AQ465">
            <v>135</v>
          </cell>
          <cell r="AR465">
            <v>33.9</v>
          </cell>
          <cell r="AS465">
            <v>24.5</v>
          </cell>
          <cell r="AT465">
            <v>5.6</v>
          </cell>
          <cell r="AU465">
            <v>20.8</v>
          </cell>
          <cell r="AV465">
            <v>16.100000000000001</v>
          </cell>
          <cell r="AW465">
            <v>1.4</v>
          </cell>
          <cell r="AX465">
            <v>31.1</v>
          </cell>
          <cell r="AY465">
            <v>14.8</v>
          </cell>
          <cell r="AZ465">
            <v>12</v>
          </cell>
          <cell r="BA465">
            <v>4.5</v>
          </cell>
          <cell r="BB465">
            <v>0.1</v>
          </cell>
          <cell r="BC465">
            <v>20.6</v>
          </cell>
          <cell r="BD465">
            <v>3.5</v>
          </cell>
          <cell r="BE465">
            <v>87</v>
          </cell>
          <cell r="BF465">
            <v>5.2</v>
          </cell>
          <cell r="BG465">
            <v>19.899999999999999</v>
          </cell>
          <cell r="BH465">
            <v>16.3</v>
          </cell>
          <cell r="BI465">
            <v>62.4</v>
          </cell>
          <cell r="BJ465">
            <v>71.5</v>
          </cell>
          <cell r="BK465">
            <v>7.5</v>
          </cell>
          <cell r="BL465">
            <v>17.3</v>
          </cell>
          <cell r="BM465">
            <v>38.299999999999997</v>
          </cell>
          <cell r="BN465">
            <v>92.9</v>
          </cell>
          <cell r="BO465">
            <v>-2.4</v>
          </cell>
          <cell r="BP465">
            <v>24.3</v>
          </cell>
          <cell r="BQ465">
            <v>57.9</v>
          </cell>
          <cell r="BR465">
            <v>0.1</v>
          </cell>
          <cell r="BS465">
            <v>24</v>
          </cell>
          <cell r="BT465">
            <v>17.3</v>
          </cell>
          <cell r="BU465">
            <v>37.299999999999997</v>
          </cell>
          <cell r="BV465">
            <v>17.899999999999999</v>
          </cell>
          <cell r="BW465">
            <v>92.7</v>
          </cell>
          <cell r="BX465">
            <v>22.1</v>
          </cell>
          <cell r="BY465">
            <v>14</v>
          </cell>
          <cell r="BZ465">
            <v>40.1</v>
          </cell>
          <cell r="CA465">
            <v>55.2</v>
          </cell>
          <cell r="CB465">
            <v>17.5</v>
          </cell>
          <cell r="CC465">
            <v>31</v>
          </cell>
          <cell r="CD465">
            <v>16.5</v>
          </cell>
          <cell r="CE465">
            <v>49.4</v>
          </cell>
          <cell r="CF465">
            <v>7.1</v>
          </cell>
          <cell r="CG465">
            <v>10.6</v>
          </cell>
          <cell r="CH465">
            <v>33</v>
          </cell>
          <cell r="CI465">
            <v>56.2</v>
          </cell>
          <cell r="CJ465">
            <v>19.7</v>
          </cell>
          <cell r="CK465">
            <v>3.5</v>
          </cell>
          <cell r="CL465">
            <v>44.7</v>
          </cell>
          <cell r="CM465">
            <v>62.1</v>
          </cell>
          <cell r="CN465">
            <v>17.5</v>
          </cell>
          <cell r="CO465">
            <v>11.6</v>
          </cell>
          <cell r="CP465">
            <v>55</v>
          </cell>
          <cell r="CQ465">
            <v>30.7</v>
          </cell>
          <cell r="CR465">
            <v>27.1</v>
          </cell>
          <cell r="CS465">
            <v>28.6</v>
          </cell>
          <cell r="CT465">
            <v>387.5</v>
          </cell>
          <cell r="CU465">
            <v>60.8</v>
          </cell>
          <cell r="CV465">
            <v>28.8</v>
          </cell>
          <cell r="CW465">
            <v>96.6</v>
          </cell>
          <cell r="CX465">
            <v>19.7</v>
          </cell>
          <cell r="CY465">
            <v>30.7</v>
          </cell>
          <cell r="CZ465">
            <v>75.2</v>
          </cell>
          <cell r="DA465">
            <v>20.5</v>
          </cell>
          <cell r="DB465">
            <v>17.399999999999999</v>
          </cell>
          <cell r="DC465">
            <v>48.9</v>
          </cell>
          <cell r="DD465">
            <v>26</v>
          </cell>
          <cell r="DE465">
            <v>55.3</v>
          </cell>
          <cell r="DF465">
            <v>33.200000000000003</v>
          </cell>
          <cell r="DG465">
            <v>37.299999999999997</v>
          </cell>
          <cell r="DH465">
            <v>43.7</v>
          </cell>
          <cell r="DI465">
            <v>76.3</v>
          </cell>
          <cell r="DJ465">
            <v>1.1000000000000001</v>
          </cell>
          <cell r="DK465">
            <v>50.3</v>
          </cell>
          <cell r="DL465">
            <v>30.7</v>
          </cell>
          <cell r="DM465">
            <v>287.89999999999998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EM465">
            <v>712.1</v>
          </cell>
          <cell r="EN465">
            <v>329.59999999999997</v>
          </cell>
          <cell r="EO465">
            <v>217.5</v>
          </cell>
          <cell r="EP465">
            <v>411.10000000000008</v>
          </cell>
          <cell r="EQ465">
            <v>369.2</v>
          </cell>
          <cell r="ER465">
            <v>331.90000000000003</v>
          </cell>
          <cell r="ES465">
            <v>861.2</v>
          </cell>
        </row>
        <row r="466">
          <cell r="A466" t="str">
            <v>O&amp;M (Net of pass-throughs)</v>
          </cell>
          <cell r="B466" t="str">
            <v>Operations &amp; Maintenance Expense (incl clause)</v>
          </cell>
          <cell r="E466" t="str">
            <v>Operations &amp; Maintenance Expense</v>
          </cell>
          <cell r="F466" t="str">
            <v>6790280</v>
          </cell>
          <cell r="G466" t="str">
            <v>A_6790280</v>
          </cell>
          <cell r="H466" t="str">
            <v>Stadium - Food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0.1</v>
          </cell>
          <cell r="BD466">
            <v>2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0.5</v>
          </cell>
          <cell r="BJ466">
            <v>0.7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EM466">
            <v>0</v>
          </cell>
          <cell r="EN466">
            <v>0</v>
          </cell>
          <cell r="EO466">
            <v>2.1</v>
          </cell>
          <cell r="EP466">
            <v>1.2</v>
          </cell>
          <cell r="EQ466">
            <v>0</v>
          </cell>
          <cell r="ER466">
            <v>0</v>
          </cell>
          <cell r="ES466">
            <v>0</v>
          </cell>
        </row>
        <row r="467">
          <cell r="A467" t="str">
            <v>O&amp;M (Net of pass-throughs)</v>
          </cell>
          <cell r="B467" t="str">
            <v>Operations &amp; Maintenance Expense (incl clause)</v>
          </cell>
          <cell r="E467" t="str">
            <v>Operations &amp; Maintenance Expense</v>
          </cell>
          <cell r="F467" t="str">
            <v>6790281</v>
          </cell>
          <cell r="G467" t="str">
            <v>A_6790281</v>
          </cell>
          <cell r="H467" t="str">
            <v>Stadium - Other</v>
          </cell>
          <cell r="J467">
            <v>0</v>
          </cell>
          <cell r="K467">
            <v>8.5</v>
          </cell>
          <cell r="L467">
            <v>18.7</v>
          </cell>
          <cell r="M467">
            <v>0</v>
          </cell>
          <cell r="N467">
            <v>2.4</v>
          </cell>
          <cell r="O467">
            <v>0</v>
          </cell>
          <cell r="P467">
            <v>0</v>
          </cell>
          <cell r="Q467">
            <v>3.1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3.3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4.4000000000000004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EM467">
            <v>3.3</v>
          </cell>
          <cell r="EN467">
            <v>4.4000000000000004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</row>
        <row r="468">
          <cell r="A468" t="str">
            <v>O&amp;M (Net of pass-throughs)</v>
          </cell>
          <cell r="B468" t="str">
            <v>Operations &amp; Maintenance Expense (incl clause)</v>
          </cell>
          <cell r="E468" t="str">
            <v>Operations &amp; Maintenance Expense</v>
          </cell>
          <cell r="F468" t="str">
            <v>6790300</v>
          </cell>
          <cell r="G468" t="str">
            <v>A_6790300</v>
          </cell>
          <cell r="H468" t="str">
            <v>Cash Discount Taken</v>
          </cell>
          <cell r="J468">
            <v>-0.7</v>
          </cell>
          <cell r="K468">
            <v>-0.3</v>
          </cell>
          <cell r="L468">
            <v>-0.4</v>
          </cell>
          <cell r="M468">
            <v>-0.8</v>
          </cell>
          <cell r="N468">
            <v>-1.3</v>
          </cell>
          <cell r="O468">
            <v>-0.6</v>
          </cell>
          <cell r="P468">
            <v>-1.1000000000000001</v>
          </cell>
          <cell r="Q468">
            <v>-1.2</v>
          </cell>
          <cell r="R468">
            <v>-0.5</v>
          </cell>
          <cell r="S468">
            <v>-0.4</v>
          </cell>
          <cell r="T468">
            <v>-0.6</v>
          </cell>
          <cell r="U468">
            <v>-0.5</v>
          </cell>
          <cell r="V468">
            <v>-0.6</v>
          </cell>
          <cell r="W468">
            <v>-0.4</v>
          </cell>
          <cell r="X468">
            <v>-0.5</v>
          </cell>
          <cell r="Y468">
            <v>-0.5</v>
          </cell>
          <cell r="Z468">
            <v>-0.6</v>
          </cell>
          <cell r="AA468">
            <v>-0.5</v>
          </cell>
          <cell r="AB468">
            <v>-0.8</v>
          </cell>
          <cell r="AC468">
            <v>-0.5</v>
          </cell>
          <cell r="AD468">
            <v>-0.1</v>
          </cell>
          <cell r="AE468">
            <v>-0.3</v>
          </cell>
          <cell r="AF468">
            <v>-0.3</v>
          </cell>
          <cell r="AG468">
            <v>-0.1</v>
          </cell>
          <cell r="AH468">
            <v>-0.1</v>
          </cell>
          <cell r="AI468">
            <v>0</v>
          </cell>
          <cell r="AJ468">
            <v>0</v>
          </cell>
          <cell r="AK468">
            <v>0</v>
          </cell>
          <cell r="AL468">
            <v>-0.1</v>
          </cell>
          <cell r="AM468">
            <v>-0.1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-0.1</v>
          </cell>
          <cell r="AS468">
            <v>0</v>
          </cell>
          <cell r="AT468">
            <v>0</v>
          </cell>
          <cell r="AU468">
            <v>0</v>
          </cell>
          <cell r="AV468">
            <v>-0.1</v>
          </cell>
          <cell r="AW468">
            <v>-0.2</v>
          </cell>
          <cell r="AX468">
            <v>0</v>
          </cell>
          <cell r="AY468">
            <v>-4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-0.1</v>
          </cell>
          <cell r="BE468">
            <v>0</v>
          </cell>
          <cell r="BF468">
            <v>-0.1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-0.2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-0.4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-0.1</v>
          </cell>
          <cell r="DH468">
            <v>-0.1</v>
          </cell>
          <cell r="DI468">
            <v>0</v>
          </cell>
          <cell r="DJ468">
            <v>-0.1</v>
          </cell>
          <cell r="DK468">
            <v>0</v>
          </cell>
          <cell r="DL468">
            <v>-0.1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EM468">
            <v>-5.1999999999999993</v>
          </cell>
          <cell r="EN468">
            <v>-0.4</v>
          </cell>
          <cell r="EO468">
            <v>-4.3999999999999995</v>
          </cell>
          <cell r="EP468">
            <v>-0.30000000000000004</v>
          </cell>
          <cell r="EQ468">
            <v>0</v>
          </cell>
          <cell r="ER468">
            <v>0</v>
          </cell>
          <cell r="ES468">
            <v>-0.4</v>
          </cell>
        </row>
        <row r="469">
          <cell r="A469" t="str">
            <v>O&amp;M (Net of pass-throughs)</v>
          </cell>
          <cell r="B469" t="str">
            <v>Operations &amp; Maintenance Expense (incl clause)</v>
          </cell>
          <cell r="E469" t="str">
            <v>Operations &amp; Maintenance Expense</v>
          </cell>
          <cell r="F469" t="str">
            <v>6790305</v>
          </cell>
          <cell r="G469" t="str">
            <v>A_6790305</v>
          </cell>
          <cell r="H469" t="str">
            <v>A&amp;G Allocation</v>
          </cell>
          <cell r="J469">
            <v>333.3</v>
          </cell>
          <cell r="K469">
            <v>333.3</v>
          </cell>
          <cell r="L469">
            <v>333.3</v>
          </cell>
          <cell r="M469">
            <v>333.3</v>
          </cell>
          <cell r="N469">
            <v>333.3</v>
          </cell>
          <cell r="O469">
            <v>333.3</v>
          </cell>
          <cell r="P469">
            <v>333.3</v>
          </cell>
          <cell r="Q469">
            <v>333.3</v>
          </cell>
          <cell r="R469">
            <v>333.3</v>
          </cell>
          <cell r="S469">
            <v>333.3</v>
          </cell>
          <cell r="T469">
            <v>333.3</v>
          </cell>
          <cell r="U469">
            <v>333.3</v>
          </cell>
          <cell r="V469">
            <v>333.3</v>
          </cell>
          <cell r="W469">
            <v>333.3</v>
          </cell>
          <cell r="X469">
            <v>333.3</v>
          </cell>
          <cell r="Y469">
            <v>333.3</v>
          </cell>
          <cell r="Z469">
            <v>333.3</v>
          </cell>
          <cell r="AA469">
            <v>333.3</v>
          </cell>
          <cell r="AB469">
            <v>333.3</v>
          </cell>
          <cell r="AC469">
            <v>333.3</v>
          </cell>
          <cell r="AD469">
            <v>333.3</v>
          </cell>
          <cell r="AE469">
            <v>333.3</v>
          </cell>
          <cell r="AF469">
            <v>333.3</v>
          </cell>
          <cell r="AG469">
            <v>333.3</v>
          </cell>
          <cell r="AH469">
            <v>333.3</v>
          </cell>
          <cell r="AI469">
            <v>333.3</v>
          </cell>
          <cell r="AJ469">
            <v>333.3</v>
          </cell>
          <cell r="AK469">
            <v>381.3</v>
          </cell>
          <cell r="AL469">
            <v>285.39999999999998</v>
          </cell>
          <cell r="AM469">
            <v>333.3</v>
          </cell>
          <cell r="AN469">
            <v>333.3</v>
          </cell>
          <cell r="AO469">
            <v>333.3</v>
          </cell>
          <cell r="AP469">
            <v>333.3</v>
          </cell>
          <cell r="AQ469">
            <v>333.3</v>
          </cell>
          <cell r="AR469">
            <v>333.3</v>
          </cell>
          <cell r="AS469">
            <v>333.3</v>
          </cell>
          <cell r="AT469">
            <v>333.3</v>
          </cell>
          <cell r="AU469">
            <v>333.3</v>
          </cell>
          <cell r="AV469">
            <v>333.3</v>
          </cell>
          <cell r="AW469">
            <v>333.3</v>
          </cell>
          <cell r="AX469">
            <v>333.3</v>
          </cell>
          <cell r="AY469">
            <v>333.3</v>
          </cell>
          <cell r="AZ469">
            <v>500</v>
          </cell>
          <cell r="BA469">
            <v>500.4</v>
          </cell>
          <cell r="BB469">
            <v>500</v>
          </cell>
          <cell r="BC469">
            <v>500</v>
          </cell>
          <cell r="BD469">
            <v>500</v>
          </cell>
          <cell r="BE469">
            <v>500</v>
          </cell>
          <cell r="BF469">
            <v>500</v>
          </cell>
          <cell r="BG469">
            <v>500</v>
          </cell>
          <cell r="BH469">
            <v>500</v>
          </cell>
          <cell r="BI469">
            <v>500</v>
          </cell>
          <cell r="BJ469">
            <v>500</v>
          </cell>
          <cell r="BK469">
            <v>500</v>
          </cell>
          <cell r="BL469">
            <v>500</v>
          </cell>
          <cell r="BM469">
            <v>500</v>
          </cell>
          <cell r="BN469">
            <v>500</v>
          </cell>
          <cell r="BO469">
            <v>500</v>
          </cell>
          <cell r="BP469">
            <v>500</v>
          </cell>
          <cell r="BQ469">
            <v>500</v>
          </cell>
          <cell r="BR469">
            <v>500</v>
          </cell>
          <cell r="BS469">
            <v>500</v>
          </cell>
          <cell r="BT469">
            <v>1000</v>
          </cell>
          <cell r="BU469">
            <v>666.7</v>
          </cell>
          <cell r="BV469">
            <v>666.7</v>
          </cell>
          <cell r="BW469">
            <v>666.7</v>
          </cell>
          <cell r="BX469">
            <v>666.7</v>
          </cell>
          <cell r="BY469">
            <v>666.7</v>
          </cell>
          <cell r="BZ469">
            <v>666.7</v>
          </cell>
          <cell r="CA469">
            <v>666.7</v>
          </cell>
          <cell r="CB469">
            <v>666.7</v>
          </cell>
          <cell r="CC469">
            <v>666.7</v>
          </cell>
          <cell r="CD469">
            <v>666.7</v>
          </cell>
          <cell r="CE469">
            <v>666.7</v>
          </cell>
          <cell r="CF469">
            <v>666.7</v>
          </cell>
          <cell r="CG469">
            <v>666.7</v>
          </cell>
          <cell r="CH469">
            <v>666.7</v>
          </cell>
          <cell r="CI469">
            <v>666.7</v>
          </cell>
          <cell r="CJ469">
            <v>666.7</v>
          </cell>
          <cell r="CK469">
            <v>666.7</v>
          </cell>
          <cell r="CL469">
            <v>680.4</v>
          </cell>
          <cell r="CM469">
            <v>666.9</v>
          </cell>
          <cell r="CN469">
            <v>666.7</v>
          </cell>
          <cell r="CO469">
            <v>666.7</v>
          </cell>
          <cell r="CP469">
            <v>630.4</v>
          </cell>
          <cell r="CQ469">
            <v>666.7</v>
          </cell>
          <cell r="CR469">
            <v>666.7</v>
          </cell>
          <cell r="CS469">
            <v>666.7</v>
          </cell>
          <cell r="CT469">
            <v>666.7</v>
          </cell>
          <cell r="CU469">
            <v>666.7</v>
          </cell>
          <cell r="CV469">
            <v>666.7</v>
          </cell>
          <cell r="CW469">
            <v>666.7</v>
          </cell>
          <cell r="CX469">
            <v>839.9</v>
          </cell>
          <cell r="CY469">
            <v>684.8</v>
          </cell>
          <cell r="CZ469">
            <v>1602.4</v>
          </cell>
          <cell r="DA469">
            <v>771.3</v>
          </cell>
          <cell r="DB469">
            <v>860.5</v>
          </cell>
          <cell r="DC469">
            <v>838.4</v>
          </cell>
          <cell r="DD469">
            <v>835.7</v>
          </cell>
          <cell r="DE469">
            <v>833.9</v>
          </cell>
          <cell r="DF469">
            <v>833.9</v>
          </cell>
          <cell r="DG469">
            <v>835.5</v>
          </cell>
          <cell r="DH469">
            <v>833.7</v>
          </cell>
          <cell r="DI469">
            <v>834.8</v>
          </cell>
          <cell r="DJ469">
            <v>833.9</v>
          </cell>
          <cell r="DK469">
            <v>834.1</v>
          </cell>
          <cell r="DL469">
            <v>833.3</v>
          </cell>
          <cell r="DM469">
            <v>1833.3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EM469">
            <v>3999.6000000000008</v>
          </cell>
          <cell r="EN469">
            <v>3999.7000000000007</v>
          </cell>
          <cell r="EO469">
            <v>5000.2000000000007</v>
          </cell>
          <cell r="EP469">
            <v>6000</v>
          </cell>
          <cell r="EQ469">
            <v>8000.2999999999984</v>
          </cell>
          <cell r="ER469">
            <v>8014.2999999999984</v>
          </cell>
          <cell r="ES469">
            <v>9195.6999999999989</v>
          </cell>
        </row>
        <row r="470">
          <cell r="A470" t="str">
            <v>O&amp;M (Net of pass-throughs)</v>
          </cell>
          <cell r="B470" t="str">
            <v>Operations &amp; Maintenance Expense (incl clause)</v>
          </cell>
          <cell r="E470" t="str">
            <v>Operations &amp; Maintenance Expense</v>
          </cell>
          <cell r="F470" t="str">
            <v>6790310</v>
          </cell>
          <cell r="G470" t="str">
            <v>A_6790310</v>
          </cell>
          <cell r="H470" t="str">
            <v>A&amp;G Allocated to Capital</v>
          </cell>
          <cell r="J470">
            <v>-283.3</v>
          </cell>
          <cell r="K470">
            <v>-283.3</v>
          </cell>
          <cell r="L470">
            <v>-283.3</v>
          </cell>
          <cell r="M470">
            <v>-283.3</v>
          </cell>
          <cell r="N470">
            <v>-283.3</v>
          </cell>
          <cell r="O470">
            <v>-283.3</v>
          </cell>
          <cell r="P470">
            <v>-283.3</v>
          </cell>
          <cell r="Q470">
            <v>-283.3</v>
          </cell>
          <cell r="R470">
            <v>-283.3</v>
          </cell>
          <cell r="S470">
            <v>-283.3</v>
          </cell>
          <cell r="T470">
            <v>-283.3</v>
          </cell>
          <cell r="U470">
            <v>-283.3</v>
          </cell>
          <cell r="V470">
            <v>-283.3</v>
          </cell>
          <cell r="W470">
            <v>-283.3</v>
          </cell>
          <cell r="X470">
            <v>-283.3</v>
          </cell>
          <cell r="Y470">
            <v>-283.3</v>
          </cell>
          <cell r="Z470">
            <v>-283.3</v>
          </cell>
          <cell r="AA470">
            <v>-283.3</v>
          </cell>
          <cell r="AB470">
            <v>-283.3</v>
          </cell>
          <cell r="AC470">
            <v>-283.3</v>
          </cell>
          <cell r="AD470">
            <v>-283.3</v>
          </cell>
          <cell r="AE470">
            <v>-283.3</v>
          </cell>
          <cell r="AF470">
            <v>-283.3</v>
          </cell>
          <cell r="AG470">
            <v>-283.3</v>
          </cell>
          <cell r="AH470">
            <v>-283.3</v>
          </cell>
          <cell r="AI470">
            <v>-283.3</v>
          </cell>
          <cell r="AJ470">
            <v>-283.3</v>
          </cell>
          <cell r="AK470">
            <v>-283.3</v>
          </cell>
          <cell r="AL470">
            <v>-283.3</v>
          </cell>
          <cell r="AM470">
            <v>-283.3</v>
          </cell>
          <cell r="AN470">
            <v>-283.3</v>
          </cell>
          <cell r="AO470">
            <v>-283.3</v>
          </cell>
          <cell r="AP470">
            <v>-283.3</v>
          </cell>
          <cell r="AQ470">
            <v>-283.3</v>
          </cell>
          <cell r="AR470">
            <v>-283.3</v>
          </cell>
          <cell r="AS470">
            <v>-283.3</v>
          </cell>
          <cell r="AT470">
            <v>-283.3</v>
          </cell>
          <cell r="AU470">
            <v>-283.3</v>
          </cell>
          <cell r="AV470">
            <v>-283.3</v>
          </cell>
          <cell r="AW470">
            <v>-283.3</v>
          </cell>
          <cell r="AX470">
            <v>-283.3</v>
          </cell>
          <cell r="AY470">
            <v>-283.3</v>
          </cell>
          <cell r="AZ470">
            <v>-500</v>
          </cell>
          <cell r="BA470">
            <v>-500</v>
          </cell>
          <cell r="BB470">
            <v>-500</v>
          </cell>
          <cell r="BC470">
            <v>-500</v>
          </cell>
          <cell r="BD470">
            <v>-500</v>
          </cell>
          <cell r="BE470">
            <v>-500</v>
          </cell>
          <cell r="BF470">
            <v>-500</v>
          </cell>
          <cell r="BG470">
            <v>-500</v>
          </cell>
          <cell r="BH470">
            <v>-500</v>
          </cell>
          <cell r="BI470">
            <v>-500</v>
          </cell>
          <cell r="BJ470">
            <v>-500</v>
          </cell>
          <cell r="BK470">
            <v>-500</v>
          </cell>
          <cell r="BL470">
            <v>-500</v>
          </cell>
          <cell r="BM470">
            <v>-500</v>
          </cell>
          <cell r="BN470">
            <v>-500</v>
          </cell>
          <cell r="BO470">
            <v>-500</v>
          </cell>
          <cell r="BP470">
            <v>-500</v>
          </cell>
          <cell r="BQ470">
            <v>-500</v>
          </cell>
          <cell r="BR470">
            <v>-500</v>
          </cell>
          <cell r="BS470">
            <v>-500</v>
          </cell>
          <cell r="BT470">
            <v>-1000</v>
          </cell>
          <cell r="BU470">
            <v>-666.7</v>
          </cell>
          <cell r="BV470">
            <v>-666.7</v>
          </cell>
          <cell r="BW470">
            <v>-666.7</v>
          </cell>
          <cell r="BX470">
            <v>-666.7</v>
          </cell>
          <cell r="BY470">
            <v>-666.7</v>
          </cell>
          <cell r="BZ470">
            <v>-666.7</v>
          </cell>
          <cell r="CA470">
            <v>-666.7</v>
          </cell>
          <cell r="CB470">
            <v>-666.7</v>
          </cell>
          <cell r="CC470">
            <v>-666.7</v>
          </cell>
          <cell r="CD470">
            <v>-666.7</v>
          </cell>
          <cell r="CE470">
            <v>-666.7</v>
          </cell>
          <cell r="CF470">
            <v>-666.7</v>
          </cell>
          <cell r="CG470">
            <v>-666.7</v>
          </cell>
          <cell r="CH470">
            <v>-666.7</v>
          </cell>
          <cell r="CI470">
            <v>-666.7</v>
          </cell>
          <cell r="CJ470">
            <v>-666.7</v>
          </cell>
          <cell r="CK470">
            <v>-666.7</v>
          </cell>
          <cell r="CL470">
            <v>-666.7</v>
          </cell>
          <cell r="CM470">
            <v>-666.7</v>
          </cell>
          <cell r="CN470">
            <v>-666.7</v>
          </cell>
          <cell r="CO470">
            <v>-666.7</v>
          </cell>
          <cell r="CP470">
            <v>-666.7</v>
          </cell>
          <cell r="CQ470">
            <v>-666.7</v>
          </cell>
          <cell r="CR470">
            <v>-666.7</v>
          </cell>
          <cell r="CS470">
            <v>-666.7</v>
          </cell>
          <cell r="CT470">
            <v>-666.7</v>
          </cell>
          <cell r="CU470">
            <v>-666.7</v>
          </cell>
          <cell r="CV470">
            <v>-666.7</v>
          </cell>
          <cell r="CW470">
            <v>-666.7</v>
          </cell>
          <cell r="CX470">
            <v>-666.7</v>
          </cell>
          <cell r="CY470">
            <v>-666.7</v>
          </cell>
          <cell r="CZ470">
            <v>-1583.3</v>
          </cell>
          <cell r="DA470">
            <v>-750</v>
          </cell>
          <cell r="DB470">
            <v>-833.3</v>
          </cell>
          <cell r="DC470">
            <v>-833.3</v>
          </cell>
          <cell r="DD470">
            <v>-833.3</v>
          </cell>
          <cell r="DE470">
            <v>-833.3</v>
          </cell>
          <cell r="DF470">
            <v>-833.3</v>
          </cell>
          <cell r="DG470">
            <v>-833.3</v>
          </cell>
          <cell r="DH470">
            <v>-833.3</v>
          </cell>
          <cell r="DI470">
            <v>-833.3</v>
          </cell>
          <cell r="DJ470">
            <v>-833.3</v>
          </cell>
          <cell r="DK470">
            <v>-833.3</v>
          </cell>
          <cell r="DL470">
            <v>-833.3</v>
          </cell>
          <cell r="DM470">
            <v>-1833.3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EM470">
            <v>-3399.6000000000008</v>
          </cell>
          <cell r="EN470">
            <v>-3399.6000000000008</v>
          </cell>
          <cell r="EO470">
            <v>-4699.8</v>
          </cell>
          <cell r="EP470">
            <v>-6000</v>
          </cell>
          <cell r="EQ470">
            <v>-8000.2999999999984</v>
          </cell>
          <cell r="ER470">
            <v>-8000.3999999999987</v>
          </cell>
          <cell r="ES470">
            <v>-9000.2999999999993</v>
          </cell>
        </row>
        <row r="471">
          <cell r="A471" t="str">
            <v>O&amp;M (Net of pass-throughs)</v>
          </cell>
          <cell r="B471" t="str">
            <v>Operations &amp; Maintenance Expense (incl clause)</v>
          </cell>
          <cell r="E471" t="str">
            <v>Operations &amp; Maintenance Expense</v>
          </cell>
          <cell r="F471" t="str">
            <v>6790315</v>
          </cell>
          <cell r="G471" t="str">
            <v>A_6790315</v>
          </cell>
          <cell r="H471" t="str">
            <v>I&amp;D Allocated to Capital</v>
          </cell>
          <cell r="J471">
            <v>-50</v>
          </cell>
          <cell r="K471">
            <v>-50</v>
          </cell>
          <cell r="L471">
            <v>-50</v>
          </cell>
          <cell r="M471">
            <v>-50</v>
          </cell>
          <cell r="N471">
            <v>-50</v>
          </cell>
          <cell r="O471">
            <v>-50</v>
          </cell>
          <cell r="P471">
            <v>-50</v>
          </cell>
          <cell r="Q471">
            <v>-50</v>
          </cell>
          <cell r="R471">
            <v>-50</v>
          </cell>
          <cell r="S471">
            <v>-50</v>
          </cell>
          <cell r="T471">
            <v>-50</v>
          </cell>
          <cell r="U471">
            <v>-50</v>
          </cell>
          <cell r="V471">
            <v>-50</v>
          </cell>
          <cell r="W471">
            <v>-50</v>
          </cell>
          <cell r="X471">
            <v>-50</v>
          </cell>
          <cell r="Y471">
            <v>-50</v>
          </cell>
          <cell r="Z471">
            <v>-50</v>
          </cell>
          <cell r="AA471">
            <v>-50</v>
          </cell>
          <cell r="AB471">
            <v>-50</v>
          </cell>
          <cell r="AC471">
            <v>-50</v>
          </cell>
          <cell r="AD471">
            <v>-50</v>
          </cell>
          <cell r="AE471">
            <v>-50</v>
          </cell>
          <cell r="AF471">
            <v>-50</v>
          </cell>
          <cell r="AG471">
            <v>-50</v>
          </cell>
          <cell r="AH471">
            <v>-50</v>
          </cell>
          <cell r="AI471">
            <v>-50</v>
          </cell>
          <cell r="AJ471">
            <v>-50</v>
          </cell>
          <cell r="AK471">
            <v>-50</v>
          </cell>
          <cell r="AL471">
            <v>-50</v>
          </cell>
          <cell r="AM471">
            <v>-50</v>
          </cell>
          <cell r="AN471">
            <v>-50</v>
          </cell>
          <cell r="AO471">
            <v>-50</v>
          </cell>
          <cell r="AP471">
            <v>-50</v>
          </cell>
          <cell r="AQ471">
            <v>-50</v>
          </cell>
          <cell r="AR471">
            <v>-50</v>
          </cell>
          <cell r="AS471">
            <v>-50</v>
          </cell>
          <cell r="AT471">
            <v>-50</v>
          </cell>
          <cell r="AU471">
            <v>-50</v>
          </cell>
          <cell r="AV471">
            <v>-50</v>
          </cell>
          <cell r="AW471">
            <v>-50</v>
          </cell>
          <cell r="AX471">
            <v>-50</v>
          </cell>
          <cell r="AY471">
            <v>-50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EM471">
            <v>-600</v>
          </cell>
          <cell r="EN471">
            <v>-600</v>
          </cell>
          <cell r="EO471">
            <v>-300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</row>
        <row r="472">
          <cell r="A472" t="str">
            <v>O&amp;M (Net of pass-throughs)</v>
          </cell>
          <cell r="B472" t="str">
            <v>Operations &amp; Maintenance Expense (incl clause)</v>
          </cell>
          <cell r="E472" t="str">
            <v>Operations &amp; Maintenance Expense</v>
          </cell>
          <cell r="F472" t="str">
            <v>6790320</v>
          </cell>
          <cell r="G472" t="str">
            <v>A_6790320</v>
          </cell>
          <cell r="H472" t="str">
            <v>Fleet Allocation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3.2</v>
          </cell>
          <cell r="BQ472">
            <v>-3.2</v>
          </cell>
          <cell r="BR472">
            <v>0</v>
          </cell>
          <cell r="BS472">
            <v>0</v>
          </cell>
          <cell r="BT472">
            <v>-0.5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-48.6</v>
          </cell>
          <cell r="DO472">
            <v>-48.6</v>
          </cell>
          <cell r="DP472">
            <v>-48.6</v>
          </cell>
          <cell r="DQ472">
            <v>-48.6</v>
          </cell>
          <cell r="DR472">
            <v>-48.6</v>
          </cell>
          <cell r="DS472">
            <v>-48.6</v>
          </cell>
          <cell r="DT472">
            <v>-48.6</v>
          </cell>
          <cell r="DU472">
            <v>-48.6</v>
          </cell>
          <cell r="DV472">
            <v>-48.6</v>
          </cell>
          <cell r="DW472">
            <v>-48.6</v>
          </cell>
          <cell r="DX472">
            <v>-48.6</v>
          </cell>
          <cell r="DY472">
            <v>-48.6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-0.5</v>
          </cell>
          <cell r="ER472">
            <v>0</v>
          </cell>
          <cell r="ES472">
            <v>0</v>
          </cell>
        </row>
        <row r="473">
          <cell r="A473" t="str">
            <v>O&amp;M (Net of pass-throughs)</v>
          </cell>
          <cell r="B473" t="str">
            <v>Operations &amp; Maintenance Expense (incl clause)</v>
          </cell>
          <cell r="E473" t="str">
            <v>Operations &amp; Maintenance Expense</v>
          </cell>
          <cell r="F473" t="str">
            <v>6790324</v>
          </cell>
          <cell r="G473" t="str">
            <v>A_6790324</v>
          </cell>
          <cell r="H473" t="str">
            <v>E&amp;S Allocation</v>
          </cell>
          <cell r="J473">
            <v>0.3</v>
          </cell>
          <cell r="K473">
            <v>0.3</v>
          </cell>
          <cell r="L473">
            <v>0.4</v>
          </cell>
          <cell r="M473">
            <v>0.5</v>
          </cell>
          <cell r="N473">
            <v>0.4</v>
          </cell>
          <cell r="O473">
            <v>0.3</v>
          </cell>
          <cell r="P473">
            <v>0.2</v>
          </cell>
          <cell r="Q473">
            <v>0.4</v>
          </cell>
          <cell r="R473">
            <v>0.3</v>
          </cell>
          <cell r="S473">
            <v>0.3</v>
          </cell>
          <cell r="T473">
            <v>0.4</v>
          </cell>
          <cell r="U473">
            <v>0.4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0.1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1.6</v>
          </cell>
          <cell r="CY473">
            <v>0.2</v>
          </cell>
          <cell r="CZ473">
            <v>0.2</v>
          </cell>
          <cell r="DA473">
            <v>0.2</v>
          </cell>
          <cell r="DB473">
            <v>0.3</v>
          </cell>
          <cell r="DC473">
            <v>0.1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0.1</v>
          </cell>
          <cell r="ES473">
            <v>2.2000000000000002</v>
          </cell>
        </row>
        <row r="474">
          <cell r="A474" t="str">
            <v>O&amp;M (Net of pass-throughs)</v>
          </cell>
          <cell r="B474" t="str">
            <v>Operations &amp; Maintenance Expense (incl clause)</v>
          </cell>
          <cell r="E474" t="str">
            <v>Operations &amp; Maintenance Expense</v>
          </cell>
          <cell r="F474" t="str">
            <v>6790700</v>
          </cell>
          <cell r="G474" t="str">
            <v>A_6790700</v>
          </cell>
          <cell r="H474" t="str">
            <v>Intercompany Overhead Allocations</v>
          </cell>
          <cell r="J474">
            <v>45.6</v>
          </cell>
          <cell r="K474">
            <v>29.2</v>
          </cell>
          <cell r="L474">
            <v>51.6</v>
          </cell>
          <cell r="M474">
            <v>16.399999999999999</v>
          </cell>
          <cell r="N474">
            <v>100.3</v>
          </cell>
          <cell r="O474">
            <v>262.89999999999998</v>
          </cell>
          <cell r="P474">
            <v>121.2</v>
          </cell>
          <cell r="Q474">
            <v>128.80000000000001</v>
          </cell>
          <cell r="R474">
            <v>11.1</v>
          </cell>
          <cell r="S474">
            <v>-196</v>
          </cell>
          <cell r="T474">
            <v>45.8</v>
          </cell>
          <cell r="U474">
            <v>-462.7</v>
          </cell>
          <cell r="V474">
            <v>67.8</v>
          </cell>
          <cell r="W474">
            <v>70.3</v>
          </cell>
          <cell r="X474">
            <v>15.6</v>
          </cell>
          <cell r="Y474">
            <v>50.1</v>
          </cell>
          <cell r="Z474">
            <v>24.9</v>
          </cell>
          <cell r="AA474">
            <v>78.099999999999994</v>
          </cell>
          <cell r="AB474">
            <v>45.8</v>
          </cell>
          <cell r="AC474">
            <v>51.1</v>
          </cell>
          <cell r="AD474">
            <v>47.6</v>
          </cell>
          <cell r="AE474">
            <v>16.5</v>
          </cell>
          <cell r="AF474">
            <v>45.6</v>
          </cell>
          <cell r="AG474">
            <v>85.4</v>
          </cell>
          <cell r="AH474">
            <v>211.1</v>
          </cell>
          <cell r="AI474">
            <v>52.4</v>
          </cell>
          <cell r="AJ474">
            <v>73.3</v>
          </cell>
          <cell r="AK474">
            <v>86.3</v>
          </cell>
          <cell r="AL474">
            <v>39</v>
          </cell>
          <cell r="AM474">
            <v>81.400000000000006</v>
          </cell>
          <cell r="AN474">
            <v>46.6</v>
          </cell>
          <cell r="AO474">
            <v>44.4</v>
          </cell>
          <cell r="AP474">
            <v>250.5</v>
          </cell>
          <cell r="AQ474">
            <v>50.3</v>
          </cell>
          <cell r="AR474">
            <v>39.799999999999997</v>
          </cell>
          <cell r="AS474">
            <v>293.2</v>
          </cell>
          <cell r="AT474">
            <v>33.6</v>
          </cell>
          <cell r="AU474">
            <v>42.8</v>
          </cell>
          <cell r="AV474">
            <v>97.4</v>
          </cell>
          <cell r="AW474">
            <v>79.8</v>
          </cell>
          <cell r="AX474">
            <v>53.8</v>
          </cell>
          <cell r="AY474">
            <v>74</v>
          </cell>
          <cell r="AZ474">
            <v>61.9</v>
          </cell>
          <cell r="BA474">
            <v>49.1</v>
          </cell>
          <cell r="BB474">
            <v>84.3</v>
          </cell>
          <cell r="BC474">
            <v>43</v>
          </cell>
          <cell r="BD474">
            <v>44</v>
          </cell>
          <cell r="BE474">
            <v>85.9</v>
          </cell>
          <cell r="BF474">
            <v>57.4</v>
          </cell>
          <cell r="BG474">
            <v>118.1</v>
          </cell>
          <cell r="BH474">
            <v>107.7</v>
          </cell>
          <cell r="BI474">
            <v>60.9</v>
          </cell>
          <cell r="BJ474">
            <v>49.1</v>
          </cell>
          <cell r="BK474">
            <v>59.7</v>
          </cell>
          <cell r="BL474">
            <v>28.5</v>
          </cell>
          <cell r="BM474">
            <v>46</v>
          </cell>
          <cell r="BN474">
            <v>47.2</v>
          </cell>
          <cell r="BO474">
            <v>75.5</v>
          </cell>
          <cell r="BP474">
            <v>49</v>
          </cell>
          <cell r="BQ474">
            <v>65.099999999999994</v>
          </cell>
          <cell r="BR474">
            <v>8.3000000000000007</v>
          </cell>
          <cell r="BS474">
            <v>47.2</v>
          </cell>
          <cell r="BT474">
            <v>65.099999999999994</v>
          </cell>
          <cell r="BU474">
            <v>48.1</v>
          </cell>
          <cell r="BV474">
            <v>39.4</v>
          </cell>
          <cell r="BW474">
            <v>43.8</v>
          </cell>
          <cell r="BX474">
            <v>39</v>
          </cell>
          <cell r="BY474">
            <v>119.6</v>
          </cell>
          <cell r="BZ474">
            <v>162.69999999999999</v>
          </cell>
          <cell r="CA474">
            <v>50.9</v>
          </cell>
          <cell r="CB474">
            <v>7.9</v>
          </cell>
          <cell r="CC474">
            <v>107.9</v>
          </cell>
          <cell r="CD474">
            <v>-19.8</v>
          </cell>
          <cell r="CE474">
            <v>-0.2</v>
          </cell>
          <cell r="CF474">
            <v>-16.100000000000001</v>
          </cell>
          <cell r="CG474">
            <v>-13</v>
          </cell>
          <cell r="CH474">
            <v>-19.600000000000001</v>
          </cell>
          <cell r="CI474">
            <v>-19.600000000000001</v>
          </cell>
          <cell r="CJ474">
            <v>-16.2</v>
          </cell>
          <cell r="CK474">
            <v>-4.7</v>
          </cell>
          <cell r="CL474">
            <v>-12.6</v>
          </cell>
          <cell r="CM474">
            <v>-11.1</v>
          </cell>
          <cell r="CN474">
            <v>-7</v>
          </cell>
          <cell r="CO474">
            <v>-9.3000000000000007</v>
          </cell>
          <cell r="CP474">
            <v>-42.1</v>
          </cell>
          <cell r="CQ474">
            <v>-6.9</v>
          </cell>
          <cell r="CR474">
            <v>-17.8</v>
          </cell>
          <cell r="CS474">
            <v>-13.9</v>
          </cell>
          <cell r="CT474">
            <v>16</v>
          </cell>
          <cell r="CU474">
            <v>-282.39999999999998</v>
          </cell>
          <cell r="CV474">
            <v>-59.3</v>
          </cell>
          <cell r="CW474">
            <v>-53.7</v>
          </cell>
          <cell r="CX474">
            <v>-51.7</v>
          </cell>
          <cell r="CY474">
            <v>-59.8</v>
          </cell>
          <cell r="CZ474">
            <v>-52.6</v>
          </cell>
          <cell r="DA474">
            <v>-46.9</v>
          </cell>
          <cell r="DB474">
            <v>-43.4</v>
          </cell>
          <cell r="DC474">
            <v>-55.4</v>
          </cell>
          <cell r="DD474">
            <v>-57.2</v>
          </cell>
          <cell r="DE474">
            <v>-52.7</v>
          </cell>
          <cell r="DF474">
            <v>-66.3</v>
          </cell>
          <cell r="DG474">
            <v>-53.4</v>
          </cell>
          <cell r="DH474">
            <v>-38.6</v>
          </cell>
          <cell r="DI474">
            <v>-10.1</v>
          </cell>
          <cell r="DJ474">
            <v>-57.3</v>
          </cell>
          <cell r="DK474">
            <v>-61.5</v>
          </cell>
          <cell r="DL474">
            <v>-657.3</v>
          </cell>
          <cell r="DM474">
            <v>-87.9</v>
          </cell>
          <cell r="DN474">
            <v>-40.200000000000003</v>
          </cell>
          <cell r="DO474">
            <v>-40.200000000000003</v>
          </cell>
          <cell r="DP474">
            <v>-40.200000000000003</v>
          </cell>
          <cell r="DQ474">
            <v>-40.200000000000003</v>
          </cell>
          <cell r="DR474">
            <v>-40.200000000000003</v>
          </cell>
          <cell r="DS474">
            <v>-40.200000000000003</v>
          </cell>
          <cell r="DT474">
            <v>-40.200000000000003</v>
          </cell>
          <cell r="DU474">
            <v>-40.200000000000003</v>
          </cell>
          <cell r="DV474">
            <v>-40.200000000000003</v>
          </cell>
          <cell r="DW474">
            <v>-40.200000000000003</v>
          </cell>
          <cell r="DX474">
            <v>-40.200000000000003</v>
          </cell>
          <cell r="DY474">
            <v>-40.200000000000003</v>
          </cell>
          <cell r="EM474">
            <v>598.79999999999995</v>
          </cell>
          <cell r="EN474">
            <v>1268.3</v>
          </cell>
          <cell r="EO474">
            <v>749.6</v>
          </cell>
          <cell r="EP474">
            <v>764.2</v>
          </cell>
          <cell r="EQ474">
            <v>739.9</v>
          </cell>
          <cell r="ER474">
            <v>-149.20000000000002</v>
          </cell>
          <cell r="ES474">
            <v>-671.09999999999991</v>
          </cell>
        </row>
        <row r="475">
          <cell r="A475" t="str">
            <v>O&amp;M (Net of pass-throughs)</v>
          </cell>
          <cell r="B475" t="str">
            <v>Operations &amp; Maintenance Expense (incl clause)</v>
          </cell>
          <cell r="E475" t="str">
            <v>Operations &amp; Maintenance Expense</v>
          </cell>
          <cell r="F475" t="str">
            <v>6790702</v>
          </cell>
          <cell r="G475" t="str">
            <v>A_6790702</v>
          </cell>
          <cell r="H475" t="str">
            <v>Intercompany Fee</v>
          </cell>
          <cell r="J475">
            <v>616</v>
          </cell>
          <cell r="K475">
            <v>739.6</v>
          </cell>
          <cell r="L475">
            <v>616</v>
          </cell>
          <cell r="M475">
            <v>616</v>
          </cell>
          <cell r="N475">
            <v>616</v>
          </cell>
          <cell r="O475">
            <v>616</v>
          </cell>
          <cell r="P475">
            <v>616</v>
          </cell>
          <cell r="Q475">
            <v>616</v>
          </cell>
          <cell r="R475">
            <v>616</v>
          </cell>
          <cell r="S475">
            <v>616</v>
          </cell>
          <cell r="T475">
            <v>616</v>
          </cell>
          <cell r="U475">
            <v>866</v>
          </cell>
          <cell r="V475">
            <v>625.20000000000005</v>
          </cell>
          <cell r="W475">
            <v>625.20000000000005</v>
          </cell>
          <cell r="X475">
            <v>625.20000000000005</v>
          </cell>
          <cell r="Y475">
            <v>625.20000000000005</v>
          </cell>
          <cell r="Z475">
            <v>625.20000000000005</v>
          </cell>
          <cell r="AA475">
            <v>625.20000000000005</v>
          </cell>
          <cell r="AB475">
            <v>625.20000000000005</v>
          </cell>
          <cell r="AC475">
            <v>625.20000000000005</v>
          </cell>
          <cell r="AD475">
            <v>625.20000000000005</v>
          </cell>
          <cell r="AE475">
            <v>625.20000000000005</v>
          </cell>
          <cell r="AF475">
            <v>625.20000000000005</v>
          </cell>
          <cell r="AG475">
            <v>890</v>
          </cell>
          <cell r="AH475">
            <v>635.20000000000005</v>
          </cell>
          <cell r="AI475">
            <v>635.20000000000005</v>
          </cell>
          <cell r="AJ475">
            <v>635.20000000000005</v>
          </cell>
          <cell r="AK475">
            <v>635.20000000000005</v>
          </cell>
          <cell r="AL475">
            <v>635.20000000000005</v>
          </cell>
          <cell r="AM475">
            <v>635.20000000000005</v>
          </cell>
          <cell r="AN475">
            <v>635.20000000000005</v>
          </cell>
          <cell r="AO475">
            <v>635.20000000000005</v>
          </cell>
          <cell r="AP475">
            <v>635.20000000000005</v>
          </cell>
          <cell r="AQ475">
            <v>635.20000000000005</v>
          </cell>
          <cell r="AR475">
            <v>635.20000000000005</v>
          </cell>
          <cell r="AS475">
            <v>899</v>
          </cell>
          <cell r="AT475">
            <v>635.79999999999995</v>
          </cell>
          <cell r="AU475">
            <v>635.79999999999995</v>
          </cell>
          <cell r="AV475">
            <v>635.79999999999995</v>
          </cell>
          <cell r="AW475">
            <v>635.79999999999995</v>
          </cell>
          <cell r="AX475">
            <v>635.79999999999995</v>
          </cell>
          <cell r="AY475">
            <v>635.79999999999995</v>
          </cell>
          <cell r="AZ475">
            <v>635.79999999999995</v>
          </cell>
          <cell r="BA475">
            <v>635.79999999999995</v>
          </cell>
          <cell r="BB475">
            <v>635.79999999999995</v>
          </cell>
          <cell r="BC475">
            <v>635.79999999999995</v>
          </cell>
          <cell r="BD475">
            <v>635.79999999999995</v>
          </cell>
          <cell r="BE475">
            <v>885.8</v>
          </cell>
          <cell r="BF475">
            <v>644.1</v>
          </cell>
          <cell r="BG475">
            <v>644.1</v>
          </cell>
          <cell r="BH475">
            <v>644.1</v>
          </cell>
          <cell r="BI475">
            <v>644.1</v>
          </cell>
          <cell r="BJ475">
            <v>644.1</v>
          </cell>
          <cell r="BK475">
            <v>644.1</v>
          </cell>
          <cell r="BL475">
            <v>644.1</v>
          </cell>
          <cell r="BM475">
            <v>644.1</v>
          </cell>
          <cell r="BN475">
            <v>644.1</v>
          </cell>
          <cell r="BO475">
            <v>644.1</v>
          </cell>
          <cell r="BP475">
            <v>644.1</v>
          </cell>
          <cell r="BQ475">
            <v>838.3</v>
          </cell>
          <cell r="BR475">
            <v>657.6</v>
          </cell>
          <cell r="BS475">
            <v>657.6</v>
          </cell>
          <cell r="BT475">
            <v>657.6</v>
          </cell>
          <cell r="BU475">
            <v>657.6</v>
          </cell>
          <cell r="BV475">
            <v>657.6</v>
          </cell>
          <cell r="BW475">
            <v>657.6</v>
          </cell>
          <cell r="BX475">
            <v>657.6</v>
          </cell>
          <cell r="BY475">
            <v>657.6</v>
          </cell>
          <cell r="BZ475">
            <v>657.6</v>
          </cell>
          <cell r="CA475">
            <v>657.6</v>
          </cell>
          <cell r="CB475">
            <v>657.6</v>
          </cell>
          <cell r="CC475">
            <v>916.1</v>
          </cell>
          <cell r="CD475">
            <v>670.1</v>
          </cell>
          <cell r="CE475">
            <v>670.1</v>
          </cell>
          <cell r="CF475">
            <v>670.1</v>
          </cell>
          <cell r="CG475">
            <v>670.1</v>
          </cell>
          <cell r="CH475">
            <v>670.1</v>
          </cell>
          <cell r="CI475">
            <v>670.1</v>
          </cell>
          <cell r="CJ475">
            <v>670.1</v>
          </cell>
          <cell r="CK475">
            <v>670.1</v>
          </cell>
          <cell r="CL475">
            <v>670.1</v>
          </cell>
          <cell r="CM475">
            <v>670.1</v>
          </cell>
          <cell r="CN475">
            <v>670.1</v>
          </cell>
          <cell r="CO475">
            <v>858.2</v>
          </cell>
          <cell r="CP475">
            <v>685.5</v>
          </cell>
          <cell r="CQ475">
            <v>685.5</v>
          </cell>
          <cell r="CR475">
            <v>685.5</v>
          </cell>
          <cell r="CS475">
            <v>685.5</v>
          </cell>
          <cell r="CT475">
            <v>685.5</v>
          </cell>
          <cell r="CU475">
            <v>685.5</v>
          </cell>
          <cell r="CV475">
            <v>685.5</v>
          </cell>
          <cell r="CW475">
            <v>685.5</v>
          </cell>
          <cell r="CX475">
            <v>685.5</v>
          </cell>
          <cell r="CY475">
            <v>685.5</v>
          </cell>
          <cell r="CZ475">
            <v>685.5</v>
          </cell>
          <cell r="DA475">
            <v>822.3</v>
          </cell>
          <cell r="DB475">
            <v>693.8</v>
          </cell>
          <cell r="DC475">
            <v>693.8</v>
          </cell>
          <cell r="DD475">
            <v>693.8</v>
          </cell>
          <cell r="DE475">
            <v>693.8</v>
          </cell>
          <cell r="DF475">
            <v>693.8</v>
          </cell>
          <cell r="DG475">
            <v>693.8</v>
          </cell>
          <cell r="DH475">
            <v>693.8</v>
          </cell>
          <cell r="DI475">
            <v>693.8</v>
          </cell>
          <cell r="DJ475">
            <v>693.8</v>
          </cell>
          <cell r="DK475">
            <v>693.8</v>
          </cell>
          <cell r="DL475">
            <v>693.8</v>
          </cell>
          <cell r="DM475">
            <v>854.5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EM475">
            <v>7767.1999999999989</v>
          </cell>
          <cell r="EN475">
            <v>7886.1999999999989</v>
          </cell>
          <cell r="EO475">
            <v>7879.6000000000013</v>
          </cell>
          <cell r="EP475">
            <v>7923.4000000000015</v>
          </cell>
          <cell r="EQ475">
            <v>8149.7000000000016</v>
          </cell>
          <cell r="ER475">
            <v>8229.3000000000011</v>
          </cell>
          <cell r="ES475">
            <v>8362.7999999999993</v>
          </cell>
        </row>
        <row r="476">
          <cell r="A476" t="str">
            <v>O&amp;M (Net of pass-throughs)</v>
          </cell>
          <cell r="B476" t="str">
            <v>Operations &amp; Maintenance Expense (incl clause)</v>
          </cell>
          <cell r="E476" t="str">
            <v>Operations &amp; Maintenance Expense</v>
          </cell>
          <cell r="F476" t="str">
            <v>6790704</v>
          </cell>
          <cell r="G476" t="str">
            <v>A_6790704</v>
          </cell>
          <cell r="H476" t="str">
            <v>Intercompany Support Services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9.1999999999999993</v>
          </cell>
          <cell r="BH476">
            <v>4.5</v>
          </cell>
          <cell r="BI476">
            <v>30.3</v>
          </cell>
          <cell r="BJ476">
            <v>4.5</v>
          </cell>
          <cell r="BK476">
            <v>4.4000000000000004</v>
          </cell>
          <cell r="BL476">
            <v>49</v>
          </cell>
          <cell r="BM476">
            <v>11.8</v>
          </cell>
          <cell r="BN476">
            <v>14.7</v>
          </cell>
          <cell r="BO476">
            <v>6.7</v>
          </cell>
          <cell r="BP476">
            <v>15.5</v>
          </cell>
          <cell r="BQ476">
            <v>9.8000000000000007</v>
          </cell>
          <cell r="BR476">
            <v>19</v>
          </cell>
          <cell r="BS476">
            <v>33.299999999999997</v>
          </cell>
          <cell r="BT476">
            <v>33</v>
          </cell>
          <cell r="BU476">
            <v>28.5</v>
          </cell>
          <cell r="BV476">
            <v>24.2</v>
          </cell>
          <cell r="BW476">
            <v>56.3</v>
          </cell>
          <cell r="BX476">
            <v>29.8</v>
          </cell>
          <cell r="BY476">
            <v>16</v>
          </cell>
          <cell r="BZ476">
            <v>31.1</v>
          </cell>
          <cell r="CA476">
            <v>23.7</v>
          </cell>
          <cell r="CB476">
            <v>23.6</v>
          </cell>
          <cell r="CC476">
            <v>42</v>
          </cell>
          <cell r="CD476">
            <v>45.5</v>
          </cell>
          <cell r="CE476">
            <v>29.8</v>
          </cell>
          <cell r="CF476">
            <v>38</v>
          </cell>
          <cell r="CG476">
            <v>29.9</v>
          </cell>
          <cell r="CH476">
            <v>39</v>
          </cell>
          <cell r="CI476">
            <v>25.4</v>
          </cell>
          <cell r="CJ476">
            <v>35.299999999999997</v>
          </cell>
          <cell r="CK476">
            <v>191</v>
          </cell>
          <cell r="CL476">
            <v>42.1</v>
          </cell>
          <cell r="CM476">
            <v>38.700000000000003</v>
          </cell>
          <cell r="CN476">
            <v>53.4</v>
          </cell>
          <cell r="CO476">
            <v>102.7</v>
          </cell>
          <cell r="CP476">
            <v>43.9</v>
          </cell>
          <cell r="CQ476">
            <v>26.7</v>
          </cell>
          <cell r="CR476">
            <v>44.7</v>
          </cell>
          <cell r="CS476">
            <v>65.8</v>
          </cell>
          <cell r="CT476">
            <v>46.9</v>
          </cell>
          <cell r="CU476">
            <v>22</v>
          </cell>
          <cell r="CV476">
            <v>38.1</v>
          </cell>
          <cell r="CW476">
            <v>32.5</v>
          </cell>
          <cell r="CX476">
            <v>46.6</v>
          </cell>
          <cell r="CY476">
            <v>39.4</v>
          </cell>
          <cell r="CZ476">
            <v>30.9</v>
          </cell>
          <cell r="DA476">
            <v>36.799999999999997</v>
          </cell>
          <cell r="DB476">
            <v>75.400000000000006</v>
          </cell>
          <cell r="DC476">
            <v>48</v>
          </cell>
          <cell r="DD476">
            <v>52.1</v>
          </cell>
          <cell r="DE476">
            <v>62.5</v>
          </cell>
          <cell r="DF476">
            <v>61.7</v>
          </cell>
          <cell r="DG476">
            <v>28.5</v>
          </cell>
          <cell r="DH476">
            <v>62.9</v>
          </cell>
          <cell r="DI476">
            <v>43.1</v>
          </cell>
          <cell r="DJ476">
            <v>70.5</v>
          </cell>
          <cell r="DK476">
            <v>78.3</v>
          </cell>
          <cell r="DL476">
            <v>58.6</v>
          </cell>
          <cell r="DM476">
            <v>55.7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160.4</v>
          </cell>
          <cell r="EQ476">
            <v>360.50000000000006</v>
          </cell>
          <cell r="ER476">
            <v>670.80000000000007</v>
          </cell>
          <cell r="ES476">
            <v>474.3</v>
          </cell>
        </row>
        <row r="477">
          <cell r="A477" t="str">
            <v>O&amp;M (Net of pass-throughs)</v>
          </cell>
          <cell r="B477" t="str">
            <v>Operations &amp; Maintenance Expense (incl clause)</v>
          </cell>
          <cell r="E477" t="str">
            <v>Operations &amp; Maintenance Expense</v>
          </cell>
          <cell r="F477" t="str">
            <v>6790705</v>
          </cell>
          <cell r="G477" t="str">
            <v>A_6790705</v>
          </cell>
          <cell r="H477" t="str">
            <v>Intercompany Print Shop Charges</v>
          </cell>
          <cell r="J477">
            <v>4.3</v>
          </cell>
          <cell r="K477">
            <v>2</v>
          </cell>
          <cell r="L477">
            <v>4</v>
          </cell>
          <cell r="M477">
            <v>9.1</v>
          </cell>
          <cell r="N477">
            <v>7.7</v>
          </cell>
          <cell r="O477">
            <v>6.9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</row>
        <row r="478">
          <cell r="A478" t="str">
            <v>O&amp;M (Net of pass-throughs)</v>
          </cell>
          <cell r="B478" t="str">
            <v>Operations &amp; Maintenance Expense (incl clause)</v>
          </cell>
          <cell r="E478" t="str">
            <v>Operations &amp; Maintenance Expense</v>
          </cell>
          <cell r="F478" t="str">
            <v>6790706</v>
          </cell>
          <cell r="G478" t="str">
            <v>A_6790706</v>
          </cell>
          <cell r="H478" t="str">
            <v>Intercompany Record Retention and Mail Services</v>
          </cell>
          <cell r="J478">
            <v>0.3</v>
          </cell>
          <cell r="K478">
            <v>0.3</v>
          </cell>
          <cell r="L478">
            <v>0.4</v>
          </cell>
          <cell r="M478">
            <v>0.5</v>
          </cell>
          <cell r="N478">
            <v>0.4</v>
          </cell>
          <cell r="O478">
            <v>0.3</v>
          </cell>
          <cell r="P478">
            <v>0.2</v>
          </cell>
          <cell r="Q478">
            <v>0.4</v>
          </cell>
          <cell r="R478">
            <v>0.3</v>
          </cell>
          <cell r="S478">
            <v>0.3</v>
          </cell>
          <cell r="T478">
            <v>0.4</v>
          </cell>
          <cell r="U478">
            <v>0.4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</row>
        <row r="479">
          <cell r="A479" t="str">
            <v>O&amp;M (Net of pass-throughs)</v>
          </cell>
          <cell r="B479" t="str">
            <v>Operations &amp; Maintenance Expense (incl clause)</v>
          </cell>
          <cell r="E479" t="str">
            <v>Operations &amp; Maintenance Expense</v>
          </cell>
          <cell r="F479" t="str">
            <v>6790707</v>
          </cell>
          <cell r="G479" t="str">
            <v>A_6790707</v>
          </cell>
          <cell r="H479" t="str">
            <v xml:space="preserve"> IC Direct fr Svc Co </v>
          </cell>
          <cell r="J479">
            <v>46.9</v>
          </cell>
          <cell r="K479">
            <v>42.1</v>
          </cell>
          <cell r="L479">
            <v>42.4</v>
          </cell>
          <cell r="M479">
            <v>42.3</v>
          </cell>
          <cell r="N479">
            <v>47.9</v>
          </cell>
          <cell r="O479">
            <v>48</v>
          </cell>
          <cell r="P479">
            <v>49.2</v>
          </cell>
          <cell r="Q479">
            <v>45</v>
          </cell>
          <cell r="R479">
            <v>44.8</v>
          </cell>
          <cell r="S479">
            <v>49</v>
          </cell>
          <cell r="T479">
            <v>54.4</v>
          </cell>
          <cell r="U479">
            <v>45.2</v>
          </cell>
          <cell r="V479">
            <v>0</v>
          </cell>
          <cell r="W479">
            <v>-6.6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EM479">
            <v>-6.6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</row>
        <row r="480">
          <cell r="A480" t="str">
            <v>O&amp;M (Net of pass-throughs)</v>
          </cell>
          <cell r="B480" t="str">
            <v>Operations &amp; Maintenance Expense (incl clause)</v>
          </cell>
          <cell r="E480" t="str">
            <v>Operations &amp; Maintenance Expense</v>
          </cell>
          <cell r="F480" t="str">
            <v>6790708</v>
          </cell>
          <cell r="G480" t="str">
            <v>A_6790708</v>
          </cell>
          <cell r="H480" t="str">
            <v xml:space="preserve"> IC Direct fr Svc Co </v>
          </cell>
          <cell r="J480">
            <v>346</v>
          </cell>
          <cell r="K480">
            <v>369.1</v>
          </cell>
          <cell r="L480">
            <v>430</v>
          </cell>
          <cell r="M480">
            <v>378.6</v>
          </cell>
          <cell r="N480">
            <v>378.2</v>
          </cell>
          <cell r="O480">
            <v>389.2</v>
          </cell>
          <cell r="P480">
            <v>344.3</v>
          </cell>
          <cell r="Q480">
            <v>323.8</v>
          </cell>
          <cell r="R480">
            <v>323.3</v>
          </cell>
          <cell r="S480">
            <v>329.4</v>
          </cell>
          <cell r="T480">
            <v>302.89999999999998</v>
          </cell>
          <cell r="U480">
            <v>393.4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</row>
        <row r="481">
          <cell r="A481" t="str">
            <v>O&amp;M (Net of pass-throughs)</v>
          </cell>
          <cell r="B481" t="str">
            <v>Operations &amp; Maintenance Expense (incl clause)</v>
          </cell>
          <cell r="E481" t="str">
            <v>Operations &amp; Maintenance Expense</v>
          </cell>
          <cell r="F481" t="str">
            <v>6790709</v>
          </cell>
          <cell r="G481" t="str">
            <v>A_6790709</v>
          </cell>
          <cell r="H481" t="str">
            <v>Intercompany - Asset Usage Fee</v>
          </cell>
          <cell r="J481">
            <v>346</v>
          </cell>
          <cell r="K481">
            <v>369.1</v>
          </cell>
          <cell r="L481">
            <v>430</v>
          </cell>
          <cell r="M481">
            <v>378.6</v>
          </cell>
          <cell r="N481">
            <v>378.2</v>
          </cell>
          <cell r="O481">
            <v>389.2</v>
          </cell>
          <cell r="P481">
            <v>344.3</v>
          </cell>
          <cell r="Q481">
            <v>323.8</v>
          </cell>
          <cell r="R481">
            <v>323.3</v>
          </cell>
          <cell r="S481">
            <v>329.4</v>
          </cell>
          <cell r="T481">
            <v>302.89999999999998</v>
          </cell>
          <cell r="U481">
            <v>393.4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25</v>
          </cell>
          <cell r="AF481">
            <v>63</v>
          </cell>
          <cell r="AG481">
            <v>64.8</v>
          </cell>
          <cell r="AH481">
            <v>82.6</v>
          </cell>
          <cell r="AI481">
            <v>80.900000000000006</v>
          </cell>
          <cell r="AJ481">
            <v>80.599999999999994</v>
          </cell>
          <cell r="AK481">
            <v>79</v>
          </cell>
          <cell r="AL481">
            <v>78.099999999999994</v>
          </cell>
          <cell r="AM481">
            <v>76.400000000000006</v>
          </cell>
          <cell r="AN481">
            <v>76.2</v>
          </cell>
          <cell r="AO481">
            <v>75.900000000000006</v>
          </cell>
          <cell r="AP481">
            <v>-275.5</v>
          </cell>
          <cell r="AQ481">
            <v>38.700000000000003</v>
          </cell>
          <cell r="AR481">
            <v>38.700000000000003</v>
          </cell>
          <cell r="AS481">
            <v>40.1</v>
          </cell>
          <cell r="AT481">
            <v>40.799999999999997</v>
          </cell>
          <cell r="AU481">
            <v>41.4</v>
          </cell>
          <cell r="AV481">
            <v>200</v>
          </cell>
          <cell r="AW481">
            <v>215.1</v>
          </cell>
          <cell r="AX481">
            <v>202.7</v>
          </cell>
          <cell r="AY481">
            <v>207.8</v>
          </cell>
          <cell r="AZ481">
            <v>206.6</v>
          </cell>
          <cell r="BA481">
            <v>206.1</v>
          </cell>
          <cell r="BB481">
            <v>212.8</v>
          </cell>
          <cell r="BC481">
            <v>207.9</v>
          </cell>
          <cell r="BD481">
            <v>212.8</v>
          </cell>
          <cell r="BE481">
            <v>212.4</v>
          </cell>
          <cell r="BF481">
            <v>214.4</v>
          </cell>
          <cell r="BG481">
            <v>215.9</v>
          </cell>
          <cell r="BH481">
            <v>219.6</v>
          </cell>
          <cell r="BI481">
            <v>220.3</v>
          </cell>
          <cell r="BJ481">
            <v>220.3</v>
          </cell>
          <cell r="BK481">
            <v>225.4</v>
          </cell>
          <cell r="BL481">
            <v>225.4</v>
          </cell>
          <cell r="BM481">
            <v>238.5</v>
          </cell>
          <cell r="BN481">
            <v>259.8</v>
          </cell>
          <cell r="BO481">
            <v>242.1</v>
          </cell>
          <cell r="BP481">
            <v>244.1</v>
          </cell>
          <cell r="BQ481">
            <v>251.7</v>
          </cell>
          <cell r="BR481">
            <v>257.89999999999998</v>
          </cell>
          <cell r="BS481">
            <v>259.39999999999998</v>
          </cell>
          <cell r="BT481">
            <v>260.8</v>
          </cell>
          <cell r="BU481">
            <v>263.60000000000002</v>
          </cell>
          <cell r="BV481">
            <v>261.39999999999998</v>
          </cell>
          <cell r="BW481">
            <v>263.8</v>
          </cell>
          <cell r="BX481">
            <v>278.2</v>
          </cell>
          <cell r="BY481">
            <v>279.2</v>
          </cell>
          <cell r="BZ481">
            <v>280.39999999999998</v>
          </cell>
          <cell r="CA481">
            <v>229.2</v>
          </cell>
          <cell r="CB481">
            <v>267.60000000000002</v>
          </cell>
          <cell r="CC481">
            <v>269.3</v>
          </cell>
          <cell r="CD481">
            <v>278.39999999999998</v>
          </cell>
          <cell r="CE481">
            <v>286.7</v>
          </cell>
          <cell r="CF481">
            <v>286.7</v>
          </cell>
          <cell r="CG481">
            <v>286.3</v>
          </cell>
          <cell r="CH481">
            <v>286.3</v>
          </cell>
          <cell r="CI481">
            <v>286.39999999999998</v>
          </cell>
          <cell r="CJ481">
            <v>286.5</v>
          </cell>
          <cell r="CK481">
            <v>248.6</v>
          </cell>
          <cell r="CL481">
            <v>281.3</v>
          </cell>
          <cell r="CM481">
            <v>280.10000000000002</v>
          </cell>
          <cell r="CN481">
            <v>281.60000000000002</v>
          </cell>
          <cell r="CO481">
            <v>273.3</v>
          </cell>
          <cell r="CP481">
            <v>274</v>
          </cell>
          <cell r="CQ481">
            <v>292.7</v>
          </cell>
          <cell r="CR481">
            <v>293.7</v>
          </cell>
          <cell r="CS481">
            <v>292.60000000000002</v>
          </cell>
          <cell r="CT481">
            <v>293.89999999999998</v>
          </cell>
          <cell r="CU481">
            <v>293.8</v>
          </cell>
          <cell r="CV481">
            <v>291.2</v>
          </cell>
          <cell r="CW481">
            <v>292.10000000000002</v>
          </cell>
          <cell r="CX481">
            <v>294.2</v>
          </cell>
          <cell r="CY481">
            <v>-410.8</v>
          </cell>
          <cell r="CZ481">
            <v>268.60000000000002</v>
          </cell>
          <cell r="DA481">
            <v>269.89999999999998</v>
          </cell>
          <cell r="DB481">
            <v>269.60000000000002</v>
          </cell>
          <cell r="DC481">
            <v>274.10000000000002</v>
          </cell>
          <cell r="DD481">
            <v>274.10000000000002</v>
          </cell>
          <cell r="DE481">
            <v>274.10000000000002</v>
          </cell>
          <cell r="DF481">
            <v>274.10000000000002</v>
          </cell>
          <cell r="DG481">
            <v>281.39999999999998</v>
          </cell>
          <cell r="DH481">
            <v>281.5</v>
          </cell>
          <cell r="DI481">
            <v>285.5</v>
          </cell>
          <cell r="DJ481">
            <v>284.7</v>
          </cell>
          <cell r="DK481">
            <v>284.60000000000002</v>
          </cell>
          <cell r="DL481">
            <v>282.10000000000002</v>
          </cell>
          <cell r="DM481">
            <v>279.39999999999998</v>
          </cell>
          <cell r="DN481">
            <v>278.3</v>
          </cell>
          <cell r="DO481">
            <v>302.89999999999998</v>
          </cell>
          <cell r="DP481">
            <v>302.89999999999998</v>
          </cell>
          <cell r="DQ481">
            <v>302.7</v>
          </cell>
          <cell r="DR481">
            <v>302.7</v>
          </cell>
          <cell r="DS481">
            <v>302.7</v>
          </cell>
          <cell r="DT481">
            <v>302.7</v>
          </cell>
          <cell r="DU481">
            <v>302.7</v>
          </cell>
          <cell r="DV481">
            <v>302.2</v>
          </cell>
          <cell r="DW481">
            <v>300.2</v>
          </cell>
          <cell r="DX481">
            <v>300.2</v>
          </cell>
          <cell r="DY481">
            <v>301.7</v>
          </cell>
          <cell r="EM481">
            <v>152.80000000000001</v>
          </cell>
          <cell r="EN481">
            <v>471.70000000000005</v>
          </cell>
          <cell r="EO481">
            <v>2166.3999999999996</v>
          </cell>
          <cell r="EP481">
            <v>2777.5</v>
          </cell>
          <cell r="EQ481">
            <v>3170.7999999999997</v>
          </cell>
          <cell r="ER481">
            <v>3362.2</v>
          </cell>
          <cell r="ES481">
            <v>2745.8999999999996</v>
          </cell>
        </row>
        <row r="482">
          <cell r="A482" t="str">
            <v>O&amp;M (Net of pass-throughs)</v>
          </cell>
          <cell r="B482" t="str">
            <v>Operations &amp; Maintenance Expense (incl clause)</v>
          </cell>
          <cell r="E482" t="str">
            <v>Operations &amp; Maintenance Expense</v>
          </cell>
          <cell r="F482" t="str">
            <v>6790800</v>
          </cell>
          <cell r="G482" t="str">
            <v>A_6790800</v>
          </cell>
          <cell r="H482" t="str">
            <v>Other Operational Expense - Miscellaneous</v>
          </cell>
          <cell r="J482">
            <v>20</v>
          </cell>
          <cell r="K482">
            <v>23.4</v>
          </cell>
          <cell r="L482">
            <v>17</v>
          </cell>
          <cell r="M482">
            <v>37.6</v>
          </cell>
          <cell r="N482">
            <v>12.7</v>
          </cell>
          <cell r="O482">
            <v>58.4</v>
          </cell>
          <cell r="P482">
            <v>28.3</v>
          </cell>
          <cell r="Q482">
            <v>245.6</v>
          </cell>
          <cell r="R482">
            <v>163.30000000000001</v>
          </cell>
          <cell r="S482">
            <v>21</v>
          </cell>
          <cell r="T482">
            <v>18.3</v>
          </cell>
          <cell r="U482">
            <v>6016.5</v>
          </cell>
          <cell r="V482">
            <v>-5.0999999999999996</v>
          </cell>
          <cell r="W482">
            <v>-50.9</v>
          </cell>
          <cell r="X482">
            <v>850.6</v>
          </cell>
          <cell r="Y482">
            <v>-1732.6</v>
          </cell>
          <cell r="Z482">
            <v>12.3</v>
          </cell>
          <cell r="AA482">
            <v>8.5</v>
          </cell>
          <cell r="AB482">
            <v>60.8</v>
          </cell>
          <cell r="AC482">
            <v>-473.7</v>
          </cell>
          <cell r="AD482">
            <v>61.4</v>
          </cell>
          <cell r="AE482">
            <v>41.7</v>
          </cell>
          <cell r="AF482">
            <v>-19.3</v>
          </cell>
          <cell r="AG482">
            <v>-28.4</v>
          </cell>
          <cell r="AH482">
            <v>18</v>
          </cell>
          <cell r="AI482">
            <v>24.4</v>
          </cell>
          <cell r="AJ482">
            <v>19.100000000000001</v>
          </cell>
          <cell r="AK482">
            <v>14.1</v>
          </cell>
          <cell r="AL482">
            <v>28.4</v>
          </cell>
          <cell r="AM482">
            <v>136.9</v>
          </cell>
          <cell r="AN482">
            <v>-101.1</v>
          </cell>
          <cell r="AO482">
            <v>17.100000000000001</v>
          </cell>
          <cell r="AP482">
            <v>278</v>
          </cell>
          <cell r="AQ482">
            <v>7.8</v>
          </cell>
          <cell r="AR482">
            <v>-393.7</v>
          </cell>
          <cell r="AS482">
            <v>583.20000000000005</v>
          </cell>
          <cell r="AT482">
            <v>-346</v>
          </cell>
          <cell r="AU482">
            <v>35.4</v>
          </cell>
          <cell r="AV482">
            <v>-1.4</v>
          </cell>
          <cell r="AW482">
            <v>28.3</v>
          </cell>
          <cell r="AX482">
            <v>50.4</v>
          </cell>
          <cell r="AY482">
            <v>-1305.4000000000001</v>
          </cell>
          <cell r="AZ482">
            <v>-1535.4</v>
          </cell>
          <cell r="BA482">
            <v>-253.2</v>
          </cell>
          <cell r="BB482">
            <v>-385.7</v>
          </cell>
          <cell r="BC482">
            <v>57.6</v>
          </cell>
          <cell r="BD482">
            <v>-11.4</v>
          </cell>
          <cell r="BE482">
            <v>-556.5</v>
          </cell>
          <cell r="BF482">
            <v>-151.9</v>
          </cell>
          <cell r="BG482">
            <v>12.7</v>
          </cell>
          <cell r="BH482">
            <v>17.5</v>
          </cell>
          <cell r="BI482">
            <v>105.7</v>
          </cell>
          <cell r="BJ482">
            <v>228.5</v>
          </cell>
          <cell r="BK482">
            <v>24.4</v>
          </cell>
          <cell r="BL482">
            <v>-502</v>
          </cell>
          <cell r="BM482">
            <v>160.80000000000001</v>
          </cell>
          <cell r="BN482">
            <v>-231.4</v>
          </cell>
          <cell r="BO482">
            <v>-54.7</v>
          </cell>
          <cell r="BP482">
            <v>1129.5999999999999</v>
          </cell>
          <cell r="BQ482">
            <v>-571.5</v>
          </cell>
          <cell r="BR482">
            <v>69.3</v>
          </cell>
          <cell r="BS482">
            <v>-36.200000000000003</v>
          </cell>
          <cell r="BT482">
            <v>17</v>
          </cell>
          <cell r="BU482">
            <v>30.9</v>
          </cell>
          <cell r="BV482">
            <v>3371.1</v>
          </cell>
          <cell r="BW482">
            <v>59.7</v>
          </cell>
          <cell r="BX482">
            <v>1947.2</v>
          </cell>
          <cell r="BY482">
            <v>-188</v>
          </cell>
          <cell r="BZ482">
            <v>6282.1</v>
          </cell>
          <cell r="CA482">
            <v>468.5</v>
          </cell>
          <cell r="CB482">
            <v>838.3</v>
          </cell>
          <cell r="CC482">
            <v>443</v>
          </cell>
          <cell r="CD482">
            <v>-3625.5</v>
          </cell>
          <cell r="CE482">
            <v>8161.2</v>
          </cell>
          <cell r="CF482">
            <v>-134</v>
          </cell>
          <cell r="CG482">
            <v>829.2</v>
          </cell>
          <cell r="CH482">
            <v>337.8</v>
          </cell>
          <cell r="CI482">
            <v>5110.2</v>
          </cell>
          <cell r="CJ482">
            <v>3242.9</v>
          </cell>
          <cell r="CK482">
            <v>9339.7000000000007</v>
          </cell>
          <cell r="CL482">
            <v>143.80000000000001</v>
          </cell>
          <cell r="CM482">
            <v>564.70000000000005</v>
          </cell>
          <cell r="CN482">
            <v>81.7</v>
          </cell>
          <cell r="CO482">
            <v>814.7</v>
          </cell>
          <cell r="CP482">
            <v>161.9</v>
          </cell>
          <cell r="CQ482">
            <v>215.8</v>
          </cell>
          <cell r="CR482">
            <v>177.1</v>
          </cell>
          <cell r="CS482">
            <v>175.6</v>
          </cell>
          <cell r="CT482">
            <v>686.5</v>
          </cell>
          <cell r="CU482">
            <v>370.4</v>
          </cell>
          <cell r="CV482">
            <v>181.4</v>
          </cell>
          <cell r="CW482">
            <v>169.8</v>
          </cell>
          <cell r="CX482">
            <v>-1450.6</v>
          </cell>
          <cell r="CY482">
            <v>166</v>
          </cell>
          <cell r="CZ482">
            <v>181.2</v>
          </cell>
          <cell r="DA482">
            <v>-729.8</v>
          </cell>
          <cell r="DB482">
            <v>89.2</v>
          </cell>
          <cell r="DC482">
            <v>593.6</v>
          </cell>
          <cell r="DD482">
            <v>768.4</v>
          </cell>
          <cell r="DE482">
            <v>521.6</v>
          </cell>
          <cell r="DF482">
            <v>344.8</v>
          </cell>
          <cell r="DG482">
            <v>630</v>
          </cell>
          <cell r="DH482">
            <v>433.1</v>
          </cell>
          <cell r="DI482">
            <v>561.29999999999995</v>
          </cell>
          <cell r="DJ482">
            <v>3896.9</v>
          </cell>
          <cell r="DK482">
            <v>-3738.2</v>
          </cell>
          <cell r="DL482">
            <v>447.1</v>
          </cell>
          <cell r="DM482">
            <v>1571</v>
          </cell>
          <cell r="DN482">
            <v>2.4</v>
          </cell>
          <cell r="DO482">
            <v>2.4</v>
          </cell>
          <cell r="DP482">
            <v>14.4</v>
          </cell>
          <cell r="DQ482">
            <v>14.4</v>
          </cell>
          <cell r="DR482">
            <v>14.4</v>
          </cell>
          <cell r="DS482">
            <v>14.4</v>
          </cell>
          <cell r="DT482">
            <v>14.4</v>
          </cell>
          <cell r="DU482">
            <v>14.4</v>
          </cell>
          <cell r="DV482">
            <v>14.4</v>
          </cell>
          <cell r="DW482">
            <v>14.4</v>
          </cell>
          <cell r="DX482">
            <v>14.4</v>
          </cell>
          <cell r="DY482">
            <v>14.4</v>
          </cell>
          <cell r="EM482">
            <v>-1274.6999999999998</v>
          </cell>
          <cell r="EN482">
            <v>632.20000000000005</v>
          </cell>
          <cell r="EO482">
            <v>-4223.3</v>
          </cell>
          <cell r="EP482">
            <v>167.69999999999982</v>
          </cell>
          <cell r="EQ482">
            <v>13302.9</v>
          </cell>
          <cell r="ER482">
            <v>24866.400000000001</v>
          </cell>
          <cell r="ES482">
            <v>305.30000000000064</v>
          </cell>
        </row>
        <row r="483">
          <cell r="A483" t="str">
            <v>O&amp;M (Net of pass-throughs) GAAP</v>
          </cell>
          <cell r="B483" t="str">
            <v>Operations &amp; Maintenance Expense (incl clause)</v>
          </cell>
          <cell r="E483" t="str">
            <v>Operations &amp; Maintenance Expense SUB</v>
          </cell>
          <cell r="F483" t="str">
            <v>6790801</v>
          </cell>
          <cell r="G483" t="str">
            <v>A_6790801</v>
          </cell>
          <cell r="H483" t="str">
            <v>Other Operational Expense - GAAP Adjustment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-65.099999999999994</v>
          </cell>
          <cell r="AN483">
            <v>-21.7</v>
          </cell>
          <cell r="AO483">
            <v>-21.7</v>
          </cell>
          <cell r="AP483">
            <v>-21.7</v>
          </cell>
          <cell r="AQ483">
            <v>-21.7</v>
          </cell>
          <cell r="AR483">
            <v>-36.799999999999997</v>
          </cell>
          <cell r="AS483">
            <v>-29.3</v>
          </cell>
          <cell r="AT483">
            <v>-29.3</v>
          </cell>
          <cell r="AU483">
            <v>-29.3</v>
          </cell>
          <cell r="AV483">
            <v>-29.3</v>
          </cell>
          <cell r="AW483">
            <v>-59.2</v>
          </cell>
          <cell r="AX483">
            <v>-59.2</v>
          </cell>
          <cell r="AY483">
            <v>-59.2</v>
          </cell>
          <cell r="AZ483">
            <v>-59.2</v>
          </cell>
          <cell r="BA483">
            <v>-59.2</v>
          </cell>
          <cell r="BB483">
            <v>-59.2</v>
          </cell>
          <cell r="BC483">
            <v>-69.7</v>
          </cell>
          <cell r="BD483">
            <v>-69.7</v>
          </cell>
          <cell r="BE483">
            <v>-69.7</v>
          </cell>
          <cell r="BF483">
            <v>-69.7</v>
          </cell>
          <cell r="BG483">
            <v>-69.7</v>
          </cell>
          <cell r="BH483">
            <v>-69.7</v>
          </cell>
          <cell r="BI483">
            <v>-69.7</v>
          </cell>
          <cell r="BJ483">
            <v>-69.7</v>
          </cell>
          <cell r="BK483">
            <v>-69.7</v>
          </cell>
          <cell r="BL483">
            <v>-69.7</v>
          </cell>
          <cell r="BM483">
            <v>-69.7</v>
          </cell>
          <cell r="BN483">
            <v>-69.7</v>
          </cell>
          <cell r="BO483">
            <v>-69.7</v>
          </cell>
          <cell r="BP483">
            <v>-69.7</v>
          </cell>
          <cell r="BQ483">
            <v>-69.7</v>
          </cell>
          <cell r="BR483">
            <v>-69.7</v>
          </cell>
          <cell r="BS483">
            <v>-69.7</v>
          </cell>
          <cell r="BT483">
            <v>-69.7</v>
          </cell>
          <cell r="BU483">
            <v>-69.7</v>
          </cell>
          <cell r="BV483">
            <v>-69.7</v>
          </cell>
          <cell r="BW483">
            <v>-69.7</v>
          </cell>
          <cell r="BX483">
            <v>-69.7</v>
          </cell>
          <cell r="BY483">
            <v>-69.7</v>
          </cell>
          <cell r="BZ483">
            <v>-69.7</v>
          </cell>
          <cell r="CA483">
            <v>-69.7</v>
          </cell>
          <cell r="CB483">
            <v>-69.7</v>
          </cell>
          <cell r="CC483">
            <v>-69.7</v>
          </cell>
          <cell r="CD483">
            <v>-69.7</v>
          </cell>
          <cell r="CE483">
            <v>-69.7</v>
          </cell>
          <cell r="CF483">
            <v>-69.7</v>
          </cell>
          <cell r="CG483">
            <v>-61.4</v>
          </cell>
          <cell r="CH483">
            <v>-61.4</v>
          </cell>
          <cell r="CI483">
            <v>-61.4</v>
          </cell>
          <cell r="CJ483">
            <v>-61.4</v>
          </cell>
          <cell r="CK483">
            <v>-61.4</v>
          </cell>
          <cell r="CL483">
            <v>-61.4</v>
          </cell>
          <cell r="CM483">
            <v>-58.5</v>
          </cell>
          <cell r="CN483">
            <v>-58.5</v>
          </cell>
          <cell r="CO483">
            <v>-58.5</v>
          </cell>
          <cell r="CP483">
            <v>-58.5</v>
          </cell>
          <cell r="CQ483">
            <v>-58.5</v>
          </cell>
          <cell r="CR483">
            <v>-58.5</v>
          </cell>
          <cell r="CS483">
            <v>-58.5</v>
          </cell>
          <cell r="CT483">
            <v>-58.5</v>
          </cell>
          <cell r="CU483">
            <v>-58.5</v>
          </cell>
          <cell r="CV483">
            <v>-58.5</v>
          </cell>
          <cell r="CW483">
            <v>-58.5</v>
          </cell>
          <cell r="CX483">
            <v>-58.5</v>
          </cell>
          <cell r="CY483">
            <v>-58.5</v>
          </cell>
          <cell r="CZ483">
            <v>-58.5</v>
          </cell>
          <cell r="DA483">
            <v>-58.5</v>
          </cell>
          <cell r="DB483">
            <v>-58.5</v>
          </cell>
          <cell r="DC483">
            <v>-58.5</v>
          </cell>
          <cell r="DD483">
            <v>-58.5</v>
          </cell>
          <cell r="DE483">
            <v>-43.4</v>
          </cell>
          <cell r="DF483">
            <v>-43.4</v>
          </cell>
          <cell r="DG483">
            <v>-43.4</v>
          </cell>
          <cell r="DH483">
            <v>-43.4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EM483">
            <v>0</v>
          </cell>
          <cell r="EN483">
            <v>-218</v>
          </cell>
          <cell r="EO483">
            <v>-652.20000000000005</v>
          </cell>
          <cell r="EP483">
            <v>-836.4000000000002</v>
          </cell>
          <cell r="EQ483">
            <v>-836.4000000000002</v>
          </cell>
          <cell r="ER483">
            <v>-752.99999999999989</v>
          </cell>
          <cell r="ES483">
            <v>-702</v>
          </cell>
        </row>
        <row r="484">
          <cell r="A484" t="str">
            <v>O&amp;M (Net of pass-throughs)</v>
          </cell>
          <cell r="B484" t="str">
            <v>Operations &amp; Maintenance Expense (incl clause)</v>
          </cell>
          <cell r="E484" t="str">
            <v>Operations &amp; Maintenance Expense</v>
          </cell>
          <cell r="F484" t="str">
            <v>6791000</v>
          </cell>
          <cell r="G484" t="str">
            <v>A_6791000</v>
          </cell>
          <cell r="H484" t="str">
            <v>Rate Case Expense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0.5</v>
          </cell>
          <cell r="CJ484">
            <v>-0.6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34.200000000000003</v>
          </cell>
          <cell r="CQ484">
            <v>35.799999999999997</v>
          </cell>
          <cell r="CR484">
            <v>35</v>
          </cell>
          <cell r="CS484">
            <v>35</v>
          </cell>
          <cell r="CT484">
            <v>36.4</v>
          </cell>
          <cell r="CU484">
            <v>35.299999999999997</v>
          </cell>
          <cell r="CV484">
            <v>35.299999999999997</v>
          </cell>
          <cell r="CW484">
            <v>35.299999999999997</v>
          </cell>
          <cell r="CX484">
            <v>35.299999999999997</v>
          </cell>
          <cell r="CY484">
            <v>35.299999999999997</v>
          </cell>
          <cell r="CZ484">
            <v>35.299999999999997</v>
          </cell>
          <cell r="DA484">
            <v>35.299999999999997</v>
          </cell>
          <cell r="DB484">
            <v>35.299999999999997</v>
          </cell>
          <cell r="DC484">
            <v>35.299999999999997</v>
          </cell>
          <cell r="DD484">
            <v>35.299999999999997</v>
          </cell>
          <cell r="DE484">
            <v>35.299999999999997</v>
          </cell>
          <cell r="DF484">
            <v>35.299999999999997</v>
          </cell>
          <cell r="DG484">
            <v>35.299999999999997</v>
          </cell>
          <cell r="DH484">
            <v>35.299999999999997</v>
          </cell>
          <cell r="DI484">
            <v>35.299999999999997</v>
          </cell>
          <cell r="DJ484">
            <v>35.299999999999997</v>
          </cell>
          <cell r="DK484">
            <v>35.299999999999997</v>
          </cell>
          <cell r="DL484">
            <v>35.299999999999997</v>
          </cell>
          <cell r="DM484">
            <v>35.299999999999997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-9.9999999999999978E-2</v>
          </cell>
          <cell r="ES484">
            <v>423.50000000000006</v>
          </cell>
        </row>
        <row r="485">
          <cell r="A485" t="str">
            <v>O&amp;M (Net of pass-throughs)</v>
          </cell>
          <cell r="B485" t="str">
            <v>Operations &amp; Maintenance Expense (incl clause)</v>
          </cell>
          <cell r="E485" t="str">
            <v>Operations &amp; Maintenance Expense</v>
          </cell>
          <cell r="F485" t="str">
            <v>6798999</v>
          </cell>
          <cell r="G485" t="str">
            <v>A_6798999</v>
          </cell>
          <cell r="H485" t="str">
            <v>Other Operational Expense Reclass</v>
          </cell>
          <cell r="J485">
            <v>0</v>
          </cell>
          <cell r="K485">
            <v>0</v>
          </cell>
          <cell r="L485">
            <v>-91.1</v>
          </cell>
          <cell r="M485">
            <v>-344.7</v>
          </cell>
          <cell r="N485">
            <v>-38.5</v>
          </cell>
          <cell r="O485">
            <v>-275.2</v>
          </cell>
          <cell r="P485">
            <v>-703</v>
          </cell>
          <cell r="Q485">
            <v>-457.4</v>
          </cell>
          <cell r="R485">
            <v>-139.80000000000001</v>
          </cell>
          <cell r="S485">
            <v>-73.599999999999994</v>
          </cell>
          <cell r="T485">
            <v>14.7</v>
          </cell>
          <cell r="U485">
            <v>-130.80000000000001</v>
          </cell>
          <cell r="V485">
            <v>-164.7</v>
          </cell>
          <cell r="W485">
            <v>-116.3</v>
          </cell>
          <cell r="X485">
            <v>-298.10000000000002</v>
          </cell>
          <cell r="Y485">
            <v>-91.1</v>
          </cell>
          <cell r="Z485">
            <v>-100.1</v>
          </cell>
          <cell r="AA485">
            <v>-40.9</v>
          </cell>
          <cell r="AB485">
            <v>-37</v>
          </cell>
          <cell r="AC485">
            <v>-14.5</v>
          </cell>
          <cell r="AD485">
            <v>-12</v>
          </cell>
          <cell r="AE485">
            <v>-20.100000000000001</v>
          </cell>
          <cell r="AF485">
            <v>-0.4</v>
          </cell>
          <cell r="AG485">
            <v>912.1</v>
          </cell>
          <cell r="AH485">
            <v>-13.2</v>
          </cell>
          <cell r="AI485">
            <v>0</v>
          </cell>
          <cell r="AJ485">
            <v>1000</v>
          </cell>
          <cell r="AK485">
            <v>0</v>
          </cell>
          <cell r="AL485">
            <v>0</v>
          </cell>
          <cell r="AM485">
            <v>60.9</v>
          </cell>
          <cell r="AN485">
            <v>0</v>
          </cell>
          <cell r="AO485">
            <v>5.2</v>
          </cell>
          <cell r="AP485">
            <v>0</v>
          </cell>
          <cell r="AQ485">
            <v>0</v>
          </cell>
          <cell r="AR485">
            <v>0</v>
          </cell>
          <cell r="AS485">
            <v>-106.9</v>
          </cell>
          <cell r="AT485">
            <v>0</v>
          </cell>
          <cell r="AU485">
            <v>-553.70000000000005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1.1000000000000001</v>
          </cell>
          <cell r="BB485">
            <v>0</v>
          </cell>
          <cell r="BC485">
            <v>0</v>
          </cell>
          <cell r="BD485">
            <v>0</v>
          </cell>
          <cell r="BE485">
            <v>12.5</v>
          </cell>
          <cell r="BF485">
            <v>0</v>
          </cell>
          <cell r="BG485">
            <v>-2</v>
          </cell>
          <cell r="BH485">
            <v>0</v>
          </cell>
          <cell r="BI485">
            <v>0.1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31.8</v>
          </cell>
          <cell r="BP485">
            <v>145</v>
          </cell>
          <cell r="BQ485">
            <v>-467.5</v>
          </cell>
          <cell r="BR485">
            <v>0</v>
          </cell>
          <cell r="BS485">
            <v>-0.5</v>
          </cell>
          <cell r="BT485">
            <v>0.9</v>
          </cell>
          <cell r="BU485">
            <v>0.5</v>
          </cell>
          <cell r="BV485">
            <v>1.7</v>
          </cell>
          <cell r="BW485">
            <v>1.6</v>
          </cell>
          <cell r="BX485">
            <v>1.3</v>
          </cell>
          <cell r="BY485">
            <v>1.3</v>
          </cell>
          <cell r="BZ485">
            <v>2.8</v>
          </cell>
          <cell r="CA485">
            <v>0.6</v>
          </cell>
          <cell r="CB485">
            <v>0</v>
          </cell>
          <cell r="CC485">
            <v>-28.5</v>
          </cell>
          <cell r="CD485">
            <v>0</v>
          </cell>
          <cell r="CE485">
            <v>0</v>
          </cell>
          <cell r="CF485">
            <v>0.1</v>
          </cell>
          <cell r="CG485">
            <v>0</v>
          </cell>
          <cell r="CH485">
            <v>-44.8</v>
          </cell>
          <cell r="CI485">
            <v>0.5</v>
          </cell>
          <cell r="CJ485">
            <v>0</v>
          </cell>
          <cell r="CK485">
            <v>0</v>
          </cell>
          <cell r="CL485">
            <v>-592.79999999999995</v>
          </cell>
          <cell r="CM485">
            <v>594</v>
          </cell>
          <cell r="CN485">
            <v>0.8</v>
          </cell>
          <cell r="CO485">
            <v>0.4</v>
          </cell>
          <cell r="CP485">
            <v>-26.3</v>
          </cell>
          <cell r="CQ485">
            <v>0</v>
          </cell>
          <cell r="CR485">
            <v>-4.9000000000000004</v>
          </cell>
          <cell r="CS485">
            <v>0</v>
          </cell>
          <cell r="CT485">
            <v>0</v>
          </cell>
          <cell r="CU485">
            <v>0</v>
          </cell>
          <cell r="CV485">
            <v>-0.6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49.6</v>
          </cell>
          <cell r="DB485">
            <v>3.3</v>
          </cell>
          <cell r="DC485">
            <v>1.2</v>
          </cell>
          <cell r="DD485">
            <v>2.2999999999999998</v>
          </cell>
          <cell r="DE485">
            <v>23.5</v>
          </cell>
          <cell r="DF485">
            <v>10.6</v>
          </cell>
          <cell r="DG485">
            <v>-17</v>
          </cell>
          <cell r="DH485">
            <v>1.4</v>
          </cell>
          <cell r="DI485">
            <v>-1.6</v>
          </cell>
          <cell r="DJ485">
            <v>3.9</v>
          </cell>
          <cell r="DK485">
            <v>-0.2</v>
          </cell>
          <cell r="DL485">
            <v>4.9000000000000004</v>
          </cell>
          <cell r="DM485">
            <v>48.1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EM485">
            <v>16.899999999999977</v>
          </cell>
          <cell r="EN485">
            <v>946.00000000000011</v>
          </cell>
          <cell r="EO485">
            <v>-540.1</v>
          </cell>
          <cell r="EP485">
            <v>-292.60000000000002</v>
          </cell>
          <cell r="EQ485">
            <v>-18.3</v>
          </cell>
          <cell r="ER485">
            <v>-41.800000000000004</v>
          </cell>
          <cell r="ES485">
            <v>17.799999999999997</v>
          </cell>
        </row>
        <row r="486">
          <cell r="A486" t="str">
            <v>O&amp;M (Net of pass-throughs)</v>
          </cell>
          <cell r="B486" t="str">
            <v>Operations &amp; Maintenance Expense (incl clause)</v>
          </cell>
          <cell r="E486" t="str">
            <v>Operations &amp; Maintenance Expense</v>
          </cell>
          <cell r="F486" t="str">
            <v>6799000</v>
          </cell>
          <cell r="G486" t="str">
            <v>A_6799000</v>
          </cell>
          <cell r="H486" t="str">
            <v>Other Operational Expense sent to Balance Sheet</v>
          </cell>
          <cell r="J486">
            <v>-458.5</v>
          </cell>
          <cell r="K486">
            <v>-420.6</v>
          </cell>
          <cell r="L486">
            <v>-434.8</v>
          </cell>
          <cell r="M486">
            <v>-83.3</v>
          </cell>
          <cell r="N486">
            <v>-554.29999999999995</v>
          </cell>
          <cell r="O486">
            <v>-511.1</v>
          </cell>
          <cell r="P486">
            <v>157.1</v>
          </cell>
          <cell r="Q486">
            <v>-484.7</v>
          </cell>
          <cell r="R486">
            <v>-447.1</v>
          </cell>
          <cell r="S486">
            <v>-160.19999999999999</v>
          </cell>
          <cell r="T486">
            <v>-566</v>
          </cell>
          <cell r="U486">
            <v>-6328.1</v>
          </cell>
          <cell r="V486">
            <v>-290.10000000000002</v>
          </cell>
          <cell r="W486">
            <v>-278.60000000000002</v>
          </cell>
          <cell r="X486">
            <v>-937.4</v>
          </cell>
          <cell r="Y486">
            <v>1420.6</v>
          </cell>
          <cell r="Z486">
            <v>-296.3</v>
          </cell>
          <cell r="AA486">
            <v>-397.9</v>
          </cell>
          <cell r="AB486">
            <v>-446.7</v>
          </cell>
          <cell r="AC486">
            <v>99.3</v>
          </cell>
          <cell r="AD486">
            <v>-439</v>
          </cell>
          <cell r="AE486">
            <v>-374.3</v>
          </cell>
          <cell r="AF486">
            <v>-393.8</v>
          </cell>
          <cell r="AG486">
            <v>-444</v>
          </cell>
          <cell r="AH486">
            <v>-565.4</v>
          </cell>
          <cell r="AI486">
            <v>-435.4</v>
          </cell>
          <cell r="AJ486">
            <v>-453.2</v>
          </cell>
          <cell r="AK486">
            <v>-438.8</v>
          </cell>
          <cell r="AL486">
            <v>-432.3</v>
          </cell>
          <cell r="AM486">
            <v>-434.5</v>
          </cell>
          <cell r="AN486">
            <v>-403.2</v>
          </cell>
          <cell r="AO486">
            <v>-419.3</v>
          </cell>
          <cell r="AP486">
            <v>-902.9</v>
          </cell>
          <cell r="AQ486">
            <v>-539.20000000000005</v>
          </cell>
          <cell r="AR486">
            <v>-22.6</v>
          </cell>
          <cell r="AS486">
            <v>-1149.4000000000001</v>
          </cell>
          <cell r="AT486">
            <v>-13.8</v>
          </cell>
          <cell r="AU486">
            <v>140.5</v>
          </cell>
          <cell r="AV486">
            <v>-439.9</v>
          </cell>
          <cell r="AW486">
            <v>-437.7</v>
          </cell>
          <cell r="AX486">
            <v>-484</v>
          </cell>
          <cell r="AY486">
            <v>865.5</v>
          </cell>
          <cell r="AZ486">
            <v>987.9</v>
          </cell>
          <cell r="BA486">
            <v>-319</v>
          </cell>
          <cell r="BB486">
            <v>-172.2</v>
          </cell>
          <cell r="BC486">
            <v>-657.5</v>
          </cell>
          <cell r="BD486">
            <v>-543.1</v>
          </cell>
          <cell r="BE486">
            <v>-138.19999999999999</v>
          </cell>
          <cell r="BF486">
            <v>-397.9</v>
          </cell>
          <cell r="BG486">
            <v>-630</v>
          </cell>
          <cell r="BH486">
            <v>-587.29999999999995</v>
          </cell>
          <cell r="BI486">
            <v>-661.2</v>
          </cell>
          <cell r="BJ486">
            <v>-651.5</v>
          </cell>
          <cell r="BK486">
            <v>-631.79999999999995</v>
          </cell>
          <cell r="BL486">
            <v>-43.7</v>
          </cell>
          <cell r="BM486">
            <v>-626.6</v>
          </cell>
          <cell r="BN486">
            <v>-402.6</v>
          </cell>
          <cell r="BO486">
            <v>-478.3</v>
          </cell>
          <cell r="BP486">
            <v>-1798.9</v>
          </cell>
          <cell r="BQ486">
            <v>39.200000000000003</v>
          </cell>
          <cell r="BR486">
            <v>-553.29999999999995</v>
          </cell>
          <cell r="BS486">
            <v>-569.20000000000005</v>
          </cell>
          <cell r="BT486">
            <v>-1216.9000000000001</v>
          </cell>
          <cell r="BU486">
            <v>-769.9</v>
          </cell>
          <cell r="BV486">
            <v>-4217.6000000000004</v>
          </cell>
          <cell r="BW486">
            <v>-880.3</v>
          </cell>
          <cell r="BX486">
            <v>-2728.3</v>
          </cell>
          <cell r="BY486">
            <v>-656.7</v>
          </cell>
          <cell r="BZ486">
            <v>-7184</v>
          </cell>
          <cell r="CA486">
            <v>-1292</v>
          </cell>
          <cell r="CB486">
            <v>-1567.7</v>
          </cell>
          <cell r="CC486">
            <v>-1430.6</v>
          </cell>
          <cell r="CD486">
            <v>2867.5</v>
          </cell>
          <cell r="CE486">
            <v>-8774.1</v>
          </cell>
          <cell r="CF486">
            <v>-644.1</v>
          </cell>
          <cell r="CG486">
            <v>-1582.5</v>
          </cell>
          <cell r="CH486">
            <v>-1125</v>
          </cell>
          <cell r="CI486">
            <v>-5843.8</v>
          </cell>
          <cell r="CJ486">
            <v>-4222.1000000000004</v>
          </cell>
          <cell r="CK486">
            <v>-10144.6</v>
          </cell>
          <cell r="CL486">
            <v>-1019.9</v>
          </cell>
          <cell r="CM486">
            <v>-1477.1</v>
          </cell>
          <cell r="CN486">
            <v>-957.8</v>
          </cell>
          <cell r="CO486">
            <v>-1164.2</v>
          </cell>
          <cell r="CP486">
            <v>-773</v>
          </cell>
          <cell r="CQ486">
            <v>-1223.5</v>
          </cell>
          <cell r="CR486">
            <v>-881.1</v>
          </cell>
          <cell r="CS486">
            <v>-871.5</v>
          </cell>
          <cell r="CT486">
            <v>-1391.8</v>
          </cell>
          <cell r="CU486">
            <v>-987.3</v>
          </cell>
          <cell r="CV486">
            <v>-859.3</v>
          </cell>
          <cell r="CW486">
            <v>-863</v>
          </cell>
          <cell r="CX486">
            <v>504.5</v>
          </cell>
          <cell r="CY486">
            <v>-854.5</v>
          </cell>
          <cell r="CZ486">
            <v>-1812.7</v>
          </cell>
          <cell r="DA486">
            <v>-58.3</v>
          </cell>
          <cell r="DB486">
            <v>-989.6</v>
          </cell>
          <cell r="DC486">
            <v>-1447.4</v>
          </cell>
          <cell r="DD486">
            <v>-1696.7</v>
          </cell>
          <cell r="DE486">
            <v>-1441.3</v>
          </cell>
          <cell r="DF486">
            <v>-1214.3</v>
          </cell>
          <cell r="DG486">
            <v>-1385.1</v>
          </cell>
          <cell r="DH486">
            <v>-1275.2</v>
          </cell>
          <cell r="DI486">
            <v>-1319.2</v>
          </cell>
          <cell r="DJ486">
            <v>-1642.2</v>
          </cell>
          <cell r="DK486">
            <v>-255.8</v>
          </cell>
          <cell r="DL486">
            <v>-1374.5</v>
          </cell>
          <cell r="DM486">
            <v>-3364.3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EM486">
            <v>-2778.2000000000003</v>
          </cell>
          <cell r="EN486">
            <v>-6196.2000000000007</v>
          </cell>
          <cell r="EO486">
            <v>-1211.5000000000002</v>
          </cell>
          <cell r="EP486">
            <v>-6870.6000000000013</v>
          </cell>
          <cell r="EQ486">
            <v>-23066.5</v>
          </cell>
          <cell r="ER486">
            <v>-34087.699999999997</v>
          </cell>
          <cell r="ES486">
            <v>-10071.5</v>
          </cell>
        </row>
        <row r="487">
          <cell r="A487" t="str">
            <v>O&amp;M (Net of pass-throughs)</v>
          </cell>
          <cell r="B487" t="str">
            <v>Operations &amp; Maintenance Expense (incl clause)</v>
          </cell>
          <cell r="E487" t="str">
            <v>Operations &amp; Maintenance Expense</v>
          </cell>
          <cell r="F487" t="str">
            <v>6799105</v>
          </cell>
          <cell r="G487" t="str">
            <v>A_6799105</v>
          </cell>
          <cell r="H487" t="str">
            <v>Fleet Charges to the Balance Sheet</v>
          </cell>
          <cell r="J487">
            <v>-93.1</v>
          </cell>
          <cell r="K487">
            <v>-86.7</v>
          </cell>
          <cell r="L487">
            <v>-89.5</v>
          </cell>
          <cell r="M487">
            <v>-81.900000000000006</v>
          </cell>
          <cell r="N487">
            <v>-95</v>
          </cell>
          <cell r="O487">
            <v>-94.1</v>
          </cell>
          <cell r="P487">
            <v>-90.3</v>
          </cell>
          <cell r="Q487">
            <v>-101.8</v>
          </cell>
          <cell r="R487">
            <v>-99.9</v>
          </cell>
          <cell r="S487">
            <v>-102.1</v>
          </cell>
          <cell r="T487">
            <v>-104.9</v>
          </cell>
          <cell r="U487">
            <v>-100.8</v>
          </cell>
          <cell r="V487">
            <v>-73.900000000000006</v>
          </cell>
          <cell r="W487">
            <v>-70.900000000000006</v>
          </cell>
          <cell r="X487">
            <v>-74.8</v>
          </cell>
          <cell r="Y487">
            <v>-79.3</v>
          </cell>
          <cell r="Z487">
            <v>-86.8</v>
          </cell>
          <cell r="AA487">
            <v>-86.9</v>
          </cell>
          <cell r="AB487">
            <v>-82.4</v>
          </cell>
          <cell r="AC487">
            <v>-78.2</v>
          </cell>
          <cell r="AD487">
            <v>-75.400000000000006</v>
          </cell>
          <cell r="AE487">
            <v>-66.5</v>
          </cell>
          <cell r="AF487">
            <v>-103.8</v>
          </cell>
          <cell r="AG487">
            <v>-104.5</v>
          </cell>
          <cell r="AH487">
            <v>-73.400000000000006</v>
          </cell>
          <cell r="AI487">
            <v>-105.3</v>
          </cell>
          <cell r="AJ487">
            <v>-110</v>
          </cell>
          <cell r="AK487">
            <v>-114.2</v>
          </cell>
          <cell r="AL487">
            <v>-106.8</v>
          </cell>
          <cell r="AM487">
            <v>-129.9</v>
          </cell>
          <cell r="AN487">
            <v>-92.4</v>
          </cell>
          <cell r="AO487">
            <v>-140.80000000000001</v>
          </cell>
          <cell r="AP487">
            <v>-104.3</v>
          </cell>
          <cell r="AQ487">
            <v>-108.1</v>
          </cell>
          <cell r="AR487">
            <v>-117.3</v>
          </cell>
          <cell r="AS487">
            <v>-152.4</v>
          </cell>
          <cell r="AT487">
            <v>-53.3</v>
          </cell>
          <cell r="AU487">
            <v>-64.900000000000006</v>
          </cell>
          <cell r="AV487">
            <v>-251.2</v>
          </cell>
          <cell r="AW487">
            <v>-128.80000000000001</v>
          </cell>
          <cell r="AX487">
            <v>-125.3</v>
          </cell>
          <cell r="AY487">
            <v>-136.4</v>
          </cell>
          <cell r="AZ487">
            <v>-123.9</v>
          </cell>
          <cell r="BA487">
            <v>-135.4</v>
          </cell>
          <cell r="BB487">
            <v>-137.5</v>
          </cell>
          <cell r="BC487">
            <v>-134.6</v>
          </cell>
          <cell r="BD487">
            <v>-142.4</v>
          </cell>
          <cell r="BE487">
            <v>-142.5</v>
          </cell>
          <cell r="BF487">
            <v>-122.7</v>
          </cell>
          <cell r="BG487">
            <v>-157.1</v>
          </cell>
          <cell r="BH487">
            <v>-144.69999999999999</v>
          </cell>
          <cell r="BI487">
            <v>-144.9</v>
          </cell>
          <cell r="BJ487">
            <v>-167.3</v>
          </cell>
          <cell r="BK487">
            <v>-145.19999999999999</v>
          </cell>
          <cell r="BL487">
            <v>-184.9</v>
          </cell>
          <cell r="BM487">
            <v>-196</v>
          </cell>
          <cell r="BN487">
            <v>-165.2</v>
          </cell>
          <cell r="BO487">
            <v>-205.8</v>
          </cell>
          <cell r="BP487">
            <v>-194.9</v>
          </cell>
          <cell r="BQ487">
            <v>-220.1</v>
          </cell>
          <cell r="BR487">
            <v>-158.4</v>
          </cell>
          <cell r="BS487">
            <v>-184.6</v>
          </cell>
          <cell r="BT487">
            <v>-169.3</v>
          </cell>
          <cell r="BU487">
            <v>-179.7</v>
          </cell>
          <cell r="BV487">
            <v>-174.2</v>
          </cell>
          <cell r="BW487">
            <v>-192.2</v>
          </cell>
          <cell r="BX487">
            <v>-192</v>
          </cell>
          <cell r="BY487">
            <v>-180.3</v>
          </cell>
          <cell r="BZ487">
            <v>-165.4</v>
          </cell>
          <cell r="CA487">
            <v>-193.6</v>
          </cell>
          <cell r="CB487">
            <v>-184</v>
          </cell>
          <cell r="CC487">
            <v>-214.4</v>
          </cell>
          <cell r="CD487">
            <v>-155.80000000000001</v>
          </cell>
          <cell r="CE487">
            <v>-175.9</v>
          </cell>
          <cell r="CF487">
            <v>-163.4</v>
          </cell>
          <cell r="CG487">
            <v>-172.7</v>
          </cell>
          <cell r="CH487">
            <v>-152.6</v>
          </cell>
          <cell r="CI487">
            <v>-159.80000000000001</v>
          </cell>
          <cell r="CJ487">
            <v>-188.6</v>
          </cell>
          <cell r="CK487">
            <v>-181</v>
          </cell>
          <cell r="CL487">
            <v>-183.3</v>
          </cell>
          <cell r="CM487">
            <v>-191.2</v>
          </cell>
          <cell r="CN487">
            <v>-190.8</v>
          </cell>
          <cell r="CO487">
            <v>-210.9</v>
          </cell>
          <cell r="CP487">
            <v>-120.2</v>
          </cell>
          <cell r="CQ487">
            <v>-152.6</v>
          </cell>
          <cell r="CR487">
            <v>-137.19999999999999</v>
          </cell>
          <cell r="CS487">
            <v>-166.3</v>
          </cell>
          <cell r="CT487">
            <v>-146.19999999999999</v>
          </cell>
          <cell r="CU487">
            <v>-173.1</v>
          </cell>
          <cell r="CV487">
            <v>-169.9</v>
          </cell>
          <cell r="CW487">
            <v>-174.9</v>
          </cell>
          <cell r="CX487">
            <v>-146.6</v>
          </cell>
          <cell r="CY487">
            <v>-181.8</v>
          </cell>
          <cell r="CZ487">
            <v>-156.5</v>
          </cell>
          <cell r="DA487">
            <v>-159.4</v>
          </cell>
          <cell r="DB487">
            <v>-185.6</v>
          </cell>
          <cell r="DC487">
            <v>-199.9</v>
          </cell>
          <cell r="DD487">
            <v>-209.2</v>
          </cell>
          <cell r="DE487">
            <v>-267</v>
          </cell>
          <cell r="DF487">
            <v>-191.8</v>
          </cell>
          <cell r="DG487">
            <v>-249.9</v>
          </cell>
          <cell r="DH487">
            <v>-260.7</v>
          </cell>
          <cell r="DI487">
            <v>-260.8</v>
          </cell>
          <cell r="DJ487">
            <v>-242</v>
          </cell>
          <cell r="DK487">
            <v>-219.2</v>
          </cell>
          <cell r="DL487">
            <v>-257.8</v>
          </cell>
          <cell r="DM487">
            <v>-229.5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EM487">
            <v>-983.4</v>
          </cell>
          <cell r="EN487">
            <v>-1354.8999999999999</v>
          </cell>
          <cell r="EO487">
            <v>-1576.1999999999998</v>
          </cell>
          <cell r="EP487">
            <v>-2048.8000000000002</v>
          </cell>
          <cell r="EQ487">
            <v>-2188.1</v>
          </cell>
          <cell r="ER487">
            <v>-2126</v>
          </cell>
          <cell r="ES487">
            <v>-1884.7</v>
          </cell>
        </row>
        <row r="488">
          <cell r="A488" t="str">
            <v>O&amp;M (Net of pass-throughs)</v>
          </cell>
          <cell r="B488" t="str">
            <v>Operations &amp; Maintenance Expense (incl clause)</v>
          </cell>
          <cell r="E488" t="str">
            <v>Operations &amp; Maintenance Expense</v>
          </cell>
          <cell r="F488" t="str">
            <v>6799107</v>
          </cell>
          <cell r="G488" t="str">
            <v>A_6799107</v>
          </cell>
          <cell r="H488" t="str">
            <v>Stores Clearing Charges to the Balance Sheet</v>
          </cell>
          <cell r="J488">
            <v>-22.1</v>
          </cell>
          <cell r="K488">
            <v>-19.399999999999999</v>
          </cell>
          <cell r="L488">
            <v>-20.3</v>
          </cell>
          <cell r="M488">
            <v>-17.8</v>
          </cell>
          <cell r="N488">
            <v>-19.899999999999999</v>
          </cell>
          <cell r="O488">
            <v>-20.399999999999999</v>
          </cell>
          <cell r="P488">
            <v>-11.8</v>
          </cell>
          <cell r="Q488">
            <v>-8.3000000000000007</v>
          </cell>
          <cell r="R488">
            <v>-30.2</v>
          </cell>
          <cell r="S488">
            <v>-29.4</v>
          </cell>
          <cell r="T488">
            <v>-2.4</v>
          </cell>
          <cell r="U488">
            <v>-20</v>
          </cell>
          <cell r="V488">
            <v>-28.4</v>
          </cell>
          <cell r="W488">
            <v>-15.1</v>
          </cell>
          <cell r="X488">
            <v>-34.799999999999997</v>
          </cell>
          <cell r="Y488">
            <v>-32.5</v>
          </cell>
          <cell r="Z488">
            <v>-35.1</v>
          </cell>
          <cell r="AA488">
            <v>-23.5</v>
          </cell>
          <cell r="AB488">
            <v>-18.600000000000001</v>
          </cell>
          <cell r="AC488">
            <v>-24.9</v>
          </cell>
          <cell r="AD488">
            <v>-27.3</v>
          </cell>
          <cell r="AE488">
            <v>-37</v>
          </cell>
          <cell r="AF488">
            <v>-22.9</v>
          </cell>
          <cell r="AG488">
            <v>-114.2</v>
          </cell>
          <cell r="AH488">
            <v>-14.8</v>
          </cell>
          <cell r="AI488">
            <v>-17.7</v>
          </cell>
          <cell r="AJ488">
            <v>-20.8</v>
          </cell>
          <cell r="AK488">
            <v>-21.5</v>
          </cell>
          <cell r="AL488">
            <v>-23.9</v>
          </cell>
          <cell r="AM488">
            <v>-20.100000000000001</v>
          </cell>
          <cell r="AN488">
            <v>-22</v>
          </cell>
          <cell r="AO488">
            <v>-25.7</v>
          </cell>
          <cell r="AP488">
            <v>-22.8</v>
          </cell>
          <cell r="AQ488">
            <v>-15.8</v>
          </cell>
          <cell r="AR488">
            <v>-25.1</v>
          </cell>
          <cell r="AS488">
            <v>-69.900000000000006</v>
          </cell>
          <cell r="AT488">
            <v>-24.6</v>
          </cell>
          <cell r="AU488">
            <v>-19.899999999999999</v>
          </cell>
          <cell r="AV488">
            <v>-21.9</v>
          </cell>
          <cell r="AW488">
            <v>-19.3</v>
          </cell>
          <cell r="AX488">
            <v>-26.8</v>
          </cell>
          <cell r="AY488">
            <v>-21.6</v>
          </cell>
          <cell r="AZ488">
            <v>-22.3</v>
          </cell>
          <cell r="BA488">
            <v>-37.200000000000003</v>
          </cell>
          <cell r="BB488">
            <v>-40.1</v>
          </cell>
          <cell r="BC488">
            <v>-60.9</v>
          </cell>
          <cell r="BD488">
            <v>-53.7</v>
          </cell>
          <cell r="BE488">
            <v>-100.7</v>
          </cell>
          <cell r="BF488">
            <v>-107.9</v>
          </cell>
          <cell r="BG488">
            <v>-36.9</v>
          </cell>
          <cell r="BH488">
            <v>-78.7</v>
          </cell>
          <cell r="BI488">
            <v>-36.4</v>
          </cell>
          <cell r="BJ488">
            <v>-54</v>
          </cell>
          <cell r="BK488">
            <v>-26.6</v>
          </cell>
          <cell r="BL488">
            <v>-64.8</v>
          </cell>
          <cell r="BM488">
            <v>-54.3</v>
          </cell>
          <cell r="BN488">
            <v>-62.8</v>
          </cell>
          <cell r="BO488">
            <v>-79.099999999999994</v>
          </cell>
          <cell r="BP488">
            <v>-76.2</v>
          </cell>
          <cell r="BQ488">
            <v>-68.5</v>
          </cell>
          <cell r="BR488">
            <v>-56</v>
          </cell>
          <cell r="BS488">
            <v>-51.7</v>
          </cell>
          <cell r="BT488">
            <v>-81.599999999999994</v>
          </cell>
          <cell r="BU488">
            <v>-86.2</v>
          </cell>
          <cell r="BV488">
            <v>-62.4</v>
          </cell>
          <cell r="BW488">
            <v>-71</v>
          </cell>
          <cell r="BX488">
            <v>-45</v>
          </cell>
          <cell r="BY488">
            <v>-60.4</v>
          </cell>
          <cell r="BZ488">
            <v>-57.2</v>
          </cell>
          <cell r="CA488">
            <v>-56.4</v>
          </cell>
          <cell r="CB488">
            <v>-59.7</v>
          </cell>
          <cell r="CC488">
            <v>-160.1</v>
          </cell>
          <cell r="CD488">
            <v>-48.4</v>
          </cell>
          <cell r="CE488">
            <v>-69.3</v>
          </cell>
          <cell r="CF488">
            <v>-83.9</v>
          </cell>
          <cell r="CG488">
            <v>-74</v>
          </cell>
          <cell r="CH488">
            <v>-26</v>
          </cell>
          <cell r="CI488">
            <v>-22.5</v>
          </cell>
          <cell r="CJ488">
            <v>-31.5</v>
          </cell>
          <cell r="CK488">
            <v>-29.1</v>
          </cell>
          <cell r="CL488">
            <v>-39.4</v>
          </cell>
          <cell r="CM488">
            <v>-33.700000000000003</v>
          </cell>
          <cell r="CN488">
            <v>-167.7</v>
          </cell>
          <cell r="CO488">
            <v>-45.6</v>
          </cell>
          <cell r="CP488">
            <v>-33.1</v>
          </cell>
          <cell r="CQ488">
            <v>-57.5</v>
          </cell>
          <cell r="CR488">
            <v>-95.1</v>
          </cell>
          <cell r="CS488">
            <v>-57.3</v>
          </cell>
          <cell r="CT488">
            <v>-36</v>
          </cell>
          <cell r="CU488">
            <v>-53.6</v>
          </cell>
          <cell r="CV488">
            <v>-84.8</v>
          </cell>
          <cell r="CW488">
            <v>-46.8</v>
          </cell>
          <cell r="CX488">
            <v>-44.2</v>
          </cell>
          <cell r="CY488">
            <v>-45.9</v>
          </cell>
          <cell r="CZ488">
            <v>-67.3</v>
          </cell>
          <cell r="DA488">
            <v>-124.2</v>
          </cell>
          <cell r="DB488">
            <v>-40.4</v>
          </cell>
          <cell r="DC488">
            <v>-49.9</v>
          </cell>
          <cell r="DD488">
            <v>-53.5</v>
          </cell>
          <cell r="DE488">
            <v>-50.7</v>
          </cell>
          <cell r="DF488">
            <v>-49.5</v>
          </cell>
          <cell r="DG488">
            <v>-59.4</v>
          </cell>
          <cell r="DH488">
            <v>-58.6</v>
          </cell>
          <cell r="DI488">
            <v>-62.9</v>
          </cell>
          <cell r="DJ488">
            <v>-49.7</v>
          </cell>
          <cell r="DK488">
            <v>-59.4</v>
          </cell>
          <cell r="DL488">
            <v>-34.799999999999997</v>
          </cell>
          <cell r="DM488">
            <v>-614.79999999999995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EM488">
            <v>-414.3</v>
          </cell>
          <cell r="EN488">
            <v>-300.10000000000002</v>
          </cell>
          <cell r="EO488">
            <v>-449</v>
          </cell>
          <cell r="EP488">
            <v>-746.2</v>
          </cell>
          <cell r="EQ488">
            <v>-847.7</v>
          </cell>
          <cell r="ER488">
            <v>-671.1</v>
          </cell>
          <cell r="ES488">
            <v>-745.80000000000007</v>
          </cell>
        </row>
        <row r="489">
          <cell r="A489" t="str">
            <v>O&amp;M (Net of pass-throughs)</v>
          </cell>
          <cell r="B489" t="str">
            <v>Operations &amp; Maintenance Expense (incl clause)</v>
          </cell>
          <cell r="E489" t="str">
            <v>Operations &amp; Maintenance Expense</v>
          </cell>
          <cell r="F489" t="str">
            <v>6799109</v>
          </cell>
          <cell r="G489" t="str">
            <v>A_6799109</v>
          </cell>
          <cell r="H489" t="str">
            <v>Supervisory &amp; Management Cghs to the Balance Sheet</v>
          </cell>
          <cell r="J489">
            <v>-189.1</v>
          </cell>
          <cell r="K489">
            <v>-150.19999999999999</v>
          </cell>
          <cell r="L489">
            <v>-182.4</v>
          </cell>
          <cell r="M489">
            <v>-182.8</v>
          </cell>
          <cell r="N489">
            <v>-188.1</v>
          </cell>
          <cell r="O489">
            <v>-180.9</v>
          </cell>
          <cell r="P489">
            <v>-166.5</v>
          </cell>
          <cell r="Q489">
            <v>-145.9</v>
          </cell>
          <cell r="R489">
            <v>-146.19999999999999</v>
          </cell>
          <cell r="S489">
            <v>-162.19999999999999</v>
          </cell>
          <cell r="T489">
            <v>-145</v>
          </cell>
          <cell r="U489">
            <v>-172.2</v>
          </cell>
          <cell r="V489">
            <v>-201.4</v>
          </cell>
          <cell r="W489">
            <v>-150.69999999999999</v>
          </cell>
          <cell r="X489">
            <v>-240</v>
          </cell>
          <cell r="Y489">
            <v>-200.3</v>
          </cell>
          <cell r="Z489">
            <v>-185</v>
          </cell>
          <cell r="AA489">
            <v>-224</v>
          </cell>
          <cell r="AB489">
            <v>-232.9</v>
          </cell>
          <cell r="AC489">
            <v>-224.2</v>
          </cell>
          <cell r="AD489">
            <v>-188.5</v>
          </cell>
          <cell r="AE489">
            <v>-289.5</v>
          </cell>
          <cell r="AF489">
            <v>-206.6</v>
          </cell>
          <cell r="AG489">
            <v>-216.9</v>
          </cell>
          <cell r="AH489">
            <v>-227.5</v>
          </cell>
          <cell r="AI489">
            <v>-264.39999999999998</v>
          </cell>
          <cell r="AJ489">
            <v>-311.89999999999998</v>
          </cell>
          <cell r="AK489">
            <v>-371.2</v>
          </cell>
          <cell r="AL489">
            <v>-407.3</v>
          </cell>
          <cell r="AM489">
            <v>-491.3</v>
          </cell>
          <cell r="AN489">
            <v>-450.5</v>
          </cell>
          <cell r="AO489">
            <v>-464.7</v>
          </cell>
          <cell r="AP489">
            <v>-505.3</v>
          </cell>
          <cell r="AQ489">
            <v>-563.79999999999995</v>
          </cell>
          <cell r="AR489">
            <v>-599.1</v>
          </cell>
          <cell r="AS489">
            <v>-592</v>
          </cell>
          <cell r="AT489">
            <v>-587.79999999999995</v>
          </cell>
          <cell r="AU489">
            <v>-576.5</v>
          </cell>
          <cell r="AV489">
            <v>-628.1</v>
          </cell>
          <cell r="AW489">
            <v>-562.4</v>
          </cell>
          <cell r="AX489">
            <v>-627</v>
          </cell>
          <cell r="AY489">
            <v>-599.5</v>
          </cell>
          <cell r="AZ489">
            <v>-636.9</v>
          </cell>
          <cell r="BA489">
            <v>-691</v>
          </cell>
          <cell r="BB489">
            <v>-611.6</v>
          </cell>
          <cell r="BC489">
            <v>-624.20000000000005</v>
          </cell>
          <cell r="BD489">
            <v>-644.79999999999995</v>
          </cell>
          <cell r="BE489">
            <v>-600.20000000000005</v>
          </cell>
          <cell r="BF489">
            <v>-654.20000000000005</v>
          </cell>
          <cell r="BG489">
            <v>-589.4</v>
          </cell>
          <cell r="BH489">
            <v>-682.3</v>
          </cell>
          <cell r="BI489">
            <v>-671.9</v>
          </cell>
          <cell r="BJ489">
            <v>-707.3</v>
          </cell>
          <cell r="BK489">
            <v>-696.8</v>
          </cell>
          <cell r="BL489">
            <v>-709.6</v>
          </cell>
          <cell r="BM489">
            <v>-812.9</v>
          </cell>
          <cell r="BN489">
            <v>-773.9</v>
          </cell>
          <cell r="BO489">
            <v>-852.3</v>
          </cell>
          <cell r="BP489">
            <v>-748.8</v>
          </cell>
          <cell r="BQ489">
            <v>-771.7</v>
          </cell>
          <cell r="BR489">
            <v>-911.3</v>
          </cell>
          <cell r="BS489">
            <v>-772.5</v>
          </cell>
          <cell r="BT489">
            <v>-845.6</v>
          </cell>
          <cell r="BU489">
            <v>-855.3</v>
          </cell>
          <cell r="BV489">
            <v>-912.4</v>
          </cell>
          <cell r="BW489">
            <v>-948.3</v>
          </cell>
          <cell r="BX489">
            <v>-1104.5</v>
          </cell>
          <cell r="BY489">
            <v>-956</v>
          </cell>
          <cell r="BZ489">
            <v>-916.2</v>
          </cell>
          <cell r="CA489">
            <v>-1013.8</v>
          </cell>
          <cell r="CB489">
            <v>-929.4</v>
          </cell>
          <cell r="CC489">
            <v>-1075</v>
          </cell>
          <cell r="CD489">
            <v>-998.3</v>
          </cell>
          <cell r="CE489">
            <v>-926.8</v>
          </cell>
          <cell r="CF489">
            <v>-1133.5</v>
          </cell>
          <cell r="CG489">
            <v>-1016.7</v>
          </cell>
          <cell r="CH489">
            <v>-1009</v>
          </cell>
          <cell r="CI489">
            <v>-999.8</v>
          </cell>
          <cell r="CJ489">
            <v>-1178.4000000000001</v>
          </cell>
          <cell r="CK489">
            <v>-1026.9000000000001</v>
          </cell>
          <cell r="CL489">
            <v>-1038.5</v>
          </cell>
          <cell r="CM489">
            <v>-1059.8</v>
          </cell>
          <cell r="CN489">
            <v>-961.5</v>
          </cell>
          <cell r="CO489">
            <v>-1063.5</v>
          </cell>
          <cell r="CP489">
            <v>-1070.9000000000001</v>
          </cell>
          <cell r="CQ489">
            <v>-1009.3</v>
          </cell>
          <cell r="CR489">
            <v>-1119.5999999999999</v>
          </cell>
          <cell r="CS489">
            <v>-1132.8</v>
          </cell>
          <cell r="CT489">
            <v>-1046.4000000000001</v>
          </cell>
          <cell r="CU489">
            <v>-983.8</v>
          </cell>
          <cell r="CV489">
            <v>-1011.9</v>
          </cell>
          <cell r="CW489">
            <v>-1029.5</v>
          </cell>
          <cell r="CX489">
            <v>-1010.7</v>
          </cell>
          <cell r="CY489">
            <v>-1008.9</v>
          </cell>
          <cell r="CZ489">
            <v>-1143.4000000000001</v>
          </cell>
          <cell r="DA489">
            <v>-1229</v>
          </cell>
          <cell r="DB489">
            <v>-1036.2</v>
          </cell>
          <cell r="DC489">
            <v>-1088.0999999999999</v>
          </cell>
          <cell r="DD489">
            <v>-1268.5999999999999</v>
          </cell>
          <cell r="DE489">
            <v>-1180.7</v>
          </cell>
          <cell r="DF489">
            <v>-1289.3</v>
          </cell>
          <cell r="DG489">
            <v>-1312.9</v>
          </cell>
          <cell r="DH489">
            <v>-1358.5</v>
          </cell>
          <cell r="DI489">
            <v>-1514.7</v>
          </cell>
          <cell r="DJ489">
            <v>-1307.2</v>
          </cell>
          <cell r="DK489">
            <v>-1278.0999999999999</v>
          </cell>
          <cell r="DL489">
            <v>-1410</v>
          </cell>
          <cell r="DM489">
            <v>-1508.5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EM489">
            <v>-2560</v>
          </cell>
          <cell r="EN489">
            <v>-5249</v>
          </cell>
          <cell r="EO489">
            <v>-7390</v>
          </cell>
          <cell r="EP489">
            <v>-8671.1</v>
          </cell>
          <cell r="EQ489">
            <v>-11240.3</v>
          </cell>
          <cell r="ER489">
            <v>-12412.699999999999</v>
          </cell>
          <cell r="ES489">
            <v>-12796.2</v>
          </cell>
        </row>
        <row r="490">
          <cell r="A490" t="str">
            <v>O&amp;M (Net of pass-throughs)</v>
          </cell>
          <cell r="B490" t="str">
            <v>Operations &amp; Maintenance Expense (incl clause)</v>
          </cell>
          <cell r="E490" t="str">
            <v>Operations &amp; Maintenance Expense</v>
          </cell>
          <cell r="F490" t="str">
            <v>6799200</v>
          </cell>
          <cell r="G490" t="str">
            <v>A_6799200</v>
          </cell>
          <cell r="H490" t="str">
            <v>TSI Capital Charges to the Balance Sheet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-22</v>
          </cell>
          <cell r="W490">
            <v>-9.1999999999999993</v>
          </cell>
          <cell r="X490">
            <v>-24.6</v>
          </cell>
          <cell r="Y490">
            <v>-8.3000000000000007</v>
          </cell>
          <cell r="Z490">
            <v>-18</v>
          </cell>
          <cell r="AA490">
            <v>-2.7</v>
          </cell>
          <cell r="AB490">
            <v>-41</v>
          </cell>
          <cell r="AC490">
            <v>-22.5</v>
          </cell>
          <cell r="AD490">
            <v>0</v>
          </cell>
          <cell r="AE490">
            <v>-4.8</v>
          </cell>
          <cell r="AF490">
            <v>-11.3</v>
          </cell>
          <cell r="AG490">
            <v>-16.7</v>
          </cell>
          <cell r="AH490">
            <v>-10</v>
          </cell>
          <cell r="AI490">
            <v>-8</v>
          </cell>
          <cell r="AJ490">
            <v>-20.5</v>
          </cell>
          <cell r="AK490">
            <v>-8.9</v>
          </cell>
          <cell r="AL490">
            <v>-5.3</v>
          </cell>
          <cell r="AM490">
            <v>-22</v>
          </cell>
          <cell r="AN490">
            <v>-21.4</v>
          </cell>
          <cell r="AO490">
            <v>-3.2</v>
          </cell>
          <cell r="AP490">
            <v>-2.1</v>
          </cell>
          <cell r="AQ490">
            <v>-6.2</v>
          </cell>
          <cell r="AR490">
            <v>-7.3</v>
          </cell>
          <cell r="AS490">
            <v>-7.1</v>
          </cell>
          <cell r="AT490">
            <v>-3.4</v>
          </cell>
          <cell r="AU490">
            <v>-6.6</v>
          </cell>
          <cell r="AV490">
            <v>-2.9</v>
          </cell>
          <cell r="AW490">
            <v>-0.1</v>
          </cell>
          <cell r="AX490">
            <v>-10.9</v>
          </cell>
          <cell r="AY490">
            <v>-4</v>
          </cell>
          <cell r="AZ490">
            <v>-5.3</v>
          </cell>
          <cell r="BA490">
            <v>-4.7</v>
          </cell>
          <cell r="BB490">
            <v>-14.4</v>
          </cell>
          <cell r="BC490">
            <v>-16.5</v>
          </cell>
          <cell r="BD490">
            <v>-8.8000000000000007</v>
          </cell>
          <cell r="BE490">
            <v>-11.3</v>
          </cell>
          <cell r="BF490">
            <v>-25.8</v>
          </cell>
          <cell r="BG490">
            <v>-30</v>
          </cell>
          <cell r="BH490">
            <v>-45.3</v>
          </cell>
          <cell r="BI490">
            <v>-42.1</v>
          </cell>
          <cell r="BJ490">
            <v>-36.299999999999997</v>
          </cell>
          <cell r="BK490">
            <v>-41.4</v>
          </cell>
          <cell r="BL490">
            <v>-52</v>
          </cell>
          <cell r="BM490">
            <v>-64</v>
          </cell>
          <cell r="BN490">
            <v>-70</v>
          </cell>
          <cell r="BO490">
            <v>-87.9</v>
          </cell>
          <cell r="BP490">
            <v>-91</v>
          </cell>
          <cell r="BQ490">
            <v>-148.80000000000001</v>
          </cell>
          <cell r="BR490">
            <v>-92</v>
          </cell>
          <cell r="BS490">
            <v>-73.5</v>
          </cell>
          <cell r="BT490">
            <v>-65.099999999999994</v>
          </cell>
          <cell r="BU490">
            <v>-67.400000000000006</v>
          </cell>
          <cell r="BV490">
            <v>-71</v>
          </cell>
          <cell r="BW490">
            <v>-61</v>
          </cell>
          <cell r="BX490">
            <v>-61.1</v>
          </cell>
          <cell r="BY490">
            <v>-67.8</v>
          </cell>
          <cell r="BZ490">
            <v>-73.8</v>
          </cell>
          <cell r="CA490">
            <v>-57.8</v>
          </cell>
          <cell r="CB490">
            <v>-56.1</v>
          </cell>
          <cell r="CC490">
            <v>-51.8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EM490">
            <v>-181.10000000000002</v>
          </cell>
          <cell r="EN490">
            <v>-121.99999999999999</v>
          </cell>
          <cell r="EO490">
            <v>-88.899999999999991</v>
          </cell>
          <cell r="EP490">
            <v>-734.59999999999991</v>
          </cell>
          <cell r="EQ490">
            <v>-798.39999999999986</v>
          </cell>
          <cell r="ER490">
            <v>0</v>
          </cell>
          <cell r="ES490">
            <v>0</v>
          </cell>
        </row>
        <row r="491">
          <cell r="A491" t="str">
            <v>O&amp;M (Net of pass-throughs)</v>
          </cell>
          <cell r="B491" t="str">
            <v>Operations &amp; Maintenance Expense (incl clause)</v>
          </cell>
          <cell r="E491" t="str">
            <v>Operations &amp; Maintenance Expense</v>
          </cell>
          <cell r="F491" t="str">
            <v>1000105</v>
          </cell>
          <cell r="G491" t="str">
            <v>A_A1000105</v>
          </cell>
          <cell r="H491" t="str">
            <v>Assessed Shared Services Procurement Charges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</row>
        <row r="492">
          <cell r="A492" t="str">
            <v>O&amp;M (Net of pass-throughs)</v>
          </cell>
          <cell r="B492" t="str">
            <v>Operations &amp; Maintenance Expense (incl clause)</v>
          </cell>
          <cell r="E492" t="str">
            <v>Operations &amp; Maintenance Expense</v>
          </cell>
          <cell r="F492" t="str">
            <v>1000000</v>
          </cell>
          <cell r="G492" t="str">
            <v>A_P1000000</v>
          </cell>
          <cell r="H492" t="str">
            <v>Planned Corporate Overhead Allocation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305.89999999999998</v>
          </cell>
          <cell r="DO492">
            <v>308.3</v>
          </cell>
          <cell r="DP492">
            <v>413</v>
          </cell>
          <cell r="DQ492">
            <v>294.39999999999998</v>
          </cell>
          <cell r="DR492">
            <v>303.10000000000002</v>
          </cell>
          <cell r="DS492">
            <v>420.7</v>
          </cell>
          <cell r="DT492">
            <v>312</v>
          </cell>
          <cell r="DU492">
            <v>302.5</v>
          </cell>
          <cell r="DV492">
            <v>414.8</v>
          </cell>
          <cell r="DW492">
            <v>296.60000000000002</v>
          </cell>
          <cell r="DX492">
            <v>305.3</v>
          </cell>
          <cell r="DY492">
            <v>412.1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</row>
        <row r="493">
          <cell r="A493" t="str">
            <v>O&amp;M (Net of pass-throughs)</v>
          </cell>
          <cell r="B493" t="str">
            <v>Operations &amp; Maintenance Expense (incl clause)</v>
          </cell>
          <cell r="E493" t="str">
            <v>Operations &amp; Maintenance Expense</v>
          </cell>
          <cell r="F493" t="str">
            <v>1000100</v>
          </cell>
          <cell r="G493" t="str">
            <v>A_P1000100</v>
          </cell>
          <cell r="H493" t="str">
            <v>Planned IT Charges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565.4</v>
          </cell>
          <cell r="DO493">
            <v>514</v>
          </cell>
          <cell r="DP493">
            <v>612.70000000000005</v>
          </cell>
          <cell r="DQ493">
            <v>551.4</v>
          </cell>
          <cell r="DR493">
            <v>568.5</v>
          </cell>
          <cell r="DS493">
            <v>607.5</v>
          </cell>
          <cell r="DT493">
            <v>556.5</v>
          </cell>
          <cell r="DU493">
            <v>599.70000000000005</v>
          </cell>
          <cell r="DV493">
            <v>585.20000000000005</v>
          </cell>
          <cell r="DW493">
            <v>563.9</v>
          </cell>
          <cell r="DX493">
            <v>576.29999999999995</v>
          </cell>
          <cell r="DY493">
            <v>614.20000000000005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</row>
        <row r="494">
          <cell r="A494" t="str">
            <v>O&amp;M (Net of pass-throughs)</v>
          </cell>
          <cell r="B494" t="str">
            <v>Operations &amp; Maintenance Expense (incl clause)</v>
          </cell>
          <cell r="E494" t="str">
            <v>Operations &amp; Maintenance Expense</v>
          </cell>
          <cell r="F494" t="str">
            <v>1000101</v>
          </cell>
          <cell r="G494" t="str">
            <v>A_P1000101</v>
          </cell>
          <cell r="H494" t="str">
            <v>Planned Facility Charges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26.7</v>
          </cell>
          <cell r="DO494">
            <v>26.7</v>
          </cell>
          <cell r="DP494">
            <v>26.7</v>
          </cell>
          <cell r="DQ494">
            <v>26.7</v>
          </cell>
          <cell r="DR494">
            <v>26.7</v>
          </cell>
          <cell r="DS494">
            <v>26.7</v>
          </cell>
          <cell r="DT494">
            <v>26.7</v>
          </cell>
          <cell r="DU494">
            <v>26.7</v>
          </cell>
          <cell r="DV494">
            <v>26.7</v>
          </cell>
          <cell r="DW494">
            <v>26.7</v>
          </cell>
          <cell r="DX494">
            <v>26.7</v>
          </cell>
          <cell r="DY494">
            <v>26.7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</row>
        <row r="495">
          <cell r="A495" t="str">
            <v>O&amp;M (Net of pass-throughs)</v>
          </cell>
          <cell r="B495" t="str">
            <v>Operations &amp; Maintenance Expense (incl clause)</v>
          </cell>
          <cell r="E495" t="str">
            <v>Operations &amp; Maintenance Expense</v>
          </cell>
          <cell r="F495" t="str">
            <v>1000102</v>
          </cell>
          <cell r="G495" t="str">
            <v>A_P1000102</v>
          </cell>
          <cell r="H495" t="str">
            <v>Planned Telecom Charges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25.4</v>
          </cell>
          <cell r="DO495">
            <v>25.4</v>
          </cell>
          <cell r="DP495">
            <v>25.4</v>
          </cell>
          <cell r="DQ495">
            <v>25.4</v>
          </cell>
          <cell r="DR495">
            <v>25.4</v>
          </cell>
          <cell r="DS495">
            <v>25.4</v>
          </cell>
          <cell r="DT495">
            <v>25.4</v>
          </cell>
          <cell r="DU495">
            <v>25.4</v>
          </cell>
          <cell r="DV495">
            <v>25.4</v>
          </cell>
          <cell r="DW495">
            <v>25.4</v>
          </cell>
          <cell r="DX495">
            <v>25.4</v>
          </cell>
          <cell r="DY495">
            <v>25.4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</row>
        <row r="496">
          <cell r="A496" t="str">
            <v>O&amp;M (Net of pass-throughs)</v>
          </cell>
          <cell r="B496" t="str">
            <v>Operations &amp; Maintenance Expense (incl clause)</v>
          </cell>
          <cell r="E496" t="str">
            <v>Operations &amp; Maintenance Expense</v>
          </cell>
          <cell r="F496" t="str">
            <v>1000103</v>
          </cell>
          <cell r="G496" t="str">
            <v>A_P1000103</v>
          </cell>
          <cell r="H496" t="str">
            <v>Planned HR Benefits Admin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39.5</v>
          </cell>
          <cell r="DO496">
            <v>37.1</v>
          </cell>
          <cell r="DP496">
            <v>41.1</v>
          </cell>
          <cell r="DQ496">
            <v>54.8</v>
          </cell>
          <cell r="DR496">
            <v>40.799999999999997</v>
          </cell>
          <cell r="DS496">
            <v>41.5</v>
          </cell>
          <cell r="DT496">
            <v>33.1</v>
          </cell>
          <cell r="DU496">
            <v>35.6</v>
          </cell>
          <cell r="DV496">
            <v>33.299999999999997</v>
          </cell>
          <cell r="DW496">
            <v>34.299999999999997</v>
          </cell>
          <cell r="DX496">
            <v>34.299999999999997</v>
          </cell>
          <cell r="DY496">
            <v>33.1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</row>
        <row r="497">
          <cell r="A497" t="str">
            <v>O&amp;M (Net of pass-throughs)</v>
          </cell>
          <cell r="B497" t="str">
            <v>Operations &amp; Maintenance Expense (incl clause)</v>
          </cell>
          <cell r="E497" t="str">
            <v>Operations &amp; Maintenance Expense</v>
          </cell>
          <cell r="F497" t="str">
            <v>1000104</v>
          </cell>
          <cell r="G497" t="str">
            <v>A_P1000104</v>
          </cell>
          <cell r="H497" t="str">
            <v>Planned HR Employee Relations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34</v>
          </cell>
          <cell r="DO497">
            <v>31.9</v>
          </cell>
          <cell r="DP497">
            <v>35</v>
          </cell>
          <cell r="DQ497">
            <v>31.9</v>
          </cell>
          <cell r="DR497">
            <v>35</v>
          </cell>
          <cell r="DS497">
            <v>34</v>
          </cell>
          <cell r="DT497">
            <v>32.9</v>
          </cell>
          <cell r="DU497">
            <v>35</v>
          </cell>
          <cell r="DV497">
            <v>32.9</v>
          </cell>
          <cell r="DW497">
            <v>34</v>
          </cell>
          <cell r="DX497">
            <v>34</v>
          </cell>
          <cell r="DY497">
            <v>33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</row>
        <row r="498">
          <cell r="A498" t="str">
            <v>O&amp;M (Net of pass-throughs)</v>
          </cell>
          <cell r="B498" t="str">
            <v>Operations &amp; Maintenance Expense (incl clause)</v>
          </cell>
          <cell r="E498" t="str">
            <v>Operations &amp; Maintenance Expense</v>
          </cell>
          <cell r="F498" t="str">
            <v>1000105</v>
          </cell>
          <cell r="G498" t="str">
            <v>A_P1000105</v>
          </cell>
          <cell r="H498" t="str">
            <v>Planned Emergency Management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31.8</v>
          </cell>
          <cell r="DO498">
            <v>28.5</v>
          </cell>
          <cell r="DP498">
            <v>34.299999999999997</v>
          </cell>
          <cell r="DQ498">
            <v>28.1</v>
          </cell>
          <cell r="DR498">
            <v>32.700000000000003</v>
          </cell>
          <cell r="DS498">
            <v>33.200000000000003</v>
          </cell>
          <cell r="DT498">
            <v>29.4</v>
          </cell>
          <cell r="DU498">
            <v>31.9</v>
          </cell>
          <cell r="DV498">
            <v>31.1</v>
          </cell>
          <cell r="DW498">
            <v>31.2</v>
          </cell>
          <cell r="DX498">
            <v>30.9</v>
          </cell>
          <cell r="DY498">
            <v>31.4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</row>
        <row r="499">
          <cell r="A499" t="str">
            <v>O&amp;M (Net of pass-throughs)</v>
          </cell>
          <cell r="B499" t="str">
            <v>Operations &amp; Maintenance Expense (incl clause)</v>
          </cell>
          <cell r="E499" t="str">
            <v>Operations &amp; Maintenance Expense</v>
          </cell>
          <cell r="F499" t="str">
            <v>1000106</v>
          </cell>
          <cell r="G499" t="str">
            <v>A_P1000106</v>
          </cell>
          <cell r="H499" t="str">
            <v>Planned Procurement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</row>
        <row r="500">
          <cell r="A500" t="str">
            <v>O&amp;M (Net of pass-throughs)</v>
          </cell>
          <cell r="B500" t="str">
            <v>Operations &amp; Maintenance Expense (incl clause)</v>
          </cell>
          <cell r="E500" t="str">
            <v>Operations &amp; Maintenance Expense</v>
          </cell>
          <cell r="F500" t="str">
            <v>1000107</v>
          </cell>
          <cell r="G500" t="str">
            <v>A_P1000107</v>
          </cell>
          <cell r="H500" t="str">
            <v>Planned Administrative Services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</row>
        <row r="501">
          <cell r="A501" t="str">
            <v>O&amp;M (Net of pass-throughs)</v>
          </cell>
          <cell r="B501" t="str">
            <v>Operations &amp; Maintenance Expense (incl clause)</v>
          </cell>
          <cell r="E501" t="str">
            <v>Operations &amp; Maintenance Expense</v>
          </cell>
          <cell r="F501" t="str">
            <v>1000108</v>
          </cell>
          <cell r="G501" t="str">
            <v>A_P1000108</v>
          </cell>
          <cell r="H501" t="str">
            <v>Planned Accounts Payable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2.2999999999999998</v>
          </cell>
          <cell r="DO501">
            <v>2.2000000000000002</v>
          </cell>
          <cell r="DP501">
            <v>2.8</v>
          </cell>
          <cell r="DQ501">
            <v>2.5</v>
          </cell>
          <cell r="DR501">
            <v>2.4</v>
          </cell>
          <cell r="DS501">
            <v>2.6</v>
          </cell>
          <cell r="DT501">
            <v>2.2999999999999998</v>
          </cell>
          <cell r="DU501">
            <v>2.6</v>
          </cell>
          <cell r="DV501">
            <v>2.5</v>
          </cell>
          <cell r="DW501">
            <v>2.4</v>
          </cell>
          <cell r="DX501">
            <v>2.4</v>
          </cell>
          <cell r="DY501">
            <v>2.8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</row>
        <row r="502">
          <cell r="A502" t="str">
            <v>O&amp;M (Net of pass-throughs)</v>
          </cell>
          <cell r="B502" t="str">
            <v>Operations &amp; Maintenance Expense (incl clause)</v>
          </cell>
          <cell r="E502" t="str">
            <v>Operations &amp; Maintenance Expense</v>
          </cell>
          <cell r="F502" t="str">
            <v>1000109</v>
          </cell>
          <cell r="G502" t="str">
            <v>A_P1000109</v>
          </cell>
          <cell r="H502" t="str">
            <v>Planned Corporate Communications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11.4</v>
          </cell>
          <cell r="DO502">
            <v>15.6</v>
          </cell>
          <cell r="DP502">
            <v>7.3</v>
          </cell>
          <cell r="DQ502">
            <v>6.4</v>
          </cell>
          <cell r="DR502">
            <v>7.6</v>
          </cell>
          <cell r="DS502">
            <v>7.5</v>
          </cell>
          <cell r="DT502">
            <v>6.7</v>
          </cell>
          <cell r="DU502">
            <v>7.2</v>
          </cell>
          <cell r="DV502">
            <v>6.8</v>
          </cell>
          <cell r="DW502">
            <v>7.4</v>
          </cell>
          <cell r="DX502">
            <v>6.9</v>
          </cell>
          <cell r="DY502">
            <v>6.6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</row>
        <row r="503">
          <cell r="A503" t="str">
            <v>O&amp;M (Net of pass-throughs)</v>
          </cell>
          <cell r="B503" t="str">
            <v>Operations &amp; Maintenance Expense (incl clause)</v>
          </cell>
          <cell r="E503" t="str">
            <v>Operations &amp; Maintenance Expense</v>
          </cell>
          <cell r="F503" t="str">
            <v>1000110</v>
          </cell>
          <cell r="G503" t="str">
            <v>A_P1000110</v>
          </cell>
          <cell r="H503" t="str">
            <v>Planned Information Technology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</row>
        <row r="504">
          <cell r="A504" t="str">
            <v>O&amp;M (Net of pass-throughs)</v>
          </cell>
          <cell r="B504" t="str">
            <v>Operations &amp; Maintenance Expense (incl clause)</v>
          </cell>
          <cell r="E504" t="str">
            <v>Operations &amp; Maintenance Expense</v>
          </cell>
          <cell r="F504" t="str">
            <v>1000111</v>
          </cell>
          <cell r="G504" t="str">
            <v>A_P1000111</v>
          </cell>
          <cell r="H504" t="str">
            <v>Planned Claims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45.5</v>
          </cell>
          <cell r="DO504">
            <v>41.5</v>
          </cell>
          <cell r="DP504">
            <v>47.6</v>
          </cell>
          <cell r="DQ504">
            <v>41.8</v>
          </cell>
          <cell r="DR504">
            <v>44.9</v>
          </cell>
          <cell r="DS504">
            <v>43.8</v>
          </cell>
          <cell r="DT504">
            <v>41.6</v>
          </cell>
          <cell r="DU504">
            <v>45.2</v>
          </cell>
          <cell r="DV504">
            <v>41.8</v>
          </cell>
          <cell r="DW504">
            <v>43.3</v>
          </cell>
          <cell r="DX504">
            <v>42.7</v>
          </cell>
          <cell r="DY504">
            <v>41.7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</row>
        <row r="505">
          <cell r="A505" t="str">
            <v>O&amp;M (Net of pass-throughs)</v>
          </cell>
          <cell r="B505" t="str">
            <v>Operations &amp; Maintenance Expense (incl clause)</v>
          </cell>
          <cell r="E505" t="str">
            <v>Operations &amp; Maintenance Expense</v>
          </cell>
          <cell r="F505" t="str">
            <v>1000112</v>
          </cell>
          <cell r="G505" t="str">
            <v>A_P1000112</v>
          </cell>
          <cell r="H505" t="str">
            <v>Planned SS Claims Chgs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46.6</v>
          </cell>
          <cell r="DO505">
            <v>96.9</v>
          </cell>
          <cell r="DP505">
            <v>49</v>
          </cell>
          <cell r="DQ505">
            <v>42.7</v>
          </cell>
          <cell r="DR505">
            <v>48.6</v>
          </cell>
          <cell r="DS505">
            <v>47.9</v>
          </cell>
          <cell r="DT505">
            <v>98.8</v>
          </cell>
          <cell r="DU505">
            <v>49.4</v>
          </cell>
          <cell r="DV505">
            <v>44.7</v>
          </cell>
          <cell r="DW505">
            <v>46.6</v>
          </cell>
          <cell r="DX505">
            <v>46.6</v>
          </cell>
          <cell r="DY505">
            <v>45.8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</row>
        <row r="506">
          <cell r="A506" t="str">
            <v>O&amp;M (Net of pass-throughs)</v>
          </cell>
          <cell r="B506" t="str">
            <v>Operations &amp; Maintenance Expense (incl clause)</v>
          </cell>
          <cell r="E506" t="str">
            <v>Operations &amp; Maintenance Expense</v>
          </cell>
          <cell r="F506" t="str">
            <v>1000200</v>
          </cell>
          <cell r="G506" t="str">
            <v>A_P1000200</v>
          </cell>
          <cell r="H506" t="str">
            <v>Planned Fleet Charges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3</v>
          </cell>
          <cell r="DO506">
            <v>3</v>
          </cell>
          <cell r="DP506">
            <v>3</v>
          </cell>
          <cell r="DQ506">
            <v>3</v>
          </cell>
          <cell r="DR506">
            <v>3</v>
          </cell>
          <cell r="DS506">
            <v>3</v>
          </cell>
          <cell r="DT506">
            <v>3</v>
          </cell>
          <cell r="DU506">
            <v>3</v>
          </cell>
          <cell r="DV506">
            <v>3</v>
          </cell>
          <cell r="DW506">
            <v>3</v>
          </cell>
          <cell r="DX506">
            <v>3</v>
          </cell>
          <cell r="DY506">
            <v>3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</row>
        <row r="507">
          <cell r="A507" t="str">
            <v>O&amp;M (Net of pass-throughs)</v>
          </cell>
          <cell r="B507" t="str">
            <v>Operations &amp; Maintenance Expense (incl clause)</v>
          </cell>
          <cell r="E507" t="str">
            <v>Operations &amp; Maintenance Expense</v>
          </cell>
          <cell r="F507" t="str">
            <v>1000000</v>
          </cell>
          <cell r="G507" t="str">
            <v>A_S1000000</v>
          </cell>
          <cell r="H507" t="str">
            <v>Settled Corporate Overhead Allocation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</row>
        <row r="508">
          <cell r="A508" t="str">
            <v>O&amp;M (Net of pass-throughs)</v>
          </cell>
          <cell r="B508" t="str">
            <v>Operations &amp; Maintenance Expense (incl clause)</v>
          </cell>
          <cell r="E508" t="str">
            <v>Operations &amp; Maintenance Expense</v>
          </cell>
          <cell r="F508" t="str">
            <v>1000100</v>
          </cell>
          <cell r="G508" t="str">
            <v>A_S1000100</v>
          </cell>
          <cell r="H508" t="str">
            <v>Settled IT Charges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</row>
        <row r="509">
          <cell r="A509" t="str">
            <v>O&amp;M (Net of pass-throughs)</v>
          </cell>
          <cell r="B509" t="str">
            <v>Operations &amp; Maintenance Expense (incl clause)</v>
          </cell>
          <cell r="E509" t="str">
            <v>Operations &amp; Maintenance Expense</v>
          </cell>
          <cell r="F509" t="str">
            <v>1000101</v>
          </cell>
          <cell r="G509" t="str">
            <v>A_S1000101</v>
          </cell>
          <cell r="H509" t="str">
            <v>Settled Facility Charges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</row>
        <row r="510">
          <cell r="A510" t="str">
            <v>O&amp;M (Net of pass-throughs)</v>
          </cell>
          <cell r="B510" t="str">
            <v>Operations &amp; Maintenance Expense (incl clause)</v>
          </cell>
          <cell r="E510" t="str">
            <v>Operations &amp; Maintenance Expense</v>
          </cell>
          <cell r="F510" t="str">
            <v>1000102</v>
          </cell>
          <cell r="G510" t="str">
            <v>A_S1000102</v>
          </cell>
          <cell r="H510" t="str">
            <v>Settled Telecom Charges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</row>
        <row r="511">
          <cell r="A511" t="str">
            <v>O&amp;M (Net of pass-throughs)</v>
          </cell>
          <cell r="B511" t="str">
            <v>Operations &amp; Maintenance Expense (incl clause)</v>
          </cell>
          <cell r="E511" t="str">
            <v>Operations &amp; Maintenance Expense</v>
          </cell>
          <cell r="F511" t="str">
            <v>1000105</v>
          </cell>
          <cell r="G511" t="str">
            <v>A_S1000105</v>
          </cell>
          <cell r="H511" t="str">
            <v>Settled Procurement Charges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</row>
        <row r="512">
          <cell r="A512" t="str">
            <v>O&amp;M (Net of pass-throughs)</v>
          </cell>
          <cell r="B512" t="str">
            <v>Operations &amp; Maintenance Expense (incl clause)</v>
          </cell>
          <cell r="E512" t="str">
            <v>Operations &amp; Maintenance Expense</v>
          </cell>
          <cell r="F512" t="str">
            <v>1000110</v>
          </cell>
          <cell r="G512" t="str">
            <v>A_S1000110</v>
          </cell>
          <cell r="H512" t="str">
            <v>Settled SS CorpComm Chgs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</row>
        <row r="513">
          <cell r="A513" t="str">
            <v>O&amp;M (Net of pass-throughs)</v>
          </cell>
          <cell r="B513" t="str">
            <v>Operations &amp; Maintenance Expense (incl clause)</v>
          </cell>
          <cell r="E513" t="str">
            <v>Operations &amp; Maintenance Expense</v>
          </cell>
          <cell r="F513" t="str">
            <v>1000111</v>
          </cell>
          <cell r="G513" t="str">
            <v>A_S1000111</v>
          </cell>
          <cell r="H513" t="str">
            <v>Settled SS AcctsPay Chgs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</row>
        <row r="514">
          <cell r="A514" t="str">
            <v>O&amp;M (Net of pass-throughs)</v>
          </cell>
          <cell r="B514" t="str">
            <v>Operations &amp; Maintenance Expense (incl clause)</v>
          </cell>
          <cell r="E514" t="str">
            <v>Operations &amp; Maintenance Expense</v>
          </cell>
          <cell r="F514" t="str">
            <v>1000200</v>
          </cell>
          <cell r="G514" t="str">
            <v>A_S1000200</v>
          </cell>
          <cell r="H514" t="str">
            <v>Settled Fleet Charges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11</v>
          </cell>
          <cell r="DO514">
            <v>11</v>
          </cell>
          <cell r="DP514">
            <v>11</v>
          </cell>
          <cell r="DQ514">
            <v>11</v>
          </cell>
          <cell r="DR514">
            <v>11</v>
          </cell>
          <cell r="DS514">
            <v>11</v>
          </cell>
          <cell r="DT514">
            <v>11</v>
          </cell>
          <cell r="DU514">
            <v>11</v>
          </cell>
          <cell r="DV514">
            <v>11</v>
          </cell>
          <cell r="DW514">
            <v>11.6</v>
          </cell>
          <cell r="DX514">
            <v>11.3</v>
          </cell>
          <cell r="DY514">
            <v>11.6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</row>
        <row r="515">
          <cell r="A515" t="str">
            <v>O&amp;M (Net of pass-throughs)</v>
          </cell>
          <cell r="B515" t="str">
            <v>Operations &amp; Maintenance Expense (incl clause)</v>
          </cell>
          <cell r="E515" t="str">
            <v>Operations &amp; Maintenance Expense</v>
          </cell>
          <cell r="F515" t="str">
            <v>1000301</v>
          </cell>
          <cell r="G515" t="str">
            <v>A_S1000301</v>
          </cell>
          <cell r="H515" t="str">
            <v>Settled Self Help Charges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</row>
        <row r="516">
          <cell r="A516" t="str">
            <v>O&amp;M (Net of pass-throughs)</v>
          </cell>
          <cell r="B516" t="str">
            <v>Operations &amp; Maintenance Expense (incl clause)</v>
          </cell>
          <cell r="E516" t="str">
            <v>Operations &amp; Maintenance Expense</v>
          </cell>
          <cell r="F516" t="str">
            <v>6790000</v>
          </cell>
          <cell r="G516" t="str">
            <v>A_A6790000</v>
          </cell>
          <cell r="H516" t="str">
            <v>Assessed Other Operational Expense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</row>
        <row r="517">
          <cell r="A517" t="str">
            <v>O&amp;M (Net of pass-throughs)</v>
          </cell>
          <cell r="B517" t="str">
            <v>Operations &amp; Maintenance Expense (incl clause)</v>
          </cell>
          <cell r="E517" t="str">
            <v>Operations &amp; Maintenance Expense</v>
          </cell>
          <cell r="F517" t="str">
            <v>O&amp;M Adj</v>
          </cell>
          <cell r="G517" t="str">
            <v>O&amp;M Adj</v>
          </cell>
          <cell r="H517" t="str">
            <v>O&amp;M FORECAST ADJUSTMENT TO RECON</v>
          </cell>
          <cell r="I517" t="str">
            <v>INPUT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</row>
        <row r="518">
          <cell r="A518" t="str">
            <v>O&amp;M (Net of pass-throughs)</v>
          </cell>
          <cell r="B518" t="str">
            <v>Operations &amp; Maintenance Expense (incl clause)</v>
          </cell>
          <cell r="E518" t="str">
            <v>Operations &amp; Maintenance Expense</v>
          </cell>
          <cell r="F518" t="str">
            <v>6790000</v>
          </cell>
          <cell r="G518" t="str">
            <v>A_S6790000</v>
          </cell>
          <cell r="H518" t="str">
            <v>Settled Other Operational Expense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10</v>
          </cell>
          <cell r="DO518">
            <v>0</v>
          </cell>
          <cell r="DP518">
            <v>0</v>
          </cell>
          <cell r="DQ518">
            <v>10</v>
          </cell>
          <cell r="DR518">
            <v>0</v>
          </cell>
          <cell r="DS518">
            <v>42</v>
          </cell>
          <cell r="DT518">
            <v>10</v>
          </cell>
          <cell r="DU518">
            <v>0</v>
          </cell>
          <cell r="DV518">
            <v>0</v>
          </cell>
          <cell r="DW518">
            <v>10</v>
          </cell>
          <cell r="DX518">
            <v>0</v>
          </cell>
          <cell r="DY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</row>
        <row r="519">
          <cell r="A519" t="str">
            <v>O&amp;M (Net of pass-throughs)</v>
          </cell>
          <cell r="B519" t="str">
            <v>Operations &amp; Maintenance Expense (incl clause)</v>
          </cell>
          <cell r="E519" t="str">
            <v>Operations &amp; Maintenance Expense</v>
          </cell>
          <cell r="F519" t="str">
            <v>6790010</v>
          </cell>
          <cell r="G519" t="str">
            <v>A_S6790010</v>
          </cell>
          <cell r="H519" t="str">
            <v>Settled Bad Debt Expense AR CIS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148.19999999999999</v>
          </cell>
          <cell r="DO519">
            <v>148.19999999999999</v>
          </cell>
          <cell r="DP519">
            <v>148.19999999999999</v>
          </cell>
          <cell r="DQ519">
            <v>148.19999999999999</v>
          </cell>
          <cell r="DR519">
            <v>148.19999999999999</v>
          </cell>
          <cell r="DS519">
            <v>148.19999999999999</v>
          </cell>
          <cell r="DT519">
            <v>148.19999999999999</v>
          </cell>
          <cell r="DU519">
            <v>148.19999999999999</v>
          </cell>
          <cell r="DV519">
            <v>148.19999999999999</v>
          </cell>
          <cell r="DW519">
            <v>148.19999999999999</v>
          </cell>
          <cell r="DX519">
            <v>148.19999999999999</v>
          </cell>
          <cell r="DY519">
            <v>148.19999999999999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</row>
        <row r="520">
          <cell r="A520" t="str">
            <v>O&amp;M (Net of pass-throughs)</v>
          </cell>
          <cell r="B520" t="str">
            <v>Operations &amp; Maintenance Expense (incl clause)</v>
          </cell>
          <cell r="E520" t="str">
            <v>Operations &amp; Maintenance Expense</v>
          </cell>
          <cell r="F520" t="str">
            <v>6790030</v>
          </cell>
          <cell r="G520" t="str">
            <v>A_S6790030</v>
          </cell>
          <cell r="H520" t="str">
            <v>Settled Director's Expenses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35</v>
          </cell>
          <cell r="DQ520">
            <v>0</v>
          </cell>
          <cell r="DR520">
            <v>0</v>
          </cell>
          <cell r="DS520">
            <v>35</v>
          </cell>
          <cell r="DT520">
            <v>0</v>
          </cell>
          <cell r="DU520">
            <v>0</v>
          </cell>
          <cell r="DV520">
            <v>35</v>
          </cell>
          <cell r="DW520">
            <v>0</v>
          </cell>
          <cell r="DX520">
            <v>0</v>
          </cell>
          <cell r="DY520">
            <v>35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</row>
        <row r="521">
          <cell r="A521" t="str">
            <v>O&amp;M (Net of pass-throughs)</v>
          </cell>
          <cell r="B521" t="str">
            <v>Operations &amp; Maintenance Expense (incl clause)</v>
          </cell>
          <cell r="E521" t="str">
            <v>Operations &amp; Maintenance Expense</v>
          </cell>
          <cell r="F521" t="str">
            <v>6790055</v>
          </cell>
          <cell r="G521" t="str">
            <v>A_S6790055</v>
          </cell>
          <cell r="H521" t="str">
            <v>Settled Economic Development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30</v>
          </cell>
          <cell r="DO521">
            <v>30</v>
          </cell>
          <cell r="DP521">
            <v>30</v>
          </cell>
          <cell r="DQ521">
            <v>30</v>
          </cell>
          <cell r="DR521">
            <v>30</v>
          </cell>
          <cell r="DS521">
            <v>30</v>
          </cell>
          <cell r="DT521">
            <v>30</v>
          </cell>
          <cell r="DU521">
            <v>30</v>
          </cell>
          <cell r="DV521">
            <v>30</v>
          </cell>
          <cell r="DW521">
            <v>30</v>
          </cell>
          <cell r="DX521">
            <v>30</v>
          </cell>
          <cell r="DY521">
            <v>30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</row>
        <row r="522">
          <cell r="A522" t="str">
            <v>O&amp;M (Net of pass-throughs)</v>
          </cell>
          <cell r="B522" t="str">
            <v>Operations &amp; Maintenance Expense (incl clause)</v>
          </cell>
          <cell r="E522" t="str">
            <v>Operations &amp; Maintenance Expense</v>
          </cell>
          <cell r="F522" t="str">
            <v>6790060</v>
          </cell>
          <cell r="G522" t="str">
            <v>A_S6790060</v>
          </cell>
          <cell r="H522" t="str">
            <v>Settled Industry Dues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341.2</v>
          </cell>
          <cell r="DO522">
            <v>57.9</v>
          </cell>
          <cell r="DP522">
            <v>222.3</v>
          </cell>
          <cell r="DQ522">
            <v>70.400000000000006</v>
          </cell>
          <cell r="DR522">
            <v>20</v>
          </cell>
          <cell r="DS522">
            <v>2</v>
          </cell>
          <cell r="DT522">
            <v>63.9</v>
          </cell>
          <cell r="DU522">
            <v>2</v>
          </cell>
          <cell r="DV522">
            <v>2</v>
          </cell>
          <cell r="DW522">
            <v>57.9</v>
          </cell>
          <cell r="DX522">
            <v>2</v>
          </cell>
          <cell r="DY522">
            <v>2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</row>
        <row r="523">
          <cell r="A523" t="str">
            <v>O&amp;M (Net of pass-throughs) SUB</v>
          </cell>
          <cell r="B523" t="str">
            <v>Operations &amp; Maintenance Expense (incl clause)</v>
          </cell>
          <cell r="E523" t="str">
            <v>Operations &amp; Maintenance Expense</v>
          </cell>
          <cell r="F523" t="str">
            <v>6790090</v>
          </cell>
          <cell r="G523" t="str">
            <v>A_S6790090</v>
          </cell>
          <cell r="H523" t="str">
            <v>Settled Donations - Charitable (501c)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23.5</v>
          </cell>
          <cell r="DO523">
            <v>23.5</v>
          </cell>
          <cell r="DP523">
            <v>23.5</v>
          </cell>
          <cell r="DQ523">
            <v>23.5</v>
          </cell>
          <cell r="DR523">
            <v>23.5</v>
          </cell>
          <cell r="DS523">
            <v>23.5</v>
          </cell>
          <cell r="DT523">
            <v>23.5</v>
          </cell>
          <cell r="DU523">
            <v>23.5</v>
          </cell>
          <cell r="DV523">
            <v>23.5</v>
          </cell>
          <cell r="DW523">
            <v>23.5</v>
          </cell>
          <cell r="DX523">
            <v>23.5</v>
          </cell>
          <cell r="DY523">
            <v>48.5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</row>
        <row r="524">
          <cell r="A524" t="str">
            <v>O&amp;M (Net of pass-throughs) SUB</v>
          </cell>
          <cell r="B524" t="str">
            <v>Operations &amp; Maintenance Expense (incl clause)</v>
          </cell>
          <cell r="E524" t="str">
            <v>Operations &amp; Maintenance Expense</v>
          </cell>
          <cell r="F524" t="str">
            <v>6790091</v>
          </cell>
          <cell r="G524" t="str">
            <v>A_S6790091</v>
          </cell>
          <cell r="H524" t="str">
            <v>Settled Donations - Non deductible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9.1999999999999993</v>
          </cell>
          <cell r="DO524">
            <v>9.1999999999999993</v>
          </cell>
          <cell r="DP524">
            <v>9.1999999999999993</v>
          </cell>
          <cell r="DQ524">
            <v>9.1999999999999993</v>
          </cell>
          <cell r="DR524">
            <v>9.1999999999999993</v>
          </cell>
          <cell r="DS524">
            <v>9.1999999999999993</v>
          </cell>
          <cell r="DT524">
            <v>9.1999999999999993</v>
          </cell>
          <cell r="DU524">
            <v>9.1999999999999993</v>
          </cell>
          <cell r="DV524">
            <v>9.1999999999999993</v>
          </cell>
          <cell r="DW524">
            <v>9.1999999999999993</v>
          </cell>
          <cell r="DX524">
            <v>9.1999999999999993</v>
          </cell>
          <cell r="DY524">
            <v>34.200000000000003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</row>
        <row r="525">
          <cell r="A525" t="str">
            <v>O&amp;M (Net of pass-throughs) SUB</v>
          </cell>
          <cell r="B525" t="str">
            <v>Operations &amp; Maintenance Expense (incl clause)</v>
          </cell>
          <cell r="E525" t="str">
            <v>Operations &amp; Maintenance Expense</v>
          </cell>
          <cell r="F525" t="str">
            <v>6790092</v>
          </cell>
          <cell r="G525" t="str">
            <v>A_S6790092</v>
          </cell>
          <cell r="H525" t="str">
            <v>Settled Donations - Other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4.7</v>
          </cell>
          <cell r="DO525">
            <v>4.7</v>
          </cell>
          <cell r="DP525">
            <v>9.6999999999999993</v>
          </cell>
          <cell r="DQ525">
            <v>4.7</v>
          </cell>
          <cell r="DR525">
            <v>4.7</v>
          </cell>
          <cell r="DS525">
            <v>9.6999999999999993</v>
          </cell>
          <cell r="DT525">
            <v>4.7</v>
          </cell>
          <cell r="DU525">
            <v>4.7</v>
          </cell>
          <cell r="DV525">
            <v>9.6999999999999993</v>
          </cell>
          <cell r="DW525">
            <v>4.7</v>
          </cell>
          <cell r="DX525">
            <v>4.7</v>
          </cell>
          <cell r="DY525">
            <v>9.6999999999999993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</row>
        <row r="526">
          <cell r="A526" t="str">
            <v>O&amp;M (Net of pass-throughs)</v>
          </cell>
          <cell r="B526" t="str">
            <v>Operations &amp; Maintenance Expense (incl clause)</v>
          </cell>
          <cell r="E526" t="str">
            <v>Operations &amp; Maintenance Expense</v>
          </cell>
          <cell r="F526" t="str">
            <v>6790101</v>
          </cell>
          <cell r="G526" t="str">
            <v>A_S6790101</v>
          </cell>
          <cell r="H526" t="str">
            <v>Settled Fees - Bank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19.2</v>
          </cell>
          <cell r="DO526">
            <v>19.2</v>
          </cell>
          <cell r="DP526">
            <v>19.2</v>
          </cell>
          <cell r="DQ526">
            <v>81.7</v>
          </cell>
          <cell r="DR526">
            <v>19.2</v>
          </cell>
          <cell r="DS526">
            <v>19.2</v>
          </cell>
          <cell r="DT526">
            <v>81.7</v>
          </cell>
          <cell r="DU526">
            <v>19.2</v>
          </cell>
          <cell r="DV526">
            <v>19.2</v>
          </cell>
          <cell r="DW526">
            <v>81.7</v>
          </cell>
          <cell r="DX526">
            <v>19.2</v>
          </cell>
          <cell r="DY526">
            <v>81.7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</row>
        <row r="527">
          <cell r="A527" t="str">
            <v>O&amp;M (Net of pass-throughs)</v>
          </cell>
          <cell r="B527" t="str">
            <v>Operations &amp; Maintenance Expense (incl clause)</v>
          </cell>
          <cell r="E527" t="str">
            <v>Operations &amp; Maintenance Expense</v>
          </cell>
          <cell r="F527" t="str">
            <v>6790105</v>
          </cell>
          <cell r="G527" t="str">
            <v>A_S6790105</v>
          </cell>
          <cell r="H527" t="str">
            <v>Settled Fees - Transmission Line - Spot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</row>
        <row r="528">
          <cell r="A528" t="str">
            <v>O&amp;M (Net of pass-throughs)</v>
          </cell>
          <cell r="B528" t="str">
            <v>Operations &amp; Maintenance Expense (incl clause)</v>
          </cell>
          <cell r="E528" t="str">
            <v>Operations &amp; Maintenance Expense</v>
          </cell>
          <cell r="F528" t="str">
            <v>6790199</v>
          </cell>
          <cell r="G528" t="str">
            <v>A_S6790199</v>
          </cell>
          <cell r="H528" t="str">
            <v>Settled Fees - Miscellaneous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1.1000000000000001</v>
          </cell>
          <cell r="DO528">
            <v>1.1000000000000001</v>
          </cell>
          <cell r="DP528">
            <v>1.1000000000000001</v>
          </cell>
          <cell r="DQ528">
            <v>1.1000000000000001</v>
          </cell>
          <cell r="DR528">
            <v>3.4</v>
          </cell>
          <cell r="DS528">
            <v>1.1000000000000001</v>
          </cell>
          <cell r="DT528">
            <v>11.1</v>
          </cell>
          <cell r="DU528">
            <v>1.1000000000000001</v>
          </cell>
          <cell r="DV528">
            <v>1.1000000000000001</v>
          </cell>
          <cell r="DW528">
            <v>1.1000000000000001</v>
          </cell>
          <cell r="DX528">
            <v>1.1000000000000001</v>
          </cell>
          <cell r="DY528">
            <v>1.1000000000000001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</row>
        <row r="529">
          <cell r="A529" t="str">
            <v>O&amp;M (Net of pass-throughs)</v>
          </cell>
          <cell r="B529" t="str">
            <v>Operations &amp; Maintenance Expense (incl clause)</v>
          </cell>
          <cell r="E529" t="str">
            <v>Operations &amp; Maintenance Expense</v>
          </cell>
          <cell r="F529" t="str">
            <v>6790210</v>
          </cell>
          <cell r="G529" t="str">
            <v>A_S6790210</v>
          </cell>
          <cell r="H529" t="str">
            <v>Settled Permitting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</row>
        <row r="530">
          <cell r="A530" t="str">
            <v>O&amp;M (Net of pass-throughs) SUB</v>
          </cell>
          <cell r="B530" t="str">
            <v>Operations &amp; Maintenance Expense (incl clause)</v>
          </cell>
          <cell r="E530" t="str">
            <v>Operations &amp; Maintenance Expense</v>
          </cell>
          <cell r="F530" t="str">
            <v>6790220</v>
          </cell>
          <cell r="G530" t="str">
            <v>A_S6790220</v>
          </cell>
          <cell r="H530" t="str">
            <v>Settled Political Contributions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8.3000000000000007</v>
          </cell>
          <cell r="DO530">
            <v>8.3000000000000007</v>
          </cell>
          <cell r="DP530">
            <v>8.3000000000000007</v>
          </cell>
          <cell r="DQ530">
            <v>8.3000000000000007</v>
          </cell>
          <cell r="DR530">
            <v>8.3000000000000007</v>
          </cell>
          <cell r="DS530">
            <v>8.3000000000000007</v>
          </cell>
          <cell r="DT530">
            <v>8.3000000000000007</v>
          </cell>
          <cell r="DU530">
            <v>8.3000000000000007</v>
          </cell>
          <cell r="DV530">
            <v>8.3000000000000007</v>
          </cell>
          <cell r="DW530">
            <v>8.3000000000000007</v>
          </cell>
          <cell r="DX530">
            <v>8.3000000000000007</v>
          </cell>
          <cell r="DY530">
            <v>8.3000000000000007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</row>
        <row r="531">
          <cell r="A531" t="str">
            <v>O&amp;M (Net of pass-throughs)</v>
          </cell>
          <cell r="B531" t="str">
            <v>Operations &amp; Maintenance Expense (incl clause)</v>
          </cell>
          <cell r="E531" t="str">
            <v>Operations &amp; Maintenance Expense</v>
          </cell>
          <cell r="F531" t="str">
            <v>6790230</v>
          </cell>
          <cell r="G531" t="str">
            <v>A_S6790230</v>
          </cell>
          <cell r="H531" t="str">
            <v>Settled Postage Shipping and Courier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80.599999999999994</v>
          </cell>
          <cell r="DO531">
            <v>80.599999999999994</v>
          </cell>
          <cell r="DP531">
            <v>80.599999999999994</v>
          </cell>
          <cell r="DQ531">
            <v>80.599999999999994</v>
          </cell>
          <cell r="DR531">
            <v>81</v>
          </cell>
          <cell r="DS531">
            <v>80.599999999999994</v>
          </cell>
          <cell r="DT531">
            <v>80.599999999999994</v>
          </cell>
          <cell r="DU531">
            <v>80.599999999999994</v>
          </cell>
          <cell r="DV531">
            <v>81</v>
          </cell>
          <cell r="DW531">
            <v>80.599999999999994</v>
          </cell>
          <cell r="DX531">
            <v>80.599999999999994</v>
          </cell>
          <cell r="DY531">
            <v>80.599999999999994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</row>
        <row r="532">
          <cell r="A532" t="str">
            <v>O&amp;M (Net of pass-throughs)</v>
          </cell>
          <cell r="B532" t="str">
            <v>Operations &amp; Maintenance Expense (incl clause)</v>
          </cell>
          <cell r="E532" t="str">
            <v>Operations &amp; Maintenance Expense</v>
          </cell>
          <cell r="F532" t="str">
            <v>6790255</v>
          </cell>
          <cell r="G532" t="str">
            <v>A_S6790255</v>
          </cell>
          <cell r="H532" t="str">
            <v>Settled Selling and Marketing Expense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</row>
        <row r="533">
          <cell r="A533" t="str">
            <v>O&amp;M (Net of pass-throughs)</v>
          </cell>
          <cell r="B533" t="str">
            <v>Operations &amp; Maintenance Expense (incl clause)</v>
          </cell>
          <cell r="E533" t="str">
            <v>Operations &amp; Maintenance Expense</v>
          </cell>
          <cell r="F533" t="str">
            <v>6790260</v>
          </cell>
          <cell r="G533" t="str">
            <v>A_S6790260</v>
          </cell>
          <cell r="H533" t="str">
            <v>Settled Settlements/Claims Expense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</row>
        <row r="534">
          <cell r="A534" t="str">
            <v>O&amp;M (Net of pass-throughs)</v>
          </cell>
          <cell r="B534" t="str">
            <v>Operations &amp; Maintenance Expense (incl clause)</v>
          </cell>
          <cell r="E534" t="str">
            <v>Operations &amp; Maintenance Expense</v>
          </cell>
          <cell r="F534" t="str">
            <v>6790310</v>
          </cell>
          <cell r="G534" t="str">
            <v>A_S6790310</v>
          </cell>
          <cell r="H534" t="str">
            <v>Settled A&amp;G Allocated to Capital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-916.7</v>
          </cell>
          <cell r="DO534">
            <v>-916.7</v>
          </cell>
          <cell r="DP534">
            <v>-916.7</v>
          </cell>
          <cell r="DQ534">
            <v>-916.7</v>
          </cell>
          <cell r="DR534">
            <v>-916.7</v>
          </cell>
          <cell r="DS534">
            <v>-916.7</v>
          </cell>
          <cell r="DT534">
            <v>-916.7</v>
          </cell>
          <cell r="DU534">
            <v>-916.7</v>
          </cell>
          <cell r="DV534">
            <v>-916.7</v>
          </cell>
          <cell r="DW534">
            <v>-916.7</v>
          </cell>
          <cell r="DX534">
            <v>-916.7</v>
          </cell>
          <cell r="DY534">
            <v>-916.7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</row>
        <row r="535">
          <cell r="A535" t="str">
            <v>O&amp;M (Net of pass-throughs)</v>
          </cell>
          <cell r="B535" t="str">
            <v>Operations &amp; Maintenance Expense (incl clause)</v>
          </cell>
          <cell r="E535" t="str">
            <v>Operations &amp; Maintenance Expense</v>
          </cell>
          <cell r="F535" t="str">
            <v>6790320</v>
          </cell>
          <cell r="G535" t="str">
            <v>A_S6790320</v>
          </cell>
          <cell r="H535" t="str">
            <v>Settled Fleet Allocation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315.3</v>
          </cell>
          <cell r="DO535">
            <v>293.89999999999998</v>
          </cell>
          <cell r="DP535">
            <v>331.1</v>
          </cell>
          <cell r="DQ535">
            <v>293.3</v>
          </cell>
          <cell r="DR535">
            <v>334</v>
          </cell>
          <cell r="DS535">
            <v>342.4</v>
          </cell>
          <cell r="DT535">
            <v>312.60000000000002</v>
          </cell>
          <cell r="DU535">
            <v>337.3</v>
          </cell>
          <cell r="DV535">
            <v>311.5</v>
          </cell>
          <cell r="DW535">
            <v>324.7</v>
          </cell>
          <cell r="DX535">
            <v>341.9</v>
          </cell>
          <cell r="DY535">
            <v>313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</row>
        <row r="536">
          <cell r="A536" t="str">
            <v>O&amp;M (Net of pass-throughs)</v>
          </cell>
          <cell r="B536" t="str">
            <v>Operations &amp; Maintenance Expense (incl clause)</v>
          </cell>
          <cell r="E536" t="str">
            <v>Operations &amp; Maintenance Expense</v>
          </cell>
          <cell r="F536" t="str">
            <v>6790324</v>
          </cell>
          <cell r="G536" t="str">
            <v>A_S6790324</v>
          </cell>
          <cell r="H536" t="str">
            <v>Settled Engineering &amp;Supervisory Allocation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</row>
        <row r="537">
          <cell r="A537" t="str">
            <v>O&amp;M (Net of pass-throughs)</v>
          </cell>
          <cell r="B537" t="str">
            <v>Operations &amp; Maintenance Expense (incl clause)</v>
          </cell>
          <cell r="E537" t="str">
            <v>Operations &amp; Maintenance Expense</v>
          </cell>
          <cell r="F537" t="str">
            <v>6790700</v>
          </cell>
          <cell r="G537" t="str">
            <v>A_S6790700</v>
          </cell>
          <cell r="H537" t="str">
            <v>Settled Intercompany Overhead Allocations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-99.2</v>
          </cell>
          <cell r="DO537">
            <v>-104.8</v>
          </cell>
          <cell r="DP537">
            <v>-104.1</v>
          </cell>
          <cell r="DQ537">
            <v>-106.4</v>
          </cell>
          <cell r="DR537">
            <v>-106.4</v>
          </cell>
          <cell r="DS537">
            <v>-103.8</v>
          </cell>
          <cell r="DT537">
            <v>-106.3</v>
          </cell>
          <cell r="DU537">
            <v>-106.3</v>
          </cell>
          <cell r="DV537">
            <v>-106.3</v>
          </cell>
          <cell r="DW537">
            <v>-106.3</v>
          </cell>
          <cell r="DX537">
            <v>-106.3</v>
          </cell>
          <cell r="DY537">
            <v>-106.3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</row>
        <row r="538">
          <cell r="A538" t="str">
            <v>O&amp;M (Net of pass-throughs)</v>
          </cell>
          <cell r="B538" t="str">
            <v>Operations &amp; Maintenance Expense (incl clause)</v>
          </cell>
          <cell r="E538" t="str">
            <v>Operations &amp; Maintenance Expense</v>
          </cell>
          <cell r="F538" t="str">
            <v>6790702</v>
          </cell>
          <cell r="G538" t="str">
            <v>A_S6790702</v>
          </cell>
          <cell r="H538" t="str">
            <v>Settled Intercompany Fee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651.4</v>
          </cell>
          <cell r="DO538">
            <v>651.4</v>
          </cell>
          <cell r="DP538">
            <v>651.4</v>
          </cell>
          <cell r="DQ538">
            <v>651.4</v>
          </cell>
          <cell r="DR538">
            <v>651.4</v>
          </cell>
          <cell r="DS538">
            <v>651.4</v>
          </cell>
          <cell r="DT538">
            <v>651.4</v>
          </cell>
          <cell r="DU538">
            <v>651.4</v>
          </cell>
          <cell r="DV538">
            <v>651.4</v>
          </cell>
          <cell r="DW538">
            <v>651.4</v>
          </cell>
          <cell r="DX538">
            <v>651.4</v>
          </cell>
          <cell r="DY538">
            <v>651.4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</row>
        <row r="539">
          <cell r="A539" t="str">
            <v>O&amp;M (Net of pass-throughs)</v>
          </cell>
          <cell r="B539" t="str">
            <v>Operations &amp; Maintenance Expense (incl clause)</v>
          </cell>
          <cell r="E539" t="str">
            <v>Operations &amp; Maintenance Expense</v>
          </cell>
          <cell r="F539" t="str">
            <v>6790704</v>
          </cell>
          <cell r="G539" t="str">
            <v>A_S6790704</v>
          </cell>
          <cell r="H539" t="str">
            <v>Settled Intercompany Support Services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54.4</v>
          </cell>
          <cell r="DO539">
            <v>54.4</v>
          </cell>
          <cell r="DP539">
            <v>54.4</v>
          </cell>
          <cell r="DQ539">
            <v>54.4</v>
          </cell>
          <cell r="DR539">
            <v>54.4</v>
          </cell>
          <cell r="DS539">
            <v>54.9</v>
          </cell>
          <cell r="DT539">
            <v>54.9</v>
          </cell>
          <cell r="DU539">
            <v>54.9</v>
          </cell>
          <cell r="DV539">
            <v>54.9</v>
          </cell>
          <cell r="DW539">
            <v>54.9</v>
          </cell>
          <cell r="DX539">
            <v>54.9</v>
          </cell>
          <cell r="DY539">
            <v>54.9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</row>
        <row r="540">
          <cell r="A540" t="str">
            <v>O&amp;M (Net of pass-throughs)</v>
          </cell>
          <cell r="B540" t="str">
            <v>Operations &amp; Maintenance Expense (incl clause)</v>
          </cell>
          <cell r="E540" t="str">
            <v>Operations &amp; Maintenance Expense</v>
          </cell>
          <cell r="F540" t="str">
            <v>6791000</v>
          </cell>
          <cell r="G540" t="str">
            <v>A_S6791000</v>
          </cell>
          <cell r="H540" t="str">
            <v>Settled Rate Case Expense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35.299999999999997</v>
          </cell>
          <cell r="DO540">
            <v>35.299999999999997</v>
          </cell>
          <cell r="DP540">
            <v>35.299999999999997</v>
          </cell>
          <cell r="DQ540">
            <v>35.299999999999997</v>
          </cell>
          <cell r="DR540">
            <v>35.299999999999997</v>
          </cell>
          <cell r="DS540">
            <v>35.299999999999997</v>
          </cell>
          <cell r="DT540">
            <v>35.299999999999997</v>
          </cell>
          <cell r="DU540">
            <v>35.299999999999997</v>
          </cell>
          <cell r="DV540">
            <v>35.299999999999997</v>
          </cell>
          <cell r="DW540">
            <v>35.299999999999997</v>
          </cell>
          <cell r="DX540">
            <v>35.299999999999997</v>
          </cell>
          <cell r="DY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</row>
        <row r="541">
          <cell r="A541" t="str">
            <v>O&amp;M (Net of pass-throughs)</v>
          </cell>
          <cell r="B541" t="str">
            <v>Operations &amp; Maintenance Expense (incl clause)</v>
          </cell>
          <cell r="E541" t="str">
            <v>Operations &amp; Maintenance Expense</v>
          </cell>
          <cell r="F541" t="str">
            <v>6798999</v>
          </cell>
          <cell r="G541" t="str">
            <v>A_S6798999</v>
          </cell>
          <cell r="H541" t="str">
            <v>Settled Other Operational Expense Reclas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</row>
        <row r="542">
          <cell r="A542" t="str">
            <v>O&amp;M (Net of pass-throughs)</v>
          </cell>
          <cell r="B542" t="str">
            <v>Operations &amp; Maintenance Expense (incl clause)</v>
          </cell>
          <cell r="E542" t="str">
            <v>Operations &amp; Maintenance Expense</v>
          </cell>
          <cell r="F542" t="str">
            <v>6790800</v>
          </cell>
          <cell r="G542" t="str">
            <v>A_S6790800</v>
          </cell>
          <cell r="H542" t="str">
            <v>Settled Other Operational Expense - Misc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116.7</v>
          </cell>
          <cell r="DO542">
            <v>123.7</v>
          </cell>
          <cell r="DP542">
            <v>123.7</v>
          </cell>
          <cell r="DQ542">
            <v>123.7</v>
          </cell>
          <cell r="DR542">
            <v>123.7</v>
          </cell>
          <cell r="DS542">
            <v>123.7</v>
          </cell>
          <cell r="DT542">
            <v>123.7</v>
          </cell>
          <cell r="DU542">
            <v>123.7</v>
          </cell>
          <cell r="DV542">
            <v>123.7</v>
          </cell>
          <cell r="DW542">
            <v>123.7</v>
          </cell>
          <cell r="DX542">
            <v>123.7</v>
          </cell>
          <cell r="DY542">
            <v>146.69999999999999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</row>
        <row r="543">
          <cell r="F543" t="str">
            <v>679</v>
          </cell>
          <cell r="G543">
            <v>679</v>
          </cell>
          <cell r="J543">
            <v>1702.1000000000004</v>
          </cell>
          <cell r="K543">
            <v>1674.4</v>
          </cell>
          <cell r="L543">
            <v>-723.69999999999993</v>
          </cell>
          <cell r="M543">
            <v>1557.7999999999997</v>
          </cell>
          <cell r="N543">
            <v>1526.3999999999999</v>
          </cell>
          <cell r="O543">
            <v>1508.1000000000004</v>
          </cell>
          <cell r="P543">
            <v>2101.2999999999997</v>
          </cell>
          <cell r="Q543">
            <v>1441.6999999999996</v>
          </cell>
          <cell r="R543">
            <v>1647.9999999999995</v>
          </cell>
          <cell r="S543">
            <v>1524.2999999999997</v>
          </cell>
          <cell r="T543">
            <v>1620.2999999999997</v>
          </cell>
          <cell r="U543">
            <v>1478.4999999999991</v>
          </cell>
          <cell r="V543">
            <v>1552.8000000000002</v>
          </cell>
          <cell r="W543">
            <v>1366.1999999999998</v>
          </cell>
          <cell r="X543">
            <v>1274.5999999999999</v>
          </cell>
          <cell r="Y543">
            <v>1263.8000000000002</v>
          </cell>
          <cell r="Z543">
            <v>1228.5000000000005</v>
          </cell>
          <cell r="AA543">
            <v>1148.3999999999999</v>
          </cell>
          <cell r="AB543">
            <v>1204.4999999999998</v>
          </cell>
          <cell r="AC543">
            <v>1219.1999999999998</v>
          </cell>
          <cell r="AD543">
            <v>1335.1000000000001</v>
          </cell>
          <cell r="AE543">
            <v>1357.8000000000002</v>
          </cell>
          <cell r="AF543">
            <v>1318.0999999999997</v>
          </cell>
          <cell r="AG543">
            <v>2769.7000000000003</v>
          </cell>
          <cell r="AH543">
            <v>1510.1000000000001</v>
          </cell>
          <cell r="AI543">
            <v>1334</v>
          </cell>
          <cell r="AJ543">
            <v>3234.2999999999997</v>
          </cell>
          <cell r="AK543">
            <v>1108.1999999999996</v>
          </cell>
          <cell r="AL543">
            <v>1410.9</v>
          </cell>
          <cell r="AM543">
            <v>1441.1000000000006</v>
          </cell>
          <cell r="AN543">
            <v>957.1</v>
          </cell>
          <cell r="AO543">
            <v>1105.9000000000003</v>
          </cell>
          <cell r="AP543">
            <v>519.50000000000057</v>
          </cell>
          <cell r="AQ543">
            <v>1181.5000000000005</v>
          </cell>
          <cell r="AR543">
            <v>682.80000000000052</v>
          </cell>
          <cell r="AS543">
            <v>1182.9999999999995</v>
          </cell>
          <cell r="AT543">
            <v>327.10000000000014</v>
          </cell>
          <cell r="AU543">
            <v>649.50000000000011</v>
          </cell>
          <cell r="AV543">
            <v>659.09999999999968</v>
          </cell>
          <cell r="AW543">
            <v>1058.2000000000007</v>
          </cell>
          <cell r="AX543">
            <v>1195.4000000000001</v>
          </cell>
          <cell r="AY543">
            <v>1324.3000000000002</v>
          </cell>
          <cell r="AZ543">
            <v>1472.2999999999995</v>
          </cell>
          <cell r="BA543">
            <v>1340.3000000000002</v>
          </cell>
          <cell r="BB543">
            <v>1155.4000000000001</v>
          </cell>
          <cell r="BC543">
            <v>1468.1999999999996</v>
          </cell>
          <cell r="BD543">
            <v>760.90000000000032</v>
          </cell>
          <cell r="BE543">
            <v>982.10000000000014</v>
          </cell>
          <cell r="BF543">
            <v>956.8</v>
          </cell>
          <cell r="BG543">
            <v>1384.8999999999996</v>
          </cell>
          <cell r="BH543">
            <v>1338.1</v>
          </cell>
          <cell r="BI543">
            <v>2360.9000000000005</v>
          </cell>
          <cell r="BJ543">
            <v>803.30000000000041</v>
          </cell>
          <cell r="BK543">
            <v>703.70000000000061</v>
          </cell>
          <cell r="BL543">
            <v>1648.4</v>
          </cell>
          <cell r="BM543">
            <v>903.90000000000043</v>
          </cell>
          <cell r="BN543">
            <v>373.49999999999966</v>
          </cell>
          <cell r="BO543">
            <v>1241.8999999999999</v>
          </cell>
          <cell r="BP543">
            <v>775.99999999999955</v>
          </cell>
          <cell r="BQ543">
            <v>775.90000000000032</v>
          </cell>
          <cell r="BR543">
            <v>1130.3</v>
          </cell>
          <cell r="BS543">
            <v>403.70000000000027</v>
          </cell>
          <cell r="BT543">
            <v>141.80000000000021</v>
          </cell>
          <cell r="BU543">
            <v>761.70000000000016</v>
          </cell>
          <cell r="BV543">
            <v>328.10000000000025</v>
          </cell>
          <cell r="BW543">
            <v>971.30000000000041</v>
          </cell>
          <cell r="BX543">
            <v>1128.7000000000003</v>
          </cell>
          <cell r="BY543">
            <v>473.40000000000026</v>
          </cell>
          <cell r="BZ543">
            <v>283.29999999999762</v>
          </cell>
          <cell r="CA543">
            <v>361.49999999999994</v>
          </cell>
          <cell r="CB543">
            <v>479.00000000000045</v>
          </cell>
          <cell r="CC543">
            <v>575.10000000000105</v>
          </cell>
          <cell r="CD543">
            <v>787.99999999999977</v>
          </cell>
          <cell r="CE543">
            <v>577.49999999999818</v>
          </cell>
          <cell r="CF543">
            <v>193.19999999999982</v>
          </cell>
          <cell r="CG543">
            <v>793</v>
          </cell>
          <cell r="CH543">
            <v>705.30000000000018</v>
          </cell>
          <cell r="CI543">
            <v>869.00000000000045</v>
          </cell>
          <cell r="CJ543">
            <v>440.10000000000036</v>
          </cell>
          <cell r="CK543">
            <v>128.40000000000146</v>
          </cell>
          <cell r="CL543">
            <v>417.09999999999968</v>
          </cell>
          <cell r="CM543">
            <v>2184.0000000000009</v>
          </cell>
          <cell r="CN543">
            <v>234.60000000000014</v>
          </cell>
          <cell r="CO543">
            <v>1103.9999999999991</v>
          </cell>
          <cell r="CP543">
            <v>824.39999999999941</v>
          </cell>
          <cell r="CQ543">
            <v>1138.3999999999999</v>
          </cell>
          <cell r="CR543">
            <v>375.20000000000005</v>
          </cell>
          <cell r="CS543">
            <v>905.89999999999918</v>
          </cell>
          <cell r="CT543">
            <v>909.40000000000077</v>
          </cell>
          <cell r="CU543">
            <v>445.00000000000091</v>
          </cell>
          <cell r="CV543">
            <v>740.19999999999993</v>
          </cell>
          <cell r="CW543">
            <v>314.10000000000014</v>
          </cell>
          <cell r="CX543">
            <v>819.69999999999959</v>
          </cell>
          <cell r="CY543">
            <v>191.80000000000007</v>
          </cell>
          <cell r="CZ543">
            <v>-386.29999999999973</v>
          </cell>
          <cell r="DA543">
            <v>532.5</v>
          </cell>
          <cell r="DB543">
            <v>1208.2</v>
          </cell>
          <cell r="DC543">
            <v>369.89999999999964</v>
          </cell>
          <cell r="DD543">
            <v>1420.4</v>
          </cell>
          <cell r="DE543">
            <v>528.69999999999914</v>
          </cell>
          <cell r="DF543">
            <v>30.300000000000409</v>
          </cell>
          <cell r="DG543">
            <v>-244.20000000000027</v>
          </cell>
          <cell r="DH543">
            <v>1788.2000000000003</v>
          </cell>
          <cell r="DI543">
            <v>617.89999999999895</v>
          </cell>
          <cell r="DJ543">
            <v>4135.8000000000011</v>
          </cell>
          <cell r="DK543">
            <v>-2318.4999999999991</v>
          </cell>
          <cell r="DL543">
            <v>-84.599999999999909</v>
          </cell>
          <cell r="DM543">
            <v>-607.19999999999959</v>
          </cell>
          <cell r="DN543">
            <v>3752.3</v>
          </cell>
          <cell r="DO543">
            <v>3457.1999999999994</v>
          </cell>
          <cell r="DP543">
            <v>3878.3</v>
          </cell>
          <cell r="DQ543">
            <v>3531.6</v>
          </cell>
          <cell r="DR543">
            <v>3481.6999999999994</v>
          </cell>
          <cell r="DS543">
            <v>3709.599999999999</v>
          </cell>
          <cell r="DT543">
            <v>3616.1</v>
          </cell>
          <cell r="DU543">
            <v>3492.1999999999989</v>
          </cell>
          <cell r="DV543">
            <v>3590.3</v>
          </cell>
          <cell r="DW543">
            <v>3556.7</v>
          </cell>
          <cell r="DX543">
            <v>3464.8999999999992</v>
          </cell>
          <cell r="DY543">
            <v>3721.0999999999985</v>
          </cell>
          <cell r="EM543">
            <v>17038.7</v>
          </cell>
          <cell r="EN543">
            <v>15668.400000000001</v>
          </cell>
          <cell r="EO543">
            <v>12392.8</v>
          </cell>
          <cell r="EP543">
            <v>13267.300000000001</v>
          </cell>
          <cell r="EQ543">
            <v>7037.9000000000024</v>
          </cell>
          <cell r="ER543">
            <v>8434.2000000000007</v>
          </cell>
          <cell r="ES543">
            <v>6810.3000000000011</v>
          </cell>
        </row>
        <row r="544">
          <cell r="A544" t="str">
            <v>Depreciation and Amortization</v>
          </cell>
          <cell r="B544" t="str">
            <v>Amort. - Utility Plant</v>
          </cell>
          <cell r="C544" t="str">
            <v>Depreciation &amp; Amortization</v>
          </cell>
          <cell r="E544" t="str">
            <v>Amort. - Leasehold Improvements</v>
          </cell>
          <cell r="F544" t="str">
            <v>6800010</v>
          </cell>
          <cell r="G544" t="str">
            <v>A_6800010</v>
          </cell>
          <cell r="H544" t="str">
            <v>Amortization - Utility Plant</v>
          </cell>
          <cell r="J544">
            <v>147.19999999999999</v>
          </cell>
          <cell r="K544">
            <v>150.19999999999999</v>
          </cell>
          <cell r="L544">
            <v>150.19999999999999</v>
          </cell>
          <cell r="M544">
            <v>150.19999999999999</v>
          </cell>
          <cell r="N544">
            <v>150.5</v>
          </cell>
          <cell r="O544">
            <v>150.5</v>
          </cell>
          <cell r="P544">
            <v>150.5</v>
          </cell>
          <cell r="Q544">
            <v>148.30000000000001</v>
          </cell>
          <cell r="R544">
            <v>154.6</v>
          </cell>
          <cell r="S544">
            <v>154.80000000000001</v>
          </cell>
          <cell r="T544">
            <v>154.80000000000001</v>
          </cell>
          <cell r="U544">
            <v>154.80000000000001</v>
          </cell>
          <cell r="V544">
            <v>154.80000000000001</v>
          </cell>
          <cell r="W544">
            <v>154.80000000000001</v>
          </cell>
          <cell r="X544">
            <v>135</v>
          </cell>
          <cell r="Y544">
            <v>135.69999999999999</v>
          </cell>
          <cell r="Z544">
            <v>147</v>
          </cell>
          <cell r="AA544">
            <v>147</v>
          </cell>
          <cell r="AB544">
            <v>147.1</v>
          </cell>
          <cell r="AC544">
            <v>148.19999999999999</v>
          </cell>
          <cell r="AD544">
            <v>148.69999999999999</v>
          </cell>
          <cell r="AE544">
            <v>149.30000000000001</v>
          </cell>
          <cell r="AF544">
            <v>148.9</v>
          </cell>
          <cell r="AG544">
            <v>149</v>
          </cell>
          <cell r="AH544">
            <v>149.19999999999999</v>
          </cell>
          <cell r="AI544">
            <v>149.19999999999999</v>
          </cell>
          <cell r="AJ544">
            <v>149.19999999999999</v>
          </cell>
          <cell r="AK544">
            <v>149.1</v>
          </cell>
          <cell r="AL544">
            <v>149.1</v>
          </cell>
          <cell r="AM544">
            <v>149.1</v>
          </cell>
          <cell r="AN544">
            <v>151.1</v>
          </cell>
          <cell r="AO544">
            <v>158.69999999999999</v>
          </cell>
          <cell r="AP544">
            <v>158.69999999999999</v>
          </cell>
          <cell r="AQ544">
            <v>158.80000000000001</v>
          </cell>
          <cell r="AR544">
            <v>160.4</v>
          </cell>
          <cell r="AS544">
            <v>160.9</v>
          </cell>
          <cell r="AT544">
            <v>156</v>
          </cell>
          <cell r="AU544">
            <v>156</v>
          </cell>
          <cell r="AV544">
            <v>156</v>
          </cell>
          <cell r="AW544">
            <v>158.4</v>
          </cell>
          <cell r="AX544">
            <v>157.80000000000001</v>
          </cell>
          <cell r="AY544">
            <v>157.80000000000001</v>
          </cell>
          <cell r="AZ544">
            <v>158.1</v>
          </cell>
          <cell r="BA544">
            <v>158.1</v>
          </cell>
          <cell r="BB544">
            <v>158.5</v>
          </cell>
          <cell r="BC544">
            <v>158.5</v>
          </cell>
          <cell r="BD544">
            <v>158.6</v>
          </cell>
          <cell r="BE544">
            <v>158.6</v>
          </cell>
          <cell r="BF544">
            <v>160.19999999999999</v>
          </cell>
          <cell r="BG544">
            <v>160.19999999999999</v>
          </cell>
          <cell r="BH544">
            <v>160.19999999999999</v>
          </cell>
          <cell r="BI544">
            <v>161.30000000000001</v>
          </cell>
          <cell r="BJ544">
            <v>161.69999999999999</v>
          </cell>
          <cell r="BK544">
            <v>161.69999999999999</v>
          </cell>
          <cell r="BL544">
            <v>161.6</v>
          </cell>
          <cell r="BM544">
            <v>163.6</v>
          </cell>
          <cell r="BN544">
            <v>163.80000000000001</v>
          </cell>
          <cell r="BO544">
            <v>163.9</v>
          </cell>
          <cell r="BP544">
            <v>168.4</v>
          </cell>
          <cell r="BQ544">
            <v>168.6</v>
          </cell>
          <cell r="BR544">
            <v>175.8</v>
          </cell>
          <cell r="BS544">
            <v>176.2</v>
          </cell>
          <cell r="BT544">
            <v>176.1</v>
          </cell>
          <cell r="BU544">
            <v>176.1</v>
          </cell>
          <cell r="BV544">
            <v>176.2</v>
          </cell>
          <cell r="BW544">
            <v>172.6</v>
          </cell>
          <cell r="BX544">
            <v>172.6</v>
          </cell>
          <cell r="BY544">
            <v>172.5</v>
          </cell>
          <cell r="BZ544">
            <v>172.6</v>
          </cell>
          <cell r="CA544">
            <v>178.8</v>
          </cell>
          <cell r="CB544">
            <v>179.5</v>
          </cell>
          <cell r="CC544">
            <v>180.5</v>
          </cell>
          <cell r="CD544">
            <v>186.4</v>
          </cell>
          <cell r="CE544">
            <v>184.2</v>
          </cell>
          <cell r="CF544">
            <v>185.4</v>
          </cell>
          <cell r="CG544">
            <v>184.5</v>
          </cell>
          <cell r="CH544">
            <v>184.4</v>
          </cell>
          <cell r="CI544">
            <v>184.5</v>
          </cell>
          <cell r="CJ544">
            <v>185.3</v>
          </cell>
          <cell r="CK544">
            <v>185.4</v>
          </cell>
          <cell r="CL544">
            <v>183.7</v>
          </cell>
          <cell r="CM544">
            <v>183.8</v>
          </cell>
          <cell r="CN544">
            <v>274.3</v>
          </cell>
          <cell r="CO544">
            <v>274.7</v>
          </cell>
          <cell r="CP544">
            <v>270.7</v>
          </cell>
          <cell r="CQ544">
            <v>270.89999999999998</v>
          </cell>
          <cell r="CR544">
            <v>271.2</v>
          </cell>
          <cell r="CS544">
            <v>285.39999999999998</v>
          </cell>
          <cell r="CT544">
            <v>301.10000000000002</v>
          </cell>
          <cell r="CU544">
            <v>302.5</v>
          </cell>
          <cell r="CV544">
            <v>303.89999999999998</v>
          </cell>
          <cell r="CW544">
            <v>305.3</v>
          </cell>
          <cell r="CX544">
            <v>305.89999999999998</v>
          </cell>
          <cell r="CY544">
            <v>306</v>
          </cell>
          <cell r="CZ544">
            <v>306.2</v>
          </cell>
          <cell r="DA544">
            <v>306.39999999999998</v>
          </cell>
          <cell r="DB544">
            <v>306.5</v>
          </cell>
          <cell r="DC544">
            <v>306.7</v>
          </cell>
          <cell r="DD544">
            <v>339.1</v>
          </cell>
          <cell r="DE544">
            <v>339.7</v>
          </cell>
          <cell r="DF544">
            <v>339.9</v>
          </cell>
          <cell r="DG544">
            <v>340.2</v>
          </cell>
          <cell r="DH544">
            <v>339.4</v>
          </cell>
          <cell r="DI544">
            <v>339.5</v>
          </cell>
          <cell r="DJ544">
            <v>339.5</v>
          </cell>
          <cell r="DK544">
            <v>339.7</v>
          </cell>
          <cell r="DL544">
            <v>339.9</v>
          </cell>
          <cell r="DM544">
            <v>343.4</v>
          </cell>
          <cell r="DN544">
            <v>344.2</v>
          </cell>
          <cell r="DO544">
            <v>370.2</v>
          </cell>
          <cell r="DP544">
            <v>371.2</v>
          </cell>
          <cell r="DQ544">
            <v>379.3</v>
          </cell>
          <cell r="DR544">
            <v>380.7</v>
          </cell>
          <cell r="DS544">
            <v>572.9</v>
          </cell>
          <cell r="DT544">
            <v>589.5</v>
          </cell>
          <cell r="DU544">
            <v>600.6</v>
          </cell>
          <cell r="DV544">
            <v>601.4</v>
          </cell>
          <cell r="DW544">
            <v>602.29999999999995</v>
          </cell>
          <cell r="DX544">
            <v>602.9</v>
          </cell>
          <cell r="DY544">
            <v>607.20000000000005</v>
          </cell>
          <cell r="EM544">
            <v>1765.5</v>
          </cell>
          <cell r="EN544">
            <v>1843.5000000000002</v>
          </cell>
          <cell r="EO544">
            <v>1892.3999999999996</v>
          </cell>
          <cell r="EP544">
            <v>1955.1999999999998</v>
          </cell>
          <cell r="EQ544">
            <v>2109.5</v>
          </cell>
          <cell r="ER544">
            <v>2396.6</v>
          </cell>
          <cell r="ES544">
            <v>3535.5</v>
          </cell>
        </row>
        <row r="545">
          <cell r="A545" t="str">
            <v>Depreciation and Amortization</v>
          </cell>
          <cell r="B545" t="str">
            <v>Amort. - Acq. Adjustments</v>
          </cell>
          <cell r="C545" t="str">
            <v>Depreciation &amp; Amortization</v>
          </cell>
          <cell r="E545" t="str">
            <v>Amort. - Acq. Adjustments</v>
          </cell>
          <cell r="F545" t="str">
            <v>6800040</v>
          </cell>
          <cell r="G545" t="str">
            <v>A_6800040</v>
          </cell>
          <cell r="H545" t="str">
            <v>Amortization - Acquisition Adjustments</v>
          </cell>
          <cell r="J545">
            <v>12.4</v>
          </cell>
          <cell r="K545">
            <v>12.4</v>
          </cell>
          <cell r="L545">
            <v>12.4</v>
          </cell>
          <cell r="M545">
            <v>12.4</v>
          </cell>
          <cell r="N545">
            <v>12.4</v>
          </cell>
          <cell r="O545">
            <v>12.4</v>
          </cell>
          <cell r="P545">
            <v>12.4</v>
          </cell>
          <cell r="Q545">
            <v>12.4</v>
          </cell>
          <cell r="R545">
            <v>12.4</v>
          </cell>
          <cell r="S545">
            <v>12.4</v>
          </cell>
          <cell r="T545">
            <v>12.4</v>
          </cell>
          <cell r="U545">
            <v>12.4</v>
          </cell>
          <cell r="V545">
            <v>12.4</v>
          </cell>
          <cell r="W545">
            <v>12.4</v>
          </cell>
          <cell r="X545">
            <v>12.4</v>
          </cell>
          <cell r="Y545">
            <v>12.4</v>
          </cell>
          <cell r="Z545">
            <v>12.4</v>
          </cell>
          <cell r="AA545">
            <v>12.4</v>
          </cell>
          <cell r="AB545">
            <v>12.4</v>
          </cell>
          <cell r="AC545">
            <v>12.4</v>
          </cell>
          <cell r="AD545">
            <v>12.4</v>
          </cell>
          <cell r="AE545">
            <v>12.4</v>
          </cell>
          <cell r="AF545">
            <v>12.4</v>
          </cell>
          <cell r="AG545">
            <v>12.4</v>
          </cell>
          <cell r="AH545">
            <v>12.4</v>
          </cell>
          <cell r="AI545">
            <v>12.4</v>
          </cell>
          <cell r="AJ545">
            <v>12.4</v>
          </cell>
          <cell r="AK545">
            <v>12.4</v>
          </cell>
          <cell r="AL545">
            <v>12.4</v>
          </cell>
          <cell r="AM545">
            <v>12.4</v>
          </cell>
          <cell r="AN545">
            <v>12.4</v>
          </cell>
          <cell r="AO545">
            <v>12.4</v>
          </cell>
          <cell r="AP545">
            <v>12.4</v>
          </cell>
          <cell r="AQ545">
            <v>12.4</v>
          </cell>
          <cell r="AR545">
            <v>12.4</v>
          </cell>
          <cell r="AS545">
            <v>12.4</v>
          </cell>
          <cell r="AT545">
            <v>12.4</v>
          </cell>
          <cell r="AU545">
            <v>12.4</v>
          </cell>
          <cell r="AV545">
            <v>12.4</v>
          </cell>
          <cell r="AW545">
            <v>12.4</v>
          </cell>
          <cell r="AX545">
            <v>12.4</v>
          </cell>
          <cell r="AY545">
            <v>12.4</v>
          </cell>
          <cell r="AZ545">
            <v>12.4</v>
          </cell>
          <cell r="BA545">
            <v>12.4</v>
          </cell>
          <cell r="BB545">
            <v>12.4</v>
          </cell>
          <cell r="BC545">
            <v>12.4</v>
          </cell>
          <cell r="BD545">
            <v>12.4</v>
          </cell>
          <cell r="BE545">
            <v>12.4</v>
          </cell>
          <cell r="BF545">
            <v>12.4</v>
          </cell>
          <cell r="BG545">
            <v>12.4</v>
          </cell>
          <cell r="BH545">
            <v>12.4</v>
          </cell>
          <cell r="BI545">
            <v>12.4</v>
          </cell>
          <cell r="BJ545">
            <v>12.4</v>
          </cell>
          <cell r="BK545">
            <v>12.4</v>
          </cell>
          <cell r="BL545">
            <v>12.4</v>
          </cell>
          <cell r="BM545">
            <v>12.4</v>
          </cell>
          <cell r="BN545">
            <v>12.4</v>
          </cell>
          <cell r="BO545">
            <v>12.4</v>
          </cell>
          <cell r="BP545">
            <v>12.4</v>
          </cell>
          <cell r="BQ545">
            <v>12.4</v>
          </cell>
          <cell r="BR545">
            <v>12.4</v>
          </cell>
          <cell r="BS545">
            <v>12.4</v>
          </cell>
          <cell r="BT545">
            <v>12.4</v>
          </cell>
          <cell r="BU545">
            <v>12.4</v>
          </cell>
          <cell r="BV545">
            <v>12.4</v>
          </cell>
          <cell r="BW545">
            <v>12.4</v>
          </cell>
          <cell r="BX545">
            <v>12.4</v>
          </cell>
          <cell r="BY545">
            <v>12.4</v>
          </cell>
          <cell r="BZ545">
            <v>12.4</v>
          </cell>
          <cell r="CA545">
            <v>12.4</v>
          </cell>
          <cell r="CB545">
            <v>12.4</v>
          </cell>
          <cell r="CC545">
            <v>12.4</v>
          </cell>
          <cell r="CD545">
            <v>12.4</v>
          </cell>
          <cell r="CE545">
            <v>12.4</v>
          </cell>
          <cell r="CF545">
            <v>12.4</v>
          </cell>
          <cell r="CG545">
            <v>12.4</v>
          </cell>
          <cell r="CH545">
            <v>12.4</v>
          </cell>
          <cell r="CI545">
            <v>12.4</v>
          </cell>
          <cell r="CJ545">
            <v>12.4</v>
          </cell>
          <cell r="CK545">
            <v>12.4</v>
          </cell>
          <cell r="CL545">
            <v>12.4</v>
          </cell>
          <cell r="CM545">
            <v>5.9</v>
          </cell>
          <cell r="CN545">
            <v>5.9</v>
          </cell>
          <cell r="CO545">
            <v>5.9</v>
          </cell>
          <cell r="CP545">
            <v>5.9</v>
          </cell>
          <cell r="CQ545">
            <v>5.9</v>
          </cell>
          <cell r="CR545">
            <v>5.9</v>
          </cell>
          <cell r="CS545">
            <v>5.9</v>
          </cell>
          <cell r="CT545">
            <v>5.9</v>
          </cell>
          <cell r="CU545">
            <v>5.9</v>
          </cell>
          <cell r="CV545">
            <v>5.9</v>
          </cell>
          <cell r="CW545">
            <v>-0.7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EM545">
            <v>148.80000000000004</v>
          </cell>
          <cell r="EN545">
            <v>148.80000000000004</v>
          </cell>
          <cell r="EO545">
            <v>148.80000000000004</v>
          </cell>
          <cell r="EP545">
            <v>148.80000000000004</v>
          </cell>
          <cell r="EQ545">
            <v>148.80000000000004</v>
          </cell>
          <cell r="ER545">
            <v>129.30000000000004</v>
          </cell>
          <cell r="ES545">
            <v>40.599999999999994</v>
          </cell>
        </row>
        <row r="546">
          <cell r="A546" t="str">
            <v>Depreciation and Amortization</v>
          </cell>
          <cell r="B546" t="str">
            <v>Amort. - Other</v>
          </cell>
          <cell r="C546" t="str">
            <v>Amort Environ</v>
          </cell>
          <cell r="E546" t="str">
            <v>Amort. - Other</v>
          </cell>
          <cell r="F546" t="str">
            <v>6800050</v>
          </cell>
          <cell r="G546" t="str">
            <v>A_6800050</v>
          </cell>
          <cell r="H546" t="str">
            <v>Amortization - Environmental Remediation</v>
          </cell>
          <cell r="J546">
            <v>53.3</v>
          </cell>
          <cell r="K546">
            <v>53.3</v>
          </cell>
          <cell r="L546">
            <v>53.3</v>
          </cell>
          <cell r="M546">
            <v>53.3</v>
          </cell>
          <cell r="N546">
            <v>53.3</v>
          </cell>
          <cell r="O546">
            <v>53.3</v>
          </cell>
          <cell r="P546">
            <v>53.3</v>
          </cell>
          <cell r="Q546">
            <v>53.3</v>
          </cell>
          <cell r="R546">
            <v>53.3</v>
          </cell>
          <cell r="S546">
            <v>53.3</v>
          </cell>
          <cell r="T546">
            <v>53.3</v>
          </cell>
          <cell r="U546">
            <v>53.3</v>
          </cell>
          <cell r="V546">
            <v>53.3</v>
          </cell>
          <cell r="W546">
            <v>53.3</v>
          </cell>
          <cell r="X546">
            <v>53.3</v>
          </cell>
          <cell r="Y546">
            <v>53.3</v>
          </cell>
          <cell r="Z546">
            <v>53.3</v>
          </cell>
          <cell r="AA546">
            <v>53.3</v>
          </cell>
          <cell r="AB546">
            <v>53.3</v>
          </cell>
          <cell r="AC546">
            <v>53.3</v>
          </cell>
          <cell r="AD546">
            <v>53.3</v>
          </cell>
          <cell r="AE546">
            <v>53.3</v>
          </cell>
          <cell r="AF546">
            <v>53.3</v>
          </cell>
          <cell r="AG546">
            <v>53.3</v>
          </cell>
          <cell r="AH546">
            <v>53.3</v>
          </cell>
          <cell r="AI546">
            <v>53.3</v>
          </cell>
          <cell r="AJ546">
            <v>53.3</v>
          </cell>
          <cell r="AK546">
            <v>53.3</v>
          </cell>
          <cell r="AL546">
            <v>53.3</v>
          </cell>
          <cell r="AM546">
            <v>53.3</v>
          </cell>
          <cell r="AN546">
            <v>53.3</v>
          </cell>
          <cell r="AO546">
            <v>53.3</v>
          </cell>
          <cell r="AP546">
            <v>53.3</v>
          </cell>
          <cell r="AQ546">
            <v>53.3</v>
          </cell>
          <cell r="AR546">
            <v>53.3</v>
          </cell>
          <cell r="AS546">
            <v>16053.3</v>
          </cell>
          <cell r="AT546">
            <v>470</v>
          </cell>
          <cell r="AU546">
            <v>470</v>
          </cell>
          <cell r="AV546">
            <v>470</v>
          </cell>
          <cell r="AW546">
            <v>470</v>
          </cell>
          <cell r="AX546">
            <v>470</v>
          </cell>
          <cell r="AY546">
            <v>470</v>
          </cell>
          <cell r="AZ546">
            <v>470</v>
          </cell>
          <cell r="BA546">
            <v>470</v>
          </cell>
          <cell r="BB546">
            <v>470</v>
          </cell>
          <cell r="BC546">
            <v>470</v>
          </cell>
          <cell r="BD546">
            <v>470</v>
          </cell>
          <cell r="BE546">
            <v>-755.7</v>
          </cell>
          <cell r="BF546">
            <v>0</v>
          </cell>
          <cell r="BG546">
            <v>583.29999999999995</v>
          </cell>
          <cell r="BH546">
            <v>2916.7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6518</v>
          </cell>
          <cell r="BO546">
            <v>463.9</v>
          </cell>
          <cell r="BP546">
            <v>463.9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83.3</v>
          </cell>
          <cell r="CQ546">
            <v>83.3</v>
          </cell>
          <cell r="CR546">
            <v>83.3</v>
          </cell>
          <cell r="CS546">
            <v>83.3</v>
          </cell>
          <cell r="CT546">
            <v>83.3</v>
          </cell>
          <cell r="CU546">
            <v>83.3</v>
          </cell>
          <cell r="CV546">
            <v>83.3</v>
          </cell>
          <cell r="CW546">
            <v>83.3</v>
          </cell>
          <cell r="CX546">
            <v>83.3</v>
          </cell>
          <cell r="CY546">
            <v>83.3</v>
          </cell>
          <cell r="CZ546">
            <v>83.3</v>
          </cell>
          <cell r="DA546">
            <v>83.3</v>
          </cell>
          <cell r="DB546">
            <v>83.3</v>
          </cell>
          <cell r="DC546">
            <v>83.3</v>
          </cell>
          <cell r="DD546">
            <v>83.3</v>
          </cell>
          <cell r="DE546">
            <v>83.3</v>
          </cell>
          <cell r="DF546">
            <v>83.3</v>
          </cell>
          <cell r="DG546">
            <v>83.3</v>
          </cell>
          <cell r="DH546">
            <v>83.3</v>
          </cell>
          <cell r="DI546">
            <v>83.3</v>
          </cell>
          <cell r="DJ546">
            <v>83.3</v>
          </cell>
          <cell r="DK546">
            <v>83.3</v>
          </cell>
          <cell r="DL546">
            <v>83.3</v>
          </cell>
          <cell r="DM546">
            <v>83.3</v>
          </cell>
          <cell r="DN546">
            <v>83.3</v>
          </cell>
          <cell r="DO546">
            <v>83.3</v>
          </cell>
          <cell r="DP546">
            <v>83.3</v>
          </cell>
          <cell r="DQ546">
            <v>83.3</v>
          </cell>
          <cell r="DR546">
            <v>83.3</v>
          </cell>
          <cell r="DS546">
            <v>83.3</v>
          </cell>
          <cell r="DT546">
            <v>83.3</v>
          </cell>
          <cell r="DU546">
            <v>83.3</v>
          </cell>
          <cell r="DV546">
            <v>83.3</v>
          </cell>
          <cell r="DW546">
            <v>83.3</v>
          </cell>
          <cell r="DX546">
            <v>83.3</v>
          </cell>
          <cell r="DY546">
            <v>83.3</v>
          </cell>
          <cell r="EM546">
            <v>639.59999999999991</v>
          </cell>
          <cell r="EN546">
            <v>16639.599999999999</v>
          </cell>
          <cell r="EO546">
            <v>4414.3</v>
          </cell>
          <cell r="EP546">
            <v>10945.8</v>
          </cell>
          <cell r="EQ546">
            <v>0</v>
          </cell>
          <cell r="ER546">
            <v>0</v>
          </cell>
          <cell r="ES546">
            <v>999.5999999999998</v>
          </cell>
        </row>
        <row r="547">
          <cell r="A547" t="str">
            <v>Depreciation and Amortization</v>
          </cell>
          <cell r="B547" t="str">
            <v>Amort. - Other</v>
          </cell>
          <cell r="C547" t="str">
            <v>Depreciation &amp; Amortization</v>
          </cell>
          <cell r="E547" t="str">
            <v>Amort. - Other</v>
          </cell>
          <cell r="F547" t="str">
            <v>6800100</v>
          </cell>
          <cell r="G547" t="str">
            <v>A_6800100</v>
          </cell>
          <cell r="H547" t="str">
            <v>Amortization - Regulatory Credit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35.1</v>
          </cell>
          <cell r="CB547">
            <v>-35.1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</row>
        <row r="548">
          <cell r="A548" t="str">
            <v>Depreciation and Amortization</v>
          </cell>
          <cell r="B548" t="str">
            <v>Amort. - Other</v>
          </cell>
          <cell r="C548" t="str">
            <v>Depreciation &amp; Amortization</v>
          </cell>
          <cell r="E548" t="str">
            <v>Amort. - Other</v>
          </cell>
          <cell r="F548" t="str">
            <v>6809000</v>
          </cell>
          <cell r="G548" t="str">
            <v>A_6809000</v>
          </cell>
          <cell r="H548" t="str">
            <v>Amortization Expense sent to Balance Sheet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-35.1</v>
          </cell>
          <cell r="CB548">
            <v>35.1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</row>
        <row r="549">
          <cell r="F549" t="str">
            <v>680</v>
          </cell>
          <cell r="G549">
            <v>680</v>
          </cell>
          <cell r="J549">
            <v>212.89999999999998</v>
          </cell>
          <cell r="K549">
            <v>215.89999999999998</v>
          </cell>
          <cell r="L549">
            <v>215.89999999999998</v>
          </cell>
          <cell r="M549">
            <v>215.89999999999998</v>
          </cell>
          <cell r="N549">
            <v>216.2</v>
          </cell>
          <cell r="O549">
            <v>216.2</v>
          </cell>
          <cell r="P549">
            <v>216.2</v>
          </cell>
          <cell r="Q549">
            <v>214</v>
          </cell>
          <cell r="R549">
            <v>220.3</v>
          </cell>
          <cell r="S549">
            <v>220.5</v>
          </cell>
          <cell r="T549">
            <v>220.5</v>
          </cell>
          <cell r="U549">
            <v>220.5</v>
          </cell>
          <cell r="V549">
            <v>220.5</v>
          </cell>
          <cell r="W549">
            <v>220.5</v>
          </cell>
          <cell r="X549">
            <v>200.7</v>
          </cell>
          <cell r="Y549">
            <v>201.39999999999998</v>
          </cell>
          <cell r="Z549">
            <v>212.7</v>
          </cell>
          <cell r="AA549">
            <v>212.7</v>
          </cell>
          <cell r="AB549">
            <v>212.8</v>
          </cell>
          <cell r="AC549">
            <v>213.89999999999998</v>
          </cell>
          <cell r="AD549">
            <v>214.39999999999998</v>
          </cell>
          <cell r="AE549">
            <v>215</v>
          </cell>
          <cell r="AF549">
            <v>214.60000000000002</v>
          </cell>
          <cell r="AG549">
            <v>214.7</v>
          </cell>
          <cell r="AH549">
            <v>214.89999999999998</v>
          </cell>
          <cell r="AI549">
            <v>214.89999999999998</v>
          </cell>
          <cell r="AJ549">
            <v>214.89999999999998</v>
          </cell>
          <cell r="AK549">
            <v>214.8</v>
          </cell>
          <cell r="AL549">
            <v>214.8</v>
          </cell>
          <cell r="AM549">
            <v>214.8</v>
          </cell>
          <cell r="AN549">
            <v>216.8</v>
          </cell>
          <cell r="AO549">
            <v>224.39999999999998</v>
          </cell>
          <cell r="AP549">
            <v>224.39999999999998</v>
          </cell>
          <cell r="AQ549">
            <v>224.5</v>
          </cell>
          <cell r="AR549">
            <v>226.10000000000002</v>
          </cell>
          <cell r="AS549">
            <v>16226.599999999999</v>
          </cell>
          <cell r="AT549">
            <v>638.4</v>
          </cell>
          <cell r="AU549">
            <v>638.4</v>
          </cell>
          <cell r="AV549">
            <v>638.4</v>
          </cell>
          <cell r="AW549">
            <v>640.79999999999995</v>
          </cell>
          <cell r="AX549">
            <v>640.20000000000005</v>
          </cell>
          <cell r="AY549">
            <v>640.20000000000005</v>
          </cell>
          <cell r="AZ549">
            <v>640.5</v>
          </cell>
          <cell r="BA549">
            <v>640.5</v>
          </cell>
          <cell r="BB549">
            <v>640.9</v>
          </cell>
          <cell r="BC549">
            <v>640.9</v>
          </cell>
          <cell r="BD549">
            <v>641</v>
          </cell>
          <cell r="BE549">
            <v>-584.70000000000005</v>
          </cell>
          <cell r="BF549">
            <v>172.6</v>
          </cell>
          <cell r="BG549">
            <v>755.9</v>
          </cell>
          <cell r="BH549">
            <v>3089.2999999999997</v>
          </cell>
          <cell r="BI549">
            <v>173.70000000000002</v>
          </cell>
          <cell r="BJ549">
            <v>174.1</v>
          </cell>
          <cell r="BK549">
            <v>174.1</v>
          </cell>
          <cell r="BL549">
            <v>174</v>
          </cell>
          <cell r="BM549">
            <v>176</v>
          </cell>
          <cell r="BN549">
            <v>6694.2</v>
          </cell>
          <cell r="BO549">
            <v>640.20000000000005</v>
          </cell>
          <cell r="BP549">
            <v>644.70000000000005</v>
          </cell>
          <cell r="BQ549">
            <v>181</v>
          </cell>
          <cell r="BR549">
            <v>188.20000000000002</v>
          </cell>
          <cell r="BS549">
            <v>188.6</v>
          </cell>
          <cell r="BT549">
            <v>188.5</v>
          </cell>
          <cell r="BU549">
            <v>188.5</v>
          </cell>
          <cell r="BV549">
            <v>188.6</v>
          </cell>
          <cell r="BW549">
            <v>185</v>
          </cell>
          <cell r="BX549">
            <v>185</v>
          </cell>
          <cell r="BY549">
            <v>184.9</v>
          </cell>
          <cell r="BZ549">
            <v>185</v>
          </cell>
          <cell r="CA549">
            <v>191.20000000000002</v>
          </cell>
          <cell r="CB549">
            <v>191.9</v>
          </cell>
          <cell r="CC549">
            <v>192.9</v>
          </cell>
          <cell r="CD549">
            <v>198.8</v>
          </cell>
          <cell r="CE549">
            <v>196.6</v>
          </cell>
          <cell r="CF549">
            <v>197.8</v>
          </cell>
          <cell r="CG549">
            <v>196.9</v>
          </cell>
          <cell r="CH549">
            <v>196.8</v>
          </cell>
          <cell r="CI549">
            <v>196.9</v>
          </cell>
          <cell r="CJ549">
            <v>197.70000000000002</v>
          </cell>
          <cell r="CK549">
            <v>197.8</v>
          </cell>
          <cell r="CL549">
            <v>196.1</v>
          </cell>
          <cell r="CM549">
            <v>189.70000000000002</v>
          </cell>
          <cell r="CN549">
            <v>280.2</v>
          </cell>
          <cell r="CO549">
            <v>280.59999999999997</v>
          </cell>
          <cell r="CP549">
            <v>359.9</v>
          </cell>
          <cell r="CQ549">
            <v>360.09999999999997</v>
          </cell>
          <cell r="CR549">
            <v>360.4</v>
          </cell>
          <cell r="CS549">
            <v>374.59999999999997</v>
          </cell>
          <cell r="CT549">
            <v>390.3</v>
          </cell>
          <cell r="CU549">
            <v>391.7</v>
          </cell>
          <cell r="CV549">
            <v>393.09999999999997</v>
          </cell>
          <cell r="CW549">
            <v>387.90000000000003</v>
          </cell>
          <cell r="CX549">
            <v>389.2</v>
          </cell>
          <cell r="CY549">
            <v>389.3</v>
          </cell>
          <cell r="CZ549">
            <v>389.5</v>
          </cell>
          <cell r="DA549">
            <v>389.7</v>
          </cell>
          <cell r="DB549">
            <v>389.8</v>
          </cell>
          <cell r="DC549">
            <v>390</v>
          </cell>
          <cell r="DD549">
            <v>422.40000000000003</v>
          </cell>
          <cell r="DE549">
            <v>423</v>
          </cell>
          <cell r="DF549">
            <v>423.2</v>
          </cell>
          <cell r="DG549">
            <v>423.5</v>
          </cell>
          <cell r="DH549">
            <v>422.7</v>
          </cell>
          <cell r="DI549">
            <v>422.8</v>
          </cell>
          <cell r="DJ549">
            <v>422.8</v>
          </cell>
          <cell r="DK549">
            <v>423</v>
          </cell>
          <cell r="DL549">
            <v>423.2</v>
          </cell>
          <cell r="DM549">
            <v>426.7</v>
          </cell>
          <cell r="DN549">
            <v>427.5</v>
          </cell>
          <cell r="DO549">
            <v>453.5</v>
          </cell>
          <cell r="DP549">
            <v>454.5</v>
          </cell>
          <cell r="DQ549">
            <v>462.6</v>
          </cell>
          <cell r="DR549">
            <v>464</v>
          </cell>
          <cell r="DS549">
            <v>656.19999999999993</v>
          </cell>
          <cell r="DT549">
            <v>672.8</v>
          </cell>
          <cell r="DU549">
            <v>683.9</v>
          </cell>
          <cell r="DV549">
            <v>684.69999999999993</v>
          </cell>
          <cell r="DW549">
            <v>685.59999999999991</v>
          </cell>
          <cell r="DX549">
            <v>686.19999999999993</v>
          </cell>
          <cell r="DY549">
            <v>690.5</v>
          </cell>
          <cell r="EM549">
            <v>2553.8999999999996</v>
          </cell>
          <cell r="EN549">
            <v>18631.899999999998</v>
          </cell>
          <cell r="EO549">
            <v>6455.4999999999991</v>
          </cell>
          <cell r="EP549">
            <v>13049.800000000003</v>
          </cell>
          <cell r="EQ549">
            <v>2258.3000000000002</v>
          </cell>
          <cell r="ER549">
            <v>2525.9</v>
          </cell>
          <cell r="ES549">
            <v>4575.7</v>
          </cell>
        </row>
        <row r="550">
          <cell r="A550" t="str">
            <v>Depreciation and Amortization</v>
          </cell>
          <cell r="B550" t="str">
            <v>Depreciation Expense</v>
          </cell>
          <cell r="C550" t="str">
            <v>Depreciation &amp; Amortization</v>
          </cell>
          <cell r="E550" t="str">
            <v>Depreciation Expense</v>
          </cell>
          <cell r="F550" t="str">
            <v>6810010</v>
          </cell>
          <cell r="G550" t="str">
            <v>A_6810010</v>
          </cell>
          <cell r="H550" t="str">
            <v>Depreciation - Utility Plant</v>
          </cell>
          <cell r="J550">
            <v>4224.8999999999996</v>
          </cell>
          <cell r="K550">
            <v>4185.8</v>
          </cell>
          <cell r="L550">
            <v>4191.2</v>
          </cell>
          <cell r="M550">
            <v>4196.3</v>
          </cell>
          <cell r="N550">
            <v>4212.1000000000004</v>
          </cell>
          <cell r="O550">
            <v>4222.7</v>
          </cell>
          <cell r="P550">
            <v>4232.1000000000004</v>
          </cell>
          <cell r="Q550">
            <v>4262.7</v>
          </cell>
          <cell r="R550">
            <v>4277.7</v>
          </cell>
          <cell r="S550">
            <v>4291.5</v>
          </cell>
          <cell r="T550">
            <v>4318.8</v>
          </cell>
          <cell r="U550">
            <v>4336.5</v>
          </cell>
          <cell r="V550">
            <v>4430.3</v>
          </cell>
          <cell r="W550">
            <v>4378.7</v>
          </cell>
          <cell r="X550">
            <v>4379.3999999999996</v>
          </cell>
          <cell r="Y550">
            <v>4391.6000000000004</v>
          </cell>
          <cell r="Z550">
            <v>4411.3</v>
          </cell>
          <cell r="AA550">
            <v>4431.2</v>
          </cell>
          <cell r="AB550">
            <v>4476.8999999999996</v>
          </cell>
          <cell r="AC550">
            <v>4488.3</v>
          </cell>
          <cell r="AD550">
            <v>4500.5</v>
          </cell>
          <cell r="AE550">
            <v>4519.3999999999996</v>
          </cell>
          <cell r="AF550">
            <v>4536.8999999999996</v>
          </cell>
          <cell r="AG550">
            <v>4562.5</v>
          </cell>
          <cell r="AH550">
            <v>4595</v>
          </cell>
          <cell r="AI550">
            <v>4630.3999999999996</v>
          </cell>
          <cell r="AJ550">
            <v>4648.2</v>
          </cell>
          <cell r="AK550">
            <v>4666.5</v>
          </cell>
          <cell r="AL550">
            <v>4685.8</v>
          </cell>
          <cell r="AM550">
            <v>4697.7</v>
          </cell>
          <cell r="AN550">
            <v>4832.8999999999996</v>
          </cell>
          <cell r="AO550">
            <v>4694.2</v>
          </cell>
          <cell r="AP550">
            <v>4792.2</v>
          </cell>
          <cell r="AQ550">
            <v>4789.8</v>
          </cell>
          <cell r="AR550">
            <v>4839.2</v>
          </cell>
          <cell r="AS550">
            <v>-11543.4</v>
          </cell>
          <cell r="AT550">
            <v>3455.1</v>
          </cell>
          <cell r="AU550">
            <v>3496.6</v>
          </cell>
          <cell r="AV550">
            <v>3501.1</v>
          </cell>
          <cell r="AW550">
            <v>3505.1</v>
          </cell>
          <cell r="AX550">
            <v>3505.1</v>
          </cell>
          <cell r="AY550">
            <v>3521.4</v>
          </cell>
          <cell r="AZ550">
            <v>3535.2</v>
          </cell>
          <cell r="BA550">
            <v>3550.5</v>
          </cell>
          <cell r="BB550">
            <v>3569.4</v>
          </cell>
          <cell r="BC550">
            <v>3605.8</v>
          </cell>
          <cell r="BD550">
            <v>3624.6</v>
          </cell>
          <cell r="BE550">
            <v>3637.4</v>
          </cell>
          <cell r="BF550">
            <v>3661.1</v>
          </cell>
          <cell r="BG550">
            <v>3690.8</v>
          </cell>
          <cell r="BH550">
            <v>3707.7</v>
          </cell>
          <cell r="BI550">
            <v>3728.1</v>
          </cell>
          <cell r="BJ550">
            <v>3742.6</v>
          </cell>
          <cell r="BK550">
            <v>3764.6</v>
          </cell>
          <cell r="BL550">
            <v>3783.2</v>
          </cell>
          <cell r="BM550">
            <v>3801.2</v>
          </cell>
          <cell r="BN550">
            <v>3841.8</v>
          </cell>
          <cell r="BO550">
            <v>3826.8</v>
          </cell>
          <cell r="BP550">
            <v>3867.4</v>
          </cell>
          <cell r="BQ550">
            <v>3904.8</v>
          </cell>
          <cell r="BR550">
            <v>2934.7</v>
          </cell>
          <cell r="BS550">
            <v>2952.6</v>
          </cell>
          <cell r="BT550">
            <v>2978.9</v>
          </cell>
          <cell r="BU550">
            <v>3002.4</v>
          </cell>
          <cell r="BV550">
            <v>3018.4</v>
          </cell>
          <cell r="BW550">
            <v>3037.9</v>
          </cell>
          <cell r="BX550">
            <v>3064.2</v>
          </cell>
          <cell r="BY550">
            <v>3079.6</v>
          </cell>
          <cell r="BZ550">
            <v>3093.6</v>
          </cell>
          <cell r="CA550">
            <v>3125.3</v>
          </cell>
          <cell r="CB550">
            <v>3135.2</v>
          </cell>
          <cell r="CC550">
            <v>3163.3</v>
          </cell>
          <cell r="CD550">
            <v>3192.2</v>
          </cell>
          <cell r="CE550">
            <v>3207.7</v>
          </cell>
          <cell r="CF550">
            <v>3241.5</v>
          </cell>
          <cell r="CG550">
            <v>3261.3</v>
          </cell>
          <cell r="CH550">
            <v>3279.8</v>
          </cell>
          <cell r="CI550">
            <v>3298.3</v>
          </cell>
          <cell r="CJ550">
            <v>3321.8</v>
          </cell>
          <cell r="CK550">
            <v>3338.5</v>
          </cell>
          <cell r="CL550">
            <v>3366.4</v>
          </cell>
          <cell r="CM550">
            <v>3390.1</v>
          </cell>
          <cell r="CN550">
            <v>3482.8</v>
          </cell>
          <cell r="CO550">
            <v>3512.9</v>
          </cell>
          <cell r="CP550">
            <v>4014.1</v>
          </cell>
          <cell r="CQ550">
            <v>4039.6</v>
          </cell>
          <cell r="CR550">
            <v>4032.9</v>
          </cell>
          <cell r="CS550">
            <v>4060.3</v>
          </cell>
          <cell r="CT550">
            <v>4193.2</v>
          </cell>
          <cell r="CU550">
            <v>4218.1000000000004</v>
          </cell>
          <cell r="CV550">
            <v>4242.3</v>
          </cell>
          <cell r="CW550">
            <v>4259.3</v>
          </cell>
          <cell r="CX550">
            <v>4279.7</v>
          </cell>
          <cell r="CY550">
            <v>4291.6000000000004</v>
          </cell>
          <cell r="CZ550">
            <v>4316.1000000000004</v>
          </cell>
          <cell r="DA550">
            <v>4445.8</v>
          </cell>
          <cell r="DB550">
            <v>4473.8</v>
          </cell>
          <cell r="DC550">
            <v>4497.6000000000004</v>
          </cell>
          <cell r="DD550">
            <v>-277.5</v>
          </cell>
          <cell r="DE550">
            <v>4546.5</v>
          </cell>
          <cell r="DF550">
            <v>4578.2</v>
          </cell>
          <cell r="DG550">
            <v>-173.1</v>
          </cell>
          <cell r="DH550">
            <v>4636.8999999999996</v>
          </cell>
          <cell r="DI550">
            <v>4662.3</v>
          </cell>
          <cell r="DJ550">
            <v>-91.9</v>
          </cell>
          <cell r="DK550">
            <v>4712.7</v>
          </cell>
          <cell r="DL550">
            <v>4814.8</v>
          </cell>
          <cell r="DM550">
            <v>4837</v>
          </cell>
          <cell r="DN550">
            <v>4863.5</v>
          </cell>
          <cell r="DO550">
            <v>5077</v>
          </cell>
          <cell r="DP550">
            <v>-8.5</v>
          </cell>
          <cell r="DQ550">
            <v>5274.8</v>
          </cell>
          <cell r="DR550">
            <v>5308.3</v>
          </cell>
          <cell r="DS550">
            <v>1336.1</v>
          </cell>
          <cell r="DT550">
            <v>5366.7</v>
          </cell>
          <cell r="DU550">
            <v>5390</v>
          </cell>
          <cell r="DV550">
            <v>3024.8</v>
          </cell>
          <cell r="DW550">
            <v>5443.7</v>
          </cell>
          <cell r="DX550">
            <v>5468</v>
          </cell>
          <cell r="DY550">
            <v>-2402.9</v>
          </cell>
          <cell r="EM550">
            <v>53507.000000000007</v>
          </cell>
          <cell r="EN550">
            <v>40328.499999999993</v>
          </cell>
          <cell r="EO550">
            <v>42507.3</v>
          </cell>
          <cell r="EP550">
            <v>45320.100000000006</v>
          </cell>
          <cell r="EQ550">
            <v>36586.1</v>
          </cell>
          <cell r="ER550">
            <v>39893.300000000003</v>
          </cell>
          <cell r="ES550">
            <v>50393</v>
          </cell>
        </row>
        <row r="551">
          <cell r="A551" t="str">
            <v>ROI - CIBSR SUB</v>
          </cell>
          <cell r="B551" t="str">
            <v>Depreciation Expense</v>
          </cell>
          <cell r="C551" t="str">
            <v>Depreciation &amp; Amortization</v>
          </cell>
          <cell r="E551" t="str">
            <v>Depreciation Expense</v>
          </cell>
          <cell r="F551" t="str">
            <v>6810071</v>
          </cell>
          <cell r="G551" t="str">
            <v>A_6810071</v>
          </cell>
          <cell r="H551" t="str">
            <v>Depreciation - CI/BSR Rider</v>
          </cell>
          <cell r="J551">
            <v>20.3</v>
          </cell>
          <cell r="K551">
            <v>21.3</v>
          </cell>
          <cell r="L551">
            <v>23</v>
          </cell>
          <cell r="M551">
            <v>26.2</v>
          </cell>
          <cell r="N551">
            <v>29</v>
          </cell>
          <cell r="O551">
            <v>28.9</v>
          </cell>
          <cell r="P551">
            <v>29.9</v>
          </cell>
          <cell r="Q551">
            <v>35.5</v>
          </cell>
          <cell r="R551">
            <v>38.700000000000003</v>
          </cell>
          <cell r="S551">
            <v>42.9</v>
          </cell>
          <cell r="T551">
            <v>46.3</v>
          </cell>
          <cell r="U551">
            <v>47.9</v>
          </cell>
          <cell r="V551">
            <v>-23.2</v>
          </cell>
          <cell r="W551">
            <v>46.8</v>
          </cell>
          <cell r="X551">
            <v>51.8</v>
          </cell>
          <cell r="Y551">
            <v>54.6</v>
          </cell>
          <cell r="Z551">
            <v>56.2</v>
          </cell>
          <cell r="AA551">
            <v>57.5</v>
          </cell>
          <cell r="AB551">
            <v>61.1</v>
          </cell>
          <cell r="AC551">
            <v>62.2</v>
          </cell>
          <cell r="AD551">
            <v>62.3</v>
          </cell>
          <cell r="AE551">
            <v>65.3</v>
          </cell>
          <cell r="AF551">
            <v>67.099999999999994</v>
          </cell>
          <cell r="AG551">
            <v>69.400000000000006</v>
          </cell>
          <cell r="AH551">
            <v>72.099999999999994</v>
          </cell>
          <cell r="AI551">
            <v>74.5</v>
          </cell>
          <cell r="AJ551">
            <v>75.099999999999994</v>
          </cell>
          <cell r="AK551">
            <v>77</v>
          </cell>
          <cell r="AL551">
            <v>78</v>
          </cell>
          <cell r="AM551">
            <v>79.7</v>
          </cell>
          <cell r="AN551">
            <v>83.4</v>
          </cell>
          <cell r="AO551">
            <v>86</v>
          </cell>
          <cell r="AP551">
            <v>89.5</v>
          </cell>
          <cell r="AQ551">
            <v>101.3</v>
          </cell>
          <cell r="AR551">
            <v>104.8</v>
          </cell>
          <cell r="AS551">
            <v>-113</v>
          </cell>
          <cell r="AT551">
            <v>96.5</v>
          </cell>
          <cell r="AU551">
            <v>75.599999999999994</v>
          </cell>
          <cell r="AV551">
            <v>88.1</v>
          </cell>
          <cell r="AW551">
            <v>93</v>
          </cell>
          <cell r="AX551">
            <v>97.4</v>
          </cell>
          <cell r="AY551">
            <v>99.1</v>
          </cell>
          <cell r="AZ551">
            <v>101.8</v>
          </cell>
          <cell r="BA551">
            <v>105</v>
          </cell>
          <cell r="BB551">
            <v>107.4</v>
          </cell>
          <cell r="BC551">
            <v>109.2</v>
          </cell>
          <cell r="BD551">
            <v>116</v>
          </cell>
          <cell r="BE551">
            <v>120.9</v>
          </cell>
          <cell r="BF551">
            <v>123.7</v>
          </cell>
          <cell r="BG551">
            <v>124</v>
          </cell>
          <cell r="BH551">
            <v>125.4</v>
          </cell>
          <cell r="BI551">
            <v>127.5</v>
          </cell>
          <cell r="BJ551">
            <v>129.9</v>
          </cell>
          <cell r="BK551">
            <v>147.69999999999999</v>
          </cell>
          <cell r="BL551">
            <v>149.5</v>
          </cell>
          <cell r="BM551">
            <v>150.9</v>
          </cell>
          <cell r="BN551">
            <v>153.19999999999999</v>
          </cell>
          <cell r="BO551">
            <v>154.4</v>
          </cell>
          <cell r="BP551">
            <v>155.19999999999999</v>
          </cell>
          <cell r="BQ551">
            <v>179.7</v>
          </cell>
          <cell r="BR551">
            <v>123.1</v>
          </cell>
          <cell r="BS551">
            <v>125</v>
          </cell>
          <cell r="BT551">
            <v>135.30000000000001</v>
          </cell>
          <cell r="BU551">
            <v>140.4</v>
          </cell>
          <cell r="BV551">
            <v>142.6</v>
          </cell>
          <cell r="BW551">
            <v>148</v>
          </cell>
          <cell r="BX551">
            <v>150.5</v>
          </cell>
          <cell r="BY551">
            <v>157</v>
          </cell>
          <cell r="BZ551">
            <v>158.6</v>
          </cell>
          <cell r="CA551">
            <v>163.5</v>
          </cell>
          <cell r="CB551">
            <v>165</v>
          </cell>
          <cell r="CC551">
            <v>177.5</v>
          </cell>
          <cell r="CD551">
            <v>181.6</v>
          </cell>
          <cell r="CE551">
            <v>182.4</v>
          </cell>
          <cell r="CF551">
            <v>186.2</v>
          </cell>
          <cell r="CG551">
            <v>197.6</v>
          </cell>
          <cell r="CH551">
            <v>200.1</v>
          </cell>
          <cell r="CI551">
            <v>202.6</v>
          </cell>
          <cell r="CJ551">
            <v>203.5</v>
          </cell>
          <cell r="CK551">
            <v>205.2</v>
          </cell>
          <cell r="CL551">
            <v>211.2</v>
          </cell>
          <cell r="CM551">
            <v>212.2</v>
          </cell>
          <cell r="CN551">
            <v>215.4</v>
          </cell>
          <cell r="CO551">
            <v>221.5</v>
          </cell>
          <cell r="CP551">
            <v>-10</v>
          </cell>
          <cell r="CQ551">
            <v>-1.9</v>
          </cell>
          <cell r="CR551">
            <v>0.4</v>
          </cell>
          <cell r="CS551">
            <v>4</v>
          </cell>
          <cell r="CT551">
            <v>5.7</v>
          </cell>
          <cell r="CU551">
            <v>6.5</v>
          </cell>
          <cell r="CV551">
            <v>7.8</v>
          </cell>
          <cell r="CW551">
            <v>9.3000000000000007</v>
          </cell>
          <cell r="CX551">
            <v>10.199999999999999</v>
          </cell>
          <cell r="CY551">
            <v>12</v>
          </cell>
          <cell r="CZ551">
            <v>12.7</v>
          </cell>
          <cell r="DA551">
            <v>14.4</v>
          </cell>
          <cell r="DB551">
            <v>27.7</v>
          </cell>
          <cell r="DC551">
            <v>28.4</v>
          </cell>
          <cell r="DD551">
            <v>30.3</v>
          </cell>
          <cell r="DE551">
            <v>31.4</v>
          </cell>
          <cell r="DF551">
            <v>31.7</v>
          </cell>
          <cell r="DG551">
            <v>33.6</v>
          </cell>
          <cell r="DH551">
            <v>37.4</v>
          </cell>
          <cell r="DI551">
            <v>37.700000000000003</v>
          </cell>
          <cell r="DJ551">
            <v>38.9</v>
          </cell>
          <cell r="DK551">
            <v>39</v>
          </cell>
          <cell r="DL551">
            <v>39.4</v>
          </cell>
          <cell r="DM551">
            <v>39.9</v>
          </cell>
          <cell r="DN551">
            <v>36.1</v>
          </cell>
          <cell r="DO551">
            <v>48.8</v>
          </cell>
          <cell r="DP551">
            <v>59.6</v>
          </cell>
          <cell r="DQ551">
            <v>68.5</v>
          </cell>
          <cell r="DR551">
            <v>75.7</v>
          </cell>
          <cell r="DS551">
            <v>81.5</v>
          </cell>
          <cell r="DT551">
            <v>86.5</v>
          </cell>
          <cell r="DU551">
            <v>90.8</v>
          </cell>
          <cell r="DV551">
            <v>94.3</v>
          </cell>
          <cell r="DW551">
            <v>97.1</v>
          </cell>
          <cell r="DX551">
            <v>99.7</v>
          </cell>
          <cell r="DY551">
            <v>101.9</v>
          </cell>
          <cell r="EM551">
            <v>631.1</v>
          </cell>
          <cell r="EN551">
            <v>808.39999999999986</v>
          </cell>
          <cell r="EO551">
            <v>1210</v>
          </cell>
          <cell r="EP551">
            <v>1721.1000000000004</v>
          </cell>
          <cell r="EQ551">
            <v>1786.5</v>
          </cell>
          <cell r="ER551">
            <v>2419.5</v>
          </cell>
          <cell r="ES551">
            <v>71.100000000000009</v>
          </cell>
        </row>
        <row r="552">
          <cell r="A552" t="str">
            <v>Depreciation and Amortization</v>
          </cell>
          <cell r="B552" t="str">
            <v>Depreciation Expense</v>
          </cell>
          <cell r="C552" t="str">
            <v>Depreciation &amp; Amortization</v>
          </cell>
          <cell r="E552" t="str">
            <v>Depreciation Expense</v>
          </cell>
          <cell r="F552" t="str">
            <v>6810800</v>
          </cell>
          <cell r="G552" t="str">
            <v>A_6810800</v>
          </cell>
          <cell r="H552" t="str">
            <v>Depreciation - Other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</row>
        <row r="553">
          <cell r="A553" t="str">
            <v>Depreciation and Amortization SUB</v>
          </cell>
          <cell r="B553" t="str">
            <v>Depreciation Expense</v>
          </cell>
          <cell r="C553" t="str">
            <v>Depreciation &amp; Amortization</v>
          </cell>
          <cell r="E553" t="str">
            <v>Depreciation Expense SUB</v>
          </cell>
          <cell r="F553" t="str">
            <v>6810801</v>
          </cell>
          <cell r="G553" t="str">
            <v>A_6810801</v>
          </cell>
          <cell r="H553" t="str">
            <v>Depreciation - Other - GAAP adjustment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-98.2</v>
          </cell>
          <cell r="AN553">
            <v>-32.700000000000003</v>
          </cell>
          <cell r="AO553">
            <v>-32.700000000000003</v>
          </cell>
          <cell r="AP553">
            <v>-32.700000000000003</v>
          </cell>
          <cell r="AQ553">
            <v>-32.700000000000003</v>
          </cell>
          <cell r="AR553">
            <v>-55.6</v>
          </cell>
          <cell r="AS553">
            <v>-44.2</v>
          </cell>
          <cell r="AT553">
            <v>-44.2</v>
          </cell>
          <cell r="AU553">
            <v>-44.2</v>
          </cell>
          <cell r="AV553">
            <v>-44.2</v>
          </cell>
          <cell r="AW553">
            <v>-44.2</v>
          </cell>
          <cell r="AX553">
            <v>-44.2</v>
          </cell>
          <cell r="AY553">
            <v>-44.2</v>
          </cell>
          <cell r="AZ553">
            <v>-44.2</v>
          </cell>
          <cell r="BA553">
            <v>-44.2</v>
          </cell>
          <cell r="BB553">
            <v>-44.2</v>
          </cell>
          <cell r="BC553">
            <v>-44.2</v>
          </cell>
          <cell r="BD553">
            <v>-44.2</v>
          </cell>
          <cell r="BE553">
            <v>-44.2</v>
          </cell>
          <cell r="BF553">
            <v>-44.2</v>
          </cell>
          <cell r="BG553">
            <v>-44.2</v>
          </cell>
          <cell r="BH553">
            <v>-44.2</v>
          </cell>
          <cell r="BI553">
            <v>-44.2</v>
          </cell>
          <cell r="BJ553">
            <v>-44.2</v>
          </cell>
          <cell r="BK553">
            <v>-44.2</v>
          </cell>
          <cell r="BL553">
            <v>-44.2</v>
          </cell>
          <cell r="BM553">
            <v>-44.2</v>
          </cell>
          <cell r="BN553">
            <v>-44.2</v>
          </cell>
          <cell r="BO553">
            <v>-44.2</v>
          </cell>
          <cell r="BP553">
            <v>-44.2</v>
          </cell>
          <cell r="BQ553">
            <v>-44.2</v>
          </cell>
          <cell r="BR553">
            <v>-44.2</v>
          </cell>
          <cell r="BS553">
            <v>-44.2</v>
          </cell>
          <cell r="BT553">
            <v>-44.2</v>
          </cell>
          <cell r="BU553">
            <v>-44.2</v>
          </cell>
          <cell r="BV553">
            <v>-44.2</v>
          </cell>
          <cell r="BW553">
            <v>-44.2</v>
          </cell>
          <cell r="BX553">
            <v>-44.2</v>
          </cell>
          <cell r="BY553">
            <v>-44.2</v>
          </cell>
          <cell r="BZ553">
            <v>-44.2</v>
          </cell>
          <cell r="CA553">
            <v>-44.2</v>
          </cell>
          <cell r="CB553">
            <v>-44.2</v>
          </cell>
          <cell r="CC553">
            <v>-44.2</v>
          </cell>
          <cell r="CD553">
            <v>-44.2</v>
          </cell>
          <cell r="CE553">
            <v>-44.2</v>
          </cell>
          <cell r="CF553">
            <v>-44.2</v>
          </cell>
          <cell r="CG553">
            <v>-44.2</v>
          </cell>
          <cell r="CH553">
            <v>-44.2</v>
          </cell>
          <cell r="CI553">
            <v>-44.2</v>
          </cell>
          <cell r="CJ553">
            <v>-44.2</v>
          </cell>
          <cell r="CK553">
            <v>-44.2</v>
          </cell>
          <cell r="CL553">
            <v>-44.2</v>
          </cell>
          <cell r="CM553">
            <v>-44.2</v>
          </cell>
          <cell r="CN553">
            <v>-44.2</v>
          </cell>
          <cell r="CO553">
            <v>-44.2</v>
          </cell>
          <cell r="CP553">
            <v>-44.2</v>
          </cell>
          <cell r="CQ553">
            <v>-44.2</v>
          </cell>
          <cell r="CR553">
            <v>-44.2</v>
          </cell>
          <cell r="CS553">
            <v>-44.2</v>
          </cell>
          <cell r="CT553">
            <v>-44.2</v>
          </cell>
          <cell r="CU553">
            <v>-44.2</v>
          </cell>
          <cell r="CV553">
            <v>-44.2</v>
          </cell>
          <cell r="CW553">
            <v>-44.2</v>
          </cell>
          <cell r="CX553">
            <v>-44.2</v>
          </cell>
          <cell r="CY553">
            <v>-44.2</v>
          </cell>
          <cell r="CZ553">
            <v>-44.2</v>
          </cell>
          <cell r="DA553">
            <v>-44.2</v>
          </cell>
          <cell r="DB553">
            <v>-44.2</v>
          </cell>
          <cell r="DC553">
            <v>-44.2</v>
          </cell>
          <cell r="DD553">
            <v>-44.2</v>
          </cell>
          <cell r="DE553">
            <v>-32.700000000000003</v>
          </cell>
          <cell r="DF553">
            <v>-32.700000000000003</v>
          </cell>
          <cell r="DG553">
            <v>-32.700000000000003</v>
          </cell>
          <cell r="DH553">
            <v>-32.700000000000003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-104.1</v>
          </cell>
          <cell r="DQ553">
            <v>-104.1</v>
          </cell>
          <cell r="DR553">
            <v>-104.1</v>
          </cell>
          <cell r="DS553">
            <v>-104.1</v>
          </cell>
          <cell r="DT553">
            <v>-104.1</v>
          </cell>
          <cell r="DU553">
            <v>-104.1</v>
          </cell>
          <cell r="DV553">
            <v>-104.1</v>
          </cell>
          <cell r="DW553">
            <v>-104.1</v>
          </cell>
          <cell r="DX553">
            <v>-104.1</v>
          </cell>
          <cell r="DY553">
            <v>-104.1</v>
          </cell>
          <cell r="EM553">
            <v>0</v>
          </cell>
          <cell r="EN553">
            <v>-328.8</v>
          </cell>
          <cell r="EO553">
            <v>-530.4</v>
          </cell>
          <cell r="EP553">
            <v>-530.4</v>
          </cell>
          <cell r="EQ553">
            <v>-530.4</v>
          </cell>
          <cell r="ER553">
            <v>-530.4</v>
          </cell>
          <cell r="ES553">
            <v>-530.4</v>
          </cell>
        </row>
        <row r="554">
          <cell r="A554" t="str">
            <v>Depreciation and Amortization</v>
          </cell>
          <cell r="B554" t="str">
            <v>Depreciation Expense</v>
          </cell>
          <cell r="C554" t="str">
            <v>Depreciation &amp; Amortization</v>
          </cell>
          <cell r="E554" t="str">
            <v>Depreciation Expense</v>
          </cell>
          <cell r="F554" t="str">
            <v>6810802</v>
          </cell>
          <cell r="G554" t="str">
            <v>A_6810802</v>
          </cell>
          <cell r="H554" t="str">
            <v>Depreciation - Other - Leased Assets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43.2</v>
          </cell>
          <cell r="AO554">
            <v>57.2</v>
          </cell>
          <cell r="AP554">
            <v>57.2</v>
          </cell>
          <cell r="AQ554">
            <v>58.3</v>
          </cell>
          <cell r="AR554">
            <v>58.3</v>
          </cell>
          <cell r="AS554">
            <v>-22.3</v>
          </cell>
          <cell r="AT554">
            <v>44.2</v>
          </cell>
          <cell r="AU554">
            <v>44.2</v>
          </cell>
          <cell r="AV554">
            <v>44.2</v>
          </cell>
          <cell r="AW554">
            <v>44.2</v>
          </cell>
          <cell r="AX554">
            <v>44.2</v>
          </cell>
          <cell r="AY554">
            <v>44.2</v>
          </cell>
          <cell r="AZ554">
            <v>44.2</v>
          </cell>
          <cell r="BA554">
            <v>44.2</v>
          </cell>
          <cell r="BB554">
            <v>44.2</v>
          </cell>
          <cell r="BC554">
            <v>44.2</v>
          </cell>
          <cell r="BD554">
            <v>44.2</v>
          </cell>
          <cell r="BE554">
            <v>44.2</v>
          </cell>
          <cell r="BF554">
            <v>44.2</v>
          </cell>
          <cell r="BG554">
            <v>44.2</v>
          </cell>
          <cell r="BH554">
            <v>44.2</v>
          </cell>
          <cell r="BI554">
            <v>50.1</v>
          </cell>
          <cell r="BJ554">
            <v>50.1</v>
          </cell>
          <cell r="BK554">
            <v>50.1</v>
          </cell>
          <cell r="BL554">
            <v>50.1</v>
          </cell>
          <cell r="BM554">
            <v>50.1</v>
          </cell>
          <cell r="BN554">
            <v>50.1</v>
          </cell>
          <cell r="BO554">
            <v>50.1</v>
          </cell>
          <cell r="BP554">
            <v>50.1</v>
          </cell>
          <cell r="BQ554">
            <v>50.1</v>
          </cell>
          <cell r="BR554">
            <v>50.1</v>
          </cell>
          <cell r="BS554">
            <v>50.1</v>
          </cell>
          <cell r="BT554">
            <v>50.2</v>
          </cell>
          <cell r="BU554">
            <v>50.2</v>
          </cell>
          <cell r="BV554">
            <v>54.7</v>
          </cell>
          <cell r="BW554">
            <v>54.7</v>
          </cell>
          <cell r="BX554">
            <v>54.7</v>
          </cell>
          <cell r="BY554">
            <v>54.7</v>
          </cell>
          <cell r="BZ554">
            <v>54.7</v>
          </cell>
          <cell r="CA554">
            <v>54.7</v>
          </cell>
          <cell r="CB554">
            <v>54.7</v>
          </cell>
          <cell r="CC554">
            <v>54.7</v>
          </cell>
          <cell r="CD554">
            <v>54.7</v>
          </cell>
          <cell r="CE554">
            <v>54.7</v>
          </cell>
          <cell r="CF554">
            <v>54.7</v>
          </cell>
          <cell r="CG554">
            <v>54.7</v>
          </cell>
          <cell r="CH554">
            <v>54.7</v>
          </cell>
          <cell r="CI554">
            <v>54.7</v>
          </cell>
          <cell r="CJ554">
            <v>54.7</v>
          </cell>
          <cell r="CK554">
            <v>54.7</v>
          </cell>
          <cell r="CL554">
            <v>54.7</v>
          </cell>
          <cell r="CM554">
            <v>54.7</v>
          </cell>
          <cell r="CN554">
            <v>54.7</v>
          </cell>
          <cell r="CO554">
            <v>54.7</v>
          </cell>
          <cell r="CP554">
            <v>54.7</v>
          </cell>
          <cell r="CQ554">
            <v>54.7</v>
          </cell>
          <cell r="CR554">
            <v>54.7</v>
          </cell>
          <cell r="CS554">
            <v>54.7</v>
          </cell>
          <cell r="CT554">
            <v>54.7</v>
          </cell>
          <cell r="CU554">
            <v>54.7</v>
          </cell>
          <cell r="CV554">
            <v>54.7</v>
          </cell>
          <cell r="CW554">
            <v>54.7</v>
          </cell>
          <cell r="CX554">
            <v>54.7</v>
          </cell>
          <cell r="CY554">
            <v>54.7</v>
          </cell>
          <cell r="CZ554">
            <v>54.7</v>
          </cell>
          <cell r="DA554">
            <v>54.7</v>
          </cell>
          <cell r="DB554">
            <v>54.7</v>
          </cell>
          <cell r="DC554">
            <v>54.7</v>
          </cell>
          <cell r="DD554">
            <v>54.7</v>
          </cell>
          <cell r="DE554">
            <v>43.3</v>
          </cell>
          <cell r="DF554">
            <v>43.3</v>
          </cell>
          <cell r="DG554">
            <v>43.3</v>
          </cell>
          <cell r="DH554">
            <v>43.3</v>
          </cell>
          <cell r="DI554">
            <v>10.5</v>
          </cell>
          <cell r="DJ554">
            <v>10.5</v>
          </cell>
          <cell r="DK554">
            <v>10.5</v>
          </cell>
          <cell r="DL554">
            <v>10.5</v>
          </cell>
          <cell r="DM554">
            <v>10.5</v>
          </cell>
          <cell r="DN554">
            <v>10.5</v>
          </cell>
          <cell r="DO554">
            <v>10.5</v>
          </cell>
          <cell r="DP554">
            <v>114.6</v>
          </cell>
          <cell r="DQ554">
            <v>114.6</v>
          </cell>
          <cell r="DR554">
            <v>114.6</v>
          </cell>
          <cell r="DS554">
            <v>114.6</v>
          </cell>
          <cell r="DT554">
            <v>114.6</v>
          </cell>
          <cell r="DU554">
            <v>114.6</v>
          </cell>
          <cell r="DV554">
            <v>114.6</v>
          </cell>
          <cell r="DW554">
            <v>114.6</v>
          </cell>
          <cell r="DX554">
            <v>114.6</v>
          </cell>
          <cell r="DY554">
            <v>114.6</v>
          </cell>
          <cell r="EM554">
            <v>0</v>
          </cell>
          <cell r="EN554">
            <v>251.90000000000003</v>
          </cell>
          <cell r="EO554">
            <v>530.4</v>
          </cell>
          <cell r="EP554">
            <v>583.50000000000011</v>
          </cell>
          <cell r="EQ554">
            <v>638.20000000000005</v>
          </cell>
          <cell r="ER554">
            <v>656.40000000000009</v>
          </cell>
          <cell r="ES554">
            <v>656.40000000000009</v>
          </cell>
        </row>
        <row r="555">
          <cell r="F555" t="str">
            <v>681</v>
          </cell>
          <cell r="G555">
            <v>681</v>
          </cell>
          <cell r="J555">
            <v>4245.2</v>
          </cell>
          <cell r="K555">
            <v>4207.1000000000004</v>
          </cell>
          <cell r="L555">
            <v>4214.2</v>
          </cell>
          <cell r="M555">
            <v>4222.5</v>
          </cell>
          <cell r="N555">
            <v>4241.1000000000004</v>
          </cell>
          <cell r="O555">
            <v>4251.5999999999995</v>
          </cell>
          <cell r="P555">
            <v>4262</v>
          </cell>
          <cell r="Q555">
            <v>4298.2</v>
          </cell>
          <cell r="R555">
            <v>4316.3999999999996</v>
          </cell>
          <cell r="S555">
            <v>4334.3999999999996</v>
          </cell>
          <cell r="T555">
            <v>4365.1000000000004</v>
          </cell>
          <cell r="U555">
            <v>4384.3999999999996</v>
          </cell>
          <cell r="V555">
            <v>4407.1000000000004</v>
          </cell>
          <cell r="W555">
            <v>4425.5</v>
          </cell>
          <cell r="X555">
            <v>4431.2</v>
          </cell>
          <cell r="Y555">
            <v>4446.2000000000007</v>
          </cell>
          <cell r="Z555">
            <v>4467.5</v>
          </cell>
          <cell r="AA555">
            <v>4488.7</v>
          </cell>
          <cell r="AB555">
            <v>4538</v>
          </cell>
          <cell r="AC555">
            <v>4550.5</v>
          </cell>
          <cell r="AD555">
            <v>4562.8</v>
          </cell>
          <cell r="AE555">
            <v>4584.7</v>
          </cell>
          <cell r="AF555">
            <v>4604</v>
          </cell>
          <cell r="AG555">
            <v>4631.8999999999996</v>
          </cell>
          <cell r="AH555">
            <v>4667.1000000000004</v>
          </cell>
          <cell r="AI555">
            <v>4704.8999999999996</v>
          </cell>
          <cell r="AJ555">
            <v>4723.3</v>
          </cell>
          <cell r="AK555">
            <v>4743.5</v>
          </cell>
          <cell r="AL555">
            <v>4763.8</v>
          </cell>
          <cell r="AM555">
            <v>4679.2</v>
          </cell>
          <cell r="AN555">
            <v>4926.7999999999993</v>
          </cell>
          <cell r="AO555">
            <v>4804.7</v>
          </cell>
          <cell r="AP555">
            <v>4906.2</v>
          </cell>
          <cell r="AQ555">
            <v>4916.7000000000007</v>
          </cell>
          <cell r="AR555">
            <v>4946.7</v>
          </cell>
          <cell r="AS555">
            <v>-11722.9</v>
          </cell>
          <cell r="AT555">
            <v>3551.6</v>
          </cell>
          <cell r="AU555">
            <v>3572.2</v>
          </cell>
          <cell r="AV555">
            <v>3589.2</v>
          </cell>
          <cell r="AW555">
            <v>3598.1</v>
          </cell>
          <cell r="AX555">
            <v>3602.5</v>
          </cell>
          <cell r="AY555">
            <v>3620.5</v>
          </cell>
          <cell r="AZ555">
            <v>3637</v>
          </cell>
          <cell r="BA555">
            <v>3655.5</v>
          </cell>
          <cell r="BB555">
            <v>3676.8</v>
          </cell>
          <cell r="BC555">
            <v>3715</v>
          </cell>
          <cell r="BD555">
            <v>3740.6</v>
          </cell>
          <cell r="BE555">
            <v>3758.3</v>
          </cell>
          <cell r="BF555">
            <v>3784.7999999999997</v>
          </cell>
          <cell r="BG555">
            <v>3814.8</v>
          </cell>
          <cell r="BH555">
            <v>3833.1</v>
          </cell>
          <cell r="BI555">
            <v>3861.5</v>
          </cell>
          <cell r="BJ555">
            <v>3878.4</v>
          </cell>
          <cell r="BK555">
            <v>3918.2</v>
          </cell>
          <cell r="BL555">
            <v>3938.6</v>
          </cell>
          <cell r="BM555">
            <v>3958</v>
          </cell>
          <cell r="BN555">
            <v>4000.9</v>
          </cell>
          <cell r="BO555">
            <v>3987.1000000000004</v>
          </cell>
          <cell r="BP555">
            <v>4028.5</v>
          </cell>
          <cell r="BQ555">
            <v>4090.4</v>
          </cell>
          <cell r="BR555">
            <v>3063.7</v>
          </cell>
          <cell r="BS555">
            <v>3083.5</v>
          </cell>
          <cell r="BT555">
            <v>3120.2000000000003</v>
          </cell>
          <cell r="BU555">
            <v>3148.8</v>
          </cell>
          <cell r="BV555">
            <v>3171.5</v>
          </cell>
          <cell r="BW555">
            <v>3196.4</v>
          </cell>
          <cell r="BX555">
            <v>3225.2</v>
          </cell>
          <cell r="BY555">
            <v>3247.1</v>
          </cell>
          <cell r="BZ555">
            <v>3262.7</v>
          </cell>
          <cell r="CA555">
            <v>3299.3</v>
          </cell>
          <cell r="CB555">
            <v>3310.7</v>
          </cell>
          <cell r="CC555">
            <v>3351.3</v>
          </cell>
          <cell r="CD555">
            <v>3384.2999999999997</v>
          </cell>
          <cell r="CE555">
            <v>3400.6</v>
          </cell>
          <cell r="CF555">
            <v>3438.2</v>
          </cell>
          <cell r="CG555">
            <v>3469.4</v>
          </cell>
          <cell r="CH555">
            <v>3490.4</v>
          </cell>
          <cell r="CI555">
            <v>3511.4</v>
          </cell>
          <cell r="CJ555">
            <v>3535.8</v>
          </cell>
          <cell r="CK555">
            <v>3554.2</v>
          </cell>
          <cell r="CL555">
            <v>3588.1</v>
          </cell>
          <cell r="CM555">
            <v>3612.7999999999997</v>
          </cell>
          <cell r="CN555">
            <v>3708.7000000000003</v>
          </cell>
          <cell r="CO555">
            <v>3744.9</v>
          </cell>
          <cell r="CP555">
            <v>4014.6</v>
          </cell>
          <cell r="CQ555">
            <v>4048.2</v>
          </cell>
          <cell r="CR555">
            <v>4043.8</v>
          </cell>
          <cell r="CS555">
            <v>4074.8</v>
          </cell>
          <cell r="CT555">
            <v>4209.3999999999996</v>
          </cell>
          <cell r="CU555">
            <v>4235.1000000000004</v>
          </cell>
          <cell r="CV555">
            <v>4260.6000000000004</v>
          </cell>
          <cell r="CW555">
            <v>4279.1000000000004</v>
          </cell>
          <cell r="CX555">
            <v>4300.3999999999996</v>
          </cell>
          <cell r="CY555">
            <v>4314.1000000000004</v>
          </cell>
          <cell r="CZ555">
            <v>4339.3</v>
          </cell>
          <cell r="DA555">
            <v>4470.7</v>
          </cell>
          <cell r="DB555">
            <v>4512</v>
          </cell>
          <cell r="DC555">
            <v>4536.5</v>
          </cell>
          <cell r="DD555">
            <v>-236.7</v>
          </cell>
          <cell r="DE555">
            <v>4588.5</v>
          </cell>
          <cell r="DF555">
            <v>4620.5</v>
          </cell>
          <cell r="DG555">
            <v>-128.89999999999998</v>
          </cell>
          <cell r="DH555">
            <v>4684.8999999999996</v>
          </cell>
          <cell r="DI555">
            <v>4710.5</v>
          </cell>
          <cell r="DJ555">
            <v>-42.500000000000007</v>
          </cell>
          <cell r="DK555">
            <v>4762.2</v>
          </cell>
          <cell r="DL555">
            <v>4864.7</v>
          </cell>
          <cell r="DM555">
            <v>4887.3999999999996</v>
          </cell>
          <cell r="DN555">
            <v>4910.1000000000004</v>
          </cell>
          <cell r="DO555">
            <v>5136.3</v>
          </cell>
          <cell r="DP555">
            <v>61.6</v>
          </cell>
          <cell r="DQ555">
            <v>5353.8</v>
          </cell>
          <cell r="DR555">
            <v>5394.5</v>
          </cell>
          <cell r="DS555">
            <v>1428.1</v>
          </cell>
          <cell r="DT555">
            <v>5463.7</v>
          </cell>
          <cell r="DU555">
            <v>5491.3</v>
          </cell>
          <cell r="DV555">
            <v>3129.6000000000004</v>
          </cell>
          <cell r="DW555">
            <v>5551.3</v>
          </cell>
          <cell r="DX555">
            <v>5578.2</v>
          </cell>
          <cell r="DY555">
            <v>-2290.5</v>
          </cell>
          <cell r="EM555">
            <v>54138.1</v>
          </cell>
          <cell r="EN555">
            <v>41059.999999999993</v>
          </cell>
          <cell r="EO555">
            <v>43717.299999999996</v>
          </cell>
          <cell r="EP555">
            <v>47094.3</v>
          </cell>
          <cell r="EQ555">
            <v>38480.400000000001</v>
          </cell>
          <cell r="ER555">
            <v>42438.799999999996</v>
          </cell>
          <cell r="ES555">
            <v>50590.099999999991</v>
          </cell>
        </row>
        <row r="556">
          <cell r="B556" t="str">
            <v>Taxes Other than Income</v>
          </cell>
          <cell r="E556" t="str">
            <v>Taxes Other than Income</v>
          </cell>
          <cell r="F556" t="str">
            <v>6900010</v>
          </cell>
          <cell r="G556" t="str">
            <v>A_6900010</v>
          </cell>
          <cell r="H556" t="str">
            <v>TOTI - Franchise Fees</v>
          </cell>
          <cell r="J556">
            <v>962.5</v>
          </cell>
          <cell r="K556">
            <v>970.8</v>
          </cell>
          <cell r="L556">
            <v>818.1</v>
          </cell>
          <cell r="M556">
            <v>765.8</v>
          </cell>
          <cell r="N556">
            <v>634.70000000000005</v>
          </cell>
          <cell r="O556">
            <v>659.7</v>
          </cell>
          <cell r="P556">
            <v>611.4</v>
          </cell>
          <cell r="Q556">
            <v>579.4</v>
          </cell>
          <cell r="R556">
            <v>612.4</v>
          </cell>
          <cell r="S556">
            <v>613.6</v>
          </cell>
          <cell r="T556">
            <v>654.5</v>
          </cell>
          <cell r="U556">
            <v>821.4</v>
          </cell>
          <cell r="V556">
            <v>921.6</v>
          </cell>
          <cell r="W556">
            <v>930.7</v>
          </cell>
          <cell r="X556">
            <v>876.7</v>
          </cell>
          <cell r="Y556">
            <v>716.7</v>
          </cell>
          <cell r="Z556">
            <v>628.79999999999995</v>
          </cell>
          <cell r="AA556">
            <v>659.7</v>
          </cell>
          <cell r="AB556">
            <v>731.9</v>
          </cell>
          <cell r="AC556">
            <v>555.6</v>
          </cell>
          <cell r="AD556">
            <v>659.4</v>
          </cell>
          <cell r="AE556">
            <v>663.2</v>
          </cell>
          <cell r="AF556">
            <v>711.1</v>
          </cell>
          <cell r="AG556">
            <v>786.4</v>
          </cell>
          <cell r="AH556">
            <v>944.7</v>
          </cell>
          <cell r="AI556">
            <v>1061.7</v>
          </cell>
          <cell r="AJ556">
            <v>933</v>
          </cell>
          <cell r="AK556">
            <v>853.2</v>
          </cell>
          <cell r="AL556">
            <v>771.5</v>
          </cell>
          <cell r="AM556">
            <v>715.5</v>
          </cell>
          <cell r="AN556">
            <v>671</v>
          </cell>
          <cell r="AO556">
            <v>666.3</v>
          </cell>
          <cell r="AP556">
            <v>666.3</v>
          </cell>
          <cell r="AQ556">
            <v>663</v>
          </cell>
          <cell r="AR556">
            <v>721.2</v>
          </cell>
          <cell r="AS556">
            <v>827.9</v>
          </cell>
          <cell r="AT556">
            <v>908.4</v>
          </cell>
          <cell r="AU556">
            <v>873.9</v>
          </cell>
          <cell r="AV556">
            <v>843.8</v>
          </cell>
          <cell r="AW556">
            <v>823.9</v>
          </cell>
          <cell r="AX556">
            <v>745.7</v>
          </cell>
          <cell r="AY556">
            <v>703.4</v>
          </cell>
          <cell r="AZ556">
            <v>662</v>
          </cell>
          <cell r="BA556">
            <v>665.9</v>
          </cell>
          <cell r="BB556">
            <v>688.5</v>
          </cell>
          <cell r="BC556">
            <v>719.4</v>
          </cell>
          <cell r="BD556">
            <v>784.8</v>
          </cell>
          <cell r="BE556">
            <v>896</v>
          </cell>
          <cell r="BF556">
            <v>1201</v>
          </cell>
          <cell r="BG556">
            <v>1074.0999999999999</v>
          </cell>
          <cell r="BH556">
            <v>943.1</v>
          </cell>
          <cell r="BI556">
            <v>935.7</v>
          </cell>
          <cell r="BJ556">
            <v>849.8</v>
          </cell>
          <cell r="BK556">
            <v>812.6</v>
          </cell>
          <cell r="BL556">
            <v>746.8</v>
          </cell>
          <cell r="BM556">
            <v>728.6</v>
          </cell>
          <cell r="BN556">
            <v>772.7</v>
          </cell>
          <cell r="BO556">
            <v>716.7</v>
          </cell>
          <cell r="BP556">
            <v>769.4</v>
          </cell>
          <cell r="BQ556">
            <v>937.8</v>
          </cell>
          <cell r="BR556">
            <v>1066.8</v>
          </cell>
          <cell r="BS556">
            <v>1041.0999999999999</v>
          </cell>
          <cell r="BT556">
            <v>965.2</v>
          </cell>
          <cell r="BU556">
            <v>930.8</v>
          </cell>
          <cell r="BV556">
            <v>806.8</v>
          </cell>
          <cell r="BW556">
            <v>775</v>
          </cell>
          <cell r="BX556">
            <v>753.8</v>
          </cell>
          <cell r="BY556">
            <v>720.1</v>
          </cell>
          <cell r="BZ556">
            <v>756.7</v>
          </cell>
          <cell r="CA556">
            <v>740</v>
          </cell>
          <cell r="CB556">
            <v>823.1</v>
          </cell>
          <cell r="CC556">
            <v>993.3</v>
          </cell>
          <cell r="CD556">
            <v>1099</v>
          </cell>
          <cell r="CE556">
            <v>1057.5</v>
          </cell>
          <cell r="CF556">
            <v>995.6</v>
          </cell>
          <cell r="CG556">
            <v>858.2</v>
          </cell>
          <cell r="CH556">
            <v>757.4</v>
          </cell>
          <cell r="CI556">
            <v>703.8</v>
          </cell>
          <cell r="CJ556">
            <v>735.7</v>
          </cell>
          <cell r="CK556">
            <v>728.8</v>
          </cell>
          <cell r="CL556">
            <v>712.3</v>
          </cell>
          <cell r="CM556">
            <v>741.5</v>
          </cell>
          <cell r="CN556">
            <v>845.7</v>
          </cell>
          <cell r="CO556">
            <v>974.5</v>
          </cell>
          <cell r="CP556">
            <v>1339.3</v>
          </cell>
          <cell r="CQ556">
            <v>1246.4000000000001</v>
          </cell>
          <cell r="CR556">
            <v>1168.5</v>
          </cell>
          <cell r="CS556">
            <v>1172.2</v>
          </cell>
          <cell r="CT556">
            <v>1047.2</v>
          </cell>
          <cell r="CU556">
            <v>984.5</v>
          </cell>
          <cell r="CV556">
            <v>986.9</v>
          </cell>
          <cell r="CW556">
            <v>919.5</v>
          </cell>
          <cell r="CX556">
            <v>971.7</v>
          </cell>
          <cell r="CY556">
            <v>923.5</v>
          </cell>
          <cell r="CZ556">
            <v>1044.7</v>
          </cell>
          <cell r="DA556">
            <v>1264.5999999999999</v>
          </cell>
          <cell r="DB556">
            <v>1438.6</v>
          </cell>
          <cell r="DC556">
            <v>1520.7</v>
          </cell>
          <cell r="DD556">
            <v>1360.4</v>
          </cell>
          <cell r="DE556">
            <v>1250.0999999999999</v>
          </cell>
          <cell r="DF556">
            <v>1182.5</v>
          </cell>
          <cell r="DG556">
            <v>1080.7</v>
          </cell>
          <cell r="DH556">
            <v>1009.6</v>
          </cell>
          <cell r="DI556">
            <v>1121</v>
          </cell>
          <cell r="DJ556">
            <v>1157.5</v>
          </cell>
          <cell r="DK556">
            <v>1217.0999999999999</v>
          </cell>
          <cell r="DL556">
            <v>1117.5</v>
          </cell>
          <cell r="DM556">
            <v>1245</v>
          </cell>
          <cell r="DN556">
            <v>1521.4</v>
          </cell>
          <cell r="DO556">
            <v>1606</v>
          </cell>
          <cell r="DP556">
            <v>1438.9</v>
          </cell>
          <cell r="DQ556">
            <v>1322.5</v>
          </cell>
          <cell r="DR556">
            <v>1251.2</v>
          </cell>
          <cell r="DS556">
            <v>1146</v>
          </cell>
          <cell r="DT556">
            <v>1069.0999999999999</v>
          </cell>
          <cell r="DU556">
            <v>1079.8</v>
          </cell>
          <cell r="DV556">
            <v>1090.5999999999999</v>
          </cell>
          <cell r="DW556">
            <v>1199.7</v>
          </cell>
          <cell r="DX556">
            <v>1319.6</v>
          </cell>
          <cell r="DY556">
            <v>1517.6</v>
          </cell>
          <cell r="EM556">
            <v>8841.7999999999993</v>
          </cell>
          <cell r="EN556">
            <v>9495.3000000000011</v>
          </cell>
          <cell r="EO556">
            <v>9315.6999999999989</v>
          </cell>
          <cell r="EP556">
            <v>10488.3</v>
          </cell>
          <cell r="EQ556">
            <v>10372.699999999999</v>
          </cell>
          <cell r="ER556">
            <v>10210</v>
          </cell>
          <cell r="ES556">
            <v>13069.000000000002</v>
          </cell>
        </row>
        <row r="557">
          <cell r="B557" t="str">
            <v>Taxes Other than Income</v>
          </cell>
          <cell r="E557" t="str">
            <v>Taxes Other than Income</v>
          </cell>
          <cell r="F557" t="str">
            <v>6900030</v>
          </cell>
          <cell r="G557" t="str">
            <v>A_6900030</v>
          </cell>
          <cell r="H557" t="str">
            <v>TOTI - Gross Receipts</v>
          </cell>
          <cell r="J557">
            <v>1465.7</v>
          </cell>
          <cell r="K557">
            <v>1421.6</v>
          </cell>
          <cell r="L557">
            <v>1286.5999999999999</v>
          </cell>
          <cell r="M557">
            <v>1142.5999999999999</v>
          </cell>
          <cell r="N557">
            <v>973.7</v>
          </cell>
          <cell r="O557">
            <v>877.5</v>
          </cell>
          <cell r="P557">
            <v>810.8</v>
          </cell>
          <cell r="Q557">
            <v>823.6</v>
          </cell>
          <cell r="R557">
            <v>877.7</v>
          </cell>
          <cell r="S557">
            <v>906.2</v>
          </cell>
          <cell r="T557">
            <v>1020.7</v>
          </cell>
          <cell r="U557">
            <v>1299.3</v>
          </cell>
          <cell r="V557">
            <v>1442.2</v>
          </cell>
          <cell r="W557">
            <v>1486.3</v>
          </cell>
          <cell r="X557">
            <v>1457.3</v>
          </cell>
          <cell r="Y557">
            <v>1148.0999999999999</v>
          </cell>
          <cell r="Z557">
            <v>937.9</v>
          </cell>
          <cell r="AA557">
            <v>958.2</v>
          </cell>
          <cell r="AB557">
            <v>1195.5</v>
          </cell>
          <cell r="AC557">
            <v>686.3</v>
          </cell>
          <cell r="AD557">
            <v>909.6</v>
          </cell>
          <cell r="AE557">
            <v>950.7</v>
          </cell>
          <cell r="AF557">
            <v>1034.5</v>
          </cell>
          <cell r="AG557">
            <v>1206.3</v>
          </cell>
          <cell r="AH557">
            <v>1498.9</v>
          </cell>
          <cell r="AI557">
            <v>1616.9</v>
          </cell>
          <cell r="AJ557">
            <v>1429.5</v>
          </cell>
          <cell r="AK557">
            <v>1127.3</v>
          </cell>
          <cell r="AL557">
            <v>1110.0999999999999</v>
          </cell>
          <cell r="AM557">
            <v>967.5</v>
          </cell>
          <cell r="AN557">
            <v>931.9</v>
          </cell>
          <cell r="AO557">
            <v>821</v>
          </cell>
          <cell r="AP557">
            <v>915.4</v>
          </cell>
          <cell r="AQ557">
            <v>897</v>
          </cell>
          <cell r="AR557">
            <v>1056.8</v>
          </cell>
          <cell r="AS557">
            <v>1254.3</v>
          </cell>
          <cell r="AT557">
            <v>1421.7</v>
          </cell>
          <cell r="AU557">
            <v>1324.6</v>
          </cell>
          <cell r="AV557">
            <v>1298.0999999999999</v>
          </cell>
          <cell r="AW557">
            <v>1249.2</v>
          </cell>
          <cell r="AX557">
            <v>1077.2</v>
          </cell>
          <cell r="AY557">
            <v>949.1</v>
          </cell>
          <cell r="AZ557">
            <v>776.2</v>
          </cell>
          <cell r="BA557">
            <v>875</v>
          </cell>
          <cell r="BB557">
            <v>875.4</v>
          </cell>
          <cell r="BC557">
            <v>936.3</v>
          </cell>
          <cell r="BD557">
            <v>1049.9000000000001</v>
          </cell>
          <cell r="BE557">
            <v>1278.4000000000001</v>
          </cell>
          <cell r="BF557">
            <v>1748.1</v>
          </cell>
          <cell r="BG557">
            <v>1509</v>
          </cell>
          <cell r="BH557">
            <v>1277.5999999999999</v>
          </cell>
          <cell r="BI557">
            <v>1337.4</v>
          </cell>
          <cell r="BJ557">
            <v>1076</v>
          </cell>
          <cell r="BK557">
            <v>1033.7</v>
          </cell>
          <cell r="BL557">
            <v>894.2</v>
          </cell>
          <cell r="BM557">
            <v>837.8</v>
          </cell>
          <cell r="BN557">
            <v>986.5</v>
          </cell>
          <cell r="BO557">
            <v>891.5</v>
          </cell>
          <cell r="BP557">
            <v>1009.1</v>
          </cell>
          <cell r="BQ557">
            <v>1392.2</v>
          </cell>
          <cell r="BR557">
            <v>1655.8</v>
          </cell>
          <cell r="BS557">
            <v>1640.4</v>
          </cell>
          <cell r="BT557">
            <v>1424.6</v>
          </cell>
          <cell r="BU557">
            <v>1125.5</v>
          </cell>
          <cell r="BV557">
            <v>1177.9000000000001</v>
          </cell>
          <cell r="BW557">
            <v>1016.4</v>
          </cell>
          <cell r="BX557">
            <v>984.4</v>
          </cell>
          <cell r="BY557">
            <v>932.4</v>
          </cell>
          <cell r="BZ557">
            <v>949.4</v>
          </cell>
          <cell r="CA557">
            <v>936.2</v>
          </cell>
          <cell r="CB557">
            <v>1112.5999999999999</v>
          </cell>
          <cell r="CC557">
            <v>1504.3</v>
          </cell>
          <cell r="CD557">
            <v>1618.2</v>
          </cell>
          <cell r="CE557">
            <v>1572.4</v>
          </cell>
          <cell r="CF557">
            <v>1352.9</v>
          </cell>
          <cell r="CG557">
            <v>1062</v>
          </cell>
          <cell r="CH557">
            <v>953.5</v>
          </cell>
          <cell r="CI557">
            <v>967.3</v>
          </cell>
          <cell r="CJ557">
            <v>851.9</v>
          </cell>
          <cell r="CK557">
            <v>911.9</v>
          </cell>
          <cell r="CL557">
            <v>870.9</v>
          </cell>
          <cell r="CM557">
            <v>955</v>
          </cell>
          <cell r="CN557">
            <v>1095.4000000000001</v>
          </cell>
          <cell r="CO557">
            <v>1396.3</v>
          </cell>
          <cell r="CP557">
            <v>1837.6</v>
          </cell>
          <cell r="CQ557">
            <v>1655.3</v>
          </cell>
          <cell r="CR557">
            <v>1457.2</v>
          </cell>
          <cell r="CS557">
            <v>1427</v>
          </cell>
          <cell r="CT557">
            <v>1201.0999999999999</v>
          </cell>
          <cell r="CU557">
            <v>1108.5</v>
          </cell>
          <cell r="CV557">
            <v>1134.5</v>
          </cell>
          <cell r="CW557">
            <v>1011.2</v>
          </cell>
          <cell r="CX557">
            <v>1071.9000000000001</v>
          </cell>
          <cell r="CY557">
            <v>1072.3</v>
          </cell>
          <cell r="CZ557">
            <v>1236.2</v>
          </cell>
          <cell r="DA557">
            <v>1610.2</v>
          </cell>
          <cell r="DB557">
            <v>1747.4</v>
          </cell>
          <cell r="DC557">
            <v>1727.9</v>
          </cell>
          <cell r="DD557">
            <v>1638.8</v>
          </cell>
          <cell r="DE557">
            <v>1467</v>
          </cell>
          <cell r="DF557">
            <v>1329.4</v>
          </cell>
          <cell r="DG557">
            <v>1171.5999999999999</v>
          </cell>
          <cell r="DH557">
            <v>1070.4000000000001</v>
          </cell>
          <cell r="DI557">
            <v>1017.5</v>
          </cell>
          <cell r="DJ557">
            <v>1080</v>
          </cell>
          <cell r="DK557">
            <v>1183.7</v>
          </cell>
          <cell r="DL557">
            <v>1255.3</v>
          </cell>
          <cell r="DM557">
            <v>1563.7</v>
          </cell>
          <cell r="DN557">
            <v>1869.7</v>
          </cell>
          <cell r="DO557">
            <v>2025.5</v>
          </cell>
          <cell r="DP557">
            <v>1754.8</v>
          </cell>
          <cell r="DQ557">
            <v>1571.1</v>
          </cell>
          <cell r="DR557">
            <v>1424.2</v>
          </cell>
          <cell r="DS557">
            <v>1255.5999999999999</v>
          </cell>
          <cell r="DT557">
            <v>1125.8</v>
          </cell>
          <cell r="DU557">
            <v>1131.4000000000001</v>
          </cell>
          <cell r="DV557">
            <v>1187.9000000000001</v>
          </cell>
          <cell r="DW557">
            <v>1283</v>
          </cell>
          <cell r="DX557">
            <v>1475.4</v>
          </cell>
          <cell r="DY557">
            <v>1623</v>
          </cell>
          <cell r="EM557">
            <v>13412.9</v>
          </cell>
          <cell r="EN557">
            <v>13626.599999999999</v>
          </cell>
          <cell r="EO557">
            <v>13111.099999999999</v>
          </cell>
          <cell r="EP557">
            <v>13993.1</v>
          </cell>
          <cell r="EQ557">
            <v>14459.899999999998</v>
          </cell>
          <cell r="ER557">
            <v>13607.699999999999</v>
          </cell>
          <cell r="ES557">
            <v>15823</v>
          </cell>
        </row>
        <row r="558">
          <cell r="B558" t="str">
            <v>Taxes Other than Income</v>
          </cell>
          <cell r="E558" t="str">
            <v>Taxes Other than Income</v>
          </cell>
          <cell r="F558" t="str">
            <v>6900040</v>
          </cell>
          <cell r="G558" t="str">
            <v>A_6900040</v>
          </cell>
          <cell r="H558" t="str">
            <v>TOTI - Payroll Tax</v>
          </cell>
          <cell r="J558">
            <v>513.9</v>
          </cell>
          <cell r="K558">
            <v>192.1</v>
          </cell>
          <cell r="L558">
            <v>188.8</v>
          </cell>
          <cell r="M558">
            <v>190.7</v>
          </cell>
          <cell r="N558">
            <v>295.39999999999998</v>
          </cell>
          <cell r="O558">
            <v>183.3</v>
          </cell>
          <cell r="P558">
            <v>184.3</v>
          </cell>
          <cell r="Q558">
            <v>183.5</v>
          </cell>
          <cell r="R558">
            <v>180</v>
          </cell>
          <cell r="S558">
            <v>268.89999999999998</v>
          </cell>
          <cell r="T558">
            <v>189</v>
          </cell>
          <cell r="U558">
            <v>267.7</v>
          </cell>
          <cell r="V558">
            <v>219.8</v>
          </cell>
          <cell r="W558">
            <v>338.4</v>
          </cell>
          <cell r="X558">
            <v>240.4</v>
          </cell>
          <cell r="Y558">
            <v>294.2</v>
          </cell>
          <cell r="Z558">
            <v>187.2</v>
          </cell>
          <cell r="AA558">
            <v>193.9</v>
          </cell>
          <cell r="AB558">
            <v>180.2</v>
          </cell>
          <cell r="AC558">
            <v>184.1</v>
          </cell>
          <cell r="AD558">
            <v>167.3</v>
          </cell>
          <cell r="AE558">
            <v>269.89999999999998</v>
          </cell>
          <cell r="AF558">
            <v>206.9</v>
          </cell>
          <cell r="AG558">
            <v>268.60000000000002</v>
          </cell>
          <cell r="AH558">
            <v>316.10000000000002</v>
          </cell>
          <cell r="AI558">
            <v>259.5</v>
          </cell>
          <cell r="AJ558">
            <v>310.39999999999998</v>
          </cell>
          <cell r="AK558">
            <v>200.5</v>
          </cell>
          <cell r="AL558">
            <v>198.3</v>
          </cell>
          <cell r="AM558">
            <v>197.1</v>
          </cell>
          <cell r="AN558">
            <v>211.1</v>
          </cell>
          <cell r="AO558">
            <v>246.2</v>
          </cell>
          <cell r="AP558">
            <v>313.3</v>
          </cell>
          <cell r="AQ558">
            <v>202.3</v>
          </cell>
          <cell r="AR558">
            <v>161.19999999999999</v>
          </cell>
          <cell r="AS558">
            <v>231.9</v>
          </cell>
          <cell r="AT558">
            <v>264.5</v>
          </cell>
          <cell r="AU558">
            <v>249.8</v>
          </cell>
          <cell r="AV558">
            <v>331</v>
          </cell>
          <cell r="AW558">
            <v>225</v>
          </cell>
          <cell r="AX558">
            <v>214.3</v>
          </cell>
          <cell r="AY558">
            <v>221.2</v>
          </cell>
          <cell r="AZ558">
            <v>220</v>
          </cell>
          <cell r="BA558">
            <v>330.3</v>
          </cell>
          <cell r="BB558">
            <v>226.3</v>
          </cell>
          <cell r="BC558">
            <v>202.2</v>
          </cell>
          <cell r="BD558">
            <v>223.9</v>
          </cell>
          <cell r="BE558">
            <v>228.1</v>
          </cell>
          <cell r="BF558">
            <v>255.8</v>
          </cell>
          <cell r="BG558">
            <v>318.39999999999998</v>
          </cell>
          <cell r="BH558">
            <v>350.3</v>
          </cell>
          <cell r="BI558">
            <v>239.9</v>
          </cell>
          <cell r="BJ558">
            <v>237.3</v>
          </cell>
          <cell r="BK558">
            <v>238.3</v>
          </cell>
          <cell r="BL558">
            <v>247.6</v>
          </cell>
          <cell r="BM558">
            <v>388.8</v>
          </cell>
          <cell r="BN558">
            <v>247</v>
          </cell>
          <cell r="BO558">
            <v>268.7</v>
          </cell>
          <cell r="BP558">
            <v>263.39999999999998</v>
          </cell>
          <cell r="BQ558">
            <v>340.3</v>
          </cell>
          <cell r="BR558">
            <v>411</v>
          </cell>
          <cell r="BS558">
            <v>287.2</v>
          </cell>
          <cell r="BT558">
            <v>261.39999999999998</v>
          </cell>
          <cell r="BU558">
            <v>256.5</v>
          </cell>
          <cell r="BV558">
            <v>256.8</v>
          </cell>
          <cell r="BW558">
            <v>256.5</v>
          </cell>
          <cell r="BX558">
            <v>260.5</v>
          </cell>
          <cell r="BY558">
            <v>375.6</v>
          </cell>
          <cell r="BZ558">
            <v>261.60000000000002</v>
          </cell>
          <cell r="CA558">
            <v>254.5</v>
          </cell>
          <cell r="CB558">
            <v>315.39999999999998</v>
          </cell>
          <cell r="CC558">
            <v>382.8</v>
          </cell>
          <cell r="CD558">
            <v>337.9</v>
          </cell>
          <cell r="CE558">
            <v>373.1</v>
          </cell>
          <cell r="CF558">
            <v>311.89999999999998</v>
          </cell>
          <cell r="CG558">
            <v>276.89999999999998</v>
          </cell>
          <cell r="CH558">
            <v>277.60000000000002</v>
          </cell>
          <cell r="CI558">
            <v>265</v>
          </cell>
          <cell r="CJ558">
            <v>397.3</v>
          </cell>
          <cell r="CK558">
            <v>271</v>
          </cell>
          <cell r="CL558">
            <v>120.9</v>
          </cell>
          <cell r="CM558">
            <v>268.8</v>
          </cell>
          <cell r="CN558">
            <v>277.3</v>
          </cell>
          <cell r="CO558">
            <v>357</v>
          </cell>
          <cell r="CP558">
            <v>334.9</v>
          </cell>
          <cell r="CQ558">
            <v>314</v>
          </cell>
          <cell r="CR558">
            <v>363.3</v>
          </cell>
          <cell r="CS558">
            <v>303.10000000000002</v>
          </cell>
          <cell r="CT558">
            <v>302.7</v>
          </cell>
          <cell r="CU558">
            <v>218.4</v>
          </cell>
          <cell r="CV558">
            <v>426.7</v>
          </cell>
          <cell r="CW558">
            <v>282.10000000000002</v>
          </cell>
          <cell r="CX558">
            <v>264.7</v>
          </cell>
          <cell r="CY558">
            <v>340.2</v>
          </cell>
          <cell r="CZ558">
            <v>301.2</v>
          </cell>
          <cell r="DA558">
            <v>534.79999999999995</v>
          </cell>
          <cell r="DB558">
            <v>358.1</v>
          </cell>
          <cell r="DC558">
            <v>359.3</v>
          </cell>
          <cell r="DD558">
            <v>391.9</v>
          </cell>
          <cell r="DE558">
            <v>337.4</v>
          </cell>
          <cell r="DF558">
            <v>338.6</v>
          </cell>
          <cell r="DG558">
            <v>547.6</v>
          </cell>
          <cell r="DH558">
            <v>354.2</v>
          </cell>
          <cell r="DI558">
            <v>354</v>
          </cell>
          <cell r="DJ558">
            <v>355.3</v>
          </cell>
          <cell r="DK558">
            <v>375.2</v>
          </cell>
          <cell r="DL558">
            <v>403.8</v>
          </cell>
          <cell r="DM558">
            <v>696</v>
          </cell>
          <cell r="DN558">
            <v>336</v>
          </cell>
          <cell r="DO558">
            <v>310.5</v>
          </cell>
          <cell r="DP558">
            <v>355.9</v>
          </cell>
          <cell r="DQ558">
            <v>309.60000000000002</v>
          </cell>
          <cell r="DR558">
            <v>357.6</v>
          </cell>
          <cell r="DS558">
            <v>359.6</v>
          </cell>
          <cell r="DT558">
            <v>332.6</v>
          </cell>
          <cell r="DU558">
            <v>362.2</v>
          </cell>
          <cell r="DV558">
            <v>330.8</v>
          </cell>
          <cell r="DW558">
            <v>347.2</v>
          </cell>
          <cell r="DX558">
            <v>381.5</v>
          </cell>
          <cell r="DY558">
            <v>354.1</v>
          </cell>
          <cell r="EM558">
            <v>2750.9</v>
          </cell>
          <cell r="EN558">
            <v>2847.9</v>
          </cell>
          <cell r="EO558">
            <v>2936.6</v>
          </cell>
          <cell r="EP558">
            <v>3395.8</v>
          </cell>
          <cell r="EQ558">
            <v>3579.8</v>
          </cell>
          <cell r="ER558">
            <v>3534.7000000000007</v>
          </cell>
          <cell r="ES558">
            <v>3986.0999999999995</v>
          </cell>
        </row>
        <row r="559">
          <cell r="B559" t="str">
            <v>Taxes Other than Income</v>
          </cell>
          <cell r="E559" t="str">
            <v>Taxes Other than Income</v>
          </cell>
          <cell r="F559" t="str">
            <v>6900049</v>
          </cell>
          <cell r="G559" t="str">
            <v>A_6900049</v>
          </cell>
          <cell r="H559" t="str">
            <v>TOTI - Payroll Tax Reclass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-0.8</v>
          </cell>
          <cell r="DH559">
            <v>-2</v>
          </cell>
          <cell r="DI559">
            <v>-0.6</v>
          </cell>
          <cell r="DJ559">
            <v>-1</v>
          </cell>
          <cell r="DK559">
            <v>-1</v>
          </cell>
          <cell r="DL559">
            <v>0</v>
          </cell>
          <cell r="DM559">
            <v>1.5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</row>
        <row r="560">
          <cell r="B560" t="str">
            <v>Taxes Other than Income</v>
          </cell>
          <cell r="E560" t="str">
            <v>Taxes Other than Income</v>
          </cell>
          <cell r="F560" t="str">
            <v>6900049</v>
          </cell>
          <cell r="G560" t="str">
            <v>A_S6900049</v>
          </cell>
          <cell r="H560" t="str">
            <v>TOTI - Payroll Tax Reclass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-0.7</v>
          </cell>
          <cell r="DP560">
            <v>-0.6</v>
          </cell>
          <cell r="DQ560">
            <v>-0.1</v>
          </cell>
          <cell r="DR560">
            <v>-0.7</v>
          </cell>
          <cell r="DS560">
            <v>-1.8</v>
          </cell>
          <cell r="DT560">
            <v>-0.6</v>
          </cell>
          <cell r="DU560">
            <v>-1.7</v>
          </cell>
          <cell r="DV560">
            <v>-1.2</v>
          </cell>
          <cell r="DW560">
            <v>-1.6</v>
          </cell>
          <cell r="DX560">
            <v>-2.8</v>
          </cell>
          <cell r="DY560">
            <v>-1.9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</row>
        <row r="561">
          <cell r="A561" t="str">
            <v>Property Taxes</v>
          </cell>
          <cell r="B561" t="str">
            <v>Taxes Other than Income</v>
          </cell>
          <cell r="E561" t="str">
            <v>Taxes Other than Income</v>
          </cell>
          <cell r="F561" t="str">
            <v>6900060</v>
          </cell>
          <cell r="G561" t="str">
            <v>A_6900060</v>
          </cell>
          <cell r="H561" t="str">
            <v>TOTI - Property Tax - Above the line</v>
          </cell>
          <cell r="J561">
            <v>809</v>
          </cell>
          <cell r="K561">
            <v>809</v>
          </cell>
          <cell r="L561">
            <v>809</v>
          </cell>
          <cell r="M561">
            <v>809</v>
          </cell>
          <cell r="N561">
            <v>809</v>
          </cell>
          <cell r="O561">
            <v>807.1</v>
          </cell>
          <cell r="P561">
            <v>809</v>
          </cell>
          <cell r="Q561">
            <v>471</v>
          </cell>
          <cell r="R561">
            <v>767</v>
          </cell>
          <cell r="S561">
            <v>767</v>
          </cell>
          <cell r="T561">
            <v>812.1</v>
          </cell>
          <cell r="U561">
            <v>800.2</v>
          </cell>
          <cell r="V561">
            <v>819.2</v>
          </cell>
          <cell r="W561">
            <v>819</v>
          </cell>
          <cell r="X561">
            <v>819</v>
          </cell>
          <cell r="Y561">
            <v>819</v>
          </cell>
          <cell r="Z561">
            <v>819</v>
          </cell>
          <cell r="AA561">
            <v>819</v>
          </cell>
          <cell r="AB561">
            <v>819</v>
          </cell>
          <cell r="AC561">
            <v>467</v>
          </cell>
          <cell r="AD561">
            <v>775</v>
          </cell>
          <cell r="AE561">
            <v>775</v>
          </cell>
          <cell r="AF561">
            <v>775</v>
          </cell>
          <cell r="AG561">
            <v>718.6</v>
          </cell>
          <cell r="AH561">
            <v>809</v>
          </cell>
          <cell r="AI561">
            <v>809</v>
          </cell>
          <cell r="AJ561">
            <v>809</v>
          </cell>
          <cell r="AK561">
            <v>809</v>
          </cell>
          <cell r="AL561">
            <v>809</v>
          </cell>
          <cell r="AM561">
            <v>809</v>
          </cell>
          <cell r="AN561">
            <v>809</v>
          </cell>
          <cell r="AO561">
            <v>809</v>
          </cell>
          <cell r="AP561">
            <v>809</v>
          </cell>
          <cell r="AQ561">
            <v>809</v>
          </cell>
          <cell r="AR561">
            <v>399.6</v>
          </cell>
          <cell r="AS561">
            <v>771.8</v>
          </cell>
          <cell r="AT561">
            <v>876</v>
          </cell>
          <cell r="AU561">
            <v>876</v>
          </cell>
          <cell r="AV561">
            <v>876</v>
          </cell>
          <cell r="AW561">
            <v>876</v>
          </cell>
          <cell r="AX561">
            <v>626</v>
          </cell>
          <cell r="AY561">
            <v>826</v>
          </cell>
          <cell r="AZ561">
            <v>826</v>
          </cell>
          <cell r="BA561">
            <v>684.7</v>
          </cell>
          <cell r="BB561">
            <v>808.3</v>
          </cell>
          <cell r="BC561">
            <v>808.3</v>
          </cell>
          <cell r="BD561">
            <v>514.4</v>
          </cell>
          <cell r="BE561">
            <v>781.6</v>
          </cell>
          <cell r="BF561">
            <v>943.8</v>
          </cell>
          <cell r="BG561">
            <v>943.8</v>
          </cell>
          <cell r="BH561">
            <v>943.8</v>
          </cell>
          <cell r="BI561">
            <v>943.8</v>
          </cell>
          <cell r="BJ561">
            <v>943.8</v>
          </cell>
          <cell r="BK561">
            <v>943.8</v>
          </cell>
          <cell r="BL561">
            <v>943.8</v>
          </cell>
          <cell r="BM561">
            <v>943.8</v>
          </cell>
          <cell r="BN561">
            <v>943.8</v>
          </cell>
          <cell r="BO561">
            <v>943.8</v>
          </cell>
          <cell r="BP561">
            <v>422.2</v>
          </cell>
          <cell r="BQ561">
            <v>896.4</v>
          </cell>
          <cell r="BR561">
            <v>1064</v>
          </cell>
          <cell r="BS561">
            <v>1064</v>
          </cell>
          <cell r="BT561">
            <v>1064</v>
          </cell>
          <cell r="BU561">
            <v>1064</v>
          </cell>
          <cell r="BV561">
            <v>1064</v>
          </cell>
          <cell r="BW561">
            <v>1064</v>
          </cell>
          <cell r="BX561">
            <v>1064</v>
          </cell>
          <cell r="BY561">
            <v>552.29999999999995</v>
          </cell>
          <cell r="BZ561">
            <v>1000</v>
          </cell>
          <cell r="CA561">
            <v>1000</v>
          </cell>
          <cell r="CB561">
            <v>1000</v>
          </cell>
          <cell r="CC561">
            <v>1033.0999999999999</v>
          </cell>
          <cell r="CD561">
            <v>1159.5</v>
          </cell>
          <cell r="CE561">
            <v>1159.5</v>
          </cell>
          <cell r="CF561">
            <v>1159.5</v>
          </cell>
          <cell r="CG561">
            <v>1159.5</v>
          </cell>
          <cell r="CH561">
            <v>1159.5</v>
          </cell>
          <cell r="CI561">
            <v>1159.5</v>
          </cell>
          <cell r="CJ561">
            <v>1159.5</v>
          </cell>
          <cell r="CK561">
            <v>1159.5</v>
          </cell>
          <cell r="CL561">
            <v>1159.5</v>
          </cell>
          <cell r="CM561">
            <v>1159.5</v>
          </cell>
          <cell r="CN561">
            <v>662.9</v>
          </cell>
          <cell r="CO561">
            <v>661.9</v>
          </cell>
          <cell r="CP561">
            <v>1232.5999999999999</v>
          </cell>
          <cell r="CQ561">
            <v>1232.5999999999999</v>
          </cell>
          <cell r="CR561">
            <v>1232.5999999999999</v>
          </cell>
          <cell r="CS561">
            <v>1232.5999999999999</v>
          </cell>
          <cell r="CT561">
            <v>1232.5999999999999</v>
          </cell>
          <cell r="CU561">
            <v>1232.5999999999999</v>
          </cell>
          <cell r="CV561">
            <v>1232.5999999999999</v>
          </cell>
          <cell r="CW561">
            <v>1232.5999999999999</v>
          </cell>
          <cell r="CX561">
            <v>564.4</v>
          </cell>
          <cell r="CY561">
            <v>1158.3</v>
          </cell>
          <cell r="CZ561">
            <v>1158.3</v>
          </cell>
          <cell r="DA561">
            <v>1029.7</v>
          </cell>
          <cell r="DB561">
            <v>1468.5</v>
          </cell>
          <cell r="DC561">
            <v>1468.5</v>
          </cell>
          <cell r="DD561">
            <v>1468.5</v>
          </cell>
          <cell r="DE561">
            <v>1584.1</v>
          </cell>
          <cell r="DF561">
            <v>1526.3</v>
          </cell>
          <cell r="DG561">
            <v>1526.3</v>
          </cell>
          <cell r="DH561">
            <v>1526.3</v>
          </cell>
          <cell r="DI561">
            <v>1526.3</v>
          </cell>
          <cell r="DJ561">
            <v>842.7</v>
          </cell>
          <cell r="DK561">
            <v>1437.5</v>
          </cell>
          <cell r="DL561">
            <v>1084.4000000000001</v>
          </cell>
          <cell r="DM561">
            <v>1396.1</v>
          </cell>
          <cell r="DN561">
            <v>1785.8</v>
          </cell>
          <cell r="DO561">
            <v>1785.8</v>
          </cell>
          <cell r="DP561">
            <v>1785.8</v>
          </cell>
          <cell r="DQ561">
            <v>1785.8</v>
          </cell>
          <cell r="DR561">
            <v>1785.8</v>
          </cell>
          <cell r="DS561">
            <v>1785.8</v>
          </cell>
          <cell r="DT561">
            <v>1785.8</v>
          </cell>
          <cell r="DU561">
            <v>1785.8</v>
          </cell>
          <cell r="DV561">
            <v>1785.8</v>
          </cell>
          <cell r="DW561">
            <v>1785.8</v>
          </cell>
          <cell r="DX561">
            <v>1785.8</v>
          </cell>
          <cell r="DY561">
            <v>1785.8</v>
          </cell>
          <cell r="EM561">
            <v>9243.8000000000011</v>
          </cell>
          <cell r="EN561">
            <v>9261.4</v>
          </cell>
          <cell r="EO561">
            <v>9379.3000000000011</v>
          </cell>
          <cell r="EP561">
            <v>10756.6</v>
          </cell>
          <cell r="EQ561">
            <v>12033.4</v>
          </cell>
          <cell r="ER561">
            <v>12919.8</v>
          </cell>
          <cell r="ES561">
            <v>13771.5</v>
          </cell>
        </row>
        <row r="562">
          <cell r="A562" t="str">
            <v>Property Taxes</v>
          </cell>
          <cell r="B562" t="str">
            <v>Taxes Other than Income</v>
          </cell>
          <cell r="E562" t="str">
            <v>Taxes Other than Income</v>
          </cell>
          <cell r="F562" t="str">
            <v>6900060</v>
          </cell>
          <cell r="G562" t="str">
            <v>A_S6900060</v>
          </cell>
          <cell r="H562" t="str">
            <v>Settled TOTI - Property Tax - Above the line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</row>
        <row r="563">
          <cell r="B563" t="str">
            <v>Taxes Other than Income</v>
          </cell>
          <cell r="E563" t="str">
            <v>Taxes Other than Income SUB</v>
          </cell>
          <cell r="F563" t="str">
            <v>6900061</v>
          </cell>
          <cell r="G563" t="str">
            <v>A_6900061</v>
          </cell>
          <cell r="H563" t="str">
            <v>TOTI - Property Tax - Above the line - GAAP Adj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-29.4</v>
          </cell>
          <cell r="AN563">
            <v>-9.8000000000000007</v>
          </cell>
          <cell r="AO563">
            <v>-9.8000000000000007</v>
          </cell>
          <cell r="AP563">
            <v>-9.8000000000000007</v>
          </cell>
          <cell r="AQ563">
            <v>-9.8000000000000007</v>
          </cell>
          <cell r="AR563">
            <v>-16.7</v>
          </cell>
          <cell r="AS563">
            <v>-13.2</v>
          </cell>
          <cell r="AT563">
            <v>-12.8</v>
          </cell>
          <cell r="AU563">
            <v>-12.8</v>
          </cell>
          <cell r="AV563">
            <v>-12.8</v>
          </cell>
          <cell r="AW563">
            <v>-12.8</v>
          </cell>
          <cell r="AX563">
            <v>-12.8</v>
          </cell>
          <cell r="AY563">
            <v>-12.8</v>
          </cell>
          <cell r="AZ563">
            <v>-12.8</v>
          </cell>
          <cell r="BA563">
            <v>-12.8</v>
          </cell>
          <cell r="BB563">
            <v>-12.8</v>
          </cell>
          <cell r="BC563">
            <v>-12.8</v>
          </cell>
          <cell r="BD563">
            <v>-12.8</v>
          </cell>
          <cell r="BE563">
            <v>-12.8</v>
          </cell>
          <cell r="BF563">
            <v>-12.2</v>
          </cell>
          <cell r="BG563">
            <v>-12.2</v>
          </cell>
          <cell r="BH563">
            <v>-12.2</v>
          </cell>
          <cell r="BI563">
            <v>-12.2</v>
          </cell>
          <cell r="BJ563">
            <v>-12.2</v>
          </cell>
          <cell r="BK563">
            <v>-12.2</v>
          </cell>
          <cell r="BL563">
            <v>-12.2</v>
          </cell>
          <cell r="BM563">
            <v>-12.2</v>
          </cell>
          <cell r="BN563">
            <v>-12.2</v>
          </cell>
          <cell r="BO563">
            <v>-12.2</v>
          </cell>
          <cell r="BP563">
            <v>-12.2</v>
          </cell>
          <cell r="BQ563">
            <v>-12.2</v>
          </cell>
          <cell r="BR563">
            <v>-11.5</v>
          </cell>
          <cell r="BS563">
            <v>-11.5</v>
          </cell>
          <cell r="BT563">
            <v>-11.5</v>
          </cell>
          <cell r="BU563">
            <v>-11.5</v>
          </cell>
          <cell r="BV563">
            <v>-11.5</v>
          </cell>
          <cell r="BW563">
            <v>-11.5</v>
          </cell>
          <cell r="BX563">
            <v>-11.5</v>
          </cell>
          <cell r="BY563">
            <v>-11.5</v>
          </cell>
          <cell r="BZ563">
            <v>-11.5</v>
          </cell>
          <cell r="CA563">
            <v>-11.5</v>
          </cell>
          <cell r="CB563">
            <v>-11.5</v>
          </cell>
          <cell r="CC563">
            <v>-11.5</v>
          </cell>
          <cell r="CD563">
            <v>-10.8</v>
          </cell>
          <cell r="CE563">
            <v>-10.8</v>
          </cell>
          <cell r="CF563">
            <v>-10.8</v>
          </cell>
          <cell r="CG563">
            <v>-10.8</v>
          </cell>
          <cell r="CH563">
            <v>-10.8</v>
          </cell>
          <cell r="CI563">
            <v>-10.8</v>
          </cell>
          <cell r="CJ563">
            <v>-10.8</v>
          </cell>
          <cell r="CK563">
            <v>-10.8</v>
          </cell>
          <cell r="CL563">
            <v>-10.8</v>
          </cell>
          <cell r="CM563">
            <v>-10.8</v>
          </cell>
          <cell r="CN563">
            <v>-10.8</v>
          </cell>
          <cell r="CO563">
            <v>-10.8</v>
          </cell>
          <cell r="CP563">
            <v>-10.199999999999999</v>
          </cell>
          <cell r="CQ563">
            <v>-10.199999999999999</v>
          </cell>
          <cell r="CR563">
            <v>-10.199999999999999</v>
          </cell>
          <cell r="CS563">
            <v>-10.199999999999999</v>
          </cell>
          <cell r="CT563">
            <v>-10.199999999999999</v>
          </cell>
          <cell r="CU563">
            <v>-10.199999999999999</v>
          </cell>
          <cell r="CV563">
            <v>-10.199999999999999</v>
          </cell>
          <cell r="CW563">
            <v>-10.199999999999999</v>
          </cell>
          <cell r="CX563">
            <v>-10.199999999999999</v>
          </cell>
          <cell r="CY563">
            <v>-10.199999999999999</v>
          </cell>
          <cell r="CZ563">
            <v>-10.199999999999999</v>
          </cell>
          <cell r="DA563">
            <v>-10.199999999999999</v>
          </cell>
          <cell r="DB563">
            <v>-9.5</v>
          </cell>
          <cell r="DC563">
            <v>-9.5</v>
          </cell>
          <cell r="DD563">
            <v>-9.5</v>
          </cell>
          <cell r="DE563">
            <v>-7</v>
          </cell>
          <cell r="DF563">
            <v>-7</v>
          </cell>
          <cell r="DG563">
            <v>-7</v>
          </cell>
          <cell r="DH563">
            <v>-7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EM563">
            <v>0</v>
          </cell>
          <cell r="EN563">
            <v>-98.5</v>
          </cell>
          <cell r="EO563">
            <v>-153.6</v>
          </cell>
          <cell r="EP563">
            <v>-146.4</v>
          </cell>
          <cell r="EQ563">
            <v>-138</v>
          </cell>
          <cell r="ER563">
            <v>-129.6</v>
          </cell>
          <cell r="ES563">
            <v>-122.40000000000002</v>
          </cell>
        </row>
        <row r="564">
          <cell r="B564" t="str">
            <v>Taxes Other than Income</v>
          </cell>
          <cell r="E564" t="str">
            <v>Taxes Other than Income</v>
          </cell>
          <cell r="F564" t="str">
            <v>6900070</v>
          </cell>
          <cell r="G564" t="str">
            <v>A_6900070</v>
          </cell>
          <cell r="H564" t="str">
            <v>TOTI - Regulatory Assessment Fee</v>
          </cell>
          <cell r="J564">
            <v>190.1</v>
          </cell>
          <cell r="K564">
            <v>178.2</v>
          </cell>
          <cell r="L564">
            <v>152.30000000000001</v>
          </cell>
          <cell r="M564">
            <v>136.80000000000001</v>
          </cell>
          <cell r="N564">
            <v>125.1</v>
          </cell>
          <cell r="O564">
            <v>115.2</v>
          </cell>
          <cell r="P564">
            <v>111.2</v>
          </cell>
          <cell r="Q564">
            <v>104.9</v>
          </cell>
          <cell r="R564">
            <v>138.6</v>
          </cell>
          <cell r="S564">
            <v>79.099999999999994</v>
          </cell>
          <cell r="T564">
            <v>118.1</v>
          </cell>
          <cell r="U564">
            <v>190.1</v>
          </cell>
          <cell r="V564">
            <v>173.2</v>
          </cell>
          <cell r="W564">
            <v>172.3</v>
          </cell>
          <cell r="X564">
            <v>165.1</v>
          </cell>
          <cell r="Y564">
            <v>129</v>
          </cell>
          <cell r="Z564">
            <v>136.6</v>
          </cell>
          <cell r="AA564">
            <v>122.9</v>
          </cell>
          <cell r="AB564">
            <v>120.3</v>
          </cell>
          <cell r="AC564">
            <v>115.2</v>
          </cell>
          <cell r="AD564">
            <v>126.3</v>
          </cell>
          <cell r="AE564">
            <v>123.6</v>
          </cell>
          <cell r="AF564">
            <v>128.80000000000001</v>
          </cell>
          <cell r="AG564">
            <v>155.30000000000001</v>
          </cell>
          <cell r="AH564">
            <v>165.7</v>
          </cell>
          <cell r="AI564">
            <v>184.5</v>
          </cell>
          <cell r="AJ564">
            <v>161.69999999999999</v>
          </cell>
          <cell r="AK564">
            <v>145</v>
          </cell>
          <cell r="AL564">
            <v>134</v>
          </cell>
          <cell r="AM564">
            <v>147.4</v>
          </cell>
          <cell r="AN564">
            <v>135.4</v>
          </cell>
          <cell r="AO564">
            <v>147.30000000000001</v>
          </cell>
          <cell r="AP564">
            <v>142</v>
          </cell>
          <cell r="AQ564">
            <v>140.6</v>
          </cell>
          <cell r="AR564">
            <v>139.69999999999999</v>
          </cell>
          <cell r="AS564">
            <v>139.4</v>
          </cell>
          <cell r="AT564">
            <v>164.5</v>
          </cell>
          <cell r="AU564">
            <v>163.80000000000001</v>
          </cell>
          <cell r="AV564">
            <v>153.9</v>
          </cell>
          <cell r="AW564">
            <v>151.30000000000001</v>
          </cell>
          <cell r="AX564">
            <v>146.1</v>
          </cell>
          <cell r="AY564">
            <v>137.9</v>
          </cell>
          <cell r="AZ564">
            <v>127</v>
          </cell>
          <cell r="BA564">
            <v>131.30000000000001</v>
          </cell>
          <cell r="BB564">
            <v>138.19999999999999</v>
          </cell>
          <cell r="BC564">
            <v>131.19999999999999</v>
          </cell>
          <cell r="BD564">
            <v>148</v>
          </cell>
          <cell r="BE564">
            <v>173.2</v>
          </cell>
          <cell r="BF564">
            <v>224.6</v>
          </cell>
          <cell r="BG564">
            <v>208.7</v>
          </cell>
          <cell r="BH564">
            <v>168.6</v>
          </cell>
          <cell r="BI564">
            <v>173</v>
          </cell>
          <cell r="BJ564">
            <v>151.30000000000001</v>
          </cell>
          <cell r="BK564">
            <v>148.6</v>
          </cell>
          <cell r="BL564">
            <v>141.5</v>
          </cell>
          <cell r="BM564">
            <v>149.5</v>
          </cell>
          <cell r="BN564">
            <v>149.5</v>
          </cell>
          <cell r="BO564">
            <v>139.30000000000001</v>
          </cell>
          <cell r="BP564">
            <v>150.30000000000001</v>
          </cell>
          <cell r="BQ564">
            <v>179</v>
          </cell>
          <cell r="BR564">
            <v>192.3</v>
          </cell>
          <cell r="BS564">
            <v>192.6</v>
          </cell>
          <cell r="BT564">
            <v>173.1</v>
          </cell>
          <cell r="BU564">
            <v>166.4</v>
          </cell>
          <cell r="BV564">
            <v>156.19999999999999</v>
          </cell>
          <cell r="BW564">
            <v>145</v>
          </cell>
          <cell r="BX564">
            <v>138.19999999999999</v>
          </cell>
          <cell r="BY564">
            <v>132.5</v>
          </cell>
          <cell r="BZ564">
            <v>136.9</v>
          </cell>
          <cell r="CA564">
            <v>141.80000000000001</v>
          </cell>
          <cell r="CB564">
            <v>141.80000000000001</v>
          </cell>
          <cell r="CC564">
            <v>176.7</v>
          </cell>
          <cell r="CD564">
            <v>194.4</v>
          </cell>
          <cell r="CE564">
            <v>188.2</v>
          </cell>
          <cell r="CF564">
            <v>177.7</v>
          </cell>
          <cell r="CG564">
            <v>131.9</v>
          </cell>
          <cell r="CH564">
            <v>140.69999999999999</v>
          </cell>
          <cell r="CI564">
            <v>137.4</v>
          </cell>
          <cell r="CJ564">
            <v>151.80000000000001</v>
          </cell>
          <cell r="CK564">
            <v>134</v>
          </cell>
          <cell r="CL564">
            <v>127.1</v>
          </cell>
          <cell r="CM564">
            <v>135.6</v>
          </cell>
          <cell r="CN564">
            <v>148.6</v>
          </cell>
          <cell r="CO564">
            <v>178.7</v>
          </cell>
          <cell r="CP564">
            <v>247.9</v>
          </cell>
          <cell r="CQ564">
            <v>233.7</v>
          </cell>
          <cell r="CR564">
            <v>210.3</v>
          </cell>
          <cell r="CS564">
            <v>213.2</v>
          </cell>
          <cell r="CT564">
            <v>187.3</v>
          </cell>
          <cell r="CU564">
            <v>181</v>
          </cell>
          <cell r="CV564">
            <v>172.1</v>
          </cell>
          <cell r="CW564">
            <v>162.80000000000001</v>
          </cell>
          <cell r="CX564">
            <v>170.6</v>
          </cell>
          <cell r="CY564">
            <v>169.6</v>
          </cell>
          <cell r="CZ564">
            <v>206.2</v>
          </cell>
          <cell r="DA564">
            <v>224.8</v>
          </cell>
          <cell r="DB564">
            <v>254.3</v>
          </cell>
          <cell r="DC564">
            <v>285.89999999999998</v>
          </cell>
          <cell r="DD564">
            <v>254.8</v>
          </cell>
          <cell r="DE564">
            <v>240.9</v>
          </cell>
          <cell r="DF564">
            <v>229.5</v>
          </cell>
          <cell r="DG564">
            <v>227.1</v>
          </cell>
          <cell r="DH564">
            <v>207.9</v>
          </cell>
          <cell r="DI564">
            <v>242</v>
          </cell>
          <cell r="DJ564">
            <v>237.4</v>
          </cell>
          <cell r="DK564">
            <v>241.9</v>
          </cell>
          <cell r="DL564">
            <v>210</v>
          </cell>
          <cell r="DM564">
            <v>235.3</v>
          </cell>
          <cell r="DN564">
            <v>285.5</v>
          </cell>
          <cell r="DO564">
            <v>324</v>
          </cell>
          <cell r="DP564">
            <v>286.89999999999998</v>
          </cell>
          <cell r="DQ564">
            <v>270.3</v>
          </cell>
          <cell r="DR564">
            <v>256.89999999999998</v>
          </cell>
          <cell r="DS564">
            <v>237.7</v>
          </cell>
          <cell r="DT564">
            <v>232.9</v>
          </cell>
          <cell r="DU564">
            <v>236.5</v>
          </cell>
          <cell r="DV564">
            <v>241.5</v>
          </cell>
          <cell r="DW564">
            <v>264.60000000000002</v>
          </cell>
          <cell r="DX564">
            <v>295.5</v>
          </cell>
          <cell r="DY564">
            <v>333.7</v>
          </cell>
          <cell r="EM564">
            <v>1668.5999999999997</v>
          </cell>
          <cell r="EN564">
            <v>1782.7</v>
          </cell>
          <cell r="EO564">
            <v>1766.4</v>
          </cell>
          <cell r="EP564">
            <v>1983.8999999999999</v>
          </cell>
          <cell r="EQ564">
            <v>1893.5</v>
          </cell>
          <cell r="ER564">
            <v>1846.0999999999997</v>
          </cell>
          <cell r="ES564">
            <v>2379.5</v>
          </cell>
        </row>
        <row r="565">
          <cell r="B565" t="str">
            <v>Taxes Other than Income</v>
          </cell>
          <cell r="E565" t="str">
            <v>Taxes Other than Income</v>
          </cell>
          <cell r="F565" t="str">
            <v>6900080</v>
          </cell>
          <cell r="G565" t="str">
            <v>A_6900080</v>
          </cell>
          <cell r="H565" t="str">
            <v>TOTI - Sales and Use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</row>
        <row r="566">
          <cell r="B566" t="str">
            <v>Taxes Other than Income</v>
          </cell>
          <cell r="E566" t="str">
            <v>Taxes Other than Income</v>
          </cell>
          <cell r="F566" t="str">
            <v>6900110</v>
          </cell>
          <cell r="G566" t="str">
            <v>A_6900110</v>
          </cell>
          <cell r="H566" t="str">
            <v>TOTI - Federal Excise Tax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7.2</v>
          </cell>
          <cell r="Q566">
            <v>0</v>
          </cell>
          <cell r="R566">
            <v>0</v>
          </cell>
          <cell r="S566">
            <v>1</v>
          </cell>
          <cell r="T566">
            <v>0.5</v>
          </cell>
          <cell r="U566">
            <v>0.1</v>
          </cell>
          <cell r="V566">
            <v>0</v>
          </cell>
          <cell r="W566">
            <v>0</v>
          </cell>
          <cell r="X566">
            <v>0.1</v>
          </cell>
          <cell r="Y566">
            <v>0</v>
          </cell>
          <cell r="Z566">
            <v>0.1</v>
          </cell>
          <cell r="AA566">
            <v>0.1</v>
          </cell>
          <cell r="AB566">
            <v>6.9</v>
          </cell>
          <cell r="AC566">
            <v>0.2</v>
          </cell>
          <cell r="AD566">
            <v>0.1</v>
          </cell>
          <cell r="AE566">
            <v>0.1</v>
          </cell>
          <cell r="AF566">
            <v>0.1</v>
          </cell>
          <cell r="AG566">
            <v>0.1</v>
          </cell>
          <cell r="AH566">
            <v>0.1</v>
          </cell>
          <cell r="AI566">
            <v>0.2</v>
          </cell>
          <cell r="AJ566">
            <v>0.1</v>
          </cell>
          <cell r="AK566">
            <v>0.1</v>
          </cell>
          <cell r="AL566">
            <v>0.1</v>
          </cell>
          <cell r="AM566">
            <v>0.1</v>
          </cell>
          <cell r="AN566">
            <v>7</v>
          </cell>
          <cell r="AO566">
            <v>0.1</v>
          </cell>
          <cell r="AP566">
            <v>0.1</v>
          </cell>
          <cell r="AQ566">
            <v>0.1</v>
          </cell>
          <cell r="AR566">
            <v>0.1</v>
          </cell>
          <cell r="AS566">
            <v>0.1</v>
          </cell>
          <cell r="AT566">
            <v>0.1</v>
          </cell>
          <cell r="AU566">
            <v>0.1</v>
          </cell>
          <cell r="AV566">
            <v>0.1</v>
          </cell>
          <cell r="AW566">
            <v>0.1</v>
          </cell>
          <cell r="AX566">
            <v>6.7</v>
          </cell>
          <cell r="AY566">
            <v>0.1</v>
          </cell>
          <cell r="AZ566">
            <v>0</v>
          </cell>
          <cell r="BA566">
            <v>0.1</v>
          </cell>
          <cell r="BB566">
            <v>-3.7</v>
          </cell>
          <cell r="BC566">
            <v>0.2</v>
          </cell>
          <cell r="BD566">
            <v>0</v>
          </cell>
          <cell r="BE566">
            <v>0.1</v>
          </cell>
          <cell r="BF566">
            <v>0.1</v>
          </cell>
          <cell r="BG566">
            <v>0.1</v>
          </cell>
          <cell r="BH566">
            <v>0</v>
          </cell>
          <cell r="BI566">
            <v>0</v>
          </cell>
          <cell r="BJ566">
            <v>0.1</v>
          </cell>
          <cell r="BK566">
            <v>0.1</v>
          </cell>
          <cell r="BL566">
            <v>0.1</v>
          </cell>
          <cell r="BM566">
            <v>0</v>
          </cell>
          <cell r="BN566">
            <v>0.1</v>
          </cell>
          <cell r="BO566">
            <v>0</v>
          </cell>
          <cell r="BP566">
            <v>0</v>
          </cell>
          <cell r="BQ566">
            <v>0.1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0.1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EM566">
            <v>7.7999999999999989</v>
          </cell>
          <cell r="EN566">
            <v>8.1999999999999993</v>
          </cell>
          <cell r="EO566">
            <v>3.9</v>
          </cell>
          <cell r="EP566">
            <v>0.7</v>
          </cell>
          <cell r="EQ566">
            <v>0</v>
          </cell>
          <cell r="ER566">
            <v>0.1</v>
          </cell>
          <cell r="ES566">
            <v>0</v>
          </cell>
        </row>
        <row r="567">
          <cell r="B567" t="str">
            <v>Taxes Other than Income</v>
          </cell>
          <cell r="E567" t="str">
            <v>Taxes Other than Income</v>
          </cell>
          <cell r="F567" t="str">
            <v>6900120</v>
          </cell>
          <cell r="G567" t="str">
            <v>A_6900120</v>
          </cell>
          <cell r="H567" t="str">
            <v>TOTI - County/City Business License Tax</v>
          </cell>
          <cell r="J567">
            <v>0.1</v>
          </cell>
          <cell r="K567">
            <v>0</v>
          </cell>
          <cell r="L567">
            <v>0</v>
          </cell>
          <cell r="M567">
            <v>1.5</v>
          </cell>
          <cell r="N567">
            <v>0</v>
          </cell>
          <cell r="O567">
            <v>0</v>
          </cell>
          <cell r="P567">
            <v>2.7</v>
          </cell>
          <cell r="Q567">
            <v>6.6</v>
          </cell>
          <cell r="R567">
            <v>3.7</v>
          </cell>
          <cell r="S567">
            <v>0.4</v>
          </cell>
          <cell r="T567">
            <v>0</v>
          </cell>
          <cell r="U567">
            <v>0.1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0.4</v>
          </cell>
          <cell r="AA567">
            <v>0</v>
          </cell>
          <cell r="AB567">
            <v>2.6</v>
          </cell>
          <cell r="AC567">
            <v>6.3</v>
          </cell>
          <cell r="AD567">
            <v>1.4</v>
          </cell>
          <cell r="AE567">
            <v>0.2</v>
          </cell>
          <cell r="AF567">
            <v>0</v>
          </cell>
          <cell r="AG567">
            <v>0.3</v>
          </cell>
          <cell r="AH567">
            <v>0.1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0.5</v>
          </cell>
          <cell r="AN567">
            <v>2.4</v>
          </cell>
          <cell r="AO567">
            <v>6.4</v>
          </cell>
          <cell r="AP567">
            <v>1.3</v>
          </cell>
          <cell r="AQ567">
            <v>0.2</v>
          </cell>
          <cell r="AR567">
            <v>0</v>
          </cell>
          <cell r="AS567">
            <v>0.2</v>
          </cell>
          <cell r="AT567">
            <v>0</v>
          </cell>
          <cell r="AU567">
            <v>0.1</v>
          </cell>
          <cell r="AV567">
            <v>2</v>
          </cell>
          <cell r="AW567">
            <v>0</v>
          </cell>
          <cell r="AX567">
            <v>0.4</v>
          </cell>
          <cell r="AY567">
            <v>0.5</v>
          </cell>
          <cell r="AZ567">
            <v>0.2</v>
          </cell>
          <cell r="BA567">
            <v>9.3000000000000007</v>
          </cell>
          <cell r="BB567">
            <v>0.6</v>
          </cell>
          <cell r="BC567">
            <v>0.8</v>
          </cell>
          <cell r="BD567">
            <v>0</v>
          </cell>
          <cell r="BE567">
            <v>0.2</v>
          </cell>
          <cell r="BF567">
            <v>0</v>
          </cell>
          <cell r="BG567">
            <v>0.1</v>
          </cell>
          <cell r="BH567">
            <v>0</v>
          </cell>
          <cell r="BI567">
            <v>0.1</v>
          </cell>
          <cell r="BJ567">
            <v>0</v>
          </cell>
          <cell r="BK567">
            <v>0.5</v>
          </cell>
          <cell r="BL567">
            <v>0</v>
          </cell>
          <cell r="BM567">
            <v>6.6</v>
          </cell>
          <cell r="BN567">
            <v>3.7</v>
          </cell>
          <cell r="BO567">
            <v>3.4</v>
          </cell>
          <cell r="BP567">
            <v>0.2</v>
          </cell>
          <cell r="BQ567">
            <v>-0.1</v>
          </cell>
          <cell r="BR567">
            <v>0</v>
          </cell>
          <cell r="BS567">
            <v>0.1</v>
          </cell>
          <cell r="BT567">
            <v>0</v>
          </cell>
          <cell r="BU567">
            <v>0</v>
          </cell>
          <cell r="BV567">
            <v>0</v>
          </cell>
          <cell r="BW567">
            <v>0.5</v>
          </cell>
          <cell r="BX567">
            <v>0</v>
          </cell>
          <cell r="BY567">
            <v>5.8</v>
          </cell>
          <cell r="BZ567">
            <v>0.8</v>
          </cell>
          <cell r="CA567">
            <v>0</v>
          </cell>
          <cell r="CB567">
            <v>0.2</v>
          </cell>
          <cell r="CC567">
            <v>0.1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1.6</v>
          </cell>
          <cell r="CJ567">
            <v>0.3</v>
          </cell>
          <cell r="CK567">
            <v>7.8</v>
          </cell>
          <cell r="CL567">
            <v>4.2</v>
          </cell>
          <cell r="CM567">
            <v>2.5</v>
          </cell>
          <cell r="CN567">
            <v>0.2</v>
          </cell>
          <cell r="CO567">
            <v>0.2</v>
          </cell>
          <cell r="CP567">
            <v>0</v>
          </cell>
          <cell r="CQ567">
            <v>0.1</v>
          </cell>
          <cell r="CR567">
            <v>-0.2</v>
          </cell>
          <cell r="CS567">
            <v>0.1</v>
          </cell>
          <cell r="CT567">
            <v>0</v>
          </cell>
          <cell r="CU567">
            <v>0</v>
          </cell>
          <cell r="CV567">
            <v>2.7</v>
          </cell>
          <cell r="CW567">
            <v>0.9</v>
          </cell>
          <cell r="CX567">
            <v>7.8</v>
          </cell>
          <cell r="CY567">
            <v>0</v>
          </cell>
          <cell r="CZ567">
            <v>0.2</v>
          </cell>
          <cell r="DA567">
            <v>0</v>
          </cell>
          <cell r="DB567">
            <v>-1.5</v>
          </cell>
          <cell r="DC567">
            <v>-0.8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1.1000000000000001</v>
          </cell>
          <cell r="DI567">
            <v>7.5</v>
          </cell>
          <cell r="DJ567">
            <v>4.3</v>
          </cell>
          <cell r="DK567">
            <v>0</v>
          </cell>
          <cell r="DL567">
            <v>0.1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EM567">
            <v>11.200000000000001</v>
          </cell>
          <cell r="EN567">
            <v>11.1</v>
          </cell>
          <cell r="EO567">
            <v>14.1</v>
          </cell>
          <cell r="EP567">
            <v>14.5</v>
          </cell>
          <cell r="EQ567">
            <v>7.4999999999999991</v>
          </cell>
          <cell r="ER567">
            <v>16.799999999999997</v>
          </cell>
          <cell r="ES567">
            <v>11.6</v>
          </cell>
        </row>
        <row r="568">
          <cell r="B568" t="str">
            <v>Taxes Other than Income</v>
          </cell>
          <cell r="E568" t="str">
            <v>Taxes Other than Income</v>
          </cell>
          <cell r="F568" t="str">
            <v>6900800</v>
          </cell>
          <cell r="G568" t="str">
            <v>A_6900800</v>
          </cell>
          <cell r="H568" t="str">
            <v>Taxes other than income - Other</v>
          </cell>
          <cell r="J568">
            <v>-48.8</v>
          </cell>
          <cell r="K568">
            <v>-135.5</v>
          </cell>
          <cell r="L568">
            <v>26.2</v>
          </cell>
          <cell r="M568">
            <v>-49.9</v>
          </cell>
          <cell r="N568">
            <v>-50.4</v>
          </cell>
          <cell r="O568">
            <v>-73.8</v>
          </cell>
          <cell r="P568">
            <v>-50.2</v>
          </cell>
          <cell r="Q568">
            <v>-46.6</v>
          </cell>
          <cell r="R568">
            <v>-47.1</v>
          </cell>
          <cell r="S568">
            <v>-48.9</v>
          </cell>
          <cell r="T568">
            <v>-77.900000000000006</v>
          </cell>
          <cell r="U568">
            <v>-57.1</v>
          </cell>
          <cell r="V568">
            <v>-72.7</v>
          </cell>
          <cell r="W568">
            <v>-99.3</v>
          </cell>
          <cell r="X568">
            <v>-13.5</v>
          </cell>
          <cell r="Y568">
            <v>-40.200000000000003</v>
          </cell>
          <cell r="Z568">
            <v>-76.8</v>
          </cell>
          <cell r="AA568">
            <v>-51.6</v>
          </cell>
          <cell r="AB568">
            <v>-50.6</v>
          </cell>
          <cell r="AC568">
            <v>-47.6</v>
          </cell>
          <cell r="AD568">
            <v>-47.8</v>
          </cell>
          <cell r="AE568">
            <v>-43.5</v>
          </cell>
          <cell r="AF568">
            <v>-65.7</v>
          </cell>
          <cell r="AG568">
            <v>4.0999999999999996</v>
          </cell>
          <cell r="AH568">
            <v>-58.8</v>
          </cell>
          <cell r="AI568">
            <v>-51</v>
          </cell>
          <cell r="AJ568">
            <v>-45.5</v>
          </cell>
          <cell r="AK568">
            <v>-81.8</v>
          </cell>
          <cell r="AL568">
            <v>-52.2</v>
          </cell>
          <cell r="AM568">
            <v>-53.7</v>
          </cell>
          <cell r="AN568">
            <v>-54.5</v>
          </cell>
          <cell r="AO568">
            <v>-53.4</v>
          </cell>
          <cell r="AP568">
            <v>-57.1</v>
          </cell>
          <cell r="AQ568">
            <v>-83</v>
          </cell>
          <cell r="AR568">
            <v>-59</v>
          </cell>
          <cell r="AS568">
            <v>-55.5</v>
          </cell>
          <cell r="AT568">
            <v>-58.9</v>
          </cell>
          <cell r="AU568">
            <v>-83.9</v>
          </cell>
          <cell r="AV568">
            <v>-76.900000000000006</v>
          </cell>
          <cell r="AW568">
            <v>-106.9</v>
          </cell>
          <cell r="AX568">
            <v>-71.2</v>
          </cell>
          <cell r="AY568">
            <v>-72.5</v>
          </cell>
          <cell r="AZ568">
            <v>-69</v>
          </cell>
          <cell r="BA568">
            <v>-80</v>
          </cell>
          <cell r="BB568">
            <v>-108.6</v>
          </cell>
          <cell r="BC568">
            <v>-80.5</v>
          </cell>
          <cell r="BD568">
            <v>-70.7</v>
          </cell>
          <cell r="BE568">
            <v>224.2</v>
          </cell>
          <cell r="BF568">
            <v>-68.2</v>
          </cell>
          <cell r="BG568">
            <v>-79.599999999999994</v>
          </cell>
          <cell r="BH568">
            <v>-285.10000000000002</v>
          </cell>
          <cell r="BI568">
            <v>-111.2</v>
          </cell>
          <cell r="BJ568">
            <v>-75</v>
          </cell>
          <cell r="BK568">
            <v>-72.8</v>
          </cell>
          <cell r="BL568">
            <v>-77.599999999999994</v>
          </cell>
          <cell r="BM568">
            <v>-75</v>
          </cell>
          <cell r="BN568">
            <v>-126.1</v>
          </cell>
          <cell r="BO568">
            <v>-84.5</v>
          </cell>
          <cell r="BP568">
            <v>-118.9</v>
          </cell>
          <cell r="BQ568">
            <v>-132.9</v>
          </cell>
          <cell r="BR568">
            <v>-89.6</v>
          </cell>
          <cell r="BS568">
            <v>-143.19999999999999</v>
          </cell>
          <cell r="BT568">
            <v>-87</v>
          </cell>
          <cell r="BU568">
            <v>-88.9</v>
          </cell>
          <cell r="BV568">
            <v>-82.7</v>
          </cell>
          <cell r="BW568">
            <v>-86.9</v>
          </cell>
          <cell r="BX568">
            <v>-88.5</v>
          </cell>
          <cell r="BY568">
            <v>-79.599999999999994</v>
          </cell>
          <cell r="BZ568">
            <v>-123</v>
          </cell>
          <cell r="CA568">
            <v>-82</v>
          </cell>
          <cell r="CB568">
            <v>-83</v>
          </cell>
          <cell r="CC568">
            <v>-86.7</v>
          </cell>
          <cell r="CD568">
            <v>-85.5</v>
          </cell>
          <cell r="CE568">
            <v>-144.5</v>
          </cell>
          <cell r="CF568">
            <v>-92.7</v>
          </cell>
          <cell r="CG568">
            <v>-101.1</v>
          </cell>
          <cell r="CH568">
            <v>-89</v>
          </cell>
          <cell r="CI568">
            <v>-94.2</v>
          </cell>
          <cell r="CJ568">
            <v>-91.5</v>
          </cell>
          <cell r="CK568">
            <v>-133.6</v>
          </cell>
          <cell r="CL568">
            <v>-86.1</v>
          </cell>
          <cell r="CM568">
            <v>-89.4</v>
          </cell>
          <cell r="CN568">
            <v>-87</v>
          </cell>
          <cell r="CO568">
            <v>-95.1</v>
          </cell>
          <cell r="CP568">
            <v>-138</v>
          </cell>
          <cell r="CQ568">
            <v>-102.2</v>
          </cell>
          <cell r="CR568">
            <v>-107.4</v>
          </cell>
          <cell r="CS568">
            <v>-116.5</v>
          </cell>
          <cell r="CT568">
            <v>-99.7</v>
          </cell>
          <cell r="CU568">
            <v>-100.9</v>
          </cell>
          <cell r="CV568">
            <v>-98.3</v>
          </cell>
          <cell r="CW568">
            <v>-143.6</v>
          </cell>
          <cell r="CX568">
            <v>-93.1</v>
          </cell>
          <cell r="CY568">
            <v>-199.1</v>
          </cell>
          <cell r="CZ568">
            <v>-104</v>
          </cell>
          <cell r="DA568">
            <v>-100.8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-32.700000000000003</v>
          </cell>
          <cell r="DO568">
            <v>-18.8</v>
          </cell>
          <cell r="DP568">
            <v>-83.5</v>
          </cell>
          <cell r="DQ568">
            <v>-54.9</v>
          </cell>
          <cell r="DR568">
            <v>-75.5</v>
          </cell>
          <cell r="DS568">
            <v>83.6</v>
          </cell>
          <cell r="DT568">
            <v>-62.3</v>
          </cell>
          <cell r="DU568">
            <v>-88.5</v>
          </cell>
          <cell r="DV568">
            <v>-80.900000000000006</v>
          </cell>
          <cell r="DW568">
            <v>-72.7</v>
          </cell>
          <cell r="DX568">
            <v>-95.5</v>
          </cell>
          <cell r="DY568">
            <v>34.6</v>
          </cell>
          <cell r="EM568">
            <v>-605.20000000000016</v>
          </cell>
          <cell r="EN568">
            <v>-705.5</v>
          </cell>
          <cell r="EO568">
            <v>-654.90000000000009</v>
          </cell>
          <cell r="EP568">
            <v>-1306.9000000000001</v>
          </cell>
          <cell r="EQ568">
            <v>-1121.1000000000001</v>
          </cell>
          <cell r="ER568">
            <v>-1189.6999999999998</v>
          </cell>
          <cell r="ES568">
            <v>-1403.6</v>
          </cell>
        </row>
        <row r="569">
          <cell r="B569" t="str">
            <v>Taxes Other than Income</v>
          </cell>
          <cell r="E569" t="str">
            <v>Taxes Other than Income</v>
          </cell>
          <cell r="F569" t="str">
            <v>6900800</v>
          </cell>
          <cell r="G569" t="str">
            <v>A_S6900800</v>
          </cell>
          <cell r="H569" t="str">
            <v>Taxes other than income - Other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44.4</v>
          </cell>
          <cell r="DO569">
            <v>44.4</v>
          </cell>
          <cell r="DP569">
            <v>44.4</v>
          </cell>
          <cell r="DQ569">
            <v>44.4</v>
          </cell>
          <cell r="DR569">
            <v>44.4</v>
          </cell>
          <cell r="DS569">
            <v>44.4</v>
          </cell>
          <cell r="DT569">
            <v>44.4</v>
          </cell>
          <cell r="DU569">
            <v>44.4</v>
          </cell>
          <cell r="DV569">
            <v>44.4</v>
          </cell>
          <cell r="DW569">
            <v>44.4</v>
          </cell>
          <cell r="DX569">
            <v>44.4</v>
          </cell>
          <cell r="DY569">
            <v>229.8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</row>
        <row r="570">
          <cell r="B570" t="str">
            <v>Taxes Other than Income</v>
          </cell>
          <cell r="E570" t="str">
            <v>Taxes Other than Income</v>
          </cell>
          <cell r="F570" t="str">
            <v>OTI Adj</v>
          </cell>
          <cell r="G570" t="str">
            <v>TOTI Adj</v>
          </cell>
          <cell r="H570" t="str">
            <v>TOTI FORECAST ADJUSTMENT TO RECON</v>
          </cell>
          <cell r="I570" t="str">
            <v>INPUT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</row>
        <row r="571">
          <cell r="B571" t="str">
            <v>Taxes Other than Income</v>
          </cell>
          <cell r="E571" t="str">
            <v>Taxes Other than Income</v>
          </cell>
          <cell r="F571" t="str">
            <v>6909000</v>
          </cell>
          <cell r="G571" t="str">
            <v>A_6909000</v>
          </cell>
          <cell r="H571" t="str">
            <v>Taxes other than income Exp sent to Balance Sheet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-0.2</v>
          </cell>
          <cell r="AI571">
            <v>-0.4</v>
          </cell>
          <cell r="AJ571">
            <v>0.6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-0.1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-0.5</v>
          </cell>
          <cell r="BP571">
            <v>-0.5</v>
          </cell>
          <cell r="BQ571">
            <v>-2.4</v>
          </cell>
          <cell r="BR571">
            <v>-0.6</v>
          </cell>
          <cell r="BS571">
            <v>-0.5</v>
          </cell>
          <cell r="BT571">
            <v>-0.7</v>
          </cell>
          <cell r="BU571">
            <v>0</v>
          </cell>
          <cell r="BV571">
            <v>-1.1000000000000001</v>
          </cell>
          <cell r="BW571">
            <v>-0.6</v>
          </cell>
          <cell r="BX571">
            <v>-3.6</v>
          </cell>
          <cell r="BY571">
            <v>-0.7</v>
          </cell>
          <cell r="BZ571">
            <v>-0.5</v>
          </cell>
          <cell r="CA571">
            <v>-0.5</v>
          </cell>
          <cell r="CB571">
            <v>-1</v>
          </cell>
          <cell r="CC571">
            <v>-0.7</v>
          </cell>
          <cell r="CD571">
            <v>-0.7</v>
          </cell>
          <cell r="CE571">
            <v>-0.8</v>
          </cell>
          <cell r="CF571">
            <v>-0.8</v>
          </cell>
          <cell r="CG571">
            <v>-0.9</v>
          </cell>
          <cell r="CH571">
            <v>-0.6</v>
          </cell>
          <cell r="CI571">
            <v>-0.9</v>
          </cell>
          <cell r="CJ571">
            <v>-1</v>
          </cell>
          <cell r="CK571">
            <v>-0.8</v>
          </cell>
          <cell r="CL571">
            <v>-4</v>
          </cell>
          <cell r="CM571">
            <v>-0.9</v>
          </cell>
          <cell r="CN571">
            <v>-0.9</v>
          </cell>
          <cell r="CO571">
            <v>-0.9</v>
          </cell>
          <cell r="CP571">
            <v>-0.8</v>
          </cell>
          <cell r="CQ571">
            <v>-0.8</v>
          </cell>
          <cell r="CR571">
            <v>-1</v>
          </cell>
          <cell r="CS571">
            <v>0.2</v>
          </cell>
          <cell r="CT571">
            <v>-0.8</v>
          </cell>
          <cell r="CU571">
            <v>-0.8</v>
          </cell>
          <cell r="CV571">
            <v>-0.8</v>
          </cell>
          <cell r="CW571">
            <v>-0.7</v>
          </cell>
          <cell r="CX571">
            <v>-1.4</v>
          </cell>
          <cell r="CY571">
            <v>-0.8</v>
          </cell>
          <cell r="CZ571">
            <v>-0.9</v>
          </cell>
          <cell r="DA571">
            <v>-1.3</v>
          </cell>
          <cell r="DB571">
            <v>-48.4</v>
          </cell>
          <cell r="DC571">
            <v>-55</v>
          </cell>
          <cell r="DD571">
            <v>-56.8</v>
          </cell>
          <cell r="DE571">
            <v>-50.5</v>
          </cell>
          <cell r="DF571">
            <v>-59.3</v>
          </cell>
          <cell r="DG571">
            <v>-60.5</v>
          </cell>
          <cell r="DH571">
            <v>-66.8</v>
          </cell>
          <cell r="DI571">
            <v>-68.7</v>
          </cell>
          <cell r="DJ571">
            <v>-63.5</v>
          </cell>
          <cell r="DK571">
            <v>-59.7</v>
          </cell>
          <cell r="DL571">
            <v>-99.6</v>
          </cell>
          <cell r="DM571">
            <v>-55.8</v>
          </cell>
          <cell r="DN571">
            <v>-534</v>
          </cell>
          <cell r="DO571">
            <v>-617.9</v>
          </cell>
          <cell r="DP571">
            <v>-608.29999999999995</v>
          </cell>
          <cell r="DQ571">
            <v>-605.5</v>
          </cell>
          <cell r="DR571">
            <v>-602.70000000000005</v>
          </cell>
          <cell r="DS571">
            <v>-614.79999999999995</v>
          </cell>
          <cell r="DT571">
            <v>-617.5</v>
          </cell>
          <cell r="DU571">
            <v>-621.79999999999995</v>
          </cell>
          <cell r="DV571">
            <v>-632.6</v>
          </cell>
          <cell r="DW571">
            <v>-640.9</v>
          </cell>
          <cell r="DX571">
            <v>-648.20000000000005</v>
          </cell>
          <cell r="DY571">
            <v>-665.2</v>
          </cell>
          <cell r="EM571">
            <v>0</v>
          </cell>
          <cell r="EN571">
            <v>-1.1102230246251565E-16</v>
          </cell>
          <cell r="EO571">
            <v>-0.1</v>
          </cell>
          <cell r="EP571">
            <v>-3.4</v>
          </cell>
          <cell r="EQ571">
            <v>-10.5</v>
          </cell>
          <cell r="ER571">
            <v>-13.200000000000001</v>
          </cell>
          <cell r="ES571">
            <v>-9.9</v>
          </cell>
        </row>
        <row r="572">
          <cell r="B572" t="str">
            <v>Taxes Other than Income</v>
          </cell>
          <cell r="E572" t="str">
            <v>Taxes Other than Income</v>
          </cell>
          <cell r="F572" t="str">
            <v>6909000</v>
          </cell>
          <cell r="G572" t="str">
            <v>A_S6909000</v>
          </cell>
          <cell r="H572" t="str">
            <v>Settled Taxes other than income Exp sent to Balance Sheet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</row>
        <row r="573">
          <cell r="F573" t="str">
            <v>690</v>
          </cell>
          <cell r="G573">
            <v>690</v>
          </cell>
          <cell r="J573">
            <v>3892.4999999999995</v>
          </cell>
          <cell r="K573">
            <v>3436.1999999999994</v>
          </cell>
          <cell r="L573">
            <v>3281</v>
          </cell>
          <cell r="M573">
            <v>2996.5</v>
          </cell>
          <cell r="N573">
            <v>2787.5</v>
          </cell>
          <cell r="O573">
            <v>2568.9999999999995</v>
          </cell>
          <cell r="P573">
            <v>2486.3999999999996</v>
          </cell>
          <cell r="Q573">
            <v>2122.4</v>
          </cell>
          <cell r="R573">
            <v>2532.2999999999997</v>
          </cell>
          <cell r="S573">
            <v>2587.3000000000002</v>
          </cell>
          <cell r="T573">
            <v>2717</v>
          </cell>
          <cell r="U573">
            <v>3321.7999999999993</v>
          </cell>
          <cell r="V573">
            <v>3503.3</v>
          </cell>
          <cell r="W573">
            <v>3647.4</v>
          </cell>
          <cell r="X573">
            <v>3545.1</v>
          </cell>
          <cell r="Y573">
            <v>3066.8</v>
          </cell>
          <cell r="Z573">
            <v>2633.1999999999994</v>
          </cell>
          <cell r="AA573">
            <v>2702.2000000000003</v>
          </cell>
          <cell r="AB573">
            <v>3005.8</v>
          </cell>
          <cell r="AC573">
            <v>1967.1000000000001</v>
          </cell>
          <cell r="AD573">
            <v>2591.3000000000002</v>
          </cell>
          <cell r="AE573">
            <v>2739.2</v>
          </cell>
          <cell r="AF573">
            <v>2790.7000000000003</v>
          </cell>
          <cell r="AG573">
            <v>3139.7</v>
          </cell>
          <cell r="AH573">
            <v>3675.6</v>
          </cell>
          <cell r="AI573">
            <v>3880.4</v>
          </cell>
          <cell r="AJ573">
            <v>3598.7999999999997</v>
          </cell>
          <cell r="AK573">
            <v>3053.2999999999997</v>
          </cell>
          <cell r="AL573">
            <v>2970.8</v>
          </cell>
          <cell r="AM573">
            <v>2754</v>
          </cell>
          <cell r="AN573">
            <v>2703.5</v>
          </cell>
          <cell r="AO573">
            <v>2633.1</v>
          </cell>
          <cell r="AP573">
            <v>2780.5</v>
          </cell>
          <cell r="AQ573">
            <v>2619.3999999999996</v>
          </cell>
          <cell r="AR573">
            <v>2402.9</v>
          </cell>
          <cell r="AS573">
            <v>3156.8999999999996</v>
          </cell>
          <cell r="AT573">
            <v>3563.4999999999995</v>
          </cell>
          <cell r="AU573">
            <v>3391.6</v>
          </cell>
          <cell r="AV573">
            <v>3415.1999999999994</v>
          </cell>
          <cell r="AW573">
            <v>3205.7999999999997</v>
          </cell>
          <cell r="AX573">
            <v>2732.3999999999996</v>
          </cell>
          <cell r="AY573">
            <v>2752.8999999999996</v>
          </cell>
          <cell r="AZ573">
            <v>2529.5999999999995</v>
          </cell>
          <cell r="BA573">
            <v>2603.7000000000003</v>
          </cell>
          <cell r="BB573">
            <v>2612.1999999999998</v>
          </cell>
          <cell r="BC573">
            <v>2705.0999999999995</v>
          </cell>
          <cell r="BD573">
            <v>2637.5</v>
          </cell>
          <cell r="BE573">
            <v>3568.9999999999991</v>
          </cell>
          <cell r="BF573">
            <v>4293.0000000000009</v>
          </cell>
          <cell r="BG573">
            <v>3962.4</v>
          </cell>
          <cell r="BH573">
            <v>3386.1000000000004</v>
          </cell>
          <cell r="BI573">
            <v>3506.5000000000005</v>
          </cell>
          <cell r="BJ573">
            <v>3171.1</v>
          </cell>
          <cell r="BK573">
            <v>3092.6000000000004</v>
          </cell>
          <cell r="BL573">
            <v>2884.2</v>
          </cell>
          <cell r="BM573">
            <v>2967.9</v>
          </cell>
          <cell r="BN573">
            <v>2965</v>
          </cell>
          <cell r="BO573">
            <v>2866.2000000000003</v>
          </cell>
          <cell r="BP573">
            <v>2483</v>
          </cell>
          <cell r="BQ573">
            <v>3598.2000000000003</v>
          </cell>
          <cell r="BR573">
            <v>4288.2</v>
          </cell>
          <cell r="BS573">
            <v>4070.2000000000007</v>
          </cell>
          <cell r="BT573">
            <v>3789.1000000000004</v>
          </cell>
          <cell r="BU573">
            <v>3442.8</v>
          </cell>
          <cell r="BV573">
            <v>3366.4</v>
          </cell>
          <cell r="BW573">
            <v>3158.4</v>
          </cell>
          <cell r="BX573">
            <v>3097.2999999999997</v>
          </cell>
          <cell r="BY573">
            <v>2626.9</v>
          </cell>
          <cell r="BZ573">
            <v>2970.4</v>
          </cell>
          <cell r="CA573">
            <v>2978.5</v>
          </cell>
          <cell r="CB573">
            <v>3297.6</v>
          </cell>
          <cell r="CC573">
            <v>3991.4</v>
          </cell>
          <cell r="CD573">
            <v>4312</v>
          </cell>
          <cell r="CE573">
            <v>4194.5999999999995</v>
          </cell>
          <cell r="CF573">
            <v>3893.2999999999997</v>
          </cell>
          <cell r="CG573">
            <v>3375.7</v>
          </cell>
          <cell r="CH573">
            <v>3188.2999999999997</v>
          </cell>
          <cell r="CI573">
            <v>3128.7999999999997</v>
          </cell>
          <cell r="CJ573">
            <v>3193.2</v>
          </cell>
          <cell r="CK573">
            <v>3067.7999999999997</v>
          </cell>
          <cell r="CL573">
            <v>2893.9999999999995</v>
          </cell>
          <cell r="CM573">
            <v>3161.7999999999997</v>
          </cell>
          <cell r="CN573">
            <v>2931.3999999999996</v>
          </cell>
          <cell r="CO573">
            <v>3461.7999999999997</v>
          </cell>
          <cell r="CP573">
            <v>4843.2999999999993</v>
          </cell>
          <cell r="CQ573">
            <v>4568.8999999999996</v>
          </cell>
          <cell r="CR573">
            <v>4313.1000000000013</v>
          </cell>
          <cell r="CS573">
            <v>4221.7</v>
          </cell>
          <cell r="CT573">
            <v>3860.2000000000003</v>
          </cell>
          <cell r="CU573">
            <v>3613.1</v>
          </cell>
          <cell r="CV573">
            <v>3846.1999999999994</v>
          </cell>
          <cell r="CW573">
            <v>3454.6000000000008</v>
          </cell>
          <cell r="CX573">
            <v>2946.4000000000005</v>
          </cell>
          <cell r="CY573">
            <v>3453.8</v>
          </cell>
          <cell r="CZ573">
            <v>3831.6999999999994</v>
          </cell>
          <cell r="DA573">
            <v>4551.8</v>
          </cell>
          <cell r="DB573">
            <v>5207.5000000000009</v>
          </cell>
          <cell r="DC573">
            <v>5297</v>
          </cell>
          <cell r="DD573">
            <v>5048.1000000000004</v>
          </cell>
          <cell r="DE573">
            <v>4822</v>
          </cell>
          <cell r="DF573">
            <v>4540</v>
          </cell>
          <cell r="DG573">
            <v>4485</v>
          </cell>
          <cell r="DH573">
            <v>4093.7</v>
          </cell>
          <cell r="DI573">
            <v>4199</v>
          </cell>
          <cell r="DJ573">
            <v>3612.7000000000003</v>
          </cell>
          <cell r="DK573">
            <v>4394.7</v>
          </cell>
          <cell r="DL573">
            <v>3971.5000000000005</v>
          </cell>
          <cell r="DM573">
            <v>5081.7999999999993</v>
          </cell>
          <cell r="DN573">
            <v>5276.1</v>
          </cell>
          <cell r="DO573">
            <v>5458.8</v>
          </cell>
          <cell r="DP573">
            <v>4974.2999999999993</v>
          </cell>
          <cell r="DQ573">
            <v>4643.2</v>
          </cell>
          <cell r="DR573">
            <v>4441.2</v>
          </cell>
          <cell r="DS573">
            <v>4296.0999999999995</v>
          </cell>
          <cell r="DT573">
            <v>3910.1999999999989</v>
          </cell>
          <cell r="DU573">
            <v>3928.0999999999995</v>
          </cell>
          <cell r="DV573">
            <v>3966.3000000000006</v>
          </cell>
          <cell r="DW573">
            <v>4209.5</v>
          </cell>
          <cell r="DX573">
            <v>4555.7</v>
          </cell>
          <cell r="DY573">
            <v>5211.5</v>
          </cell>
          <cell r="EM573">
            <v>35331.800000000003</v>
          </cell>
          <cell r="EN573">
            <v>36229.199999999997</v>
          </cell>
          <cell r="EO573">
            <v>35718.499999999993</v>
          </cell>
          <cell r="EP573">
            <v>39176.200000000004</v>
          </cell>
          <cell r="EQ573">
            <v>41077.200000000012</v>
          </cell>
          <cell r="ER573">
            <v>40802.700000000004</v>
          </cell>
          <cell r="ES573">
            <v>47504.800000000003</v>
          </cell>
        </row>
        <row r="574">
          <cell r="A574" t="str">
            <v>Interest Income</v>
          </cell>
          <cell r="B574" t="str">
            <v>Interest &amp; Dividend Income</v>
          </cell>
          <cell r="E574" t="str">
            <v>Interest &amp; Dividend Income</v>
          </cell>
          <cell r="F574" t="str">
            <v>7000080</v>
          </cell>
          <cell r="G574" t="str">
            <v>A_7000080</v>
          </cell>
          <cell r="H574" t="str">
            <v>Interest Inc - Dividends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</row>
        <row r="575">
          <cell r="A575" t="str">
            <v>Interest Income</v>
          </cell>
          <cell r="B575" t="str">
            <v>Interest &amp; Dividend Income</v>
          </cell>
          <cell r="E575" t="str">
            <v>Interest &amp; Dividend Income</v>
          </cell>
          <cell r="F575" t="str">
            <v>7000090</v>
          </cell>
          <cell r="G575" t="str">
            <v>A_7000090</v>
          </cell>
          <cell r="H575" t="str">
            <v>Interest Inc - Deferred Cost Recovery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8.5</v>
          </cell>
          <cell r="CG575">
            <v>45.2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53.7</v>
          </cell>
          <cell r="ES575">
            <v>0</v>
          </cell>
        </row>
        <row r="576">
          <cell r="A576" t="str">
            <v>Interest Income</v>
          </cell>
          <cell r="B576" t="str">
            <v>Interest &amp; Dividend Income</v>
          </cell>
          <cell r="E576" t="str">
            <v>Interest &amp; Dividend Income</v>
          </cell>
          <cell r="F576" t="str">
            <v>7000240</v>
          </cell>
          <cell r="G576" t="str">
            <v>A_7000240</v>
          </cell>
          <cell r="H576" t="str">
            <v>Interest Inc - Defd Conservation Clause</v>
          </cell>
          <cell r="J576">
            <v>0.1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0.2</v>
          </cell>
          <cell r="BB576">
            <v>0.6</v>
          </cell>
          <cell r="BC576">
            <v>1.3</v>
          </cell>
          <cell r="BD576">
            <v>2.4</v>
          </cell>
          <cell r="BE576">
            <v>3</v>
          </cell>
          <cell r="BF576">
            <v>2.6</v>
          </cell>
          <cell r="BG576">
            <v>1.8</v>
          </cell>
          <cell r="BH576">
            <v>2</v>
          </cell>
          <cell r="BI576">
            <v>3.1</v>
          </cell>
          <cell r="BJ576">
            <v>3.7</v>
          </cell>
          <cell r="BK576">
            <v>3.6</v>
          </cell>
          <cell r="BL576">
            <v>4.5</v>
          </cell>
          <cell r="BM576">
            <v>5.9</v>
          </cell>
          <cell r="BN576">
            <v>6.5</v>
          </cell>
          <cell r="BO576">
            <v>7.7</v>
          </cell>
          <cell r="BP576">
            <v>8.6999999999999993</v>
          </cell>
          <cell r="BQ576">
            <v>8.6999999999999993</v>
          </cell>
          <cell r="BR576">
            <v>8.3000000000000007</v>
          </cell>
          <cell r="BS576">
            <v>6.6</v>
          </cell>
          <cell r="BT576">
            <v>4.5999999999999996</v>
          </cell>
          <cell r="BU576">
            <v>3.7</v>
          </cell>
          <cell r="BV576">
            <v>3</v>
          </cell>
          <cell r="BW576">
            <v>3.2</v>
          </cell>
          <cell r="BX576">
            <v>4.4000000000000004</v>
          </cell>
          <cell r="BY576">
            <v>5.2</v>
          </cell>
          <cell r="BZ576">
            <v>5.0999999999999996</v>
          </cell>
          <cell r="CA576">
            <v>4.7</v>
          </cell>
          <cell r="CB576">
            <v>4.5999999999999996</v>
          </cell>
          <cell r="CC576">
            <v>4.5</v>
          </cell>
          <cell r="CD576">
            <v>4.0999999999999996</v>
          </cell>
          <cell r="CE576">
            <v>2.9</v>
          </cell>
          <cell r="CF576">
            <v>1.9</v>
          </cell>
          <cell r="CG576">
            <v>0.7</v>
          </cell>
          <cell r="CH576">
            <v>0</v>
          </cell>
          <cell r="CI576">
            <v>0.1</v>
          </cell>
          <cell r="CJ576">
            <v>0.1</v>
          </cell>
          <cell r="CK576">
            <v>0.1</v>
          </cell>
          <cell r="CL576">
            <v>0.1</v>
          </cell>
          <cell r="CM576">
            <v>0.1</v>
          </cell>
          <cell r="CN576">
            <v>0.2</v>
          </cell>
          <cell r="CO576">
            <v>0.2</v>
          </cell>
          <cell r="CP576">
            <v>0.1</v>
          </cell>
          <cell r="CQ576">
            <v>0.1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0.1</v>
          </cell>
          <cell r="DA576">
            <v>0.1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1.8</v>
          </cell>
          <cell r="DW576">
            <v>4.2</v>
          </cell>
          <cell r="DX576">
            <v>6.2</v>
          </cell>
          <cell r="DY576">
            <v>7.1</v>
          </cell>
          <cell r="EM576">
            <v>0</v>
          </cell>
          <cell r="EN576">
            <v>0</v>
          </cell>
          <cell r="EO576">
            <v>7.5</v>
          </cell>
          <cell r="EP576">
            <v>58.800000000000011</v>
          </cell>
          <cell r="EQ576">
            <v>57.900000000000006</v>
          </cell>
          <cell r="ER576">
            <v>10.499999999999996</v>
          </cell>
          <cell r="ES576">
            <v>0.4</v>
          </cell>
        </row>
        <row r="577">
          <cell r="A577" t="str">
            <v>Interest Income</v>
          </cell>
          <cell r="B577" t="str">
            <v>Interest &amp; Dividend Income</v>
          </cell>
          <cell r="E577" t="str">
            <v>Interest &amp; Dividend Income</v>
          </cell>
          <cell r="F577" t="str">
            <v>7000260</v>
          </cell>
          <cell r="G577" t="str">
            <v>A_7000260</v>
          </cell>
          <cell r="H577" t="str">
            <v>Interest Inc - Defd PGA</v>
          </cell>
          <cell r="J577">
            <v>0.2</v>
          </cell>
          <cell r="K577">
            <v>0</v>
          </cell>
          <cell r="L577">
            <v>-0.1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0.1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0.1</v>
          </cell>
          <cell r="AF577">
            <v>0.4</v>
          </cell>
          <cell r="AG577">
            <v>1.1000000000000001</v>
          </cell>
          <cell r="AH577">
            <v>1.4</v>
          </cell>
          <cell r="AI577">
            <v>0.5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0.5</v>
          </cell>
          <cell r="BD577">
            <v>2.9</v>
          </cell>
          <cell r="BE577">
            <v>3.7</v>
          </cell>
          <cell r="BF577">
            <v>0.3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1.5</v>
          </cell>
          <cell r="BR577">
            <v>3.1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0.1</v>
          </cell>
          <cell r="CZ577">
            <v>0.7</v>
          </cell>
          <cell r="DA577">
            <v>1</v>
          </cell>
          <cell r="DB577">
            <v>0.9</v>
          </cell>
          <cell r="DC577">
            <v>0.8</v>
          </cell>
          <cell r="DD577">
            <v>0.7</v>
          </cell>
          <cell r="DE577">
            <v>0.2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7.6</v>
          </cell>
          <cell r="DO577">
            <v>7.6</v>
          </cell>
          <cell r="DP577">
            <v>6.3</v>
          </cell>
          <cell r="DQ577">
            <v>3.6</v>
          </cell>
          <cell r="DR577">
            <v>1.7</v>
          </cell>
          <cell r="DS577">
            <v>0.5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EM577">
            <v>1.7000000000000002</v>
          </cell>
          <cell r="EN577">
            <v>1.9</v>
          </cell>
          <cell r="EO577">
            <v>7.1</v>
          </cell>
          <cell r="EP577">
            <v>1.8</v>
          </cell>
          <cell r="EQ577">
            <v>3.1</v>
          </cell>
          <cell r="ER577">
            <v>0</v>
          </cell>
          <cell r="ES577">
            <v>1.7999999999999998</v>
          </cell>
        </row>
        <row r="578">
          <cell r="A578" t="str">
            <v>Interest Income</v>
          </cell>
          <cell r="B578" t="str">
            <v>Interest &amp; Dividend Income</v>
          </cell>
          <cell r="E578" t="str">
            <v>Interest &amp; Dividend Income</v>
          </cell>
          <cell r="F578" t="str">
            <v>7000270</v>
          </cell>
          <cell r="G578" t="str">
            <v>A_7000270</v>
          </cell>
          <cell r="H578" t="str">
            <v>Interest Inc - Defd Competitive Rate Adj Clause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0.1</v>
          </cell>
          <cell r="P578">
            <v>0.1</v>
          </cell>
          <cell r="Q578">
            <v>0.1</v>
          </cell>
          <cell r="R578">
            <v>0.1</v>
          </cell>
          <cell r="S578">
            <v>0.1</v>
          </cell>
          <cell r="T578">
            <v>0.2</v>
          </cell>
          <cell r="U578">
            <v>0.2</v>
          </cell>
          <cell r="V578">
            <v>0.2</v>
          </cell>
          <cell r="W578">
            <v>0.2</v>
          </cell>
          <cell r="X578">
            <v>0.2</v>
          </cell>
          <cell r="Y578">
            <v>0.2</v>
          </cell>
          <cell r="Z578">
            <v>0.2</v>
          </cell>
          <cell r="AA578">
            <v>0.2</v>
          </cell>
          <cell r="AB578">
            <v>0.2</v>
          </cell>
          <cell r="AC578">
            <v>0.2</v>
          </cell>
          <cell r="AD578">
            <v>0.2</v>
          </cell>
          <cell r="AE578">
            <v>0.2</v>
          </cell>
          <cell r="AF578">
            <v>0.3</v>
          </cell>
          <cell r="AG578">
            <v>0.5</v>
          </cell>
          <cell r="AH578">
            <v>0.8</v>
          </cell>
          <cell r="AI578">
            <v>0.9</v>
          </cell>
          <cell r="AJ578">
            <v>0.9</v>
          </cell>
          <cell r="AK578">
            <v>0.8</v>
          </cell>
          <cell r="AL578">
            <v>0.7</v>
          </cell>
          <cell r="AM578">
            <v>0.8</v>
          </cell>
          <cell r="AN578">
            <v>0.9</v>
          </cell>
          <cell r="AO578">
            <v>0.9</v>
          </cell>
          <cell r="AP578">
            <v>0.9</v>
          </cell>
          <cell r="AQ578">
            <v>1</v>
          </cell>
          <cell r="AR578">
            <v>1.1000000000000001</v>
          </cell>
          <cell r="AS578">
            <v>1.4</v>
          </cell>
          <cell r="AT578">
            <v>1.7</v>
          </cell>
          <cell r="AU578">
            <v>1.6</v>
          </cell>
          <cell r="AV578">
            <v>1.8</v>
          </cell>
          <cell r="AW578">
            <v>0.2</v>
          </cell>
          <cell r="AX578">
            <v>3.8</v>
          </cell>
          <cell r="AY578">
            <v>2.2999999999999998</v>
          </cell>
          <cell r="AZ578">
            <v>2.5</v>
          </cell>
          <cell r="BA578">
            <v>2.4</v>
          </cell>
          <cell r="BB578">
            <v>2</v>
          </cell>
          <cell r="BC578">
            <v>2.5</v>
          </cell>
          <cell r="BD578">
            <v>2.8</v>
          </cell>
          <cell r="BE578">
            <v>3.1</v>
          </cell>
          <cell r="BF578">
            <v>3.7</v>
          </cell>
          <cell r="BG578">
            <v>3.6</v>
          </cell>
          <cell r="BH578">
            <v>3.9</v>
          </cell>
          <cell r="BI578">
            <v>4.2</v>
          </cell>
          <cell r="BJ578">
            <v>4.2</v>
          </cell>
          <cell r="BK578">
            <v>4.3</v>
          </cell>
          <cell r="BL578">
            <v>4.5</v>
          </cell>
          <cell r="BM578">
            <v>4.5</v>
          </cell>
          <cell r="BN578">
            <v>4.5999999999999996</v>
          </cell>
          <cell r="BO578">
            <v>4.9000000000000004</v>
          </cell>
          <cell r="BP578">
            <v>5.5</v>
          </cell>
          <cell r="BQ578">
            <v>5.7</v>
          </cell>
          <cell r="BR578">
            <v>6.1</v>
          </cell>
          <cell r="BS578">
            <v>6</v>
          </cell>
          <cell r="BT578">
            <v>6</v>
          </cell>
          <cell r="BU578">
            <v>6</v>
          </cell>
          <cell r="BV578">
            <v>5.8</v>
          </cell>
          <cell r="BW578">
            <v>5.6</v>
          </cell>
          <cell r="BX578">
            <v>5.2</v>
          </cell>
          <cell r="BY578">
            <v>4.9000000000000004</v>
          </cell>
          <cell r="BZ578">
            <v>4.7</v>
          </cell>
          <cell r="CA578">
            <v>4.3</v>
          </cell>
          <cell r="CB578">
            <v>4.2</v>
          </cell>
          <cell r="CC578">
            <v>4.2</v>
          </cell>
          <cell r="CD578">
            <v>4.3</v>
          </cell>
          <cell r="CE578">
            <v>4.0999999999999996</v>
          </cell>
          <cell r="CF578">
            <v>4.0999999999999996</v>
          </cell>
          <cell r="CG578">
            <v>2.8</v>
          </cell>
          <cell r="CH578">
            <v>0.1</v>
          </cell>
          <cell r="CI578">
            <v>0.2</v>
          </cell>
          <cell r="CJ578">
            <v>0.3</v>
          </cell>
          <cell r="CK578">
            <v>0.3</v>
          </cell>
          <cell r="CL578">
            <v>0.2</v>
          </cell>
          <cell r="CM578">
            <v>0.2</v>
          </cell>
          <cell r="CN578">
            <v>0.3</v>
          </cell>
          <cell r="CO578">
            <v>0.3</v>
          </cell>
          <cell r="CP578">
            <v>0.3</v>
          </cell>
          <cell r="CQ578">
            <v>0.3</v>
          </cell>
          <cell r="CR578">
            <v>0.3</v>
          </cell>
          <cell r="CS578">
            <v>0.3</v>
          </cell>
          <cell r="CT578">
            <v>0</v>
          </cell>
          <cell r="CU578">
            <v>0.1</v>
          </cell>
          <cell r="CV578">
            <v>0.1</v>
          </cell>
          <cell r="CW578">
            <v>0.2</v>
          </cell>
          <cell r="CX578">
            <v>0.2</v>
          </cell>
          <cell r="CY578">
            <v>0.2</v>
          </cell>
          <cell r="CZ578">
            <v>0.3</v>
          </cell>
          <cell r="DA578">
            <v>0.3</v>
          </cell>
          <cell r="DB578">
            <v>0.3</v>
          </cell>
          <cell r="DC578">
            <v>0.6</v>
          </cell>
          <cell r="DD578">
            <v>1.1000000000000001</v>
          </cell>
          <cell r="DE578">
            <v>1.9</v>
          </cell>
          <cell r="DF578">
            <v>2.8</v>
          </cell>
          <cell r="DG578">
            <v>4.2</v>
          </cell>
          <cell r="DH578">
            <v>5.9</v>
          </cell>
          <cell r="DI578">
            <v>6.6</v>
          </cell>
          <cell r="DJ578">
            <v>8.4</v>
          </cell>
          <cell r="DK578">
            <v>9.4</v>
          </cell>
          <cell r="DL578">
            <v>11.9</v>
          </cell>
          <cell r="DM578">
            <v>13.4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EM578">
            <v>2.8</v>
          </cell>
          <cell r="EN578">
            <v>11.100000000000001</v>
          </cell>
          <cell r="EO578">
            <v>26.7</v>
          </cell>
          <cell r="EP578">
            <v>53.600000000000009</v>
          </cell>
          <cell r="EQ578">
            <v>63.000000000000007</v>
          </cell>
          <cell r="ER578">
            <v>17.199999999999996</v>
          </cell>
          <cell r="ES578">
            <v>2.5999999999999996</v>
          </cell>
        </row>
        <row r="579">
          <cell r="A579" t="str">
            <v>Interest Income</v>
          </cell>
          <cell r="B579" t="str">
            <v>Interest &amp; Dividend Income</v>
          </cell>
          <cell r="E579" t="str">
            <v>Interest &amp; Dividend Income</v>
          </cell>
          <cell r="F579" t="str">
            <v>7000271</v>
          </cell>
          <cell r="G579" t="str">
            <v>A_7000271</v>
          </cell>
          <cell r="H579" t="str">
            <v>Interest Inc - Defd CI/BSR Rider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0.2</v>
          </cell>
          <cell r="BD579">
            <v>0.5</v>
          </cell>
          <cell r="BE579">
            <v>1</v>
          </cell>
          <cell r="BF579">
            <v>0.9</v>
          </cell>
          <cell r="BG579">
            <v>0.2</v>
          </cell>
          <cell r="BH579">
            <v>0</v>
          </cell>
          <cell r="BI579">
            <v>0</v>
          </cell>
          <cell r="BJ579">
            <v>-0.2</v>
          </cell>
          <cell r="BK579">
            <v>0.1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0.2</v>
          </cell>
          <cell r="BX579">
            <v>1</v>
          </cell>
          <cell r="BY579">
            <v>1.8</v>
          </cell>
          <cell r="BZ579">
            <v>2.6</v>
          </cell>
          <cell r="CA579">
            <v>2.7</v>
          </cell>
          <cell r="CB579">
            <v>3.4</v>
          </cell>
          <cell r="CC579">
            <v>6.6</v>
          </cell>
          <cell r="CD579">
            <v>4.3</v>
          </cell>
          <cell r="CE579">
            <v>3.3</v>
          </cell>
          <cell r="CF579">
            <v>3.1</v>
          </cell>
          <cell r="CG579">
            <v>1.7</v>
          </cell>
          <cell r="CH579">
            <v>0.1</v>
          </cell>
          <cell r="CI579">
            <v>0.2</v>
          </cell>
          <cell r="CJ579">
            <v>0.3</v>
          </cell>
          <cell r="CK579">
            <v>0.3</v>
          </cell>
          <cell r="CL579">
            <v>0.3</v>
          </cell>
          <cell r="CM579">
            <v>0.3</v>
          </cell>
          <cell r="CN579">
            <v>0.5</v>
          </cell>
          <cell r="CO579">
            <v>0.5</v>
          </cell>
          <cell r="CP579">
            <v>0.4</v>
          </cell>
          <cell r="CQ579">
            <v>0.3</v>
          </cell>
          <cell r="CR579">
            <v>0.3</v>
          </cell>
          <cell r="CS579">
            <v>0.2</v>
          </cell>
          <cell r="CT579">
            <v>0.1</v>
          </cell>
          <cell r="CU579">
            <v>0.1</v>
          </cell>
          <cell r="CV579">
            <v>0.1</v>
          </cell>
          <cell r="CW579">
            <v>0.1</v>
          </cell>
          <cell r="CX579">
            <v>0.1</v>
          </cell>
          <cell r="CY579">
            <v>0.1</v>
          </cell>
          <cell r="CZ579">
            <v>0.1</v>
          </cell>
          <cell r="DA579">
            <v>0.1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0.3</v>
          </cell>
          <cell r="DK579">
            <v>1</v>
          </cell>
          <cell r="DL579">
            <v>1.5</v>
          </cell>
          <cell r="DM579">
            <v>2.4</v>
          </cell>
          <cell r="DN579">
            <v>2.2000000000000002</v>
          </cell>
          <cell r="DO579">
            <v>0.5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EM579">
            <v>0</v>
          </cell>
          <cell r="EN579">
            <v>0</v>
          </cell>
          <cell r="EO579">
            <v>1.7</v>
          </cell>
          <cell r="EP579">
            <v>1.0000000000000002</v>
          </cell>
          <cell r="EQ579">
            <v>18.3</v>
          </cell>
          <cell r="ER579">
            <v>14.9</v>
          </cell>
          <cell r="ES579">
            <v>2.0000000000000004</v>
          </cell>
        </row>
        <row r="580">
          <cell r="A580" t="str">
            <v>Interest Income</v>
          </cell>
          <cell r="B580" t="str">
            <v>Interest &amp; Dividend Income</v>
          </cell>
          <cell r="E580" t="str">
            <v>Interest &amp; Dividend Income</v>
          </cell>
          <cell r="F580" t="str">
            <v>7000700</v>
          </cell>
          <cell r="G580" t="str">
            <v>A_7000700</v>
          </cell>
          <cell r="H580" t="str">
            <v>Interest Inc - Intercompany</v>
          </cell>
          <cell r="J580">
            <v>0.9</v>
          </cell>
          <cell r="K580">
            <v>0.4</v>
          </cell>
          <cell r="L580">
            <v>0.5</v>
          </cell>
          <cell r="M580">
            <v>1.7</v>
          </cell>
          <cell r="N580">
            <v>2.6</v>
          </cell>
          <cell r="O580">
            <v>0.1</v>
          </cell>
          <cell r="P580">
            <v>0</v>
          </cell>
          <cell r="Q580">
            <v>0.3</v>
          </cell>
          <cell r="R580">
            <v>0.2</v>
          </cell>
          <cell r="S580">
            <v>0.3</v>
          </cell>
          <cell r="T580">
            <v>0</v>
          </cell>
          <cell r="U580">
            <v>1</v>
          </cell>
          <cell r="V580">
            <v>0.8</v>
          </cell>
          <cell r="W580">
            <v>0.6</v>
          </cell>
          <cell r="X580">
            <v>2.7</v>
          </cell>
          <cell r="Y580">
            <v>5.3</v>
          </cell>
          <cell r="Z580">
            <v>3.2</v>
          </cell>
          <cell r="AA580">
            <v>0.5</v>
          </cell>
          <cell r="AB580">
            <v>0.7</v>
          </cell>
          <cell r="AC580">
            <v>0.2</v>
          </cell>
          <cell r="AD580">
            <v>0.3</v>
          </cell>
          <cell r="AE580">
            <v>0.4</v>
          </cell>
          <cell r="AF580">
            <v>0.7</v>
          </cell>
          <cell r="AG580">
            <v>3</v>
          </cell>
          <cell r="AH580">
            <v>3.2</v>
          </cell>
          <cell r="AI580">
            <v>4</v>
          </cell>
          <cell r="AJ580">
            <v>0.7</v>
          </cell>
          <cell r="AK580">
            <v>11.5</v>
          </cell>
          <cell r="AL580">
            <v>14</v>
          </cell>
          <cell r="AM580">
            <v>2.7</v>
          </cell>
          <cell r="AN580">
            <v>0</v>
          </cell>
          <cell r="AO580">
            <v>4.5</v>
          </cell>
          <cell r="AP580">
            <v>0</v>
          </cell>
          <cell r="AQ580">
            <v>1.5</v>
          </cell>
          <cell r="AR580">
            <v>0</v>
          </cell>
          <cell r="AS580">
            <v>0.9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9.4</v>
          </cell>
          <cell r="CQ580">
            <v>9.5</v>
          </cell>
          <cell r="CR580">
            <v>9.1999999999999993</v>
          </cell>
          <cell r="CS580">
            <v>5.0999999999999996</v>
          </cell>
          <cell r="CT580">
            <v>10.9</v>
          </cell>
          <cell r="CU580">
            <v>4.5999999999999996</v>
          </cell>
          <cell r="CV580">
            <v>2.1</v>
          </cell>
          <cell r="CW580">
            <v>2.1</v>
          </cell>
          <cell r="CX580">
            <v>2</v>
          </cell>
          <cell r="CY580">
            <v>1.9</v>
          </cell>
          <cell r="CZ580">
            <v>1.9</v>
          </cell>
          <cell r="DA580">
            <v>2.4</v>
          </cell>
          <cell r="DB580">
            <v>2.7</v>
          </cell>
          <cell r="DC580">
            <v>2.5</v>
          </cell>
          <cell r="DD580">
            <v>7.6</v>
          </cell>
          <cell r="DE580">
            <v>9.8000000000000007</v>
          </cell>
          <cell r="DF580">
            <v>10.7</v>
          </cell>
          <cell r="DG580">
            <v>13.8</v>
          </cell>
          <cell r="DH580">
            <v>17.8</v>
          </cell>
          <cell r="DI580">
            <v>25.7</v>
          </cell>
          <cell r="DJ580">
            <v>29.5</v>
          </cell>
          <cell r="DK580">
            <v>32</v>
          </cell>
          <cell r="DL580">
            <v>35.4</v>
          </cell>
          <cell r="DM580">
            <v>39.5</v>
          </cell>
          <cell r="DN580">
            <v>20</v>
          </cell>
          <cell r="DO580">
            <v>20</v>
          </cell>
          <cell r="DP580">
            <v>20</v>
          </cell>
          <cell r="DQ580">
            <v>20</v>
          </cell>
          <cell r="DR580">
            <v>20</v>
          </cell>
          <cell r="DS580">
            <v>20</v>
          </cell>
          <cell r="DT580">
            <v>20</v>
          </cell>
          <cell r="DU580">
            <v>20</v>
          </cell>
          <cell r="DV580">
            <v>20</v>
          </cell>
          <cell r="DW580">
            <v>20</v>
          </cell>
          <cell r="DX580">
            <v>20</v>
          </cell>
          <cell r="DY580">
            <v>20</v>
          </cell>
          <cell r="EM580">
            <v>18.399999999999999</v>
          </cell>
          <cell r="EN580">
            <v>43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61.099999999999994</v>
          </cell>
        </row>
        <row r="581">
          <cell r="A581" t="str">
            <v>Interest Income</v>
          </cell>
          <cell r="B581" t="str">
            <v>Interest &amp; Dividend Income</v>
          </cell>
          <cell r="E581" t="str">
            <v>Interest &amp; Dividend Income</v>
          </cell>
          <cell r="F581" t="str">
            <v>7000800</v>
          </cell>
          <cell r="G581" t="str">
            <v>A_7000800</v>
          </cell>
          <cell r="H581" t="str">
            <v>Interest Inc - Miscellaneous</v>
          </cell>
          <cell r="J581">
            <v>32.200000000000003</v>
          </cell>
          <cell r="K581">
            <v>59.8</v>
          </cell>
          <cell r="L581">
            <v>16.399999999999999</v>
          </cell>
          <cell r="M581">
            <v>12</v>
          </cell>
          <cell r="N581">
            <v>19.8</v>
          </cell>
          <cell r="O581">
            <v>34.5</v>
          </cell>
          <cell r="P581">
            <v>13.6</v>
          </cell>
          <cell r="Q581">
            <v>15.4</v>
          </cell>
          <cell r="R581">
            <v>15.1</v>
          </cell>
          <cell r="S581">
            <v>16.899999999999999</v>
          </cell>
          <cell r="T581">
            <v>11.2</v>
          </cell>
          <cell r="U581">
            <v>29.2</v>
          </cell>
          <cell r="V581">
            <v>24.5</v>
          </cell>
          <cell r="W581">
            <v>18</v>
          </cell>
          <cell r="X581">
            <v>18</v>
          </cell>
          <cell r="Y581">
            <v>19.8</v>
          </cell>
          <cell r="Z581">
            <v>42</v>
          </cell>
          <cell r="AA581">
            <v>46.1</v>
          </cell>
          <cell r="AB581">
            <v>12.8</v>
          </cell>
          <cell r="AC581">
            <v>21.5</v>
          </cell>
          <cell r="AD581">
            <v>16</v>
          </cell>
          <cell r="AE581">
            <v>17.899999999999999</v>
          </cell>
          <cell r="AF581">
            <v>23.4</v>
          </cell>
          <cell r="AG581">
            <v>18.100000000000001</v>
          </cell>
          <cell r="AH581">
            <v>14.6</v>
          </cell>
          <cell r="AI581">
            <v>64.400000000000006</v>
          </cell>
          <cell r="AJ581">
            <v>24.5</v>
          </cell>
          <cell r="AK581">
            <v>25.3</v>
          </cell>
          <cell r="AL581">
            <v>24.6</v>
          </cell>
          <cell r="AM581">
            <v>45.4</v>
          </cell>
          <cell r="AN581">
            <v>53.6</v>
          </cell>
          <cell r="AO581">
            <v>37</v>
          </cell>
          <cell r="AP581">
            <v>29.8</v>
          </cell>
          <cell r="AQ581">
            <v>22.5</v>
          </cell>
          <cell r="AR581">
            <v>34.6</v>
          </cell>
          <cell r="AS581">
            <v>40.9</v>
          </cell>
          <cell r="AT581">
            <v>28</v>
          </cell>
          <cell r="AU581">
            <v>38</v>
          </cell>
          <cell r="AV581">
            <v>31.2</v>
          </cell>
          <cell r="AW581">
            <v>30.1</v>
          </cell>
          <cell r="AX581">
            <v>9.8000000000000007</v>
          </cell>
          <cell r="AY581">
            <v>21</v>
          </cell>
          <cell r="AZ581">
            <v>1.7</v>
          </cell>
          <cell r="BA581">
            <v>5.2</v>
          </cell>
          <cell r="BB581">
            <v>1.7</v>
          </cell>
          <cell r="BC581">
            <v>2.4</v>
          </cell>
          <cell r="BD581">
            <v>0.7</v>
          </cell>
          <cell r="BE581">
            <v>0.7</v>
          </cell>
          <cell r="BF581">
            <v>6</v>
          </cell>
          <cell r="BG581">
            <v>0.7</v>
          </cell>
          <cell r="BH581">
            <v>0.6</v>
          </cell>
          <cell r="BI581">
            <v>1.2</v>
          </cell>
          <cell r="BJ581">
            <v>3.3</v>
          </cell>
          <cell r="BK581">
            <v>0.8</v>
          </cell>
          <cell r="BL581">
            <v>-0.1</v>
          </cell>
          <cell r="BM581">
            <v>0.8</v>
          </cell>
          <cell r="BN581">
            <v>0.9</v>
          </cell>
          <cell r="BO581">
            <v>-0.1</v>
          </cell>
          <cell r="BP581">
            <v>0.9</v>
          </cell>
          <cell r="BQ581">
            <v>1.2</v>
          </cell>
          <cell r="BR581">
            <v>1.4</v>
          </cell>
          <cell r="BS581">
            <v>1</v>
          </cell>
          <cell r="BT581">
            <v>0.9</v>
          </cell>
          <cell r="BU581">
            <v>1</v>
          </cell>
          <cell r="BV581">
            <v>1.2</v>
          </cell>
          <cell r="BW581">
            <v>3.6</v>
          </cell>
          <cell r="BX581">
            <v>4</v>
          </cell>
          <cell r="BY581">
            <v>3.9</v>
          </cell>
          <cell r="BZ581">
            <v>3</v>
          </cell>
          <cell r="CA581">
            <v>0</v>
          </cell>
          <cell r="CB581">
            <v>5</v>
          </cell>
          <cell r="CC581">
            <v>1.4</v>
          </cell>
          <cell r="CD581">
            <v>1.6</v>
          </cell>
          <cell r="CE581">
            <v>1.3</v>
          </cell>
          <cell r="CF581">
            <v>1.1000000000000001</v>
          </cell>
          <cell r="CG581">
            <v>0.7</v>
          </cell>
          <cell r="CH581">
            <v>1</v>
          </cell>
          <cell r="CI581">
            <v>0.8</v>
          </cell>
          <cell r="CJ581">
            <v>0.6</v>
          </cell>
          <cell r="CK581">
            <v>0.7</v>
          </cell>
          <cell r="CL581">
            <v>0.6</v>
          </cell>
          <cell r="CM581">
            <v>0.5</v>
          </cell>
          <cell r="CN581">
            <v>0.6</v>
          </cell>
          <cell r="CO581">
            <v>0.7</v>
          </cell>
          <cell r="CP581">
            <v>0.8</v>
          </cell>
          <cell r="CQ581">
            <v>0.4</v>
          </cell>
          <cell r="CR581">
            <v>0.5</v>
          </cell>
          <cell r="CS581">
            <v>4.5</v>
          </cell>
          <cell r="CT581">
            <v>3.5</v>
          </cell>
          <cell r="CU581">
            <v>0.5</v>
          </cell>
          <cell r="CV581">
            <v>1.1000000000000001</v>
          </cell>
          <cell r="CW581">
            <v>1</v>
          </cell>
          <cell r="CX581">
            <v>0.8</v>
          </cell>
          <cell r="CY581">
            <v>1</v>
          </cell>
          <cell r="CZ581">
            <v>0.9</v>
          </cell>
          <cell r="DA581">
            <v>0.9</v>
          </cell>
          <cell r="DB581">
            <v>1.1000000000000001</v>
          </cell>
          <cell r="DC581">
            <v>0.4</v>
          </cell>
          <cell r="DD581">
            <v>0.4</v>
          </cell>
          <cell r="DE581">
            <v>0.6</v>
          </cell>
          <cell r="DF581">
            <v>0.6</v>
          </cell>
          <cell r="DG581">
            <v>0.4</v>
          </cell>
          <cell r="DH581">
            <v>0.5</v>
          </cell>
          <cell r="DI581">
            <v>3.8</v>
          </cell>
          <cell r="DJ581">
            <v>9.1</v>
          </cell>
          <cell r="DK581">
            <v>15.4</v>
          </cell>
          <cell r="DL581">
            <v>5.2</v>
          </cell>
          <cell r="DM581">
            <v>6.7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EM581">
            <v>278.10000000000002</v>
          </cell>
          <cell r="EN581">
            <v>417.2</v>
          </cell>
          <cell r="EO581">
            <v>170.49999999999997</v>
          </cell>
          <cell r="EP581">
            <v>16.200000000000003</v>
          </cell>
          <cell r="EQ581">
            <v>26.4</v>
          </cell>
          <cell r="ER581">
            <v>10.199999999999999</v>
          </cell>
          <cell r="ES581">
            <v>15.9</v>
          </cell>
        </row>
        <row r="582">
          <cell r="A582" t="str">
            <v>Interest Income</v>
          </cell>
          <cell r="B582" t="str">
            <v>Interest &amp; Dividend Income</v>
          </cell>
          <cell r="E582" t="str">
            <v>Interest &amp; Dividend Income</v>
          </cell>
          <cell r="F582" t="str">
            <v>7009000</v>
          </cell>
          <cell r="G582" t="str">
            <v>A_7009000</v>
          </cell>
          <cell r="H582" t="str">
            <v>Interest Income sent to Balance Sheet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-0.1</v>
          </cell>
          <cell r="AQ582">
            <v>0.1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</row>
        <row r="583">
          <cell r="F583" t="str">
            <v>700</v>
          </cell>
          <cell r="G583">
            <v>700</v>
          </cell>
          <cell r="J583">
            <v>33.6</v>
          </cell>
          <cell r="K583">
            <v>60.4</v>
          </cell>
          <cell r="L583">
            <v>17</v>
          </cell>
          <cell r="M583">
            <v>13.9</v>
          </cell>
          <cell r="N583">
            <v>22.6</v>
          </cell>
          <cell r="O583">
            <v>34.700000000000003</v>
          </cell>
          <cell r="P583">
            <v>13.7</v>
          </cell>
          <cell r="Q583">
            <v>15.8</v>
          </cell>
          <cell r="R583">
            <v>15.4</v>
          </cell>
          <cell r="S583">
            <v>17.299999999999997</v>
          </cell>
          <cell r="T583">
            <v>11.399999999999999</v>
          </cell>
          <cell r="U583">
            <v>30.4</v>
          </cell>
          <cell r="V583">
            <v>25.5</v>
          </cell>
          <cell r="W583">
            <v>18.8</v>
          </cell>
          <cell r="X583">
            <v>20.9</v>
          </cell>
          <cell r="Y583">
            <v>25.3</v>
          </cell>
          <cell r="Z583">
            <v>45.5</v>
          </cell>
          <cell r="AA583">
            <v>46.800000000000004</v>
          </cell>
          <cell r="AB583">
            <v>13.700000000000001</v>
          </cell>
          <cell r="AC583">
            <v>21.9</v>
          </cell>
          <cell r="AD583">
            <v>16.5</v>
          </cell>
          <cell r="AE583">
            <v>18.599999999999998</v>
          </cell>
          <cell r="AF583">
            <v>24.799999999999997</v>
          </cell>
          <cell r="AG583">
            <v>22.700000000000003</v>
          </cell>
          <cell r="AH583">
            <v>20</v>
          </cell>
          <cell r="AI583">
            <v>69.800000000000011</v>
          </cell>
          <cell r="AJ583">
            <v>26.1</v>
          </cell>
          <cell r="AK583">
            <v>37.6</v>
          </cell>
          <cell r="AL583">
            <v>39.299999999999997</v>
          </cell>
          <cell r="AM583">
            <v>48.9</v>
          </cell>
          <cell r="AN583">
            <v>54.5</v>
          </cell>
          <cell r="AO583">
            <v>42.4</v>
          </cell>
          <cell r="AP583">
            <v>30.599999999999998</v>
          </cell>
          <cell r="AQ583">
            <v>25.1</v>
          </cell>
          <cell r="AR583">
            <v>35.700000000000003</v>
          </cell>
          <cell r="AS583">
            <v>43.199999999999996</v>
          </cell>
          <cell r="AT583">
            <v>29.7</v>
          </cell>
          <cell r="AU583">
            <v>39.6</v>
          </cell>
          <cell r="AV583">
            <v>33</v>
          </cell>
          <cell r="AW583">
            <v>30.3</v>
          </cell>
          <cell r="AX583">
            <v>13.600000000000001</v>
          </cell>
          <cell r="AY583">
            <v>23.3</v>
          </cell>
          <cell r="AZ583">
            <v>4.2</v>
          </cell>
          <cell r="BA583">
            <v>7.8000000000000007</v>
          </cell>
          <cell r="BB583">
            <v>4.3</v>
          </cell>
          <cell r="BC583">
            <v>6.9</v>
          </cell>
          <cell r="BD583">
            <v>9.2999999999999989</v>
          </cell>
          <cell r="BE583">
            <v>11.5</v>
          </cell>
          <cell r="BF583">
            <v>13.5</v>
          </cell>
          <cell r="BG583">
            <v>6.3000000000000007</v>
          </cell>
          <cell r="BH583">
            <v>6.5</v>
          </cell>
          <cell r="BI583">
            <v>8.5</v>
          </cell>
          <cell r="BJ583">
            <v>11</v>
          </cell>
          <cell r="BK583">
            <v>8.8000000000000007</v>
          </cell>
          <cell r="BL583">
            <v>8.9</v>
          </cell>
          <cell r="BM583">
            <v>11.200000000000001</v>
          </cell>
          <cell r="BN583">
            <v>12</v>
          </cell>
          <cell r="BO583">
            <v>12.500000000000002</v>
          </cell>
          <cell r="BP583">
            <v>15.1</v>
          </cell>
          <cell r="BQ583">
            <v>17.099999999999998</v>
          </cell>
          <cell r="BR583">
            <v>18.899999999999999</v>
          </cell>
          <cell r="BS583">
            <v>13.6</v>
          </cell>
          <cell r="BT583">
            <v>11.5</v>
          </cell>
          <cell r="BU583">
            <v>10.7</v>
          </cell>
          <cell r="BV583">
            <v>10</v>
          </cell>
          <cell r="BW583">
            <v>12.6</v>
          </cell>
          <cell r="BX583">
            <v>14.600000000000001</v>
          </cell>
          <cell r="BY583">
            <v>15.800000000000002</v>
          </cell>
          <cell r="BZ583">
            <v>15.4</v>
          </cell>
          <cell r="CA583">
            <v>11.7</v>
          </cell>
          <cell r="CB583">
            <v>17.200000000000003</v>
          </cell>
          <cell r="CC583">
            <v>16.7</v>
          </cell>
          <cell r="CD583">
            <v>14.299999999999999</v>
          </cell>
          <cell r="CE583">
            <v>11.600000000000001</v>
          </cell>
          <cell r="CF583">
            <v>18.700000000000003</v>
          </cell>
          <cell r="CG583">
            <v>51.100000000000009</v>
          </cell>
          <cell r="CH583">
            <v>1.2</v>
          </cell>
          <cell r="CI583">
            <v>1.3</v>
          </cell>
          <cell r="CJ583">
            <v>1.2999999999999998</v>
          </cell>
          <cell r="CK583">
            <v>1.4</v>
          </cell>
          <cell r="CL583">
            <v>1.2000000000000002</v>
          </cell>
          <cell r="CM583">
            <v>1.1000000000000001</v>
          </cell>
          <cell r="CN583">
            <v>1.6</v>
          </cell>
          <cell r="CO583">
            <v>1.7</v>
          </cell>
          <cell r="CP583">
            <v>11.000000000000002</v>
          </cell>
          <cell r="CQ583">
            <v>10.6</v>
          </cell>
          <cell r="CR583">
            <v>10.299999999999999</v>
          </cell>
          <cell r="CS583">
            <v>10.1</v>
          </cell>
          <cell r="CT583">
            <v>14.5</v>
          </cell>
          <cell r="CU583">
            <v>5.3</v>
          </cell>
          <cell r="CV583">
            <v>3.4000000000000004</v>
          </cell>
          <cell r="CW583">
            <v>3.4000000000000004</v>
          </cell>
          <cell r="CX583">
            <v>3.0999999999999996</v>
          </cell>
          <cell r="CY583">
            <v>3.3</v>
          </cell>
          <cell r="CZ583">
            <v>3.9999999999999996</v>
          </cell>
          <cell r="DA583">
            <v>4.8000000000000007</v>
          </cell>
          <cell r="DB583">
            <v>5</v>
          </cell>
          <cell r="DC583">
            <v>4.3</v>
          </cell>
          <cell r="DD583">
            <v>9.8000000000000007</v>
          </cell>
          <cell r="DE583">
            <v>12.5</v>
          </cell>
          <cell r="DF583">
            <v>14.1</v>
          </cell>
          <cell r="DG583">
            <v>18.399999999999999</v>
          </cell>
          <cell r="DH583">
            <v>24.200000000000003</v>
          </cell>
          <cell r="DI583">
            <v>36.099999999999994</v>
          </cell>
          <cell r="DJ583">
            <v>47.300000000000004</v>
          </cell>
          <cell r="DK583">
            <v>57.8</v>
          </cell>
          <cell r="DL583">
            <v>54</v>
          </cell>
          <cell r="DM583">
            <v>62</v>
          </cell>
          <cell r="DN583">
            <v>29.8</v>
          </cell>
          <cell r="DO583">
            <v>28.1</v>
          </cell>
          <cell r="DP583">
            <v>26.3</v>
          </cell>
          <cell r="DQ583">
            <v>23.6</v>
          </cell>
          <cell r="DR583">
            <v>21.7</v>
          </cell>
          <cell r="DS583">
            <v>20.5</v>
          </cell>
          <cell r="DT583">
            <v>20</v>
          </cell>
          <cell r="DU583">
            <v>20</v>
          </cell>
          <cell r="DV583">
            <v>21.8</v>
          </cell>
          <cell r="DW583">
            <v>24.2</v>
          </cell>
          <cell r="DX583">
            <v>26.2</v>
          </cell>
          <cell r="DY583">
            <v>27.1</v>
          </cell>
          <cell r="EM583">
            <v>301</v>
          </cell>
          <cell r="EN583">
            <v>473.20000000000005</v>
          </cell>
          <cell r="EO583">
            <v>213.50000000000003</v>
          </cell>
          <cell r="EP583">
            <v>131.39999999999998</v>
          </cell>
          <cell r="EQ583">
            <v>168.7</v>
          </cell>
          <cell r="ER583">
            <v>106.50000000000001</v>
          </cell>
          <cell r="ES583">
            <v>83.8</v>
          </cell>
        </row>
        <row r="584">
          <cell r="A584" t="str">
            <v>AFUDC</v>
          </cell>
          <cell r="B584" t="str">
            <v>Allowance for Other Funds</v>
          </cell>
          <cell r="C584" t="str">
            <v>AFUDC Equity</v>
          </cell>
          <cell r="E584" t="str">
            <v>Allowance for Other Funds</v>
          </cell>
          <cell r="F584" t="str">
            <v>7100010</v>
          </cell>
          <cell r="G584" t="str">
            <v>A_7100010</v>
          </cell>
          <cell r="H584" t="str">
            <v>Allowance for other funds AFUDC Equity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135.30000000000001</v>
          </cell>
          <cell r="BZ584">
            <v>88.1</v>
          </cell>
          <cell r="CA584">
            <v>70</v>
          </cell>
          <cell r="CB584">
            <v>78.3</v>
          </cell>
          <cell r="CC584">
            <v>98.7</v>
          </cell>
          <cell r="CD584">
            <v>128.1</v>
          </cell>
          <cell r="CE584">
            <v>160.1</v>
          </cell>
          <cell r="CF584">
            <v>187</v>
          </cell>
          <cell r="CG584">
            <v>212.8</v>
          </cell>
          <cell r="CH584">
            <v>258</v>
          </cell>
          <cell r="CI584">
            <v>295</v>
          </cell>
          <cell r="CJ584">
            <v>317.39999999999998</v>
          </cell>
          <cell r="CK584">
            <v>354.2</v>
          </cell>
          <cell r="CL584">
            <v>396.2</v>
          </cell>
          <cell r="CM584">
            <v>313.39999999999998</v>
          </cell>
          <cell r="CN584">
            <v>231.4</v>
          </cell>
          <cell r="CO584">
            <v>267.89999999999998</v>
          </cell>
          <cell r="CP584">
            <v>304.8</v>
          </cell>
          <cell r="CQ584">
            <v>370.6</v>
          </cell>
          <cell r="CR584">
            <v>389.9</v>
          </cell>
          <cell r="CS584">
            <v>326.2</v>
          </cell>
          <cell r="CT584">
            <v>221.9</v>
          </cell>
          <cell r="CU584">
            <v>230.3</v>
          </cell>
          <cell r="CV584">
            <v>249.5</v>
          </cell>
          <cell r="CW584">
            <v>280.8</v>
          </cell>
          <cell r="CX584">
            <v>307.8</v>
          </cell>
          <cell r="CY584">
            <v>330.3</v>
          </cell>
          <cell r="CZ584">
            <v>119</v>
          </cell>
          <cell r="DA584">
            <v>163.69999999999999</v>
          </cell>
          <cell r="DB584">
            <v>180.6</v>
          </cell>
          <cell r="DC584">
            <v>197.1</v>
          </cell>
          <cell r="DD584">
            <v>214.3</v>
          </cell>
          <cell r="DE584">
            <v>235.9</v>
          </cell>
          <cell r="DF584">
            <v>260.89999999999998</v>
          </cell>
          <cell r="DG584">
            <v>291.39999999999998</v>
          </cell>
          <cell r="DH584">
            <v>325.39999999999998</v>
          </cell>
          <cell r="DI584">
            <v>349.5</v>
          </cell>
          <cell r="DJ584">
            <v>370.3</v>
          </cell>
          <cell r="DK584">
            <v>167.6</v>
          </cell>
          <cell r="DL584">
            <v>245.4</v>
          </cell>
          <cell r="DM584">
            <v>265.8</v>
          </cell>
          <cell r="DN584">
            <v>331.1</v>
          </cell>
          <cell r="DO584">
            <v>337.5</v>
          </cell>
          <cell r="DP584">
            <v>356.6</v>
          </cell>
          <cell r="DQ584">
            <v>425.8</v>
          </cell>
          <cell r="DR584">
            <v>409.4</v>
          </cell>
          <cell r="DS584">
            <v>353.4</v>
          </cell>
          <cell r="DT584">
            <v>384.2</v>
          </cell>
          <cell r="DU584">
            <v>417.5</v>
          </cell>
          <cell r="DV584">
            <v>449.3</v>
          </cell>
          <cell r="DW584">
            <v>476.9</v>
          </cell>
          <cell r="DX584">
            <v>363</v>
          </cell>
          <cell r="DY584">
            <v>242.3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470.4</v>
          </cell>
          <cell r="ER584">
            <v>3121.5000000000005</v>
          </cell>
          <cell r="ES584">
            <v>3294.8000000000006</v>
          </cell>
        </row>
        <row r="585">
          <cell r="A585" t="str">
            <v>Other Below-the-Line Income / (Expense) items</v>
          </cell>
          <cell r="B585" t="str">
            <v>Misc. Income Deductions</v>
          </cell>
          <cell r="E585" t="str">
            <v>Misc. Income Deductions</v>
          </cell>
          <cell r="F585" t="str">
            <v>7100015</v>
          </cell>
          <cell r="G585" t="str">
            <v>A_7100015</v>
          </cell>
          <cell r="H585" t="str">
            <v>Capitalized AFUDC Equity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-470.4</v>
          </cell>
          <cell r="CD585">
            <v>-128.1</v>
          </cell>
          <cell r="CE585">
            <v>-160.1</v>
          </cell>
          <cell r="CF585">
            <v>-187</v>
          </cell>
          <cell r="CG585">
            <v>-212.8</v>
          </cell>
          <cell r="CH585">
            <v>-258</v>
          </cell>
          <cell r="CI585">
            <v>-295</v>
          </cell>
          <cell r="CJ585">
            <v>-317.39999999999998</v>
          </cell>
          <cell r="CK585">
            <v>-354.2</v>
          </cell>
          <cell r="CL585">
            <v>-396.2</v>
          </cell>
          <cell r="CM585">
            <v>-313.39999999999998</v>
          </cell>
          <cell r="CN585">
            <v>-231.4</v>
          </cell>
          <cell r="CO585">
            <v>-267.89999999999998</v>
          </cell>
          <cell r="CP585">
            <v>-304.8</v>
          </cell>
          <cell r="CQ585">
            <v>-370.6</v>
          </cell>
          <cell r="CR585">
            <v>-389.9</v>
          </cell>
          <cell r="CS585">
            <v>-326.2</v>
          </cell>
          <cell r="CT585">
            <v>-221.9</v>
          </cell>
          <cell r="CU585">
            <v>-230.3</v>
          </cell>
          <cell r="CV585">
            <v>-249.5</v>
          </cell>
          <cell r="CW585">
            <v>-280.8</v>
          </cell>
          <cell r="CX585">
            <v>-307.8</v>
          </cell>
          <cell r="CY585">
            <v>-330.3</v>
          </cell>
          <cell r="CZ585">
            <v>-119</v>
          </cell>
          <cell r="DA585">
            <v>-163.69999999999999</v>
          </cell>
          <cell r="DB585">
            <v>-180.6</v>
          </cell>
          <cell r="DC585">
            <v>-197.1</v>
          </cell>
          <cell r="DD585">
            <v>-214.3</v>
          </cell>
          <cell r="DE585">
            <v>-235.9</v>
          </cell>
          <cell r="DF585">
            <v>-260.89999999999998</v>
          </cell>
          <cell r="DG585">
            <v>-291.39999999999998</v>
          </cell>
          <cell r="DH585">
            <v>-325.39999999999998</v>
          </cell>
          <cell r="DI585">
            <v>-349.5</v>
          </cell>
          <cell r="DJ585">
            <v>-370.3</v>
          </cell>
          <cell r="DK585">
            <v>-167.6</v>
          </cell>
          <cell r="DL585">
            <v>-245.4</v>
          </cell>
          <cell r="DM585">
            <v>-265.8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-470.4</v>
          </cell>
          <cell r="ER585">
            <v>-3121.5000000000005</v>
          </cell>
          <cell r="ES585">
            <v>-3294.8000000000006</v>
          </cell>
        </row>
        <row r="586">
          <cell r="A586" t="str">
            <v>Other Below-the-Line Income / (Expense) items</v>
          </cell>
          <cell r="B586" t="str">
            <v>Misc. Non-operating Income</v>
          </cell>
          <cell r="E586" t="str">
            <v>Misc. Non-operating Income</v>
          </cell>
          <cell r="F586" t="str">
            <v>7100020</v>
          </cell>
          <cell r="G586" t="str">
            <v>A_7100020</v>
          </cell>
          <cell r="H586" t="str">
            <v>Basic Ordering Agreement</v>
          </cell>
          <cell r="J586">
            <v>0</v>
          </cell>
          <cell r="K586">
            <v>6.8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687.9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214.5</v>
          </cell>
          <cell r="AP586">
            <v>0</v>
          </cell>
          <cell r="AQ586">
            <v>732.3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8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1.5</v>
          </cell>
          <cell r="BL586">
            <v>0</v>
          </cell>
          <cell r="BM586">
            <v>0.4</v>
          </cell>
          <cell r="BN586">
            <v>5.8</v>
          </cell>
          <cell r="BO586">
            <v>1.5</v>
          </cell>
          <cell r="BP586">
            <v>0.2</v>
          </cell>
          <cell r="BQ586">
            <v>0</v>
          </cell>
          <cell r="BR586">
            <v>2</v>
          </cell>
          <cell r="BS586">
            <v>0</v>
          </cell>
          <cell r="BT586">
            <v>0</v>
          </cell>
          <cell r="BU586">
            <v>6.8</v>
          </cell>
          <cell r="BV586">
            <v>0</v>
          </cell>
          <cell r="BW586">
            <v>0</v>
          </cell>
          <cell r="BX586">
            <v>2.1</v>
          </cell>
          <cell r="BY586">
            <v>0</v>
          </cell>
          <cell r="BZ586">
            <v>2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5.7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14.7</v>
          </cell>
          <cell r="CL586">
            <v>0</v>
          </cell>
          <cell r="CM586">
            <v>2.2000000000000002</v>
          </cell>
          <cell r="CN586">
            <v>0</v>
          </cell>
          <cell r="CO586">
            <v>0.2</v>
          </cell>
          <cell r="CP586">
            <v>0</v>
          </cell>
          <cell r="CQ586">
            <v>0</v>
          </cell>
          <cell r="CR586">
            <v>0</v>
          </cell>
          <cell r="CS586">
            <v>4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EM586">
            <v>687.9</v>
          </cell>
          <cell r="EN586">
            <v>946.8</v>
          </cell>
          <cell r="EO586">
            <v>0</v>
          </cell>
          <cell r="EP586">
            <v>17.399999999999999</v>
          </cell>
          <cell r="EQ586">
            <v>12.9</v>
          </cell>
          <cell r="ER586">
            <v>22.799999999999997</v>
          </cell>
          <cell r="ES586">
            <v>4</v>
          </cell>
        </row>
        <row r="587">
          <cell r="A587" t="str">
            <v>Other Below-the-Line Income / (Expense) items</v>
          </cell>
          <cell r="B587" t="str">
            <v>Misc. Income Deductions</v>
          </cell>
          <cell r="E587" t="str">
            <v>Misc. Income Deductions</v>
          </cell>
          <cell r="F587" t="str">
            <v>7100800</v>
          </cell>
          <cell r="G587" t="str">
            <v>A_7100800</v>
          </cell>
          <cell r="H587" t="str">
            <v>Oth Inc/Exp - Miscellaneous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0.1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0.1</v>
          </cell>
          <cell r="T587">
            <v>0.1</v>
          </cell>
          <cell r="U587">
            <v>0.1</v>
          </cell>
          <cell r="V587">
            <v>0.1</v>
          </cell>
          <cell r="W587">
            <v>0.1</v>
          </cell>
          <cell r="X587">
            <v>0</v>
          </cell>
          <cell r="Y587">
            <v>0.1</v>
          </cell>
          <cell r="Z587">
            <v>0.1</v>
          </cell>
          <cell r="AA587">
            <v>0.1</v>
          </cell>
          <cell r="AB587">
            <v>0</v>
          </cell>
          <cell r="AC587">
            <v>0.1</v>
          </cell>
          <cell r="AD587">
            <v>0.1</v>
          </cell>
          <cell r="AE587">
            <v>0.1</v>
          </cell>
          <cell r="AF587">
            <v>0.1</v>
          </cell>
          <cell r="AG587">
            <v>0</v>
          </cell>
          <cell r="AH587">
            <v>0</v>
          </cell>
          <cell r="AI587">
            <v>0</v>
          </cell>
          <cell r="AJ587">
            <v>0.1</v>
          </cell>
          <cell r="AK587">
            <v>0.1</v>
          </cell>
          <cell r="AL587">
            <v>0.1</v>
          </cell>
          <cell r="AM587">
            <v>0.1</v>
          </cell>
          <cell r="AN587">
            <v>0.1</v>
          </cell>
          <cell r="AO587">
            <v>0.1</v>
          </cell>
          <cell r="AP587">
            <v>0.1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0.1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-99.1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-0.6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EM587">
            <v>0.89999999999999991</v>
          </cell>
          <cell r="EN587">
            <v>0.7</v>
          </cell>
          <cell r="EO587">
            <v>0.1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</row>
        <row r="588">
          <cell r="A588" t="str">
            <v>Other Below-the-Line Income / (Expense) items</v>
          </cell>
          <cell r="B588" t="str">
            <v>Misc. Non-operating Income</v>
          </cell>
          <cell r="C588" t="str">
            <v>Gain Sale</v>
          </cell>
          <cell r="E588" t="str">
            <v>Misc. Non-operating Income</v>
          </cell>
          <cell r="F588" t="str">
            <v>7101000</v>
          </cell>
          <cell r="G588" t="str">
            <v>A_7101000</v>
          </cell>
          <cell r="H588" t="str">
            <v>Gain Sale of Utility Property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178.4</v>
          </cell>
          <cell r="AO588">
            <v>178.4</v>
          </cell>
          <cell r="AP588">
            <v>178.4</v>
          </cell>
          <cell r="AQ588">
            <v>178.4</v>
          </cell>
          <cell r="AR588">
            <v>178.4</v>
          </cell>
          <cell r="AS588">
            <v>178.4</v>
          </cell>
          <cell r="AT588">
            <v>178.4</v>
          </cell>
          <cell r="AU588">
            <v>178.4</v>
          </cell>
          <cell r="AV588">
            <v>178.4</v>
          </cell>
          <cell r="AW588">
            <v>178.4</v>
          </cell>
          <cell r="AX588">
            <v>178.4</v>
          </cell>
          <cell r="AY588">
            <v>178.4</v>
          </cell>
          <cell r="AZ588">
            <v>178.4</v>
          </cell>
          <cell r="BA588">
            <v>178.4</v>
          </cell>
          <cell r="BB588">
            <v>178.4</v>
          </cell>
          <cell r="BC588">
            <v>178.4</v>
          </cell>
          <cell r="BD588">
            <v>178.4</v>
          </cell>
          <cell r="BE588">
            <v>178.4</v>
          </cell>
          <cell r="BF588">
            <v>178.4</v>
          </cell>
          <cell r="BG588">
            <v>178.4</v>
          </cell>
          <cell r="BH588">
            <v>178.4</v>
          </cell>
          <cell r="BI588">
            <v>178.4</v>
          </cell>
          <cell r="BJ588">
            <v>178.4</v>
          </cell>
          <cell r="BK588">
            <v>178.4</v>
          </cell>
          <cell r="BL588">
            <v>178.4</v>
          </cell>
          <cell r="BM588">
            <v>178.4</v>
          </cell>
          <cell r="BN588">
            <v>178.4</v>
          </cell>
          <cell r="BO588">
            <v>178.4</v>
          </cell>
          <cell r="BP588">
            <v>178.4</v>
          </cell>
          <cell r="BQ588">
            <v>178.4</v>
          </cell>
          <cell r="BR588">
            <v>178.4</v>
          </cell>
          <cell r="BS588">
            <v>178.4</v>
          </cell>
          <cell r="BT588">
            <v>178.4</v>
          </cell>
          <cell r="BU588">
            <v>178.4</v>
          </cell>
          <cell r="BV588">
            <v>178.4</v>
          </cell>
          <cell r="BW588">
            <v>178.4</v>
          </cell>
          <cell r="BX588">
            <v>178.4</v>
          </cell>
          <cell r="BY588">
            <v>178.4</v>
          </cell>
          <cell r="BZ588">
            <v>178.4</v>
          </cell>
          <cell r="CA588">
            <v>178.4</v>
          </cell>
          <cell r="CB588">
            <v>178.4</v>
          </cell>
          <cell r="CC588">
            <v>178.4</v>
          </cell>
          <cell r="CD588">
            <v>178.4</v>
          </cell>
          <cell r="CE588">
            <v>178.4</v>
          </cell>
          <cell r="CF588">
            <v>178.4</v>
          </cell>
          <cell r="CG588">
            <v>178.4</v>
          </cell>
          <cell r="CH588">
            <v>134.6</v>
          </cell>
          <cell r="CI588">
            <v>156</v>
          </cell>
          <cell r="CJ588">
            <v>21.4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13.5</v>
          </cell>
          <cell r="DF588">
            <v>13.5</v>
          </cell>
          <cell r="DG588">
            <v>13.5</v>
          </cell>
          <cell r="DH588">
            <v>13.5</v>
          </cell>
          <cell r="DI588">
            <v>46.4</v>
          </cell>
          <cell r="DJ588">
            <v>46.4</v>
          </cell>
          <cell r="DK588">
            <v>46.4</v>
          </cell>
          <cell r="DL588">
            <v>46.4</v>
          </cell>
          <cell r="DM588">
            <v>46.4</v>
          </cell>
          <cell r="DN588">
            <v>46.5</v>
          </cell>
          <cell r="DO588">
            <v>46.5</v>
          </cell>
          <cell r="DP588">
            <v>46.5</v>
          </cell>
          <cell r="DQ588">
            <v>46.5</v>
          </cell>
          <cell r="DR588">
            <v>46.5</v>
          </cell>
          <cell r="DS588">
            <v>46.5</v>
          </cell>
          <cell r="DT588">
            <v>46.5</v>
          </cell>
          <cell r="DU588">
            <v>46.5</v>
          </cell>
          <cell r="DV588">
            <v>46.5</v>
          </cell>
          <cell r="DW588">
            <v>46.5</v>
          </cell>
          <cell r="DX588">
            <v>46.5</v>
          </cell>
          <cell r="DY588">
            <v>46.5</v>
          </cell>
          <cell r="EM588">
            <v>0</v>
          </cell>
          <cell r="EN588">
            <v>1070.4000000000001</v>
          </cell>
          <cell r="EO588">
            <v>2140.8000000000006</v>
          </cell>
          <cell r="EP588">
            <v>2140.8000000000006</v>
          </cell>
          <cell r="EQ588">
            <v>2140.8000000000006</v>
          </cell>
          <cell r="ER588">
            <v>1025.6000000000001</v>
          </cell>
          <cell r="ES588">
            <v>0</v>
          </cell>
        </row>
        <row r="589">
          <cell r="A589" t="str">
            <v>Other Below-the-Line Income / (Expense) items</v>
          </cell>
          <cell r="B589" t="str">
            <v>Misc. Income Deductions</v>
          </cell>
          <cell r="E589" t="str">
            <v>Misc. Income Deductions</v>
          </cell>
          <cell r="F589" t="str">
            <v>7102000</v>
          </cell>
          <cell r="G589" t="str">
            <v>A_7102000</v>
          </cell>
          <cell r="H589" t="str">
            <v>Currency Adjustment - Realized Gain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0.2</v>
          </cell>
          <cell r="BI589">
            <v>-39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0.3</v>
          </cell>
          <cell r="BV589">
            <v>0</v>
          </cell>
          <cell r="BW589">
            <v>0</v>
          </cell>
          <cell r="BX589">
            <v>0</v>
          </cell>
          <cell r="BY589">
            <v>2.5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2</v>
          </cell>
          <cell r="CG589">
            <v>-3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0.2</v>
          </cell>
          <cell r="CW589">
            <v>0</v>
          </cell>
          <cell r="CX589">
            <v>0</v>
          </cell>
          <cell r="CY589">
            <v>0</v>
          </cell>
          <cell r="CZ589">
            <v>0.1</v>
          </cell>
          <cell r="DA589">
            <v>0.1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6.2</v>
          </cell>
          <cell r="DK589">
            <v>3.4</v>
          </cell>
          <cell r="DL589">
            <v>0</v>
          </cell>
          <cell r="DM589">
            <v>-1.5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-38.799999999999997</v>
          </cell>
          <cell r="EQ589">
            <v>2.8</v>
          </cell>
          <cell r="ER589">
            <v>-1</v>
          </cell>
          <cell r="ES589">
            <v>0.4</v>
          </cell>
        </row>
        <row r="590">
          <cell r="A590" t="str">
            <v>Other Below-the-Line Income / (Expense) items</v>
          </cell>
          <cell r="B590" t="str">
            <v>Misc. Income Deductions</v>
          </cell>
          <cell r="E590" t="str">
            <v>Misc. Income Deductions</v>
          </cell>
          <cell r="F590" t="str">
            <v>7102100</v>
          </cell>
          <cell r="G590" t="str">
            <v>A_7102100</v>
          </cell>
          <cell r="H590" t="str">
            <v>Currency Adjustment - Unrealized Gain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0.1</v>
          </cell>
          <cell r="BD590">
            <v>-0.1</v>
          </cell>
          <cell r="BE590">
            <v>0</v>
          </cell>
          <cell r="BF590">
            <v>0</v>
          </cell>
          <cell r="BG590">
            <v>1.2</v>
          </cell>
          <cell r="BH590">
            <v>-1.2</v>
          </cell>
          <cell r="BI590">
            <v>0</v>
          </cell>
          <cell r="BJ590">
            <v>0</v>
          </cell>
          <cell r="BK590">
            <v>0.1</v>
          </cell>
          <cell r="BL590">
            <v>1.7</v>
          </cell>
          <cell r="BM590">
            <v>0.1</v>
          </cell>
          <cell r="BN590">
            <v>1.2</v>
          </cell>
          <cell r="BO590">
            <v>0.4</v>
          </cell>
          <cell r="BP590">
            <v>0.7</v>
          </cell>
          <cell r="BQ590">
            <v>1.5</v>
          </cell>
          <cell r="BR590">
            <v>5.5</v>
          </cell>
          <cell r="BS590">
            <v>0.1</v>
          </cell>
          <cell r="BT590">
            <v>1</v>
          </cell>
          <cell r="BU590">
            <v>-3.6</v>
          </cell>
          <cell r="BV590">
            <v>0.1</v>
          </cell>
          <cell r="BW590">
            <v>-8.8000000000000007</v>
          </cell>
          <cell r="BX590">
            <v>5.4</v>
          </cell>
          <cell r="BY590">
            <v>-5.5</v>
          </cell>
          <cell r="BZ590">
            <v>-0.1</v>
          </cell>
          <cell r="CA590">
            <v>0</v>
          </cell>
          <cell r="CB590">
            <v>0.2</v>
          </cell>
          <cell r="CC590">
            <v>-0.2</v>
          </cell>
          <cell r="CD590">
            <v>0.9</v>
          </cell>
          <cell r="CE590">
            <v>2.1</v>
          </cell>
          <cell r="CF590">
            <v>-0.9</v>
          </cell>
          <cell r="CG590">
            <v>-2.2000000000000002</v>
          </cell>
          <cell r="CH590">
            <v>0</v>
          </cell>
          <cell r="CI590">
            <v>1.6</v>
          </cell>
          <cell r="CJ590">
            <v>-0.5</v>
          </cell>
          <cell r="CK590">
            <v>-1.1000000000000001</v>
          </cell>
          <cell r="CL590">
            <v>0.7</v>
          </cell>
          <cell r="CM590">
            <v>0</v>
          </cell>
          <cell r="CN590">
            <v>-0.8</v>
          </cell>
          <cell r="CO590">
            <v>0</v>
          </cell>
          <cell r="CP590">
            <v>0.9</v>
          </cell>
          <cell r="CQ590">
            <v>-0.9</v>
          </cell>
          <cell r="CR590">
            <v>0</v>
          </cell>
          <cell r="CS590">
            <v>0</v>
          </cell>
          <cell r="CT590">
            <v>0</v>
          </cell>
          <cell r="CU590">
            <v>2.7</v>
          </cell>
          <cell r="CV590">
            <v>-2.7</v>
          </cell>
          <cell r="CW590">
            <v>0.1</v>
          </cell>
          <cell r="CX590">
            <v>1.4</v>
          </cell>
          <cell r="CY590">
            <v>-1.5</v>
          </cell>
          <cell r="CZ590">
            <v>2.7</v>
          </cell>
          <cell r="DA590">
            <v>-2.7</v>
          </cell>
          <cell r="DB590">
            <v>1.7</v>
          </cell>
          <cell r="DC590">
            <v>-1.7</v>
          </cell>
          <cell r="DD590">
            <v>0</v>
          </cell>
          <cell r="DE590">
            <v>2.2999999999999998</v>
          </cell>
          <cell r="DF590">
            <v>-3.3</v>
          </cell>
          <cell r="DG590">
            <v>2.8</v>
          </cell>
          <cell r="DH590">
            <v>-1.8</v>
          </cell>
          <cell r="DI590">
            <v>2.6</v>
          </cell>
          <cell r="DJ590">
            <v>5</v>
          </cell>
          <cell r="DK590">
            <v>-7.7</v>
          </cell>
          <cell r="DL590">
            <v>0.9</v>
          </cell>
          <cell r="DM590">
            <v>-0.9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5.7</v>
          </cell>
          <cell r="EQ590">
            <v>-5.9</v>
          </cell>
          <cell r="ER590">
            <v>-0.20000000000000018</v>
          </cell>
          <cell r="ES590">
            <v>0</v>
          </cell>
        </row>
        <row r="591">
          <cell r="A591" t="str">
            <v>Other Below-the-Line Income / (Expense) items</v>
          </cell>
          <cell r="B591" t="str">
            <v>Mdse &amp; Jobbing Income</v>
          </cell>
          <cell r="E591" t="str">
            <v>Mdse &amp; Jobbing Income (Expense)</v>
          </cell>
          <cell r="F591" t="str">
            <v>7103020</v>
          </cell>
          <cell r="G591" t="str">
            <v>A_7103020</v>
          </cell>
          <cell r="H591" t="str">
            <v>Jobbing Revenue</v>
          </cell>
          <cell r="J591">
            <v>1.9</v>
          </cell>
          <cell r="K591">
            <v>-3.7</v>
          </cell>
          <cell r="L591">
            <v>1.1000000000000001</v>
          </cell>
          <cell r="M591">
            <v>10.4</v>
          </cell>
          <cell r="N591">
            <v>-1.3</v>
          </cell>
          <cell r="O591">
            <v>1.6</v>
          </cell>
          <cell r="P591">
            <v>1</v>
          </cell>
          <cell r="Q591">
            <v>0</v>
          </cell>
          <cell r="R591">
            <v>2.9</v>
          </cell>
          <cell r="S591">
            <v>0.5</v>
          </cell>
          <cell r="T591">
            <v>-1</v>
          </cell>
          <cell r="U591">
            <v>0.1</v>
          </cell>
          <cell r="V591">
            <v>9.1</v>
          </cell>
          <cell r="W591">
            <v>-5.6</v>
          </cell>
          <cell r="X591">
            <v>0.1</v>
          </cell>
          <cell r="Y591">
            <v>0.1</v>
          </cell>
          <cell r="Z591">
            <v>3.1</v>
          </cell>
          <cell r="AA591">
            <v>-1.4</v>
          </cell>
          <cell r="AB591">
            <v>0.5</v>
          </cell>
          <cell r="AC591">
            <v>0.8</v>
          </cell>
          <cell r="AD591">
            <v>1.8</v>
          </cell>
          <cell r="AE591">
            <v>0.6</v>
          </cell>
          <cell r="AF591">
            <v>0.1</v>
          </cell>
          <cell r="AG591">
            <v>1.2</v>
          </cell>
          <cell r="AH591">
            <v>0.3</v>
          </cell>
          <cell r="AI591">
            <v>0.9</v>
          </cell>
          <cell r="AJ591">
            <v>0.6</v>
          </cell>
          <cell r="AK591">
            <v>0.5</v>
          </cell>
          <cell r="AL591">
            <v>2.1</v>
          </cell>
          <cell r="AM591">
            <v>5.5</v>
          </cell>
          <cell r="AN591">
            <v>0.9</v>
          </cell>
          <cell r="AO591">
            <v>0.8</v>
          </cell>
          <cell r="AP591">
            <v>-0.1</v>
          </cell>
          <cell r="AQ591">
            <v>4.2</v>
          </cell>
          <cell r="AR591">
            <v>0</v>
          </cell>
          <cell r="AS591">
            <v>-2.2999999999999998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0.3</v>
          </cell>
          <cell r="AZ591">
            <v>0</v>
          </cell>
          <cell r="BA591">
            <v>0.1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0.3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0.3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0.2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0.1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EM591">
            <v>10.399999999999999</v>
          </cell>
          <cell r="EN591">
            <v>13.400000000000002</v>
          </cell>
          <cell r="EO591">
            <v>0.4</v>
          </cell>
          <cell r="EP591">
            <v>0</v>
          </cell>
          <cell r="EQ591">
            <v>0.3</v>
          </cell>
          <cell r="ER591">
            <v>0.5</v>
          </cell>
          <cell r="ES591">
            <v>0</v>
          </cell>
        </row>
        <row r="592">
          <cell r="A592" t="str">
            <v>Other Below-the-Line Income / (Expense) items</v>
          </cell>
          <cell r="B592" t="str">
            <v>Misc. Income Deductions</v>
          </cell>
          <cell r="E592" t="str">
            <v>Misc. Income Deductions</v>
          </cell>
          <cell r="F592" t="str">
            <v>7103040</v>
          </cell>
          <cell r="G592" t="str">
            <v>A_S7103040</v>
          </cell>
          <cell r="H592" t="str">
            <v>Settled Residential Zap Cap Revenue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25</v>
          </cell>
          <cell r="DP592">
            <v>0</v>
          </cell>
          <cell r="DQ592">
            <v>25</v>
          </cell>
          <cell r="DR592">
            <v>0</v>
          </cell>
          <cell r="DS592">
            <v>0</v>
          </cell>
          <cell r="DT592">
            <v>30</v>
          </cell>
          <cell r="DU592">
            <v>0</v>
          </cell>
          <cell r="DV592">
            <v>0</v>
          </cell>
          <cell r="DW592">
            <v>32</v>
          </cell>
          <cell r="DX592">
            <v>0</v>
          </cell>
          <cell r="DY592">
            <v>20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</row>
        <row r="593">
          <cell r="A593" t="str">
            <v>Other Below-the-Line Income / (Expense) items</v>
          </cell>
          <cell r="B593" t="str">
            <v>Misc. Income Deductions</v>
          </cell>
          <cell r="E593" t="str">
            <v>Misc. Income Deductions</v>
          </cell>
          <cell r="F593" t="str">
            <v>7103060</v>
          </cell>
          <cell r="G593" t="str">
            <v>A_7103060</v>
          </cell>
          <cell r="H593" t="str">
            <v>CIAC (Capital Work Order Credit)</v>
          </cell>
          <cell r="J593">
            <v>270.8</v>
          </cell>
          <cell r="K593">
            <v>58.8</v>
          </cell>
          <cell r="L593">
            <v>111.6</v>
          </cell>
          <cell r="M593">
            <v>65.900000000000006</v>
          </cell>
          <cell r="N593">
            <v>101.9</v>
          </cell>
          <cell r="O593">
            <v>286</v>
          </cell>
          <cell r="P593">
            <v>77.099999999999994</v>
          </cell>
          <cell r="Q593">
            <v>302.5</v>
          </cell>
          <cell r="R593">
            <v>160</v>
          </cell>
          <cell r="S593">
            <v>93.3</v>
          </cell>
          <cell r="T593">
            <v>51.3</v>
          </cell>
          <cell r="U593">
            <v>120.9</v>
          </cell>
          <cell r="V593">
            <v>44.6</v>
          </cell>
          <cell r="W593">
            <v>44.2</v>
          </cell>
          <cell r="X593">
            <v>66.3</v>
          </cell>
          <cell r="Y593">
            <v>129.80000000000001</v>
          </cell>
          <cell r="Z593">
            <v>440.4</v>
          </cell>
          <cell r="AA593">
            <v>129.69999999999999</v>
          </cell>
          <cell r="AB593">
            <v>93.6</v>
          </cell>
          <cell r="AC593">
            <v>42.8</v>
          </cell>
          <cell r="AD593">
            <v>205.8</v>
          </cell>
          <cell r="AE593">
            <v>45.8</v>
          </cell>
          <cell r="AF593">
            <v>66.7</v>
          </cell>
          <cell r="AG593">
            <v>71.8</v>
          </cell>
          <cell r="AH593">
            <v>61.8</v>
          </cell>
          <cell r="AI593">
            <v>83.4</v>
          </cell>
          <cell r="AJ593">
            <v>136.9</v>
          </cell>
          <cell r="AK593">
            <v>99.1</v>
          </cell>
          <cell r="AL593">
            <v>102.4</v>
          </cell>
          <cell r="AM593">
            <v>107.2</v>
          </cell>
          <cell r="AN593">
            <v>213.1</v>
          </cell>
          <cell r="AO593">
            <v>368.7</v>
          </cell>
          <cell r="AP593">
            <v>156</v>
          </cell>
          <cell r="AQ593">
            <v>83.9</v>
          </cell>
          <cell r="AR593">
            <v>108.6</v>
          </cell>
          <cell r="AS593">
            <v>41.1</v>
          </cell>
          <cell r="AT593">
            <v>309.8</v>
          </cell>
          <cell r="AU593">
            <v>51.6</v>
          </cell>
          <cell r="AV593">
            <v>53.7</v>
          </cell>
          <cell r="AW593">
            <v>79</v>
          </cell>
          <cell r="AX593">
            <v>73</v>
          </cell>
          <cell r="AY593">
            <v>75.099999999999994</v>
          </cell>
          <cell r="AZ593">
            <v>642.79999999999995</v>
          </cell>
          <cell r="BA593">
            <v>231.5</v>
          </cell>
          <cell r="BB593">
            <v>95.2</v>
          </cell>
          <cell r="BC593">
            <v>97.5</v>
          </cell>
          <cell r="BD593">
            <v>200.6</v>
          </cell>
          <cell r="BE593">
            <v>178</v>
          </cell>
          <cell r="BF593">
            <v>139.4</v>
          </cell>
          <cell r="BG593">
            <v>254</v>
          </cell>
          <cell r="BH593">
            <v>103</v>
          </cell>
          <cell r="BI593">
            <v>285.2</v>
          </cell>
          <cell r="BJ593">
            <v>252.6</v>
          </cell>
          <cell r="BK593">
            <v>447</v>
          </cell>
          <cell r="BL593">
            <v>299.5</v>
          </cell>
          <cell r="BM593">
            <v>276.7</v>
          </cell>
          <cell r="BN593">
            <v>128.1</v>
          </cell>
          <cell r="BO593">
            <v>160.9</v>
          </cell>
          <cell r="BP593">
            <v>157.4</v>
          </cell>
          <cell r="BQ593">
            <v>129.69999999999999</v>
          </cell>
          <cell r="BR593">
            <v>166.1</v>
          </cell>
          <cell r="BS593">
            <v>108</v>
          </cell>
          <cell r="BT593">
            <v>193.6</v>
          </cell>
          <cell r="BU593">
            <v>336.3</v>
          </cell>
          <cell r="BV593">
            <v>141.69999999999999</v>
          </cell>
          <cell r="BW593">
            <v>203.9</v>
          </cell>
          <cell r="BX593">
            <v>198.3</v>
          </cell>
          <cell r="BY593">
            <v>207</v>
          </cell>
          <cell r="BZ593">
            <v>936.3</v>
          </cell>
          <cell r="CA593">
            <v>940.3</v>
          </cell>
          <cell r="CB593">
            <v>115</v>
          </cell>
          <cell r="CC593">
            <v>172.7</v>
          </cell>
          <cell r="CD593">
            <v>317</v>
          </cell>
          <cell r="CE593">
            <v>210.8</v>
          </cell>
          <cell r="CF593">
            <v>195.3</v>
          </cell>
          <cell r="CG593">
            <v>1350.7</v>
          </cell>
          <cell r="CH593">
            <v>174.4</v>
          </cell>
          <cell r="CI593">
            <v>289.60000000000002</v>
          </cell>
          <cell r="CJ593">
            <v>217.7</v>
          </cell>
          <cell r="CK593">
            <v>189.2</v>
          </cell>
          <cell r="CL593">
            <v>140.80000000000001</v>
          </cell>
          <cell r="CM593">
            <v>205.7</v>
          </cell>
          <cell r="CN593">
            <v>86.8</v>
          </cell>
          <cell r="CO593">
            <v>345.7</v>
          </cell>
          <cell r="CP593">
            <v>393.1</v>
          </cell>
          <cell r="CQ593">
            <v>273.8</v>
          </cell>
          <cell r="CR593">
            <v>360.5</v>
          </cell>
          <cell r="CS593">
            <v>149</v>
          </cell>
          <cell r="CT593">
            <v>185.7</v>
          </cell>
          <cell r="CU593">
            <v>271.10000000000002</v>
          </cell>
          <cell r="CV593">
            <v>235.6</v>
          </cell>
          <cell r="CW593">
            <v>141.30000000000001</v>
          </cell>
          <cell r="CX593">
            <v>172.3</v>
          </cell>
          <cell r="CY593">
            <v>215.6</v>
          </cell>
          <cell r="CZ593">
            <v>137</v>
          </cell>
          <cell r="DA593">
            <v>105.5</v>
          </cell>
          <cell r="DB593">
            <v>276.10000000000002</v>
          </cell>
          <cell r="DC593">
            <v>376.9</v>
          </cell>
          <cell r="DD593">
            <v>115.9</v>
          </cell>
          <cell r="DE593">
            <v>127.6</v>
          </cell>
          <cell r="DF593">
            <v>390.1</v>
          </cell>
          <cell r="DG593">
            <v>236.3</v>
          </cell>
          <cell r="DH593">
            <v>184.9</v>
          </cell>
          <cell r="DI593">
            <v>237.6</v>
          </cell>
          <cell r="DJ593">
            <v>146.19999999999999</v>
          </cell>
          <cell r="DK593">
            <v>334.9</v>
          </cell>
          <cell r="DL593">
            <v>416.1</v>
          </cell>
          <cell r="DM593">
            <v>674.4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EM593">
            <v>1381.5</v>
          </cell>
          <cell r="EN593">
            <v>1562.2</v>
          </cell>
          <cell r="EO593">
            <v>2087.8000000000002</v>
          </cell>
          <cell r="EP593">
            <v>2633.4999999999995</v>
          </cell>
          <cell r="EQ593">
            <v>3719.2</v>
          </cell>
          <cell r="ER593">
            <v>3723.7</v>
          </cell>
          <cell r="ES593">
            <v>2640.5</v>
          </cell>
        </row>
        <row r="594">
          <cell r="A594" t="str">
            <v>Other Below-the-Line Income / (Expense) items</v>
          </cell>
          <cell r="B594" t="str">
            <v>MSEA/MEP Credits</v>
          </cell>
          <cell r="E594" t="str">
            <v>MSEA/MEP Credits</v>
          </cell>
          <cell r="F594" t="str">
            <v>7103070</v>
          </cell>
          <cell r="G594" t="str">
            <v>A_7103070</v>
          </cell>
          <cell r="H594" t="str">
            <v>MSEA/MEP Credits</v>
          </cell>
          <cell r="J594">
            <v>95</v>
          </cell>
          <cell r="K594">
            <v>127.2</v>
          </cell>
          <cell r="L594">
            <v>78.599999999999994</v>
          </cell>
          <cell r="M594">
            <v>73.2</v>
          </cell>
          <cell r="N594">
            <v>55.5</v>
          </cell>
          <cell r="O594">
            <v>48.1</v>
          </cell>
          <cell r="P594">
            <v>45.4</v>
          </cell>
          <cell r="Q594">
            <v>42.4</v>
          </cell>
          <cell r="R594">
            <v>43.8</v>
          </cell>
          <cell r="S594">
            <v>45.9</v>
          </cell>
          <cell r="T594">
            <v>57.9</v>
          </cell>
          <cell r="U594">
            <v>73.900000000000006</v>
          </cell>
          <cell r="V594">
            <v>99.2</v>
          </cell>
          <cell r="W594">
            <v>113.4</v>
          </cell>
          <cell r="X594">
            <v>110.5</v>
          </cell>
          <cell r="Y594">
            <v>69.099999999999994</v>
          </cell>
          <cell r="Z594">
            <v>50.1</v>
          </cell>
          <cell r="AA594">
            <v>48.7</v>
          </cell>
          <cell r="AB594">
            <v>45.1</v>
          </cell>
          <cell r="AC594">
            <v>33</v>
          </cell>
          <cell r="AD594">
            <v>32.5</v>
          </cell>
          <cell r="AE594">
            <v>33.5</v>
          </cell>
          <cell r="AF594">
            <v>38.200000000000003</v>
          </cell>
          <cell r="AG594">
            <v>39</v>
          </cell>
          <cell r="AH594">
            <v>45.9</v>
          </cell>
          <cell r="AI594">
            <v>48.6</v>
          </cell>
          <cell r="AJ594">
            <v>30.6</v>
          </cell>
          <cell r="AK594">
            <v>26</v>
          </cell>
          <cell r="AL594">
            <v>23</v>
          </cell>
          <cell r="AM594">
            <v>20</v>
          </cell>
          <cell r="AN594">
            <v>17.5</v>
          </cell>
          <cell r="AO594">
            <v>17.2</v>
          </cell>
          <cell r="AP594">
            <v>0.4</v>
          </cell>
          <cell r="AQ594">
            <v>0.6</v>
          </cell>
          <cell r="AR594">
            <v>0.8</v>
          </cell>
          <cell r="AS594">
            <v>0.9</v>
          </cell>
          <cell r="AT594">
            <v>1.1000000000000001</v>
          </cell>
          <cell r="AU594">
            <v>1.1000000000000001</v>
          </cell>
          <cell r="AV594">
            <v>1.2</v>
          </cell>
          <cell r="AW594">
            <v>1.3</v>
          </cell>
          <cell r="AX594">
            <v>1.5</v>
          </cell>
          <cell r="AY594">
            <v>1.7</v>
          </cell>
          <cell r="AZ594">
            <v>1.8</v>
          </cell>
          <cell r="BA594">
            <v>1.9</v>
          </cell>
          <cell r="BB594">
            <v>2</v>
          </cell>
          <cell r="BC594">
            <v>2</v>
          </cell>
          <cell r="BD594">
            <v>2.2999999999999998</v>
          </cell>
          <cell r="BE594">
            <v>2.6</v>
          </cell>
          <cell r="BF594">
            <v>3</v>
          </cell>
          <cell r="BG594">
            <v>2.9</v>
          </cell>
          <cell r="BH594">
            <v>3.1</v>
          </cell>
          <cell r="BI594">
            <v>3.2</v>
          </cell>
          <cell r="BJ594">
            <v>3.4</v>
          </cell>
          <cell r="BK594">
            <v>3.4</v>
          </cell>
          <cell r="BL594">
            <v>3.6</v>
          </cell>
          <cell r="BM594">
            <v>3.7</v>
          </cell>
          <cell r="BN594">
            <v>4</v>
          </cell>
          <cell r="BO594">
            <v>4.3</v>
          </cell>
          <cell r="BP594">
            <v>4.4000000000000004</v>
          </cell>
          <cell r="BQ594">
            <v>4.7</v>
          </cell>
          <cell r="BR594">
            <v>4.8</v>
          </cell>
          <cell r="BS594">
            <v>4.9000000000000004</v>
          </cell>
          <cell r="BT594">
            <v>5.0999999999999996</v>
          </cell>
          <cell r="BU594">
            <v>5.2</v>
          </cell>
          <cell r="BV594">
            <v>5.4</v>
          </cell>
          <cell r="BW594">
            <v>5.5</v>
          </cell>
          <cell r="BX594">
            <v>5.7</v>
          </cell>
          <cell r="BY594">
            <v>5.7</v>
          </cell>
          <cell r="BZ594">
            <v>5.9</v>
          </cell>
          <cell r="CA594">
            <v>5.9</v>
          </cell>
          <cell r="CB594">
            <v>6.1</v>
          </cell>
          <cell r="CC594">
            <v>6.3</v>
          </cell>
          <cell r="CD594">
            <v>6.5</v>
          </cell>
          <cell r="CE594">
            <v>6.6</v>
          </cell>
          <cell r="CF594">
            <v>6.8</v>
          </cell>
          <cell r="CG594">
            <v>6.9</v>
          </cell>
          <cell r="CH594">
            <v>7.1</v>
          </cell>
          <cell r="CI594">
            <v>7.2</v>
          </cell>
          <cell r="CJ594">
            <v>7.3</v>
          </cell>
          <cell r="CK594">
            <v>7.4</v>
          </cell>
          <cell r="CL594">
            <v>7.4</v>
          </cell>
          <cell r="CM594">
            <v>7.7</v>
          </cell>
          <cell r="CN594">
            <v>7.9</v>
          </cell>
          <cell r="CO594">
            <v>7.9</v>
          </cell>
          <cell r="CP594">
            <v>8.1</v>
          </cell>
          <cell r="CQ594">
            <v>8.1999999999999993</v>
          </cell>
          <cell r="CR594">
            <v>8.4</v>
          </cell>
          <cell r="CS594">
            <v>8.4</v>
          </cell>
          <cell r="CT594">
            <v>8.6</v>
          </cell>
          <cell r="CU594">
            <v>8.6</v>
          </cell>
          <cell r="CV594">
            <v>8.6999999999999993</v>
          </cell>
          <cell r="CW594">
            <v>8.8000000000000007</v>
          </cell>
          <cell r="CX594">
            <v>9</v>
          </cell>
          <cell r="CY594">
            <v>9</v>
          </cell>
          <cell r="CZ594">
            <v>9.1</v>
          </cell>
          <cell r="DA594">
            <v>9.1</v>
          </cell>
          <cell r="DB594">
            <v>9.1999999999999993</v>
          </cell>
          <cell r="DC594">
            <v>9.3000000000000007</v>
          </cell>
          <cell r="DD594">
            <v>9.4</v>
          </cell>
          <cell r="DE594">
            <v>9.4</v>
          </cell>
          <cell r="DF594">
            <v>9.6</v>
          </cell>
          <cell r="DG594">
            <v>9.5</v>
          </cell>
          <cell r="DH594">
            <v>9.6999999999999993</v>
          </cell>
          <cell r="DI594">
            <v>9.6999999999999993</v>
          </cell>
          <cell r="DJ594">
            <v>9.8000000000000007</v>
          </cell>
          <cell r="DK594">
            <v>9.9</v>
          </cell>
          <cell r="DL594">
            <v>9.9</v>
          </cell>
          <cell r="DM594">
            <v>9.9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EM594">
            <v>712.30000000000007</v>
          </cell>
          <cell r="EN594">
            <v>231.5</v>
          </cell>
          <cell r="EO594">
            <v>20.500000000000004</v>
          </cell>
          <cell r="EP594">
            <v>43.7</v>
          </cell>
          <cell r="EQ594">
            <v>66.5</v>
          </cell>
          <cell r="ER594">
            <v>86.7</v>
          </cell>
          <cell r="ES594">
            <v>103.99999999999999</v>
          </cell>
        </row>
        <row r="595">
          <cell r="A595" t="str">
            <v>Other Below-the-Line Income / (Expense) items</v>
          </cell>
          <cell r="B595" t="str">
            <v>Misc. Income Deductions</v>
          </cell>
          <cell r="E595" t="str">
            <v>Misc. Income Deductions</v>
          </cell>
          <cell r="F595" t="str">
            <v>7109000</v>
          </cell>
          <cell r="G595" t="str">
            <v>A_7109000</v>
          </cell>
          <cell r="H595" t="str">
            <v>Other Income sent to Balance Sheet</v>
          </cell>
          <cell r="J595">
            <v>-365.7</v>
          </cell>
          <cell r="K595">
            <v>-186.1</v>
          </cell>
          <cell r="L595">
            <v>-195</v>
          </cell>
          <cell r="M595">
            <v>-129.9</v>
          </cell>
          <cell r="N595">
            <v>-157.4</v>
          </cell>
          <cell r="O595">
            <v>-334.1</v>
          </cell>
          <cell r="P595">
            <v>-122.5</v>
          </cell>
          <cell r="Q595">
            <v>-344.9</v>
          </cell>
          <cell r="R595">
            <v>-203.8</v>
          </cell>
          <cell r="S595">
            <v>-138.19999999999999</v>
          </cell>
          <cell r="T595">
            <v>-109.2</v>
          </cell>
          <cell r="U595">
            <v>-194</v>
          </cell>
          <cell r="V595">
            <v>-141.1</v>
          </cell>
          <cell r="W595">
            <v>-157.6</v>
          </cell>
          <cell r="X595">
            <v>-176.7</v>
          </cell>
          <cell r="Y595">
            <v>-198.6</v>
          </cell>
          <cell r="Z595">
            <v>-490.5</v>
          </cell>
          <cell r="AA595">
            <v>-172.2</v>
          </cell>
          <cell r="AB595">
            <v>-135.30000000000001</v>
          </cell>
          <cell r="AC595">
            <v>-75.8</v>
          </cell>
          <cell r="AD595">
            <v>-238.8</v>
          </cell>
          <cell r="AE595">
            <v>-78.400000000000006</v>
          </cell>
          <cell r="AF595">
            <v>-105.9</v>
          </cell>
          <cell r="AG595">
            <v>-110.8</v>
          </cell>
          <cell r="AH595">
            <v>-107.6</v>
          </cell>
          <cell r="AI595">
            <v>-131</v>
          </cell>
          <cell r="AJ595">
            <v>-166.6</v>
          </cell>
          <cell r="AK595">
            <v>-125.1</v>
          </cell>
          <cell r="AL595">
            <v>-125.4</v>
          </cell>
          <cell r="AM595">
            <v>-128.30000000000001</v>
          </cell>
          <cell r="AN595">
            <v>-225.7</v>
          </cell>
          <cell r="AO595">
            <v>-385.9</v>
          </cell>
          <cell r="AP595">
            <v>-156.4</v>
          </cell>
          <cell r="AQ595">
            <v>-84.5</v>
          </cell>
          <cell r="AR595">
            <v>-109.4</v>
          </cell>
          <cell r="AS595">
            <v>-42</v>
          </cell>
          <cell r="AT595">
            <v>-251.6</v>
          </cell>
          <cell r="AU595">
            <v>-52.6</v>
          </cell>
          <cell r="AV595">
            <v>-53.7</v>
          </cell>
          <cell r="AW595">
            <v>-79</v>
          </cell>
          <cell r="AX595">
            <v>-70.7</v>
          </cell>
          <cell r="AY595">
            <v>-71.2</v>
          </cell>
          <cell r="AZ595">
            <v>-644.4</v>
          </cell>
          <cell r="BA595">
            <v>-233.4</v>
          </cell>
          <cell r="BB595">
            <v>-96.9</v>
          </cell>
          <cell r="BC595">
            <v>-99.7</v>
          </cell>
          <cell r="BD595">
            <v>-202.6</v>
          </cell>
          <cell r="BE595">
            <v>-179.5</v>
          </cell>
          <cell r="BF595">
            <v>-142</v>
          </cell>
          <cell r="BG595">
            <v>-235.9</v>
          </cell>
          <cell r="BH595">
            <v>-105.7</v>
          </cell>
          <cell r="BI595">
            <v>-288.3</v>
          </cell>
          <cell r="BJ595">
            <v>-255.8</v>
          </cell>
          <cell r="BK595">
            <v>-446.1</v>
          </cell>
          <cell r="BL595">
            <v>-303</v>
          </cell>
          <cell r="BM595">
            <v>-280.3</v>
          </cell>
          <cell r="BN595">
            <v>-128.69999999999999</v>
          </cell>
          <cell r="BO595">
            <v>-164.9</v>
          </cell>
          <cell r="BP595">
            <v>-161.80000000000001</v>
          </cell>
          <cell r="BQ595">
            <v>-134.19999999999999</v>
          </cell>
          <cell r="BR595">
            <v>-170.9</v>
          </cell>
          <cell r="BS595">
            <v>-112.8</v>
          </cell>
          <cell r="BT595">
            <v>-198.6</v>
          </cell>
          <cell r="BU595">
            <v>-339.5</v>
          </cell>
          <cell r="BV595">
            <v>-146.9</v>
          </cell>
          <cell r="BW595">
            <v>-208.9</v>
          </cell>
          <cell r="BX595">
            <v>-203.8</v>
          </cell>
          <cell r="BY595">
            <v>-212.4</v>
          </cell>
          <cell r="BZ595">
            <v>-942</v>
          </cell>
          <cell r="CA595">
            <v>-945.6</v>
          </cell>
          <cell r="CB595">
            <v>-120.9</v>
          </cell>
          <cell r="CC595">
            <v>297.7</v>
          </cell>
          <cell r="CD595">
            <v>-201.3</v>
          </cell>
          <cell r="CE595">
            <v>-57.2</v>
          </cell>
          <cell r="CF595">
            <v>-14.9</v>
          </cell>
          <cell r="CG595">
            <v>-1144.7</v>
          </cell>
          <cell r="CH595">
            <v>76.7</v>
          </cell>
          <cell r="CI595">
            <v>-0.2</v>
          </cell>
          <cell r="CJ595">
            <v>92.5</v>
          </cell>
          <cell r="CK595">
            <v>157.69999999999999</v>
          </cell>
          <cell r="CL595">
            <v>248.2</v>
          </cell>
          <cell r="CM595">
            <v>101.5</v>
          </cell>
          <cell r="CN595">
            <v>136.80000000000001</v>
          </cell>
          <cell r="CO595">
            <v>-85.7</v>
          </cell>
          <cell r="CP595">
            <v>-96.2</v>
          </cell>
          <cell r="CQ595">
            <v>88.7</v>
          </cell>
          <cell r="CR595">
            <v>21.2</v>
          </cell>
          <cell r="CS595">
            <v>168.8</v>
          </cell>
          <cell r="CT595">
            <v>27.8</v>
          </cell>
          <cell r="CU595">
            <v>-49.4</v>
          </cell>
          <cell r="CV595">
            <v>5.2</v>
          </cell>
          <cell r="CW595">
            <v>140.1</v>
          </cell>
          <cell r="CX595">
            <v>127.4</v>
          </cell>
          <cell r="CY595">
            <v>105.7</v>
          </cell>
          <cell r="CZ595">
            <v>-23.7</v>
          </cell>
          <cell r="DA595">
            <v>49.1</v>
          </cell>
          <cell r="DB595">
            <v>-104.6</v>
          </cell>
          <cell r="DC595">
            <v>-183.9</v>
          </cell>
          <cell r="DD595">
            <v>90.1</v>
          </cell>
          <cell r="DE595">
            <v>99.7</v>
          </cell>
          <cell r="DF595">
            <v>-134</v>
          </cell>
          <cell r="DG595">
            <v>46.9</v>
          </cell>
          <cell r="DH595">
            <v>131.80000000000001</v>
          </cell>
          <cell r="DI595">
            <v>104.8</v>
          </cell>
          <cell r="DJ595">
            <v>214.4</v>
          </cell>
          <cell r="DK595">
            <v>-177.1</v>
          </cell>
          <cell r="DL595">
            <v>-180.1</v>
          </cell>
          <cell r="DM595">
            <v>-417.9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EM595">
            <v>-2081.7000000000003</v>
          </cell>
          <cell r="EN595">
            <v>-1787.9</v>
          </cell>
          <cell r="EO595">
            <v>-2035.3</v>
          </cell>
          <cell r="EP595">
            <v>-2646.7000000000003</v>
          </cell>
          <cell r="EQ595">
            <v>-3304.6000000000004</v>
          </cell>
          <cell r="ER595">
            <v>-690.59999999999991</v>
          </cell>
          <cell r="ES595">
            <v>564.70000000000005</v>
          </cell>
        </row>
        <row r="596">
          <cell r="A596" t="str">
            <v>Other Below-the-Line Income / (Expense) items</v>
          </cell>
          <cell r="B596" t="str">
            <v>Misc. Income Deductions</v>
          </cell>
          <cell r="E596" t="str">
            <v>Misc. Income Deductions</v>
          </cell>
          <cell r="F596" t="str">
            <v>7100000</v>
          </cell>
          <cell r="G596" t="str">
            <v>A_S7100000</v>
          </cell>
          <cell r="H596" t="str">
            <v>Settled Other Income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-0.1</v>
          </cell>
          <cell r="AQ596">
            <v>0.1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</row>
        <row r="597">
          <cell r="F597" t="str">
            <v>710</v>
          </cell>
          <cell r="G597">
            <v>710</v>
          </cell>
          <cell r="J597">
            <v>2</v>
          </cell>
          <cell r="K597">
            <v>3</v>
          </cell>
          <cell r="L597">
            <v>-3.7000000000000171</v>
          </cell>
          <cell r="M597">
            <v>19.599999999999994</v>
          </cell>
          <cell r="N597">
            <v>-1.2000000000000171</v>
          </cell>
          <cell r="O597">
            <v>1.6000000000000227</v>
          </cell>
          <cell r="P597">
            <v>1</v>
          </cell>
          <cell r="Q597">
            <v>0</v>
          </cell>
          <cell r="R597">
            <v>2.8999999999999773</v>
          </cell>
          <cell r="S597">
            <v>1.5999999999999943</v>
          </cell>
          <cell r="T597">
            <v>-0.90000000000000568</v>
          </cell>
          <cell r="U597">
            <v>1</v>
          </cell>
          <cell r="V597">
            <v>11.900000000000006</v>
          </cell>
          <cell r="W597">
            <v>-5.4999999999999716</v>
          </cell>
          <cell r="X597">
            <v>0.19999999999998863</v>
          </cell>
          <cell r="Y597">
            <v>0.5</v>
          </cell>
          <cell r="Z597">
            <v>3.1999999999999886</v>
          </cell>
          <cell r="AA597">
            <v>4.8999999999999773</v>
          </cell>
          <cell r="AB597">
            <v>3.8999999999999773</v>
          </cell>
          <cell r="AC597">
            <v>0.89999999999999147</v>
          </cell>
          <cell r="AD597">
            <v>1.4000000000000057</v>
          </cell>
          <cell r="AE597">
            <v>1.5999999999999943</v>
          </cell>
          <cell r="AF597">
            <v>-0.79999999999999716</v>
          </cell>
          <cell r="AG597">
            <v>689.1</v>
          </cell>
          <cell r="AH597">
            <v>0.40000000000000568</v>
          </cell>
          <cell r="AI597">
            <v>1.9000000000000057</v>
          </cell>
          <cell r="AJ597">
            <v>1.5999999999999943</v>
          </cell>
          <cell r="AK597">
            <v>0.59999999999999432</v>
          </cell>
          <cell r="AL597">
            <v>2.2000000000000028</v>
          </cell>
          <cell r="AM597">
            <v>4.5</v>
          </cell>
          <cell r="AN597">
            <v>184.3</v>
          </cell>
          <cell r="AO597">
            <v>393.80000000000007</v>
          </cell>
          <cell r="AP597">
            <v>178.4</v>
          </cell>
          <cell r="AQ597">
            <v>914.9</v>
          </cell>
          <cell r="AR597">
            <v>178.4</v>
          </cell>
          <cell r="AS597">
            <v>176.1</v>
          </cell>
          <cell r="AT597">
            <v>237.70000000000007</v>
          </cell>
          <cell r="AU597">
            <v>178.5</v>
          </cell>
          <cell r="AV597">
            <v>179.7</v>
          </cell>
          <cell r="AW597">
            <v>179.7</v>
          </cell>
          <cell r="AX597">
            <v>182.2</v>
          </cell>
          <cell r="AY597">
            <v>184.3</v>
          </cell>
          <cell r="AZ597">
            <v>178.59999999999991</v>
          </cell>
          <cell r="BA597">
            <v>178.49999999999997</v>
          </cell>
          <cell r="BB597">
            <v>178.70000000000002</v>
          </cell>
          <cell r="BC597">
            <v>178.3</v>
          </cell>
          <cell r="BD597">
            <v>178.6</v>
          </cell>
          <cell r="BE597">
            <v>179.5</v>
          </cell>
          <cell r="BF597">
            <v>186.8</v>
          </cell>
          <cell r="BG597">
            <v>200.6</v>
          </cell>
          <cell r="BH597">
            <v>177.8</v>
          </cell>
          <cell r="BI597">
            <v>139.5</v>
          </cell>
          <cell r="BJ597">
            <v>178.59999999999997</v>
          </cell>
          <cell r="BK597">
            <v>184.29999999999995</v>
          </cell>
          <cell r="BL597">
            <v>180.20000000000005</v>
          </cell>
          <cell r="BM597">
            <v>179</v>
          </cell>
          <cell r="BN597">
            <v>188.8</v>
          </cell>
          <cell r="BO597">
            <v>180.60000000000005</v>
          </cell>
          <cell r="BP597">
            <v>179.29999999999995</v>
          </cell>
          <cell r="BQ597">
            <v>180.1</v>
          </cell>
          <cell r="BR597">
            <v>185.9</v>
          </cell>
          <cell r="BS597">
            <v>178.59999999999997</v>
          </cell>
          <cell r="BT597">
            <v>179.50000000000003</v>
          </cell>
          <cell r="BU597">
            <v>183.90000000000009</v>
          </cell>
          <cell r="BV597">
            <v>178.69999999999996</v>
          </cell>
          <cell r="BW597">
            <v>170.1</v>
          </cell>
          <cell r="BX597">
            <v>186.10000000000002</v>
          </cell>
          <cell r="BY597">
            <v>311.00000000000011</v>
          </cell>
          <cell r="BZ597">
            <v>268.59999999999991</v>
          </cell>
          <cell r="CA597">
            <v>249.00000000000011</v>
          </cell>
          <cell r="CB597">
            <v>257.39999999999998</v>
          </cell>
          <cell r="CC597">
            <v>283.2</v>
          </cell>
          <cell r="CD597">
            <v>301.5</v>
          </cell>
          <cell r="CE597">
            <v>340.70000000000005</v>
          </cell>
          <cell r="CF597">
            <v>372.40000000000003</v>
          </cell>
          <cell r="CG597">
            <v>386.10000000000014</v>
          </cell>
          <cell r="CH597">
            <v>393.1</v>
          </cell>
          <cell r="CI597">
            <v>454.20000000000005</v>
          </cell>
          <cell r="CJ597">
            <v>338.4</v>
          </cell>
          <cell r="CK597">
            <v>367.9</v>
          </cell>
          <cell r="CL597">
            <v>397.1</v>
          </cell>
          <cell r="CM597">
            <v>317.29999999999995</v>
          </cell>
          <cell r="CN597">
            <v>230.70000000000002</v>
          </cell>
          <cell r="CO597">
            <v>268.09999999999997</v>
          </cell>
          <cell r="CP597">
            <v>305.90000000000003</v>
          </cell>
          <cell r="CQ597">
            <v>369.8</v>
          </cell>
          <cell r="CR597">
            <v>390.09999999999997</v>
          </cell>
          <cell r="CS597">
            <v>330.20000000000005</v>
          </cell>
          <cell r="CT597">
            <v>222.1</v>
          </cell>
          <cell r="CU597">
            <v>233.00000000000003</v>
          </cell>
          <cell r="CV597">
            <v>246.99999999999997</v>
          </cell>
          <cell r="CW597">
            <v>290.3</v>
          </cell>
          <cell r="CX597">
            <v>310.10000000000002</v>
          </cell>
          <cell r="CY597">
            <v>328.8</v>
          </cell>
          <cell r="CZ597">
            <v>125.2</v>
          </cell>
          <cell r="DA597">
            <v>161.1</v>
          </cell>
          <cell r="DB597">
            <v>182.4</v>
          </cell>
          <cell r="DC597">
            <v>200.6</v>
          </cell>
          <cell r="DD597">
            <v>215.4</v>
          </cell>
          <cell r="DE597">
            <v>252.5</v>
          </cell>
          <cell r="DF597">
            <v>275.90000000000003</v>
          </cell>
          <cell r="DG597">
            <v>210.00000000000003</v>
          </cell>
          <cell r="DH597">
            <v>338.1</v>
          </cell>
          <cell r="DI597">
            <v>401.1</v>
          </cell>
          <cell r="DJ597">
            <v>428</v>
          </cell>
          <cell r="DK597">
            <v>209.79999999999998</v>
          </cell>
          <cell r="DL597">
            <v>293.20000000000005</v>
          </cell>
          <cell r="DM597">
            <v>309.79999999999995</v>
          </cell>
          <cell r="DN597">
            <v>377.6</v>
          </cell>
          <cell r="DO597">
            <v>409</v>
          </cell>
          <cell r="DP597">
            <v>403.1</v>
          </cell>
          <cell r="DQ597">
            <v>497.3</v>
          </cell>
          <cell r="DR597">
            <v>455.9</v>
          </cell>
          <cell r="DS597">
            <v>399.9</v>
          </cell>
          <cell r="DT597">
            <v>460.7</v>
          </cell>
          <cell r="DU597">
            <v>464</v>
          </cell>
          <cell r="DV597">
            <v>495.8</v>
          </cell>
          <cell r="DW597">
            <v>555.4</v>
          </cell>
          <cell r="DX597">
            <v>409.5</v>
          </cell>
          <cell r="DY597">
            <v>308.8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M597">
            <v>711.3</v>
          </cell>
          <cell r="EN597">
            <v>2037.1</v>
          </cell>
          <cell r="EO597">
            <v>2214.3000000000002</v>
          </cell>
          <cell r="EP597">
            <v>2155.6</v>
          </cell>
          <cell r="EQ597">
            <v>2632</v>
          </cell>
          <cell r="ER597">
            <v>4167.5</v>
          </cell>
          <cell r="ES597">
            <v>3313.6</v>
          </cell>
        </row>
        <row r="598">
          <cell r="A598" t="str">
            <v>Other Below-the-Line Income / (Expense) items SUB</v>
          </cell>
          <cell r="B598" t="str">
            <v>Misc. Non-operating Income Loss</v>
          </cell>
          <cell r="C598" t="str">
            <v>Loss Sale</v>
          </cell>
          <cell r="E598" t="str">
            <v>Misc. Non-operating Income SUB</v>
          </cell>
          <cell r="F598" t="str">
            <v>7201000</v>
          </cell>
          <cell r="G598" t="str">
            <v>A_7201000</v>
          </cell>
          <cell r="H598" t="str">
            <v>Loss Sale of Utility Property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5.2</v>
          </cell>
          <cell r="CG598">
            <v>5.2</v>
          </cell>
          <cell r="CH598">
            <v>5.2</v>
          </cell>
          <cell r="CI598">
            <v>5.2</v>
          </cell>
          <cell r="CJ598">
            <v>5.2</v>
          </cell>
          <cell r="CK598">
            <v>5.2</v>
          </cell>
          <cell r="CL598">
            <v>5.2</v>
          </cell>
          <cell r="CM598">
            <v>5.2</v>
          </cell>
          <cell r="CN598">
            <v>5.2</v>
          </cell>
          <cell r="CO598">
            <v>5.2</v>
          </cell>
          <cell r="CP598">
            <v>5.2</v>
          </cell>
          <cell r="CQ598">
            <v>5.2</v>
          </cell>
          <cell r="CR598">
            <v>5.2</v>
          </cell>
          <cell r="CS598">
            <v>5.2</v>
          </cell>
          <cell r="CT598">
            <v>5.2</v>
          </cell>
          <cell r="CU598">
            <v>5.2</v>
          </cell>
          <cell r="CV598">
            <v>5.2</v>
          </cell>
          <cell r="CW598">
            <v>5.2</v>
          </cell>
          <cell r="CX598">
            <v>5.2</v>
          </cell>
          <cell r="CY598">
            <v>5.2</v>
          </cell>
          <cell r="CZ598">
            <v>5.2</v>
          </cell>
          <cell r="DA598">
            <v>5.2</v>
          </cell>
          <cell r="DB598">
            <v>5.2</v>
          </cell>
          <cell r="DC598">
            <v>5.2</v>
          </cell>
          <cell r="DD598">
            <v>5.2</v>
          </cell>
          <cell r="DE598">
            <v>5.2</v>
          </cell>
          <cell r="DF598">
            <v>5.2</v>
          </cell>
          <cell r="DG598">
            <v>5.2</v>
          </cell>
          <cell r="DH598">
            <v>5.2</v>
          </cell>
          <cell r="DI598">
            <v>5.2</v>
          </cell>
          <cell r="DJ598">
            <v>5.2</v>
          </cell>
          <cell r="DK598">
            <v>5.2</v>
          </cell>
          <cell r="DL598">
            <v>5.2</v>
          </cell>
          <cell r="DM598">
            <v>5.2</v>
          </cell>
          <cell r="DN598">
            <v>5.2</v>
          </cell>
          <cell r="DO598">
            <v>5.2</v>
          </cell>
          <cell r="DP598">
            <v>5.2</v>
          </cell>
          <cell r="DQ598">
            <v>5.2</v>
          </cell>
          <cell r="DR598">
            <v>5.2</v>
          </cell>
          <cell r="DS598">
            <v>5.2</v>
          </cell>
          <cell r="DT598">
            <v>5.2</v>
          </cell>
          <cell r="DU598">
            <v>5.2</v>
          </cell>
          <cell r="DV598">
            <v>5.2</v>
          </cell>
          <cell r="DW598">
            <v>5.2</v>
          </cell>
          <cell r="DX598">
            <v>5.2</v>
          </cell>
          <cell r="DY598">
            <v>5.2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52.000000000000007</v>
          </cell>
          <cell r="ES598">
            <v>62.400000000000013</v>
          </cell>
        </row>
        <row r="599">
          <cell r="A599" t="str">
            <v>Other Below-the-Line Income / (Expense) items SUB</v>
          </cell>
          <cell r="B599" t="str">
            <v>Misc. Income Deductions SUB</v>
          </cell>
          <cell r="E599" t="str">
            <v>Misc. Income Deductions SUB</v>
          </cell>
          <cell r="F599" t="str">
            <v>7202000</v>
          </cell>
          <cell r="G599" t="str">
            <v>A_7202000</v>
          </cell>
          <cell r="H599" t="str">
            <v>Currency Adjustment - Realized Loss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0.2</v>
          </cell>
          <cell r="BJ599">
            <v>0</v>
          </cell>
          <cell r="BK599">
            <v>0</v>
          </cell>
          <cell r="BL599">
            <v>0.2</v>
          </cell>
          <cell r="BM599">
            <v>0.2</v>
          </cell>
          <cell r="BN599">
            <v>1.8</v>
          </cell>
          <cell r="BO599">
            <v>0.1</v>
          </cell>
          <cell r="BP599">
            <v>0</v>
          </cell>
          <cell r="BQ599">
            <v>0</v>
          </cell>
          <cell r="BR599">
            <v>0.3</v>
          </cell>
          <cell r="BS599">
            <v>0.8</v>
          </cell>
          <cell r="BT599">
            <v>0.6</v>
          </cell>
          <cell r="BU599">
            <v>0.5</v>
          </cell>
          <cell r="BV599">
            <v>0.8</v>
          </cell>
          <cell r="BW599">
            <v>7.5</v>
          </cell>
          <cell r="BX599">
            <v>0</v>
          </cell>
          <cell r="BY599">
            <v>0</v>
          </cell>
          <cell r="BZ599">
            <v>1.5</v>
          </cell>
          <cell r="CA599">
            <v>3.9</v>
          </cell>
          <cell r="CB599">
            <v>0.9</v>
          </cell>
          <cell r="CC599">
            <v>1.9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2.1</v>
          </cell>
          <cell r="CI599">
            <v>7.7</v>
          </cell>
          <cell r="CJ599">
            <v>3</v>
          </cell>
          <cell r="CK599">
            <v>0.2</v>
          </cell>
          <cell r="CL599">
            <v>1.1000000000000001</v>
          </cell>
          <cell r="CM599">
            <v>3.3</v>
          </cell>
          <cell r="CN599">
            <v>3.2</v>
          </cell>
          <cell r="CO599">
            <v>4.4000000000000004</v>
          </cell>
          <cell r="CP599">
            <v>5.7</v>
          </cell>
          <cell r="CQ599">
            <v>7.8</v>
          </cell>
          <cell r="CR599">
            <v>3.7</v>
          </cell>
          <cell r="CS599">
            <v>7.8</v>
          </cell>
          <cell r="CT599">
            <v>8.9</v>
          </cell>
          <cell r="CU599">
            <v>3.7</v>
          </cell>
          <cell r="CV599">
            <v>0</v>
          </cell>
          <cell r="CW599">
            <v>1.4</v>
          </cell>
          <cell r="CX599">
            <v>1.8</v>
          </cell>
          <cell r="CY599">
            <v>10.4</v>
          </cell>
          <cell r="CZ599">
            <v>0</v>
          </cell>
          <cell r="DA599">
            <v>0</v>
          </cell>
          <cell r="DB599">
            <v>5.5</v>
          </cell>
          <cell r="DC599">
            <v>0.3</v>
          </cell>
          <cell r="DD599">
            <v>4</v>
          </cell>
          <cell r="DE599">
            <v>0.5</v>
          </cell>
          <cell r="DF599">
            <v>3.3</v>
          </cell>
          <cell r="DG599">
            <v>4</v>
          </cell>
          <cell r="DH599">
            <v>2.7</v>
          </cell>
          <cell r="DI599">
            <v>1.9</v>
          </cell>
          <cell r="DJ599">
            <v>0</v>
          </cell>
          <cell r="DK599">
            <v>0</v>
          </cell>
          <cell r="DL599">
            <v>3.7</v>
          </cell>
          <cell r="DM599">
            <v>0.2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2.5000000000000004</v>
          </cell>
          <cell r="EQ599">
            <v>18.7</v>
          </cell>
          <cell r="ER599">
            <v>25</v>
          </cell>
          <cell r="ES599">
            <v>51.199999999999996</v>
          </cell>
        </row>
        <row r="600">
          <cell r="A600" t="str">
            <v>Other Below-the-Line Income / (Expense) items SUB</v>
          </cell>
          <cell r="B600" t="str">
            <v>Misc. Income Deductions SUB</v>
          </cell>
          <cell r="E600" t="str">
            <v>Misc. Income Deductions SUB</v>
          </cell>
          <cell r="F600" t="str">
            <v>7202100</v>
          </cell>
          <cell r="G600" t="str">
            <v>A_7202100</v>
          </cell>
          <cell r="H600" t="str">
            <v>Currency Adjustment - Unrealized Loss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0.3</v>
          </cell>
          <cell r="BG600">
            <v>-0.2</v>
          </cell>
          <cell r="BH600">
            <v>-0.1</v>
          </cell>
          <cell r="BI600">
            <v>0</v>
          </cell>
          <cell r="BJ600">
            <v>0</v>
          </cell>
          <cell r="BK600">
            <v>0</v>
          </cell>
          <cell r="BL600">
            <v>0.4</v>
          </cell>
          <cell r="BM600">
            <v>0.4</v>
          </cell>
          <cell r="BN600">
            <v>-0.1</v>
          </cell>
          <cell r="BO600">
            <v>2.2999999999999998</v>
          </cell>
          <cell r="BP600">
            <v>1.9</v>
          </cell>
          <cell r="BQ600">
            <v>3.8</v>
          </cell>
          <cell r="BR600">
            <v>2.2999999999999998</v>
          </cell>
          <cell r="BS600">
            <v>0.4</v>
          </cell>
          <cell r="BT600">
            <v>3.7</v>
          </cell>
          <cell r="BU600">
            <v>-1.5</v>
          </cell>
          <cell r="BV600">
            <v>1.9</v>
          </cell>
          <cell r="BW600">
            <v>-14.4</v>
          </cell>
          <cell r="BX600">
            <v>0.7</v>
          </cell>
          <cell r="BY600">
            <v>-2</v>
          </cell>
          <cell r="BZ600">
            <v>-0.1</v>
          </cell>
          <cell r="CA600">
            <v>0.1</v>
          </cell>
          <cell r="CB600">
            <v>-0.1</v>
          </cell>
          <cell r="CC600">
            <v>1.4</v>
          </cell>
          <cell r="CD600">
            <v>1.7</v>
          </cell>
          <cell r="CE600">
            <v>1.3</v>
          </cell>
          <cell r="CF600">
            <v>-4.4000000000000004</v>
          </cell>
          <cell r="CG600">
            <v>0.2</v>
          </cell>
          <cell r="CH600">
            <v>2.1</v>
          </cell>
          <cell r="CI600">
            <v>-2.2999999999999998</v>
          </cell>
          <cell r="CJ600">
            <v>0.4</v>
          </cell>
          <cell r="CK600">
            <v>0.8</v>
          </cell>
          <cell r="CL600">
            <v>-1.2</v>
          </cell>
          <cell r="CM600">
            <v>0</v>
          </cell>
          <cell r="CN600">
            <v>0.9</v>
          </cell>
          <cell r="CO600">
            <v>0.5</v>
          </cell>
          <cell r="CP600">
            <v>-1.5</v>
          </cell>
          <cell r="CQ600">
            <v>0.1</v>
          </cell>
          <cell r="CR600">
            <v>-0.1</v>
          </cell>
          <cell r="CS600">
            <v>2.9</v>
          </cell>
          <cell r="CT600">
            <v>-2</v>
          </cell>
          <cell r="CU600">
            <v>-0.9</v>
          </cell>
          <cell r="CV600">
            <v>0.6</v>
          </cell>
          <cell r="CW600">
            <v>-0.6</v>
          </cell>
          <cell r="CX600">
            <v>0</v>
          </cell>
          <cell r="CY600">
            <v>0.5</v>
          </cell>
          <cell r="CZ600">
            <v>-0.5</v>
          </cell>
          <cell r="DA600">
            <v>2</v>
          </cell>
          <cell r="DB600">
            <v>-2</v>
          </cell>
          <cell r="DC600">
            <v>0.2</v>
          </cell>
          <cell r="DD600">
            <v>3.1</v>
          </cell>
          <cell r="DE600">
            <v>-3.3</v>
          </cell>
          <cell r="DF600">
            <v>2.4</v>
          </cell>
          <cell r="DG600">
            <v>-2.4</v>
          </cell>
          <cell r="DH600">
            <v>1.6</v>
          </cell>
          <cell r="DI600">
            <v>-1.6</v>
          </cell>
          <cell r="DJ600">
            <v>0</v>
          </cell>
          <cell r="DK600">
            <v>0.6</v>
          </cell>
          <cell r="DL600">
            <v>-0.6</v>
          </cell>
          <cell r="DM600">
            <v>0.9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8.6999999999999993</v>
          </cell>
          <cell r="EQ600">
            <v>-7.5999999999999979</v>
          </cell>
          <cell r="ER600">
            <v>0</v>
          </cell>
          <cell r="ES600">
            <v>0.5</v>
          </cell>
        </row>
        <row r="601">
          <cell r="A601" t="str">
            <v>Other Below-the-Line Income / (Expense) items SUB</v>
          </cell>
          <cell r="B601" t="str">
            <v>Mdse &amp; Jobbing Expense</v>
          </cell>
          <cell r="E601" t="str">
            <v>Mdse &amp; Jobbing Income (Expense)</v>
          </cell>
          <cell r="F601" t="str">
            <v>7203020</v>
          </cell>
          <cell r="G601" t="str">
            <v>A_7203020</v>
          </cell>
          <cell r="H601" t="str">
            <v>Jobbing Expense</v>
          </cell>
          <cell r="J601">
            <v>1.9</v>
          </cell>
          <cell r="K601">
            <v>-18</v>
          </cell>
          <cell r="L601">
            <v>10.4</v>
          </cell>
          <cell r="M601">
            <v>6.5</v>
          </cell>
          <cell r="N601">
            <v>6.6</v>
          </cell>
          <cell r="O601">
            <v>7.4</v>
          </cell>
          <cell r="P601">
            <v>8</v>
          </cell>
          <cell r="Q601">
            <v>0.2</v>
          </cell>
          <cell r="R601">
            <v>0</v>
          </cell>
          <cell r="S601">
            <v>0</v>
          </cell>
          <cell r="T601">
            <v>0</v>
          </cell>
          <cell r="U601">
            <v>123.7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3.8</v>
          </cell>
          <cell r="AB601">
            <v>0</v>
          </cell>
          <cell r="AC601">
            <v>0</v>
          </cell>
          <cell r="AD601">
            <v>0</v>
          </cell>
          <cell r="AE601">
            <v>-3.8</v>
          </cell>
          <cell r="AF601">
            <v>4.5</v>
          </cell>
          <cell r="AG601">
            <v>106.1</v>
          </cell>
          <cell r="AH601">
            <v>0</v>
          </cell>
          <cell r="AI601">
            <v>0</v>
          </cell>
          <cell r="AJ601">
            <v>0</v>
          </cell>
          <cell r="AK601">
            <v>-1.7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13.6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-37.9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EM601">
            <v>110.6</v>
          </cell>
          <cell r="EN601">
            <v>11.9</v>
          </cell>
          <cell r="EO601">
            <v>-37.9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</row>
        <row r="602">
          <cell r="F602" t="str">
            <v>720</v>
          </cell>
          <cell r="G602">
            <v>720</v>
          </cell>
          <cell r="J602">
            <v>1.9</v>
          </cell>
          <cell r="K602">
            <v>-18</v>
          </cell>
          <cell r="L602">
            <v>10.4</v>
          </cell>
          <cell r="M602">
            <v>6.5</v>
          </cell>
          <cell r="N602">
            <v>6.6</v>
          </cell>
          <cell r="O602">
            <v>7.4</v>
          </cell>
          <cell r="P602">
            <v>8</v>
          </cell>
          <cell r="Q602">
            <v>0.2</v>
          </cell>
          <cell r="R602">
            <v>0</v>
          </cell>
          <cell r="S602">
            <v>0</v>
          </cell>
          <cell r="T602">
            <v>0</v>
          </cell>
          <cell r="U602">
            <v>123.7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3.8</v>
          </cell>
          <cell r="AB602">
            <v>0</v>
          </cell>
          <cell r="AC602">
            <v>0</v>
          </cell>
          <cell r="AD602">
            <v>0</v>
          </cell>
          <cell r="AE602">
            <v>-3.8</v>
          </cell>
          <cell r="AF602">
            <v>4.5</v>
          </cell>
          <cell r="AG602">
            <v>106.1</v>
          </cell>
          <cell r="AH602">
            <v>0</v>
          </cell>
          <cell r="AI602">
            <v>0</v>
          </cell>
          <cell r="AJ602">
            <v>0</v>
          </cell>
          <cell r="AK602">
            <v>-1.7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13.6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-37.9</v>
          </cell>
          <cell r="BF602">
            <v>0.3</v>
          </cell>
          <cell r="BG602">
            <v>-0.2</v>
          </cell>
          <cell r="BH602">
            <v>-0.1</v>
          </cell>
          <cell r="BI602">
            <v>0.2</v>
          </cell>
          <cell r="BJ602">
            <v>0</v>
          </cell>
          <cell r="BK602">
            <v>0</v>
          </cell>
          <cell r="BL602">
            <v>0.60000000000000009</v>
          </cell>
          <cell r="BM602">
            <v>0.60000000000000009</v>
          </cell>
          <cell r="BN602">
            <v>1.7</v>
          </cell>
          <cell r="BO602">
            <v>2.4</v>
          </cell>
          <cell r="BP602">
            <v>1.9</v>
          </cell>
          <cell r="BQ602">
            <v>3.8</v>
          </cell>
          <cell r="BR602">
            <v>2.5999999999999996</v>
          </cell>
          <cell r="BS602">
            <v>1.2000000000000002</v>
          </cell>
          <cell r="BT602">
            <v>4.3</v>
          </cell>
          <cell r="BU602">
            <v>-1</v>
          </cell>
          <cell r="BV602">
            <v>2.7</v>
          </cell>
          <cell r="BW602">
            <v>-6.9</v>
          </cell>
          <cell r="BX602">
            <v>0.7</v>
          </cell>
          <cell r="BY602">
            <v>-2</v>
          </cell>
          <cell r="BZ602">
            <v>1.4</v>
          </cell>
          <cell r="CA602">
            <v>4</v>
          </cell>
          <cell r="CB602">
            <v>0.8</v>
          </cell>
          <cell r="CC602">
            <v>3.3</v>
          </cell>
          <cell r="CD602">
            <v>1.7</v>
          </cell>
          <cell r="CE602">
            <v>1.3</v>
          </cell>
          <cell r="CF602">
            <v>0.79999999999999982</v>
          </cell>
          <cell r="CG602">
            <v>5.4</v>
          </cell>
          <cell r="CH602">
            <v>9.4</v>
          </cell>
          <cell r="CI602">
            <v>10.600000000000001</v>
          </cell>
          <cell r="CJ602">
            <v>8.6</v>
          </cell>
          <cell r="CK602">
            <v>6.2</v>
          </cell>
          <cell r="CL602">
            <v>5.1000000000000005</v>
          </cell>
          <cell r="CM602">
            <v>8.5</v>
          </cell>
          <cell r="CN602">
            <v>9.3000000000000007</v>
          </cell>
          <cell r="CO602">
            <v>10.100000000000001</v>
          </cell>
          <cell r="CP602">
            <v>9.4</v>
          </cell>
          <cell r="CQ602">
            <v>13.1</v>
          </cell>
          <cell r="CR602">
            <v>8.8000000000000007</v>
          </cell>
          <cell r="CS602">
            <v>15.9</v>
          </cell>
          <cell r="CT602">
            <v>12.100000000000001</v>
          </cell>
          <cell r="CU602">
            <v>8</v>
          </cell>
          <cell r="CV602">
            <v>5.8</v>
          </cell>
          <cell r="CW602">
            <v>6</v>
          </cell>
          <cell r="CX602">
            <v>7</v>
          </cell>
          <cell r="CY602">
            <v>16.100000000000001</v>
          </cell>
          <cell r="CZ602">
            <v>4.7</v>
          </cell>
          <cell r="DA602">
            <v>7.2</v>
          </cell>
          <cell r="DB602">
            <v>8.6999999999999993</v>
          </cell>
          <cell r="DC602">
            <v>5.7</v>
          </cell>
          <cell r="DD602">
            <v>12.299999999999999</v>
          </cell>
          <cell r="DE602">
            <v>2.4000000000000004</v>
          </cell>
          <cell r="DF602">
            <v>10.9</v>
          </cell>
          <cell r="DG602">
            <v>6.7999999999999989</v>
          </cell>
          <cell r="DH602">
            <v>9.5</v>
          </cell>
          <cell r="DI602">
            <v>5.5</v>
          </cell>
          <cell r="DJ602">
            <v>5.2</v>
          </cell>
          <cell r="DK602">
            <v>5.8</v>
          </cell>
          <cell r="DL602">
            <v>8.3000000000000007</v>
          </cell>
          <cell r="DM602">
            <v>6.3000000000000007</v>
          </cell>
          <cell r="DN602">
            <v>5.2</v>
          </cell>
          <cell r="DO602">
            <v>5.2</v>
          </cell>
          <cell r="DP602">
            <v>5.2</v>
          </cell>
          <cell r="DQ602">
            <v>5.2</v>
          </cell>
          <cell r="DR602">
            <v>5.2</v>
          </cell>
          <cell r="DS602">
            <v>5.2</v>
          </cell>
          <cell r="DT602">
            <v>5.2</v>
          </cell>
          <cell r="DU602">
            <v>5.2</v>
          </cell>
          <cell r="DV602">
            <v>5.2</v>
          </cell>
          <cell r="DW602">
            <v>5.2</v>
          </cell>
          <cell r="DX602">
            <v>5.2</v>
          </cell>
          <cell r="DY602">
            <v>5.2</v>
          </cell>
          <cell r="EM602">
            <v>110.6</v>
          </cell>
          <cell r="EN602">
            <v>11.9</v>
          </cell>
          <cell r="EO602">
            <v>-37.9</v>
          </cell>
          <cell r="EP602">
            <v>11.2</v>
          </cell>
          <cell r="EQ602">
            <v>11.1</v>
          </cell>
          <cell r="ER602">
            <v>77</v>
          </cell>
          <cell r="ES602">
            <v>114.10000000000002</v>
          </cell>
        </row>
        <row r="603">
          <cell r="A603" t="str">
            <v>Subsidiary Earnings (TPI)</v>
          </cell>
          <cell r="B603" t="str">
            <v>Equity Earnings - Subsidiary</v>
          </cell>
          <cell r="E603" t="str">
            <v>Equity Earnings - Subsidiary</v>
          </cell>
          <cell r="F603" t="str">
            <v>7301000</v>
          </cell>
          <cell r="G603" t="str">
            <v>A_7301000</v>
          </cell>
          <cell r="H603" t="str">
            <v>Equity Earnings - Consolidated Affiliate</v>
          </cell>
          <cell r="I603" t="str">
            <v>INPUT</v>
          </cell>
          <cell r="J603">
            <v>214.3</v>
          </cell>
          <cell r="K603">
            <v>330.6</v>
          </cell>
          <cell r="L603">
            <v>206.5</v>
          </cell>
          <cell r="M603">
            <v>280.89999999999998</v>
          </cell>
          <cell r="N603">
            <v>178.5</v>
          </cell>
          <cell r="O603">
            <v>262.39999999999998</v>
          </cell>
          <cell r="P603">
            <v>240.6</v>
          </cell>
          <cell r="Q603">
            <v>197.8</v>
          </cell>
          <cell r="R603">
            <v>68.8</v>
          </cell>
          <cell r="S603">
            <v>294.2</v>
          </cell>
          <cell r="T603">
            <v>168.3</v>
          </cell>
          <cell r="U603">
            <v>192.9</v>
          </cell>
          <cell r="V603">
            <v>390.8</v>
          </cell>
          <cell r="W603">
            <v>210.9</v>
          </cell>
          <cell r="X603">
            <v>150.80000000000001</v>
          </cell>
          <cell r="Y603">
            <v>117.1</v>
          </cell>
          <cell r="Z603">
            <v>224.4</v>
          </cell>
          <cell r="AA603">
            <v>216.3</v>
          </cell>
          <cell r="AB603">
            <v>152.9</v>
          </cell>
          <cell r="AC603">
            <v>171</v>
          </cell>
          <cell r="AD603">
            <v>223.3</v>
          </cell>
          <cell r="AE603">
            <v>130.19999999999999</v>
          </cell>
          <cell r="AF603">
            <v>190.3</v>
          </cell>
          <cell r="AG603">
            <v>703.8</v>
          </cell>
          <cell r="AH603">
            <v>296.3</v>
          </cell>
          <cell r="AI603">
            <v>362.9</v>
          </cell>
          <cell r="AJ603">
            <v>102.7</v>
          </cell>
          <cell r="AK603">
            <v>122.1</v>
          </cell>
          <cell r="AL603">
            <v>290.5</v>
          </cell>
          <cell r="AM603">
            <v>148.80000000000001</v>
          </cell>
          <cell r="AN603">
            <v>214.9</v>
          </cell>
          <cell r="AO603">
            <v>277.8</v>
          </cell>
          <cell r="AP603">
            <v>180.3</v>
          </cell>
          <cell r="AQ603">
            <v>769.4</v>
          </cell>
          <cell r="AR603">
            <v>203</v>
          </cell>
          <cell r="AS603">
            <v>221.3</v>
          </cell>
          <cell r="AT603">
            <v>353.9</v>
          </cell>
          <cell r="AU603">
            <v>308.10000000000002</v>
          </cell>
          <cell r="AV603">
            <v>287.2</v>
          </cell>
          <cell r="AW603">
            <v>147</v>
          </cell>
          <cell r="AX603">
            <v>332</v>
          </cell>
          <cell r="AY603">
            <v>-153.4</v>
          </cell>
          <cell r="AZ603">
            <v>293.3</v>
          </cell>
          <cell r="BA603">
            <v>142.80000000000001</v>
          </cell>
          <cell r="BB603">
            <v>298</v>
          </cell>
          <cell r="BC603">
            <v>245.6</v>
          </cell>
          <cell r="BD603">
            <v>341.6</v>
          </cell>
          <cell r="BE603">
            <v>549.1</v>
          </cell>
          <cell r="BF603">
            <v>427.3</v>
          </cell>
          <cell r="BG603">
            <v>414.6</v>
          </cell>
          <cell r="BH603">
            <v>112.6</v>
          </cell>
          <cell r="BI603">
            <v>506.3</v>
          </cell>
          <cell r="BJ603">
            <v>262</v>
          </cell>
          <cell r="BK603">
            <v>222.7</v>
          </cell>
          <cell r="BL603">
            <v>289.5</v>
          </cell>
          <cell r="BM603">
            <v>189.6</v>
          </cell>
          <cell r="BN603">
            <v>174.5</v>
          </cell>
          <cell r="BO603">
            <v>253.7</v>
          </cell>
          <cell r="BP603">
            <v>242.7</v>
          </cell>
          <cell r="BQ603">
            <v>417.3</v>
          </cell>
          <cell r="BR603">
            <v>256.60000000000002</v>
          </cell>
          <cell r="BS603">
            <v>285.5</v>
          </cell>
          <cell r="BT603">
            <v>461.1</v>
          </cell>
          <cell r="BU603">
            <v>417.1</v>
          </cell>
          <cell r="BV603">
            <v>323.8</v>
          </cell>
          <cell r="BW603">
            <v>234.5</v>
          </cell>
          <cell r="BX603">
            <v>338.9</v>
          </cell>
          <cell r="BY603">
            <v>459.5</v>
          </cell>
          <cell r="BZ603">
            <v>219.2</v>
          </cell>
          <cell r="CA603">
            <v>197.6</v>
          </cell>
          <cell r="CB603">
            <v>194.2</v>
          </cell>
          <cell r="CC603">
            <v>228.8</v>
          </cell>
          <cell r="CD603">
            <v>126.3</v>
          </cell>
          <cell r="CE603">
            <v>424.9</v>
          </cell>
          <cell r="CF603">
            <v>93.9</v>
          </cell>
          <cell r="CG603">
            <v>334.4</v>
          </cell>
          <cell r="CH603">
            <v>410.3</v>
          </cell>
          <cell r="CI603">
            <v>224.3</v>
          </cell>
          <cell r="CJ603">
            <v>188.4</v>
          </cell>
          <cell r="CK603">
            <v>311.3</v>
          </cell>
          <cell r="CL603">
            <v>239.2</v>
          </cell>
          <cell r="CM603">
            <v>350.8</v>
          </cell>
          <cell r="CN603">
            <v>209</v>
          </cell>
          <cell r="CO603">
            <v>367</v>
          </cell>
          <cell r="CP603">
            <v>334.1</v>
          </cell>
          <cell r="CQ603">
            <v>387.9</v>
          </cell>
          <cell r="CR603">
            <v>275.39999999999998</v>
          </cell>
          <cell r="CS603">
            <v>331.5</v>
          </cell>
          <cell r="CT603">
            <v>390.5</v>
          </cell>
          <cell r="CU603">
            <v>271.5</v>
          </cell>
          <cell r="CV603">
            <v>274.10000000000002</v>
          </cell>
          <cell r="CW603">
            <v>337.1</v>
          </cell>
          <cell r="CX603">
            <v>295.8</v>
          </cell>
          <cell r="CY603">
            <v>313.7</v>
          </cell>
          <cell r="CZ603">
            <v>273.10000000000002</v>
          </cell>
          <cell r="DA603">
            <v>159.4</v>
          </cell>
          <cell r="DB603">
            <v>145</v>
          </cell>
          <cell r="DC603">
            <v>253.3</v>
          </cell>
          <cell r="DD603">
            <v>473.6</v>
          </cell>
          <cell r="DE603">
            <v>257.39999999999998</v>
          </cell>
          <cell r="DF603">
            <v>276</v>
          </cell>
          <cell r="DG603">
            <v>223</v>
          </cell>
          <cell r="DH603">
            <v>436.6</v>
          </cell>
          <cell r="DI603">
            <v>288</v>
          </cell>
          <cell r="DJ603">
            <v>337.6</v>
          </cell>
          <cell r="DK603">
            <v>251.5</v>
          </cell>
          <cell r="DL603">
            <v>300.10000000000002</v>
          </cell>
          <cell r="DM603">
            <v>13.1</v>
          </cell>
          <cell r="DN603">
            <v>178.7</v>
          </cell>
          <cell r="DO603">
            <v>282.5</v>
          </cell>
          <cell r="DP603">
            <v>222.7</v>
          </cell>
          <cell r="DQ603">
            <v>351.6</v>
          </cell>
          <cell r="DR603">
            <v>310</v>
          </cell>
          <cell r="DS603">
            <v>309.5</v>
          </cell>
          <cell r="DT603">
            <v>336.3</v>
          </cell>
          <cell r="DU603">
            <v>306</v>
          </cell>
          <cell r="DV603">
            <v>324.2</v>
          </cell>
          <cell r="DW603">
            <v>321.60000000000002</v>
          </cell>
          <cell r="DX603">
            <v>355</v>
          </cell>
          <cell r="DY603">
            <v>566.6</v>
          </cell>
          <cell r="EM603">
            <v>2881.8</v>
          </cell>
          <cell r="EN603">
            <v>3190</v>
          </cell>
          <cell r="EO603">
            <v>3145.2</v>
          </cell>
          <cell r="EP603">
            <v>3512.7999999999997</v>
          </cell>
          <cell r="EQ603">
            <v>3616.7999999999997</v>
          </cell>
          <cell r="ER603">
            <v>3279.8</v>
          </cell>
          <cell r="ES603">
            <v>3644.1</v>
          </cell>
        </row>
        <row r="604">
          <cell r="F604" t="str">
            <v>730</v>
          </cell>
          <cell r="G604">
            <v>730</v>
          </cell>
          <cell r="J604">
            <v>214.3</v>
          </cell>
          <cell r="K604">
            <v>330.6</v>
          </cell>
          <cell r="L604">
            <v>206.5</v>
          </cell>
          <cell r="M604">
            <v>280.89999999999998</v>
          </cell>
          <cell r="N604">
            <v>178.5</v>
          </cell>
          <cell r="O604">
            <v>262.39999999999998</v>
          </cell>
          <cell r="P604">
            <v>240.6</v>
          </cell>
          <cell r="Q604">
            <v>197.8</v>
          </cell>
          <cell r="R604">
            <v>68.8</v>
          </cell>
          <cell r="S604">
            <v>294.2</v>
          </cell>
          <cell r="T604">
            <v>168.3</v>
          </cell>
          <cell r="U604">
            <v>192.9</v>
          </cell>
          <cell r="V604">
            <v>390.8</v>
          </cell>
          <cell r="W604">
            <v>210.9</v>
          </cell>
          <cell r="X604">
            <v>150.80000000000001</v>
          </cell>
          <cell r="Y604">
            <v>117.1</v>
          </cell>
          <cell r="Z604">
            <v>224.4</v>
          </cell>
          <cell r="AA604">
            <v>216.3</v>
          </cell>
          <cell r="AB604">
            <v>152.9</v>
          </cell>
          <cell r="AC604">
            <v>171</v>
          </cell>
          <cell r="AD604">
            <v>223.3</v>
          </cell>
          <cell r="AE604">
            <v>130.19999999999999</v>
          </cell>
          <cell r="AF604">
            <v>190.3</v>
          </cell>
          <cell r="AG604">
            <v>703.8</v>
          </cell>
          <cell r="AH604">
            <v>296.3</v>
          </cell>
          <cell r="AI604">
            <v>362.9</v>
          </cell>
          <cell r="AJ604">
            <v>102.7</v>
          </cell>
          <cell r="AK604">
            <v>122.1</v>
          </cell>
          <cell r="AL604">
            <v>290.5</v>
          </cell>
          <cell r="AM604">
            <v>148.80000000000001</v>
          </cell>
          <cell r="AN604">
            <v>214.9</v>
          </cell>
          <cell r="AO604">
            <v>277.8</v>
          </cell>
          <cell r="AP604">
            <v>180.3</v>
          </cell>
          <cell r="AQ604">
            <v>769.4</v>
          </cell>
          <cell r="AR604">
            <v>203</v>
          </cell>
          <cell r="AS604">
            <v>221.3</v>
          </cell>
          <cell r="AT604">
            <v>353.9</v>
          </cell>
          <cell r="AU604">
            <v>308.10000000000002</v>
          </cell>
          <cell r="AV604">
            <v>287.2</v>
          </cell>
          <cell r="AW604">
            <v>147</v>
          </cell>
          <cell r="AX604">
            <v>332</v>
          </cell>
          <cell r="AY604">
            <v>-153.4</v>
          </cell>
          <cell r="AZ604">
            <v>293.3</v>
          </cell>
          <cell r="BA604">
            <v>142.80000000000001</v>
          </cell>
          <cell r="BB604">
            <v>298</v>
          </cell>
          <cell r="BC604">
            <v>245.6</v>
          </cell>
          <cell r="BD604">
            <v>341.6</v>
          </cell>
          <cell r="BE604">
            <v>549.1</v>
          </cell>
          <cell r="BF604">
            <v>427.3</v>
          </cell>
          <cell r="BG604">
            <v>414.6</v>
          </cell>
          <cell r="BH604">
            <v>112.6</v>
          </cell>
          <cell r="BI604">
            <v>506.3</v>
          </cell>
          <cell r="BJ604">
            <v>262</v>
          </cell>
          <cell r="BK604">
            <v>222.7</v>
          </cell>
          <cell r="BL604">
            <v>289.5</v>
          </cell>
          <cell r="BM604">
            <v>189.6</v>
          </cell>
          <cell r="BN604">
            <v>174.5</v>
          </cell>
          <cell r="BO604">
            <v>253.7</v>
          </cell>
          <cell r="BP604">
            <v>242.7</v>
          </cell>
          <cell r="BQ604">
            <v>417.3</v>
          </cell>
          <cell r="BR604">
            <v>256.60000000000002</v>
          </cell>
          <cell r="BS604">
            <v>285.5</v>
          </cell>
          <cell r="BT604">
            <v>461.1</v>
          </cell>
          <cell r="BU604">
            <v>417.1</v>
          </cell>
          <cell r="BV604">
            <v>323.8</v>
          </cell>
          <cell r="BW604">
            <v>234.5</v>
          </cell>
          <cell r="BX604">
            <v>338.9</v>
          </cell>
          <cell r="BY604">
            <v>459.5</v>
          </cell>
          <cell r="BZ604">
            <v>219.2</v>
          </cell>
          <cell r="CA604">
            <v>197.6</v>
          </cell>
          <cell r="CB604">
            <v>194.2</v>
          </cell>
          <cell r="CC604">
            <v>228.8</v>
          </cell>
          <cell r="CD604">
            <v>126.3</v>
          </cell>
          <cell r="CE604">
            <v>424.9</v>
          </cell>
          <cell r="CF604">
            <v>93.9</v>
          </cell>
          <cell r="CG604">
            <v>334.4</v>
          </cell>
          <cell r="CH604">
            <v>410.3</v>
          </cell>
          <cell r="CI604">
            <v>224.3</v>
          </cell>
          <cell r="CJ604">
            <v>188.4</v>
          </cell>
          <cell r="CK604">
            <v>311.3</v>
          </cell>
          <cell r="CL604">
            <v>239.2</v>
          </cell>
          <cell r="CM604">
            <v>350.8</v>
          </cell>
          <cell r="CN604">
            <v>209</v>
          </cell>
          <cell r="CO604">
            <v>367</v>
          </cell>
          <cell r="CP604">
            <v>334.1</v>
          </cell>
          <cell r="CQ604">
            <v>387.9</v>
          </cell>
          <cell r="CR604">
            <v>275.39999999999998</v>
          </cell>
          <cell r="CS604">
            <v>331.5</v>
          </cell>
          <cell r="CT604">
            <v>390.5</v>
          </cell>
          <cell r="CU604">
            <v>271.5</v>
          </cell>
          <cell r="CV604">
            <v>274.10000000000002</v>
          </cell>
          <cell r="CW604">
            <v>337.1</v>
          </cell>
          <cell r="CX604">
            <v>295.8</v>
          </cell>
          <cell r="CY604">
            <v>313.7</v>
          </cell>
          <cell r="CZ604">
            <v>273.10000000000002</v>
          </cell>
          <cell r="DA604">
            <v>159.4</v>
          </cell>
          <cell r="DB604">
            <v>145</v>
          </cell>
          <cell r="DC604">
            <v>253.3</v>
          </cell>
          <cell r="DD604">
            <v>473.6</v>
          </cell>
          <cell r="DE604">
            <v>257.39999999999998</v>
          </cell>
          <cell r="DF604">
            <v>276</v>
          </cell>
          <cell r="DG604">
            <v>223</v>
          </cell>
          <cell r="DH604">
            <v>436.6</v>
          </cell>
          <cell r="DI604">
            <v>288</v>
          </cell>
          <cell r="DJ604">
            <v>337.6</v>
          </cell>
          <cell r="DK604">
            <v>251.5</v>
          </cell>
          <cell r="DL604">
            <v>300.10000000000002</v>
          </cell>
          <cell r="DM604">
            <v>13.1</v>
          </cell>
          <cell r="DN604">
            <v>178.7</v>
          </cell>
          <cell r="DO604">
            <v>282.5</v>
          </cell>
          <cell r="DP604">
            <v>222.7</v>
          </cell>
          <cell r="DQ604">
            <v>351.6</v>
          </cell>
          <cell r="DR604">
            <v>310</v>
          </cell>
          <cell r="DS604">
            <v>309.5</v>
          </cell>
          <cell r="DT604">
            <v>336.3</v>
          </cell>
          <cell r="DU604">
            <v>306</v>
          </cell>
          <cell r="DV604">
            <v>324.2</v>
          </cell>
          <cell r="DW604">
            <v>321.60000000000002</v>
          </cell>
          <cell r="DX604">
            <v>355</v>
          </cell>
          <cell r="DY604">
            <v>566.6</v>
          </cell>
          <cell r="EM604">
            <v>2881.8</v>
          </cell>
          <cell r="EN604">
            <v>3190</v>
          </cell>
          <cell r="EO604">
            <v>3145.2</v>
          </cell>
          <cell r="EP604">
            <v>3512.7999999999997</v>
          </cell>
          <cell r="EQ604">
            <v>3616.7999999999997</v>
          </cell>
          <cell r="ER604">
            <v>3279.8</v>
          </cell>
          <cell r="ES604">
            <v>3644.1</v>
          </cell>
        </row>
        <row r="605">
          <cell r="A605" t="str">
            <v>Interest Expense AFUDC SUB</v>
          </cell>
          <cell r="B605" t="str">
            <v>Allowance for Borrowed Funds</v>
          </cell>
          <cell r="C605" t="str">
            <v>AFUDC Debt</v>
          </cell>
          <cell r="E605" t="str">
            <v>Allowance for Borrowed Funds</v>
          </cell>
          <cell r="F605" t="str">
            <v>7500010</v>
          </cell>
          <cell r="G605" t="str">
            <v>A_7500010</v>
          </cell>
          <cell r="H605" t="str">
            <v>Interest Exp - Allow for Borrowed Funds AFUDC Debt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-43.4</v>
          </cell>
          <cell r="BZ605">
            <v>-28.3</v>
          </cell>
          <cell r="CA605">
            <v>-22.5</v>
          </cell>
          <cell r="CB605">
            <v>-25.1</v>
          </cell>
          <cell r="CC605">
            <v>-31.7</v>
          </cell>
          <cell r="CD605">
            <v>-41.1</v>
          </cell>
          <cell r="CE605">
            <v>-51.4</v>
          </cell>
          <cell r="CF605">
            <v>-60</v>
          </cell>
          <cell r="CG605">
            <v>-68.3</v>
          </cell>
          <cell r="CH605">
            <v>-82.8</v>
          </cell>
          <cell r="CI605">
            <v>-94.7</v>
          </cell>
          <cell r="CJ605">
            <v>-101.9</v>
          </cell>
          <cell r="CK605">
            <v>-113.7</v>
          </cell>
          <cell r="CL605">
            <v>-127.2</v>
          </cell>
          <cell r="CM605">
            <v>-100.6</v>
          </cell>
          <cell r="CN605">
            <v>-74.3</v>
          </cell>
          <cell r="CO605">
            <v>-86</v>
          </cell>
          <cell r="CP605">
            <v>-97.8</v>
          </cell>
          <cell r="CQ605">
            <v>-119</v>
          </cell>
          <cell r="CR605">
            <v>-125.2</v>
          </cell>
          <cell r="CS605">
            <v>-101.8</v>
          </cell>
          <cell r="CT605">
            <v>-70.8</v>
          </cell>
          <cell r="CU605">
            <v>-73.400000000000006</v>
          </cell>
          <cell r="CV605">
            <v>-79.5</v>
          </cell>
          <cell r="CW605">
            <v>-89.5</v>
          </cell>
          <cell r="CX605">
            <v>-98.1</v>
          </cell>
          <cell r="CY605">
            <v>-105.3</v>
          </cell>
          <cell r="CZ605">
            <v>-37.9</v>
          </cell>
          <cell r="DA605">
            <v>-52.2</v>
          </cell>
          <cell r="DB605">
            <v>-57.6</v>
          </cell>
          <cell r="DC605">
            <v>-62.9</v>
          </cell>
          <cell r="DD605">
            <v>-68.3</v>
          </cell>
          <cell r="DE605">
            <v>-75.2</v>
          </cell>
          <cell r="DF605">
            <v>-83.2</v>
          </cell>
          <cell r="DG605">
            <v>-92.9</v>
          </cell>
          <cell r="DH605">
            <v>-103.8</v>
          </cell>
          <cell r="DI605">
            <v>-111.5</v>
          </cell>
          <cell r="DJ605">
            <v>-118.1</v>
          </cell>
          <cell r="DK605">
            <v>-53.5</v>
          </cell>
          <cell r="DL605">
            <v>-78.3</v>
          </cell>
          <cell r="DM605">
            <v>-84.7</v>
          </cell>
          <cell r="DN605">
            <v>-105.6</v>
          </cell>
          <cell r="DO605">
            <v>-107.6</v>
          </cell>
          <cell r="DP605">
            <v>-113.7</v>
          </cell>
          <cell r="DQ605">
            <v>-135.80000000000001</v>
          </cell>
          <cell r="DR605">
            <v>-130.5</v>
          </cell>
          <cell r="DS605">
            <v>-112.7</v>
          </cell>
          <cell r="DT605">
            <v>-122.5</v>
          </cell>
          <cell r="DU605">
            <v>-133.1</v>
          </cell>
          <cell r="DV605">
            <v>-143.30000000000001</v>
          </cell>
          <cell r="DW605">
            <v>-152.1</v>
          </cell>
          <cell r="DX605">
            <v>-115.7</v>
          </cell>
          <cell r="DY605">
            <v>-77.3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-151</v>
          </cell>
          <cell r="ER605">
            <v>-1002.0000000000001</v>
          </cell>
          <cell r="ES605">
            <v>-1050.5</v>
          </cell>
        </row>
        <row r="606">
          <cell r="A606" t="str">
            <v>Interest Expense</v>
          </cell>
          <cell r="B606" t="str">
            <v>Interest - Deposits &amp; Other</v>
          </cell>
          <cell r="E606" t="str">
            <v>Interest - Deposits &amp; Other</v>
          </cell>
          <cell r="F606" t="str">
            <v>7500015</v>
          </cell>
          <cell r="G606" t="str">
            <v>A_7500015</v>
          </cell>
          <cell r="H606" t="str">
            <v>Capitalized AFUDC Debt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151</v>
          </cell>
          <cell r="CD606">
            <v>41.1</v>
          </cell>
          <cell r="CE606">
            <v>51.4</v>
          </cell>
          <cell r="CF606">
            <v>60</v>
          </cell>
          <cell r="CG606">
            <v>68.3</v>
          </cell>
          <cell r="CH606">
            <v>82.8</v>
          </cell>
          <cell r="CI606">
            <v>94.7</v>
          </cell>
          <cell r="CJ606">
            <v>101.9</v>
          </cell>
          <cell r="CK606">
            <v>113.7</v>
          </cell>
          <cell r="CL606">
            <v>127.2</v>
          </cell>
          <cell r="CM606">
            <v>100.6</v>
          </cell>
          <cell r="CN606">
            <v>74.3</v>
          </cell>
          <cell r="CO606">
            <v>86</v>
          </cell>
          <cell r="CP606">
            <v>97.8</v>
          </cell>
          <cell r="CQ606">
            <v>119</v>
          </cell>
          <cell r="CR606">
            <v>125.2</v>
          </cell>
          <cell r="CS606">
            <v>101.8</v>
          </cell>
          <cell r="CT606">
            <v>70.8</v>
          </cell>
          <cell r="CU606">
            <v>73.400000000000006</v>
          </cell>
          <cell r="CV606">
            <v>79.5</v>
          </cell>
          <cell r="CW606">
            <v>89.5</v>
          </cell>
          <cell r="CX606">
            <v>98.1</v>
          </cell>
          <cell r="CY606">
            <v>105.3</v>
          </cell>
          <cell r="CZ606">
            <v>37.9</v>
          </cell>
          <cell r="DA606">
            <v>52.2</v>
          </cell>
          <cell r="DB606">
            <v>57.6</v>
          </cell>
          <cell r="DC606">
            <v>62.9</v>
          </cell>
          <cell r="DD606">
            <v>68.3</v>
          </cell>
          <cell r="DE606">
            <v>75.2</v>
          </cell>
          <cell r="DF606">
            <v>83.2</v>
          </cell>
          <cell r="DG606">
            <v>92.9</v>
          </cell>
          <cell r="DH606">
            <v>103.8</v>
          </cell>
          <cell r="DI606">
            <v>111.5</v>
          </cell>
          <cell r="DJ606">
            <v>118.1</v>
          </cell>
          <cell r="DK606">
            <v>53.5</v>
          </cell>
          <cell r="DL606">
            <v>78.3</v>
          </cell>
          <cell r="DM606">
            <v>84.7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151</v>
          </cell>
          <cell r="ER606">
            <v>1002.0000000000001</v>
          </cell>
          <cell r="ES606">
            <v>1050.5</v>
          </cell>
        </row>
        <row r="607">
          <cell r="A607" t="str">
            <v>Interest Expense</v>
          </cell>
          <cell r="B607" t="str">
            <v>Interest - S. T. Debt</v>
          </cell>
          <cell r="E607" t="str">
            <v>Interest - S. T. Debt</v>
          </cell>
          <cell r="F607" t="str">
            <v>7500020</v>
          </cell>
          <cell r="G607" t="str">
            <v>A_7500020</v>
          </cell>
          <cell r="H607" t="str">
            <v>Interest Exp - AR Securitization</v>
          </cell>
          <cell r="J607">
            <v>8.6999999999999993</v>
          </cell>
          <cell r="K607">
            <v>4.5999999999999996</v>
          </cell>
          <cell r="L607">
            <v>1.7</v>
          </cell>
          <cell r="M607">
            <v>0.1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1.5</v>
          </cell>
          <cell r="V607">
            <v>5.3</v>
          </cell>
          <cell r="W607">
            <v>2.9</v>
          </cell>
          <cell r="X607">
            <v>1.6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0.1</v>
          </cell>
          <cell r="AJ607">
            <v>0</v>
          </cell>
          <cell r="AK607">
            <v>0</v>
          </cell>
          <cell r="AL607">
            <v>0</v>
          </cell>
          <cell r="AM607">
            <v>0.6</v>
          </cell>
          <cell r="AN607">
            <v>0.9</v>
          </cell>
          <cell r="AO607">
            <v>1.2</v>
          </cell>
          <cell r="AP607">
            <v>2.1</v>
          </cell>
          <cell r="AQ607">
            <v>0.2</v>
          </cell>
          <cell r="AR607">
            <v>6.3</v>
          </cell>
          <cell r="AS607">
            <v>22.7</v>
          </cell>
          <cell r="AT607">
            <v>28</v>
          </cell>
          <cell r="AU607">
            <v>16.7</v>
          </cell>
          <cell r="AV607">
            <v>17.2</v>
          </cell>
          <cell r="AW607">
            <v>21.5</v>
          </cell>
          <cell r="AX607">
            <v>14.8</v>
          </cell>
          <cell r="AY607">
            <v>17.600000000000001</v>
          </cell>
          <cell r="AZ607">
            <v>21.2</v>
          </cell>
          <cell r="BA607">
            <v>26.5</v>
          </cell>
          <cell r="BB607">
            <v>23.3</v>
          </cell>
          <cell r="BC607">
            <v>28.4</v>
          </cell>
          <cell r="BD607">
            <v>9.6999999999999993</v>
          </cell>
          <cell r="BE607">
            <v>0</v>
          </cell>
          <cell r="BF607">
            <v>1.3</v>
          </cell>
          <cell r="BG607">
            <v>2.2999999999999998</v>
          </cell>
          <cell r="BH607">
            <v>1.5</v>
          </cell>
          <cell r="BI607">
            <v>1.3</v>
          </cell>
          <cell r="BJ607">
            <v>14</v>
          </cell>
          <cell r="BK607">
            <v>14.3</v>
          </cell>
          <cell r="BL607">
            <v>12.1</v>
          </cell>
          <cell r="BM607">
            <v>6</v>
          </cell>
          <cell r="BN607">
            <v>8.3000000000000007</v>
          </cell>
          <cell r="BO607">
            <v>2.6</v>
          </cell>
          <cell r="BP607">
            <v>40.200000000000003</v>
          </cell>
          <cell r="BQ607">
            <v>83.7</v>
          </cell>
          <cell r="BR607">
            <v>72.900000000000006</v>
          </cell>
          <cell r="BS607">
            <v>55.8</v>
          </cell>
          <cell r="BT607">
            <v>46.3</v>
          </cell>
          <cell r="BU607">
            <v>40.4</v>
          </cell>
          <cell r="BV607">
            <v>33.1</v>
          </cell>
          <cell r="BW607">
            <v>28.8</v>
          </cell>
          <cell r="BX607">
            <v>32.799999999999997</v>
          </cell>
          <cell r="BY607">
            <v>89.7</v>
          </cell>
          <cell r="BZ607">
            <v>56.2</v>
          </cell>
          <cell r="CA607">
            <v>18.100000000000001</v>
          </cell>
          <cell r="CB607">
            <v>83.7</v>
          </cell>
          <cell r="CC607">
            <v>35.200000000000003</v>
          </cell>
          <cell r="CD607">
            <v>36.1</v>
          </cell>
          <cell r="CE607">
            <v>8.1</v>
          </cell>
          <cell r="CF607">
            <v>62.3</v>
          </cell>
          <cell r="CG607">
            <v>30.1</v>
          </cell>
          <cell r="CH607">
            <v>10.6</v>
          </cell>
          <cell r="CI607">
            <v>1.4</v>
          </cell>
          <cell r="CJ607">
            <v>1.4</v>
          </cell>
          <cell r="CK607">
            <v>3.1</v>
          </cell>
          <cell r="CL607">
            <v>9.6999999999999993</v>
          </cell>
          <cell r="CM607">
            <v>7.7</v>
          </cell>
          <cell r="CN607">
            <v>8.1999999999999993</v>
          </cell>
          <cell r="CO607">
            <v>18.5</v>
          </cell>
          <cell r="CP607">
            <v>22.8</v>
          </cell>
          <cell r="CQ607">
            <v>11.1</v>
          </cell>
          <cell r="CR607">
            <v>10.5</v>
          </cell>
          <cell r="CS607">
            <v>0.1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EM607">
            <v>9.7999999999999989</v>
          </cell>
          <cell r="EN607">
            <v>34.1</v>
          </cell>
          <cell r="EO607">
            <v>224.9</v>
          </cell>
          <cell r="EP607">
            <v>187.60000000000002</v>
          </cell>
          <cell r="EQ607">
            <v>593.00000000000011</v>
          </cell>
          <cell r="ER607">
            <v>197.19999999999996</v>
          </cell>
          <cell r="ES607">
            <v>44.5</v>
          </cell>
        </row>
        <row r="608">
          <cell r="A608" t="str">
            <v>Interest Expense</v>
          </cell>
          <cell r="B608" t="str">
            <v>Interest - Deposits &amp; Other</v>
          </cell>
          <cell r="E608" t="str">
            <v>Interest - Deposits &amp; Other</v>
          </cell>
          <cell r="F608" t="str">
            <v>7500030</v>
          </cell>
          <cell r="G608" t="str">
            <v>A_7500030</v>
          </cell>
          <cell r="H608" t="str">
            <v>Interest Exp - Customer Deposits</v>
          </cell>
          <cell r="J608">
            <v>81.900000000000006</v>
          </cell>
          <cell r="K608">
            <v>81.900000000000006</v>
          </cell>
          <cell r="L608">
            <v>82.1</v>
          </cell>
          <cell r="M608">
            <v>82.4</v>
          </cell>
          <cell r="N608">
            <v>82.7</v>
          </cell>
          <cell r="O608">
            <v>82.8</v>
          </cell>
          <cell r="P608">
            <v>83.1</v>
          </cell>
          <cell r="Q608">
            <v>83.5</v>
          </cell>
          <cell r="R608">
            <v>84.1</v>
          </cell>
          <cell r="S608">
            <v>84.6</v>
          </cell>
          <cell r="T608">
            <v>83.8</v>
          </cell>
          <cell r="U608">
            <v>84.6</v>
          </cell>
          <cell r="V608">
            <v>84.9</v>
          </cell>
          <cell r="W608">
            <v>84.7</v>
          </cell>
          <cell r="X608">
            <v>84.9</v>
          </cell>
          <cell r="Y608">
            <v>84.5</v>
          </cell>
          <cell r="Z608">
            <v>85.3</v>
          </cell>
          <cell r="AA608">
            <v>85.6</v>
          </cell>
          <cell r="AB608">
            <v>85.9</v>
          </cell>
          <cell r="AC608">
            <v>86.3</v>
          </cell>
          <cell r="AD608">
            <v>86.5</v>
          </cell>
          <cell r="AE608">
            <v>86.7</v>
          </cell>
          <cell r="AF608">
            <v>87</v>
          </cell>
          <cell r="AG608">
            <v>87.2</v>
          </cell>
          <cell r="AH608">
            <v>87.5</v>
          </cell>
          <cell r="AI608">
            <v>84</v>
          </cell>
          <cell r="AJ608">
            <v>81.7</v>
          </cell>
          <cell r="AK608">
            <v>79.099999999999994</v>
          </cell>
          <cell r="AL608">
            <v>77.2</v>
          </cell>
          <cell r="AM608">
            <v>75</v>
          </cell>
          <cell r="AN608">
            <v>72.8</v>
          </cell>
          <cell r="AO608">
            <v>70.5</v>
          </cell>
          <cell r="AP608">
            <v>68.099999999999994</v>
          </cell>
          <cell r="AQ608">
            <v>66.099999999999994</v>
          </cell>
          <cell r="AR608">
            <v>62.7</v>
          </cell>
          <cell r="AS608">
            <v>61</v>
          </cell>
          <cell r="AT608">
            <v>58.8</v>
          </cell>
          <cell r="AU608">
            <v>57.7</v>
          </cell>
          <cell r="AV608">
            <v>57.1</v>
          </cell>
          <cell r="AW608">
            <v>57.1</v>
          </cell>
          <cell r="AX608">
            <v>56.7</v>
          </cell>
          <cell r="AY608">
            <v>56.5</v>
          </cell>
          <cell r="AZ608">
            <v>56.1</v>
          </cell>
          <cell r="BA608">
            <v>56</v>
          </cell>
          <cell r="BB608">
            <v>55.8</v>
          </cell>
          <cell r="BC608">
            <v>55.8</v>
          </cell>
          <cell r="BD608">
            <v>55.4</v>
          </cell>
          <cell r="BE608">
            <v>68.7</v>
          </cell>
          <cell r="BF608">
            <v>54.8</v>
          </cell>
          <cell r="BG608">
            <v>54.7</v>
          </cell>
          <cell r="BH608">
            <v>54.7</v>
          </cell>
          <cell r="BI608">
            <v>54.7</v>
          </cell>
          <cell r="BJ608">
            <v>54.8</v>
          </cell>
          <cell r="BK608">
            <v>54.8</v>
          </cell>
          <cell r="BL608">
            <v>54.9</v>
          </cell>
          <cell r="BM608">
            <v>55</v>
          </cell>
          <cell r="BN608">
            <v>54.9</v>
          </cell>
          <cell r="BO608">
            <v>55.1</v>
          </cell>
          <cell r="BP608">
            <v>55.4</v>
          </cell>
          <cell r="BQ608">
            <v>48.4</v>
          </cell>
          <cell r="BR608">
            <v>55.2</v>
          </cell>
          <cell r="BS608">
            <v>55.2</v>
          </cell>
          <cell r="BT608">
            <v>55.3</v>
          </cell>
          <cell r="BU608">
            <v>55.2</v>
          </cell>
          <cell r="BV608">
            <v>55.3</v>
          </cell>
          <cell r="BW608">
            <v>55.3</v>
          </cell>
          <cell r="BX608">
            <v>55.1</v>
          </cell>
          <cell r="BY608">
            <v>54.9</v>
          </cell>
          <cell r="BZ608">
            <v>54.9</v>
          </cell>
          <cell r="CA608">
            <v>55</v>
          </cell>
          <cell r="CB608">
            <v>55</v>
          </cell>
          <cell r="CC608">
            <v>42.6</v>
          </cell>
          <cell r="CD608">
            <v>55</v>
          </cell>
          <cell r="CE608">
            <v>55.2</v>
          </cell>
          <cell r="CF608">
            <v>55.2</v>
          </cell>
          <cell r="CG608">
            <v>55.2</v>
          </cell>
          <cell r="CH608">
            <v>55.1</v>
          </cell>
          <cell r="CI608">
            <v>54.9</v>
          </cell>
          <cell r="CJ608">
            <v>54.9</v>
          </cell>
          <cell r="CK608">
            <v>54.8</v>
          </cell>
          <cell r="CL608">
            <v>54.8</v>
          </cell>
          <cell r="CM608">
            <v>54.8</v>
          </cell>
          <cell r="CN608">
            <v>54.6</v>
          </cell>
          <cell r="CO608">
            <v>43.2</v>
          </cell>
          <cell r="CP608">
            <v>54.5</v>
          </cell>
          <cell r="CQ608">
            <v>54.5</v>
          </cell>
          <cell r="CR608">
            <v>54.7</v>
          </cell>
          <cell r="CS608">
            <v>54.6</v>
          </cell>
          <cell r="CT608">
            <v>54.8</v>
          </cell>
          <cell r="CU608">
            <v>55.1</v>
          </cell>
          <cell r="CV608">
            <v>55.4</v>
          </cell>
          <cell r="CW608">
            <v>55.6</v>
          </cell>
          <cell r="CX608">
            <v>56</v>
          </cell>
          <cell r="CY608">
            <v>56.2</v>
          </cell>
          <cell r="CZ608">
            <v>56.7</v>
          </cell>
          <cell r="DA608">
            <v>46.8</v>
          </cell>
          <cell r="DB608">
            <v>57.5</v>
          </cell>
          <cell r="DC608">
            <v>57.8</v>
          </cell>
          <cell r="DD608">
            <v>58.1</v>
          </cell>
          <cell r="DE608">
            <v>58.3</v>
          </cell>
          <cell r="DF608">
            <v>58.7</v>
          </cell>
          <cell r="DG608">
            <v>59.3</v>
          </cell>
          <cell r="DH608">
            <v>59.7</v>
          </cell>
          <cell r="DI608">
            <v>60.1</v>
          </cell>
          <cell r="DJ608">
            <v>60.6</v>
          </cell>
          <cell r="DK608">
            <v>60.9</v>
          </cell>
          <cell r="DL608">
            <v>61.3</v>
          </cell>
          <cell r="DM608">
            <v>52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EM608">
            <v>1029.5</v>
          </cell>
          <cell r="EN608">
            <v>885.7</v>
          </cell>
          <cell r="EO608">
            <v>691.7</v>
          </cell>
          <cell r="EP608">
            <v>652.19999999999993</v>
          </cell>
          <cell r="EQ608">
            <v>649</v>
          </cell>
          <cell r="ER608">
            <v>647.70000000000005</v>
          </cell>
          <cell r="ES608">
            <v>654.9</v>
          </cell>
        </row>
        <row r="609">
          <cell r="A609" t="str">
            <v>Interest Expense</v>
          </cell>
          <cell r="B609" t="str">
            <v>Interest - Deposits &amp; Other</v>
          </cell>
          <cell r="E609" t="str">
            <v>Interest - Deposits &amp; Other</v>
          </cell>
          <cell r="F609" t="str">
            <v>7500030</v>
          </cell>
          <cell r="G609" t="str">
            <v>A_S7500030</v>
          </cell>
          <cell r="H609" t="str">
            <v>Settled Interest Exp - Customer Deposits</v>
          </cell>
          <cell r="DN609">
            <v>60.6</v>
          </cell>
          <cell r="DO609">
            <v>60.6</v>
          </cell>
          <cell r="DP609">
            <v>60.7</v>
          </cell>
          <cell r="DQ609">
            <v>60.7</v>
          </cell>
          <cell r="DR609">
            <v>60.8</v>
          </cell>
          <cell r="DS609">
            <v>60.8</v>
          </cell>
          <cell r="DT609">
            <v>60.9</v>
          </cell>
          <cell r="DU609">
            <v>60.9</v>
          </cell>
          <cell r="DV609">
            <v>61</v>
          </cell>
          <cell r="DW609">
            <v>61</v>
          </cell>
          <cell r="DX609">
            <v>61.1</v>
          </cell>
          <cell r="DY609">
            <v>61.1</v>
          </cell>
        </row>
        <row r="610">
          <cell r="A610" t="str">
            <v>Interest Expense</v>
          </cell>
          <cell r="B610" t="str">
            <v>Interest - S. T. Debt</v>
          </cell>
          <cell r="E610" t="str">
            <v>Interest - S. T. Debt</v>
          </cell>
          <cell r="F610" t="str">
            <v>7500080</v>
          </cell>
          <cell r="G610" t="str">
            <v>A_7500080</v>
          </cell>
          <cell r="H610" t="str">
            <v>Interest Exp - Credit Facilities</v>
          </cell>
          <cell r="J610">
            <v>1.2</v>
          </cell>
          <cell r="K610">
            <v>0.2</v>
          </cell>
          <cell r="L610">
            <v>0</v>
          </cell>
          <cell r="M610">
            <v>0.2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0.9</v>
          </cell>
          <cell r="V610">
            <v>1</v>
          </cell>
          <cell r="W610">
            <v>0.2</v>
          </cell>
          <cell r="X610">
            <v>1.1000000000000001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0.3</v>
          </cell>
          <cell r="AS610">
            <v>4.9000000000000004</v>
          </cell>
          <cell r="AT610">
            <v>17</v>
          </cell>
          <cell r="AU610">
            <v>32.799999999999997</v>
          </cell>
          <cell r="AV610">
            <v>36.5</v>
          </cell>
          <cell r="AW610">
            <v>36.200000000000003</v>
          </cell>
          <cell r="AX610">
            <v>20.100000000000001</v>
          </cell>
          <cell r="AY610">
            <v>29</v>
          </cell>
          <cell r="AZ610">
            <v>38.1</v>
          </cell>
          <cell r="BA610">
            <v>38.1</v>
          </cell>
          <cell r="BB610">
            <v>109.4</v>
          </cell>
          <cell r="BC610">
            <v>95.4</v>
          </cell>
          <cell r="BD610">
            <v>7.1</v>
          </cell>
          <cell r="BE610">
            <v>1</v>
          </cell>
          <cell r="BF610">
            <v>5.9</v>
          </cell>
          <cell r="BG610">
            <v>194.6</v>
          </cell>
          <cell r="BH610">
            <v>-182.4</v>
          </cell>
          <cell r="BI610">
            <v>6.4</v>
          </cell>
          <cell r="BJ610">
            <v>53.5</v>
          </cell>
          <cell r="BK610">
            <v>70.5</v>
          </cell>
          <cell r="BL610">
            <v>5.9</v>
          </cell>
          <cell r="BM610">
            <v>5.9</v>
          </cell>
          <cell r="BN610">
            <v>8.8000000000000007</v>
          </cell>
          <cell r="BO610">
            <v>10.4</v>
          </cell>
          <cell r="BP610">
            <v>6.5</v>
          </cell>
          <cell r="BQ610">
            <v>70.2</v>
          </cell>
          <cell r="BR610">
            <v>149.30000000000001</v>
          </cell>
          <cell r="BS610">
            <v>149.30000000000001</v>
          </cell>
          <cell r="BT610">
            <v>136.4</v>
          </cell>
          <cell r="BU610">
            <v>128.6</v>
          </cell>
          <cell r="BV610">
            <v>75.8</v>
          </cell>
          <cell r="BW610">
            <v>-142.69999999999999</v>
          </cell>
          <cell r="BX610">
            <v>82.9</v>
          </cell>
          <cell r="BY610">
            <v>12.8</v>
          </cell>
          <cell r="BZ610">
            <v>55.7</v>
          </cell>
          <cell r="CA610">
            <v>104.9</v>
          </cell>
          <cell r="CB610">
            <v>46.6</v>
          </cell>
          <cell r="CC610">
            <v>151.9</v>
          </cell>
          <cell r="CD610">
            <v>174.1</v>
          </cell>
          <cell r="CE610">
            <v>81</v>
          </cell>
          <cell r="CF610">
            <v>173.4</v>
          </cell>
          <cell r="CG610">
            <v>63.6</v>
          </cell>
          <cell r="CH610">
            <v>82</v>
          </cell>
          <cell r="CI610">
            <v>-189.3</v>
          </cell>
          <cell r="CJ610">
            <v>79.900000000000006</v>
          </cell>
          <cell r="CK610">
            <v>74.900000000000006</v>
          </cell>
          <cell r="CL610">
            <v>65.2</v>
          </cell>
          <cell r="CM610">
            <v>84.8</v>
          </cell>
          <cell r="CN610">
            <v>100.1</v>
          </cell>
          <cell r="CO610">
            <v>128.1</v>
          </cell>
          <cell r="CP610">
            <v>159.6</v>
          </cell>
          <cell r="CQ610">
            <v>160.6</v>
          </cell>
          <cell r="CR610">
            <v>131.9</v>
          </cell>
          <cell r="CS610">
            <v>25.5</v>
          </cell>
          <cell r="CT610">
            <v>47.1</v>
          </cell>
          <cell r="CU610">
            <v>76.5</v>
          </cell>
          <cell r="CV610">
            <v>20</v>
          </cell>
          <cell r="CW610">
            <v>20</v>
          </cell>
          <cell r="CX610">
            <v>20</v>
          </cell>
          <cell r="CY610">
            <v>20</v>
          </cell>
          <cell r="CZ610">
            <v>20</v>
          </cell>
          <cell r="DA610">
            <v>20</v>
          </cell>
          <cell r="DB610">
            <v>14.6</v>
          </cell>
          <cell r="DC610">
            <v>14.6</v>
          </cell>
          <cell r="DD610">
            <v>14.6</v>
          </cell>
          <cell r="DE610">
            <v>14.8</v>
          </cell>
          <cell r="DF610">
            <v>14.7</v>
          </cell>
          <cell r="DG610">
            <v>14.7</v>
          </cell>
          <cell r="DH610">
            <v>14.7</v>
          </cell>
          <cell r="DI610">
            <v>14.7</v>
          </cell>
          <cell r="DJ610">
            <v>14.7</v>
          </cell>
          <cell r="DK610">
            <v>14.7</v>
          </cell>
          <cell r="DL610">
            <v>14.7</v>
          </cell>
          <cell r="DM610">
            <v>14.7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EM610">
            <v>2.2999999999999998</v>
          </cell>
          <cell r="EN610">
            <v>5.2</v>
          </cell>
          <cell r="EO610">
            <v>460.70000000000005</v>
          </cell>
          <cell r="EP610">
            <v>256.20000000000005</v>
          </cell>
          <cell r="EQ610">
            <v>951.5</v>
          </cell>
          <cell r="ER610">
            <v>917.80000000000007</v>
          </cell>
          <cell r="ES610">
            <v>721.2</v>
          </cell>
        </row>
        <row r="611">
          <cell r="A611" t="str">
            <v>Interest Expense</v>
          </cell>
          <cell r="B611" t="str">
            <v>Interest - S. T. Debt</v>
          </cell>
          <cell r="E611" t="str">
            <v>Interest - S. T. Debt</v>
          </cell>
          <cell r="F611" t="str">
            <v>7500090</v>
          </cell>
          <cell r="G611" t="str">
            <v>A_7500090</v>
          </cell>
          <cell r="H611" t="str">
            <v>Interest Exp - Other Short Term Borrowing  EE Model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307.5</v>
          </cell>
          <cell r="BI611">
            <v>102.8</v>
          </cell>
          <cell r="BJ611">
            <v>74.900000000000006</v>
          </cell>
          <cell r="BK611">
            <v>72.400000000000006</v>
          </cell>
          <cell r="BL611">
            <v>64.900000000000006</v>
          </cell>
          <cell r="BM611">
            <v>76.2</v>
          </cell>
          <cell r="BN611">
            <v>84.1</v>
          </cell>
          <cell r="BO611">
            <v>22.6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1</v>
          </cell>
          <cell r="CF611">
            <v>1.9</v>
          </cell>
          <cell r="CG611">
            <v>1.5</v>
          </cell>
          <cell r="CH611">
            <v>1.5</v>
          </cell>
          <cell r="CI611">
            <v>286.8</v>
          </cell>
          <cell r="CJ611">
            <v>36.299999999999997</v>
          </cell>
          <cell r="CK611">
            <v>36.299999999999997</v>
          </cell>
          <cell r="CL611">
            <v>35.200000000000003</v>
          </cell>
          <cell r="CM611">
            <v>36.299999999999997</v>
          </cell>
          <cell r="CN611">
            <v>35.200000000000003</v>
          </cell>
          <cell r="CO611">
            <v>36.299999999999997</v>
          </cell>
          <cell r="CP611">
            <v>36.299999999999997</v>
          </cell>
          <cell r="CQ611">
            <v>33.700000000000003</v>
          </cell>
          <cell r="CR611">
            <v>27.6</v>
          </cell>
          <cell r="CS611">
            <v>2.5</v>
          </cell>
          <cell r="CT611">
            <v>0</v>
          </cell>
          <cell r="CU611">
            <v>15.7</v>
          </cell>
          <cell r="CV611">
            <v>28.6</v>
          </cell>
          <cell r="CW611">
            <v>33.200000000000003</v>
          </cell>
          <cell r="CX611">
            <v>24.2</v>
          </cell>
          <cell r="CY611">
            <v>37.700000000000003</v>
          </cell>
          <cell r="CZ611">
            <v>38.9</v>
          </cell>
          <cell r="DA611">
            <v>60.5</v>
          </cell>
          <cell r="DB611">
            <v>100.6</v>
          </cell>
          <cell r="DC611">
            <v>78.5</v>
          </cell>
          <cell r="DD611">
            <v>123.6</v>
          </cell>
          <cell r="DE611">
            <v>165.2</v>
          </cell>
          <cell r="DF611">
            <v>233.9</v>
          </cell>
          <cell r="DG611">
            <v>259.7</v>
          </cell>
          <cell r="DH611">
            <v>317</v>
          </cell>
          <cell r="DI611">
            <v>247.3</v>
          </cell>
          <cell r="DJ611">
            <v>357.6</v>
          </cell>
          <cell r="DK611">
            <v>503.5</v>
          </cell>
          <cell r="DL611">
            <v>596.79999999999995</v>
          </cell>
          <cell r="DM611">
            <v>747.3</v>
          </cell>
          <cell r="DW611">
            <v>1068.5083084570024</v>
          </cell>
          <cell r="DX611">
            <v>483.76355818643265</v>
          </cell>
          <cell r="DY611">
            <v>471.97770471175136</v>
          </cell>
          <cell r="EM611">
            <v>0</v>
          </cell>
          <cell r="EN611">
            <v>0</v>
          </cell>
          <cell r="EO611">
            <v>0</v>
          </cell>
          <cell r="EP611">
            <v>805.40000000000009</v>
          </cell>
          <cell r="EQ611">
            <v>0</v>
          </cell>
          <cell r="ER611">
            <v>508.3</v>
          </cell>
          <cell r="ES611">
            <v>338.9</v>
          </cell>
        </row>
        <row r="612">
          <cell r="A612" t="str">
            <v>Interest Expense</v>
          </cell>
          <cell r="B612" t="str">
            <v>Interest - Deposits &amp; Other</v>
          </cell>
          <cell r="E612" t="str">
            <v>Interest - Deposits &amp; Other</v>
          </cell>
          <cell r="F612" t="str">
            <v>7500100</v>
          </cell>
          <cell r="G612" t="str">
            <v>A_7500100</v>
          </cell>
          <cell r="H612" t="str">
            <v>Interest Exp - Taxes</v>
          </cell>
          <cell r="I612" t="str">
            <v>INPUT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BR612">
            <v>0</v>
          </cell>
          <cell r="BS612">
            <v>0</v>
          </cell>
          <cell r="BT612">
            <v>0.1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0.1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0.1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0.1</v>
          </cell>
          <cell r="ER612">
            <v>0.1</v>
          </cell>
          <cell r="ES612">
            <v>0.1</v>
          </cell>
        </row>
        <row r="613">
          <cell r="A613" t="str">
            <v>Interest Expense</v>
          </cell>
          <cell r="B613" t="str">
            <v>Interest - L. T. Debt</v>
          </cell>
          <cell r="E613" t="str">
            <v>Interest - L. T. Debt</v>
          </cell>
          <cell r="F613" t="str">
            <v>7500110</v>
          </cell>
          <cell r="G613" t="str">
            <v>A_7500110</v>
          </cell>
          <cell r="H613" t="str">
            <v>Interest Exp - Long-term Debt</v>
          </cell>
          <cell r="J613">
            <v>997.1</v>
          </cell>
          <cell r="K613">
            <v>997.1</v>
          </cell>
          <cell r="L613">
            <v>997.1</v>
          </cell>
          <cell r="M613">
            <v>997.1</v>
          </cell>
          <cell r="N613">
            <v>1015.2</v>
          </cell>
          <cell r="O613">
            <v>1033.4000000000001</v>
          </cell>
          <cell r="P613">
            <v>1033.4000000000001</v>
          </cell>
          <cell r="Q613">
            <v>1033.4000000000001</v>
          </cell>
          <cell r="R613">
            <v>1033.4000000000001</v>
          </cell>
          <cell r="S613">
            <v>1033.4000000000001</v>
          </cell>
          <cell r="T613">
            <v>1033.4000000000001</v>
          </cell>
          <cell r="U613">
            <v>1033.4000000000001</v>
          </cell>
          <cell r="V613">
            <v>1033.4000000000001</v>
          </cell>
          <cell r="W613">
            <v>1033.4000000000001</v>
          </cell>
          <cell r="X613">
            <v>1033.4000000000001</v>
          </cell>
          <cell r="Y613">
            <v>1033.4000000000001</v>
          </cell>
          <cell r="Z613">
            <v>1033.4000000000001</v>
          </cell>
          <cell r="AA613">
            <v>1136</v>
          </cell>
          <cell r="AB613">
            <v>1103.4000000000001</v>
          </cell>
          <cell r="AC613">
            <v>1103.4000000000001</v>
          </cell>
          <cell r="AD613">
            <v>1103.4000000000001</v>
          </cell>
          <cell r="AE613">
            <v>1103.4000000000001</v>
          </cell>
          <cell r="AF613">
            <v>1103.4000000000001</v>
          </cell>
          <cell r="AG613">
            <v>1103.4000000000001</v>
          </cell>
          <cell r="AH613">
            <v>1103.4000000000001</v>
          </cell>
          <cell r="AI613">
            <v>1103.4000000000001</v>
          </cell>
          <cell r="AJ613">
            <v>1103.4000000000001</v>
          </cell>
          <cell r="AK613">
            <v>1103.4000000000001</v>
          </cell>
          <cell r="AL613">
            <v>1103.4000000000001</v>
          </cell>
          <cell r="AM613">
            <v>1103.4000000000001</v>
          </cell>
          <cell r="AN613">
            <v>1103.4000000000001</v>
          </cell>
          <cell r="AO613">
            <v>1093.0999999999999</v>
          </cell>
          <cell r="AP613">
            <v>1103.4000000000001</v>
          </cell>
          <cell r="AQ613">
            <v>1103.4000000000001</v>
          </cell>
          <cell r="AR613">
            <v>1103.4000000000001</v>
          </cell>
          <cell r="AS613">
            <v>1103.4000000000001</v>
          </cell>
          <cell r="AT613">
            <v>1103.4000000000001</v>
          </cell>
          <cell r="AU613">
            <v>1103.4000000000001</v>
          </cell>
          <cell r="AV613">
            <v>1103.4000000000001</v>
          </cell>
          <cell r="AW613">
            <v>1103.4000000000001</v>
          </cell>
          <cell r="AX613">
            <v>1103.4000000000001</v>
          </cell>
          <cell r="AY613">
            <v>1103.4000000000001</v>
          </cell>
          <cell r="AZ613">
            <v>1103.4000000000001</v>
          </cell>
          <cell r="BA613">
            <v>1103.4000000000001</v>
          </cell>
          <cell r="BB613">
            <v>1103.4000000000001</v>
          </cell>
          <cell r="BC613">
            <v>1103.4000000000001</v>
          </cell>
          <cell r="BD613">
            <v>1103.4000000000001</v>
          </cell>
          <cell r="BE613">
            <v>1103.4000000000001</v>
          </cell>
          <cell r="BF613">
            <v>1103.4000000000001</v>
          </cell>
          <cell r="BG613">
            <v>1103.4000000000001</v>
          </cell>
          <cell r="BH613">
            <v>1103.4000000000001</v>
          </cell>
          <cell r="BI613">
            <v>1103.4000000000001</v>
          </cell>
          <cell r="BJ613">
            <v>976.3</v>
          </cell>
          <cell r="BK613">
            <v>1055.2</v>
          </cell>
          <cell r="BL613">
            <v>1117.9000000000001</v>
          </cell>
          <cell r="BM613">
            <v>1117.9000000000001</v>
          </cell>
          <cell r="BN613">
            <v>1117.9000000000001</v>
          </cell>
          <cell r="BO613">
            <v>1198.3</v>
          </cell>
          <cell r="BP613">
            <v>1210.5999999999999</v>
          </cell>
          <cell r="BQ613">
            <v>1210.5999999999999</v>
          </cell>
          <cell r="BR613">
            <v>1210.5999999999999</v>
          </cell>
          <cell r="BS613">
            <v>1210.5999999999999</v>
          </cell>
          <cell r="BT613">
            <v>1210.5999999999999</v>
          </cell>
          <cell r="BU613">
            <v>1210.5999999999999</v>
          </cell>
          <cell r="BV613">
            <v>1210.5999999999999</v>
          </cell>
          <cell r="BW613">
            <v>1210.5999999999999</v>
          </cell>
          <cell r="BX613">
            <v>1230.8</v>
          </cell>
          <cell r="BY613">
            <v>1286.2</v>
          </cell>
          <cell r="BZ613">
            <v>1286.2</v>
          </cell>
          <cell r="CA613">
            <v>1286.2</v>
          </cell>
          <cell r="CB613">
            <v>1286.2</v>
          </cell>
          <cell r="CC613">
            <v>1286.2</v>
          </cell>
          <cell r="CD613">
            <v>1286.2</v>
          </cell>
          <cell r="CE613">
            <v>1286.2</v>
          </cell>
          <cell r="CF613">
            <v>1281.0999999999999</v>
          </cell>
          <cell r="CG613">
            <v>1286.2</v>
          </cell>
          <cell r="CH613">
            <v>1286.2</v>
          </cell>
          <cell r="CI613">
            <v>1286.2</v>
          </cell>
          <cell r="CJ613">
            <v>1286.2</v>
          </cell>
          <cell r="CK613">
            <v>1286.2</v>
          </cell>
          <cell r="CL613">
            <v>1286.2</v>
          </cell>
          <cell r="CM613">
            <v>1286.2</v>
          </cell>
          <cell r="CN613">
            <v>1286.2</v>
          </cell>
          <cell r="CO613">
            <v>1286.2</v>
          </cell>
          <cell r="CP613">
            <v>1286.2</v>
          </cell>
          <cell r="CQ613">
            <v>1286.2</v>
          </cell>
          <cell r="CR613">
            <v>1603.9</v>
          </cell>
          <cell r="CS613">
            <v>1846.8</v>
          </cell>
          <cell r="CT613">
            <v>1636.4</v>
          </cell>
          <cell r="CU613">
            <v>1741.6</v>
          </cell>
          <cell r="CV613">
            <v>1636.4</v>
          </cell>
          <cell r="CW613">
            <v>1636.4</v>
          </cell>
          <cell r="CX613">
            <v>1542.9</v>
          </cell>
          <cell r="CY613">
            <v>1636.4</v>
          </cell>
          <cell r="CZ613">
            <v>1636.4</v>
          </cell>
          <cell r="DA613">
            <v>1636.4</v>
          </cell>
          <cell r="DB613">
            <v>1636.4</v>
          </cell>
          <cell r="DC613">
            <v>1636.4</v>
          </cell>
          <cell r="DD613">
            <v>1636.4</v>
          </cell>
          <cell r="DE613">
            <v>1636.4</v>
          </cell>
          <cell r="DF613">
            <v>1636.4</v>
          </cell>
          <cell r="DG613">
            <v>1636.4</v>
          </cell>
          <cell r="DH613">
            <v>1802.8</v>
          </cell>
          <cell r="DI613">
            <v>1913.7</v>
          </cell>
          <cell r="DJ613">
            <v>1886.6</v>
          </cell>
          <cell r="DK613">
            <v>1859.5</v>
          </cell>
          <cell r="DL613">
            <v>1859.5</v>
          </cell>
          <cell r="DM613">
            <v>1859.5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3830</v>
          </cell>
          <cell r="DX613">
            <v>3830</v>
          </cell>
          <cell r="DY613">
            <v>3830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M613">
            <v>12923.399999999998</v>
          </cell>
          <cell r="EN613">
            <v>13230.499999999998</v>
          </cell>
          <cell r="EO613">
            <v>13240.799999999997</v>
          </cell>
          <cell r="EP613">
            <v>13418.3</v>
          </cell>
          <cell r="EQ613">
            <v>14925.400000000003</v>
          </cell>
          <cell r="ER613">
            <v>15429.300000000003</v>
          </cell>
          <cell r="ES613">
            <v>19126</v>
          </cell>
        </row>
        <row r="614">
          <cell r="A614" t="str">
            <v>Interest Expense</v>
          </cell>
          <cell r="B614" t="str">
            <v>Int. - Amort. - Disc. &amp; Expense</v>
          </cell>
          <cell r="E614" t="str">
            <v>Int. - Amort. - Disc. &amp; Expense</v>
          </cell>
          <cell r="F614" t="str">
            <v>7500120</v>
          </cell>
          <cell r="G614" t="str">
            <v>A_7500120</v>
          </cell>
          <cell r="H614" t="str">
            <v>Amortization of discount on Debt</v>
          </cell>
          <cell r="J614">
            <v>1.6</v>
          </cell>
          <cell r="K614">
            <v>1.6</v>
          </cell>
          <cell r="L614">
            <v>1.6</v>
          </cell>
          <cell r="M614">
            <v>1.6</v>
          </cell>
          <cell r="N614">
            <v>1.6</v>
          </cell>
          <cell r="O614">
            <v>1.6</v>
          </cell>
          <cell r="P614">
            <v>1.6</v>
          </cell>
          <cell r="Q614">
            <v>1.6</v>
          </cell>
          <cell r="R614">
            <v>1.6</v>
          </cell>
          <cell r="S614">
            <v>1.6</v>
          </cell>
          <cell r="T614">
            <v>1.6</v>
          </cell>
          <cell r="U614">
            <v>1.6</v>
          </cell>
          <cell r="V614">
            <v>1.6</v>
          </cell>
          <cell r="W614">
            <v>1.6</v>
          </cell>
          <cell r="X614">
            <v>1.6</v>
          </cell>
          <cell r="Y614">
            <v>1.6</v>
          </cell>
          <cell r="Z614">
            <v>1.6</v>
          </cell>
          <cell r="AA614">
            <v>1.7</v>
          </cell>
          <cell r="AB614">
            <v>1.7</v>
          </cell>
          <cell r="AC614">
            <v>1.7</v>
          </cell>
          <cell r="AD614">
            <v>1.7</v>
          </cell>
          <cell r="AE614">
            <v>1.7</v>
          </cell>
          <cell r="AF614">
            <v>1.7</v>
          </cell>
          <cell r="AG614">
            <v>1.7</v>
          </cell>
          <cell r="AH614">
            <v>1.7</v>
          </cell>
          <cell r="AI614">
            <v>1.7</v>
          </cell>
          <cell r="AJ614">
            <v>1.7</v>
          </cell>
          <cell r="AK614">
            <v>1.7</v>
          </cell>
          <cell r="AL614">
            <v>1.7</v>
          </cell>
          <cell r="AM614">
            <v>1.7</v>
          </cell>
          <cell r="AN614">
            <v>1.7</v>
          </cell>
          <cell r="AO614">
            <v>1.7</v>
          </cell>
          <cell r="AP614">
            <v>1.7</v>
          </cell>
          <cell r="AQ614">
            <v>1.7</v>
          </cell>
          <cell r="AR614">
            <v>1.7</v>
          </cell>
          <cell r="AS614">
            <v>1.7</v>
          </cell>
          <cell r="AT614">
            <v>1.7</v>
          </cell>
          <cell r="AU614">
            <v>1.7</v>
          </cell>
          <cell r="AV614">
            <v>1.7</v>
          </cell>
          <cell r="AW614">
            <v>1.7</v>
          </cell>
          <cell r="AX614">
            <v>1.7</v>
          </cell>
          <cell r="AY614">
            <v>1.7</v>
          </cell>
          <cell r="AZ614">
            <v>1.7</v>
          </cell>
          <cell r="BA614">
            <v>1.7</v>
          </cell>
          <cell r="BB614">
            <v>1.7</v>
          </cell>
          <cell r="BC614">
            <v>1.7</v>
          </cell>
          <cell r="BD614">
            <v>1.7</v>
          </cell>
          <cell r="BE614">
            <v>1.7</v>
          </cell>
          <cell r="BF614">
            <v>1.7</v>
          </cell>
          <cell r="BG614">
            <v>1.7</v>
          </cell>
          <cell r="BH614">
            <v>1.7</v>
          </cell>
          <cell r="BI614">
            <v>1.7</v>
          </cell>
          <cell r="BJ614">
            <v>1.7</v>
          </cell>
          <cell r="BK614">
            <v>2.8</v>
          </cell>
          <cell r="BL614">
            <v>2.8</v>
          </cell>
          <cell r="BM614">
            <v>2.8</v>
          </cell>
          <cell r="BN614">
            <v>2.8</v>
          </cell>
          <cell r="BO614">
            <v>3.2</v>
          </cell>
          <cell r="BP614">
            <v>3.2</v>
          </cell>
          <cell r="BQ614">
            <v>3.2</v>
          </cell>
          <cell r="BR614">
            <v>3.2</v>
          </cell>
          <cell r="BS614">
            <v>3.2</v>
          </cell>
          <cell r="BT614">
            <v>3.2</v>
          </cell>
          <cell r="BU614">
            <v>3.2</v>
          </cell>
          <cell r="BV614">
            <v>3.2</v>
          </cell>
          <cell r="BW614">
            <v>3.2</v>
          </cell>
          <cell r="BX614">
            <v>3.2</v>
          </cell>
          <cell r="BY614">
            <v>4</v>
          </cell>
          <cell r="BZ614">
            <v>4</v>
          </cell>
          <cell r="CA614">
            <v>4</v>
          </cell>
          <cell r="CB614">
            <v>4</v>
          </cell>
          <cell r="CC614">
            <v>4</v>
          </cell>
          <cell r="CD614">
            <v>4</v>
          </cell>
          <cell r="CE614">
            <v>4</v>
          </cell>
          <cell r="CF614">
            <v>4</v>
          </cell>
          <cell r="CG614">
            <v>4</v>
          </cell>
          <cell r="CH614">
            <v>4</v>
          </cell>
          <cell r="CI614">
            <v>4</v>
          </cell>
          <cell r="CJ614">
            <v>4</v>
          </cell>
          <cell r="CK614">
            <v>4</v>
          </cell>
          <cell r="CL614">
            <v>4</v>
          </cell>
          <cell r="CM614">
            <v>4</v>
          </cell>
          <cell r="CN614">
            <v>4</v>
          </cell>
          <cell r="CO614">
            <v>4</v>
          </cell>
          <cell r="CP614">
            <v>4</v>
          </cell>
          <cell r="CQ614">
            <v>4</v>
          </cell>
          <cell r="CR614">
            <v>7.8</v>
          </cell>
          <cell r="CS614">
            <v>7.7</v>
          </cell>
          <cell r="CT614">
            <v>7.8</v>
          </cell>
          <cell r="CU614">
            <v>7.8</v>
          </cell>
          <cell r="CV614">
            <v>7.8</v>
          </cell>
          <cell r="CW614">
            <v>7.8</v>
          </cell>
          <cell r="CX614">
            <v>7.8</v>
          </cell>
          <cell r="CY614">
            <v>7.8</v>
          </cell>
          <cell r="CZ614">
            <v>7.8</v>
          </cell>
          <cell r="DA614">
            <v>7.8</v>
          </cell>
          <cell r="DB614">
            <v>7.8</v>
          </cell>
          <cell r="DC614">
            <v>7.8</v>
          </cell>
          <cell r="DD614">
            <v>7.8</v>
          </cell>
          <cell r="DE614">
            <v>7.8</v>
          </cell>
          <cell r="DF614">
            <v>7.8</v>
          </cell>
          <cell r="DG614">
            <v>7.8</v>
          </cell>
          <cell r="DH614">
            <v>8.6</v>
          </cell>
          <cell r="DI614">
            <v>8.6</v>
          </cell>
          <cell r="DJ614">
            <v>8.6</v>
          </cell>
          <cell r="DK614">
            <v>8.3000000000000007</v>
          </cell>
          <cell r="DL614">
            <v>8.3000000000000007</v>
          </cell>
          <cell r="DM614">
            <v>8.3000000000000007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M614">
            <v>19.899999999999995</v>
          </cell>
          <cell r="EN614">
            <v>20.399999999999995</v>
          </cell>
          <cell r="EO614">
            <v>20.399999999999995</v>
          </cell>
          <cell r="EP614">
            <v>29.3</v>
          </cell>
          <cell r="EQ614">
            <v>42.4</v>
          </cell>
          <cell r="ER614">
            <v>48</v>
          </cell>
          <cell r="ES614">
            <v>85.899999999999991</v>
          </cell>
        </row>
        <row r="615">
          <cell r="A615" t="str">
            <v>Interest Expense</v>
          </cell>
          <cell r="B615" t="str">
            <v>Int. - Amort. - Disc. &amp; Expense</v>
          </cell>
          <cell r="E615" t="str">
            <v>Int. - Amort. - Disc. &amp; Expense</v>
          </cell>
          <cell r="F615" t="str">
            <v>7500130</v>
          </cell>
          <cell r="G615" t="str">
            <v>A_7500130</v>
          </cell>
          <cell r="H615" t="str">
            <v>Interest Exp - Amortiz of Fees on Long-term Debt</v>
          </cell>
          <cell r="J615">
            <v>43.7</v>
          </cell>
          <cell r="K615">
            <v>43.7</v>
          </cell>
          <cell r="L615">
            <v>43.7</v>
          </cell>
          <cell r="M615">
            <v>43.7</v>
          </cell>
          <cell r="N615">
            <v>43.7</v>
          </cell>
          <cell r="O615">
            <v>44.1</v>
          </cell>
          <cell r="P615">
            <v>44</v>
          </cell>
          <cell r="Q615">
            <v>44</v>
          </cell>
          <cell r="R615">
            <v>44.2</v>
          </cell>
          <cell r="S615">
            <v>44</v>
          </cell>
          <cell r="T615">
            <v>44</v>
          </cell>
          <cell r="U615">
            <v>44</v>
          </cell>
          <cell r="V615">
            <v>44</v>
          </cell>
          <cell r="W615">
            <v>44</v>
          </cell>
          <cell r="X615">
            <v>44</v>
          </cell>
          <cell r="Y615">
            <v>44</v>
          </cell>
          <cell r="Z615">
            <v>76.7</v>
          </cell>
          <cell r="AA615">
            <v>10.9</v>
          </cell>
          <cell r="AB615">
            <v>43.6</v>
          </cell>
          <cell r="AC615">
            <v>43.6</v>
          </cell>
          <cell r="AD615">
            <v>43.7</v>
          </cell>
          <cell r="AE615">
            <v>43.6</v>
          </cell>
          <cell r="AF615">
            <v>43.6</v>
          </cell>
          <cell r="AG615">
            <v>43.7</v>
          </cell>
          <cell r="AH615">
            <v>43.6</v>
          </cell>
          <cell r="AI615">
            <v>43.6</v>
          </cell>
          <cell r="AJ615">
            <v>43.6</v>
          </cell>
          <cell r="AK615">
            <v>43.6</v>
          </cell>
          <cell r="AL615">
            <v>43.6</v>
          </cell>
          <cell r="AM615">
            <v>43.6</v>
          </cell>
          <cell r="AN615">
            <v>43.6</v>
          </cell>
          <cell r="AO615">
            <v>43.6</v>
          </cell>
          <cell r="AP615">
            <v>43.6</v>
          </cell>
          <cell r="AQ615">
            <v>43.6</v>
          </cell>
          <cell r="AR615">
            <v>43.6</v>
          </cell>
          <cell r="AS615">
            <v>43.6</v>
          </cell>
          <cell r="AT615">
            <v>43.6</v>
          </cell>
          <cell r="AU615">
            <v>43.6</v>
          </cell>
          <cell r="AV615">
            <v>43.6</v>
          </cell>
          <cell r="AW615">
            <v>43.6</v>
          </cell>
          <cell r="AX615">
            <v>43.6</v>
          </cell>
          <cell r="AY615">
            <v>43.6</v>
          </cell>
          <cell r="AZ615">
            <v>43.6</v>
          </cell>
          <cell r="BA615">
            <v>43.6</v>
          </cell>
          <cell r="BB615">
            <v>43.6</v>
          </cell>
          <cell r="BC615">
            <v>43.6</v>
          </cell>
          <cell r="BD615">
            <v>43.6</v>
          </cell>
          <cell r="BE615">
            <v>43.6</v>
          </cell>
          <cell r="BF615">
            <v>43.6</v>
          </cell>
          <cell r="BG615">
            <v>43.6</v>
          </cell>
          <cell r="BH615">
            <v>43.6</v>
          </cell>
          <cell r="BI615">
            <v>43.6</v>
          </cell>
          <cell r="BJ615">
            <v>25.7</v>
          </cell>
          <cell r="BK615">
            <v>9.8000000000000007</v>
          </cell>
          <cell r="BL615">
            <v>9.9</v>
          </cell>
          <cell r="BM615">
            <v>9.9</v>
          </cell>
          <cell r="BN615">
            <v>10.3</v>
          </cell>
          <cell r="BO615">
            <v>10.6</v>
          </cell>
          <cell r="BP615">
            <v>10.7</v>
          </cell>
          <cell r="BQ615">
            <v>10.7</v>
          </cell>
          <cell r="BR615">
            <v>10.7</v>
          </cell>
          <cell r="BS615">
            <v>10.7</v>
          </cell>
          <cell r="BT615">
            <v>10.9</v>
          </cell>
          <cell r="BU615">
            <v>10.7</v>
          </cell>
          <cell r="BV615">
            <v>10.7</v>
          </cell>
          <cell r="BW615">
            <v>10.7</v>
          </cell>
          <cell r="BX615">
            <v>10.7</v>
          </cell>
          <cell r="BY615">
            <v>11.4</v>
          </cell>
          <cell r="BZ615">
            <v>11.5</v>
          </cell>
          <cell r="CA615">
            <v>11.4</v>
          </cell>
          <cell r="CB615">
            <v>11.4</v>
          </cell>
          <cell r="CC615">
            <v>11.6</v>
          </cell>
          <cell r="CD615">
            <v>11.5</v>
          </cell>
          <cell r="CE615">
            <v>11.5</v>
          </cell>
          <cell r="CF615">
            <v>11.5</v>
          </cell>
          <cell r="CG615">
            <v>11.5</v>
          </cell>
          <cell r="CH615">
            <v>11.5</v>
          </cell>
          <cell r="CI615">
            <v>11.5</v>
          </cell>
          <cell r="CJ615">
            <v>11.5</v>
          </cell>
          <cell r="CK615">
            <v>11.5</v>
          </cell>
          <cell r="CL615">
            <v>11.5</v>
          </cell>
          <cell r="CM615">
            <v>11.5</v>
          </cell>
          <cell r="CN615">
            <v>11.5</v>
          </cell>
          <cell r="CO615">
            <v>11.5</v>
          </cell>
          <cell r="CP615">
            <v>11.5</v>
          </cell>
          <cell r="CQ615">
            <v>11.5</v>
          </cell>
          <cell r="CR615">
            <v>21.1</v>
          </cell>
          <cell r="CS615">
            <v>22.7</v>
          </cell>
          <cell r="CT615">
            <v>24.5</v>
          </cell>
          <cell r="CU615">
            <v>26.5</v>
          </cell>
          <cell r="CV615">
            <v>23.7</v>
          </cell>
          <cell r="CW615">
            <v>23.7</v>
          </cell>
          <cell r="CX615">
            <v>23.7</v>
          </cell>
          <cell r="CY615">
            <v>23.7</v>
          </cell>
          <cell r="CZ615">
            <v>25.2</v>
          </cell>
          <cell r="DA615">
            <v>23.7</v>
          </cell>
          <cell r="DB615">
            <v>23.7</v>
          </cell>
          <cell r="DC615">
            <v>23.7</v>
          </cell>
          <cell r="DD615">
            <v>23.7</v>
          </cell>
          <cell r="DE615">
            <v>23.7</v>
          </cell>
          <cell r="DF615">
            <v>23.7</v>
          </cell>
          <cell r="DG615">
            <v>23.7</v>
          </cell>
          <cell r="DH615">
            <v>29.8</v>
          </cell>
          <cell r="DI615">
            <v>33</v>
          </cell>
          <cell r="DJ615">
            <v>31.4</v>
          </cell>
          <cell r="DK615">
            <v>31</v>
          </cell>
          <cell r="DL615">
            <v>30.1</v>
          </cell>
          <cell r="DM615">
            <v>30.1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M615">
            <v>525.40000000000009</v>
          </cell>
          <cell r="EN615">
            <v>523.20000000000016</v>
          </cell>
          <cell r="EO615">
            <v>523.20000000000016</v>
          </cell>
          <cell r="EP615">
            <v>272</v>
          </cell>
          <cell r="EQ615">
            <v>132.40000000000003</v>
          </cell>
          <cell r="ER615">
            <v>138</v>
          </cell>
          <cell r="ES615">
            <v>261.49999999999994</v>
          </cell>
        </row>
        <row r="616">
          <cell r="A616" t="str">
            <v>Interest Expense</v>
          </cell>
          <cell r="B616" t="str">
            <v>Interest - Deposits &amp; Other</v>
          </cell>
          <cell r="E616" t="str">
            <v>Interest - Deposits &amp; Other</v>
          </cell>
          <cell r="F616" t="str">
            <v>7500240</v>
          </cell>
          <cell r="G616" t="str">
            <v>A_7500240</v>
          </cell>
          <cell r="H616" t="str">
            <v>Interest Exp - Defd Conservation Clause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-0.1</v>
          </cell>
          <cell r="X616">
            <v>-0.1</v>
          </cell>
          <cell r="Y616">
            <v>-0.1</v>
          </cell>
          <cell r="Z616">
            <v>-0.2</v>
          </cell>
          <cell r="AA616">
            <v>-0.2</v>
          </cell>
          <cell r="AB616">
            <v>-0.2</v>
          </cell>
          <cell r="AC616">
            <v>-0.2</v>
          </cell>
          <cell r="AD616">
            <v>-0.2</v>
          </cell>
          <cell r="AE616">
            <v>-0.2</v>
          </cell>
          <cell r="AF616">
            <v>-0.2</v>
          </cell>
          <cell r="AG616">
            <v>-0.4</v>
          </cell>
          <cell r="AH616">
            <v>0.7</v>
          </cell>
          <cell r="AI616">
            <v>0.9</v>
          </cell>
          <cell r="AJ616">
            <v>1</v>
          </cell>
          <cell r="AK616">
            <v>1</v>
          </cell>
          <cell r="AL616">
            <v>0.9</v>
          </cell>
          <cell r="AM616">
            <v>0.8</v>
          </cell>
          <cell r="AN616">
            <v>0.7</v>
          </cell>
          <cell r="AO616">
            <v>0.5</v>
          </cell>
          <cell r="AP616">
            <v>0.4</v>
          </cell>
          <cell r="AQ616">
            <v>0.2</v>
          </cell>
          <cell r="AR616">
            <v>0.1</v>
          </cell>
          <cell r="AS616">
            <v>0</v>
          </cell>
          <cell r="AT616">
            <v>0.2</v>
          </cell>
          <cell r="AU616">
            <v>0.6</v>
          </cell>
          <cell r="AV616">
            <v>1</v>
          </cell>
          <cell r="AW616">
            <v>1.3</v>
          </cell>
          <cell r="AX616">
            <v>1.3</v>
          </cell>
          <cell r="AY616">
            <v>1</v>
          </cell>
          <cell r="AZ616">
            <v>0.5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0.2</v>
          </cell>
          <cell r="DD616">
            <v>0.6</v>
          </cell>
          <cell r="DE616">
            <v>1.1000000000000001</v>
          </cell>
          <cell r="DF616">
            <v>2.2999999999999998</v>
          </cell>
          <cell r="DG616">
            <v>4.5</v>
          </cell>
          <cell r="DH616">
            <v>6.1</v>
          </cell>
          <cell r="DI616">
            <v>5.3</v>
          </cell>
          <cell r="DJ616">
            <v>5.0999999999999996</v>
          </cell>
          <cell r="DK616">
            <v>4.8</v>
          </cell>
          <cell r="DL616">
            <v>4.7</v>
          </cell>
          <cell r="DM616">
            <v>5.0999999999999996</v>
          </cell>
          <cell r="DN616">
            <v>6.5</v>
          </cell>
          <cell r="DO616">
            <v>7.7</v>
          </cell>
          <cell r="DP616">
            <v>8</v>
          </cell>
          <cell r="DQ616">
            <v>7.7</v>
          </cell>
          <cell r="DR616">
            <v>6.8</v>
          </cell>
          <cell r="DS616">
            <v>5.0999999999999996</v>
          </cell>
          <cell r="DT616">
            <v>3</v>
          </cell>
          <cell r="DU616">
            <v>0.6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EM616">
            <v>-2.0999999999999996</v>
          </cell>
          <cell r="EN616">
            <v>7.2</v>
          </cell>
          <cell r="EO616">
            <v>5.9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</row>
        <row r="617">
          <cell r="A617" t="str">
            <v>Interest Expense</v>
          </cell>
          <cell r="B617" t="str">
            <v>Interest - Deposits &amp; Other</v>
          </cell>
          <cell r="E617" t="str">
            <v>Interest - Deposits &amp; Other</v>
          </cell>
          <cell r="F617" t="str">
            <v>7500260</v>
          </cell>
          <cell r="G617" t="str">
            <v>A_7500260</v>
          </cell>
          <cell r="H617" t="str">
            <v>Interest Exp - Defd Purchased Gas Adj Clause</v>
          </cell>
          <cell r="J617">
            <v>0</v>
          </cell>
          <cell r="K617">
            <v>0</v>
          </cell>
          <cell r="L617">
            <v>0</v>
          </cell>
          <cell r="M617">
            <v>-0.1</v>
          </cell>
          <cell r="N617">
            <v>-0.1</v>
          </cell>
          <cell r="O617">
            <v>-0.1</v>
          </cell>
          <cell r="P617">
            <v>-0.2</v>
          </cell>
          <cell r="Q617">
            <v>-0.2</v>
          </cell>
          <cell r="R617">
            <v>-0.2</v>
          </cell>
          <cell r="S617">
            <v>-0.2</v>
          </cell>
          <cell r="T617">
            <v>0</v>
          </cell>
          <cell r="U617">
            <v>0.2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-0.1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0.7</v>
          </cell>
          <cell r="AK617">
            <v>1</v>
          </cell>
          <cell r="AL617">
            <v>1.3</v>
          </cell>
          <cell r="AM617">
            <v>2</v>
          </cell>
          <cell r="AN617">
            <v>2.5</v>
          </cell>
          <cell r="AO617">
            <v>3</v>
          </cell>
          <cell r="AP617">
            <v>3.2</v>
          </cell>
          <cell r="AQ617">
            <v>2.8</v>
          </cell>
          <cell r="AR617">
            <v>1.6</v>
          </cell>
          <cell r="AS617">
            <v>1.2</v>
          </cell>
          <cell r="AT617">
            <v>1.5</v>
          </cell>
          <cell r="AU617">
            <v>2.4</v>
          </cell>
          <cell r="AV617">
            <v>2.7</v>
          </cell>
          <cell r="AW617">
            <v>2.1</v>
          </cell>
          <cell r="AX617">
            <v>2.5</v>
          </cell>
          <cell r="AY617">
            <v>2.4</v>
          </cell>
          <cell r="AZ617">
            <v>1.6</v>
          </cell>
          <cell r="BA617">
            <v>0.5</v>
          </cell>
          <cell r="BB617">
            <v>0.4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7</v>
          </cell>
          <cell r="BH617">
            <v>10.4</v>
          </cell>
          <cell r="BI617">
            <v>11.9</v>
          </cell>
          <cell r="BJ617">
            <v>14.6</v>
          </cell>
          <cell r="BK617">
            <v>15.5</v>
          </cell>
          <cell r="BL617">
            <v>16.5</v>
          </cell>
          <cell r="BM617">
            <v>16.3</v>
          </cell>
          <cell r="BN617">
            <v>17.3</v>
          </cell>
          <cell r="BO617">
            <v>16.2</v>
          </cell>
          <cell r="BP617">
            <v>7.6</v>
          </cell>
          <cell r="BQ617">
            <v>0</v>
          </cell>
          <cell r="BR617">
            <v>0</v>
          </cell>
          <cell r="BS617">
            <v>2.1</v>
          </cell>
          <cell r="BT617">
            <v>6.7</v>
          </cell>
          <cell r="BU617">
            <v>10.8</v>
          </cell>
          <cell r="BV617">
            <v>15.9</v>
          </cell>
          <cell r="BW617">
            <v>19.100000000000001</v>
          </cell>
          <cell r="BX617">
            <v>19.100000000000001</v>
          </cell>
          <cell r="BY617">
            <v>16.7</v>
          </cell>
          <cell r="BZ617">
            <v>15.4</v>
          </cell>
          <cell r="CA617">
            <v>12.3</v>
          </cell>
          <cell r="CB617">
            <v>7.7</v>
          </cell>
          <cell r="CC617">
            <v>7</v>
          </cell>
          <cell r="CD617">
            <v>10.199999999999999</v>
          </cell>
          <cell r="CE617">
            <v>14</v>
          </cell>
          <cell r="CF617">
            <v>19.899999999999999</v>
          </cell>
          <cell r="CG617">
            <v>12.9</v>
          </cell>
          <cell r="CH617">
            <v>0.8</v>
          </cell>
          <cell r="CI617">
            <v>1.1000000000000001</v>
          </cell>
          <cell r="CJ617">
            <v>1.3</v>
          </cell>
          <cell r="CK617">
            <v>1.3</v>
          </cell>
          <cell r="CL617">
            <v>0.9</v>
          </cell>
          <cell r="CM617">
            <v>0.6</v>
          </cell>
          <cell r="CN617">
            <v>0.4</v>
          </cell>
          <cell r="CO617">
            <v>0.2</v>
          </cell>
          <cell r="CP617">
            <v>0.3</v>
          </cell>
          <cell r="CQ617">
            <v>0.4</v>
          </cell>
          <cell r="CR617">
            <v>0.2</v>
          </cell>
          <cell r="CS617">
            <v>0.3</v>
          </cell>
          <cell r="CT617">
            <v>0.3</v>
          </cell>
          <cell r="CU617">
            <v>0.3</v>
          </cell>
          <cell r="CV617">
            <v>0.3</v>
          </cell>
          <cell r="CW617">
            <v>0.2</v>
          </cell>
          <cell r="CX617">
            <v>0.2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0.9</v>
          </cell>
          <cell r="DG617">
            <v>0.6</v>
          </cell>
          <cell r="DH617">
            <v>1.8</v>
          </cell>
          <cell r="DI617">
            <v>6.4</v>
          </cell>
          <cell r="DJ617">
            <v>17.7</v>
          </cell>
          <cell r="DK617">
            <v>32.200000000000003</v>
          </cell>
          <cell r="DL617">
            <v>25.7</v>
          </cell>
          <cell r="DM617">
            <v>2.2999999999999998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EM617">
            <v>-0.1</v>
          </cell>
          <cell r="EN617">
            <v>19.3</v>
          </cell>
          <cell r="EO617">
            <v>16.099999999999998</v>
          </cell>
          <cell r="EP617">
            <v>133.30000000000001</v>
          </cell>
          <cell r="EQ617">
            <v>132.80000000000001</v>
          </cell>
          <cell r="ER617">
            <v>63.599999999999987</v>
          </cell>
          <cell r="ES617">
            <v>2.5000000000000004</v>
          </cell>
        </row>
        <row r="618">
          <cell r="A618" t="str">
            <v>Interest Expense</v>
          </cell>
          <cell r="B618" t="str">
            <v>Interest - Deposits &amp; Other</v>
          </cell>
          <cell r="E618" t="str">
            <v>Interest - Deposits &amp; Other</v>
          </cell>
          <cell r="F618" t="str">
            <v>7500271</v>
          </cell>
          <cell r="G618" t="str">
            <v>A_7500271</v>
          </cell>
          <cell r="H618" t="str">
            <v>Interest Exp - Defd CI/BSR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0.1</v>
          </cell>
          <cell r="AL618">
            <v>0.1</v>
          </cell>
          <cell r="AM618">
            <v>0.1</v>
          </cell>
          <cell r="AN618">
            <v>0.7</v>
          </cell>
          <cell r="AO618">
            <v>0.7</v>
          </cell>
          <cell r="AP618">
            <v>0.7</v>
          </cell>
          <cell r="AQ618">
            <v>0.7</v>
          </cell>
          <cell r="AR618">
            <v>0.7</v>
          </cell>
          <cell r="AS618">
            <v>1.2</v>
          </cell>
          <cell r="AT618">
            <v>1</v>
          </cell>
          <cell r="AU618">
            <v>1</v>
          </cell>
          <cell r="AV618">
            <v>1</v>
          </cell>
          <cell r="AW618">
            <v>1.1000000000000001</v>
          </cell>
          <cell r="AX618">
            <v>0.9</v>
          </cell>
          <cell r="AY618">
            <v>0.9</v>
          </cell>
          <cell r="AZ618">
            <v>0.7</v>
          </cell>
          <cell r="BA618">
            <v>0.4</v>
          </cell>
          <cell r="BB618">
            <v>0.1</v>
          </cell>
          <cell r="BC618">
            <v>0</v>
          </cell>
          <cell r="BD618">
            <v>0</v>
          </cell>
          <cell r="BE618">
            <v>-0.9</v>
          </cell>
          <cell r="BF618">
            <v>0</v>
          </cell>
          <cell r="BG618">
            <v>0</v>
          </cell>
          <cell r="BH618">
            <v>0.2</v>
          </cell>
          <cell r="BI618">
            <v>0.6</v>
          </cell>
          <cell r="BJ618">
            <v>1.9</v>
          </cell>
          <cell r="BK618">
            <v>0.9</v>
          </cell>
          <cell r="BL618">
            <v>1.2</v>
          </cell>
          <cell r="BM618">
            <v>1</v>
          </cell>
          <cell r="BN618">
            <v>0.9</v>
          </cell>
          <cell r="BO618">
            <v>0.6</v>
          </cell>
          <cell r="BP618">
            <v>0.3</v>
          </cell>
          <cell r="BQ618">
            <v>0.3</v>
          </cell>
          <cell r="BR618">
            <v>0.5</v>
          </cell>
          <cell r="BS618">
            <v>-0.3</v>
          </cell>
          <cell r="BT618">
            <v>0.9</v>
          </cell>
          <cell r="BU618">
            <v>0.8</v>
          </cell>
          <cell r="BV618">
            <v>0.4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0.2</v>
          </cell>
          <cell r="CB618">
            <v>0</v>
          </cell>
          <cell r="CC618">
            <v>-0.6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0.2</v>
          </cell>
          <cell r="DH618">
            <v>0.4</v>
          </cell>
          <cell r="DI618">
            <v>0.3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0.7</v>
          </cell>
          <cell r="DQ618">
            <v>1.5</v>
          </cell>
          <cell r="DR618">
            <v>1.9</v>
          </cell>
          <cell r="DS618">
            <v>2</v>
          </cell>
          <cell r="DT618">
            <v>1.9</v>
          </cell>
          <cell r="DU618">
            <v>1.6</v>
          </cell>
          <cell r="DV618">
            <v>1.2</v>
          </cell>
          <cell r="DW618">
            <v>0.9</v>
          </cell>
          <cell r="DX618">
            <v>0.6</v>
          </cell>
          <cell r="DY618">
            <v>0.8</v>
          </cell>
          <cell r="EM618">
            <v>0</v>
          </cell>
          <cell r="EN618">
            <v>5.1000000000000005</v>
          </cell>
          <cell r="EO618">
            <v>6.2</v>
          </cell>
          <cell r="EP618">
            <v>7.8999999999999995</v>
          </cell>
          <cell r="EQ618">
            <v>1.9000000000000004</v>
          </cell>
          <cell r="ER618">
            <v>0</v>
          </cell>
          <cell r="ES618">
            <v>0</v>
          </cell>
        </row>
        <row r="619">
          <cell r="F619" t="str">
            <v>7500700</v>
          </cell>
          <cell r="G619" t="str">
            <v>A_7500700</v>
          </cell>
          <cell r="H619" t="str">
            <v>Interest Exp - Intercompany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0.5</v>
          </cell>
          <cell r="S619">
            <v>0.4</v>
          </cell>
          <cell r="T619">
            <v>0</v>
          </cell>
          <cell r="U619">
            <v>0.3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11.3</v>
          </cell>
          <cell r="BE619">
            <v>17.2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10.9</v>
          </cell>
          <cell r="BP619">
            <v>9.6999999999999993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0.2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0.3</v>
          </cell>
          <cell r="CS619">
            <v>1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17.8</v>
          </cell>
          <cell r="DI619">
            <v>65.400000000000006</v>
          </cell>
          <cell r="DJ619">
            <v>30.9</v>
          </cell>
          <cell r="DK619">
            <v>0</v>
          </cell>
          <cell r="DL619">
            <v>0</v>
          </cell>
          <cell r="DM619">
            <v>0</v>
          </cell>
          <cell r="DN619">
            <v>580.9</v>
          </cell>
          <cell r="DO619">
            <v>713.2</v>
          </cell>
          <cell r="DP619">
            <v>818.8</v>
          </cell>
          <cell r="DQ619">
            <v>881.5</v>
          </cell>
          <cell r="DR619">
            <v>924.5</v>
          </cell>
          <cell r="DS619">
            <v>961.9</v>
          </cell>
          <cell r="DT619">
            <v>1021</v>
          </cell>
          <cell r="DU619">
            <v>1046.4000000000001</v>
          </cell>
          <cell r="DV619">
            <v>1057.0999999999999</v>
          </cell>
          <cell r="DW619">
            <v>0</v>
          </cell>
          <cell r="DX619">
            <v>0</v>
          </cell>
          <cell r="DY619">
            <v>0</v>
          </cell>
          <cell r="EM619">
            <v>0</v>
          </cell>
          <cell r="EN619">
            <v>0</v>
          </cell>
          <cell r="EO619">
            <v>28.5</v>
          </cell>
          <cell r="EP619">
            <v>20.6</v>
          </cell>
          <cell r="EQ619">
            <v>0</v>
          </cell>
          <cell r="ER619">
            <v>0.2</v>
          </cell>
          <cell r="ES619">
            <v>1.3</v>
          </cell>
        </row>
        <row r="620">
          <cell r="F620" t="str">
            <v>7500700</v>
          </cell>
          <cell r="G620" t="str">
            <v>A_S7500700</v>
          </cell>
          <cell r="H620" t="str">
            <v>Settled Interest Exp - Intercompany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1917.7</v>
          </cell>
          <cell r="DO620">
            <v>1917.7</v>
          </cell>
          <cell r="DP620">
            <v>1917.7</v>
          </cell>
          <cell r="DQ620">
            <v>1916.9</v>
          </cell>
          <cell r="DR620">
            <v>1916.9</v>
          </cell>
          <cell r="DS620">
            <v>1916.9</v>
          </cell>
          <cell r="DT620">
            <v>1916.9</v>
          </cell>
          <cell r="DU620">
            <v>1916.9</v>
          </cell>
          <cell r="DV620">
            <v>1916.9</v>
          </cell>
          <cell r="DW620">
            <v>0</v>
          </cell>
          <cell r="DX620">
            <v>0</v>
          </cell>
          <cell r="DY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</row>
        <row r="621">
          <cell r="F621" t="str">
            <v>7500800</v>
          </cell>
          <cell r="G621" t="str">
            <v>A_7500800</v>
          </cell>
          <cell r="H621" t="str">
            <v>Interest Exp - Miscellaneous (BPC input placeholder for EE)</v>
          </cell>
          <cell r="J621">
            <v>0</v>
          </cell>
          <cell r="K621">
            <v>0.1</v>
          </cell>
          <cell r="L621">
            <v>0</v>
          </cell>
          <cell r="M621">
            <v>0</v>
          </cell>
          <cell r="N621">
            <v>0.3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0.5</v>
          </cell>
          <cell r="W621">
            <v>0.1</v>
          </cell>
          <cell r="X621">
            <v>0.5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8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0.1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EM621">
            <v>1.1000000000000001</v>
          </cell>
          <cell r="EN621">
            <v>0</v>
          </cell>
          <cell r="EO621">
            <v>8</v>
          </cell>
          <cell r="EP621">
            <v>0.1</v>
          </cell>
          <cell r="EQ621">
            <v>0</v>
          </cell>
          <cell r="ER621">
            <v>0</v>
          </cell>
          <cell r="ES621">
            <v>0</v>
          </cell>
        </row>
        <row r="622">
          <cell r="F622" t="str">
            <v>7509000</v>
          </cell>
          <cell r="G622" t="str">
            <v>A_7509000</v>
          </cell>
          <cell r="H622" t="str">
            <v>Interest Expense sent to Balance Sheet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-151</v>
          </cell>
          <cell r="CD622">
            <v>-41.1</v>
          </cell>
          <cell r="CE622">
            <v>-51.4</v>
          </cell>
          <cell r="CF622">
            <v>-60</v>
          </cell>
          <cell r="CG622">
            <v>-68.3</v>
          </cell>
          <cell r="CH622">
            <v>-82.8</v>
          </cell>
          <cell r="CI622">
            <v>-94.7</v>
          </cell>
          <cell r="CJ622">
            <v>-101.9</v>
          </cell>
          <cell r="CK622">
            <v>-113.7</v>
          </cell>
          <cell r="CL622">
            <v>-127.2</v>
          </cell>
          <cell r="CM622">
            <v>-100.6</v>
          </cell>
          <cell r="CN622">
            <v>-74.3</v>
          </cell>
          <cell r="CO622">
            <v>-86</v>
          </cell>
          <cell r="CP622">
            <v>-97.8</v>
          </cell>
          <cell r="CQ622">
            <v>-119</v>
          </cell>
          <cell r="CR622">
            <v>-125.2</v>
          </cell>
          <cell r="CS622">
            <v>-101.8</v>
          </cell>
          <cell r="CT622">
            <v>-70.8</v>
          </cell>
          <cell r="CU622">
            <v>-73.400000000000006</v>
          </cell>
          <cell r="CV622">
            <v>-79.5</v>
          </cell>
          <cell r="CW622">
            <v>-89.5</v>
          </cell>
          <cell r="CX622">
            <v>-98.1</v>
          </cell>
          <cell r="CY622">
            <v>-105.3</v>
          </cell>
          <cell r="CZ622">
            <v>-37.9</v>
          </cell>
          <cell r="DA622">
            <v>-52.2</v>
          </cell>
          <cell r="DB622">
            <v>-57.6</v>
          </cell>
          <cell r="DC622">
            <v>-62.9</v>
          </cell>
          <cell r="DD622">
            <v>-68.3</v>
          </cell>
          <cell r="DE622">
            <v>-75.2</v>
          </cell>
          <cell r="DF622">
            <v>-83.2</v>
          </cell>
          <cell r="DG622">
            <v>-92.9</v>
          </cell>
          <cell r="DH622">
            <v>-103.8</v>
          </cell>
          <cell r="DI622">
            <v>-111.5</v>
          </cell>
          <cell r="DJ622">
            <v>-118.1</v>
          </cell>
          <cell r="DK622">
            <v>-53.5</v>
          </cell>
          <cell r="DL622">
            <v>-78.3</v>
          </cell>
          <cell r="DM622">
            <v>-84.7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-151</v>
          </cell>
          <cell r="ER622">
            <v>-1002.0000000000001</v>
          </cell>
          <cell r="ES622">
            <v>-1050.5</v>
          </cell>
        </row>
        <row r="623">
          <cell r="F623" t="str">
            <v>7500110</v>
          </cell>
          <cell r="G623" t="str">
            <v>A_S7500110</v>
          </cell>
          <cell r="H623" t="str">
            <v>Settled Interest Exp - Long-term Debt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-0.1</v>
          </cell>
          <cell r="AQ623">
            <v>0.1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</row>
        <row r="624">
          <cell r="F624" t="str">
            <v>7500120</v>
          </cell>
          <cell r="G624" t="str">
            <v>A_S7500120</v>
          </cell>
          <cell r="H624" t="str">
            <v>Settled Interest Exp - Amortiz Discount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-0.1</v>
          </cell>
          <cell r="AQ624">
            <v>0.1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</row>
        <row r="625">
          <cell r="F625" t="str">
            <v>7500130</v>
          </cell>
          <cell r="G625" t="str">
            <v>A_S7500130</v>
          </cell>
          <cell r="H625" t="str">
            <v>Settled Interest Exp - Amortiz of Fees L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-0.1</v>
          </cell>
          <cell r="AQ625">
            <v>0.1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</row>
        <row r="626">
          <cell r="F626" t="str">
            <v>750</v>
          </cell>
          <cell r="G626">
            <v>750</v>
          </cell>
          <cell r="J626">
            <v>1134.2</v>
          </cell>
          <cell r="K626">
            <v>1129.1999999999998</v>
          </cell>
          <cell r="L626">
            <v>1126.2</v>
          </cell>
          <cell r="M626">
            <v>1125</v>
          </cell>
          <cell r="N626">
            <v>1143.4000000000001</v>
          </cell>
          <cell r="O626">
            <v>1161.8</v>
          </cell>
          <cell r="P626">
            <v>1161.8999999999999</v>
          </cell>
          <cell r="Q626">
            <v>1162.3</v>
          </cell>
          <cell r="R626">
            <v>1163.5999999999999</v>
          </cell>
          <cell r="S626">
            <v>1163.8</v>
          </cell>
          <cell r="T626">
            <v>1162.8</v>
          </cell>
          <cell r="U626">
            <v>1166.5</v>
          </cell>
          <cell r="V626">
            <v>1170.7</v>
          </cell>
          <cell r="W626">
            <v>1166.8</v>
          </cell>
          <cell r="X626">
            <v>1167</v>
          </cell>
          <cell r="Y626">
            <v>1163.4000000000001</v>
          </cell>
          <cell r="Z626">
            <v>1196.8</v>
          </cell>
          <cell r="AA626">
            <v>1234</v>
          </cell>
          <cell r="AB626">
            <v>1234.3000000000002</v>
          </cell>
          <cell r="AC626">
            <v>1234.8</v>
          </cell>
          <cell r="AD626">
            <v>1235.1000000000001</v>
          </cell>
          <cell r="AE626">
            <v>1235.2</v>
          </cell>
          <cell r="AF626">
            <v>1235.5</v>
          </cell>
          <cell r="AG626">
            <v>1235.6000000000001</v>
          </cell>
          <cell r="AH626">
            <v>1236.9000000000001</v>
          </cell>
          <cell r="AI626">
            <v>1233.7</v>
          </cell>
          <cell r="AJ626">
            <v>1232.2</v>
          </cell>
          <cell r="AK626">
            <v>1229.8999999999999</v>
          </cell>
          <cell r="AL626">
            <v>1228.2</v>
          </cell>
          <cell r="AM626">
            <v>1227.1999999999998</v>
          </cell>
          <cell r="AN626">
            <v>1226.3000000000002</v>
          </cell>
          <cell r="AO626">
            <v>1214.3</v>
          </cell>
          <cell r="AP626">
            <v>1223.2000000000003</v>
          </cell>
          <cell r="AQ626">
            <v>1218.7</v>
          </cell>
          <cell r="AR626">
            <v>1220.3999999999999</v>
          </cell>
          <cell r="AS626">
            <v>1239.7</v>
          </cell>
          <cell r="AT626">
            <v>1255.2</v>
          </cell>
          <cell r="AU626">
            <v>1259.9000000000001</v>
          </cell>
          <cell r="AV626">
            <v>1264.2</v>
          </cell>
          <cell r="AW626">
            <v>1267.9999999999998</v>
          </cell>
          <cell r="AX626">
            <v>1245</v>
          </cell>
          <cell r="AY626">
            <v>1256.1000000000001</v>
          </cell>
          <cell r="AZ626">
            <v>1266.9000000000001</v>
          </cell>
          <cell r="BA626">
            <v>1270.2</v>
          </cell>
          <cell r="BB626">
            <v>1337.7</v>
          </cell>
          <cell r="BC626">
            <v>1328.3</v>
          </cell>
          <cell r="BD626">
            <v>1232.2</v>
          </cell>
          <cell r="BE626">
            <v>1242.7</v>
          </cell>
          <cell r="BF626">
            <v>1210.7</v>
          </cell>
          <cell r="BG626">
            <v>1407.3</v>
          </cell>
          <cell r="BH626">
            <v>1340.6000000000001</v>
          </cell>
          <cell r="BI626">
            <v>1326.4</v>
          </cell>
          <cell r="BJ626">
            <v>1217.4000000000001</v>
          </cell>
          <cell r="BK626">
            <v>1296.2</v>
          </cell>
          <cell r="BL626">
            <v>1286.1000000000001</v>
          </cell>
          <cell r="BM626">
            <v>1291.0999999999999</v>
          </cell>
          <cell r="BN626">
            <v>1305.3</v>
          </cell>
          <cell r="BO626">
            <v>1330.5</v>
          </cell>
          <cell r="BP626">
            <v>1344.1999999999998</v>
          </cell>
          <cell r="BQ626">
            <v>1427.1</v>
          </cell>
          <cell r="BR626">
            <v>1502.4</v>
          </cell>
          <cell r="BS626">
            <v>1486.6</v>
          </cell>
          <cell r="BT626">
            <v>1470.4</v>
          </cell>
          <cell r="BU626">
            <v>1460.3</v>
          </cell>
          <cell r="BV626">
            <v>1405.0000000000002</v>
          </cell>
          <cell r="BW626">
            <v>1185</v>
          </cell>
          <cell r="BX626">
            <v>1434.6</v>
          </cell>
          <cell r="BY626">
            <v>1432.3000000000002</v>
          </cell>
          <cell r="BZ626">
            <v>1455.6000000000001</v>
          </cell>
          <cell r="CA626">
            <v>1469.6000000000001</v>
          </cell>
          <cell r="CB626">
            <v>1469.5000000000002</v>
          </cell>
          <cell r="CC626">
            <v>1506.2</v>
          </cell>
          <cell r="CD626">
            <v>1536.0000000000002</v>
          </cell>
          <cell r="CE626">
            <v>1409.6</v>
          </cell>
          <cell r="CF626">
            <v>1549.5</v>
          </cell>
          <cell r="CG626">
            <v>1396.7000000000003</v>
          </cell>
          <cell r="CH626">
            <v>1368.9</v>
          </cell>
          <cell r="CI626">
            <v>1361.8999999999999</v>
          </cell>
          <cell r="CJ626">
            <v>1373.6</v>
          </cell>
          <cell r="CK626">
            <v>1358.4</v>
          </cell>
          <cell r="CL626">
            <v>1340.3</v>
          </cell>
          <cell r="CM626">
            <v>1385.3000000000002</v>
          </cell>
          <cell r="CN626">
            <v>1426.0000000000002</v>
          </cell>
          <cell r="CO626">
            <v>1442.0000000000002</v>
          </cell>
          <cell r="CP626">
            <v>1477.4</v>
          </cell>
          <cell r="CQ626">
            <v>1443</v>
          </cell>
          <cell r="CR626">
            <v>1732.8</v>
          </cell>
          <cell r="CS626">
            <v>1859.4</v>
          </cell>
          <cell r="CT626">
            <v>1700.1000000000001</v>
          </cell>
          <cell r="CU626">
            <v>1850.0999999999997</v>
          </cell>
          <cell r="CV626">
            <v>1692.8</v>
          </cell>
          <cell r="CW626">
            <v>1687.4</v>
          </cell>
          <cell r="CX626">
            <v>1576.7000000000003</v>
          </cell>
          <cell r="CY626">
            <v>1676.5000000000002</v>
          </cell>
          <cell r="CZ626">
            <v>1747.1</v>
          </cell>
          <cell r="DA626">
            <v>1743</v>
          </cell>
          <cell r="DB626">
            <v>1783.0000000000002</v>
          </cell>
          <cell r="DC626">
            <v>1756.1000000000001</v>
          </cell>
          <cell r="DD626">
            <v>1796.5</v>
          </cell>
          <cell r="DE626">
            <v>1832.1</v>
          </cell>
          <cell r="DF626">
            <v>1895.2</v>
          </cell>
          <cell r="DG626">
            <v>1914</v>
          </cell>
          <cell r="DH626">
            <v>2154.9</v>
          </cell>
          <cell r="DI626">
            <v>2243.3000000000006</v>
          </cell>
          <cell r="DJ626">
            <v>2295.1</v>
          </cell>
          <cell r="DK626">
            <v>2461.4</v>
          </cell>
          <cell r="DL626">
            <v>2522.7999999999997</v>
          </cell>
          <cell r="DM626">
            <v>2634.6000000000004</v>
          </cell>
          <cell r="DN626">
            <v>2460.1</v>
          </cell>
          <cell r="DO626">
            <v>2591.6000000000004</v>
          </cell>
          <cell r="DP626">
            <v>2692.2</v>
          </cell>
          <cell r="DQ626">
            <v>2732.5</v>
          </cell>
          <cell r="DR626">
            <v>2780.4</v>
          </cell>
          <cell r="DS626">
            <v>2834</v>
          </cell>
          <cell r="DT626">
            <v>2881.2</v>
          </cell>
          <cell r="DU626">
            <v>2893.3</v>
          </cell>
          <cell r="DV626">
            <v>2892.9</v>
          </cell>
          <cell r="DW626">
            <v>4808.3083084570017</v>
          </cell>
          <cell r="DX626">
            <v>4259.7635581864333</v>
          </cell>
          <cell r="DY626">
            <v>4286.5777047117517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M626">
            <v>14509.2</v>
          </cell>
          <cell r="EN626">
            <v>14730.7</v>
          </cell>
          <cell r="EO626">
            <v>15226.400000000003</v>
          </cell>
          <cell r="EP626">
            <v>15782.9</v>
          </cell>
          <cell r="EQ626">
            <v>17277.500000000004</v>
          </cell>
          <cell r="ER626">
            <v>16948.2</v>
          </cell>
          <cell r="ES626">
            <v>20186.3</v>
          </cell>
        </row>
        <row r="627">
          <cell r="F627" t="str">
            <v>8000300</v>
          </cell>
          <cell r="G627" t="str">
            <v>A_8000300</v>
          </cell>
          <cell r="H627" t="str">
            <v>Federal Income Tax Expense</v>
          </cell>
          <cell r="J627">
            <v>10.1</v>
          </cell>
          <cell r="K627">
            <v>25.3</v>
          </cell>
          <cell r="L627">
            <v>-3.7</v>
          </cell>
          <cell r="M627">
            <v>59.8</v>
          </cell>
          <cell r="N627">
            <v>-75.599999999999994</v>
          </cell>
          <cell r="O627">
            <v>5.2</v>
          </cell>
          <cell r="P627">
            <v>-25.9</v>
          </cell>
          <cell r="Q627">
            <v>-0.2</v>
          </cell>
          <cell r="R627">
            <v>11</v>
          </cell>
          <cell r="S627">
            <v>3.2</v>
          </cell>
          <cell r="T627">
            <v>-1.6</v>
          </cell>
          <cell r="U627">
            <v>-63</v>
          </cell>
          <cell r="V627">
            <v>5.4</v>
          </cell>
          <cell r="W627">
            <v>-3.5</v>
          </cell>
          <cell r="X627">
            <v>-16.899999999999999</v>
          </cell>
          <cell r="Y627">
            <v>-14.3</v>
          </cell>
          <cell r="Z627">
            <v>8.6</v>
          </cell>
          <cell r="AA627">
            <v>54.7</v>
          </cell>
          <cell r="AB627">
            <v>-5.9</v>
          </cell>
          <cell r="AC627">
            <v>0.6</v>
          </cell>
          <cell r="AD627">
            <v>-47.2</v>
          </cell>
          <cell r="AE627">
            <v>-1</v>
          </cell>
          <cell r="AF627">
            <v>1.8</v>
          </cell>
          <cell r="AG627">
            <v>172.1</v>
          </cell>
          <cell r="AH627">
            <v>-3.8</v>
          </cell>
          <cell r="AI627">
            <v>15.3</v>
          </cell>
          <cell r="AJ627">
            <v>-8.5</v>
          </cell>
          <cell r="AK627">
            <v>3.7</v>
          </cell>
          <cell r="AL627">
            <v>3.9</v>
          </cell>
          <cell r="AM627">
            <v>-12.8</v>
          </cell>
          <cell r="AN627">
            <v>71.599999999999994</v>
          </cell>
          <cell r="AO627">
            <v>135.6</v>
          </cell>
          <cell r="AP627">
            <v>252</v>
          </cell>
          <cell r="AQ627">
            <v>299.2</v>
          </cell>
          <cell r="AR627">
            <v>62.9</v>
          </cell>
          <cell r="AS627">
            <v>-556.79999999999995</v>
          </cell>
          <cell r="AT627">
            <v>92.8</v>
          </cell>
          <cell r="AU627">
            <v>66.8</v>
          </cell>
          <cell r="AV627">
            <v>-71.099999999999994</v>
          </cell>
          <cell r="AW627">
            <v>61.1</v>
          </cell>
          <cell r="AX627">
            <v>59.8</v>
          </cell>
          <cell r="AY627">
            <v>-169.1</v>
          </cell>
          <cell r="AZ627">
            <v>49.8</v>
          </cell>
          <cell r="BA627">
            <v>53.4</v>
          </cell>
          <cell r="BB627">
            <v>-136</v>
          </cell>
          <cell r="BC627">
            <v>55</v>
          </cell>
          <cell r="BD627">
            <v>55.8</v>
          </cell>
          <cell r="BE627">
            <v>-114</v>
          </cell>
          <cell r="BF627">
            <v>36.799999999999997</v>
          </cell>
          <cell r="BG627">
            <v>37.6</v>
          </cell>
          <cell r="BH627">
            <v>-57</v>
          </cell>
          <cell r="BI627">
            <v>20.2</v>
          </cell>
          <cell r="BJ627">
            <v>31.5</v>
          </cell>
          <cell r="BK627">
            <v>-64.8</v>
          </cell>
          <cell r="BL627">
            <v>35.4</v>
          </cell>
          <cell r="BM627">
            <v>32.299999999999997</v>
          </cell>
          <cell r="BN627">
            <v>-76.7</v>
          </cell>
          <cell r="BO627">
            <v>24.6</v>
          </cell>
          <cell r="BP627">
            <v>25.5</v>
          </cell>
          <cell r="BQ627">
            <v>-106.6</v>
          </cell>
          <cell r="BR627">
            <v>31.8</v>
          </cell>
          <cell r="BS627">
            <v>34</v>
          </cell>
          <cell r="BT627">
            <v>-29.1</v>
          </cell>
          <cell r="BU627">
            <v>35.700000000000003</v>
          </cell>
          <cell r="BV627">
            <v>30.8</v>
          </cell>
          <cell r="BW627">
            <v>-65.7</v>
          </cell>
          <cell r="BX627">
            <v>36.299999999999997</v>
          </cell>
          <cell r="BY627">
            <v>60.9</v>
          </cell>
          <cell r="BZ627">
            <v>-64.2</v>
          </cell>
          <cell r="CA627">
            <v>49</v>
          </cell>
          <cell r="CB627">
            <v>46.7</v>
          </cell>
          <cell r="CC627">
            <v>-105.7</v>
          </cell>
          <cell r="CD627">
            <v>61.3</v>
          </cell>
          <cell r="CE627">
            <v>55.3</v>
          </cell>
          <cell r="CF627">
            <v>-68.400000000000006</v>
          </cell>
          <cell r="CG627">
            <v>65.8</v>
          </cell>
          <cell r="CH627">
            <v>71.3</v>
          </cell>
          <cell r="CI627">
            <v>77.099999999999994</v>
          </cell>
          <cell r="CJ627">
            <v>66.2</v>
          </cell>
          <cell r="CK627">
            <v>71.400000000000006</v>
          </cell>
          <cell r="CL627">
            <v>-259.5</v>
          </cell>
          <cell r="CM627">
            <v>55.1</v>
          </cell>
          <cell r="CN627">
            <v>41.7</v>
          </cell>
          <cell r="CO627">
            <v>-335.9</v>
          </cell>
          <cell r="CP627">
            <v>60.1</v>
          </cell>
          <cell r="CQ627">
            <v>64.7</v>
          </cell>
          <cell r="CR627">
            <v>-69.8</v>
          </cell>
          <cell r="CS627">
            <v>61.8</v>
          </cell>
          <cell r="CT627">
            <v>42.4</v>
          </cell>
          <cell r="CU627">
            <v>-84.1</v>
          </cell>
          <cell r="CV627">
            <v>47.1</v>
          </cell>
          <cell r="CW627">
            <v>52</v>
          </cell>
          <cell r="CX627">
            <v>-68.2</v>
          </cell>
          <cell r="CY627">
            <v>61.9</v>
          </cell>
          <cell r="CZ627">
            <v>20.399999999999999</v>
          </cell>
          <cell r="DA627">
            <v>-83.1</v>
          </cell>
          <cell r="DB627">
            <v>24.1</v>
          </cell>
          <cell r="DC627">
            <v>38.200000000000003</v>
          </cell>
          <cell r="DD627">
            <v>-7.4</v>
          </cell>
          <cell r="DE627">
            <v>34.200000000000003</v>
          </cell>
          <cell r="DF627">
            <v>47.9</v>
          </cell>
          <cell r="DG627">
            <v>38</v>
          </cell>
          <cell r="DH627">
            <v>66.2</v>
          </cell>
          <cell r="DI627">
            <v>80.599999999999994</v>
          </cell>
          <cell r="DJ627">
            <v>86.9</v>
          </cell>
          <cell r="DK627">
            <v>40.6</v>
          </cell>
          <cell r="DL627">
            <v>56.5</v>
          </cell>
          <cell r="DM627">
            <v>-588.20000000000005</v>
          </cell>
          <cell r="DN627">
            <v>-10.6</v>
          </cell>
          <cell r="DO627">
            <v>0.4</v>
          </cell>
          <cell r="DP627">
            <v>-5.3</v>
          </cell>
          <cell r="DQ627">
            <v>-9.8000000000000007</v>
          </cell>
          <cell r="DR627">
            <v>-8.1</v>
          </cell>
          <cell r="DS627">
            <v>-6.5</v>
          </cell>
          <cell r="DT627">
            <v>-2.2000000000000002</v>
          </cell>
          <cell r="DU627">
            <v>-5.6</v>
          </cell>
          <cell r="DV627">
            <v>-6.2</v>
          </cell>
          <cell r="DW627">
            <v>1</v>
          </cell>
          <cell r="DX627">
            <v>-4.4000000000000004</v>
          </cell>
          <cell r="DY627">
            <v>-11.1</v>
          </cell>
          <cell r="DZ627">
            <v>-8.617300000000002</v>
          </cell>
          <cell r="EA627">
            <v>-2.5345</v>
          </cell>
          <cell r="EB627">
            <v>-10.138</v>
          </cell>
          <cell r="EC627">
            <v>-8.1104000000000003</v>
          </cell>
          <cell r="ED627">
            <v>-9.3776499999999992</v>
          </cell>
          <cell r="EE627">
            <v>-10.138</v>
          </cell>
          <cell r="EF627">
            <v>-3.8017500000000002</v>
          </cell>
          <cell r="EG627">
            <v>-8.8707499999999992</v>
          </cell>
          <cell r="EH627">
            <v>-10.138</v>
          </cell>
          <cell r="EI627">
            <v>-0.50690000000000002</v>
          </cell>
          <cell r="EJ627">
            <v>-8.617300000000002</v>
          </cell>
          <cell r="EK627">
            <v>-17.234600000000004</v>
          </cell>
          <cell r="EM627">
            <v>154.4</v>
          </cell>
          <cell r="EN627">
            <v>262.30000000000007</v>
          </cell>
          <cell r="EO627">
            <v>4.2999999999999687</v>
          </cell>
          <cell r="EP627">
            <v>-61.199999999999996</v>
          </cell>
          <cell r="EQ627">
            <v>60.499999999999986</v>
          </cell>
          <cell r="ER627">
            <v>-98.599999999999966</v>
          </cell>
          <cell r="ES627">
            <v>105.20000000000002</v>
          </cell>
        </row>
        <row r="628">
          <cell r="F628" t="str">
            <v>8000300</v>
          </cell>
          <cell r="G628" t="str">
            <v>A_S8000300</v>
          </cell>
          <cell r="H628" t="str">
            <v>Settled Federal Income Tax Expense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-0.1</v>
          </cell>
          <cell r="AQ628">
            <v>0.1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</row>
        <row r="629">
          <cell r="F629" t="str">
            <v>8000310</v>
          </cell>
          <cell r="G629" t="str">
            <v>A_8000310</v>
          </cell>
          <cell r="H629" t="str">
            <v>Federal Income Tax Expense - Above Line</v>
          </cell>
          <cell r="J629">
            <v>2064.4</v>
          </cell>
          <cell r="K629">
            <v>2571.4</v>
          </cell>
          <cell r="L629">
            <v>2721</v>
          </cell>
          <cell r="M629">
            <v>1419.6</v>
          </cell>
          <cell r="N629">
            <v>1368.9</v>
          </cell>
          <cell r="O629">
            <v>964.8</v>
          </cell>
          <cell r="P629">
            <v>585.5</v>
          </cell>
          <cell r="Q629">
            <v>335.6</v>
          </cell>
          <cell r="R629">
            <v>-1440.5</v>
          </cell>
          <cell r="S629">
            <v>1666.9</v>
          </cell>
          <cell r="T629">
            <v>-989.5</v>
          </cell>
          <cell r="U629">
            <v>-5934.7</v>
          </cell>
          <cell r="V629">
            <v>3092.4</v>
          </cell>
          <cell r="W629">
            <v>1356.4</v>
          </cell>
          <cell r="X629">
            <v>2443.6</v>
          </cell>
          <cell r="Y629">
            <v>1063.4000000000001</v>
          </cell>
          <cell r="Z629">
            <v>911.1</v>
          </cell>
          <cell r="AA629">
            <v>1328</v>
          </cell>
          <cell r="AB629">
            <v>1032.0999999999999</v>
          </cell>
          <cell r="AC629">
            <v>1041.2</v>
          </cell>
          <cell r="AD629">
            <v>-340.1</v>
          </cell>
          <cell r="AE629">
            <v>-232</v>
          </cell>
          <cell r="AF629">
            <v>-143.30000000000001</v>
          </cell>
          <cell r="AG629">
            <v>-9406.7000000000007</v>
          </cell>
          <cell r="AH629">
            <v>1893.1</v>
          </cell>
          <cell r="AI629">
            <v>2490.1</v>
          </cell>
          <cell r="AJ629">
            <v>920.9</v>
          </cell>
          <cell r="AK629">
            <v>461.3</v>
          </cell>
          <cell r="AL629">
            <v>151.9</v>
          </cell>
          <cell r="AM629">
            <v>-25.6</v>
          </cell>
          <cell r="AN629">
            <v>210.1</v>
          </cell>
          <cell r="AO629">
            <v>-798.8</v>
          </cell>
          <cell r="AP629">
            <v>1077</v>
          </cell>
          <cell r="AQ629">
            <v>-652.9</v>
          </cell>
          <cell r="AR629">
            <v>-225.1</v>
          </cell>
          <cell r="AS629">
            <v>528</v>
          </cell>
          <cell r="AT629">
            <v>1749.5</v>
          </cell>
          <cell r="AU629">
            <v>-541.9</v>
          </cell>
          <cell r="AV629">
            <v>39.799999999999997</v>
          </cell>
          <cell r="AW629">
            <v>395.8</v>
          </cell>
          <cell r="AX629">
            <v>-704.5</v>
          </cell>
          <cell r="AY629">
            <v>-855.5</v>
          </cell>
          <cell r="AZ629">
            <v>-864.8</v>
          </cell>
          <cell r="BA629">
            <v>-906.9</v>
          </cell>
          <cell r="BB629">
            <v>1539</v>
          </cell>
          <cell r="BC629">
            <v>-1752.7</v>
          </cell>
          <cell r="BD629">
            <v>-903.1</v>
          </cell>
          <cell r="BE629">
            <v>5428.1</v>
          </cell>
          <cell r="BF629">
            <v>2576.9</v>
          </cell>
          <cell r="BG629">
            <v>361.1</v>
          </cell>
          <cell r="BH629">
            <v>800</v>
          </cell>
          <cell r="BI629">
            <v>1080.7</v>
          </cell>
          <cell r="BJ629">
            <v>255.3</v>
          </cell>
          <cell r="BK629">
            <v>480</v>
          </cell>
          <cell r="BL629">
            <v>225</v>
          </cell>
          <cell r="BM629">
            <v>-909.9</v>
          </cell>
          <cell r="BN629">
            <v>394.1</v>
          </cell>
          <cell r="BO629">
            <v>-221.8</v>
          </cell>
          <cell r="BP629">
            <v>-3288.2</v>
          </cell>
          <cell r="BQ629">
            <v>1972.6</v>
          </cell>
          <cell r="BR629">
            <v>1613.7</v>
          </cell>
          <cell r="BS629">
            <v>36.1</v>
          </cell>
          <cell r="BT629">
            <v>1025.4000000000001</v>
          </cell>
          <cell r="BU629">
            <v>553.9</v>
          </cell>
          <cell r="BV629">
            <v>336</v>
          </cell>
          <cell r="BW629">
            <v>267.2</v>
          </cell>
          <cell r="BX629">
            <v>106.8</v>
          </cell>
          <cell r="BY629">
            <v>90</v>
          </cell>
          <cell r="BZ629">
            <v>186.1</v>
          </cell>
          <cell r="CA629">
            <v>190.8</v>
          </cell>
          <cell r="CB629">
            <v>491.9</v>
          </cell>
          <cell r="CC629">
            <v>202.5</v>
          </cell>
          <cell r="CD629">
            <v>2575.6</v>
          </cell>
          <cell r="CE629">
            <v>-1617.2</v>
          </cell>
          <cell r="CF629">
            <v>455.5</v>
          </cell>
          <cell r="CG629">
            <v>194.4</v>
          </cell>
          <cell r="CH629">
            <v>-245.7</v>
          </cell>
          <cell r="CI629">
            <v>65.8</v>
          </cell>
          <cell r="CJ629">
            <v>-328.7</v>
          </cell>
          <cell r="CK629">
            <v>-69.099999999999994</v>
          </cell>
          <cell r="CL629">
            <v>232.8</v>
          </cell>
          <cell r="CM629">
            <v>-1301.5</v>
          </cell>
          <cell r="CN629">
            <v>209.5</v>
          </cell>
          <cell r="CO629">
            <v>466.9</v>
          </cell>
          <cell r="CP629">
            <v>2336.1</v>
          </cell>
          <cell r="CQ629">
            <v>945.8</v>
          </cell>
          <cell r="CR629">
            <v>-345.8</v>
          </cell>
          <cell r="CS629">
            <v>847.4</v>
          </cell>
          <cell r="CT629">
            <v>-204</v>
          </cell>
          <cell r="CU629">
            <v>1667.1</v>
          </cell>
          <cell r="CV629">
            <v>-241.1</v>
          </cell>
          <cell r="CW629">
            <v>542.20000000000005</v>
          </cell>
          <cell r="CX629">
            <v>1423.7</v>
          </cell>
          <cell r="CY629">
            <v>-1386.5</v>
          </cell>
          <cell r="CZ629">
            <v>-1358.2</v>
          </cell>
          <cell r="DA629">
            <v>3287.1</v>
          </cell>
          <cell r="DB629">
            <v>2249.5</v>
          </cell>
          <cell r="DC629">
            <v>2714.2</v>
          </cell>
          <cell r="DD629">
            <v>205.8</v>
          </cell>
          <cell r="DE629">
            <v>931.9</v>
          </cell>
          <cell r="DF629">
            <v>362.4</v>
          </cell>
          <cell r="DG629">
            <v>269.39999999999998</v>
          </cell>
          <cell r="DH629">
            <v>-173.5</v>
          </cell>
          <cell r="DI629">
            <v>-2722.5</v>
          </cell>
          <cell r="DJ629">
            <v>631.9</v>
          </cell>
          <cell r="DK629">
            <v>-460.9</v>
          </cell>
          <cell r="DL629">
            <v>5.0999999999999996</v>
          </cell>
          <cell r="DM629">
            <v>-111.3</v>
          </cell>
          <cell r="DN629">
            <v>726.5</v>
          </cell>
          <cell r="DO629">
            <v>782.8</v>
          </cell>
          <cell r="DP629">
            <v>-455.7</v>
          </cell>
          <cell r="DQ629">
            <v>312.3</v>
          </cell>
          <cell r="DR629">
            <v>-306.3</v>
          </cell>
          <cell r="DS629">
            <v>40</v>
          </cell>
          <cell r="DT629">
            <v>-614.1</v>
          </cell>
          <cell r="DU629">
            <v>-718.7</v>
          </cell>
          <cell r="DV629">
            <v>-215.7</v>
          </cell>
          <cell r="DW629">
            <v>-1068.5</v>
          </cell>
          <cell r="DX629">
            <v>-201.9</v>
          </cell>
          <cell r="DY629">
            <v>1288.0999999999999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M629">
            <v>2146.1000000000004</v>
          </cell>
          <cell r="EN629">
            <v>6029.9999999999991</v>
          </cell>
          <cell r="EO629">
            <v>2622.8</v>
          </cell>
          <cell r="EP629">
            <v>3725.8000000000006</v>
          </cell>
          <cell r="EQ629">
            <v>5100.3999999999996</v>
          </cell>
          <cell r="ER629">
            <v>638.29999999999984</v>
          </cell>
          <cell r="ES629">
            <v>7513.7999999999993</v>
          </cell>
        </row>
        <row r="630">
          <cell r="F630" t="str">
            <v>8000400</v>
          </cell>
          <cell r="G630" t="str">
            <v>A_8000400</v>
          </cell>
          <cell r="H630" t="str">
            <v>State Income Tax Expense</v>
          </cell>
          <cell r="J630">
            <v>1.7</v>
          </cell>
          <cell r="K630">
            <v>4.2</v>
          </cell>
          <cell r="L630">
            <v>-0.6</v>
          </cell>
          <cell r="M630">
            <v>9.9</v>
          </cell>
          <cell r="N630">
            <v>-12.6</v>
          </cell>
          <cell r="O630">
            <v>0.9</v>
          </cell>
          <cell r="P630">
            <v>-4.3</v>
          </cell>
          <cell r="Q630">
            <v>0</v>
          </cell>
          <cell r="R630">
            <v>1.8</v>
          </cell>
          <cell r="S630">
            <v>0.5</v>
          </cell>
          <cell r="T630">
            <v>-0.3</v>
          </cell>
          <cell r="U630">
            <v>-10.5</v>
          </cell>
          <cell r="V630">
            <v>0.9</v>
          </cell>
          <cell r="W630">
            <v>-0.6</v>
          </cell>
          <cell r="X630">
            <v>-2.8</v>
          </cell>
          <cell r="Y630">
            <v>-2.4</v>
          </cell>
          <cell r="Z630">
            <v>1.4</v>
          </cell>
          <cell r="AA630">
            <v>9.1</v>
          </cell>
          <cell r="AB630">
            <v>-1</v>
          </cell>
          <cell r="AC630">
            <v>0.1</v>
          </cell>
          <cell r="AD630">
            <v>-7.9</v>
          </cell>
          <cell r="AE630">
            <v>-0.2</v>
          </cell>
          <cell r="AF630">
            <v>0.3</v>
          </cell>
          <cell r="AG630">
            <v>28.6</v>
          </cell>
          <cell r="AH630">
            <v>-0.6</v>
          </cell>
          <cell r="AI630">
            <v>2.6</v>
          </cell>
          <cell r="AJ630">
            <v>-1.4</v>
          </cell>
          <cell r="AK630">
            <v>0.6</v>
          </cell>
          <cell r="AL630">
            <v>0.6</v>
          </cell>
          <cell r="AM630">
            <v>-2.1</v>
          </cell>
          <cell r="AN630">
            <v>11.9</v>
          </cell>
          <cell r="AO630">
            <v>22.6</v>
          </cell>
          <cell r="AP630">
            <v>41.9</v>
          </cell>
          <cell r="AQ630">
            <v>49.8</v>
          </cell>
          <cell r="AR630">
            <v>10.5</v>
          </cell>
          <cell r="AS630">
            <v>-92.6</v>
          </cell>
          <cell r="AT630">
            <v>15.4</v>
          </cell>
          <cell r="AU630">
            <v>11.1</v>
          </cell>
          <cell r="AV630">
            <v>-11.8</v>
          </cell>
          <cell r="AW630">
            <v>10.199999999999999</v>
          </cell>
          <cell r="AX630">
            <v>9.9</v>
          </cell>
          <cell r="AY630">
            <v>-28.1</v>
          </cell>
          <cell r="AZ630">
            <v>8.3000000000000007</v>
          </cell>
          <cell r="BA630">
            <v>8.9</v>
          </cell>
          <cell r="BB630">
            <v>-22.6</v>
          </cell>
          <cell r="BC630">
            <v>9.1999999999999993</v>
          </cell>
          <cell r="BD630">
            <v>9.3000000000000007</v>
          </cell>
          <cell r="BE630">
            <v>-19</v>
          </cell>
          <cell r="BF630">
            <v>10.199999999999999</v>
          </cell>
          <cell r="BG630">
            <v>10.4</v>
          </cell>
          <cell r="BH630">
            <v>-15.8</v>
          </cell>
          <cell r="BI630">
            <v>5.6</v>
          </cell>
          <cell r="BJ630">
            <v>8.6999999999999993</v>
          </cell>
          <cell r="BK630">
            <v>-18</v>
          </cell>
          <cell r="BL630">
            <v>9.8000000000000007</v>
          </cell>
          <cell r="BM630">
            <v>8.9</v>
          </cell>
          <cell r="BN630">
            <v>-21.3</v>
          </cell>
          <cell r="BO630">
            <v>6.8</v>
          </cell>
          <cell r="BP630">
            <v>7.1</v>
          </cell>
          <cell r="BQ630">
            <v>-29.5</v>
          </cell>
          <cell r="BR630">
            <v>8.8000000000000007</v>
          </cell>
          <cell r="BS630">
            <v>9.4</v>
          </cell>
          <cell r="BT630">
            <v>-8.1</v>
          </cell>
          <cell r="BU630">
            <v>9.9</v>
          </cell>
          <cell r="BV630">
            <v>8.5</v>
          </cell>
          <cell r="BW630">
            <v>-18.2</v>
          </cell>
          <cell r="BX630">
            <v>10.1</v>
          </cell>
          <cell r="BY630">
            <v>16.899999999999999</v>
          </cell>
          <cell r="BZ630">
            <v>-21.7</v>
          </cell>
          <cell r="CA630">
            <v>10.9</v>
          </cell>
          <cell r="CB630">
            <v>10.4</v>
          </cell>
          <cell r="CC630">
            <v>-23.5</v>
          </cell>
          <cell r="CD630">
            <v>13.6</v>
          </cell>
          <cell r="CE630">
            <v>12.3</v>
          </cell>
          <cell r="CF630">
            <v>-15.2</v>
          </cell>
          <cell r="CG630">
            <v>14.6</v>
          </cell>
          <cell r="CH630">
            <v>15.8</v>
          </cell>
          <cell r="CI630">
            <v>17.100000000000001</v>
          </cell>
          <cell r="CJ630">
            <v>14.7</v>
          </cell>
          <cell r="CK630">
            <v>15.9</v>
          </cell>
          <cell r="CL630">
            <v>-57.7</v>
          </cell>
          <cell r="CM630">
            <v>12.2</v>
          </cell>
          <cell r="CN630">
            <v>9.3000000000000007</v>
          </cell>
          <cell r="CO630">
            <v>-74.599999999999994</v>
          </cell>
          <cell r="CP630">
            <v>13.4</v>
          </cell>
          <cell r="CQ630">
            <v>14.4</v>
          </cell>
          <cell r="CR630">
            <v>-15.5</v>
          </cell>
          <cell r="CS630">
            <v>13.7</v>
          </cell>
          <cell r="CT630">
            <v>9.4</v>
          </cell>
          <cell r="CU630">
            <v>-18.7</v>
          </cell>
          <cell r="CV630">
            <v>10.5</v>
          </cell>
          <cell r="CW630">
            <v>11.6</v>
          </cell>
          <cell r="CX630">
            <v>-20.2</v>
          </cell>
          <cell r="CY630">
            <v>10.8</v>
          </cell>
          <cell r="CZ630">
            <v>3.6</v>
          </cell>
          <cell r="DA630">
            <v>-14.5</v>
          </cell>
          <cell r="DB630">
            <v>6.7</v>
          </cell>
          <cell r="DC630">
            <v>10.6</v>
          </cell>
          <cell r="DD630">
            <v>-2</v>
          </cell>
          <cell r="DE630">
            <v>9.5</v>
          </cell>
          <cell r="DF630">
            <v>13.3</v>
          </cell>
          <cell r="DG630">
            <v>10.5</v>
          </cell>
          <cell r="DH630">
            <v>18.399999999999999</v>
          </cell>
          <cell r="DI630">
            <v>22.3</v>
          </cell>
          <cell r="DJ630">
            <v>24.1</v>
          </cell>
          <cell r="DK630">
            <v>11.2</v>
          </cell>
          <cell r="DL630">
            <v>15.6</v>
          </cell>
          <cell r="DM630">
            <v>-163</v>
          </cell>
          <cell r="DN630">
            <v>-2.9</v>
          </cell>
          <cell r="DO630">
            <v>0.1</v>
          </cell>
          <cell r="DP630">
            <v>-1.5</v>
          </cell>
          <cell r="DQ630">
            <v>-2.7</v>
          </cell>
          <cell r="DR630">
            <v>-2.2000000000000002</v>
          </cell>
          <cell r="DS630">
            <v>-1.8</v>
          </cell>
          <cell r="DT630">
            <v>-0.6</v>
          </cell>
          <cell r="DU630">
            <v>-1.6</v>
          </cell>
          <cell r="DV630">
            <v>-1.7</v>
          </cell>
          <cell r="DW630">
            <v>0.3</v>
          </cell>
          <cell r="DX630">
            <v>-1.2</v>
          </cell>
          <cell r="DY630">
            <v>-3.1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M630">
            <v>25.5</v>
          </cell>
          <cell r="EN630">
            <v>43.799999999999983</v>
          </cell>
          <cell r="EO630">
            <v>0.79999999999999716</v>
          </cell>
          <cell r="EP630">
            <v>-17.099999999999998</v>
          </cell>
          <cell r="EQ630">
            <v>13.400000000000006</v>
          </cell>
          <cell r="ER630">
            <v>-22</v>
          </cell>
          <cell r="ES630">
            <v>18.5</v>
          </cell>
        </row>
        <row r="631">
          <cell r="F631" t="str">
            <v>8000410</v>
          </cell>
          <cell r="G631" t="str">
            <v>A_8000410</v>
          </cell>
          <cell r="H631" t="str">
            <v>State Income Tax Expense - Above Line</v>
          </cell>
          <cell r="J631">
            <v>246.9</v>
          </cell>
          <cell r="K631">
            <v>331.3</v>
          </cell>
          <cell r="L631">
            <v>356.1</v>
          </cell>
          <cell r="M631">
            <v>139.69999999999999</v>
          </cell>
          <cell r="N631">
            <v>131.30000000000001</v>
          </cell>
          <cell r="O631">
            <v>64.099999999999994</v>
          </cell>
          <cell r="P631">
            <v>1</v>
          </cell>
          <cell r="Q631">
            <v>-40.5</v>
          </cell>
          <cell r="R631">
            <v>-91.3</v>
          </cell>
          <cell r="S631">
            <v>39.5</v>
          </cell>
          <cell r="T631">
            <v>-402.3</v>
          </cell>
          <cell r="U631">
            <v>-90.1</v>
          </cell>
          <cell r="V631">
            <v>419.2</v>
          </cell>
          <cell r="W631">
            <v>130.6</v>
          </cell>
          <cell r="X631">
            <v>311.39999999999998</v>
          </cell>
          <cell r="Y631">
            <v>81.900000000000006</v>
          </cell>
          <cell r="Z631">
            <v>56.5</v>
          </cell>
          <cell r="AA631">
            <v>125.8</v>
          </cell>
          <cell r="AB631">
            <v>76.599999999999994</v>
          </cell>
          <cell r="AC631">
            <v>78.2</v>
          </cell>
          <cell r="AD631">
            <v>37.200000000000003</v>
          </cell>
          <cell r="AE631">
            <v>-131.9</v>
          </cell>
          <cell r="AF631">
            <v>-117.2</v>
          </cell>
          <cell r="AG631">
            <v>-305.3</v>
          </cell>
          <cell r="AH631">
            <v>335.6</v>
          </cell>
          <cell r="AI631">
            <v>434.9</v>
          </cell>
          <cell r="AJ631">
            <v>173.9</v>
          </cell>
          <cell r="AK631">
            <v>97.5</v>
          </cell>
          <cell r="AL631">
            <v>46</v>
          </cell>
          <cell r="AM631">
            <v>181</v>
          </cell>
          <cell r="AN631">
            <v>55.7</v>
          </cell>
          <cell r="AO631">
            <v>-131.9</v>
          </cell>
          <cell r="AP631">
            <v>-4.0999999999999996</v>
          </cell>
          <cell r="AQ631">
            <v>-107.6</v>
          </cell>
          <cell r="AR631">
            <v>-36.5</v>
          </cell>
          <cell r="AS631">
            <v>18.7</v>
          </cell>
          <cell r="AT631">
            <v>291.3</v>
          </cell>
          <cell r="AU631">
            <v>-89.7</v>
          </cell>
          <cell r="AV631">
            <v>155</v>
          </cell>
          <cell r="AW631">
            <v>115.5</v>
          </cell>
          <cell r="AX631">
            <v>-137.80000000000001</v>
          </cell>
          <cell r="AY631">
            <v>-106.6</v>
          </cell>
          <cell r="AZ631">
            <v>-108.1</v>
          </cell>
          <cell r="BA631">
            <v>-115.2</v>
          </cell>
          <cell r="BB631">
            <v>45.1</v>
          </cell>
          <cell r="BC631">
            <v>-255.8</v>
          </cell>
          <cell r="BD631">
            <v>-114.5</v>
          </cell>
          <cell r="BE631">
            <v>297.3</v>
          </cell>
          <cell r="BF631">
            <v>596</v>
          </cell>
          <cell r="BG631">
            <v>-18.100000000000001</v>
          </cell>
          <cell r="BH631">
            <v>95.3</v>
          </cell>
          <cell r="BI631">
            <v>178.5</v>
          </cell>
          <cell r="BJ631">
            <v>-50.2</v>
          </cell>
          <cell r="BK631">
            <v>12.1</v>
          </cell>
          <cell r="BL631">
            <v>-58.6</v>
          </cell>
          <cell r="BM631">
            <v>30.5</v>
          </cell>
          <cell r="BN631">
            <v>38.700000000000003</v>
          </cell>
          <cell r="BO631">
            <v>-132</v>
          </cell>
          <cell r="BP631">
            <v>-95.2</v>
          </cell>
          <cell r="BQ631">
            <v>-548.20000000000005</v>
          </cell>
          <cell r="BR631">
            <v>284.5</v>
          </cell>
          <cell r="BS631">
            <v>-123.8</v>
          </cell>
          <cell r="BT631">
            <v>135.9</v>
          </cell>
          <cell r="BU631">
            <v>5.3</v>
          </cell>
          <cell r="BV631">
            <v>-55.1</v>
          </cell>
          <cell r="BW631">
            <v>-74.2</v>
          </cell>
          <cell r="BX631">
            <v>-118.7</v>
          </cell>
          <cell r="BY631">
            <v>-123.3</v>
          </cell>
          <cell r="BZ631">
            <v>-63.7</v>
          </cell>
          <cell r="CA631">
            <v>-76.5</v>
          </cell>
          <cell r="CB631">
            <v>-9.6</v>
          </cell>
          <cell r="CC631">
            <v>-117.4</v>
          </cell>
          <cell r="CD631">
            <v>474</v>
          </cell>
          <cell r="CE631">
            <v>-457.6</v>
          </cell>
          <cell r="CF631">
            <v>3</v>
          </cell>
          <cell r="CG631">
            <v>-55</v>
          </cell>
          <cell r="CH631">
            <v>-152.80000000000001</v>
          </cell>
          <cell r="CI631">
            <v>-83.6</v>
          </cell>
          <cell r="CJ631">
            <v>-171.3</v>
          </cell>
          <cell r="CK631">
            <v>-47.7</v>
          </cell>
          <cell r="CL631">
            <v>-112.4</v>
          </cell>
          <cell r="CM631">
            <v>-399.4</v>
          </cell>
          <cell r="CN631">
            <v>-51.7</v>
          </cell>
          <cell r="CO631">
            <v>-143.4</v>
          </cell>
          <cell r="CP631">
            <v>437.6</v>
          </cell>
          <cell r="CQ631">
            <v>128.69999999999999</v>
          </cell>
          <cell r="CR631">
            <v>-158.30000000000001</v>
          </cell>
          <cell r="CS631">
            <v>106.8</v>
          </cell>
          <cell r="CT631">
            <v>-126.8</v>
          </cell>
          <cell r="CU631">
            <v>288.89999999999998</v>
          </cell>
          <cell r="CV631">
            <v>-135.1</v>
          </cell>
          <cell r="CW631">
            <v>39</v>
          </cell>
          <cell r="CX631">
            <v>59.8</v>
          </cell>
          <cell r="CY631">
            <v>-306</v>
          </cell>
          <cell r="CZ631">
            <v>-301</v>
          </cell>
          <cell r="DA631">
            <v>691.1</v>
          </cell>
          <cell r="DB631">
            <v>558.9</v>
          </cell>
          <cell r="DC631">
            <v>687.7</v>
          </cell>
          <cell r="DD631">
            <v>-7.5</v>
          </cell>
          <cell r="DE631">
            <v>193.7</v>
          </cell>
          <cell r="DF631">
            <v>35.9</v>
          </cell>
          <cell r="DG631">
            <v>10.1</v>
          </cell>
          <cell r="DH631">
            <v>-112.7</v>
          </cell>
          <cell r="DI631">
            <v>-806.3</v>
          </cell>
          <cell r="DJ631">
            <v>112.4</v>
          </cell>
          <cell r="DK631">
            <v>-190</v>
          </cell>
          <cell r="DL631">
            <v>-60.7</v>
          </cell>
          <cell r="DM631">
            <v>39.700000000000003</v>
          </cell>
          <cell r="DN631">
            <v>165.4</v>
          </cell>
          <cell r="DO631">
            <v>181</v>
          </cell>
          <cell r="DP631">
            <v>-162.30000000000001</v>
          </cell>
          <cell r="DQ631">
            <v>50.6</v>
          </cell>
          <cell r="DR631">
            <v>-120.9</v>
          </cell>
          <cell r="DS631">
            <v>-24.9</v>
          </cell>
          <cell r="DT631">
            <v>-206.2</v>
          </cell>
          <cell r="DU631">
            <v>-235.2</v>
          </cell>
          <cell r="DV631">
            <v>-95.8</v>
          </cell>
          <cell r="DW631">
            <v>-332.1</v>
          </cell>
          <cell r="DX631">
            <v>-92</v>
          </cell>
          <cell r="DY631">
            <v>321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M631">
            <v>762.99999999999977</v>
          </cell>
          <cell r="EN631">
            <v>1063.2000000000003</v>
          </cell>
          <cell r="EO631">
            <v>-23.499999999999943</v>
          </cell>
          <cell r="EP631">
            <v>48.799999999999841</v>
          </cell>
          <cell r="EQ631">
            <v>-336.59999999999997</v>
          </cell>
          <cell r="ER631">
            <v>-1197.9000000000001</v>
          </cell>
          <cell r="ES631">
            <v>724.69999999999982</v>
          </cell>
        </row>
        <row r="632">
          <cell r="F632" t="str">
            <v/>
          </cell>
          <cell r="H632" t="str">
            <v>INCOME TAX ADJ TO TAX WORKSHEET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</row>
        <row r="633">
          <cell r="F633" t="str">
            <v>8000000</v>
          </cell>
          <cell r="G633">
            <v>8000000</v>
          </cell>
          <cell r="H633" t="str">
            <v>INCOME TAX VARIANCE</v>
          </cell>
          <cell r="I633" t="str">
            <v>INPUT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</row>
        <row r="634">
          <cell r="F634" t="str">
            <v>800</v>
          </cell>
          <cell r="G634">
            <v>800</v>
          </cell>
          <cell r="H634" t="str">
            <v>legacy 409</v>
          </cell>
          <cell r="J634">
            <v>2323.1</v>
          </cell>
          <cell r="K634">
            <v>2932.2000000000003</v>
          </cell>
          <cell r="L634">
            <v>3072.8</v>
          </cell>
          <cell r="M634">
            <v>1629</v>
          </cell>
          <cell r="N634">
            <v>1412.0000000000002</v>
          </cell>
          <cell r="O634">
            <v>1035</v>
          </cell>
          <cell r="P634">
            <v>556.30000000000007</v>
          </cell>
          <cell r="Q634">
            <v>294.90000000000003</v>
          </cell>
          <cell r="R634">
            <v>-1519</v>
          </cell>
          <cell r="S634">
            <v>1710.1000000000001</v>
          </cell>
          <cell r="T634">
            <v>-1393.7</v>
          </cell>
          <cell r="U634">
            <v>-6098.3</v>
          </cell>
          <cell r="V634">
            <v>3517.9</v>
          </cell>
          <cell r="W634">
            <v>1482.9</v>
          </cell>
          <cell r="X634">
            <v>2735.2999999999997</v>
          </cell>
          <cell r="Y634">
            <v>1128.6000000000001</v>
          </cell>
          <cell r="Z634">
            <v>977.6</v>
          </cell>
          <cell r="AA634">
            <v>1517.6</v>
          </cell>
          <cell r="AB634">
            <v>1101.7999999999997</v>
          </cell>
          <cell r="AC634">
            <v>1120.0999999999999</v>
          </cell>
          <cell r="AD634">
            <v>-358</v>
          </cell>
          <cell r="AE634">
            <v>-365.1</v>
          </cell>
          <cell r="AF634">
            <v>-258.39999999999998</v>
          </cell>
          <cell r="AG634">
            <v>-9511.2999999999993</v>
          </cell>
          <cell r="AH634">
            <v>2224.3000000000002</v>
          </cell>
          <cell r="AI634">
            <v>2942.9</v>
          </cell>
          <cell r="AJ634">
            <v>1084.9000000000001</v>
          </cell>
          <cell r="AK634">
            <v>563.1</v>
          </cell>
          <cell r="AL634">
            <v>202.4</v>
          </cell>
          <cell r="AM634">
            <v>140.5</v>
          </cell>
          <cell r="AN634">
            <v>349.29999999999995</v>
          </cell>
          <cell r="AO634">
            <v>-772.49999999999989</v>
          </cell>
          <cell r="AP634">
            <v>1366.8000000000002</v>
          </cell>
          <cell r="AQ634">
            <v>-411.5</v>
          </cell>
          <cell r="AR634">
            <v>-188.2</v>
          </cell>
          <cell r="AS634">
            <v>-102.69999999999995</v>
          </cell>
          <cell r="AT634">
            <v>2149</v>
          </cell>
          <cell r="AU634">
            <v>-553.69999999999993</v>
          </cell>
          <cell r="AV634">
            <v>111.9</v>
          </cell>
          <cell r="AW634">
            <v>582.6</v>
          </cell>
          <cell r="AX634">
            <v>-772.60000000000014</v>
          </cell>
          <cell r="AY634">
            <v>-1159.2999999999997</v>
          </cell>
          <cell r="AZ634">
            <v>-914.80000000000007</v>
          </cell>
          <cell r="BA634">
            <v>-959.80000000000007</v>
          </cell>
          <cell r="BB634">
            <v>1425.5</v>
          </cell>
          <cell r="BC634">
            <v>-1944.3</v>
          </cell>
          <cell r="BD634">
            <v>-952.50000000000011</v>
          </cell>
          <cell r="BE634">
            <v>5592.4000000000005</v>
          </cell>
          <cell r="BF634">
            <v>3219.9</v>
          </cell>
          <cell r="BG634">
            <v>391</v>
          </cell>
          <cell r="BH634">
            <v>822.5</v>
          </cell>
          <cell r="BI634">
            <v>1285</v>
          </cell>
          <cell r="BJ634">
            <v>245.3</v>
          </cell>
          <cell r="BK634">
            <v>409.3</v>
          </cell>
          <cell r="BL634">
            <v>211.6</v>
          </cell>
          <cell r="BM634">
            <v>-838.2</v>
          </cell>
          <cell r="BN634">
            <v>334.8</v>
          </cell>
          <cell r="BO634">
            <v>-322.39999999999998</v>
          </cell>
          <cell r="BP634">
            <v>-3350.7999999999997</v>
          </cell>
          <cell r="BQ634">
            <v>1288.3</v>
          </cell>
          <cell r="BR634">
            <v>1938.8</v>
          </cell>
          <cell r="BS634">
            <v>-44.3</v>
          </cell>
          <cell r="BT634">
            <v>1124.1000000000001</v>
          </cell>
          <cell r="BU634">
            <v>604.79999999999995</v>
          </cell>
          <cell r="BV634">
            <v>320.2</v>
          </cell>
          <cell r="BW634">
            <v>109.10000000000001</v>
          </cell>
          <cell r="BX634">
            <v>34.499999999999986</v>
          </cell>
          <cell r="BY634">
            <v>44.500000000000014</v>
          </cell>
          <cell r="BZ634">
            <v>36.499999999999986</v>
          </cell>
          <cell r="CA634">
            <v>174.20000000000002</v>
          </cell>
          <cell r="CB634">
            <v>539.4</v>
          </cell>
          <cell r="CC634">
            <v>-44.100000000000009</v>
          </cell>
          <cell r="CD634">
            <v>3124.5</v>
          </cell>
          <cell r="CE634">
            <v>-2007.2000000000003</v>
          </cell>
          <cell r="CF634">
            <v>374.90000000000003</v>
          </cell>
          <cell r="CG634">
            <v>219.8</v>
          </cell>
          <cell r="CH634">
            <v>-311.39999999999998</v>
          </cell>
          <cell r="CI634">
            <v>76.399999999999977</v>
          </cell>
          <cell r="CJ634">
            <v>-419.1</v>
          </cell>
          <cell r="CK634">
            <v>-29.499999999999993</v>
          </cell>
          <cell r="CL634">
            <v>-196.8</v>
          </cell>
          <cell r="CM634">
            <v>-1633.6</v>
          </cell>
          <cell r="CN634">
            <v>208.8</v>
          </cell>
          <cell r="CO634">
            <v>-87</v>
          </cell>
          <cell r="CP634">
            <v>2847.2</v>
          </cell>
          <cell r="CQ634">
            <v>1153.6000000000001</v>
          </cell>
          <cell r="CR634">
            <v>-589.40000000000009</v>
          </cell>
          <cell r="CS634">
            <v>1029.7</v>
          </cell>
          <cell r="CT634">
            <v>-279</v>
          </cell>
          <cell r="CU634">
            <v>1853.1999999999998</v>
          </cell>
          <cell r="CV634">
            <v>-318.60000000000002</v>
          </cell>
          <cell r="CW634">
            <v>644.80000000000007</v>
          </cell>
          <cell r="CX634">
            <v>1395.1</v>
          </cell>
          <cell r="CY634">
            <v>-1619.8</v>
          </cell>
          <cell r="CZ634">
            <v>-1635.2</v>
          </cell>
          <cell r="DA634">
            <v>3880.6</v>
          </cell>
          <cell r="DB634">
            <v>2839.2</v>
          </cell>
          <cell r="DC634">
            <v>3450.7</v>
          </cell>
          <cell r="DD634">
            <v>188.9</v>
          </cell>
          <cell r="DE634">
            <v>1169.3</v>
          </cell>
          <cell r="DF634">
            <v>459.49999999999994</v>
          </cell>
          <cell r="DG634">
            <v>328</v>
          </cell>
          <cell r="DH634">
            <v>-201.60000000000002</v>
          </cell>
          <cell r="DI634">
            <v>-3425.8999999999996</v>
          </cell>
          <cell r="DJ634">
            <v>855.3</v>
          </cell>
          <cell r="DK634">
            <v>-599.09999999999991</v>
          </cell>
          <cell r="DL634">
            <v>16.5</v>
          </cell>
          <cell r="DM634">
            <v>-822.8</v>
          </cell>
          <cell r="DN634">
            <v>878.4</v>
          </cell>
          <cell r="DO634">
            <v>964.3</v>
          </cell>
          <cell r="DP634">
            <v>-624.79999999999995</v>
          </cell>
          <cell r="DQ634">
            <v>350.40000000000003</v>
          </cell>
          <cell r="DR634">
            <v>-437.5</v>
          </cell>
          <cell r="DS634">
            <v>6.8000000000000007</v>
          </cell>
          <cell r="DT634">
            <v>-823.10000000000014</v>
          </cell>
          <cell r="DU634">
            <v>-961.10000000000014</v>
          </cell>
          <cell r="DV634">
            <v>-319.39999999999998</v>
          </cell>
          <cell r="DW634">
            <v>-1399.3000000000002</v>
          </cell>
          <cell r="DX634">
            <v>-299.5</v>
          </cell>
          <cell r="DY634">
            <v>1594.9</v>
          </cell>
          <cell r="EM634">
            <v>3089.0000000000018</v>
          </cell>
          <cell r="EN634">
            <v>7399.3000000000011</v>
          </cell>
          <cell r="EO634">
            <v>2604.4000000000005</v>
          </cell>
          <cell r="EP634">
            <v>3696.3000000000011</v>
          </cell>
          <cell r="EQ634">
            <v>4837.7</v>
          </cell>
          <cell r="ER634">
            <v>-680.19999999999982</v>
          </cell>
          <cell r="ES634">
            <v>8362.2000000000007</v>
          </cell>
        </row>
        <row r="635">
          <cell r="F635" t="str">
            <v>8010300</v>
          </cell>
          <cell r="G635" t="str">
            <v>A_8010300</v>
          </cell>
          <cell r="H635" t="str">
            <v>Deferred Federal Income Tax Exp</v>
          </cell>
          <cell r="J635">
            <v>601.4</v>
          </cell>
          <cell r="K635">
            <v>-340.1</v>
          </cell>
          <cell r="L635">
            <v>-180.3</v>
          </cell>
          <cell r="M635">
            <v>139.5</v>
          </cell>
          <cell r="N635">
            <v>-403.7</v>
          </cell>
          <cell r="O635">
            <v>229.9</v>
          </cell>
          <cell r="P635">
            <v>249</v>
          </cell>
          <cell r="Q635">
            <v>486.4</v>
          </cell>
          <cell r="R635">
            <v>2134.5</v>
          </cell>
          <cell r="S635">
            <v>-518</v>
          </cell>
          <cell r="T635">
            <v>2428</v>
          </cell>
          <cell r="U635">
            <v>7917.2</v>
          </cell>
          <cell r="V635">
            <v>-318</v>
          </cell>
          <cell r="W635">
            <v>1219.9000000000001</v>
          </cell>
          <cell r="X635">
            <v>-277.89999999999998</v>
          </cell>
          <cell r="Y635">
            <v>182.9</v>
          </cell>
          <cell r="Z635">
            <v>231.2</v>
          </cell>
          <cell r="AA635">
            <v>16.2</v>
          </cell>
          <cell r="AB635">
            <v>-106.9</v>
          </cell>
          <cell r="AC635">
            <v>501.9</v>
          </cell>
          <cell r="AD635">
            <v>1294.3</v>
          </cell>
          <cell r="AE635">
            <v>1331.9</v>
          </cell>
          <cell r="AF635">
            <v>1026.4000000000001</v>
          </cell>
          <cell r="AG635">
            <v>10478.200000000001</v>
          </cell>
          <cell r="AH635">
            <v>809.9</v>
          </cell>
          <cell r="AI635">
            <v>247.9</v>
          </cell>
          <cell r="AJ635">
            <v>867.1</v>
          </cell>
          <cell r="AK635">
            <v>1067.5</v>
          </cell>
          <cell r="AL635">
            <v>1192</v>
          </cell>
          <cell r="AM635">
            <v>686.7</v>
          </cell>
          <cell r="AN635">
            <v>1023.2</v>
          </cell>
          <cell r="AO635">
            <v>1063.5</v>
          </cell>
          <cell r="AP635">
            <v>-259.2</v>
          </cell>
          <cell r="AQ635">
            <v>1537.5</v>
          </cell>
          <cell r="AR635">
            <v>1737.1</v>
          </cell>
          <cell r="AS635">
            <v>1035.5</v>
          </cell>
          <cell r="AT635">
            <v>864.4</v>
          </cell>
          <cell r="AU635">
            <v>2403.8000000000002</v>
          </cell>
          <cell r="AV635">
            <v>2323.3000000000002</v>
          </cell>
          <cell r="AW635">
            <v>1539.3</v>
          </cell>
          <cell r="AX635">
            <v>2473.1</v>
          </cell>
          <cell r="AY635">
            <v>2233.3000000000002</v>
          </cell>
          <cell r="AZ635">
            <v>2181.4</v>
          </cell>
          <cell r="BA635">
            <v>2126.5</v>
          </cell>
          <cell r="BB635">
            <v>-93.3</v>
          </cell>
          <cell r="BC635">
            <v>2990.5</v>
          </cell>
          <cell r="BD635">
            <v>2538.5</v>
          </cell>
          <cell r="BE635">
            <v>-2592.6999999999998</v>
          </cell>
          <cell r="BF635">
            <v>-460.9</v>
          </cell>
          <cell r="BG635">
            <v>485.8</v>
          </cell>
          <cell r="BH635">
            <v>-271.39999999999998</v>
          </cell>
          <cell r="BI635">
            <v>60.3</v>
          </cell>
          <cell r="BJ635">
            <v>678.3</v>
          </cell>
          <cell r="BK635">
            <v>321.89999999999998</v>
          </cell>
          <cell r="BL635">
            <v>463.7</v>
          </cell>
          <cell r="BM635">
            <v>1485.4</v>
          </cell>
          <cell r="BN635">
            <v>593.9</v>
          </cell>
          <cell r="BO635">
            <v>850</v>
          </cell>
          <cell r="BP635">
            <v>4118.8</v>
          </cell>
          <cell r="BQ635">
            <v>-823.9</v>
          </cell>
          <cell r="BR635">
            <v>68.7</v>
          </cell>
          <cell r="BS635">
            <v>1484.9</v>
          </cell>
          <cell r="BT635">
            <v>392.8</v>
          </cell>
          <cell r="BU635">
            <v>736.5</v>
          </cell>
          <cell r="BV635">
            <v>812.3</v>
          </cell>
          <cell r="BW635">
            <v>782.8</v>
          </cell>
          <cell r="BX635">
            <v>630.29999999999995</v>
          </cell>
          <cell r="BY635">
            <v>817</v>
          </cell>
          <cell r="BZ635">
            <v>836.3</v>
          </cell>
          <cell r="CA635">
            <v>653.70000000000005</v>
          </cell>
          <cell r="CB635">
            <v>611.9</v>
          </cell>
          <cell r="CC635">
            <v>1079.5999999999999</v>
          </cell>
          <cell r="CD635">
            <v>-631.6</v>
          </cell>
          <cell r="CE635">
            <v>3018.4</v>
          </cell>
          <cell r="CF635">
            <v>704.4</v>
          </cell>
          <cell r="CG635">
            <v>610</v>
          </cell>
          <cell r="CH635">
            <v>981.7</v>
          </cell>
          <cell r="CI635">
            <v>683</v>
          </cell>
          <cell r="CJ635">
            <v>979.3</v>
          </cell>
          <cell r="CK635">
            <v>804.4</v>
          </cell>
          <cell r="CL635">
            <v>914.1</v>
          </cell>
          <cell r="CM635">
            <v>1439.8</v>
          </cell>
          <cell r="CN635">
            <v>1031.8</v>
          </cell>
          <cell r="CO635">
            <v>597.20000000000005</v>
          </cell>
          <cell r="CP635">
            <v>489.1</v>
          </cell>
          <cell r="CQ635">
            <v>903</v>
          </cell>
          <cell r="CR635">
            <v>2281.5</v>
          </cell>
          <cell r="CS635">
            <v>1056.4000000000001</v>
          </cell>
          <cell r="CT635">
            <v>1493.4</v>
          </cell>
          <cell r="CU635">
            <v>-297.3</v>
          </cell>
          <cell r="CV635">
            <v>1259.8</v>
          </cell>
          <cell r="CW635">
            <v>533.5</v>
          </cell>
          <cell r="CX635">
            <v>-138.80000000000001</v>
          </cell>
          <cell r="CY635">
            <v>2485.9</v>
          </cell>
          <cell r="CZ635">
            <v>3206.7</v>
          </cell>
          <cell r="DA635">
            <v>-2512.6999999999998</v>
          </cell>
          <cell r="DB635">
            <v>310.10000000000002</v>
          </cell>
          <cell r="DC635">
            <v>-458.7</v>
          </cell>
          <cell r="DD635">
            <v>2283.1999999999998</v>
          </cell>
          <cell r="DE635">
            <v>756.3</v>
          </cell>
          <cell r="DF635">
            <v>1168.9000000000001</v>
          </cell>
          <cell r="DG635">
            <v>1441.7</v>
          </cell>
          <cell r="DH635">
            <v>1125</v>
          </cell>
          <cell r="DI635">
            <v>3880.4</v>
          </cell>
          <cell r="DJ635">
            <v>1097.4000000000001</v>
          </cell>
          <cell r="DK635">
            <v>1656.2</v>
          </cell>
          <cell r="DL635">
            <v>1441.3</v>
          </cell>
          <cell r="DM635">
            <v>2102.8000000000002</v>
          </cell>
          <cell r="DN635">
            <v>-1579</v>
          </cell>
          <cell r="DO635">
            <v>1389.8</v>
          </cell>
          <cell r="DP635">
            <v>2867.6</v>
          </cell>
          <cell r="DQ635">
            <v>1394.9</v>
          </cell>
          <cell r="DR635">
            <v>1569.9</v>
          </cell>
          <cell r="DS635">
            <v>1794</v>
          </cell>
          <cell r="DT635">
            <v>1636.8</v>
          </cell>
          <cell r="DU635">
            <v>1687.8</v>
          </cell>
          <cell r="DV635">
            <v>1732.3</v>
          </cell>
          <cell r="DW635">
            <v>1740.4</v>
          </cell>
          <cell r="DX635">
            <v>1592.2</v>
          </cell>
          <cell r="DY635">
            <v>1960.3</v>
          </cell>
          <cell r="EM635">
            <v>15580.100000000002</v>
          </cell>
          <cell r="EN635">
            <v>11008.699999999999</v>
          </cell>
          <cell r="EO635">
            <v>18988.100000000002</v>
          </cell>
          <cell r="EP635">
            <v>7501.9</v>
          </cell>
          <cell r="EQ635">
            <v>8906.7999999999993</v>
          </cell>
          <cell r="ER635">
            <v>11132.5</v>
          </cell>
          <cell r="ES635">
            <v>10760.5</v>
          </cell>
        </row>
        <row r="636">
          <cell r="F636" t="str">
            <v>8010305</v>
          </cell>
          <cell r="G636" t="str">
            <v>A_8010305</v>
          </cell>
          <cell r="H636" t="str">
            <v>Deferred Federal Income Tax Exp - Non-Utility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0.3</v>
          </cell>
          <cell r="BM636">
            <v>-0.1</v>
          </cell>
          <cell r="BN636">
            <v>0.3</v>
          </cell>
          <cell r="BO636">
            <v>-0.5</v>
          </cell>
          <cell r="BP636">
            <v>-0.3</v>
          </cell>
          <cell r="BQ636">
            <v>-0.6</v>
          </cell>
          <cell r="BR636">
            <v>0.8</v>
          </cell>
          <cell r="BS636">
            <v>-0.1</v>
          </cell>
          <cell r="BT636">
            <v>0</v>
          </cell>
          <cell r="BU636">
            <v>-1.2</v>
          </cell>
          <cell r="BV636">
            <v>-0.5</v>
          </cell>
          <cell r="BW636">
            <v>1.4</v>
          </cell>
          <cell r="BX636">
            <v>1.2</v>
          </cell>
          <cell r="BY636">
            <v>-0.9</v>
          </cell>
          <cell r="BZ636">
            <v>0</v>
          </cell>
          <cell r="CA636">
            <v>0</v>
          </cell>
          <cell r="CB636">
            <v>0.1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-0.89999999999999991</v>
          </cell>
          <cell r="EQ636">
            <v>0.8</v>
          </cell>
          <cell r="ER636">
            <v>0</v>
          </cell>
          <cell r="ES636">
            <v>0</v>
          </cell>
        </row>
        <row r="637">
          <cell r="F637" t="str">
            <v>8010315</v>
          </cell>
          <cell r="G637" t="str">
            <v>A_S8010315</v>
          </cell>
          <cell r="H637" t="str">
            <v>Deferred Federal Income Tax Exp - Cr Non-Utility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-0.1</v>
          </cell>
          <cell r="AQ637">
            <v>0.1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</row>
        <row r="638">
          <cell r="F638" t="str">
            <v>8010400</v>
          </cell>
          <cell r="G638" t="str">
            <v>A_8010400</v>
          </cell>
          <cell r="H638" t="str">
            <v>Deferred State Income Tax Exp</v>
          </cell>
          <cell r="J638">
            <v>196.4</v>
          </cell>
          <cell r="K638">
            <v>39.799999999999997</v>
          </cell>
          <cell r="L638">
            <v>66.400000000000006</v>
          </cell>
          <cell r="M638">
            <v>119.5</v>
          </cell>
          <cell r="N638">
            <v>29.2</v>
          </cell>
          <cell r="O638">
            <v>134.6</v>
          </cell>
          <cell r="P638">
            <v>137.80000000000001</v>
          </cell>
          <cell r="Q638">
            <v>177.2</v>
          </cell>
          <cell r="R638">
            <v>208.5</v>
          </cell>
          <cell r="S638">
            <v>151.6</v>
          </cell>
          <cell r="T638">
            <v>641.5</v>
          </cell>
          <cell r="U638">
            <v>419.7</v>
          </cell>
          <cell r="V638">
            <v>42.1</v>
          </cell>
          <cell r="W638">
            <v>297.8</v>
          </cell>
          <cell r="X638">
            <v>48.8</v>
          </cell>
          <cell r="Y638">
            <v>125.4</v>
          </cell>
          <cell r="Z638">
            <v>133.4</v>
          </cell>
          <cell r="AA638">
            <v>97.7</v>
          </cell>
          <cell r="AB638">
            <v>77.2</v>
          </cell>
          <cell r="AC638">
            <v>-653.79999999999995</v>
          </cell>
          <cell r="AD638">
            <v>122.9</v>
          </cell>
          <cell r="AE638">
            <v>314.8</v>
          </cell>
          <cell r="AF638">
            <v>264</v>
          </cell>
          <cell r="AG638">
            <v>483.5</v>
          </cell>
          <cell r="AH638">
            <v>113.9</v>
          </cell>
          <cell r="AI638">
            <v>20.399999999999999</v>
          </cell>
          <cell r="AJ638">
            <v>123.4</v>
          </cell>
          <cell r="AK638">
            <v>156.69999999999999</v>
          </cell>
          <cell r="AL638">
            <v>177.4</v>
          </cell>
          <cell r="AM638">
            <v>28.8</v>
          </cell>
          <cell r="AN638">
            <v>149.4</v>
          </cell>
          <cell r="AO638">
            <v>235.3</v>
          </cell>
          <cell r="AP638">
            <v>128.6</v>
          </cell>
          <cell r="AQ638">
            <v>254.7</v>
          </cell>
          <cell r="AR638">
            <v>287.89999999999998</v>
          </cell>
          <cell r="AS638">
            <v>241.3</v>
          </cell>
          <cell r="AT638">
            <v>143.4</v>
          </cell>
          <cell r="AU638">
            <v>399.3</v>
          </cell>
          <cell r="AV638">
            <v>238</v>
          </cell>
          <cell r="AW638">
            <v>206.2</v>
          </cell>
          <cell r="AX638">
            <v>431.9</v>
          </cell>
          <cell r="AY638">
            <v>335.7</v>
          </cell>
          <cell r="AZ638">
            <v>327.10000000000002</v>
          </cell>
          <cell r="BA638">
            <v>318</v>
          </cell>
          <cell r="BB638">
            <v>195.3</v>
          </cell>
          <cell r="BC638">
            <v>461.6</v>
          </cell>
          <cell r="BD638">
            <v>386.5</v>
          </cell>
          <cell r="BE638">
            <v>172.9</v>
          </cell>
          <cell r="BF638">
            <v>36.4</v>
          </cell>
          <cell r="BG638">
            <v>298.5</v>
          </cell>
          <cell r="BH638">
            <v>39.9</v>
          </cell>
          <cell r="BI638">
            <v>164.4</v>
          </cell>
          <cell r="BJ638">
            <v>240.7</v>
          </cell>
          <cell r="BK638">
            <v>217.9</v>
          </cell>
          <cell r="BL638">
            <v>257.2</v>
          </cell>
          <cell r="BM638">
            <v>134.1</v>
          </cell>
          <cell r="BN638">
            <v>242.5</v>
          </cell>
          <cell r="BO638">
            <v>313.5</v>
          </cell>
          <cell r="BP638">
            <v>338.9</v>
          </cell>
          <cell r="BQ638">
            <v>937.3</v>
          </cell>
          <cell r="BR638">
            <v>177.8</v>
          </cell>
          <cell r="BS638">
            <v>531.6</v>
          </cell>
          <cell r="BT638">
            <v>248.3</v>
          </cell>
          <cell r="BU638">
            <v>343.5</v>
          </cell>
          <cell r="BV638">
            <v>364.5</v>
          </cell>
          <cell r="BW638">
            <v>356.4</v>
          </cell>
          <cell r="BX638">
            <v>314.10000000000002</v>
          </cell>
          <cell r="BY638">
            <v>356.9</v>
          </cell>
          <cell r="BZ638">
            <v>-237.2</v>
          </cell>
          <cell r="CA638">
            <v>256.2</v>
          </cell>
          <cell r="CB638">
            <v>246.9</v>
          </cell>
          <cell r="CC638">
            <v>372.7</v>
          </cell>
          <cell r="CD638">
            <v>-46.6</v>
          </cell>
          <cell r="CE638">
            <v>765</v>
          </cell>
          <cell r="CF638">
            <v>278.7</v>
          </cell>
          <cell r="CG638">
            <v>230.2</v>
          </cell>
          <cell r="CH638">
            <v>312.7</v>
          </cell>
          <cell r="CI638">
            <v>228.8</v>
          </cell>
          <cell r="CJ638">
            <v>312.10000000000002</v>
          </cell>
          <cell r="CK638">
            <v>214.7</v>
          </cell>
          <cell r="CL638">
            <v>345.9</v>
          </cell>
          <cell r="CM638">
            <v>503.5</v>
          </cell>
          <cell r="CN638">
            <v>320.10000000000002</v>
          </cell>
          <cell r="CO638">
            <v>482.2</v>
          </cell>
          <cell r="CP638">
            <v>186.4</v>
          </cell>
          <cell r="CQ638">
            <v>286.39999999999998</v>
          </cell>
          <cell r="CR638">
            <v>472.8</v>
          </cell>
          <cell r="CS638">
            <v>299.2</v>
          </cell>
          <cell r="CT638">
            <v>408.1</v>
          </cell>
          <cell r="CU638">
            <v>-98.6</v>
          </cell>
          <cell r="CV638">
            <v>357.8</v>
          </cell>
          <cell r="CW638">
            <v>196.1</v>
          </cell>
          <cell r="CX638">
            <v>-608.29999999999995</v>
          </cell>
          <cell r="CY638">
            <v>540.70000000000005</v>
          </cell>
          <cell r="CZ638">
            <v>594.4</v>
          </cell>
          <cell r="DA638">
            <v>-103.9</v>
          </cell>
          <cell r="DB638">
            <v>137.80000000000001</v>
          </cell>
          <cell r="DC638">
            <v>-74.8</v>
          </cell>
          <cell r="DD638">
            <v>751.2</v>
          </cell>
          <cell r="DE638">
            <v>262.5</v>
          </cell>
          <cell r="DF638">
            <v>377.6</v>
          </cell>
          <cell r="DG638">
            <v>190.5</v>
          </cell>
          <cell r="DH638">
            <v>366.1</v>
          </cell>
          <cell r="DI638">
            <v>1098.8</v>
          </cell>
          <cell r="DJ638">
            <v>353.4</v>
          </cell>
          <cell r="DK638">
            <v>509.6</v>
          </cell>
          <cell r="DL638">
            <v>449.4</v>
          </cell>
          <cell r="DM638">
            <v>308.2</v>
          </cell>
          <cell r="DN638">
            <v>511.5</v>
          </cell>
          <cell r="DO638">
            <v>416.1</v>
          </cell>
          <cell r="DP638">
            <v>902.3</v>
          </cell>
          <cell r="DQ638">
            <v>417.5</v>
          </cell>
          <cell r="DR638">
            <v>466</v>
          </cell>
          <cell r="DS638">
            <v>248.6</v>
          </cell>
          <cell r="DT638">
            <v>484.5</v>
          </cell>
          <cell r="DU638">
            <v>498.7</v>
          </cell>
          <cell r="DV638">
            <v>507.4</v>
          </cell>
          <cell r="DW638">
            <v>513.20000000000005</v>
          </cell>
          <cell r="DX638">
            <v>472.2</v>
          </cell>
          <cell r="DY638">
            <v>310.5</v>
          </cell>
          <cell r="EM638">
            <v>1353.8000000000002</v>
          </cell>
          <cell r="EN638">
            <v>1917.8</v>
          </cell>
          <cell r="EO638">
            <v>3615.9000000000005</v>
          </cell>
          <cell r="EP638">
            <v>3221.2999999999993</v>
          </cell>
          <cell r="EQ638">
            <v>3331.7</v>
          </cell>
          <cell r="ER638">
            <v>3947.2999999999997</v>
          </cell>
          <cell r="ES638">
            <v>2531.1000000000004</v>
          </cell>
        </row>
        <row r="639">
          <cell r="F639" t="str">
            <v>8010600</v>
          </cell>
          <cell r="G639" t="str">
            <v>A_8010600</v>
          </cell>
          <cell r="H639" t="str">
            <v>Investment Tax Credit Amort - Utility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3313.3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</row>
        <row r="640">
          <cell r="F640" t="str">
            <v>8010405</v>
          </cell>
          <cell r="G640" t="str">
            <v>A_8010405</v>
          </cell>
          <cell r="H640" t="str">
            <v>Deferred State Income Tax Exp - Non-Utility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</row>
        <row r="641">
          <cell r="F641" t="str">
            <v>801</v>
          </cell>
          <cell r="G641">
            <v>801</v>
          </cell>
          <cell r="H641" t="str">
            <v>legacy 410</v>
          </cell>
          <cell r="J641">
            <v>797.8</v>
          </cell>
          <cell r="K641">
            <v>-300.3</v>
          </cell>
          <cell r="L641">
            <v>-113.9</v>
          </cell>
          <cell r="M641">
            <v>259</v>
          </cell>
          <cell r="N641">
            <v>-374.5</v>
          </cell>
          <cell r="O641">
            <v>364.5</v>
          </cell>
          <cell r="P641">
            <v>386.8</v>
          </cell>
          <cell r="Q641">
            <v>663.59999999999991</v>
          </cell>
          <cell r="R641">
            <v>2343</v>
          </cell>
          <cell r="S641">
            <v>-366.4</v>
          </cell>
          <cell r="T641">
            <v>3069.5</v>
          </cell>
          <cell r="U641">
            <v>8336.9</v>
          </cell>
          <cell r="V641">
            <v>-275.89999999999998</v>
          </cell>
          <cell r="W641">
            <v>1517.7</v>
          </cell>
          <cell r="X641">
            <v>-229.09999999999997</v>
          </cell>
          <cell r="Y641">
            <v>308.3</v>
          </cell>
          <cell r="Z641">
            <v>364.6</v>
          </cell>
          <cell r="AA641">
            <v>113.9</v>
          </cell>
          <cell r="AB641">
            <v>-29.700000000000003</v>
          </cell>
          <cell r="AC641">
            <v>-151.89999999999998</v>
          </cell>
          <cell r="AD641">
            <v>1417.2</v>
          </cell>
          <cell r="AE641">
            <v>1646.7</v>
          </cell>
          <cell r="AF641">
            <v>1290.4000000000001</v>
          </cell>
          <cell r="AG641">
            <v>10961.7</v>
          </cell>
          <cell r="AH641">
            <v>923.8</v>
          </cell>
          <cell r="AI641">
            <v>268.3</v>
          </cell>
          <cell r="AJ641">
            <v>990.5</v>
          </cell>
          <cell r="AK641">
            <v>1224.2</v>
          </cell>
          <cell r="AL641">
            <v>1369.4</v>
          </cell>
          <cell r="AM641">
            <v>715.5</v>
          </cell>
          <cell r="AN641">
            <v>1172.6000000000001</v>
          </cell>
          <cell r="AO641">
            <v>1298.8</v>
          </cell>
          <cell r="AP641">
            <v>-130.6</v>
          </cell>
          <cell r="AQ641">
            <v>1792.2</v>
          </cell>
          <cell r="AR641">
            <v>2025</v>
          </cell>
          <cell r="AS641">
            <v>1276.8</v>
          </cell>
          <cell r="AT641">
            <v>1007.8</v>
          </cell>
          <cell r="AU641">
            <v>2803.1000000000004</v>
          </cell>
          <cell r="AV641">
            <v>2561.3000000000002</v>
          </cell>
          <cell r="AW641">
            <v>1745.5</v>
          </cell>
          <cell r="AX641">
            <v>2905</v>
          </cell>
          <cell r="AY641">
            <v>2569</v>
          </cell>
          <cell r="AZ641">
            <v>2508.5</v>
          </cell>
          <cell r="BA641">
            <v>2444.5</v>
          </cell>
          <cell r="BB641">
            <v>102.00000000000001</v>
          </cell>
          <cell r="BC641">
            <v>3452.1</v>
          </cell>
          <cell r="BD641">
            <v>2925</v>
          </cell>
          <cell r="BE641">
            <v>-2419.7999999999997</v>
          </cell>
          <cell r="BF641">
            <v>-424.5</v>
          </cell>
          <cell r="BG641">
            <v>784.3</v>
          </cell>
          <cell r="BH641">
            <v>-231.49999999999997</v>
          </cell>
          <cell r="BI641">
            <v>224.7</v>
          </cell>
          <cell r="BJ641">
            <v>919</v>
          </cell>
          <cell r="BK641">
            <v>539.79999999999995</v>
          </cell>
          <cell r="BL641">
            <v>721.2</v>
          </cell>
          <cell r="BM641">
            <v>1619.4</v>
          </cell>
          <cell r="BN641">
            <v>836.69999999999993</v>
          </cell>
          <cell r="BO641">
            <v>1163</v>
          </cell>
          <cell r="BP641">
            <v>4457.3999999999996</v>
          </cell>
          <cell r="BQ641">
            <v>112.79999999999995</v>
          </cell>
          <cell r="BR641">
            <v>247.3</v>
          </cell>
          <cell r="BS641">
            <v>2016.4</v>
          </cell>
          <cell r="BT641">
            <v>641.1</v>
          </cell>
          <cell r="BU641">
            <v>1078.8</v>
          </cell>
          <cell r="BV641">
            <v>1176.3</v>
          </cell>
          <cell r="BW641">
            <v>1140.5999999999999</v>
          </cell>
          <cell r="BX641">
            <v>945.6</v>
          </cell>
          <cell r="BY641">
            <v>1173</v>
          </cell>
          <cell r="BZ641">
            <v>599.09999999999991</v>
          </cell>
          <cell r="CA641">
            <v>909.90000000000009</v>
          </cell>
          <cell r="CB641">
            <v>858.9</v>
          </cell>
          <cell r="CC641">
            <v>1452.3</v>
          </cell>
          <cell r="CD641">
            <v>-678.2</v>
          </cell>
          <cell r="CE641">
            <v>3783.4</v>
          </cell>
          <cell r="CF641">
            <v>983.09999999999991</v>
          </cell>
          <cell r="CG641">
            <v>840.2</v>
          </cell>
          <cell r="CH641">
            <v>1294.4000000000001</v>
          </cell>
          <cell r="CI641">
            <v>911.8</v>
          </cell>
          <cell r="CJ641">
            <v>1291.4000000000001</v>
          </cell>
          <cell r="CK641">
            <v>1019.0999999999999</v>
          </cell>
          <cell r="CL641">
            <v>1260</v>
          </cell>
          <cell r="CM641">
            <v>1943.3</v>
          </cell>
          <cell r="CN641">
            <v>1351.9</v>
          </cell>
          <cell r="CO641">
            <v>1079.4000000000001</v>
          </cell>
          <cell r="CP641">
            <v>675.5</v>
          </cell>
          <cell r="CQ641">
            <v>1189.4000000000001</v>
          </cell>
          <cell r="CR641">
            <v>2754.3</v>
          </cell>
          <cell r="CS641">
            <v>1355.6000000000001</v>
          </cell>
          <cell r="CT641">
            <v>1901.5</v>
          </cell>
          <cell r="CU641">
            <v>-395.9</v>
          </cell>
          <cell r="CV641">
            <v>1617.6</v>
          </cell>
          <cell r="CW641">
            <v>729.6</v>
          </cell>
          <cell r="CX641">
            <v>-747.09999999999991</v>
          </cell>
          <cell r="CY641">
            <v>3026.6000000000004</v>
          </cell>
          <cell r="CZ641">
            <v>3801.1</v>
          </cell>
          <cell r="DA641">
            <v>-2616.6</v>
          </cell>
          <cell r="DB641">
            <v>447.90000000000003</v>
          </cell>
          <cell r="DC641">
            <v>-533.5</v>
          </cell>
          <cell r="DD641">
            <v>3034.3999999999996</v>
          </cell>
          <cell r="DE641">
            <v>1018.8</v>
          </cell>
          <cell r="DF641">
            <v>1546.5</v>
          </cell>
          <cell r="DG641">
            <v>1632.2</v>
          </cell>
          <cell r="DH641">
            <v>1491.1</v>
          </cell>
          <cell r="DI641">
            <v>4979.2</v>
          </cell>
          <cell r="DJ641">
            <v>1450.8000000000002</v>
          </cell>
          <cell r="DK641">
            <v>2165.8000000000002</v>
          </cell>
          <cell r="DL641">
            <v>1890.6999999999998</v>
          </cell>
          <cell r="DM641">
            <v>2411</v>
          </cell>
          <cell r="DN641">
            <v>2245.8000000000002</v>
          </cell>
          <cell r="DO641">
            <v>1805.9</v>
          </cell>
          <cell r="DP641">
            <v>3769.8999999999996</v>
          </cell>
          <cell r="DQ641">
            <v>1812.4</v>
          </cell>
          <cell r="DR641">
            <v>2035.9</v>
          </cell>
          <cell r="DS641">
            <v>2042.6</v>
          </cell>
          <cell r="DT641">
            <v>2121.3000000000002</v>
          </cell>
          <cell r="DU641">
            <v>2186.5</v>
          </cell>
          <cell r="DV641">
            <v>2239.6999999999998</v>
          </cell>
          <cell r="DW641">
            <v>2253.6000000000004</v>
          </cell>
          <cell r="DX641">
            <v>2064.4</v>
          </cell>
          <cell r="DY641">
            <v>2270.8000000000002</v>
          </cell>
          <cell r="EM641">
            <v>16933.900000000001</v>
          </cell>
          <cell r="EN641">
            <v>12926.5</v>
          </cell>
          <cell r="EO641">
            <v>22604</v>
          </cell>
          <cell r="EP641">
            <v>10722.3</v>
          </cell>
          <cell r="EQ641">
            <v>12239.3</v>
          </cell>
          <cell r="ER641">
            <v>15079.8</v>
          </cell>
          <cell r="ES641">
            <v>13291.600000000002</v>
          </cell>
        </row>
        <row r="642">
          <cell r="F642" t="str">
            <v>8900100</v>
          </cell>
          <cell r="G642" t="str">
            <v>A_8900100</v>
          </cell>
          <cell r="H642" t="str">
            <v>FICO Reconciliation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0.4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</row>
        <row r="643">
          <cell r="F643" t="str">
            <v>8900140</v>
          </cell>
          <cell r="G643" t="str">
            <v>A_8900140</v>
          </cell>
          <cell r="H643" t="str">
            <v>FICO Reconciliation - O&amp;M Expense</v>
          </cell>
          <cell r="J643">
            <v>393.5</v>
          </cell>
          <cell r="K643">
            <v>364.1</v>
          </cell>
          <cell r="L643">
            <v>430.2</v>
          </cell>
          <cell r="M643">
            <v>432.2</v>
          </cell>
          <cell r="N643">
            <v>384.4</v>
          </cell>
          <cell r="O643">
            <v>383.2</v>
          </cell>
          <cell r="P643">
            <v>257.89999999999998</v>
          </cell>
          <cell r="Q643">
            <v>354.9</v>
          </cell>
          <cell r="R643">
            <v>302.60000000000002</v>
          </cell>
          <cell r="S643">
            <v>19.600000000000001</v>
          </cell>
          <cell r="T643">
            <v>218.3</v>
          </cell>
          <cell r="U643">
            <v>292.7</v>
          </cell>
          <cell r="V643">
            <v>290.8</v>
          </cell>
          <cell r="W643">
            <v>258.8</v>
          </cell>
          <cell r="X643">
            <v>362.3</v>
          </cell>
          <cell r="Y643">
            <v>179.8</v>
          </cell>
          <cell r="Z643">
            <v>-90.2</v>
          </cell>
          <cell r="AA643">
            <v>261.5</v>
          </cell>
          <cell r="AB643">
            <v>197.1</v>
          </cell>
          <cell r="AC643">
            <v>198.1</v>
          </cell>
          <cell r="AD643">
            <v>194.9</v>
          </cell>
          <cell r="AE643">
            <v>191.9</v>
          </cell>
          <cell r="AF643">
            <v>180.6</v>
          </cell>
          <cell r="AG643">
            <v>224.3</v>
          </cell>
          <cell r="AH643">
            <v>110.5</v>
          </cell>
          <cell r="AI643">
            <v>75.400000000000006</v>
          </cell>
          <cell r="AJ643">
            <v>-45.5</v>
          </cell>
          <cell r="AK643">
            <v>42.2</v>
          </cell>
          <cell r="AL643">
            <v>30.3</v>
          </cell>
          <cell r="AM643">
            <v>3.9</v>
          </cell>
          <cell r="AN643">
            <v>34.9</v>
          </cell>
          <cell r="AO643">
            <v>-19.2</v>
          </cell>
          <cell r="AP643">
            <v>47.1</v>
          </cell>
          <cell r="AQ643">
            <v>57.8</v>
          </cell>
          <cell r="AR643">
            <v>17.2</v>
          </cell>
          <cell r="AS643">
            <v>107.6</v>
          </cell>
          <cell r="AT643">
            <v>228.6</v>
          </cell>
          <cell r="AU643">
            <v>475</v>
          </cell>
          <cell r="AV643">
            <v>514.6</v>
          </cell>
          <cell r="AW643">
            <v>656.5</v>
          </cell>
          <cell r="AX643">
            <v>753.3</v>
          </cell>
          <cell r="AY643">
            <v>922.9</v>
          </cell>
          <cell r="AZ643">
            <v>709.7</v>
          </cell>
          <cell r="BA643">
            <v>792.9</v>
          </cell>
          <cell r="BB643">
            <v>601.6</v>
          </cell>
          <cell r="BC643">
            <v>711.2</v>
          </cell>
          <cell r="BD643">
            <v>698.5</v>
          </cell>
          <cell r="BE643">
            <v>829.1</v>
          </cell>
          <cell r="BF643">
            <v>819.3</v>
          </cell>
          <cell r="BG643">
            <v>668.5</v>
          </cell>
          <cell r="BH643">
            <v>758.3</v>
          </cell>
          <cell r="BI643">
            <v>705.5</v>
          </cell>
          <cell r="BJ643">
            <v>880.3</v>
          </cell>
          <cell r="BK643">
            <v>908.8</v>
          </cell>
          <cell r="BL643">
            <v>699.6</v>
          </cell>
          <cell r="BM643">
            <v>640.20000000000005</v>
          </cell>
          <cell r="BN643">
            <v>761.5</v>
          </cell>
          <cell r="BO643">
            <v>850.9</v>
          </cell>
          <cell r="BP643">
            <v>942</v>
          </cell>
          <cell r="BQ643">
            <v>807.3</v>
          </cell>
          <cell r="BR643">
            <v>862.5</v>
          </cell>
          <cell r="BS643">
            <v>850.5</v>
          </cell>
          <cell r="BT643">
            <v>805</v>
          </cell>
          <cell r="BU643">
            <v>773</v>
          </cell>
          <cell r="BV643">
            <v>1025.2</v>
          </cell>
          <cell r="BW643">
            <v>762.3</v>
          </cell>
          <cell r="BX643">
            <v>731</v>
          </cell>
          <cell r="BY643">
            <v>1002.3</v>
          </cell>
          <cell r="BZ643">
            <v>732</v>
          </cell>
          <cell r="CA643">
            <v>793.2</v>
          </cell>
          <cell r="CB643">
            <v>763.6</v>
          </cell>
          <cell r="CC643">
            <v>624</v>
          </cell>
          <cell r="CD643">
            <v>962.4</v>
          </cell>
          <cell r="CE643">
            <v>956.7</v>
          </cell>
          <cell r="CF643">
            <v>1122.5999999999999</v>
          </cell>
          <cell r="CG643">
            <v>1076.9000000000001</v>
          </cell>
          <cell r="CH643">
            <v>1127.9000000000001</v>
          </cell>
          <cell r="CI643">
            <v>996.3</v>
          </cell>
          <cell r="CJ643">
            <v>1185.3</v>
          </cell>
          <cell r="CK643">
            <v>963.3</v>
          </cell>
          <cell r="CL643">
            <v>1019.3</v>
          </cell>
          <cell r="CM643">
            <v>1030.5</v>
          </cell>
          <cell r="CN643">
            <v>912.3</v>
          </cell>
          <cell r="CO643">
            <v>1044.7</v>
          </cell>
          <cell r="CP643">
            <v>911.6</v>
          </cell>
          <cell r="CQ643">
            <v>853.1</v>
          </cell>
          <cell r="CR643">
            <v>920.7</v>
          </cell>
          <cell r="CS643">
            <v>923.3</v>
          </cell>
          <cell r="CT643">
            <v>891.6</v>
          </cell>
          <cell r="CU643">
            <v>1161.9000000000001</v>
          </cell>
          <cell r="CV643">
            <v>1084.5</v>
          </cell>
          <cell r="CW643">
            <v>1011.8</v>
          </cell>
          <cell r="CX643">
            <v>948.5</v>
          </cell>
          <cell r="CY643">
            <v>904.5</v>
          </cell>
          <cell r="CZ643">
            <v>1109.8</v>
          </cell>
          <cell r="DA643">
            <v>1123.8</v>
          </cell>
          <cell r="DB643">
            <v>1032</v>
          </cell>
          <cell r="DC643">
            <v>1011.3</v>
          </cell>
          <cell r="DD643">
            <v>1191.5</v>
          </cell>
          <cell r="DE643">
            <v>1884.6</v>
          </cell>
          <cell r="DF643">
            <v>1387.9</v>
          </cell>
          <cell r="DG643">
            <v>1861.9</v>
          </cell>
          <cell r="DH643">
            <v>1368.7</v>
          </cell>
          <cell r="DI643">
            <v>1671.5</v>
          </cell>
          <cell r="DJ643">
            <v>2000.1</v>
          </cell>
          <cell r="DK643">
            <v>1478.2</v>
          </cell>
          <cell r="DL643">
            <v>1731.8</v>
          </cell>
          <cell r="DM643">
            <v>7433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EM643">
            <v>2449.9</v>
          </cell>
          <cell r="EN643">
            <v>462.20000000000005</v>
          </cell>
          <cell r="EO643">
            <v>7893.9000000000005</v>
          </cell>
          <cell r="EP643">
            <v>9442.1999999999989</v>
          </cell>
          <cell r="EQ643">
            <v>9724.6</v>
          </cell>
          <cell r="ER643">
            <v>12398.199999999999</v>
          </cell>
          <cell r="ES643">
            <v>11845.099999999999</v>
          </cell>
        </row>
        <row r="644">
          <cell r="F644" t="str">
            <v>8900141</v>
          </cell>
          <cell r="G644" t="str">
            <v>A_8900141</v>
          </cell>
          <cell r="H644" t="str">
            <v>TSI FICO Reconciliation - O&amp;M Expense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1085.8</v>
          </cell>
          <cell r="AI644">
            <v>79.099999999999994</v>
          </cell>
          <cell r="AJ644">
            <v>85.2</v>
          </cell>
          <cell r="AK644">
            <v>102</v>
          </cell>
          <cell r="AL644">
            <v>79.8</v>
          </cell>
          <cell r="AM644">
            <v>83.4</v>
          </cell>
          <cell r="AN644">
            <v>82.4</v>
          </cell>
          <cell r="AO644">
            <v>95.2</v>
          </cell>
          <cell r="AP644">
            <v>94.7</v>
          </cell>
          <cell r="AQ644">
            <v>100.9</v>
          </cell>
          <cell r="AR644">
            <v>119.6</v>
          </cell>
          <cell r="AS644">
            <v>109.7</v>
          </cell>
          <cell r="AT644">
            <v>130.9</v>
          </cell>
          <cell r="AU644">
            <v>117.2</v>
          </cell>
          <cell r="AV644">
            <v>139.1</v>
          </cell>
          <cell r="AW644">
            <v>151.19999999999999</v>
          </cell>
          <cell r="AX644">
            <v>181.2</v>
          </cell>
          <cell r="AY644">
            <v>176.4</v>
          </cell>
          <cell r="AZ644">
            <v>172.9</v>
          </cell>
          <cell r="BA644">
            <v>184.1</v>
          </cell>
          <cell r="BB644">
            <v>144.80000000000001</v>
          </cell>
          <cell r="BC644">
            <v>-27.2</v>
          </cell>
          <cell r="BD644">
            <v>139.6</v>
          </cell>
          <cell r="BE644">
            <v>135.69999999999999</v>
          </cell>
          <cell r="BF644">
            <v>144.1</v>
          </cell>
          <cell r="BG644">
            <v>133.1</v>
          </cell>
          <cell r="BH644">
            <v>118</v>
          </cell>
          <cell r="BI644">
            <v>123.6</v>
          </cell>
          <cell r="BJ644">
            <v>138.9</v>
          </cell>
          <cell r="BK644">
            <v>132.4</v>
          </cell>
          <cell r="BL644">
            <v>124.5</v>
          </cell>
          <cell r="BM644">
            <v>123</v>
          </cell>
          <cell r="BN644">
            <v>101.6</v>
          </cell>
          <cell r="BO644">
            <v>131.30000000000001</v>
          </cell>
          <cell r="BP644">
            <v>112.3</v>
          </cell>
          <cell r="BQ644">
            <v>109.5</v>
          </cell>
          <cell r="BR644">
            <v>142</v>
          </cell>
          <cell r="BS644">
            <v>147.1</v>
          </cell>
          <cell r="BT644">
            <v>157.6</v>
          </cell>
          <cell r="BU644">
            <v>117.5</v>
          </cell>
          <cell r="BV644">
            <v>141.30000000000001</v>
          </cell>
          <cell r="BW644">
            <v>125.5</v>
          </cell>
          <cell r="BX644">
            <v>179</v>
          </cell>
          <cell r="BY644">
            <v>148.9</v>
          </cell>
          <cell r="BZ644">
            <v>132.1</v>
          </cell>
          <cell r="CA644">
            <v>180</v>
          </cell>
          <cell r="CB644">
            <v>158.9</v>
          </cell>
          <cell r="CC644">
            <v>161.6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47.5</v>
          </cell>
          <cell r="CR644">
            <v>3.3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EM644">
            <v>0</v>
          </cell>
          <cell r="EN644">
            <v>2117.8000000000002</v>
          </cell>
          <cell r="EO644">
            <v>1645.8999999999999</v>
          </cell>
          <cell r="EP644">
            <v>1492.2999999999997</v>
          </cell>
          <cell r="EQ644">
            <v>1791.5</v>
          </cell>
          <cell r="ER644">
            <v>0</v>
          </cell>
          <cell r="ES644">
            <v>50.8</v>
          </cell>
        </row>
        <row r="645">
          <cell r="F645" t="str">
            <v>8900170</v>
          </cell>
          <cell r="G645" t="str">
            <v>A_8900170</v>
          </cell>
          <cell r="H645" t="str">
            <v>FICO Reconciliation - Taxes other than Income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-0.1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-0.2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-0.5</v>
          </cell>
          <cell r="CF645">
            <v>0.5</v>
          </cell>
          <cell r="CG645">
            <v>0</v>
          </cell>
          <cell r="CH645">
            <v>0</v>
          </cell>
          <cell r="CI645">
            <v>0</v>
          </cell>
          <cell r="CJ645">
            <v>0.2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2</v>
          </cell>
          <cell r="CP645">
            <v>0</v>
          </cell>
          <cell r="CQ645">
            <v>0</v>
          </cell>
          <cell r="CR645">
            <v>0</v>
          </cell>
          <cell r="CS645">
            <v>1</v>
          </cell>
          <cell r="CT645">
            <v>0.3</v>
          </cell>
          <cell r="CU645">
            <v>0.3</v>
          </cell>
          <cell r="CV645">
            <v>0.1</v>
          </cell>
          <cell r="CW645">
            <v>-0.8</v>
          </cell>
          <cell r="CX645">
            <v>0</v>
          </cell>
          <cell r="CY645">
            <v>0</v>
          </cell>
          <cell r="CZ645">
            <v>0</v>
          </cell>
          <cell r="DA645">
            <v>0.6</v>
          </cell>
          <cell r="DB645">
            <v>48.1</v>
          </cell>
          <cell r="DC645">
            <v>45</v>
          </cell>
          <cell r="DD645">
            <v>50.1</v>
          </cell>
          <cell r="DE645">
            <v>51.8</v>
          </cell>
          <cell r="DF645">
            <v>54.2</v>
          </cell>
          <cell r="DG645">
            <v>57.1</v>
          </cell>
          <cell r="DH645">
            <v>61.7</v>
          </cell>
          <cell r="DI645">
            <v>63.7</v>
          </cell>
          <cell r="DJ645">
            <v>58.1</v>
          </cell>
          <cell r="DK645">
            <v>62.4</v>
          </cell>
          <cell r="DL645">
            <v>59.4</v>
          </cell>
          <cell r="DM645">
            <v>54.8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-0.30000000000000004</v>
          </cell>
          <cell r="EQ645">
            <v>0</v>
          </cell>
          <cell r="ER645">
            <v>2.2000000000000002</v>
          </cell>
          <cell r="ES645">
            <v>1.5</v>
          </cell>
        </row>
        <row r="646">
          <cell r="F646" t="str">
            <v>8900180</v>
          </cell>
          <cell r="G646" t="str">
            <v>A_8900180</v>
          </cell>
          <cell r="H646" t="str">
            <v xml:space="preserve">FICO Reconciliation - Other Income/Expense 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-0.1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-0.1</v>
          </cell>
          <cell r="T646">
            <v>-0.1</v>
          </cell>
          <cell r="U646">
            <v>-0.1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-0.1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2.4</v>
          </cell>
          <cell r="CD646">
            <v>-2.4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16</v>
          </cell>
          <cell r="CN646">
            <v>0</v>
          </cell>
          <cell r="CO646">
            <v>18.5</v>
          </cell>
          <cell r="CP646">
            <v>3.8</v>
          </cell>
          <cell r="CQ646">
            <v>0</v>
          </cell>
          <cell r="CR646">
            <v>0</v>
          </cell>
          <cell r="CS646">
            <v>14.7</v>
          </cell>
          <cell r="CT646">
            <v>0</v>
          </cell>
          <cell r="CU646">
            <v>0</v>
          </cell>
          <cell r="CV646">
            <v>15.9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15.6</v>
          </cell>
          <cell r="DB646">
            <v>0</v>
          </cell>
          <cell r="DC646">
            <v>22.4</v>
          </cell>
          <cell r="DD646">
            <v>10.5</v>
          </cell>
          <cell r="DE646">
            <v>0</v>
          </cell>
          <cell r="DF646">
            <v>21.5</v>
          </cell>
          <cell r="DG646">
            <v>0</v>
          </cell>
          <cell r="DH646">
            <v>0</v>
          </cell>
          <cell r="DI646">
            <v>20.399999999999999</v>
          </cell>
          <cell r="DJ646">
            <v>0</v>
          </cell>
          <cell r="DK646">
            <v>0</v>
          </cell>
          <cell r="DL646">
            <v>0</v>
          </cell>
          <cell r="DM646">
            <v>14.4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EM646">
            <v>0</v>
          </cell>
          <cell r="EN646">
            <v>0</v>
          </cell>
          <cell r="EO646">
            <v>-0.1</v>
          </cell>
          <cell r="EP646">
            <v>0</v>
          </cell>
          <cell r="EQ646">
            <v>2.4</v>
          </cell>
          <cell r="ER646">
            <v>32.1</v>
          </cell>
          <cell r="ES646">
            <v>50</v>
          </cell>
        </row>
        <row r="647">
          <cell r="F647" t="str">
            <v>8903001</v>
          </cell>
          <cell r="G647" t="str">
            <v>A_8903001</v>
          </cell>
          <cell r="H647" t="str">
            <v>FICO Reconciliation - Parent A&amp;G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351.1</v>
          </cell>
          <cell r="W647">
            <v>435.9</v>
          </cell>
          <cell r="X647">
            <v>311.7</v>
          </cell>
          <cell r="Y647">
            <v>372.9</v>
          </cell>
          <cell r="Z647">
            <v>365.3</v>
          </cell>
          <cell r="AA647">
            <v>340.2</v>
          </cell>
          <cell r="AB647">
            <v>360.4</v>
          </cell>
          <cell r="AC647">
            <v>327.7</v>
          </cell>
          <cell r="AD647">
            <v>505.1</v>
          </cell>
          <cell r="AE647">
            <v>293.39999999999998</v>
          </cell>
          <cell r="AF647">
            <v>469</v>
          </cell>
          <cell r="AG647">
            <v>456.2</v>
          </cell>
          <cell r="AH647">
            <v>0</v>
          </cell>
          <cell r="AI647">
            <v>338.8</v>
          </cell>
          <cell r="AJ647">
            <v>433.2</v>
          </cell>
          <cell r="AK647">
            <v>406.3</v>
          </cell>
          <cell r="AL647">
            <v>399.3</v>
          </cell>
          <cell r="AM647">
            <v>425.2</v>
          </cell>
          <cell r="AN647">
            <v>312.7</v>
          </cell>
          <cell r="AO647">
            <v>332.5</v>
          </cell>
          <cell r="AP647">
            <v>258.10000000000002</v>
          </cell>
          <cell r="AQ647">
            <v>284.2</v>
          </cell>
          <cell r="AR647">
            <v>541.6</v>
          </cell>
          <cell r="AS647">
            <v>364.7</v>
          </cell>
          <cell r="AT647">
            <v>318.60000000000002</v>
          </cell>
          <cell r="AU647">
            <v>256.3</v>
          </cell>
          <cell r="AV647">
            <v>335.2</v>
          </cell>
          <cell r="AW647">
            <v>294.10000000000002</v>
          </cell>
          <cell r="AX647">
            <v>317.3</v>
          </cell>
          <cell r="AY647">
            <v>322.3</v>
          </cell>
          <cell r="AZ647">
            <v>296.89999999999998</v>
          </cell>
          <cell r="BA647">
            <v>299.89999999999998</v>
          </cell>
          <cell r="BB647">
            <v>291.89999999999998</v>
          </cell>
          <cell r="BC647">
            <v>346.6</v>
          </cell>
          <cell r="BD647">
            <v>372.3</v>
          </cell>
          <cell r="BE647">
            <v>335.4</v>
          </cell>
          <cell r="BF647">
            <v>285.3</v>
          </cell>
          <cell r="BG647">
            <v>288.5</v>
          </cell>
          <cell r="BH647">
            <v>311.10000000000002</v>
          </cell>
          <cell r="BI647">
            <v>227.4</v>
          </cell>
          <cell r="BJ647">
            <v>253.8</v>
          </cell>
          <cell r="BK647">
            <v>435.3</v>
          </cell>
          <cell r="BL647">
            <v>312.89999999999998</v>
          </cell>
          <cell r="BM647">
            <v>301.2</v>
          </cell>
          <cell r="BN647">
            <v>448.8</v>
          </cell>
          <cell r="BO647">
            <v>289</v>
          </cell>
          <cell r="BP647">
            <v>284.7</v>
          </cell>
          <cell r="BQ647">
            <v>302.89999999999998</v>
          </cell>
          <cell r="BR647">
            <v>250.2</v>
          </cell>
          <cell r="BS647">
            <v>232.1</v>
          </cell>
          <cell r="BT647">
            <v>438.5</v>
          </cell>
          <cell r="BU647">
            <v>257.60000000000002</v>
          </cell>
          <cell r="BV647">
            <v>253.9</v>
          </cell>
          <cell r="BW647">
            <v>442.3</v>
          </cell>
          <cell r="BX647">
            <v>226.9</v>
          </cell>
          <cell r="BY647">
            <v>295.10000000000002</v>
          </cell>
          <cell r="BZ647">
            <v>490.3</v>
          </cell>
          <cell r="CA647">
            <v>229.5</v>
          </cell>
          <cell r="CB647">
            <v>192.4</v>
          </cell>
          <cell r="CC647">
            <v>161.30000000000001</v>
          </cell>
          <cell r="CD647">
            <v>254.5</v>
          </cell>
          <cell r="CE647">
            <v>213.1</v>
          </cell>
          <cell r="CF647">
            <v>387</v>
          </cell>
          <cell r="CG647">
            <v>237.7</v>
          </cell>
          <cell r="CH647">
            <v>245.9</v>
          </cell>
          <cell r="CI647">
            <v>195.4</v>
          </cell>
          <cell r="CJ647">
            <v>230.6</v>
          </cell>
          <cell r="CK647">
            <v>239.4</v>
          </cell>
          <cell r="CL647">
            <v>340.3</v>
          </cell>
          <cell r="CM647">
            <v>240.8</v>
          </cell>
          <cell r="CN647">
            <v>225.4</v>
          </cell>
          <cell r="CO647">
            <v>700.1</v>
          </cell>
          <cell r="CP647">
            <v>249</v>
          </cell>
          <cell r="CQ647">
            <v>281.39999999999998</v>
          </cell>
          <cell r="CR647">
            <v>430.9</v>
          </cell>
          <cell r="CS647">
            <v>-9.3000000000000007</v>
          </cell>
          <cell r="CT647">
            <v>266.5</v>
          </cell>
          <cell r="CU647">
            <v>348.3</v>
          </cell>
          <cell r="CV647">
            <v>219.3</v>
          </cell>
          <cell r="CW647">
            <v>255</v>
          </cell>
          <cell r="CX647">
            <v>280</v>
          </cell>
          <cell r="CY647">
            <v>314.2</v>
          </cell>
          <cell r="CZ647">
            <v>221</v>
          </cell>
          <cell r="DA647">
            <v>362.4</v>
          </cell>
          <cell r="DB647">
            <v>293.10000000000002</v>
          </cell>
          <cell r="DC647">
            <v>288.39999999999998</v>
          </cell>
          <cell r="DD647">
            <v>385.5</v>
          </cell>
          <cell r="DE647">
            <v>199.3</v>
          </cell>
          <cell r="DF647">
            <v>290.89999999999998</v>
          </cell>
          <cell r="DG647">
            <v>377.9</v>
          </cell>
          <cell r="DH647">
            <v>278.5</v>
          </cell>
          <cell r="DI647">
            <v>497.8</v>
          </cell>
          <cell r="DJ647">
            <v>348.4</v>
          </cell>
          <cell r="DK647">
            <v>379.5</v>
          </cell>
          <cell r="DL647">
            <v>295.3</v>
          </cell>
          <cell r="DM647">
            <v>424.7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EM647">
            <v>4588.8999999999996</v>
          </cell>
          <cell r="EN647">
            <v>4096.5999999999995</v>
          </cell>
          <cell r="EO647">
            <v>3786.8000000000006</v>
          </cell>
          <cell r="EP647">
            <v>3740.8999999999996</v>
          </cell>
          <cell r="EQ647">
            <v>3470.1000000000004</v>
          </cell>
          <cell r="ER647">
            <v>3510.2000000000003</v>
          </cell>
          <cell r="ES647">
            <v>3218.7</v>
          </cell>
        </row>
        <row r="648">
          <cell r="F648" t="str">
            <v>8903002</v>
          </cell>
          <cell r="G648" t="str">
            <v>A_8903002</v>
          </cell>
          <cell r="H648" t="str">
            <v>FICO Reconciliation - IT Allocation</v>
          </cell>
          <cell r="J648">
            <v>424.2</v>
          </cell>
          <cell r="K648">
            <v>424.2</v>
          </cell>
          <cell r="L648">
            <v>424.2</v>
          </cell>
          <cell r="M648">
            <v>424.2</v>
          </cell>
          <cell r="N648">
            <v>424.2</v>
          </cell>
          <cell r="O648">
            <v>424.2</v>
          </cell>
          <cell r="P648">
            <v>424.2</v>
          </cell>
          <cell r="Q648">
            <v>424.2</v>
          </cell>
          <cell r="R648">
            <v>424.2</v>
          </cell>
          <cell r="S648">
            <v>424.2</v>
          </cell>
          <cell r="T648">
            <v>424.2</v>
          </cell>
          <cell r="U648">
            <v>424.2</v>
          </cell>
          <cell r="V648">
            <v>424.2</v>
          </cell>
          <cell r="W648">
            <v>327.10000000000002</v>
          </cell>
          <cell r="X648">
            <v>421.3</v>
          </cell>
          <cell r="Y648">
            <v>378</v>
          </cell>
          <cell r="Z648">
            <v>294</v>
          </cell>
          <cell r="AA648">
            <v>144</v>
          </cell>
          <cell r="AB648">
            <v>304.89999999999998</v>
          </cell>
          <cell r="AC648">
            <v>289.5</v>
          </cell>
          <cell r="AD648">
            <v>331.7</v>
          </cell>
          <cell r="AE648">
            <v>332.8</v>
          </cell>
          <cell r="AF648">
            <v>294.8</v>
          </cell>
          <cell r="AG648">
            <v>344.1</v>
          </cell>
          <cell r="AH648">
            <v>0</v>
          </cell>
          <cell r="AI648">
            <v>292.10000000000002</v>
          </cell>
          <cell r="AJ648">
            <v>319.39999999999998</v>
          </cell>
          <cell r="AK648">
            <v>275.39999999999998</v>
          </cell>
          <cell r="AL648">
            <v>320.7</v>
          </cell>
          <cell r="AM648">
            <v>359.4</v>
          </cell>
          <cell r="AN648">
            <v>317.10000000000002</v>
          </cell>
          <cell r="AO648">
            <v>343.2</v>
          </cell>
          <cell r="AP648">
            <v>445.1</v>
          </cell>
          <cell r="AQ648">
            <v>349.9</v>
          </cell>
          <cell r="AR648">
            <v>335.5</v>
          </cell>
          <cell r="AS648">
            <v>419.7</v>
          </cell>
          <cell r="AT648">
            <v>311.7</v>
          </cell>
          <cell r="AU648">
            <v>290.2</v>
          </cell>
          <cell r="AV648">
            <v>318</v>
          </cell>
          <cell r="AW648">
            <v>341.1</v>
          </cell>
          <cell r="AX648">
            <v>354.1</v>
          </cell>
          <cell r="AY648">
            <v>333.4</v>
          </cell>
          <cell r="AZ648">
            <v>309.5</v>
          </cell>
          <cell r="BA648">
            <v>335.2</v>
          </cell>
          <cell r="BB648">
            <v>306.89999999999998</v>
          </cell>
          <cell r="BC648">
            <v>189.6</v>
          </cell>
          <cell r="BD648">
            <v>321.3</v>
          </cell>
          <cell r="BE648">
            <v>352.5</v>
          </cell>
          <cell r="BF648">
            <v>387.8</v>
          </cell>
          <cell r="BG648">
            <v>316.60000000000002</v>
          </cell>
          <cell r="BH648">
            <v>365.9</v>
          </cell>
          <cell r="BI648">
            <v>386.7</v>
          </cell>
          <cell r="BJ648">
            <v>368.9</v>
          </cell>
          <cell r="BK648">
            <v>351.7</v>
          </cell>
          <cell r="BL648">
            <v>360.4</v>
          </cell>
          <cell r="BM648">
            <v>343.2</v>
          </cell>
          <cell r="BN648">
            <v>331.5</v>
          </cell>
          <cell r="BO648">
            <v>339.2</v>
          </cell>
          <cell r="BP648">
            <v>307.8</v>
          </cell>
          <cell r="BQ648">
            <v>328</v>
          </cell>
          <cell r="BR648">
            <v>426.8</v>
          </cell>
          <cell r="BS648">
            <v>331.4</v>
          </cell>
          <cell r="BT648">
            <v>360</v>
          </cell>
          <cell r="BU648">
            <v>366.2</v>
          </cell>
          <cell r="BV648">
            <v>386.2</v>
          </cell>
          <cell r="BW648">
            <v>350.6</v>
          </cell>
          <cell r="BX648">
            <v>375.2</v>
          </cell>
          <cell r="BY648">
            <v>359.6</v>
          </cell>
          <cell r="BZ648">
            <v>350</v>
          </cell>
          <cell r="CA648">
            <v>355.1</v>
          </cell>
          <cell r="CB648">
            <v>350.6</v>
          </cell>
          <cell r="CC648">
            <v>406.5</v>
          </cell>
          <cell r="CD648">
            <v>333.9</v>
          </cell>
          <cell r="CE648">
            <v>446.9</v>
          </cell>
          <cell r="CF648">
            <v>430.3</v>
          </cell>
          <cell r="CG648">
            <v>468.9</v>
          </cell>
          <cell r="CH648">
            <v>416.8</v>
          </cell>
          <cell r="CI648">
            <v>529.5</v>
          </cell>
          <cell r="CJ648">
            <v>373.6</v>
          </cell>
          <cell r="CK648">
            <v>437.7</v>
          </cell>
          <cell r="CL648">
            <v>351.2</v>
          </cell>
          <cell r="CM648">
            <v>379.2</v>
          </cell>
          <cell r="CN648">
            <v>380.5</v>
          </cell>
          <cell r="CO648">
            <v>395.9</v>
          </cell>
          <cell r="CP648">
            <v>483</v>
          </cell>
          <cell r="CQ648">
            <v>417.6</v>
          </cell>
          <cell r="CR648">
            <v>467.5</v>
          </cell>
          <cell r="CS648">
            <v>317.3</v>
          </cell>
          <cell r="CT648">
            <v>467.8</v>
          </cell>
          <cell r="CU648">
            <v>509.5</v>
          </cell>
          <cell r="CV648">
            <v>478.6</v>
          </cell>
          <cell r="CW648">
            <v>481.6</v>
          </cell>
          <cell r="CX648">
            <v>471.9</v>
          </cell>
          <cell r="CY648">
            <v>399.4</v>
          </cell>
          <cell r="CZ648">
            <v>570.9</v>
          </cell>
          <cell r="DA648">
            <v>585.4</v>
          </cell>
          <cell r="DB648">
            <v>443</v>
          </cell>
          <cell r="DC648">
            <v>527.4</v>
          </cell>
          <cell r="DD648">
            <v>550.70000000000005</v>
          </cell>
          <cell r="DE648">
            <v>504.5</v>
          </cell>
          <cell r="DF648">
            <v>529.1</v>
          </cell>
          <cell r="DG648">
            <v>499.9</v>
          </cell>
          <cell r="DH648">
            <v>454.2</v>
          </cell>
          <cell r="DI648">
            <v>558</v>
          </cell>
          <cell r="DJ648">
            <v>507.9</v>
          </cell>
          <cell r="DK648">
            <v>642.9</v>
          </cell>
          <cell r="DL648">
            <v>502.4</v>
          </cell>
          <cell r="DM648">
            <v>724.7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EM648">
            <v>3886.4</v>
          </cell>
          <cell r="EN648">
            <v>3777.4999999999995</v>
          </cell>
          <cell r="EO648">
            <v>3763.5</v>
          </cell>
          <cell r="EP648">
            <v>4187.7</v>
          </cell>
          <cell r="EQ648">
            <v>4418.2</v>
          </cell>
          <cell r="ER648">
            <v>4944.3999999999996</v>
          </cell>
          <cell r="ES648">
            <v>5650.4999999999991</v>
          </cell>
        </row>
        <row r="649">
          <cell r="F649" t="str">
            <v>8903003</v>
          </cell>
          <cell r="G649" t="str">
            <v>A_8903003</v>
          </cell>
          <cell r="H649" t="str">
            <v>FICO Reconciliation - Telecom Allocation</v>
          </cell>
          <cell r="J649">
            <v>27.9</v>
          </cell>
          <cell r="K649">
            <v>27.9</v>
          </cell>
          <cell r="L649">
            <v>27.9</v>
          </cell>
          <cell r="M649">
            <v>27.9</v>
          </cell>
          <cell r="N649">
            <v>27.9</v>
          </cell>
          <cell r="O649">
            <v>27.9</v>
          </cell>
          <cell r="P649">
            <v>27.9</v>
          </cell>
          <cell r="Q649">
            <v>27.9</v>
          </cell>
          <cell r="R649">
            <v>27.9</v>
          </cell>
          <cell r="S649">
            <v>27.9</v>
          </cell>
          <cell r="T649">
            <v>27.9</v>
          </cell>
          <cell r="U649">
            <v>27.9</v>
          </cell>
          <cell r="V649">
            <v>25.3</v>
          </cell>
          <cell r="W649">
            <v>25.3</v>
          </cell>
          <cell r="X649">
            <v>25.3</v>
          </cell>
          <cell r="Y649">
            <v>25.3</v>
          </cell>
          <cell r="Z649">
            <v>25.3</v>
          </cell>
          <cell r="AA649">
            <v>25.3</v>
          </cell>
          <cell r="AB649">
            <v>25.3</v>
          </cell>
          <cell r="AC649">
            <v>25.3</v>
          </cell>
          <cell r="AD649">
            <v>25.3</v>
          </cell>
          <cell r="AE649">
            <v>25.3</v>
          </cell>
          <cell r="AF649">
            <v>25.3</v>
          </cell>
          <cell r="AG649">
            <v>25.3</v>
          </cell>
          <cell r="AH649">
            <v>28.5</v>
          </cell>
          <cell r="AI649">
            <v>28.5</v>
          </cell>
          <cell r="AJ649">
            <v>28.5</v>
          </cell>
          <cell r="AK649">
            <v>28.5</v>
          </cell>
          <cell r="AL649">
            <v>28.5</v>
          </cell>
          <cell r="AM649">
            <v>28.5</v>
          </cell>
          <cell r="AN649">
            <v>28.5</v>
          </cell>
          <cell r="AO649">
            <v>28.5</v>
          </cell>
          <cell r="AP649">
            <v>28.5</v>
          </cell>
          <cell r="AQ649">
            <v>28.5</v>
          </cell>
          <cell r="AR649">
            <v>28.5</v>
          </cell>
          <cell r="AS649">
            <v>28.5</v>
          </cell>
          <cell r="AT649">
            <v>22.2</v>
          </cell>
          <cell r="AU649">
            <v>22.2</v>
          </cell>
          <cell r="AV649">
            <v>22.2</v>
          </cell>
          <cell r="AW649">
            <v>22.2</v>
          </cell>
          <cell r="AX649">
            <v>22.2</v>
          </cell>
          <cell r="AY649">
            <v>22.2</v>
          </cell>
          <cell r="AZ649">
            <v>22.2</v>
          </cell>
          <cell r="BA649">
            <v>22.2</v>
          </cell>
          <cell r="BB649">
            <v>22.2</v>
          </cell>
          <cell r="BC649">
            <v>22.2</v>
          </cell>
          <cell r="BD649">
            <v>22.2</v>
          </cell>
          <cell r="BE649">
            <v>22.2</v>
          </cell>
          <cell r="BF649">
            <v>22.3</v>
          </cell>
          <cell r="BG649">
            <v>22.3</v>
          </cell>
          <cell r="BH649">
            <v>22.3</v>
          </cell>
          <cell r="BI649">
            <v>22.3</v>
          </cell>
          <cell r="BJ649">
            <v>22.3</v>
          </cell>
          <cell r="BK649">
            <v>22.3</v>
          </cell>
          <cell r="BL649">
            <v>22.3</v>
          </cell>
          <cell r="BM649">
            <v>22.3</v>
          </cell>
          <cell r="BN649">
            <v>22.3</v>
          </cell>
          <cell r="BO649">
            <v>22.3</v>
          </cell>
          <cell r="BP649">
            <v>22.3</v>
          </cell>
          <cell r="BQ649">
            <v>22.3</v>
          </cell>
          <cell r="BR649">
            <v>20</v>
          </cell>
          <cell r="BS649">
            <v>20</v>
          </cell>
          <cell r="BT649">
            <v>20</v>
          </cell>
          <cell r="BU649">
            <v>20</v>
          </cell>
          <cell r="BV649">
            <v>20</v>
          </cell>
          <cell r="BW649">
            <v>20</v>
          </cell>
          <cell r="BX649">
            <v>20</v>
          </cell>
          <cell r="BY649">
            <v>20</v>
          </cell>
          <cell r="BZ649">
            <v>20</v>
          </cell>
          <cell r="CA649">
            <v>20</v>
          </cell>
          <cell r="CB649">
            <v>20</v>
          </cell>
          <cell r="CC649">
            <v>20</v>
          </cell>
          <cell r="CD649">
            <v>28.8</v>
          </cell>
          <cell r="CE649">
            <v>28.8</v>
          </cell>
          <cell r="CF649">
            <v>28.8</v>
          </cell>
          <cell r="CG649">
            <v>28.8</v>
          </cell>
          <cell r="CH649">
            <v>28.8</v>
          </cell>
          <cell r="CI649">
            <v>28.8</v>
          </cell>
          <cell r="CJ649">
            <v>28.8</v>
          </cell>
          <cell r="CK649">
            <v>28.8</v>
          </cell>
          <cell r="CL649">
            <v>28.8</v>
          </cell>
          <cell r="CM649">
            <v>28.8</v>
          </cell>
          <cell r="CN649">
            <v>28.8</v>
          </cell>
          <cell r="CO649">
            <v>28.8</v>
          </cell>
          <cell r="CP649">
            <v>32.799999999999997</v>
          </cell>
          <cell r="CQ649">
            <v>32.799999999999997</v>
          </cell>
          <cell r="CR649">
            <v>32.799999999999997</v>
          </cell>
          <cell r="CS649">
            <v>32.799999999999997</v>
          </cell>
          <cell r="CT649">
            <v>32.799999999999997</v>
          </cell>
          <cell r="CU649">
            <v>32.799999999999997</v>
          </cell>
          <cell r="CV649">
            <v>32.799999999999997</v>
          </cell>
          <cell r="CW649">
            <v>32.799999999999997</v>
          </cell>
          <cell r="CX649">
            <v>32.799999999999997</v>
          </cell>
          <cell r="CY649">
            <v>32.799999999999997</v>
          </cell>
          <cell r="CZ649">
            <v>32.799999999999997</v>
          </cell>
          <cell r="DA649">
            <v>32.799999999999997</v>
          </cell>
          <cell r="DB649">
            <v>32.799999999999997</v>
          </cell>
          <cell r="DC649">
            <v>31.6</v>
          </cell>
          <cell r="DD649">
            <v>31.6</v>
          </cell>
          <cell r="DE649">
            <v>31.6</v>
          </cell>
          <cell r="DF649">
            <v>31.6</v>
          </cell>
          <cell r="DG649">
            <v>31.6</v>
          </cell>
          <cell r="DH649">
            <v>31.6</v>
          </cell>
          <cell r="DI649">
            <v>31.6</v>
          </cell>
          <cell r="DJ649">
            <v>31.6</v>
          </cell>
          <cell r="DK649">
            <v>31.6</v>
          </cell>
          <cell r="DL649">
            <v>31.6</v>
          </cell>
          <cell r="DM649">
            <v>31.6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EM649">
            <v>303.60000000000008</v>
          </cell>
          <cell r="EN649">
            <v>342</v>
          </cell>
          <cell r="EO649">
            <v>266.39999999999992</v>
          </cell>
          <cell r="EP649">
            <v>267.60000000000008</v>
          </cell>
          <cell r="EQ649">
            <v>240</v>
          </cell>
          <cell r="ER649">
            <v>345.60000000000008</v>
          </cell>
          <cell r="ES649">
            <v>393.60000000000008</v>
          </cell>
        </row>
        <row r="650">
          <cell r="F650" t="str">
            <v>8903004</v>
          </cell>
          <cell r="G650" t="str">
            <v>A_8903004</v>
          </cell>
          <cell r="H650" t="str">
            <v>FICO Reconciliation - Facilities Allocation</v>
          </cell>
          <cell r="J650">
            <v>17.8</v>
          </cell>
          <cell r="K650">
            <v>17.8</v>
          </cell>
          <cell r="L650">
            <v>17.8</v>
          </cell>
          <cell r="M650">
            <v>17.8</v>
          </cell>
          <cell r="N650">
            <v>17.8</v>
          </cell>
          <cell r="O650">
            <v>17.8</v>
          </cell>
          <cell r="P650">
            <v>17.8</v>
          </cell>
          <cell r="Q650">
            <v>17.8</v>
          </cell>
          <cell r="R650">
            <v>17.8</v>
          </cell>
          <cell r="S650">
            <v>17.8</v>
          </cell>
          <cell r="T650">
            <v>17.8</v>
          </cell>
          <cell r="U650">
            <v>17.8</v>
          </cell>
          <cell r="V650">
            <v>15.7</v>
          </cell>
          <cell r="W650">
            <v>15.7</v>
          </cell>
          <cell r="X650">
            <v>16.100000000000001</v>
          </cell>
          <cell r="Y650">
            <v>16.100000000000001</v>
          </cell>
          <cell r="Z650">
            <v>16.100000000000001</v>
          </cell>
          <cell r="AA650">
            <v>16.100000000000001</v>
          </cell>
          <cell r="AB650">
            <v>16.100000000000001</v>
          </cell>
          <cell r="AC650">
            <v>16.100000000000001</v>
          </cell>
          <cell r="AD650">
            <v>16.5</v>
          </cell>
          <cell r="AE650">
            <v>16.5</v>
          </cell>
          <cell r="AF650">
            <v>16.5</v>
          </cell>
          <cell r="AG650">
            <v>16.5</v>
          </cell>
          <cell r="AH650">
            <v>16.5</v>
          </cell>
          <cell r="AI650">
            <v>16.5</v>
          </cell>
          <cell r="AJ650">
            <v>16.5</v>
          </cell>
          <cell r="AK650">
            <v>16.5</v>
          </cell>
          <cell r="AL650">
            <v>16.5</v>
          </cell>
          <cell r="AM650">
            <v>16.5</v>
          </cell>
          <cell r="AN650">
            <v>16.5</v>
          </cell>
          <cell r="AO650">
            <v>16.5</v>
          </cell>
          <cell r="AP650">
            <v>16.5</v>
          </cell>
          <cell r="AQ650">
            <v>16.5</v>
          </cell>
          <cell r="AR650">
            <v>16.5</v>
          </cell>
          <cell r="AS650">
            <v>16.5</v>
          </cell>
          <cell r="AT650">
            <v>18.8</v>
          </cell>
          <cell r="AU650">
            <v>18.8</v>
          </cell>
          <cell r="AV650">
            <v>18.8</v>
          </cell>
          <cell r="AW650">
            <v>18.8</v>
          </cell>
          <cell r="AX650">
            <v>18.8</v>
          </cell>
          <cell r="AY650">
            <v>18.8</v>
          </cell>
          <cell r="AZ650">
            <v>18.8</v>
          </cell>
          <cell r="BA650">
            <v>18.8</v>
          </cell>
          <cell r="BB650">
            <v>18.8</v>
          </cell>
          <cell r="BC650">
            <v>18.8</v>
          </cell>
          <cell r="BD650">
            <v>18.8</v>
          </cell>
          <cell r="BE650">
            <v>18.8</v>
          </cell>
          <cell r="BF650">
            <v>17.5</v>
          </cell>
          <cell r="BG650">
            <v>17.5</v>
          </cell>
          <cell r="BH650">
            <v>17.5</v>
          </cell>
          <cell r="BI650">
            <v>17.5</v>
          </cell>
          <cell r="BJ650">
            <v>17.5</v>
          </cell>
          <cell r="BK650">
            <v>17.5</v>
          </cell>
          <cell r="BL650">
            <v>17.5</v>
          </cell>
          <cell r="BM650">
            <v>17.5</v>
          </cell>
          <cell r="BN650">
            <v>17.5</v>
          </cell>
          <cell r="BO650">
            <v>17.5</v>
          </cell>
          <cell r="BP650">
            <v>17.5</v>
          </cell>
          <cell r="BQ650">
            <v>17.5</v>
          </cell>
          <cell r="BR650">
            <v>18</v>
          </cell>
          <cell r="BS650">
            <v>18</v>
          </cell>
          <cell r="BT650">
            <v>18</v>
          </cell>
          <cell r="BU650">
            <v>18</v>
          </cell>
          <cell r="BV650">
            <v>18</v>
          </cell>
          <cell r="BW650">
            <v>18</v>
          </cell>
          <cell r="BX650">
            <v>18</v>
          </cell>
          <cell r="BY650">
            <v>18</v>
          </cell>
          <cell r="BZ650">
            <v>18</v>
          </cell>
          <cell r="CA650">
            <v>18</v>
          </cell>
          <cell r="CB650">
            <v>18</v>
          </cell>
          <cell r="CC650">
            <v>18</v>
          </cell>
          <cell r="CD650">
            <v>18</v>
          </cell>
          <cell r="CE650">
            <v>18</v>
          </cell>
          <cell r="CF650">
            <v>31.6</v>
          </cell>
          <cell r="CG650">
            <v>22.6</v>
          </cell>
          <cell r="CH650">
            <v>22.6</v>
          </cell>
          <cell r="CI650">
            <v>22.6</v>
          </cell>
          <cell r="CJ650">
            <v>22.6</v>
          </cell>
          <cell r="CK650">
            <v>22.6</v>
          </cell>
          <cell r="CL650">
            <v>22.6</v>
          </cell>
          <cell r="CM650">
            <v>22.6</v>
          </cell>
          <cell r="CN650">
            <v>22.6</v>
          </cell>
          <cell r="CO650">
            <v>22.6</v>
          </cell>
          <cell r="CP650">
            <v>23.1</v>
          </cell>
          <cell r="CQ650">
            <v>23.1</v>
          </cell>
          <cell r="CR650">
            <v>23.1</v>
          </cell>
          <cell r="CS650">
            <v>23.1</v>
          </cell>
          <cell r="CT650">
            <v>23.1</v>
          </cell>
          <cell r="CU650">
            <v>23.1</v>
          </cell>
          <cell r="CV650">
            <v>23.1</v>
          </cell>
          <cell r="CW650">
            <v>23.1</v>
          </cell>
          <cell r="CX650">
            <v>23.1</v>
          </cell>
          <cell r="CY650">
            <v>23.1</v>
          </cell>
          <cell r="CZ650">
            <v>23.1</v>
          </cell>
          <cell r="DA650">
            <v>23.1</v>
          </cell>
          <cell r="DB650">
            <v>23.1</v>
          </cell>
          <cell r="DC650">
            <v>23.1</v>
          </cell>
          <cell r="DD650">
            <v>23.1</v>
          </cell>
          <cell r="DE650">
            <v>23.1</v>
          </cell>
          <cell r="DF650">
            <v>23.1</v>
          </cell>
          <cell r="DG650">
            <v>23.1</v>
          </cell>
          <cell r="DH650">
            <v>23.1</v>
          </cell>
          <cell r="DI650">
            <v>23.1</v>
          </cell>
          <cell r="DJ650">
            <v>23.1</v>
          </cell>
          <cell r="DK650">
            <v>23.1</v>
          </cell>
          <cell r="DL650">
            <v>23.1</v>
          </cell>
          <cell r="DM650">
            <v>23.1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EM650">
            <v>194</v>
          </cell>
          <cell r="EN650">
            <v>198</v>
          </cell>
          <cell r="EO650">
            <v>225.60000000000005</v>
          </cell>
          <cell r="EP650">
            <v>210</v>
          </cell>
          <cell r="EQ650">
            <v>216</v>
          </cell>
          <cell r="ER650">
            <v>270.99999999999994</v>
          </cell>
          <cell r="ES650">
            <v>277.2</v>
          </cell>
        </row>
        <row r="651">
          <cell r="F651" t="str">
            <v>8903005</v>
          </cell>
          <cell r="G651" t="str">
            <v>A_8903005</v>
          </cell>
          <cell r="H651" t="str">
            <v>FICO Reconciliation - TSI HR Allocation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104.3</v>
          </cell>
          <cell r="W651">
            <v>69.2</v>
          </cell>
          <cell r="X651">
            <v>105.7</v>
          </cell>
          <cell r="Y651">
            <v>92.2</v>
          </cell>
          <cell r="Z651">
            <v>85.9</v>
          </cell>
          <cell r="AA651">
            <v>85.8</v>
          </cell>
          <cell r="AB651">
            <v>90.2</v>
          </cell>
          <cell r="AC651">
            <v>80.8</v>
          </cell>
          <cell r="AD651">
            <v>90.9</v>
          </cell>
          <cell r="AE651">
            <v>103.4</v>
          </cell>
          <cell r="AF651">
            <v>88.7</v>
          </cell>
          <cell r="AG651">
            <v>104.8</v>
          </cell>
          <cell r="AH651">
            <v>0</v>
          </cell>
          <cell r="AI651">
            <v>73.099999999999994</v>
          </cell>
          <cell r="AJ651">
            <v>73.2</v>
          </cell>
          <cell r="AK651">
            <v>71.400000000000006</v>
          </cell>
          <cell r="AL651">
            <v>89.4</v>
          </cell>
          <cell r="AM651">
            <v>89.3</v>
          </cell>
          <cell r="AN651">
            <v>74.599999999999994</v>
          </cell>
          <cell r="AO651">
            <v>83.9</v>
          </cell>
          <cell r="AP651">
            <v>84.2</v>
          </cell>
          <cell r="AQ651">
            <v>91</v>
          </cell>
          <cell r="AR651">
            <v>81.8</v>
          </cell>
          <cell r="AS651">
            <v>86.4</v>
          </cell>
          <cell r="AT651">
            <v>95.9</v>
          </cell>
          <cell r="AU651">
            <v>79.400000000000006</v>
          </cell>
          <cell r="AV651">
            <v>94.3</v>
          </cell>
          <cell r="AW651">
            <v>82.6</v>
          </cell>
          <cell r="AX651">
            <v>95.3</v>
          </cell>
          <cell r="AY651">
            <v>85.9</v>
          </cell>
          <cell r="AZ651">
            <v>87.4</v>
          </cell>
          <cell r="BA651">
            <v>90.9</v>
          </cell>
          <cell r="BB651">
            <v>70.2</v>
          </cell>
          <cell r="BC651">
            <v>95</v>
          </cell>
          <cell r="BD651">
            <v>89.7</v>
          </cell>
          <cell r="BE651">
            <v>98.1</v>
          </cell>
          <cell r="BF651">
            <v>92.7</v>
          </cell>
          <cell r="BG651">
            <v>80.5</v>
          </cell>
          <cell r="BH651">
            <v>84.5</v>
          </cell>
          <cell r="BI651">
            <v>81.400000000000006</v>
          </cell>
          <cell r="BJ651">
            <v>90.5</v>
          </cell>
          <cell r="BK651">
            <v>88.4</v>
          </cell>
          <cell r="BL651">
            <v>104</v>
          </cell>
          <cell r="BM651">
            <v>100.4</v>
          </cell>
          <cell r="BN651">
            <v>73.400000000000006</v>
          </cell>
          <cell r="BO651">
            <v>96</v>
          </cell>
          <cell r="BP651">
            <v>77.900000000000006</v>
          </cell>
          <cell r="BQ651">
            <v>84.7</v>
          </cell>
          <cell r="BR651">
            <v>125.6</v>
          </cell>
          <cell r="BS651">
            <v>84.4</v>
          </cell>
          <cell r="BT651">
            <v>80.8</v>
          </cell>
          <cell r="BU651">
            <v>95.1</v>
          </cell>
          <cell r="BV651">
            <v>113.8</v>
          </cell>
          <cell r="BW651">
            <v>81.7</v>
          </cell>
          <cell r="BX651">
            <v>114.9</v>
          </cell>
          <cell r="BY651">
            <v>93</v>
          </cell>
          <cell r="BZ651">
            <v>83.6</v>
          </cell>
          <cell r="CA651">
            <v>112</v>
          </cell>
          <cell r="CB651">
            <v>88</v>
          </cell>
          <cell r="CC651">
            <v>85.2</v>
          </cell>
          <cell r="CD651">
            <v>32</v>
          </cell>
          <cell r="CE651">
            <v>36.700000000000003</v>
          </cell>
          <cell r="CF651">
            <v>40.200000000000003</v>
          </cell>
          <cell r="CG651">
            <v>30.5</v>
          </cell>
          <cell r="CH651">
            <v>30.1</v>
          </cell>
          <cell r="CI651">
            <v>35</v>
          </cell>
          <cell r="CJ651">
            <v>32.799999999999997</v>
          </cell>
          <cell r="CK651">
            <v>81.900000000000006</v>
          </cell>
          <cell r="CL651">
            <v>40</v>
          </cell>
          <cell r="CM651">
            <v>39.9</v>
          </cell>
          <cell r="CN651">
            <v>32.700000000000003</v>
          </cell>
          <cell r="CO651">
            <v>46.9</v>
          </cell>
          <cell r="CP651">
            <v>43</v>
          </cell>
          <cell r="CQ651">
            <v>37</v>
          </cell>
          <cell r="CR651">
            <v>54.8</v>
          </cell>
          <cell r="CS651">
            <v>40.200000000000003</v>
          </cell>
          <cell r="CT651">
            <v>33.200000000000003</v>
          </cell>
          <cell r="CU651">
            <v>36.299999999999997</v>
          </cell>
          <cell r="CV651">
            <v>40.4</v>
          </cell>
          <cell r="CW651">
            <v>35.799999999999997</v>
          </cell>
          <cell r="CX651">
            <v>-94.3</v>
          </cell>
          <cell r="CY651">
            <v>166.2</v>
          </cell>
          <cell r="CZ651">
            <v>32.200000000000003</v>
          </cell>
          <cell r="DA651">
            <v>55.6</v>
          </cell>
          <cell r="DB651">
            <v>54</v>
          </cell>
          <cell r="DC651">
            <v>29.9</v>
          </cell>
          <cell r="DD651">
            <v>34.6</v>
          </cell>
          <cell r="DE651">
            <v>25.7</v>
          </cell>
          <cell r="DF651">
            <v>11.5</v>
          </cell>
          <cell r="DG651">
            <v>48.1</v>
          </cell>
          <cell r="DH651">
            <v>33.6</v>
          </cell>
          <cell r="DI651">
            <v>37.9</v>
          </cell>
          <cell r="DJ651">
            <v>32.700000000000003</v>
          </cell>
          <cell r="DK651">
            <v>29.5</v>
          </cell>
          <cell r="DL651">
            <v>35.9</v>
          </cell>
          <cell r="DM651">
            <v>30.5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EM651">
            <v>1101.8999999999999</v>
          </cell>
          <cell r="EN651">
            <v>898.3</v>
          </cell>
          <cell r="EO651">
            <v>1064.7</v>
          </cell>
          <cell r="EP651">
            <v>1054.3999999999999</v>
          </cell>
          <cell r="EQ651">
            <v>1158.1000000000001</v>
          </cell>
          <cell r="ER651">
            <v>478.7</v>
          </cell>
          <cell r="ES651">
            <v>480.4</v>
          </cell>
        </row>
        <row r="652">
          <cell r="F652" t="str">
            <v>8903006</v>
          </cell>
          <cell r="G652" t="str">
            <v>A_8903006</v>
          </cell>
          <cell r="H652" t="str">
            <v>FICO Reconciliation - TSI Services Allocation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91</v>
          </cell>
          <cell r="W652">
            <v>103.4</v>
          </cell>
          <cell r="X652">
            <v>103.2</v>
          </cell>
          <cell r="Y652">
            <v>121</v>
          </cell>
          <cell r="Z652">
            <v>84.5</v>
          </cell>
          <cell r="AA652">
            <v>100.5</v>
          </cell>
          <cell r="AB652">
            <v>97.1</v>
          </cell>
          <cell r="AC652">
            <v>73.5</v>
          </cell>
          <cell r="AD652">
            <v>80.900000000000006</v>
          </cell>
          <cell r="AE652">
            <v>89.5</v>
          </cell>
          <cell r="AF652">
            <v>88</v>
          </cell>
          <cell r="AG652">
            <v>116.1</v>
          </cell>
          <cell r="AH652">
            <v>0</v>
          </cell>
          <cell r="AI652">
            <v>92.7</v>
          </cell>
          <cell r="AJ652">
            <v>91.3</v>
          </cell>
          <cell r="AK652">
            <v>81.7</v>
          </cell>
          <cell r="AL652">
            <v>79.599999999999994</v>
          </cell>
          <cell r="AM652">
            <v>104.1</v>
          </cell>
          <cell r="AN652">
            <v>81</v>
          </cell>
          <cell r="AO652">
            <v>81.900000000000006</v>
          </cell>
          <cell r="AP652">
            <v>84.4</v>
          </cell>
          <cell r="AQ652">
            <v>76.8</v>
          </cell>
          <cell r="AR652">
            <v>80</v>
          </cell>
          <cell r="AS652">
            <v>103.8</v>
          </cell>
          <cell r="AT652">
            <v>120.6</v>
          </cell>
          <cell r="AU652">
            <v>98.4</v>
          </cell>
          <cell r="AV652">
            <v>105.6</v>
          </cell>
          <cell r="AW652">
            <v>97.6</v>
          </cell>
          <cell r="AX652">
            <v>113.4</v>
          </cell>
          <cell r="AY652">
            <v>104.4</v>
          </cell>
          <cell r="AZ652">
            <v>114.8</v>
          </cell>
          <cell r="BA652">
            <v>102</v>
          </cell>
          <cell r="BB652">
            <v>76.5</v>
          </cell>
          <cell r="BC652">
            <v>97.5</v>
          </cell>
          <cell r="BD652">
            <v>103.7</v>
          </cell>
          <cell r="BE652">
            <v>112.5</v>
          </cell>
          <cell r="BF652">
            <v>137.5</v>
          </cell>
          <cell r="BG652">
            <v>108.9</v>
          </cell>
          <cell r="BH652">
            <v>100.7</v>
          </cell>
          <cell r="BI652">
            <v>99.1</v>
          </cell>
          <cell r="BJ652">
            <v>110.7</v>
          </cell>
          <cell r="BK652">
            <v>93.6</v>
          </cell>
          <cell r="BL652">
            <v>123.6</v>
          </cell>
          <cell r="BM652">
            <v>115.1</v>
          </cell>
          <cell r="BN652">
            <v>101.1</v>
          </cell>
          <cell r="BO652">
            <v>109.6</v>
          </cell>
          <cell r="BP652">
            <v>97.3</v>
          </cell>
          <cell r="BQ652">
            <v>106.4</v>
          </cell>
          <cell r="BR652">
            <v>150.9</v>
          </cell>
          <cell r="BS652">
            <v>119.4</v>
          </cell>
          <cell r="BT652">
            <v>104.9</v>
          </cell>
          <cell r="BU652">
            <v>121</v>
          </cell>
          <cell r="BV652">
            <v>128</v>
          </cell>
          <cell r="BW652">
            <v>102.3</v>
          </cell>
          <cell r="BX652">
            <v>117.8</v>
          </cell>
          <cell r="BY652">
            <v>133.19999999999999</v>
          </cell>
          <cell r="BZ652">
            <v>105.1</v>
          </cell>
          <cell r="CA652">
            <v>116.1</v>
          </cell>
          <cell r="CB652">
            <v>116</v>
          </cell>
          <cell r="CC652">
            <v>157.30000000000001</v>
          </cell>
          <cell r="CD652">
            <v>27</v>
          </cell>
          <cell r="CE652">
            <v>27.7</v>
          </cell>
          <cell r="CF652">
            <v>33.200000000000003</v>
          </cell>
          <cell r="CG652">
            <v>27.4</v>
          </cell>
          <cell r="CH652">
            <v>26.4</v>
          </cell>
          <cell r="CI652">
            <v>28.5</v>
          </cell>
          <cell r="CJ652">
            <v>29.2</v>
          </cell>
          <cell r="CK652">
            <v>27.3</v>
          </cell>
          <cell r="CL652">
            <v>27.1</v>
          </cell>
          <cell r="CM652">
            <v>28.9</v>
          </cell>
          <cell r="CN652">
            <v>24.1</v>
          </cell>
          <cell r="CO652">
            <v>26.7</v>
          </cell>
          <cell r="CP652">
            <v>33.200000000000003</v>
          </cell>
          <cell r="CQ652">
            <v>25</v>
          </cell>
          <cell r="CR652">
            <v>27.2</v>
          </cell>
          <cell r="CS652">
            <v>29.6</v>
          </cell>
          <cell r="CT652">
            <v>30.3</v>
          </cell>
          <cell r="CU652">
            <v>27.1</v>
          </cell>
          <cell r="CV652">
            <v>26.4</v>
          </cell>
          <cell r="CW652">
            <v>32.4</v>
          </cell>
          <cell r="CX652">
            <v>29.7</v>
          </cell>
          <cell r="CY652">
            <v>27.1</v>
          </cell>
          <cell r="CZ652">
            <v>29.4</v>
          </cell>
          <cell r="DA652">
            <v>30.2</v>
          </cell>
          <cell r="DB652">
            <v>28.3</v>
          </cell>
          <cell r="DC652">
            <v>28.1</v>
          </cell>
          <cell r="DD652">
            <v>31.5</v>
          </cell>
          <cell r="DE652">
            <v>29.1</v>
          </cell>
          <cell r="DF652">
            <v>31.4</v>
          </cell>
          <cell r="DG652">
            <v>30.7</v>
          </cell>
          <cell r="DH652">
            <v>27.2</v>
          </cell>
          <cell r="DI652">
            <v>30.1</v>
          </cell>
          <cell r="DJ652">
            <v>29.5</v>
          </cell>
          <cell r="DK652">
            <v>25.9</v>
          </cell>
          <cell r="DL652">
            <v>29.8</v>
          </cell>
          <cell r="DM652">
            <v>31.7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EM652">
            <v>1148.6999999999998</v>
          </cell>
          <cell r="EN652">
            <v>957.29999999999984</v>
          </cell>
          <cell r="EO652">
            <v>1247</v>
          </cell>
          <cell r="EP652">
            <v>1303.6000000000001</v>
          </cell>
          <cell r="EQ652">
            <v>1471.9999999999998</v>
          </cell>
          <cell r="ER652">
            <v>333.5</v>
          </cell>
          <cell r="ES652">
            <v>347.6</v>
          </cell>
        </row>
        <row r="653">
          <cell r="F653" t="str">
            <v>8903007</v>
          </cell>
          <cell r="G653" t="str">
            <v>A_8903007</v>
          </cell>
          <cell r="H653" t="str">
            <v>FICO Reconciliation - TSI Procurement Allocation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55</v>
          </cell>
          <cell r="W653">
            <v>38.9</v>
          </cell>
          <cell r="X653">
            <v>56</v>
          </cell>
          <cell r="Y653">
            <v>47.8</v>
          </cell>
          <cell r="Z653">
            <v>44.8</v>
          </cell>
          <cell r="AA653">
            <v>46.4</v>
          </cell>
          <cell r="AB653">
            <v>46.5</v>
          </cell>
          <cell r="AC653">
            <v>43.4</v>
          </cell>
          <cell r="AD653">
            <v>46.1</v>
          </cell>
          <cell r="AE653">
            <v>48.1</v>
          </cell>
          <cell r="AF653">
            <v>43.9</v>
          </cell>
          <cell r="AG653">
            <v>53.5</v>
          </cell>
          <cell r="AH653">
            <v>0</v>
          </cell>
          <cell r="AI653">
            <v>45.2</v>
          </cell>
          <cell r="AJ653">
            <v>49.3</v>
          </cell>
          <cell r="AK653">
            <v>44.4</v>
          </cell>
          <cell r="AL653">
            <v>44.9</v>
          </cell>
          <cell r="AM653">
            <v>49.3</v>
          </cell>
          <cell r="AN653">
            <v>44.8</v>
          </cell>
          <cell r="AO653">
            <v>45.1</v>
          </cell>
          <cell r="AP653">
            <v>45.1</v>
          </cell>
          <cell r="AQ653">
            <v>43.7</v>
          </cell>
          <cell r="AR653">
            <v>44.6</v>
          </cell>
          <cell r="AS653">
            <v>51.9</v>
          </cell>
          <cell r="AT653">
            <v>48.3</v>
          </cell>
          <cell r="AU653">
            <v>46.4</v>
          </cell>
          <cell r="AV653">
            <v>51.9</v>
          </cell>
          <cell r="AW653">
            <v>45.9</v>
          </cell>
          <cell r="AX653">
            <v>48.9</v>
          </cell>
          <cell r="AY653">
            <v>47.9</v>
          </cell>
          <cell r="AZ653">
            <v>45.8</v>
          </cell>
          <cell r="BA653">
            <v>55.7</v>
          </cell>
          <cell r="BB653">
            <v>39.200000000000003</v>
          </cell>
          <cell r="BC653">
            <v>47.1</v>
          </cell>
          <cell r="BD653">
            <v>49</v>
          </cell>
          <cell r="BE653">
            <v>45.9</v>
          </cell>
          <cell r="BF653">
            <v>55.6</v>
          </cell>
          <cell r="BG653">
            <v>50.5</v>
          </cell>
          <cell r="BH653">
            <v>54.3</v>
          </cell>
          <cell r="BI653">
            <v>46.8</v>
          </cell>
          <cell r="BJ653">
            <v>53.3</v>
          </cell>
          <cell r="BK653">
            <v>49</v>
          </cell>
          <cell r="BL653">
            <v>54.9</v>
          </cell>
          <cell r="BM653">
            <v>53.6</v>
          </cell>
          <cell r="BN653">
            <v>48.5</v>
          </cell>
          <cell r="BO653">
            <v>52.9</v>
          </cell>
          <cell r="BP653">
            <v>50.8</v>
          </cell>
          <cell r="BQ653">
            <v>49.9</v>
          </cell>
          <cell r="BR653">
            <v>67.8</v>
          </cell>
          <cell r="BS653">
            <v>59</v>
          </cell>
          <cell r="BT653">
            <v>60</v>
          </cell>
          <cell r="BU653">
            <v>63.5</v>
          </cell>
          <cell r="BV653">
            <v>70</v>
          </cell>
          <cell r="BW653">
            <v>57.8</v>
          </cell>
          <cell r="BX653">
            <v>64.400000000000006</v>
          </cell>
          <cell r="BY653">
            <v>61.3</v>
          </cell>
          <cell r="BZ653">
            <v>53.9</v>
          </cell>
          <cell r="CA653">
            <v>80.8</v>
          </cell>
          <cell r="CB653">
            <v>55.2</v>
          </cell>
          <cell r="CC653">
            <v>61</v>
          </cell>
          <cell r="CD653">
            <v>58.1</v>
          </cell>
          <cell r="CE653">
            <v>55.8</v>
          </cell>
          <cell r="CF653">
            <v>62.4</v>
          </cell>
          <cell r="CG653">
            <v>61.3</v>
          </cell>
          <cell r="CH653">
            <v>51</v>
          </cell>
          <cell r="CI653">
            <v>57.8</v>
          </cell>
          <cell r="CJ653">
            <v>59.4</v>
          </cell>
          <cell r="CK653">
            <v>45</v>
          </cell>
          <cell r="CL653">
            <v>60.1</v>
          </cell>
          <cell r="CM653">
            <v>55.4</v>
          </cell>
          <cell r="CN653">
            <v>57.9</v>
          </cell>
          <cell r="CO653">
            <v>67.7</v>
          </cell>
          <cell r="CP653">
            <v>71.5</v>
          </cell>
          <cell r="CQ653">
            <v>62.1</v>
          </cell>
          <cell r="CR653">
            <v>68.3</v>
          </cell>
          <cell r="CS653">
            <v>62.3</v>
          </cell>
          <cell r="CT653">
            <v>63.1</v>
          </cell>
          <cell r="CU653">
            <v>69.400000000000006</v>
          </cell>
          <cell r="CV653">
            <v>71.400000000000006</v>
          </cell>
          <cell r="CW653">
            <v>67.900000000000006</v>
          </cell>
          <cell r="CX653">
            <v>69.099999999999994</v>
          </cell>
          <cell r="CY653">
            <v>70</v>
          </cell>
          <cell r="CZ653">
            <v>71.099999999999994</v>
          </cell>
          <cell r="DA653">
            <v>76.400000000000006</v>
          </cell>
          <cell r="DB653">
            <v>71.2</v>
          </cell>
          <cell r="DC653">
            <v>64.5</v>
          </cell>
          <cell r="DD653">
            <v>76.900000000000006</v>
          </cell>
          <cell r="DE653">
            <v>65</v>
          </cell>
          <cell r="DF653">
            <v>68.7</v>
          </cell>
          <cell r="DG653">
            <v>67.5</v>
          </cell>
          <cell r="DH653">
            <v>64.099999999999994</v>
          </cell>
          <cell r="DI653">
            <v>75.099999999999994</v>
          </cell>
          <cell r="DJ653">
            <v>62.4</v>
          </cell>
          <cell r="DK653">
            <v>72.599999999999994</v>
          </cell>
          <cell r="DL653">
            <v>77.900000000000006</v>
          </cell>
          <cell r="DM653">
            <v>73.2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EM653">
            <v>570.4</v>
          </cell>
          <cell r="EN653">
            <v>508.30000000000007</v>
          </cell>
          <cell r="EO653">
            <v>572</v>
          </cell>
          <cell r="EP653">
            <v>620.09999999999991</v>
          </cell>
          <cell r="EQ653">
            <v>754.7</v>
          </cell>
          <cell r="ER653">
            <v>691.90000000000009</v>
          </cell>
          <cell r="ES653">
            <v>822.6</v>
          </cell>
        </row>
        <row r="654">
          <cell r="F654" t="str">
            <v>8903008</v>
          </cell>
          <cell r="G654" t="str">
            <v>A_8903008</v>
          </cell>
          <cell r="H654" t="str">
            <v>FICO Reconciliation - HR Empl Relations Allocation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69.7</v>
          </cell>
          <cell r="CE654">
            <v>63.8</v>
          </cell>
          <cell r="CF654">
            <v>72.7</v>
          </cell>
          <cell r="CG654">
            <v>51.8</v>
          </cell>
          <cell r="CH654">
            <v>36</v>
          </cell>
          <cell r="CI654">
            <v>107.5</v>
          </cell>
          <cell r="CJ654">
            <v>67.8</v>
          </cell>
          <cell r="CK654">
            <v>-14.7</v>
          </cell>
          <cell r="CL654">
            <v>49</v>
          </cell>
          <cell r="CM654">
            <v>47.4</v>
          </cell>
          <cell r="CN654">
            <v>32</v>
          </cell>
          <cell r="CO654">
            <v>50.3</v>
          </cell>
          <cell r="CP654">
            <v>43.1</v>
          </cell>
          <cell r="CQ654">
            <v>32.9</v>
          </cell>
          <cell r="CR654">
            <v>35.799999999999997</v>
          </cell>
          <cell r="CS654">
            <v>46.2</v>
          </cell>
          <cell r="CT654">
            <v>37.700000000000003</v>
          </cell>
          <cell r="CU654">
            <v>43.5</v>
          </cell>
          <cell r="CV654">
            <v>33.6</v>
          </cell>
          <cell r="CW654">
            <v>47.4</v>
          </cell>
          <cell r="CX654">
            <v>39.200000000000003</v>
          </cell>
          <cell r="CY654">
            <v>30.8</v>
          </cell>
          <cell r="CZ654">
            <v>32.200000000000003</v>
          </cell>
          <cell r="DA654">
            <v>36.700000000000003</v>
          </cell>
          <cell r="DB654">
            <v>3.2</v>
          </cell>
          <cell r="DC654">
            <v>3.2</v>
          </cell>
          <cell r="DD654">
            <v>4.4000000000000004</v>
          </cell>
          <cell r="DE654">
            <v>4.2</v>
          </cell>
          <cell r="DF654">
            <v>3.5</v>
          </cell>
          <cell r="DG654">
            <v>4.4000000000000004</v>
          </cell>
          <cell r="DH654">
            <v>3.5</v>
          </cell>
          <cell r="DI654">
            <v>3.7</v>
          </cell>
          <cell r="DJ654">
            <v>3.8</v>
          </cell>
          <cell r="DK654">
            <v>1.5</v>
          </cell>
          <cell r="DL654">
            <v>3.4</v>
          </cell>
          <cell r="DM654">
            <v>3.7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633.29999999999995</v>
          </cell>
          <cell r="ES654">
            <v>459.09999999999997</v>
          </cell>
        </row>
        <row r="655">
          <cell r="F655" t="str">
            <v>8903009</v>
          </cell>
          <cell r="G655" t="str">
            <v>A_8903009</v>
          </cell>
          <cell r="H655" t="str">
            <v>FICO Reconciliation - Emergency Mgmt Allocation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10.5</v>
          </cell>
          <cell r="CE655">
            <v>6</v>
          </cell>
          <cell r="CF655">
            <v>7.7</v>
          </cell>
          <cell r="CG655">
            <v>14</v>
          </cell>
          <cell r="CH655">
            <v>6</v>
          </cell>
          <cell r="CI655">
            <v>6.6</v>
          </cell>
          <cell r="CJ655">
            <v>7.3</v>
          </cell>
          <cell r="CK655">
            <v>7.2</v>
          </cell>
          <cell r="CL655">
            <v>6.2</v>
          </cell>
          <cell r="CM655">
            <v>6.1</v>
          </cell>
          <cell r="CN655">
            <v>6.1</v>
          </cell>
          <cell r="CO655">
            <v>5.9</v>
          </cell>
          <cell r="CP655">
            <v>11.3</v>
          </cell>
          <cell r="CQ655">
            <v>14.2</v>
          </cell>
          <cell r="CR655">
            <v>7.4</v>
          </cell>
          <cell r="CS655">
            <v>7.2</v>
          </cell>
          <cell r="CT655">
            <v>7.1</v>
          </cell>
          <cell r="CU655">
            <v>7.3</v>
          </cell>
          <cell r="CV655">
            <v>6.4</v>
          </cell>
          <cell r="CW655">
            <v>11.8</v>
          </cell>
          <cell r="CX655">
            <v>7.5</v>
          </cell>
          <cell r="CY655">
            <v>7.4</v>
          </cell>
          <cell r="CZ655">
            <v>7.7</v>
          </cell>
          <cell r="DA655">
            <v>3.6</v>
          </cell>
          <cell r="DB655">
            <v>12.4</v>
          </cell>
          <cell r="DC655">
            <v>15.6</v>
          </cell>
          <cell r="DD655">
            <v>9.1</v>
          </cell>
          <cell r="DE655">
            <v>8.8000000000000007</v>
          </cell>
          <cell r="DF655">
            <v>8.6999999999999993</v>
          </cell>
          <cell r="DG655">
            <v>9.1</v>
          </cell>
          <cell r="DH655">
            <v>13.7</v>
          </cell>
          <cell r="DI655">
            <v>5.7</v>
          </cell>
          <cell r="DJ655">
            <v>5.9</v>
          </cell>
          <cell r="DK655">
            <v>6.6</v>
          </cell>
          <cell r="DL655">
            <v>6</v>
          </cell>
          <cell r="DM655">
            <v>5.2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89.6</v>
          </cell>
          <cell r="ES655">
            <v>98.9</v>
          </cell>
        </row>
        <row r="656">
          <cell r="F656" t="str">
            <v>8903010</v>
          </cell>
          <cell r="G656" t="str">
            <v>A_8903010</v>
          </cell>
          <cell r="H656" t="str">
            <v>FICO Reconciliation - Corp Comm Allocation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17.3</v>
          </cell>
          <cell r="CE656">
            <v>40.6</v>
          </cell>
          <cell r="CF656">
            <v>41.1</v>
          </cell>
          <cell r="CG656">
            <v>36.700000000000003</v>
          </cell>
          <cell r="CH656">
            <v>40.5</v>
          </cell>
          <cell r="CI656">
            <v>102</v>
          </cell>
          <cell r="CJ656">
            <v>60.1</v>
          </cell>
          <cell r="CK656">
            <v>47.4</v>
          </cell>
          <cell r="CL656">
            <v>74.900000000000006</v>
          </cell>
          <cell r="CM656">
            <v>49.9</v>
          </cell>
          <cell r="CN656">
            <v>50</v>
          </cell>
          <cell r="CO656">
            <v>65.599999999999994</v>
          </cell>
          <cell r="CP656">
            <v>38</v>
          </cell>
          <cell r="CQ656">
            <v>34.9</v>
          </cell>
          <cell r="CR656">
            <v>45.2</v>
          </cell>
          <cell r="CS656">
            <v>37.5</v>
          </cell>
          <cell r="CT656">
            <v>43.9</v>
          </cell>
          <cell r="CU656">
            <v>45.5</v>
          </cell>
          <cell r="CV656">
            <v>41.5</v>
          </cell>
          <cell r="CW656">
            <v>40</v>
          </cell>
          <cell r="CX656">
            <v>35.299999999999997</v>
          </cell>
          <cell r="CY656">
            <v>37.9</v>
          </cell>
          <cell r="CZ656">
            <v>38.1</v>
          </cell>
          <cell r="DA656">
            <v>54.4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626.1</v>
          </cell>
          <cell r="ES656">
            <v>492.2</v>
          </cell>
        </row>
        <row r="657">
          <cell r="F657" t="str">
            <v>8903011</v>
          </cell>
          <cell r="G657" t="str">
            <v>A_8903011</v>
          </cell>
          <cell r="H657" t="str">
            <v>FICO Reconciliation - Accounts Payable Allocation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29.3</v>
          </cell>
          <cell r="CE657">
            <v>23.5</v>
          </cell>
          <cell r="CF657">
            <v>28.8</v>
          </cell>
          <cell r="CG657">
            <v>26.7</v>
          </cell>
          <cell r="CH657">
            <v>24.5</v>
          </cell>
          <cell r="CI657">
            <v>24.7</v>
          </cell>
          <cell r="CJ657">
            <v>26.8</v>
          </cell>
          <cell r="CK657">
            <v>24.6</v>
          </cell>
          <cell r="CL657">
            <v>25.7</v>
          </cell>
          <cell r="CM657">
            <v>26.2</v>
          </cell>
          <cell r="CN657">
            <v>23.6</v>
          </cell>
          <cell r="CO657">
            <v>30.4</v>
          </cell>
          <cell r="CP657">
            <v>31.1</v>
          </cell>
          <cell r="CQ657">
            <v>31.5</v>
          </cell>
          <cell r="CR657">
            <v>35.799999999999997</v>
          </cell>
          <cell r="CS657">
            <v>35.1</v>
          </cell>
          <cell r="CT657">
            <v>34.799999999999997</v>
          </cell>
          <cell r="CU657">
            <v>38.799999999999997</v>
          </cell>
          <cell r="CV657">
            <v>45.5</v>
          </cell>
          <cell r="CW657">
            <v>35.799999999999997</v>
          </cell>
          <cell r="CX657">
            <v>36</v>
          </cell>
          <cell r="CY657">
            <v>0</v>
          </cell>
          <cell r="CZ657">
            <v>0</v>
          </cell>
          <cell r="DA657">
            <v>128.19999999999999</v>
          </cell>
          <cell r="DB657">
            <v>46.8</v>
          </cell>
          <cell r="DC657">
            <v>50.8</v>
          </cell>
          <cell r="DD657">
            <v>51</v>
          </cell>
          <cell r="DE657">
            <v>56.1</v>
          </cell>
          <cell r="DF657">
            <v>54.5</v>
          </cell>
          <cell r="DG657">
            <v>48.8</v>
          </cell>
          <cell r="DH657">
            <v>69.2</v>
          </cell>
          <cell r="DI657">
            <v>41.3</v>
          </cell>
          <cell r="DJ657">
            <v>52.1</v>
          </cell>
          <cell r="DK657">
            <v>45.9</v>
          </cell>
          <cell r="DL657">
            <v>45.9</v>
          </cell>
          <cell r="DM657">
            <v>54.1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314.8</v>
          </cell>
          <cell r="ES657">
            <v>452.6</v>
          </cell>
        </row>
        <row r="658">
          <cell r="F658" t="str">
            <v>8903012</v>
          </cell>
          <cell r="G658" t="str">
            <v>A_8903012</v>
          </cell>
          <cell r="H658" t="str">
            <v>FICO Reconciliation - Claims Allocation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96.6</v>
          </cell>
          <cell r="CE658">
            <v>28.8</v>
          </cell>
          <cell r="CF658">
            <v>39.4</v>
          </cell>
          <cell r="CG658">
            <v>31.4</v>
          </cell>
          <cell r="CH658">
            <v>30.2</v>
          </cell>
          <cell r="CI658">
            <v>31.4</v>
          </cell>
          <cell r="CJ658">
            <v>33.4</v>
          </cell>
          <cell r="CK658">
            <v>29.9</v>
          </cell>
          <cell r="CL658">
            <v>31.6</v>
          </cell>
          <cell r="CM658">
            <v>31</v>
          </cell>
          <cell r="CN658">
            <v>29.2</v>
          </cell>
          <cell r="CO658">
            <v>32.9</v>
          </cell>
          <cell r="CP658">
            <v>114.6</v>
          </cell>
          <cell r="CQ658">
            <v>-21.8</v>
          </cell>
          <cell r="CR658">
            <v>46.8</v>
          </cell>
          <cell r="CS658">
            <v>43</v>
          </cell>
          <cell r="CT658">
            <v>38.200000000000003</v>
          </cell>
          <cell r="CU658">
            <v>32.9</v>
          </cell>
          <cell r="CV658">
            <v>44.5</v>
          </cell>
          <cell r="CW658">
            <v>39.4</v>
          </cell>
          <cell r="CX658">
            <v>39.1</v>
          </cell>
          <cell r="CY658">
            <v>31.7</v>
          </cell>
          <cell r="CZ658">
            <v>45.2</v>
          </cell>
          <cell r="DA658">
            <v>41.1</v>
          </cell>
          <cell r="DB658">
            <v>37</v>
          </cell>
          <cell r="DC658">
            <v>40.200000000000003</v>
          </cell>
          <cell r="DD658">
            <v>45.1</v>
          </cell>
          <cell r="DE658">
            <v>41.9</v>
          </cell>
          <cell r="DF658">
            <v>43.5</v>
          </cell>
          <cell r="DG658">
            <v>43.5</v>
          </cell>
          <cell r="DH658">
            <v>41.8</v>
          </cell>
          <cell r="DI658">
            <v>45.1</v>
          </cell>
          <cell r="DJ658">
            <v>45.6</v>
          </cell>
          <cell r="DK658">
            <v>41.8</v>
          </cell>
          <cell r="DL658">
            <v>44.8</v>
          </cell>
          <cell r="DM658">
            <v>43.9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445.7999999999999</v>
          </cell>
          <cell r="ES658">
            <v>494.70000000000005</v>
          </cell>
        </row>
        <row r="659">
          <cell r="F659" t="str">
            <v>8903100</v>
          </cell>
          <cell r="G659" t="str">
            <v>A_8903100</v>
          </cell>
          <cell r="H659" t="str">
            <v>FICO Reconciliation - TSI Capital Allocation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22</v>
          </cell>
          <cell r="W659">
            <v>-27.4</v>
          </cell>
          <cell r="X659">
            <v>-19.2</v>
          </cell>
          <cell r="Y659">
            <v>-30.8</v>
          </cell>
          <cell r="Z659">
            <v>-5.9</v>
          </cell>
          <cell r="AA659">
            <v>-14.5</v>
          </cell>
          <cell r="AB659">
            <v>-19.600000000000001</v>
          </cell>
          <cell r="AC659">
            <v>-2.7</v>
          </cell>
          <cell r="AD659">
            <v>-41.4</v>
          </cell>
          <cell r="AE659">
            <v>-19.100000000000001</v>
          </cell>
          <cell r="AF659">
            <v>-59.5</v>
          </cell>
          <cell r="AG659">
            <v>-47.6</v>
          </cell>
          <cell r="AH659">
            <v>0</v>
          </cell>
          <cell r="AI659">
            <v>8</v>
          </cell>
          <cell r="AJ659">
            <v>20.5</v>
          </cell>
          <cell r="AK659">
            <v>8.9</v>
          </cell>
          <cell r="AL659">
            <v>5.3</v>
          </cell>
          <cell r="AM659">
            <v>22</v>
          </cell>
          <cell r="AN659">
            <v>21.4</v>
          </cell>
          <cell r="AO659">
            <v>3.2</v>
          </cell>
          <cell r="AP659">
            <v>2.1</v>
          </cell>
          <cell r="AQ659">
            <v>6.2</v>
          </cell>
          <cell r="AR659">
            <v>7.3</v>
          </cell>
          <cell r="AS659">
            <v>7.1</v>
          </cell>
          <cell r="AT659">
            <v>3.4</v>
          </cell>
          <cell r="AU659">
            <v>6.6</v>
          </cell>
          <cell r="AV659">
            <v>2.9</v>
          </cell>
          <cell r="AW659">
            <v>0.1</v>
          </cell>
          <cell r="AX659">
            <v>10.9</v>
          </cell>
          <cell r="AY659">
            <v>4</v>
          </cell>
          <cell r="AZ659">
            <v>5.3</v>
          </cell>
          <cell r="BA659">
            <v>4.7</v>
          </cell>
          <cell r="BB659">
            <v>14.4</v>
          </cell>
          <cell r="BC659">
            <v>16.5</v>
          </cell>
          <cell r="BD659">
            <v>8.8000000000000007</v>
          </cell>
          <cell r="BE659">
            <v>11.3</v>
          </cell>
          <cell r="BF659">
            <v>25.8</v>
          </cell>
          <cell r="BG659">
            <v>30</v>
          </cell>
          <cell r="BH659">
            <v>45.3</v>
          </cell>
          <cell r="BI659">
            <v>42.1</v>
          </cell>
          <cell r="BJ659">
            <v>36.299999999999997</v>
          </cell>
          <cell r="BK659">
            <v>41.4</v>
          </cell>
          <cell r="BL659">
            <v>52</v>
          </cell>
          <cell r="BM659">
            <v>64</v>
          </cell>
          <cell r="BN659">
            <v>70</v>
          </cell>
          <cell r="BO659">
            <v>87.9</v>
          </cell>
          <cell r="BP659">
            <v>91</v>
          </cell>
          <cell r="BQ659">
            <v>148.80000000000001</v>
          </cell>
          <cell r="BR659">
            <v>92</v>
          </cell>
          <cell r="BS659">
            <v>73.5</v>
          </cell>
          <cell r="BT659">
            <v>65.099999999999994</v>
          </cell>
          <cell r="BU659">
            <v>67.400000000000006</v>
          </cell>
          <cell r="BV659">
            <v>71</v>
          </cell>
          <cell r="BW659">
            <v>61</v>
          </cell>
          <cell r="BX659">
            <v>61.1</v>
          </cell>
          <cell r="BY659">
            <v>67.8</v>
          </cell>
          <cell r="BZ659">
            <v>73.8</v>
          </cell>
          <cell r="CA659">
            <v>57.8</v>
          </cell>
          <cell r="CB659">
            <v>56.1</v>
          </cell>
          <cell r="CC659">
            <v>51.8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EM659">
            <v>-265.7</v>
          </cell>
          <cell r="EN659">
            <v>111.99999999999999</v>
          </cell>
          <cell r="EO659">
            <v>88.899999999999991</v>
          </cell>
          <cell r="EP659">
            <v>734.59999999999991</v>
          </cell>
          <cell r="EQ659">
            <v>798.39999999999986</v>
          </cell>
          <cell r="ER659">
            <v>0</v>
          </cell>
          <cell r="ES659">
            <v>0</v>
          </cell>
        </row>
        <row r="660">
          <cell r="F660" t="str">
            <v>890</v>
          </cell>
          <cell r="G660">
            <v>890</v>
          </cell>
          <cell r="J660">
            <v>863.4</v>
          </cell>
          <cell r="K660">
            <v>833.99999999999989</v>
          </cell>
          <cell r="L660">
            <v>900.09999999999991</v>
          </cell>
          <cell r="M660">
            <v>902.09999999999991</v>
          </cell>
          <cell r="N660">
            <v>854.19999999999993</v>
          </cell>
          <cell r="O660">
            <v>853.09999999999991</v>
          </cell>
          <cell r="P660">
            <v>727.79999999999984</v>
          </cell>
          <cell r="Q660">
            <v>824.79999999999984</v>
          </cell>
          <cell r="R660">
            <v>772.49999999999989</v>
          </cell>
          <cell r="S660">
            <v>489.4</v>
          </cell>
          <cell r="T660">
            <v>688.09999999999991</v>
          </cell>
          <cell r="U660">
            <v>762.49999999999989</v>
          </cell>
          <cell r="V660">
            <v>1379.4</v>
          </cell>
          <cell r="W660">
            <v>1246.9000000000003</v>
          </cell>
          <cell r="X660">
            <v>1382.3999999999999</v>
          </cell>
          <cell r="Y660">
            <v>1202.3</v>
          </cell>
          <cell r="Z660">
            <v>819.8</v>
          </cell>
          <cell r="AA660">
            <v>1005.3</v>
          </cell>
          <cell r="AB660">
            <v>1118</v>
          </cell>
          <cell r="AC660">
            <v>1051.6999999999998</v>
          </cell>
          <cell r="AD660">
            <v>1250</v>
          </cell>
          <cell r="AE660">
            <v>1081.7999999999997</v>
          </cell>
          <cell r="AF660">
            <v>1147.3000000000002</v>
          </cell>
          <cell r="AG660">
            <v>1293.1999999999998</v>
          </cell>
          <cell r="AH660">
            <v>1241.3</v>
          </cell>
          <cell r="AI660">
            <v>1049.4000000000001</v>
          </cell>
          <cell r="AJ660">
            <v>1071.5999999999999</v>
          </cell>
          <cell r="AK660">
            <v>1077.3000000000002</v>
          </cell>
          <cell r="AL660">
            <v>1094.3</v>
          </cell>
          <cell r="AM660">
            <v>1181.5999999999999</v>
          </cell>
          <cell r="AN660">
            <v>1013.9</v>
          </cell>
          <cell r="AO660">
            <v>1010.8000000000001</v>
          </cell>
          <cell r="AP660">
            <v>1105.8</v>
          </cell>
          <cell r="AQ660">
            <v>1055.5</v>
          </cell>
          <cell r="AR660">
            <v>1272.5999999999999</v>
          </cell>
          <cell r="AS660">
            <v>1295.9000000000001</v>
          </cell>
          <cell r="AT660">
            <v>1299</v>
          </cell>
          <cell r="AU660">
            <v>1410.5000000000002</v>
          </cell>
          <cell r="AV660">
            <v>1602.5</v>
          </cell>
          <cell r="AW660">
            <v>1710.1</v>
          </cell>
          <cell r="AX660">
            <v>1915.4000000000003</v>
          </cell>
          <cell r="AY660">
            <v>2038.2000000000003</v>
          </cell>
          <cell r="AZ660">
            <v>1783.3</v>
          </cell>
          <cell r="BA660">
            <v>1906.4000000000003</v>
          </cell>
          <cell r="BB660">
            <v>1586.5000000000005</v>
          </cell>
          <cell r="BC660">
            <v>1517.2999999999997</v>
          </cell>
          <cell r="BD660">
            <v>1823.9</v>
          </cell>
          <cell r="BE660">
            <v>1961.4999999999998</v>
          </cell>
          <cell r="BF660">
            <v>1987.8999999999999</v>
          </cell>
          <cell r="BG660">
            <v>1716.3999999999999</v>
          </cell>
          <cell r="BH660">
            <v>1877.9</v>
          </cell>
          <cell r="BI660">
            <v>1752.3999999999999</v>
          </cell>
          <cell r="BJ660">
            <v>1972.5</v>
          </cell>
          <cell r="BK660">
            <v>2140.4</v>
          </cell>
          <cell r="BL660">
            <v>1871.6000000000001</v>
          </cell>
          <cell r="BM660">
            <v>1780.5</v>
          </cell>
          <cell r="BN660">
            <v>1976.2</v>
          </cell>
          <cell r="BO660">
            <v>1996.6000000000001</v>
          </cell>
          <cell r="BP660">
            <v>2003.6</v>
          </cell>
          <cell r="BQ660">
            <v>1977.1000000000001</v>
          </cell>
          <cell r="BR660">
            <v>2155.8000000000002</v>
          </cell>
          <cell r="BS660">
            <v>1935.4</v>
          </cell>
          <cell r="BT660">
            <v>2109.9</v>
          </cell>
          <cell r="BU660">
            <v>1899.3</v>
          </cell>
          <cell r="BV660">
            <v>2227.4</v>
          </cell>
          <cell r="BW660">
            <v>2021.4999999999998</v>
          </cell>
          <cell r="BX660">
            <v>1908.3000000000002</v>
          </cell>
          <cell r="BY660">
            <v>2199.2000000000003</v>
          </cell>
          <cell r="BZ660">
            <v>2058.8000000000002</v>
          </cell>
          <cell r="CA660">
            <v>1962.5</v>
          </cell>
          <cell r="CB660">
            <v>1818.8</v>
          </cell>
          <cell r="CC660">
            <v>1749.1</v>
          </cell>
          <cell r="CD660">
            <v>1935.6999999999998</v>
          </cell>
          <cell r="CE660">
            <v>1945.8999999999996</v>
          </cell>
          <cell r="CF660">
            <v>2326.2999999999997</v>
          </cell>
          <cell r="CG660">
            <v>2114.6999999999998</v>
          </cell>
          <cell r="CH660">
            <v>2086.6999999999998</v>
          </cell>
          <cell r="CI660">
            <v>2166.1</v>
          </cell>
          <cell r="CJ660">
            <v>2157.9</v>
          </cell>
          <cell r="CK660">
            <v>1940.4</v>
          </cell>
          <cell r="CL660">
            <v>2076.7999999999997</v>
          </cell>
          <cell r="CM660">
            <v>2002.7000000000003</v>
          </cell>
          <cell r="CN660">
            <v>1825.1999999999998</v>
          </cell>
          <cell r="CO660">
            <v>2539.0000000000005</v>
          </cell>
          <cell r="CP660">
            <v>2089.1</v>
          </cell>
          <cell r="CQ660">
            <v>1871.3</v>
          </cell>
          <cell r="CR660">
            <v>2199.6000000000004</v>
          </cell>
          <cell r="CS660">
            <v>1603.9999999999998</v>
          </cell>
          <cell r="CT660">
            <v>1970.3999999999999</v>
          </cell>
          <cell r="CU660">
            <v>2376.7000000000007</v>
          </cell>
          <cell r="CV660">
            <v>2164</v>
          </cell>
          <cell r="CW660">
            <v>2114</v>
          </cell>
          <cell r="CX660">
            <v>1917.8999999999999</v>
          </cell>
          <cell r="CY660">
            <v>2045.1</v>
          </cell>
          <cell r="CZ660">
            <v>2213.4999999999991</v>
          </cell>
          <cell r="DA660">
            <v>2569.8999999999992</v>
          </cell>
          <cell r="DB660">
            <v>2125</v>
          </cell>
          <cell r="DC660">
            <v>2181.4999999999995</v>
          </cell>
          <cell r="DD660">
            <v>2495.6</v>
          </cell>
          <cell r="DE660">
            <v>2925.6999999999994</v>
          </cell>
          <cell r="DF660">
            <v>2560.0999999999995</v>
          </cell>
          <cell r="DG660">
            <v>3103.6</v>
          </cell>
          <cell r="DH660">
            <v>2470.8999999999992</v>
          </cell>
          <cell r="DI660">
            <v>3104.9999999999995</v>
          </cell>
          <cell r="DJ660">
            <v>3201.2</v>
          </cell>
          <cell r="DK660">
            <v>2841.9</v>
          </cell>
          <cell r="DL660">
            <v>2887.3000000000006</v>
          </cell>
          <cell r="DM660">
            <v>8948.600000000004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EM660">
            <v>13978.099999999999</v>
          </cell>
          <cell r="EN660">
            <v>13469.999999999998</v>
          </cell>
          <cell r="EO660">
            <v>20554.600000000002</v>
          </cell>
          <cell r="EP660">
            <v>23053.099999999995</v>
          </cell>
          <cell r="EQ660">
            <v>24046</v>
          </cell>
          <cell r="ER660">
            <v>25117.4</v>
          </cell>
          <cell r="ES660">
            <v>25135.499999999996</v>
          </cell>
        </row>
        <row r="661">
          <cell r="F661" t="str">
            <v/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</row>
        <row r="662">
          <cell r="F662" t="str">
            <v>8999998</v>
          </cell>
          <cell r="G662" t="str">
            <v>A_8999998</v>
          </cell>
          <cell r="H662" t="str">
            <v>Dividends sent to Retained Earnings</v>
          </cell>
          <cell r="J662">
            <v>-7357.3</v>
          </cell>
          <cell r="K662">
            <v>0</v>
          </cell>
          <cell r="L662">
            <v>0</v>
          </cell>
          <cell r="M662">
            <v>-11948.6</v>
          </cell>
          <cell r="N662">
            <v>0</v>
          </cell>
          <cell r="O662">
            <v>0</v>
          </cell>
          <cell r="P662">
            <v>-9971.9</v>
          </cell>
          <cell r="Q662">
            <v>0</v>
          </cell>
          <cell r="R662">
            <v>0</v>
          </cell>
          <cell r="S662">
            <v>-5874.1</v>
          </cell>
          <cell r="T662">
            <v>0</v>
          </cell>
          <cell r="U662">
            <v>0</v>
          </cell>
          <cell r="V662">
            <v>0</v>
          </cell>
          <cell r="W662">
            <v>-6579.4</v>
          </cell>
          <cell r="X662">
            <v>0</v>
          </cell>
          <cell r="Y662">
            <v>-14236.2</v>
          </cell>
          <cell r="Z662">
            <v>0</v>
          </cell>
          <cell r="AA662">
            <v>0</v>
          </cell>
          <cell r="AB662">
            <v>-8836.2999999999993</v>
          </cell>
          <cell r="AC662">
            <v>0</v>
          </cell>
          <cell r="AD662">
            <v>0</v>
          </cell>
          <cell r="AE662">
            <v>0</v>
          </cell>
          <cell r="AF662">
            <v>-7141.1</v>
          </cell>
          <cell r="AG662">
            <v>0</v>
          </cell>
          <cell r="AH662">
            <v>0</v>
          </cell>
          <cell r="AI662">
            <v>-5832.5</v>
          </cell>
          <cell r="AJ662">
            <v>0</v>
          </cell>
          <cell r="AK662">
            <v>0</v>
          </cell>
          <cell r="AL662">
            <v>-13698.5</v>
          </cell>
          <cell r="AM662">
            <v>-8092.3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-5958.3</v>
          </cell>
          <cell r="AS662">
            <v>0</v>
          </cell>
          <cell r="AT662">
            <v>0</v>
          </cell>
          <cell r="AU662">
            <v>-8007.3</v>
          </cell>
          <cell r="AV662">
            <v>0</v>
          </cell>
          <cell r="AW662">
            <v>0</v>
          </cell>
          <cell r="AX662">
            <v>-11289.3</v>
          </cell>
          <cell r="AY662">
            <v>0</v>
          </cell>
          <cell r="AZ662">
            <v>0</v>
          </cell>
          <cell r="BA662">
            <v>-12086.1</v>
          </cell>
          <cell r="BB662">
            <v>0</v>
          </cell>
          <cell r="BC662">
            <v>0</v>
          </cell>
          <cell r="BD662">
            <v>-7337.4</v>
          </cell>
          <cell r="BE662">
            <v>0</v>
          </cell>
          <cell r="BF662">
            <v>0</v>
          </cell>
          <cell r="BG662">
            <v>-14365.5</v>
          </cell>
          <cell r="BH662">
            <v>0</v>
          </cell>
          <cell r="BI662">
            <v>0</v>
          </cell>
          <cell r="BJ662">
            <v>-15456.1</v>
          </cell>
          <cell r="BK662">
            <v>0</v>
          </cell>
          <cell r="BL662">
            <v>0</v>
          </cell>
          <cell r="BM662">
            <v>-11089.4</v>
          </cell>
          <cell r="BN662">
            <v>0</v>
          </cell>
          <cell r="BO662">
            <v>0</v>
          </cell>
          <cell r="BP662">
            <v>-9335.2999999999993</v>
          </cell>
          <cell r="BQ662">
            <v>0</v>
          </cell>
          <cell r="BR662">
            <v>0</v>
          </cell>
          <cell r="BS662">
            <v>-11818.5</v>
          </cell>
          <cell r="BT662">
            <v>0</v>
          </cell>
          <cell r="BU662">
            <v>0</v>
          </cell>
          <cell r="BV662">
            <v>-17980.7</v>
          </cell>
          <cell r="BW662">
            <v>0</v>
          </cell>
          <cell r="BX662">
            <v>0</v>
          </cell>
          <cell r="BY662">
            <v>-13575.3</v>
          </cell>
          <cell r="BZ662">
            <v>0</v>
          </cell>
          <cell r="CA662">
            <v>0</v>
          </cell>
          <cell r="CB662">
            <v>-10584.6</v>
          </cell>
          <cell r="CC662">
            <v>0</v>
          </cell>
          <cell r="CD662">
            <v>0</v>
          </cell>
          <cell r="CE662">
            <v>-11888.7</v>
          </cell>
          <cell r="CF662">
            <v>0</v>
          </cell>
          <cell r="CG662">
            <v>0</v>
          </cell>
          <cell r="CH662">
            <v>-18460.900000000001</v>
          </cell>
          <cell r="CI662">
            <v>0</v>
          </cell>
          <cell r="CJ662">
            <v>0</v>
          </cell>
          <cell r="CK662">
            <v>-10528.9</v>
          </cell>
          <cell r="CL662">
            <v>0</v>
          </cell>
          <cell r="CM662">
            <v>0</v>
          </cell>
          <cell r="CN662">
            <v>-10269.299999999999</v>
          </cell>
          <cell r="CO662">
            <v>0</v>
          </cell>
          <cell r="CP662">
            <v>0</v>
          </cell>
          <cell r="CQ662">
            <v>-12656.3</v>
          </cell>
          <cell r="CR662">
            <v>0</v>
          </cell>
          <cell r="CS662">
            <v>-27095.9</v>
          </cell>
          <cell r="CT662">
            <v>0</v>
          </cell>
          <cell r="CU662">
            <v>0</v>
          </cell>
          <cell r="CV662">
            <v>0</v>
          </cell>
          <cell r="CW662">
            <v>-18659.8</v>
          </cell>
          <cell r="CX662">
            <v>0</v>
          </cell>
          <cell r="CY662">
            <v>0</v>
          </cell>
          <cell r="CZ662">
            <v>-14758.1</v>
          </cell>
          <cell r="DA662">
            <v>0</v>
          </cell>
          <cell r="DB662">
            <v>0</v>
          </cell>
          <cell r="DC662">
            <v>-16769.2</v>
          </cell>
          <cell r="DD662">
            <v>0</v>
          </cell>
          <cell r="DE662">
            <v>-29543</v>
          </cell>
          <cell r="DF662">
            <v>0</v>
          </cell>
          <cell r="DG662">
            <v>0</v>
          </cell>
          <cell r="DH662">
            <v>0</v>
          </cell>
          <cell r="DI662">
            <v>-19623</v>
          </cell>
          <cell r="DJ662">
            <v>0</v>
          </cell>
          <cell r="DK662">
            <v>-16227.4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EM662">
            <v>-36793</v>
          </cell>
          <cell r="EN662">
            <v>-33581.599999999999</v>
          </cell>
          <cell r="EO662">
            <v>-38720.1</v>
          </cell>
          <cell r="EP662">
            <v>-50246.3</v>
          </cell>
          <cell r="EQ662">
            <v>-53959.1</v>
          </cell>
          <cell r="ER662">
            <v>-51147.8</v>
          </cell>
          <cell r="ES662">
            <v>-73170.100000000006</v>
          </cell>
        </row>
        <row r="663">
          <cell r="F663" t="str">
            <v>8999999</v>
          </cell>
          <cell r="G663" t="str">
            <v>A_8999999</v>
          </cell>
          <cell r="H663" t="str">
            <v>Income Summary Offset</v>
          </cell>
          <cell r="J663">
            <v>2181.1</v>
          </cell>
          <cell r="K663">
            <v>-4502.6000000000004</v>
          </cell>
          <cell r="L663">
            <v>-4881.8999999999996</v>
          </cell>
          <cell r="M663">
            <v>8672.7999999999993</v>
          </cell>
          <cell r="N663">
            <v>-1814.2</v>
          </cell>
          <cell r="O663">
            <v>-2478.5</v>
          </cell>
          <cell r="P663">
            <v>8287.4</v>
          </cell>
          <cell r="Q663">
            <v>-1711.1</v>
          </cell>
          <cell r="R663">
            <v>-1334.7</v>
          </cell>
          <cell r="S663">
            <v>3454.5</v>
          </cell>
          <cell r="T663">
            <v>-2825.1</v>
          </cell>
          <cell r="U663">
            <v>-3729.9</v>
          </cell>
          <cell r="V663">
            <v>-5545.7</v>
          </cell>
          <cell r="W663">
            <v>1618.7</v>
          </cell>
          <cell r="X663">
            <v>-4121.5</v>
          </cell>
          <cell r="Y663">
            <v>11865.1</v>
          </cell>
          <cell r="Z663">
            <v>-2343.8000000000002</v>
          </cell>
          <cell r="AA663">
            <v>-2795.8</v>
          </cell>
          <cell r="AB663">
            <v>7002.8</v>
          </cell>
          <cell r="AC663">
            <v>-2511.6999999999998</v>
          </cell>
          <cell r="AD663">
            <v>-1860.4</v>
          </cell>
          <cell r="AE663">
            <v>-2165</v>
          </cell>
          <cell r="AF663">
            <v>5334</v>
          </cell>
          <cell r="AG663">
            <v>-2949</v>
          </cell>
          <cell r="AH663">
            <v>-5297.4</v>
          </cell>
          <cell r="AI663">
            <v>380.4</v>
          </cell>
          <cell r="AJ663">
            <v>-2373.1999999999998</v>
          </cell>
          <cell r="AK663">
            <v>-2946</v>
          </cell>
          <cell r="AL663">
            <v>10925.4</v>
          </cell>
          <cell r="AM663">
            <v>6769.9</v>
          </cell>
          <cell r="AN663">
            <v>-2616.1</v>
          </cell>
          <cell r="AO663">
            <v>-2019.9</v>
          </cell>
          <cell r="AP663">
            <v>-1959</v>
          </cell>
          <cell r="AQ663">
            <v>-2944</v>
          </cell>
          <cell r="AR663">
            <v>2853.9</v>
          </cell>
          <cell r="AS663">
            <v>-2053.1999999999998</v>
          </cell>
          <cell r="AT663">
            <v>-5364.8</v>
          </cell>
          <cell r="AU663">
            <v>4136.1000000000004</v>
          </cell>
          <cell r="AV663">
            <v>-4536.8</v>
          </cell>
          <cell r="AW663">
            <v>-3831</v>
          </cell>
          <cell r="AX663">
            <v>7570.9</v>
          </cell>
          <cell r="AY663">
            <v>-2081.6</v>
          </cell>
          <cell r="AZ663">
            <v>-2758.9</v>
          </cell>
          <cell r="BA663">
            <v>9589.2000000000007</v>
          </cell>
          <cell r="BB663">
            <v>-2707.9</v>
          </cell>
          <cell r="BC663">
            <v>-2630.1</v>
          </cell>
          <cell r="BD663">
            <v>3894.1</v>
          </cell>
          <cell r="BE663">
            <v>-5584.1</v>
          </cell>
          <cell r="BF663">
            <v>-9302.1</v>
          </cell>
          <cell r="BG663">
            <v>9862</v>
          </cell>
          <cell r="BH663">
            <v>-1650.6</v>
          </cell>
          <cell r="BI663">
            <v>-5304.9</v>
          </cell>
          <cell r="BJ663">
            <v>12768</v>
          </cell>
          <cell r="BK663">
            <v>-3096.4</v>
          </cell>
          <cell r="BL663">
            <v>-3105.3</v>
          </cell>
          <cell r="BM663">
            <v>8557.2999999999993</v>
          </cell>
          <cell r="BN663">
            <v>-3698</v>
          </cell>
          <cell r="BO663">
            <v>-2803.3</v>
          </cell>
          <cell r="BP663">
            <v>5813.5</v>
          </cell>
          <cell r="BQ663">
            <v>-5493.4</v>
          </cell>
          <cell r="BR663">
            <v>-6617.9</v>
          </cell>
          <cell r="BS663">
            <v>5951.8</v>
          </cell>
          <cell r="BT663">
            <v>-5496.1</v>
          </cell>
          <cell r="BU663">
            <v>-5226.8999999999996</v>
          </cell>
          <cell r="BV663">
            <v>13397.5</v>
          </cell>
          <cell r="BW663">
            <v>-3765.2</v>
          </cell>
          <cell r="BX663">
            <v>-3058.8</v>
          </cell>
          <cell r="BY663">
            <v>9733.4</v>
          </cell>
          <cell r="BZ663">
            <v>-3683.9</v>
          </cell>
          <cell r="CA663">
            <v>-3425.6</v>
          </cell>
          <cell r="CB663">
            <v>6182.9</v>
          </cell>
          <cell r="CC663">
            <v>-4061.4</v>
          </cell>
          <cell r="CD663">
            <v>-7675.6</v>
          </cell>
          <cell r="CE663">
            <v>5948.2</v>
          </cell>
          <cell r="CF663">
            <v>-4844.8</v>
          </cell>
          <cell r="CG663">
            <v>-3710.7</v>
          </cell>
          <cell r="CH663">
            <v>14852.5</v>
          </cell>
          <cell r="CI663">
            <v>-3209.8</v>
          </cell>
          <cell r="CJ663">
            <v>-3096.1</v>
          </cell>
          <cell r="CK663">
            <v>6771</v>
          </cell>
          <cell r="CL663">
            <v>-3415.4</v>
          </cell>
          <cell r="CM663">
            <v>-2946.9</v>
          </cell>
          <cell r="CN663">
            <v>5179.3999999999996</v>
          </cell>
          <cell r="CO663">
            <v>-4619.6000000000004</v>
          </cell>
          <cell r="CP663">
            <v>-11395.5</v>
          </cell>
          <cell r="CQ663">
            <v>4646.7</v>
          </cell>
          <cell r="CR663">
            <v>-7690.8</v>
          </cell>
          <cell r="CS663">
            <v>19402.2</v>
          </cell>
          <cell r="CT663">
            <v>-5523.4</v>
          </cell>
          <cell r="CU663">
            <v>-5442.6</v>
          </cell>
          <cell r="CV663">
            <v>-4434.6000000000004</v>
          </cell>
          <cell r="CW663">
            <v>13892.2</v>
          </cell>
          <cell r="CX663">
            <v>-5555.9</v>
          </cell>
          <cell r="CY663">
            <v>-5105.7</v>
          </cell>
          <cell r="CZ663">
            <v>8957.2000000000007</v>
          </cell>
          <cell r="DA663">
            <v>-5862.6</v>
          </cell>
          <cell r="DB663">
            <v>-9787.9</v>
          </cell>
          <cell r="DC663">
            <v>7920.7</v>
          </cell>
          <cell r="DD663">
            <v>-10906.6</v>
          </cell>
          <cell r="DE663">
            <v>22833.9</v>
          </cell>
          <cell r="DF663">
            <v>-6255.3</v>
          </cell>
          <cell r="DG663">
            <v>-6658.6</v>
          </cell>
          <cell r="DH663">
            <v>-4395.2</v>
          </cell>
          <cell r="DI663">
            <v>15060.9</v>
          </cell>
          <cell r="DJ663">
            <v>-7270</v>
          </cell>
          <cell r="DK663">
            <v>11423.3</v>
          </cell>
          <cell r="DL663">
            <v>-5933</v>
          </cell>
          <cell r="DM663">
            <v>-6107.1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EM663">
            <v>1527.7000000000007</v>
          </cell>
          <cell r="EN663">
            <v>-1279.2000000000016</v>
          </cell>
          <cell r="EO663">
            <v>-4304.8999999999996</v>
          </cell>
          <cell r="EP663">
            <v>2546.7999999999984</v>
          </cell>
          <cell r="EQ663">
            <v>-70.199999999999363</v>
          </cell>
          <cell r="ER663">
            <v>-767.800000000002</v>
          </cell>
          <cell r="ES663">
            <v>-4112.7999999999984</v>
          </cell>
        </row>
        <row r="664">
          <cell r="F664" t="str">
            <v>899</v>
          </cell>
          <cell r="G664">
            <v>899</v>
          </cell>
          <cell r="J664">
            <v>-5176.2000000000007</v>
          </cell>
          <cell r="K664">
            <v>-4502.6000000000004</v>
          </cell>
          <cell r="L664">
            <v>-4881.8999999999996</v>
          </cell>
          <cell r="M664">
            <v>-3275.8000000000011</v>
          </cell>
          <cell r="N664">
            <v>-1814.2</v>
          </cell>
          <cell r="O664">
            <v>-2478.5</v>
          </cell>
          <cell r="P664">
            <v>-1684.5</v>
          </cell>
          <cell r="Q664">
            <v>-1711.1</v>
          </cell>
          <cell r="R664">
            <v>-1334.7</v>
          </cell>
          <cell r="S664">
            <v>-2419.6000000000004</v>
          </cell>
          <cell r="T664">
            <v>-2825.1</v>
          </cell>
          <cell r="U664">
            <v>-3729.9</v>
          </cell>
          <cell r="V664">
            <v>-5545.7</v>
          </cell>
          <cell r="W664">
            <v>-4960.7</v>
          </cell>
          <cell r="X664">
            <v>-4121.5</v>
          </cell>
          <cell r="Y664">
            <v>-2371.1000000000004</v>
          </cell>
          <cell r="Z664">
            <v>-2343.8000000000002</v>
          </cell>
          <cell r="AA664">
            <v>-2795.8</v>
          </cell>
          <cell r="AB664">
            <v>-1833.4999999999991</v>
          </cell>
          <cell r="AC664">
            <v>-2511.6999999999998</v>
          </cell>
          <cell r="AD664">
            <v>-1860.4</v>
          </cell>
          <cell r="AE664">
            <v>-2165</v>
          </cell>
          <cell r="AF664">
            <v>-1807.1000000000004</v>
          </cell>
          <cell r="AG664">
            <v>-2949</v>
          </cell>
          <cell r="AH664">
            <v>-5297.4</v>
          </cell>
          <cell r="AI664">
            <v>-5452.1</v>
          </cell>
          <cell r="AJ664">
            <v>-2373.1999999999998</v>
          </cell>
          <cell r="AK664">
            <v>-2946</v>
          </cell>
          <cell r="AL664">
            <v>-2773.1000000000004</v>
          </cell>
          <cell r="AM664">
            <v>-1322.4000000000005</v>
          </cell>
          <cell r="AN664">
            <v>-2616.1</v>
          </cell>
          <cell r="AO664">
            <v>-2019.9</v>
          </cell>
          <cell r="AP664">
            <v>-1959</v>
          </cell>
          <cell r="AQ664">
            <v>-2944</v>
          </cell>
          <cell r="AR664">
            <v>-3104.4</v>
          </cell>
          <cell r="AS664">
            <v>-2053.1999999999998</v>
          </cell>
          <cell r="AT664">
            <v>-5364.8</v>
          </cell>
          <cell r="AU664">
            <v>-3871.2</v>
          </cell>
          <cell r="AV664">
            <v>-4536.8</v>
          </cell>
          <cell r="AW664">
            <v>-3831</v>
          </cell>
          <cell r="AX664">
            <v>-3718.3999999999996</v>
          </cell>
          <cell r="AY664">
            <v>-2081.6</v>
          </cell>
          <cell r="AZ664">
            <v>-2758.9</v>
          </cell>
          <cell r="BA664">
            <v>-2496.8999999999996</v>
          </cell>
          <cell r="BB664">
            <v>-2707.9</v>
          </cell>
          <cell r="BC664">
            <v>-2630.1</v>
          </cell>
          <cell r="BD664">
            <v>-3443.2999999999997</v>
          </cell>
          <cell r="BE664">
            <v>-5584.1</v>
          </cell>
          <cell r="BF664">
            <v>-9302.1</v>
          </cell>
          <cell r="BG664">
            <v>-4503.5</v>
          </cell>
          <cell r="BH664">
            <v>-1650.6</v>
          </cell>
          <cell r="BI664">
            <v>-5304.9</v>
          </cell>
          <cell r="BJ664">
            <v>-2688.1000000000004</v>
          </cell>
          <cell r="BK664">
            <v>-3096.4</v>
          </cell>
          <cell r="BL664">
            <v>-3105.3</v>
          </cell>
          <cell r="BM664">
            <v>-2532.1000000000004</v>
          </cell>
          <cell r="BN664">
            <v>-3698</v>
          </cell>
          <cell r="BO664">
            <v>-2803.3</v>
          </cell>
          <cell r="BP664">
            <v>-3521.7999999999993</v>
          </cell>
          <cell r="BQ664">
            <v>-5493.4</v>
          </cell>
          <cell r="BR664">
            <v>-6617.9</v>
          </cell>
          <cell r="BS664">
            <v>-5866.7</v>
          </cell>
          <cell r="BT664">
            <v>-5496.1</v>
          </cell>
          <cell r="BU664">
            <v>-5226.8999999999996</v>
          </cell>
          <cell r="BV664">
            <v>-4583.2000000000007</v>
          </cell>
          <cell r="BW664">
            <v>-3765.2</v>
          </cell>
          <cell r="BX664">
            <v>-3058.8</v>
          </cell>
          <cell r="BY664">
            <v>-3841.8999999999996</v>
          </cell>
          <cell r="BZ664">
            <v>-3683.9</v>
          </cell>
          <cell r="CA664">
            <v>-3425.6</v>
          </cell>
          <cell r="CB664">
            <v>-4401.7000000000007</v>
          </cell>
          <cell r="CC664">
            <v>-4061.4</v>
          </cell>
          <cell r="CD664">
            <v>-7675.6</v>
          </cell>
          <cell r="CE664">
            <v>-5940.5000000000009</v>
          </cell>
          <cell r="CF664">
            <v>-4844.8</v>
          </cell>
          <cell r="CG664">
            <v>-3710.7</v>
          </cell>
          <cell r="CH664">
            <v>-3608.4000000000015</v>
          </cell>
          <cell r="CI664">
            <v>-3209.8</v>
          </cell>
          <cell r="CJ664">
            <v>-3096.1</v>
          </cell>
          <cell r="CK664">
            <v>-3757.8999999999996</v>
          </cell>
          <cell r="CL664">
            <v>-3415.4</v>
          </cell>
          <cell r="CM664">
            <v>-2946.9</v>
          </cell>
          <cell r="CN664">
            <v>-5089.8999999999996</v>
          </cell>
          <cell r="CO664">
            <v>-4619.6000000000004</v>
          </cell>
          <cell r="CP664">
            <v>-11395.5</v>
          </cell>
          <cell r="CQ664">
            <v>-8009.5999999999995</v>
          </cell>
          <cell r="CR664">
            <v>-7690.8</v>
          </cell>
          <cell r="CS664">
            <v>-7693.7000000000007</v>
          </cell>
          <cell r="CT664">
            <v>-5523.4</v>
          </cell>
          <cell r="CU664">
            <v>-5442.6</v>
          </cell>
          <cell r="CV664">
            <v>-4434.6000000000004</v>
          </cell>
          <cell r="CW664">
            <v>-4767.5999999999985</v>
          </cell>
          <cell r="CX664">
            <v>-5555.9</v>
          </cell>
          <cell r="CY664">
            <v>-5105.7</v>
          </cell>
          <cell r="CZ664">
            <v>-5800.9</v>
          </cell>
          <cell r="DA664">
            <v>-5862.6</v>
          </cell>
          <cell r="DB664">
            <v>-9787.9</v>
          </cell>
          <cell r="DC664">
            <v>-8848.5</v>
          </cell>
          <cell r="DD664">
            <v>-10906.6</v>
          </cell>
          <cell r="DE664">
            <v>-6709.0999999999985</v>
          </cell>
          <cell r="DF664">
            <v>-6255.3</v>
          </cell>
          <cell r="DG664">
            <v>-6658.6</v>
          </cell>
          <cell r="DH664">
            <v>-4395.2</v>
          </cell>
          <cell r="DI664">
            <v>-4562.1000000000004</v>
          </cell>
          <cell r="DJ664">
            <v>-7270</v>
          </cell>
          <cell r="DK664">
            <v>-4804.1000000000004</v>
          </cell>
          <cell r="DL664">
            <v>-5933</v>
          </cell>
          <cell r="DM664">
            <v>-6107.1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EM664">
            <v>-35265.300000000003</v>
          </cell>
          <cell r="EN664">
            <v>-34860.800000000003</v>
          </cell>
          <cell r="EO664">
            <v>-43025</v>
          </cell>
          <cell r="EP664">
            <v>-47699.500000000007</v>
          </cell>
          <cell r="EQ664">
            <v>-54029.30000000001</v>
          </cell>
          <cell r="ER664">
            <v>-51915.600000000006</v>
          </cell>
          <cell r="ES664">
            <v>-77282.899999999994</v>
          </cell>
        </row>
        <row r="665"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</row>
        <row r="666">
          <cell r="F666" t="str">
            <v>CON_BEN_1</v>
          </cell>
          <cell r="G666" t="str">
            <v>ER_RECV_CON_BEN_1</v>
          </cell>
          <cell r="H666" t="str">
            <v>Recoverable Conservation Benefit</v>
          </cell>
          <cell r="J666">
            <v>1045.0999999999999</v>
          </cell>
          <cell r="K666">
            <v>798.4</v>
          </cell>
          <cell r="L666">
            <v>720.7</v>
          </cell>
          <cell r="M666">
            <v>828.4</v>
          </cell>
          <cell r="N666">
            <v>840.1</v>
          </cell>
          <cell r="O666">
            <v>830</v>
          </cell>
          <cell r="P666">
            <v>1359.5</v>
          </cell>
          <cell r="Q666">
            <v>978</v>
          </cell>
          <cell r="R666">
            <v>1122.9000000000001</v>
          </cell>
          <cell r="S666">
            <v>977.9</v>
          </cell>
          <cell r="T666">
            <v>965.7</v>
          </cell>
          <cell r="U666">
            <v>762.4</v>
          </cell>
          <cell r="V666">
            <v>1314.3</v>
          </cell>
          <cell r="W666">
            <v>909.5</v>
          </cell>
          <cell r="X666">
            <v>1107.5</v>
          </cell>
          <cell r="Y666">
            <v>805.2</v>
          </cell>
          <cell r="Z666">
            <v>1066.5</v>
          </cell>
          <cell r="AA666">
            <v>963.7</v>
          </cell>
          <cell r="AB666">
            <v>958.3</v>
          </cell>
          <cell r="AC666">
            <v>1162.9000000000001</v>
          </cell>
          <cell r="AD666">
            <v>1007.5</v>
          </cell>
          <cell r="AE666">
            <v>1333.4</v>
          </cell>
          <cell r="AF666">
            <v>868.4</v>
          </cell>
          <cell r="AG666">
            <v>838</v>
          </cell>
          <cell r="AH666">
            <v>1040.9000000000001</v>
          </cell>
          <cell r="AI666">
            <v>942.8</v>
          </cell>
          <cell r="AJ666">
            <v>1031.7</v>
          </cell>
          <cell r="AK666">
            <v>901.2</v>
          </cell>
          <cell r="AL666">
            <v>1189.9000000000001</v>
          </cell>
          <cell r="AM666">
            <v>1148.7</v>
          </cell>
          <cell r="AN666">
            <v>1029.3</v>
          </cell>
          <cell r="AO666">
            <v>1465.6</v>
          </cell>
          <cell r="AP666">
            <v>929</v>
          </cell>
          <cell r="AQ666">
            <v>1317.1</v>
          </cell>
          <cell r="AR666">
            <v>857.5</v>
          </cell>
          <cell r="AS666">
            <v>1491.9</v>
          </cell>
          <cell r="AT666">
            <v>386.7</v>
          </cell>
          <cell r="AU666">
            <v>721.4</v>
          </cell>
          <cell r="AV666">
            <v>888.4</v>
          </cell>
          <cell r="AW666">
            <v>868</v>
          </cell>
          <cell r="AX666">
            <v>1444.4</v>
          </cell>
          <cell r="AY666">
            <v>1502.6</v>
          </cell>
          <cell r="AZ666">
            <v>1464.9</v>
          </cell>
          <cell r="BA666">
            <v>1607.8</v>
          </cell>
          <cell r="BB666">
            <v>1269.7</v>
          </cell>
          <cell r="BC666">
            <v>1982.1</v>
          </cell>
          <cell r="BD666">
            <v>1355.2</v>
          </cell>
          <cell r="BE666">
            <v>1052.4000000000001</v>
          </cell>
          <cell r="BF666">
            <v>1319.8</v>
          </cell>
          <cell r="BG666">
            <v>1576.9</v>
          </cell>
          <cell r="BH666">
            <v>1847.3</v>
          </cell>
          <cell r="BI666">
            <v>2612.5</v>
          </cell>
          <cell r="BJ666">
            <v>1025</v>
          </cell>
          <cell r="BK666">
            <v>1136</v>
          </cell>
          <cell r="BL666">
            <v>2161.6999999999998</v>
          </cell>
          <cell r="BM666">
            <v>1557</v>
          </cell>
          <cell r="BN666">
            <v>894.7</v>
          </cell>
          <cell r="BO666">
            <v>2074.6999999999998</v>
          </cell>
          <cell r="BP666">
            <v>1027.2</v>
          </cell>
          <cell r="BQ666">
            <v>1372.7</v>
          </cell>
          <cell r="BR666">
            <v>1682.8</v>
          </cell>
          <cell r="BS666">
            <v>783.4</v>
          </cell>
          <cell r="BT666">
            <v>1059.5999999999999</v>
          </cell>
          <cell r="BU666">
            <v>1363.5</v>
          </cell>
          <cell r="BV666">
            <v>1061</v>
          </cell>
          <cell r="BW666">
            <v>1772.3</v>
          </cell>
          <cell r="BX666">
            <v>2123.8000000000002</v>
          </cell>
          <cell r="BY666">
            <v>1362.6</v>
          </cell>
          <cell r="BZ666">
            <v>955.5</v>
          </cell>
          <cell r="CA666">
            <v>1600.9</v>
          </cell>
          <cell r="CB666">
            <v>1400.9</v>
          </cell>
          <cell r="CC666">
            <v>1387.9</v>
          </cell>
          <cell r="CD666">
            <v>1632.6</v>
          </cell>
          <cell r="CE666">
            <v>1153.3</v>
          </cell>
          <cell r="CF666">
            <v>1086.3</v>
          </cell>
          <cell r="CG666">
            <v>1506.9</v>
          </cell>
          <cell r="CH666">
            <v>1344.2</v>
          </cell>
          <cell r="CI666">
            <v>1376.4</v>
          </cell>
          <cell r="CJ666">
            <v>1194.8</v>
          </cell>
          <cell r="CK666">
            <v>1406.4</v>
          </cell>
          <cell r="CL666">
            <v>1689.3</v>
          </cell>
          <cell r="CM666">
            <v>1880.7</v>
          </cell>
          <cell r="CN666">
            <v>1307.3</v>
          </cell>
          <cell r="CO666">
            <v>1455</v>
          </cell>
          <cell r="CP666">
            <v>1275.5999999999999</v>
          </cell>
          <cell r="CQ666">
            <v>1798.5</v>
          </cell>
          <cell r="CR666">
            <v>1567.8</v>
          </cell>
          <cell r="CS666">
            <v>1442.4</v>
          </cell>
          <cell r="CT666">
            <v>1283.7</v>
          </cell>
          <cell r="CU666">
            <v>1193.8</v>
          </cell>
          <cell r="CV666">
            <v>1424.3</v>
          </cell>
          <cell r="CW666">
            <v>967.1</v>
          </cell>
          <cell r="CX666">
            <v>1590.5</v>
          </cell>
          <cell r="CY666">
            <v>1454.1</v>
          </cell>
          <cell r="CZ666">
            <v>1401.5</v>
          </cell>
          <cell r="DA666">
            <v>1600.5</v>
          </cell>
          <cell r="DB666">
            <v>1635.8</v>
          </cell>
          <cell r="DC666">
            <v>1422.1</v>
          </cell>
          <cell r="DD666">
            <v>2926</v>
          </cell>
          <cell r="DE666">
            <v>1473</v>
          </cell>
          <cell r="DF666">
            <v>1309.3</v>
          </cell>
          <cell r="DG666">
            <v>797.1</v>
          </cell>
          <cell r="DH666">
            <v>2951</v>
          </cell>
          <cell r="DI666">
            <v>1799.3</v>
          </cell>
          <cell r="DJ666">
            <v>2223.3000000000002</v>
          </cell>
          <cell r="DK666">
            <v>2016.1</v>
          </cell>
          <cell r="DL666">
            <v>2117.6999999999998</v>
          </cell>
          <cell r="DM666">
            <v>2153.9</v>
          </cell>
          <cell r="DN666">
            <v>1823.4</v>
          </cell>
          <cell r="DO666">
            <v>1823.4</v>
          </cell>
          <cell r="DP666">
            <v>1823.4</v>
          </cell>
          <cell r="DQ666">
            <v>1823.4</v>
          </cell>
          <cell r="DR666">
            <v>1823.4</v>
          </cell>
          <cell r="DS666">
            <v>1823.4</v>
          </cell>
          <cell r="DT666">
            <v>1823.4</v>
          </cell>
          <cell r="DU666">
            <v>1823.4</v>
          </cell>
          <cell r="DV666">
            <v>1823.4</v>
          </cell>
          <cell r="DW666">
            <v>1823.4</v>
          </cell>
          <cell r="DX666">
            <v>1823.4</v>
          </cell>
          <cell r="DY666">
            <v>1823.4</v>
          </cell>
          <cell r="EM666">
            <v>12335.199999999999</v>
          </cell>
          <cell r="EN666">
            <v>13345.6</v>
          </cell>
          <cell r="EO666">
            <v>14543.6</v>
          </cell>
          <cell r="EP666">
            <v>18605.500000000004</v>
          </cell>
          <cell r="EQ666">
            <v>16554.2</v>
          </cell>
          <cell r="ER666">
            <v>17033.199999999997</v>
          </cell>
          <cell r="ES666">
            <v>16999.8</v>
          </cell>
        </row>
        <row r="667">
          <cell r="F667" t="str">
            <v>CON_BEN_2</v>
          </cell>
          <cell r="G667" t="str">
            <v>ER_RECV_CON_BEN_2</v>
          </cell>
          <cell r="H667" t="str">
            <v>Recoverable Conservation Benefit</v>
          </cell>
          <cell r="J667">
            <v>-1045.0999999999999</v>
          </cell>
          <cell r="K667">
            <v>-798.4</v>
          </cell>
          <cell r="L667">
            <v>-720.7</v>
          </cell>
          <cell r="M667">
            <v>-828.4</v>
          </cell>
          <cell r="N667">
            <v>-840.1</v>
          </cell>
          <cell r="O667">
            <v>-830</v>
          </cell>
          <cell r="P667">
            <v>-1359.5</v>
          </cell>
          <cell r="Q667">
            <v>-978</v>
          </cell>
          <cell r="R667">
            <v>-1122.9000000000001</v>
          </cell>
          <cell r="S667">
            <v>-977.9</v>
          </cell>
          <cell r="T667">
            <v>-965.7</v>
          </cell>
          <cell r="U667">
            <v>-762.4</v>
          </cell>
          <cell r="V667">
            <v>-1314.3</v>
          </cell>
          <cell r="W667">
            <v>-909.5</v>
          </cell>
          <cell r="X667">
            <v>-1107.5</v>
          </cell>
          <cell r="Y667">
            <v>-805.2</v>
          </cell>
          <cell r="Z667">
            <v>-1066.5</v>
          </cell>
          <cell r="AA667">
            <v>-963.7</v>
          </cell>
          <cell r="AB667">
            <v>-958.3</v>
          </cell>
          <cell r="AC667">
            <v>-1162.9000000000001</v>
          </cell>
          <cell r="AD667">
            <v>-1007.5</v>
          </cell>
          <cell r="AE667">
            <v>-1333.4</v>
          </cell>
          <cell r="AF667">
            <v>-868.4</v>
          </cell>
          <cell r="AG667">
            <v>-838</v>
          </cell>
          <cell r="AH667">
            <v>-1040.9000000000001</v>
          </cell>
          <cell r="AI667">
            <v>-942.8</v>
          </cell>
          <cell r="AJ667">
            <v>-1031.7</v>
          </cell>
          <cell r="AK667">
            <v>-901.2</v>
          </cell>
          <cell r="AL667">
            <v>-1189.9000000000001</v>
          </cell>
          <cell r="AM667">
            <v>-1148.7</v>
          </cell>
          <cell r="AN667">
            <v>-1029.3</v>
          </cell>
          <cell r="AO667">
            <v>-1465.6</v>
          </cell>
          <cell r="AP667">
            <v>-929</v>
          </cell>
          <cell r="AQ667">
            <v>-1317.1</v>
          </cell>
          <cell r="AR667">
            <v>-857.5</v>
          </cell>
          <cell r="AS667">
            <v>-1491.9</v>
          </cell>
          <cell r="AT667">
            <v>-386.7</v>
          </cell>
          <cell r="AU667">
            <v>-721.4</v>
          </cell>
          <cell r="AV667">
            <v>-888.4</v>
          </cell>
          <cell r="AW667">
            <v>-868</v>
          </cell>
          <cell r="AX667">
            <v>-1444.4</v>
          </cell>
          <cell r="AY667">
            <v>-1502.6</v>
          </cell>
          <cell r="AZ667">
            <v>-1464.9</v>
          </cell>
          <cell r="BA667">
            <v>-1607.8</v>
          </cell>
          <cell r="BB667">
            <v>-1269.7</v>
          </cell>
          <cell r="BC667">
            <v>-1982.1</v>
          </cell>
          <cell r="BD667">
            <v>-1355.2</v>
          </cell>
          <cell r="BE667">
            <v>-1052.4000000000001</v>
          </cell>
          <cell r="BF667">
            <v>-1319.8</v>
          </cell>
          <cell r="BG667">
            <v>-1576.9</v>
          </cell>
          <cell r="BH667">
            <v>-1847.3</v>
          </cell>
          <cell r="BI667">
            <v>-2612.5</v>
          </cell>
          <cell r="BJ667">
            <v>-1025</v>
          </cell>
          <cell r="BK667">
            <v>-1136</v>
          </cell>
          <cell r="BL667">
            <v>-2161.6999999999998</v>
          </cell>
          <cell r="BM667">
            <v>-1557</v>
          </cell>
          <cell r="BN667">
            <v>-894.7</v>
          </cell>
          <cell r="BO667">
            <v>-2074.6999999999998</v>
          </cell>
          <cell r="BP667">
            <v>-1027.2</v>
          </cell>
          <cell r="BQ667">
            <v>-1372.7</v>
          </cell>
          <cell r="BR667">
            <v>-1682.8</v>
          </cell>
          <cell r="BS667">
            <v>-783.4</v>
          </cell>
          <cell r="BT667">
            <v>-1059.5999999999999</v>
          </cell>
          <cell r="BU667">
            <v>-1363.5</v>
          </cell>
          <cell r="BV667">
            <v>-1061</v>
          </cell>
          <cell r="BW667">
            <v>-1772.3</v>
          </cell>
          <cell r="BX667">
            <v>-2123.8000000000002</v>
          </cell>
          <cell r="BY667">
            <v>-1362.6</v>
          </cell>
          <cell r="BZ667">
            <v>-955.5</v>
          </cell>
          <cell r="CA667">
            <v>-1600.9</v>
          </cell>
          <cell r="CB667">
            <v>-1400.9</v>
          </cell>
          <cell r="CC667">
            <v>-1387.9</v>
          </cell>
          <cell r="CD667">
            <v>-1632.6</v>
          </cell>
          <cell r="CE667">
            <v>-1153.3</v>
          </cell>
          <cell r="CF667">
            <v>-1086.3</v>
          </cell>
          <cell r="CG667">
            <v>-1506.9</v>
          </cell>
          <cell r="CH667">
            <v>-1344.2</v>
          </cell>
          <cell r="CI667">
            <v>-1376.4</v>
          </cell>
          <cell r="CJ667">
            <v>-1194.8</v>
          </cell>
          <cell r="CK667">
            <v>-1406.4</v>
          </cell>
          <cell r="CL667">
            <v>-1689.3</v>
          </cell>
          <cell r="CM667">
            <v>-1880.7</v>
          </cell>
          <cell r="CN667">
            <v>-1307.3</v>
          </cell>
          <cell r="CO667">
            <v>-1455</v>
          </cell>
          <cell r="CP667">
            <v>-1275.5999999999999</v>
          </cell>
          <cell r="CQ667">
            <v>-1798.5</v>
          </cell>
          <cell r="CR667">
            <v>-1567.8</v>
          </cell>
          <cell r="CS667">
            <v>-1442.4</v>
          </cell>
          <cell r="CT667">
            <v>-1283.7</v>
          </cell>
          <cell r="CU667">
            <v>-1193.8</v>
          </cell>
          <cell r="CV667">
            <v>-1424.3</v>
          </cell>
          <cell r="CW667">
            <v>-967.1</v>
          </cell>
          <cell r="CX667">
            <v>-1590.5</v>
          </cell>
          <cell r="CY667">
            <v>-1454.1</v>
          </cell>
          <cell r="CZ667">
            <v>-1401.5</v>
          </cell>
          <cell r="DA667">
            <v>-1600.5</v>
          </cell>
          <cell r="DB667">
            <v>-1635.8</v>
          </cell>
          <cell r="DC667">
            <v>-1422.1</v>
          </cell>
          <cell r="DD667">
            <v>-2926</v>
          </cell>
          <cell r="DE667">
            <v>-1473</v>
          </cell>
          <cell r="DF667">
            <v>-1309.3</v>
          </cell>
          <cell r="DG667">
            <v>-797.1</v>
          </cell>
          <cell r="DH667">
            <v>-2951</v>
          </cell>
          <cell r="DI667">
            <v>-1799.3</v>
          </cell>
          <cell r="DJ667">
            <v>-2223.3000000000002</v>
          </cell>
          <cell r="DK667">
            <v>-2016.1</v>
          </cell>
          <cell r="DL667">
            <v>-2117.6999999999998</v>
          </cell>
          <cell r="DM667">
            <v>-2153.9</v>
          </cell>
          <cell r="DN667">
            <v>-1823.4</v>
          </cell>
          <cell r="DO667">
            <v>-1823.4</v>
          </cell>
          <cell r="DP667">
            <v>-1823.4</v>
          </cell>
          <cell r="DQ667">
            <v>-1823.4</v>
          </cell>
          <cell r="DR667">
            <v>-1823.4</v>
          </cell>
          <cell r="DS667">
            <v>-1823.4</v>
          </cell>
          <cell r="DT667">
            <v>-1823.4</v>
          </cell>
          <cell r="DU667">
            <v>-1823.4</v>
          </cell>
          <cell r="DV667">
            <v>-1823.4</v>
          </cell>
          <cell r="DW667">
            <v>-1823.4</v>
          </cell>
          <cell r="DX667">
            <v>-1823.4</v>
          </cell>
          <cell r="DY667">
            <v>-1823.4</v>
          </cell>
          <cell r="EM667">
            <v>-12335.199999999999</v>
          </cell>
          <cell r="EN667">
            <v>-13345.6</v>
          </cell>
          <cell r="EO667">
            <v>-14543.6</v>
          </cell>
          <cell r="EP667">
            <v>-18605.500000000004</v>
          </cell>
          <cell r="EQ667">
            <v>-16554.2</v>
          </cell>
          <cell r="ER667">
            <v>-17033.199999999997</v>
          </cell>
          <cell r="ES667">
            <v>-16999.8</v>
          </cell>
        </row>
        <row r="668">
          <cell r="F668" t="str">
            <v>REGASMTFEE_1</v>
          </cell>
          <cell r="G668" t="str">
            <v>ER_FUEL_REGASMTFEE_1</v>
          </cell>
          <cell r="H668" t="str">
            <v>FUEL Regulatory Assessment Fee</v>
          </cell>
          <cell r="J668">
            <v>-76.400000000000006</v>
          </cell>
          <cell r="K668">
            <v>-69.3</v>
          </cell>
          <cell r="L668">
            <v>-42.3</v>
          </cell>
          <cell r="M668">
            <v>-41.5</v>
          </cell>
          <cell r="N668">
            <v>-28.3</v>
          </cell>
          <cell r="O668">
            <v>-30.7</v>
          </cell>
          <cell r="P668">
            <v>-27</v>
          </cell>
          <cell r="Q668">
            <v>-24.5</v>
          </cell>
          <cell r="R668">
            <v>-27.6</v>
          </cell>
          <cell r="S668">
            <v>-28.5</v>
          </cell>
          <cell r="T668">
            <v>-37</v>
          </cell>
          <cell r="U668">
            <v>-59.2</v>
          </cell>
          <cell r="V668">
            <v>-66.099999999999994</v>
          </cell>
          <cell r="W668">
            <v>-60.4</v>
          </cell>
          <cell r="X668">
            <v>-51.5</v>
          </cell>
          <cell r="Y668">
            <v>-27.9</v>
          </cell>
          <cell r="Z668">
            <v>-25.6</v>
          </cell>
          <cell r="AA668">
            <v>-32.299999999999997</v>
          </cell>
          <cell r="AB668">
            <v>-25.1</v>
          </cell>
          <cell r="AC668">
            <v>-26.6</v>
          </cell>
          <cell r="AD668">
            <v>-25.9</v>
          </cell>
          <cell r="AE668">
            <v>710.1</v>
          </cell>
          <cell r="AF668">
            <v>-770.5</v>
          </cell>
          <cell r="AG668">
            <v>-42.9</v>
          </cell>
          <cell r="AH668">
            <v>-66.2</v>
          </cell>
          <cell r="AI668">
            <v>-73.5</v>
          </cell>
          <cell r="AJ668">
            <v>-48.1</v>
          </cell>
          <cell r="AK668">
            <v>-38.200000000000003</v>
          </cell>
          <cell r="AL668">
            <v>-30.7</v>
          </cell>
          <cell r="AM668">
            <v>-25.9</v>
          </cell>
          <cell r="AN668">
            <v>-23.3</v>
          </cell>
          <cell r="AO668">
            <v>-24.6</v>
          </cell>
          <cell r="AP668">
            <v>-24</v>
          </cell>
          <cell r="AQ668">
            <v>-24.9</v>
          </cell>
          <cell r="AR668">
            <v>-31.5</v>
          </cell>
          <cell r="AS668">
            <v>-42.1</v>
          </cell>
          <cell r="AT668">
            <v>-50.9</v>
          </cell>
          <cell r="AU668">
            <v>-47.6</v>
          </cell>
          <cell r="AV668">
            <v>-39.200000000000003</v>
          </cell>
          <cell r="AW668">
            <v>-39.5</v>
          </cell>
          <cell r="AX668">
            <v>-29.4</v>
          </cell>
          <cell r="AY668">
            <v>-24.4</v>
          </cell>
          <cell r="AZ668">
            <v>-23.5</v>
          </cell>
          <cell r="BA668">
            <v>-23.9</v>
          </cell>
          <cell r="BB668">
            <v>-35.4</v>
          </cell>
          <cell r="BC668">
            <v>-28.1</v>
          </cell>
          <cell r="BD668">
            <v>-42.9</v>
          </cell>
          <cell r="BE668">
            <v>-56.5</v>
          </cell>
          <cell r="BF668">
            <v>-100.9</v>
          </cell>
          <cell r="BG668">
            <v>-67.3</v>
          </cell>
          <cell r="BH668">
            <v>-41.7</v>
          </cell>
          <cell r="BI668">
            <v>-52.3</v>
          </cell>
          <cell r="BJ668">
            <v>-32.200000000000003</v>
          </cell>
          <cell r="BK668">
            <v>-29.7</v>
          </cell>
          <cell r="BL668">
            <v>-27</v>
          </cell>
          <cell r="BM668">
            <v>-25.3</v>
          </cell>
          <cell r="BN668">
            <v>-29.7</v>
          </cell>
          <cell r="BO668">
            <v>-26.5</v>
          </cell>
          <cell r="BP668">
            <v>-34</v>
          </cell>
          <cell r="BQ668">
            <v>-58.3</v>
          </cell>
          <cell r="BR668">
            <v>-69.400000000000006</v>
          </cell>
          <cell r="BS668">
            <v>-59.6</v>
          </cell>
          <cell r="BT668">
            <v>-53.8</v>
          </cell>
          <cell r="BU668">
            <v>-53</v>
          </cell>
          <cell r="BV668">
            <v>-39.1</v>
          </cell>
          <cell r="BW668">
            <v>-30.2</v>
          </cell>
          <cell r="BX668">
            <v>-31.3</v>
          </cell>
          <cell r="BY668">
            <v>-24.5</v>
          </cell>
          <cell r="BZ668">
            <v>-30</v>
          </cell>
          <cell r="CA668">
            <v>-26</v>
          </cell>
          <cell r="CB668">
            <v>-41</v>
          </cell>
          <cell r="CC668">
            <v>-58.6</v>
          </cell>
          <cell r="CD668">
            <v>-64.900000000000006</v>
          </cell>
          <cell r="CE668">
            <v>-56.1</v>
          </cell>
          <cell r="CF668">
            <v>-45.6</v>
          </cell>
          <cell r="CG668">
            <v>-37</v>
          </cell>
          <cell r="CH668">
            <v>-32.200000000000003</v>
          </cell>
          <cell r="CI668">
            <v>-30.7</v>
          </cell>
          <cell r="CJ668">
            <v>-24.5</v>
          </cell>
          <cell r="CK668">
            <v>-26.5</v>
          </cell>
          <cell r="CL668">
            <v>-26.4</v>
          </cell>
          <cell r="CM668">
            <v>-31.7</v>
          </cell>
          <cell r="CN668">
            <v>-43.2</v>
          </cell>
          <cell r="CO668">
            <v>-71.7</v>
          </cell>
          <cell r="CP668">
            <v>-93.1</v>
          </cell>
          <cell r="CQ668">
            <v>-65.400000000000006</v>
          </cell>
          <cell r="CR668">
            <v>-73.599999999999994</v>
          </cell>
          <cell r="CS668">
            <v>-67.5</v>
          </cell>
          <cell r="CT668">
            <v>-44.4</v>
          </cell>
          <cell r="CU668">
            <v>-43.3</v>
          </cell>
          <cell r="CV668">
            <v>-41.3</v>
          </cell>
          <cell r="CW668">
            <v>-37.6</v>
          </cell>
          <cell r="CX668">
            <v>-45.2</v>
          </cell>
          <cell r="CY668">
            <v>-40.9</v>
          </cell>
          <cell r="CZ668">
            <v>-57.5</v>
          </cell>
          <cell r="DA668">
            <v>-84.7</v>
          </cell>
          <cell r="DB668">
            <v>-112</v>
          </cell>
          <cell r="DC668">
            <v>-102.2</v>
          </cell>
          <cell r="DD668">
            <v>-69.5</v>
          </cell>
          <cell r="DE668">
            <v>-67.2</v>
          </cell>
          <cell r="DF668">
            <v>-57.9</v>
          </cell>
          <cell r="DG668">
            <v>-46</v>
          </cell>
          <cell r="DH668">
            <v>-37.299999999999997</v>
          </cell>
          <cell r="DI668">
            <v>-67.2</v>
          </cell>
          <cell r="DJ668">
            <v>-59.3</v>
          </cell>
          <cell r="DK668">
            <v>-82.4</v>
          </cell>
          <cell r="DL668">
            <v>-37.700000000000003</v>
          </cell>
          <cell r="DM668">
            <v>-68.3</v>
          </cell>
          <cell r="DN668">
            <v>-152.1</v>
          </cell>
          <cell r="DO668">
            <v>-142.1</v>
          </cell>
          <cell r="DP668">
            <v>-117.3</v>
          </cell>
          <cell r="DQ668">
            <v>-84.3</v>
          </cell>
          <cell r="DR668">
            <v>-68.5</v>
          </cell>
          <cell r="DS668">
            <v>-60.5</v>
          </cell>
          <cell r="DT668">
            <v>-57.7</v>
          </cell>
          <cell r="DU668">
            <v>-55.6</v>
          </cell>
          <cell r="DV668">
            <v>-58</v>
          </cell>
          <cell r="DW668">
            <v>-65.400000000000006</v>
          </cell>
          <cell r="DX668">
            <v>-81.400000000000006</v>
          </cell>
          <cell r="DY668">
            <v>-100.9</v>
          </cell>
          <cell r="EM668">
            <v>-444.7</v>
          </cell>
          <cell r="EN668">
            <v>-453</v>
          </cell>
          <cell r="EO668">
            <v>-441.29999999999995</v>
          </cell>
          <cell r="EP668">
            <v>-524.9</v>
          </cell>
          <cell r="EQ668">
            <v>-516.5</v>
          </cell>
          <cell r="ER668">
            <v>-490.49999999999994</v>
          </cell>
          <cell r="ES668">
            <v>-694.50000000000011</v>
          </cell>
        </row>
        <row r="669">
          <cell r="F669" t="str">
            <v>REGASMTFEE_2</v>
          </cell>
          <cell r="G669" t="str">
            <v>ER_FUEL_REGASMTFEE_2</v>
          </cell>
          <cell r="H669" t="str">
            <v>FUEL Regulatory Assessment Fee</v>
          </cell>
          <cell r="J669">
            <v>76.400000000000006</v>
          </cell>
          <cell r="K669">
            <v>69.3</v>
          </cell>
          <cell r="L669">
            <v>42.3</v>
          </cell>
          <cell r="M669">
            <v>41.5</v>
          </cell>
          <cell r="N669">
            <v>28.3</v>
          </cell>
          <cell r="O669">
            <v>30.7</v>
          </cell>
          <cell r="P669">
            <v>27</v>
          </cell>
          <cell r="Q669">
            <v>24.5</v>
          </cell>
          <cell r="R669">
            <v>27.6</v>
          </cell>
          <cell r="S669">
            <v>28.5</v>
          </cell>
          <cell r="T669">
            <v>37</v>
          </cell>
          <cell r="U669">
            <v>59.2</v>
          </cell>
          <cell r="V669">
            <v>66.099999999999994</v>
          </cell>
          <cell r="W669">
            <v>60.4</v>
          </cell>
          <cell r="X669">
            <v>51.5</v>
          </cell>
          <cell r="Y669">
            <v>27.9</v>
          </cell>
          <cell r="Z669">
            <v>25.6</v>
          </cell>
          <cell r="AA669">
            <v>32.299999999999997</v>
          </cell>
          <cell r="AB669">
            <v>25.1</v>
          </cell>
          <cell r="AC669">
            <v>26.6</v>
          </cell>
          <cell r="AD669">
            <v>25.9</v>
          </cell>
          <cell r="AE669">
            <v>-710.1</v>
          </cell>
          <cell r="AF669">
            <v>770.5</v>
          </cell>
          <cell r="AG669">
            <v>42.9</v>
          </cell>
          <cell r="AH669">
            <v>66.2</v>
          </cell>
          <cell r="AI669">
            <v>73.5</v>
          </cell>
          <cell r="AJ669">
            <v>48.1</v>
          </cell>
          <cell r="AK669">
            <v>38.200000000000003</v>
          </cell>
          <cell r="AL669">
            <v>30.7</v>
          </cell>
          <cell r="AM669">
            <v>25.9</v>
          </cell>
          <cell r="AN669">
            <v>23.3</v>
          </cell>
          <cell r="AO669">
            <v>24.6</v>
          </cell>
          <cell r="AP669">
            <v>24</v>
          </cell>
          <cell r="AQ669">
            <v>24.9</v>
          </cell>
          <cell r="AR669">
            <v>31.5</v>
          </cell>
          <cell r="AS669">
            <v>42.1</v>
          </cell>
          <cell r="AT669">
            <v>50.9</v>
          </cell>
          <cell r="AU669">
            <v>47.6</v>
          </cell>
          <cell r="AV669">
            <v>39.200000000000003</v>
          </cell>
          <cell r="AW669">
            <v>39.5</v>
          </cell>
          <cell r="AX669">
            <v>29.4</v>
          </cell>
          <cell r="AY669">
            <v>24.4</v>
          </cell>
          <cell r="AZ669">
            <v>23.5</v>
          </cell>
          <cell r="BA669">
            <v>23.9</v>
          </cell>
          <cell r="BB669">
            <v>35.4</v>
          </cell>
          <cell r="BC669">
            <v>28.1</v>
          </cell>
          <cell r="BD669">
            <v>42.9</v>
          </cell>
          <cell r="BE669">
            <v>56.5</v>
          </cell>
          <cell r="BF669">
            <v>100.9</v>
          </cell>
          <cell r="BG669">
            <v>67.3</v>
          </cell>
          <cell r="BH669">
            <v>41.7</v>
          </cell>
          <cell r="BI669">
            <v>52.3</v>
          </cell>
          <cell r="BJ669">
            <v>32.200000000000003</v>
          </cell>
          <cell r="BK669">
            <v>29.7</v>
          </cell>
          <cell r="BL669">
            <v>27</v>
          </cell>
          <cell r="BM669">
            <v>25.3</v>
          </cell>
          <cell r="BN669">
            <v>29.7</v>
          </cell>
          <cell r="BO669">
            <v>26.5</v>
          </cell>
          <cell r="BP669">
            <v>34</v>
          </cell>
          <cell r="BQ669">
            <v>58.3</v>
          </cell>
          <cell r="BR669">
            <v>69.400000000000006</v>
          </cell>
          <cell r="BS669">
            <v>59.6</v>
          </cell>
          <cell r="BT669">
            <v>53.8</v>
          </cell>
          <cell r="BU669">
            <v>53</v>
          </cell>
          <cell r="BV669">
            <v>39.1</v>
          </cell>
          <cell r="BW669">
            <v>30.2</v>
          </cell>
          <cell r="BX669">
            <v>31.3</v>
          </cell>
          <cell r="BY669">
            <v>24.5</v>
          </cell>
          <cell r="BZ669">
            <v>30</v>
          </cell>
          <cell r="CA669">
            <v>26</v>
          </cell>
          <cell r="CB669">
            <v>41</v>
          </cell>
          <cell r="CC669">
            <v>58.6</v>
          </cell>
          <cell r="CD669">
            <v>64.900000000000006</v>
          </cell>
          <cell r="CE669">
            <v>56.1</v>
          </cell>
          <cell r="CF669">
            <v>45.6</v>
          </cell>
          <cell r="CG669">
            <v>37</v>
          </cell>
          <cell r="CH669">
            <v>32.200000000000003</v>
          </cell>
          <cell r="CI669">
            <v>30.7</v>
          </cell>
          <cell r="CJ669">
            <v>24.5</v>
          </cell>
          <cell r="CK669">
            <v>26.5</v>
          </cell>
          <cell r="CL669">
            <v>26.4</v>
          </cell>
          <cell r="CM669">
            <v>31.7</v>
          </cell>
          <cell r="CN669">
            <v>43.2</v>
          </cell>
          <cell r="CO669">
            <v>71.7</v>
          </cell>
          <cell r="CP669">
            <v>93.1</v>
          </cell>
          <cell r="CQ669">
            <v>65.400000000000006</v>
          </cell>
          <cell r="CR669">
            <v>73.599999999999994</v>
          </cell>
          <cell r="CS669">
            <v>67.5</v>
          </cell>
          <cell r="CT669">
            <v>44.4</v>
          </cell>
          <cell r="CU669">
            <v>43.3</v>
          </cell>
          <cell r="CV669">
            <v>41.3</v>
          </cell>
          <cell r="CW669">
            <v>37.6</v>
          </cell>
          <cell r="CX669">
            <v>45.2</v>
          </cell>
          <cell r="CY669">
            <v>40.9</v>
          </cell>
          <cell r="CZ669">
            <v>57.5</v>
          </cell>
          <cell r="DA669">
            <v>84.7</v>
          </cell>
          <cell r="DB669">
            <v>112</v>
          </cell>
          <cell r="DC669">
            <v>102.2</v>
          </cell>
          <cell r="DD669">
            <v>69.5</v>
          </cell>
          <cell r="DE669">
            <v>67.2</v>
          </cell>
          <cell r="DF669">
            <v>57.9</v>
          </cell>
          <cell r="DG669">
            <v>46</v>
          </cell>
          <cell r="DH669">
            <v>37.299999999999997</v>
          </cell>
          <cell r="DI669">
            <v>67.2</v>
          </cell>
          <cell r="DJ669">
            <v>59.3</v>
          </cell>
          <cell r="DK669">
            <v>82.4</v>
          </cell>
          <cell r="DL669">
            <v>37.700000000000003</v>
          </cell>
          <cell r="DM669">
            <v>68.3</v>
          </cell>
          <cell r="DN669">
            <v>152.1</v>
          </cell>
          <cell r="DO669">
            <v>142.1</v>
          </cell>
          <cell r="DP669">
            <v>117.3</v>
          </cell>
          <cell r="DQ669">
            <v>84.3</v>
          </cell>
          <cell r="DR669">
            <v>68.5</v>
          </cell>
          <cell r="DS669">
            <v>60.5</v>
          </cell>
          <cell r="DT669">
            <v>57.7</v>
          </cell>
          <cell r="DU669">
            <v>55.6</v>
          </cell>
          <cell r="DV669">
            <v>58</v>
          </cell>
          <cell r="DW669">
            <v>65.400000000000006</v>
          </cell>
          <cell r="DX669">
            <v>81.400000000000006</v>
          </cell>
          <cell r="DY669">
            <v>100.9</v>
          </cell>
          <cell r="EM669">
            <v>444.7</v>
          </cell>
          <cell r="EN669">
            <v>453</v>
          </cell>
          <cell r="EO669">
            <v>441.29999999999995</v>
          </cell>
          <cell r="EP669">
            <v>524.9</v>
          </cell>
          <cell r="EQ669">
            <v>516.5</v>
          </cell>
          <cell r="ER669">
            <v>490.49999999999994</v>
          </cell>
          <cell r="ES669">
            <v>694.50000000000011</v>
          </cell>
        </row>
        <row r="670">
          <cell r="F670" t="str">
            <v>CIBSRREG_1</v>
          </cell>
          <cell r="G670" t="str">
            <v>ER_CIBSR_REGASMTF_1</v>
          </cell>
          <cell r="H670" t="str">
            <v>CIBSR Regulatory Assessment Fee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-75.2</v>
          </cell>
          <cell r="BF670">
            <v>-6.7</v>
          </cell>
          <cell r="BG670">
            <v>-5.9</v>
          </cell>
          <cell r="BH670">
            <v>-4.8</v>
          </cell>
          <cell r="BI670">
            <v>-5</v>
          </cell>
          <cell r="BJ670">
            <v>-4</v>
          </cell>
          <cell r="BK670">
            <v>-3.8</v>
          </cell>
          <cell r="BL670">
            <v>-3.4</v>
          </cell>
          <cell r="BM670">
            <v>-3.3</v>
          </cell>
          <cell r="BN670">
            <v>-3.6</v>
          </cell>
          <cell r="BO670">
            <v>-3.3</v>
          </cell>
          <cell r="BP670">
            <v>-3.6</v>
          </cell>
          <cell r="BQ670">
            <v>-4.9000000000000004</v>
          </cell>
          <cell r="BR670">
            <v>-6</v>
          </cell>
          <cell r="BS670">
            <v>-6</v>
          </cell>
          <cell r="BT670">
            <v>-5</v>
          </cell>
          <cell r="BU670">
            <v>-4.5999999999999996</v>
          </cell>
          <cell r="BV670">
            <v>-4.2</v>
          </cell>
          <cell r="BW670">
            <v>-3.6</v>
          </cell>
          <cell r="BX670">
            <v>-3.4</v>
          </cell>
          <cell r="BY670">
            <v>-3.4</v>
          </cell>
          <cell r="BZ670">
            <v>-3.5</v>
          </cell>
          <cell r="CA670">
            <v>-3.4</v>
          </cell>
          <cell r="CB670">
            <v>-3.9</v>
          </cell>
          <cell r="CC670">
            <v>-5.3</v>
          </cell>
          <cell r="CD670">
            <v>-10.6</v>
          </cell>
          <cell r="CE670">
            <v>-10.3</v>
          </cell>
          <cell r="CF670">
            <v>-9.6</v>
          </cell>
          <cell r="CG670">
            <v>-7.2</v>
          </cell>
          <cell r="CH670">
            <v>-6.4</v>
          </cell>
          <cell r="CI670">
            <v>-6.4</v>
          </cell>
          <cell r="CJ670">
            <v>-5.9</v>
          </cell>
          <cell r="CK670">
            <v>-5.8</v>
          </cell>
          <cell r="CL670">
            <v>-5.8</v>
          </cell>
          <cell r="CM670">
            <v>-6.2</v>
          </cell>
          <cell r="CN670">
            <v>-7.1</v>
          </cell>
          <cell r="CO670">
            <v>-9.1</v>
          </cell>
          <cell r="CP670">
            <v>-3.1</v>
          </cell>
          <cell r="CQ670">
            <v>-2.9</v>
          </cell>
          <cell r="CR670">
            <v>-2.5</v>
          </cell>
          <cell r="CS670">
            <v>-2.4</v>
          </cell>
          <cell r="CT670">
            <v>-2</v>
          </cell>
          <cell r="CU670">
            <v>-1.9</v>
          </cell>
          <cell r="CV670">
            <v>-1.8</v>
          </cell>
          <cell r="CW670">
            <v>-1.6</v>
          </cell>
          <cell r="CX670">
            <v>-1.7</v>
          </cell>
          <cell r="CY670">
            <v>-1.7</v>
          </cell>
          <cell r="CZ670">
            <v>-2</v>
          </cell>
          <cell r="DA670">
            <v>-2.6</v>
          </cell>
          <cell r="DB670">
            <v>-2.7</v>
          </cell>
          <cell r="DC670">
            <v>-2.9</v>
          </cell>
          <cell r="DD670">
            <v>-2.5</v>
          </cell>
          <cell r="DE670">
            <v>-2.2999999999999998</v>
          </cell>
          <cell r="DF670">
            <v>-2.1</v>
          </cell>
          <cell r="DG670">
            <v>-1.8</v>
          </cell>
          <cell r="DH670">
            <v>-1.7</v>
          </cell>
          <cell r="DI670">
            <v>-1.6</v>
          </cell>
          <cell r="DJ670">
            <v>-1.7</v>
          </cell>
          <cell r="DK670">
            <v>-1.8</v>
          </cell>
          <cell r="DL670">
            <v>-1.9</v>
          </cell>
          <cell r="DM670">
            <v>-2.2999999999999998</v>
          </cell>
          <cell r="DN670">
            <v>-5</v>
          </cell>
          <cell r="DO670">
            <v>-4.9000000000000004</v>
          </cell>
          <cell r="DP670">
            <v>-4.3</v>
          </cell>
          <cell r="DQ670">
            <v>-3.8</v>
          </cell>
          <cell r="DR670">
            <v>-3.4</v>
          </cell>
          <cell r="DS670">
            <v>-3.1</v>
          </cell>
          <cell r="DT670">
            <v>-3</v>
          </cell>
          <cell r="DU670">
            <v>-2.9</v>
          </cell>
          <cell r="DV670">
            <v>-2.9</v>
          </cell>
          <cell r="DW670">
            <v>-3</v>
          </cell>
          <cell r="DX670">
            <v>-3.4</v>
          </cell>
          <cell r="DY670">
            <v>-4.3</v>
          </cell>
          <cell r="EM670">
            <v>0</v>
          </cell>
          <cell r="EN670">
            <v>0</v>
          </cell>
          <cell r="EO670">
            <v>-75.2</v>
          </cell>
          <cell r="EP670">
            <v>-52.3</v>
          </cell>
          <cell r="EQ670">
            <v>-52.3</v>
          </cell>
          <cell r="ER670">
            <v>-90.399999999999991</v>
          </cell>
          <cell r="ES670">
            <v>-26.200000000000003</v>
          </cell>
        </row>
        <row r="671">
          <cell r="F671" t="str">
            <v>CIBSRREG_2</v>
          </cell>
          <cell r="G671" t="str">
            <v>ER_CIBSR_REGASMTF_2</v>
          </cell>
          <cell r="H671" t="str">
            <v>CIBSR Regulatory Assessment Fee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75.2</v>
          </cell>
          <cell r="BF671">
            <v>6.7</v>
          </cell>
          <cell r="BG671">
            <v>5.9</v>
          </cell>
          <cell r="BH671">
            <v>4.8</v>
          </cell>
          <cell r="BI671">
            <v>5</v>
          </cell>
          <cell r="BJ671">
            <v>4</v>
          </cell>
          <cell r="BK671">
            <v>3.8</v>
          </cell>
          <cell r="BL671">
            <v>3.4</v>
          </cell>
          <cell r="BM671">
            <v>3.3</v>
          </cell>
          <cell r="BN671">
            <v>3.6</v>
          </cell>
          <cell r="BO671">
            <v>3.3</v>
          </cell>
          <cell r="BP671">
            <v>3.6</v>
          </cell>
          <cell r="BQ671">
            <v>4.9000000000000004</v>
          </cell>
          <cell r="BR671">
            <v>6</v>
          </cell>
          <cell r="BS671">
            <v>6</v>
          </cell>
          <cell r="BT671">
            <v>5</v>
          </cell>
          <cell r="BU671">
            <v>4.5999999999999996</v>
          </cell>
          <cell r="BV671">
            <v>4.2</v>
          </cell>
          <cell r="BW671">
            <v>3.6</v>
          </cell>
          <cell r="BX671">
            <v>3.4</v>
          </cell>
          <cell r="BY671">
            <v>3.4</v>
          </cell>
          <cell r="BZ671">
            <v>3.5</v>
          </cell>
          <cell r="CA671">
            <v>3.4</v>
          </cell>
          <cell r="CB671">
            <v>3.9</v>
          </cell>
          <cell r="CC671">
            <v>5.3</v>
          </cell>
          <cell r="CD671">
            <v>10.6</v>
          </cell>
          <cell r="CE671">
            <v>10.3</v>
          </cell>
          <cell r="CF671">
            <v>9.6</v>
          </cell>
          <cell r="CG671">
            <v>7.2</v>
          </cell>
          <cell r="CH671">
            <v>6.4</v>
          </cell>
          <cell r="CI671">
            <v>6.4</v>
          </cell>
          <cell r="CJ671">
            <v>5.9</v>
          </cell>
          <cell r="CK671">
            <v>5.8</v>
          </cell>
          <cell r="CL671">
            <v>5.8</v>
          </cell>
          <cell r="CM671">
            <v>6.2</v>
          </cell>
          <cell r="CN671">
            <v>7.1</v>
          </cell>
          <cell r="CO671">
            <v>9.1</v>
          </cell>
          <cell r="CP671">
            <v>3.1</v>
          </cell>
          <cell r="CQ671">
            <v>2.9</v>
          </cell>
          <cell r="CR671">
            <v>2.5</v>
          </cell>
          <cell r="CS671">
            <v>2.4</v>
          </cell>
          <cell r="CT671">
            <v>2</v>
          </cell>
          <cell r="CU671">
            <v>1.9</v>
          </cell>
          <cell r="CV671">
            <v>1.8</v>
          </cell>
          <cell r="CW671">
            <v>1.6</v>
          </cell>
          <cell r="CX671">
            <v>1.7</v>
          </cell>
          <cell r="CY671">
            <v>1.7</v>
          </cell>
          <cell r="CZ671">
            <v>2</v>
          </cell>
          <cell r="DA671">
            <v>2.6</v>
          </cell>
          <cell r="DB671">
            <v>2.7</v>
          </cell>
          <cell r="DC671">
            <v>2.9</v>
          </cell>
          <cell r="DD671">
            <v>2.5</v>
          </cell>
          <cell r="DE671">
            <v>2.2999999999999998</v>
          </cell>
          <cell r="DF671">
            <v>2.1</v>
          </cell>
          <cell r="DG671">
            <v>1.8</v>
          </cell>
          <cell r="DH671">
            <v>1.7</v>
          </cell>
          <cell r="DI671">
            <v>1.6</v>
          </cell>
          <cell r="DJ671">
            <v>1.7</v>
          </cell>
          <cell r="DK671">
            <v>1.8</v>
          </cell>
          <cell r="DL671">
            <v>1.9</v>
          </cell>
          <cell r="DM671">
            <v>2.2999999999999998</v>
          </cell>
          <cell r="DN671">
            <v>5</v>
          </cell>
          <cell r="DO671">
            <v>4.9000000000000004</v>
          </cell>
          <cell r="DP671">
            <v>4.3</v>
          </cell>
          <cell r="DQ671">
            <v>3.8</v>
          </cell>
          <cell r="DR671">
            <v>3.4</v>
          </cell>
          <cell r="DS671">
            <v>3.1</v>
          </cell>
          <cell r="DT671">
            <v>3</v>
          </cell>
          <cell r="DU671">
            <v>2.9</v>
          </cell>
          <cell r="DV671">
            <v>2.9</v>
          </cell>
          <cell r="DW671">
            <v>3</v>
          </cell>
          <cell r="DX671">
            <v>3.4</v>
          </cell>
          <cell r="DY671">
            <v>4.3</v>
          </cell>
          <cell r="EM671">
            <v>0</v>
          </cell>
          <cell r="EN671">
            <v>0</v>
          </cell>
          <cell r="EO671">
            <v>75.2</v>
          </cell>
          <cell r="EP671">
            <v>52.3</v>
          </cell>
          <cell r="EQ671">
            <v>52.3</v>
          </cell>
          <cell r="ER671">
            <v>90.399999999999991</v>
          </cell>
          <cell r="ES671">
            <v>26.200000000000003</v>
          </cell>
        </row>
        <row r="672">
          <cell r="F672" t="str">
            <v>TL_1</v>
          </cell>
          <cell r="G672" t="str">
            <v>ER_IND_DUE_BTL_1</v>
          </cell>
          <cell r="H672" t="str">
            <v>Other BTL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52.2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38</v>
          </cell>
          <cell r="DD672">
            <v>0</v>
          </cell>
          <cell r="DE672">
            <v>27.9</v>
          </cell>
          <cell r="DF672">
            <v>12</v>
          </cell>
          <cell r="DG672">
            <v>0</v>
          </cell>
          <cell r="DH672">
            <v>2.9</v>
          </cell>
          <cell r="DI672">
            <v>0</v>
          </cell>
          <cell r="DJ672">
            <v>0</v>
          </cell>
          <cell r="DK672">
            <v>2.9</v>
          </cell>
          <cell r="DL672">
            <v>0</v>
          </cell>
          <cell r="DM672">
            <v>0</v>
          </cell>
          <cell r="DN672">
            <v>35.1</v>
          </cell>
          <cell r="DO672">
            <v>3</v>
          </cell>
          <cell r="DP672">
            <v>0</v>
          </cell>
          <cell r="DQ672">
            <v>28</v>
          </cell>
          <cell r="DR672">
            <v>12</v>
          </cell>
          <cell r="DS672">
            <v>0</v>
          </cell>
          <cell r="DT672">
            <v>3</v>
          </cell>
          <cell r="DU672">
            <v>0</v>
          </cell>
          <cell r="DV672">
            <v>0</v>
          </cell>
          <cell r="DW672">
            <v>3</v>
          </cell>
          <cell r="DX672">
            <v>0</v>
          </cell>
          <cell r="DY672">
            <v>0</v>
          </cell>
          <cell r="EM672">
            <v>0</v>
          </cell>
          <cell r="EN672">
            <v>52.2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</row>
        <row r="673">
          <cell r="F673" t="str">
            <v>TL_2</v>
          </cell>
          <cell r="G673" t="str">
            <v>ER_IND_DUE_BTL_2</v>
          </cell>
          <cell r="H673" t="str">
            <v>Other BTL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-52.2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-38</v>
          </cell>
          <cell r="DD673">
            <v>0</v>
          </cell>
          <cell r="DE673">
            <v>-27.9</v>
          </cell>
          <cell r="DF673">
            <v>-12</v>
          </cell>
          <cell r="DG673">
            <v>0</v>
          </cell>
          <cell r="DH673">
            <v>-2.9</v>
          </cell>
          <cell r="DI673">
            <v>0</v>
          </cell>
          <cell r="DJ673">
            <v>0</v>
          </cell>
          <cell r="DK673">
            <v>-2.9</v>
          </cell>
          <cell r="DL673">
            <v>0</v>
          </cell>
          <cell r="DM673">
            <v>0</v>
          </cell>
          <cell r="DN673">
            <v>-35.1</v>
          </cell>
          <cell r="DO673">
            <v>-3</v>
          </cell>
          <cell r="DP673">
            <v>0</v>
          </cell>
          <cell r="DQ673">
            <v>-28</v>
          </cell>
          <cell r="DR673">
            <v>-12</v>
          </cell>
          <cell r="DS673">
            <v>0</v>
          </cell>
          <cell r="DT673">
            <v>-3</v>
          </cell>
          <cell r="DU673">
            <v>0</v>
          </cell>
          <cell r="DV673">
            <v>0</v>
          </cell>
          <cell r="DW673">
            <v>-3</v>
          </cell>
          <cell r="DX673">
            <v>0</v>
          </cell>
          <cell r="DY673">
            <v>0</v>
          </cell>
          <cell r="EM673">
            <v>0</v>
          </cell>
          <cell r="EN673">
            <v>-52.2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</row>
        <row r="674">
          <cell r="F674" t="str">
            <v>OM_1</v>
          </cell>
          <cell r="G674" t="str">
            <v>ER_PGA_OM_1</v>
          </cell>
          <cell r="H674" t="str">
            <v>PGA O&amp;M Expense</v>
          </cell>
          <cell r="J674">
            <v>100.2</v>
          </cell>
          <cell r="K674">
            <v>89.2</v>
          </cell>
          <cell r="L674">
            <v>123.3</v>
          </cell>
          <cell r="M674">
            <v>126</v>
          </cell>
          <cell r="N674">
            <v>104.3</v>
          </cell>
          <cell r="O674">
            <v>128.69999999999999</v>
          </cell>
          <cell r="P674">
            <v>144</v>
          </cell>
          <cell r="Q674">
            <v>108.6</v>
          </cell>
          <cell r="R674">
            <v>136.19999999999999</v>
          </cell>
          <cell r="S674">
            <v>123.2</v>
          </cell>
          <cell r="T674">
            <v>98.3</v>
          </cell>
          <cell r="U674">
            <v>418</v>
          </cell>
          <cell r="V674">
            <v>65.3</v>
          </cell>
          <cell r="W674">
            <v>230.6</v>
          </cell>
          <cell r="X674">
            <v>248.6</v>
          </cell>
          <cell r="Y674">
            <v>286.7</v>
          </cell>
          <cell r="Z674">
            <v>265.2</v>
          </cell>
          <cell r="AA674">
            <v>288.7</v>
          </cell>
          <cell r="AB674">
            <v>399.4</v>
          </cell>
          <cell r="AC674">
            <v>169.2</v>
          </cell>
          <cell r="AD674">
            <v>191.1</v>
          </cell>
          <cell r="AE674">
            <v>152.69999999999999</v>
          </cell>
          <cell r="AF674">
            <v>356.9</v>
          </cell>
          <cell r="AG674">
            <v>321.39999999999998</v>
          </cell>
          <cell r="AH674">
            <v>212.2</v>
          </cell>
          <cell r="AI674">
            <v>231.1</v>
          </cell>
          <cell r="AJ674">
            <v>229.4</v>
          </cell>
          <cell r="AK674">
            <v>289.10000000000002</v>
          </cell>
          <cell r="AL674">
            <v>189.1</v>
          </cell>
          <cell r="AM674">
            <v>274.5</v>
          </cell>
          <cell r="AN674">
            <v>171.2</v>
          </cell>
          <cell r="AO674">
            <v>201</v>
          </cell>
          <cell r="AP674">
            <v>-56.2</v>
          </cell>
          <cell r="AQ674">
            <v>284.89999999999998</v>
          </cell>
          <cell r="AR674">
            <v>150</v>
          </cell>
          <cell r="AS674">
            <v>435.8</v>
          </cell>
          <cell r="AT674">
            <v>155.30000000000001</v>
          </cell>
          <cell r="AU674">
            <v>647.1</v>
          </cell>
          <cell r="AV674">
            <v>214.7</v>
          </cell>
          <cell r="AW674">
            <v>174.9</v>
          </cell>
          <cell r="AX674">
            <v>440.1</v>
          </cell>
          <cell r="AY674">
            <v>147.69999999999999</v>
          </cell>
          <cell r="AZ674">
            <v>252.5</v>
          </cell>
          <cell r="BA674">
            <v>239.3</v>
          </cell>
          <cell r="BB674">
            <v>181.4</v>
          </cell>
          <cell r="BC674">
            <v>271.60000000000002</v>
          </cell>
          <cell r="BD674">
            <v>300.10000000000002</v>
          </cell>
          <cell r="BE674">
            <v>526.20000000000005</v>
          </cell>
          <cell r="BF674">
            <v>254.2</v>
          </cell>
          <cell r="BG674">
            <v>244.1</v>
          </cell>
          <cell r="BH674">
            <v>243.6</v>
          </cell>
          <cell r="BI674">
            <v>356.5</v>
          </cell>
          <cell r="BJ674">
            <v>237.4</v>
          </cell>
          <cell r="BK674">
            <v>215.1</v>
          </cell>
          <cell r="BL674">
            <v>233.4</v>
          </cell>
          <cell r="BM674">
            <v>413</v>
          </cell>
          <cell r="BN674">
            <v>152.1</v>
          </cell>
          <cell r="BO674">
            <v>269.3</v>
          </cell>
          <cell r="BP674">
            <v>278.60000000000002</v>
          </cell>
          <cell r="BQ674">
            <v>382</v>
          </cell>
          <cell r="BR674">
            <v>390.7</v>
          </cell>
          <cell r="BS674">
            <v>266</v>
          </cell>
          <cell r="BT674">
            <v>272.8</v>
          </cell>
          <cell r="BU674">
            <v>254.6</v>
          </cell>
          <cell r="BV674">
            <v>394.6</v>
          </cell>
          <cell r="BW674">
            <v>149.80000000000001</v>
          </cell>
          <cell r="BX674">
            <v>335.6</v>
          </cell>
          <cell r="BY674">
            <v>430.6</v>
          </cell>
          <cell r="BZ674">
            <v>309.39999999999998</v>
          </cell>
          <cell r="CA674">
            <v>293.3</v>
          </cell>
          <cell r="CB674">
            <v>478.5</v>
          </cell>
          <cell r="CC674">
            <v>424.9</v>
          </cell>
          <cell r="CD674">
            <v>152</v>
          </cell>
          <cell r="CE674">
            <v>278.10000000000002</v>
          </cell>
          <cell r="CF674">
            <v>485.8</v>
          </cell>
          <cell r="CG674">
            <v>549.4</v>
          </cell>
          <cell r="CH674">
            <v>351.3</v>
          </cell>
          <cell r="CI674">
            <v>335.6</v>
          </cell>
          <cell r="CJ674">
            <v>-4.4000000000000004</v>
          </cell>
          <cell r="CK674">
            <v>1024.5</v>
          </cell>
          <cell r="CL674">
            <v>224.6</v>
          </cell>
          <cell r="CM674">
            <v>633.1</v>
          </cell>
          <cell r="CN674">
            <v>274.60000000000002</v>
          </cell>
          <cell r="CO674">
            <v>631.29999999999995</v>
          </cell>
          <cell r="CP674">
            <v>385.8</v>
          </cell>
          <cell r="CQ674">
            <v>345.1</v>
          </cell>
          <cell r="CR674">
            <v>1463.6</v>
          </cell>
          <cell r="CS674">
            <v>24.1</v>
          </cell>
          <cell r="CT674">
            <v>1058.3</v>
          </cell>
          <cell r="CU674">
            <v>808.1</v>
          </cell>
          <cell r="CV674">
            <v>358</v>
          </cell>
          <cell r="CW674">
            <v>247.7</v>
          </cell>
          <cell r="CX674">
            <v>291.7</v>
          </cell>
          <cell r="CY674">
            <v>477.3</v>
          </cell>
          <cell r="CZ674">
            <v>763.5</v>
          </cell>
          <cell r="DA674">
            <v>394.7</v>
          </cell>
          <cell r="DB674">
            <v>243.2</v>
          </cell>
          <cell r="DC674">
            <v>658.7</v>
          </cell>
          <cell r="DD674">
            <v>988</v>
          </cell>
          <cell r="DE674">
            <v>534.4</v>
          </cell>
          <cell r="DF674">
            <v>354.1</v>
          </cell>
          <cell r="DG674">
            <v>670.3</v>
          </cell>
          <cell r="DH674">
            <v>525.9</v>
          </cell>
          <cell r="DI674">
            <v>398.9</v>
          </cell>
          <cell r="DJ674">
            <v>199</v>
          </cell>
          <cell r="DK674">
            <v>472</v>
          </cell>
          <cell r="DL674">
            <v>333</v>
          </cell>
          <cell r="DM674">
            <v>423.7</v>
          </cell>
          <cell r="DN674">
            <v>609.20000000000005</v>
          </cell>
          <cell r="DO674">
            <v>590.9</v>
          </cell>
          <cell r="DP674">
            <v>611.4</v>
          </cell>
          <cell r="DQ674">
            <v>596.1</v>
          </cell>
          <cell r="DR674">
            <v>613.29999999999995</v>
          </cell>
          <cell r="DS674">
            <v>636.4</v>
          </cell>
          <cell r="DT674">
            <v>602.29999999999995</v>
          </cell>
          <cell r="DU674">
            <v>612.29999999999995</v>
          </cell>
          <cell r="DV674">
            <v>602.5</v>
          </cell>
          <cell r="DW674">
            <v>614.20000000000005</v>
          </cell>
          <cell r="DX674">
            <v>655.6</v>
          </cell>
          <cell r="DY674">
            <v>603.5</v>
          </cell>
          <cell r="EM674">
            <v>2975.8</v>
          </cell>
          <cell r="EN674">
            <v>2612.1</v>
          </cell>
          <cell r="EO674">
            <v>3550.9000000000005</v>
          </cell>
          <cell r="EP674">
            <v>3279.3</v>
          </cell>
          <cell r="EQ674">
            <v>4000.8</v>
          </cell>
          <cell r="ER674">
            <v>4935.9000000000005</v>
          </cell>
          <cell r="ES674">
            <v>6617.9</v>
          </cell>
        </row>
        <row r="675">
          <cell r="F675" t="str">
            <v>OM_2</v>
          </cell>
          <cell r="G675" t="str">
            <v>ER_PGA_OM_2</v>
          </cell>
          <cell r="H675" t="str">
            <v>PGA O&amp;M Expense</v>
          </cell>
          <cell r="J675">
            <v>-100.2</v>
          </cell>
          <cell r="K675">
            <v>-89.2</v>
          </cell>
          <cell r="L675">
            <v>-123.3</v>
          </cell>
          <cell r="M675">
            <v>-126</v>
          </cell>
          <cell r="N675">
            <v>-104.3</v>
          </cell>
          <cell r="O675">
            <v>-128.69999999999999</v>
          </cell>
          <cell r="P675">
            <v>-144</v>
          </cell>
          <cell r="Q675">
            <v>-108.6</v>
          </cell>
          <cell r="R675">
            <v>-136.19999999999999</v>
          </cell>
          <cell r="S675">
            <v>-123.2</v>
          </cell>
          <cell r="T675">
            <v>-98.3</v>
          </cell>
          <cell r="U675">
            <v>-418</v>
          </cell>
          <cell r="V675">
            <v>-65.3</v>
          </cell>
          <cell r="W675">
            <v>-230.6</v>
          </cell>
          <cell r="X675">
            <v>-248.6</v>
          </cell>
          <cell r="Y675">
            <v>-286.7</v>
          </cell>
          <cell r="Z675">
            <v>-265.2</v>
          </cell>
          <cell r="AA675">
            <v>-288.7</v>
          </cell>
          <cell r="AB675">
            <v>-399.4</v>
          </cell>
          <cell r="AC675">
            <v>-169.2</v>
          </cell>
          <cell r="AD675">
            <v>-191.1</v>
          </cell>
          <cell r="AE675">
            <v>-152.69999999999999</v>
          </cell>
          <cell r="AF675">
            <v>-356.9</v>
          </cell>
          <cell r="AG675">
            <v>-321.39999999999998</v>
          </cell>
          <cell r="AH675">
            <v>-212.2</v>
          </cell>
          <cell r="AI675">
            <v>-231.1</v>
          </cell>
          <cell r="AJ675">
            <v>-229.4</v>
          </cell>
          <cell r="AK675">
            <v>-289.10000000000002</v>
          </cell>
          <cell r="AL675">
            <v>-189.1</v>
          </cell>
          <cell r="AM675">
            <v>-274.5</v>
          </cell>
          <cell r="AN675">
            <v>-171.2</v>
          </cell>
          <cell r="AO675">
            <v>-201</v>
          </cell>
          <cell r="AP675">
            <v>56.2</v>
          </cell>
          <cell r="AQ675">
            <v>-284.89999999999998</v>
          </cell>
          <cell r="AR675">
            <v>-150</v>
          </cell>
          <cell r="AS675">
            <v>-435.8</v>
          </cell>
          <cell r="AT675">
            <v>-155.30000000000001</v>
          </cell>
          <cell r="AU675">
            <v>-647.1</v>
          </cell>
          <cell r="AV675">
            <v>-214.7</v>
          </cell>
          <cell r="AW675">
            <v>-174.9</v>
          </cell>
          <cell r="AX675">
            <v>-440.1</v>
          </cell>
          <cell r="AY675">
            <v>-147.69999999999999</v>
          </cell>
          <cell r="AZ675">
            <v>-252.5</v>
          </cell>
          <cell r="BA675">
            <v>-239.3</v>
          </cell>
          <cell r="BB675">
            <v>-181.4</v>
          </cell>
          <cell r="BC675">
            <v>-271.60000000000002</v>
          </cell>
          <cell r="BD675">
            <v>-300.10000000000002</v>
          </cell>
          <cell r="BE675">
            <v>-526.20000000000005</v>
          </cell>
          <cell r="BF675">
            <v>-254.2</v>
          </cell>
          <cell r="BG675">
            <v>-244.1</v>
          </cell>
          <cell r="BH675">
            <v>-243.6</v>
          </cell>
          <cell r="BI675">
            <v>-356.5</v>
          </cell>
          <cell r="BJ675">
            <v>-237.4</v>
          </cell>
          <cell r="BK675">
            <v>-215.1</v>
          </cell>
          <cell r="BL675">
            <v>-233.4</v>
          </cell>
          <cell r="BM675">
            <v>-413</v>
          </cell>
          <cell r="BN675">
            <v>-152.1</v>
          </cell>
          <cell r="BO675">
            <v>-269.3</v>
          </cell>
          <cell r="BP675">
            <v>-278.60000000000002</v>
          </cell>
          <cell r="BQ675">
            <v>-382</v>
          </cell>
          <cell r="BR675">
            <v>-390.7</v>
          </cell>
          <cell r="BS675">
            <v>-266</v>
          </cell>
          <cell r="BT675">
            <v>-272.8</v>
          </cell>
          <cell r="BU675">
            <v>-254.6</v>
          </cell>
          <cell r="BV675">
            <v>-394.6</v>
          </cell>
          <cell r="BW675">
            <v>-149.80000000000001</v>
          </cell>
          <cell r="BX675">
            <v>-335.6</v>
          </cell>
          <cell r="BY675">
            <v>-430.6</v>
          </cell>
          <cell r="BZ675">
            <v>-309.39999999999998</v>
          </cell>
          <cell r="CA675">
            <v>-293.3</v>
          </cell>
          <cell r="CB675">
            <v>-478.5</v>
          </cell>
          <cell r="CC675">
            <v>-424.9</v>
          </cell>
          <cell r="CD675">
            <v>-152</v>
          </cell>
          <cell r="CE675">
            <v>-278.10000000000002</v>
          </cell>
          <cell r="CF675">
            <v>-485.8</v>
          </cell>
          <cell r="CG675">
            <v>-549.4</v>
          </cell>
          <cell r="CH675">
            <v>-351.3</v>
          </cell>
          <cell r="CI675">
            <v>-335.6</v>
          </cell>
          <cell r="CJ675">
            <v>4.4000000000000004</v>
          </cell>
          <cell r="CK675">
            <v>-1024.5</v>
          </cell>
          <cell r="CL675">
            <v>-224.6</v>
          </cell>
          <cell r="CM675">
            <v>-633.1</v>
          </cell>
          <cell r="CN675">
            <v>-274.60000000000002</v>
          </cell>
          <cell r="CO675">
            <v>-631.29999999999995</v>
          </cell>
          <cell r="CP675">
            <v>-385.8</v>
          </cell>
          <cell r="CQ675">
            <v>-345.1</v>
          </cell>
          <cell r="CR675">
            <v>-1463.6</v>
          </cell>
          <cell r="CS675">
            <v>-24.1</v>
          </cell>
          <cell r="CT675">
            <v>-1058.3</v>
          </cell>
          <cell r="CU675">
            <v>-808.1</v>
          </cell>
          <cell r="CV675">
            <v>-358</v>
          </cell>
          <cell r="CW675">
            <v>-247.7</v>
          </cell>
          <cell r="CX675">
            <v>-291.7</v>
          </cell>
          <cell r="CY675">
            <v>-477.3</v>
          </cell>
          <cell r="CZ675">
            <v>-763.5</v>
          </cell>
          <cell r="DA675">
            <v>-394.7</v>
          </cell>
          <cell r="DB675">
            <v>-243.2</v>
          </cell>
          <cell r="DC675">
            <v>-658.7</v>
          </cell>
          <cell r="DD675">
            <v>-988</v>
          </cell>
          <cell r="DE675">
            <v>-534.4</v>
          </cell>
          <cell r="DF675">
            <v>-354.1</v>
          </cell>
          <cell r="DG675">
            <v>-670.3</v>
          </cell>
          <cell r="DH675">
            <v>-525.9</v>
          </cell>
          <cell r="DI675">
            <v>-398.9</v>
          </cell>
          <cell r="DJ675">
            <v>-199</v>
          </cell>
          <cell r="DK675">
            <v>-472</v>
          </cell>
          <cell r="DL675">
            <v>-333</v>
          </cell>
          <cell r="DM675">
            <v>-423.7</v>
          </cell>
          <cell r="DN675">
            <v>-609.20000000000005</v>
          </cell>
          <cell r="DO675">
            <v>-590.9</v>
          </cell>
          <cell r="DP675">
            <v>-611.4</v>
          </cell>
          <cell r="DQ675">
            <v>-596.1</v>
          </cell>
          <cell r="DR675">
            <v>-613.29999999999995</v>
          </cell>
          <cell r="DS675">
            <v>-636.4</v>
          </cell>
          <cell r="DT675">
            <v>-602.29999999999995</v>
          </cell>
          <cell r="DU675">
            <v>-612.29999999999995</v>
          </cell>
          <cell r="DV675">
            <v>-602.5</v>
          </cell>
          <cell r="DW675">
            <v>-614.20000000000005</v>
          </cell>
          <cell r="DX675">
            <v>-655.6</v>
          </cell>
          <cell r="DY675">
            <v>-603.5</v>
          </cell>
          <cell r="EM675">
            <v>-2975.8</v>
          </cell>
          <cell r="EN675">
            <v>-2612.1</v>
          </cell>
          <cell r="EO675">
            <v>-3550.9000000000005</v>
          </cell>
          <cell r="EP675">
            <v>-3279.3</v>
          </cell>
          <cell r="EQ675">
            <v>-4000.8</v>
          </cell>
          <cell r="ER675">
            <v>-4935.9000000000005</v>
          </cell>
          <cell r="ES675">
            <v>-6617.9</v>
          </cell>
        </row>
        <row r="676">
          <cell r="F676" t="str">
            <v>PROTAX_1</v>
          </cell>
          <cell r="G676" t="str">
            <v>CISBR_PROTAX_1</v>
          </cell>
          <cell r="H676" t="str">
            <v>CI/BSR Property Tax 1</v>
          </cell>
          <cell r="J676">
            <v>0</v>
          </cell>
          <cell r="K676">
            <v>13.2</v>
          </cell>
          <cell r="L676">
            <v>21.1</v>
          </cell>
          <cell r="M676">
            <v>11.5</v>
          </cell>
          <cell r="N676">
            <v>11.4</v>
          </cell>
          <cell r="O676">
            <v>11.4</v>
          </cell>
          <cell r="P676">
            <v>11.4</v>
          </cell>
          <cell r="Q676">
            <v>11.4</v>
          </cell>
          <cell r="R676">
            <v>11.4</v>
          </cell>
          <cell r="S676">
            <v>11.4</v>
          </cell>
          <cell r="T676">
            <v>11.4</v>
          </cell>
          <cell r="U676">
            <v>11.4</v>
          </cell>
          <cell r="V676">
            <v>29.4</v>
          </cell>
          <cell r="W676">
            <v>29.4</v>
          </cell>
          <cell r="X676">
            <v>29.4</v>
          </cell>
          <cell r="Y676">
            <v>29.4</v>
          </cell>
          <cell r="Z676">
            <v>29.4</v>
          </cell>
          <cell r="AA676">
            <v>29.4</v>
          </cell>
          <cell r="AB676">
            <v>29.4</v>
          </cell>
          <cell r="AC676">
            <v>29.4</v>
          </cell>
          <cell r="AD676">
            <v>29.4</v>
          </cell>
          <cell r="AE676">
            <v>29.4</v>
          </cell>
          <cell r="AF676">
            <v>29.4</v>
          </cell>
          <cell r="AG676">
            <v>29.4</v>
          </cell>
          <cell r="AH676">
            <v>48.1</v>
          </cell>
          <cell r="AI676">
            <v>48.1</v>
          </cell>
          <cell r="AJ676">
            <v>48.1</v>
          </cell>
          <cell r="AK676">
            <v>48.1</v>
          </cell>
          <cell r="AL676">
            <v>48.1</v>
          </cell>
          <cell r="AM676">
            <v>48.1</v>
          </cell>
          <cell r="AN676">
            <v>48.1</v>
          </cell>
          <cell r="AO676">
            <v>48.1</v>
          </cell>
          <cell r="AP676">
            <v>48.1</v>
          </cell>
          <cell r="AQ676">
            <v>48.1</v>
          </cell>
          <cell r="AR676">
            <v>48.1</v>
          </cell>
          <cell r="AS676">
            <v>48.1</v>
          </cell>
          <cell r="AT676">
            <v>64.2</v>
          </cell>
          <cell r="AU676">
            <v>64.2</v>
          </cell>
          <cell r="AV676">
            <v>64.2</v>
          </cell>
          <cell r="AW676">
            <v>64.2</v>
          </cell>
          <cell r="AX676">
            <v>64.2</v>
          </cell>
          <cell r="AY676">
            <v>64.2</v>
          </cell>
          <cell r="AZ676">
            <v>64.2</v>
          </cell>
          <cell r="BA676">
            <v>64.2</v>
          </cell>
          <cell r="BB676">
            <v>64.2</v>
          </cell>
          <cell r="BC676">
            <v>64.2</v>
          </cell>
          <cell r="BD676">
            <v>64.2</v>
          </cell>
          <cell r="BE676">
            <v>64.2</v>
          </cell>
          <cell r="BF676">
            <v>90.9</v>
          </cell>
          <cell r="BG676">
            <v>90.9</v>
          </cell>
          <cell r="BH676">
            <v>90.9</v>
          </cell>
          <cell r="BI676">
            <v>90.9</v>
          </cell>
          <cell r="BJ676">
            <v>90.9</v>
          </cell>
          <cell r="BK676">
            <v>90.9</v>
          </cell>
          <cell r="BL676">
            <v>90.9</v>
          </cell>
          <cell r="BM676">
            <v>90.9</v>
          </cell>
          <cell r="BN676">
            <v>90.9</v>
          </cell>
          <cell r="BO676">
            <v>90.9</v>
          </cell>
          <cell r="BP676">
            <v>90.9</v>
          </cell>
          <cell r="BQ676">
            <v>75.599999999999994</v>
          </cell>
          <cell r="BR676">
            <v>145.4</v>
          </cell>
          <cell r="BS676">
            <v>145.4</v>
          </cell>
          <cell r="BT676">
            <v>145.4</v>
          </cell>
          <cell r="BU676">
            <v>145.4</v>
          </cell>
          <cell r="BV676">
            <v>145.4</v>
          </cell>
          <cell r="BW676">
            <v>145.4</v>
          </cell>
          <cell r="BX676">
            <v>145.4</v>
          </cell>
          <cell r="BY676">
            <v>145.4</v>
          </cell>
          <cell r="BZ676">
            <v>145.4</v>
          </cell>
          <cell r="CA676">
            <v>145.4</v>
          </cell>
          <cell r="CB676">
            <v>145.4</v>
          </cell>
          <cell r="CC676">
            <v>145.4</v>
          </cell>
          <cell r="CD676">
            <v>218.9</v>
          </cell>
          <cell r="CE676">
            <v>218.9</v>
          </cell>
          <cell r="CF676">
            <v>218.9</v>
          </cell>
          <cell r="CG676">
            <v>218.9</v>
          </cell>
          <cell r="CH676">
            <v>218.9</v>
          </cell>
          <cell r="CI676">
            <v>218.9</v>
          </cell>
          <cell r="CJ676">
            <v>218.9</v>
          </cell>
          <cell r="CK676">
            <v>218.9</v>
          </cell>
          <cell r="CL676">
            <v>218.9</v>
          </cell>
          <cell r="CM676">
            <v>218.9</v>
          </cell>
          <cell r="CN676">
            <v>218.9</v>
          </cell>
          <cell r="CO676">
            <v>218.9</v>
          </cell>
          <cell r="CP676">
            <v>-10.6</v>
          </cell>
          <cell r="CQ676">
            <v>-10.6</v>
          </cell>
          <cell r="CR676">
            <v>-10.6</v>
          </cell>
          <cell r="CS676">
            <v>-10.6</v>
          </cell>
          <cell r="CT676">
            <v>-10.6</v>
          </cell>
          <cell r="CU676">
            <v>-10.6</v>
          </cell>
          <cell r="CV676">
            <v>-10.6</v>
          </cell>
          <cell r="CW676">
            <v>-10.6</v>
          </cell>
          <cell r="CX676">
            <v>-10.6</v>
          </cell>
          <cell r="CY676">
            <v>-10.6</v>
          </cell>
          <cell r="CZ676">
            <v>-10.6</v>
          </cell>
          <cell r="DA676">
            <v>-10.6</v>
          </cell>
          <cell r="DB676">
            <v>35.299999999999997</v>
          </cell>
          <cell r="DC676">
            <v>35.299999999999997</v>
          </cell>
          <cell r="DD676">
            <v>35.299999999999997</v>
          </cell>
          <cell r="DE676">
            <v>35.299999999999997</v>
          </cell>
          <cell r="DF676">
            <v>35.299999999999997</v>
          </cell>
          <cell r="DG676">
            <v>35.299999999999997</v>
          </cell>
          <cell r="DH676">
            <v>35.299999999999997</v>
          </cell>
          <cell r="DI676">
            <v>35.299999999999997</v>
          </cell>
          <cell r="DJ676">
            <v>0</v>
          </cell>
          <cell r="DK676">
            <v>70.5</v>
          </cell>
          <cell r="DL676">
            <v>35.299999999999997</v>
          </cell>
          <cell r="DM676">
            <v>35.299999999999997</v>
          </cell>
          <cell r="DN676">
            <v>44.8</v>
          </cell>
          <cell r="DO676">
            <v>44.8</v>
          </cell>
          <cell r="DP676">
            <v>44.8</v>
          </cell>
          <cell r="DQ676">
            <v>44.8</v>
          </cell>
          <cell r="DR676">
            <v>44.8</v>
          </cell>
          <cell r="DS676">
            <v>44.8</v>
          </cell>
          <cell r="DT676">
            <v>44.8</v>
          </cell>
          <cell r="DU676">
            <v>44.8</v>
          </cell>
          <cell r="DV676">
            <v>44.8</v>
          </cell>
          <cell r="DW676">
            <v>44.8</v>
          </cell>
          <cell r="DX676">
            <v>44.8</v>
          </cell>
          <cell r="DY676">
            <v>44.8</v>
          </cell>
          <cell r="EM676">
            <v>352.79999999999995</v>
          </cell>
          <cell r="EN676">
            <v>577.20000000000016</v>
          </cell>
          <cell r="EO676">
            <v>770.4000000000002</v>
          </cell>
          <cell r="EP676">
            <v>1075.4999999999998</v>
          </cell>
          <cell r="EQ676">
            <v>1744.8000000000004</v>
          </cell>
          <cell r="ER676">
            <v>2626.8000000000006</v>
          </cell>
          <cell r="ES676">
            <v>-127.19999999999997</v>
          </cell>
        </row>
        <row r="677">
          <cell r="F677" t="str">
            <v>PROTAX_2</v>
          </cell>
          <cell r="G677" t="str">
            <v>CISBR_PROTAX_2</v>
          </cell>
          <cell r="H677" t="str">
            <v>CI/BSR Property Tax 2</v>
          </cell>
          <cell r="J677">
            <v>0</v>
          </cell>
          <cell r="K677">
            <v>-13.2</v>
          </cell>
          <cell r="L677">
            <v>-21.1</v>
          </cell>
          <cell r="M677">
            <v>-11.5</v>
          </cell>
          <cell r="N677">
            <v>-11.4</v>
          </cell>
          <cell r="O677">
            <v>-11.4</v>
          </cell>
          <cell r="P677">
            <v>-11.4</v>
          </cell>
          <cell r="Q677">
            <v>-11.4</v>
          </cell>
          <cell r="R677">
            <v>-11.4</v>
          </cell>
          <cell r="S677">
            <v>-11.4</v>
          </cell>
          <cell r="T677">
            <v>-11.4</v>
          </cell>
          <cell r="U677">
            <v>-11.4</v>
          </cell>
          <cell r="V677">
            <v>-29.4</v>
          </cell>
          <cell r="W677">
            <v>-29.4</v>
          </cell>
          <cell r="X677">
            <v>-29.4</v>
          </cell>
          <cell r="Y677">
            <v>-29.4</v>
          </cell>
          <cell r="Z677">
            <v>-29.4</v>
          </cell>
          <cell r="AA677">
            <v>-29.4</v>
          </cell>
          <cell r="AB677">
            <v>-29.4</v>
          </cell>
          <cell r="AC677">
            <v>-29.4</v>
          </cell>
          <cell r="AD677">
            <v>-29.4</v>
          </cell>
          <cell r="AE677">
            <v>-29.4</v>
          </cell>
          <cell r="AF677">
            <v>-29.4</v>
          </cell>
          <cell r="AG677">
            <v>-29.4</v>
          </cell>
          <cell r="AH677">
            <v>-48.1</v>
          </cell>
          <cell r="AI677">
            <v>-48.1</v>
          </cell>
          <cell r="AJ677">
            <v>-48.1</v>
          </cell>
          <cell r="AK677">
            <v>-48.1</v>
          </cell>
          <cell r="AL677">
            <v>-48.1</v>
          </cell>
          <cell r="AM677">
            <v>-48.1</v>
          </cell>
          <cell r="AN677">
            <v>-48.1</v>
          </cell>
          <cell r="AO677">
            <v>-48.1</v>
          </cell>
          <cell r="AP677">
            <v>-48.1</v>
          </cell>
          <cell r="AQ677">
            <v>-48.1</v>
          </cell>
          <cell r="AR677">
            <v>-48.1</v>
          </cell>
          <cell r="AS677">
            <v>-48.1</v>
          </cell>
          <cell r="AT677">
            <v>-64.2</v>
          </cell>
          <cell r="AU677">
            <v>-64.2</v>
          </cell>
          <cell r="AV677">
            <v>-64.2</v>
          </cell>
          <cell r="AW677">
            <v>-64.2</v>
          </cell>
          <cell r="AX677">
            <v>-64.2</v>
          </cell>
          <cell r="AY677">
            <v>-64.2</v>
          </cell>
          <cell r="AZ677">
            <v>-64.2</v>
          </cell>
          <cell r="BA677">
            <v>-64.2</v>
          </cell>
          <cell r="BB677">
            <v>-64.2</v>
          </cell>
          <cell r="BC677">
            <v>-64.2</v>
          </cell>
          <cell r="BD677">
            <v>-64.2</v>
          </cell>
          <cell r="BE677">
            <v>-64.2</v>
          </cell>
          <cell r="BF677">
            <v>-90.9</v>
          </cell>
          <cell r="BG677">
            <v>-90.9</v>
          </cell>
          <cell r="BH677">
            <v>-90.9</v>
          </cell>
          <cell r="BI677">
            <v>-90.9</v>
          </cell>
          <cell r="BJ677">
            <v>-90.9</v>
          </cell>
          <cell r="BK677">
            <v>-90.9</v>
          </cell>
          <cell r="BL677">
            <v>-90.9</v>
          </cell>
          <cell r="BM677">
            <v>-90.9</v>
          </cell>
          <cell r="BN677">
            <v>-90.9</v>
          </cell>
          <cell r="BO677">
            <v>-90.9</v>
          </cell>
          <cell r="BP677">
            <v>-90.9</v>
          </cell>
          <cell r="BQ677">
            <v>-75.599999999999994</v>
          </cell>
          <cell r="BR677">
            <v>-145.4</v>
          </cell>
          <cell r="BS677">
            <v>-145.4</v>
          </cell>
          <cell r="BT677">
            <v>-145.4</v>
          </cell>
          <cell r="BU677">
            <v>-145.4</v>
          </cell>
          <cell r="BV677">
            <v>-145.4</v>
          </cell>
          <cell r="BW677">
            <v>-145.4</v>
          </cell>
          <cell r="BX677">
            <v>-145.4</v>
          </cell>
          <cell r="BY677">
            <v>-145.4</v>
          </cell>
          <cell r="BZ677">
            <v>-145.4</v>
          </cell>
          <cell r="CA677">
            <v>-145.4</v>
          </cell>
          <cell r="CB677">
            <v>-145.4</v>
          </cell>
          <cell r="CC677">
            <v>-145.4</v>
          </cell>
          <cell r="CD677">
            <v>-218.9</v>
          </cell>
          <cell r="CE677">
            <v>-218.9</v>
          </cell>
          <cell r="CF677">
            <v>-218.9</v>
          </cell>
          <cell r="CG677">
            <v>-218.9</v>
          </cell>
          <cell r="CH677">
            <v>-218.9</v>
          </cell>
          <cell r="CI677">
            <v>-218.9</v>
          </cell>
          <cell r="CJ677">
            <v>-218.9</v>
          </cell>
          <cell r="CK677">
            <v>-218.9</v>
          </cell>
          <cell r="CL677">
            <v>-218.9</v>
          </cell>
          <cell r="CM677">
            <v>-218.9</v>
          </cell>
          <cell r="CN677">
            <v>-218.9</v>
          </cell>
          <cell r="CO677">
            <v>-218.9</v>
          </cell>
          <cell r="CP677">
            <v>10.6</v>
          </cell>
          <cell r="CQ677">
            <v>10.6</v>
          </cell>
          <cell r="CR677">
            <v>10.6</v>
          </cell>
          <cell r="CS677">
            <v>10.6</v>
          </cell>
          <cell r="CT677">
            <v>10.6</v>
          </cell>
          <cell r="CU677">
            <v>10.6</v>
          </cell>
          <cell r="CV677">
            <v>10.6</v>
          </cell>
          <cell r="CW677">
            <v>10.6</v>
          </cell>
          <cell r="CX677">
            <v>10.6</v>
          </cell>
          <cell r="CY677">
            <v>10.6</v>
          </cell>
          <cell r="CZ677">
            <v>10.6</v>
          </cell>
          <cell r="DA677">
            <v>10.6</v>
          </cell>
          <cell r="DB677">
            <v>-35.299999999999997</v>
          </cell>
          <cell r="DC677">
            <v>-35.299999999999997</v>
          </cell>
          <cell r="DD677">
            <v>-35.299999999999997</v>
          </cell>
          <cell r="DE677">
            <v>-35.299999999999997</v>
          </cell>
          <cell r="DF677">
            <v>-35.299999999999997</v>
          </cell>
          <cell r="DG677">
            <v>-35.299999999999997</v>
          </cell>
          <cell r="DH677">
            <v>-35.299999999999997</v>
          </cell>
          <cell r="DI677">
            <v>-35.299999999999997</v>
          </cell>
          <cell r="DJ677">
            <v>0</v>
          </cell>
          <cell r="DK677">
            <v>-70.5</v>
          </cell>
          <cell r="DL677">
            <v>-35.299999999999997</v>
          </cell>
          <cell r="DM677">
            <v>-35.299999999999997</v>
          </cell>
          <cell r="DN677">
            <v>-44.8</v>
          </cell>
          <cell r="DO677">
            <v>-44.8</v>
          </cell>
          <cell r="DP677">
            <v>-44.8</v>
          </cell>
          <cell r="DQ677">
            <v>-44.8</v>
          </cell>
          <cell r="DR677">
            <v>-44.8</v>
          </cell>
          <cell r="DS677">
            <v>-44.8</v>
          </cell>
          <cell r="DT677">
            <v>-44.8</v>
          </cell>
          <cell r="DU677">
            <v>-44.8</v>
          </cell>
          <cell r="DV677">
            <v>-44.8</v>
          </cell>
          <cell r="DW677">
            <v>-44.8</v>
          </cell>
          <cell r="DX677">
            <v>-44.8</v>
          </cell>
          <cell r="DY677">
            <v>-44.8</v>
          </cell>
          <cell r="EM677">
            <v>-352.79999999999995</v>
          </cell>
          <cell r="EN677">
            <v>-577.20000000000016</v>
          </cell>
          <cell r="EO677">
            <v>-770.4000000000002</v>
          </cell>
          <cell r="EP677">
            <v>-1075.4999999999998</v>
          </cell>
          <cell r="EQ677">
            <v>-1744.8000000000004</v>
          </cell>
          <cell r="ER677">
            <v>-2626.8000000000006</v>
          </cell>
          <cell r="ES677">
            <v>127.19999999999997</v>
          </cell>
        </row>
        <row r="678">
          <cell r="F678" t="str">
            <v>STORM_REC_EXP</v>
          </cell>
          <cell r="G678" t="str">
            <v>STORM_REC_EXP</v>
          </cell>
          <cell r="H678" t="str">
            <v>Storm Reserve Expense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-574.9</v>
          </cell>
          <cell r="BZ678">
            <v>-606</v>
          </cell>
          <cell r="CA678">
            <v>-604.1</v>
          </cell>
          <cell r="CB678">
            <v>-683.9</v>
          </cell>
          <cell r="CC678">
            <v>-952.7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-3421.6000000000004</v>
          </cell>
          <cell r="ER678">
            <v>0</v>
          </cell>
          <cell r="ES678">
            <v>0</v>
          </cell>
        </row>
        <row r="679">
          <cell r="F679" t="str">
            <v>STORM_REC_REV</v>
          </cell>
          <cell r="G679" t="str">
            <v>STORM_REC_REV</v>
          </cell>
          <cell r="H679" t="str">
            <v>Storm Reserve Revenue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574.9</v>
          </cell>
          <cell r="BZ679">
            <v>606</v>
          </cell>
          <cell r="CA679">
            <v>604.1</v>
          </cell>
          <cell r="CB679">
            <v>683.9</v>
          </cell>
          <cell r="CC679">
            <v>952.7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3421.6000000000004</v>
          </cell>
          <cell r="ER679">
            <v>0</v>
          </cell>
          <cell r="ES679">
            <v>0</v>
          </cell>
        </row>
        <row r="680"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</row>
        <row r="681"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</row>
        <row r="682"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</row>
        <row r="683">
          <cell r="H683" t="str">
            <v>Total Expenses</v>
          </cell>
          <cell r="J683">
            <v>40087.200000000004</v>
          </cell>
          <cell r="K683">
            <v>37136.6</v>
          </cell>
          <cell r="L683">
            <v>29548.400000000001</v>
          </cell>
          <cell r="M683">
            <v>32419.799999999996</v>
          </cell>
          <cell r="N683">
            <v>24872</v>
          </cell>
          <cell r="O683">
            <v>24818.1</v>
          </cell>
          <cell r="P683">
            <v>26683.1</v>
          </cell>
          <cell r="Q683">
            <v>27789.400000000005</v>
          </cell>
          <cell r="R683">
            <v>26174.399999999991</v>
          </cell>
          <cell r="S683">
            <v>26311.8</v>
          </cell>
          <cell r="T683">
            <v>28038</v>
          </cell>
          <cell r="U683">
            <v>33840</v>
          </cell>
          <cell r="V683">
            <v>36371.399999999994</v>
          </cell>
          <cell r="W683">
            <v>35997.5</v>
          </cell>
          <cell r="X683">
            <v>33704.799999999996</v>
          </cell>
          <cell r="Y683">
            <v>29766.999999999996</v>
          </cell>
          <cell r="Z683">
            <v>25254.099999999991</v>
          </cell>
          <cell r="AA683">
            <v>29266.799999999999</v>
          </cell>
          <cell r="AB683">
            <v>26264.199999999993</v>
          </cell>
          <cell r="AC683">
            <v>28203.499999999996</v>
          </cell>
          <cell r="AD683">
            <v>27207.1</v>
          </cell>
          <cell r="AE683">
            <v>28304.100000000006</v>
          </cell>
          <cell r="AF683">
            <v>32829.200000000004</v>
          </cell>
          <cell r="AG683">
            <v>30761.999999999996</v>
          </cell>
          <cell r="AH683">
            <v>38457.4</v>
          </cell>
          <cell r="AI683">
            <v>41085</v>
          </cell>
          <cell r="AJ683">
            <v>36261.199999999997</v>
          </cell>
          <cell r="AK683">
            <v>33172.400000000009</v>
          </cell>
          <cell r="AL683">
            <v>28869.299999999996</v>
          </cell>
          <cell r="AM683">
            <v>30658.999999999993</v>
          </cell>
          <cell r="AN683">
            <v>32649.999999999993</v>
          </cell>
          <cell r="AO683">
            <v>31964</v>
          </cell>
          <cell r="AP683">
            <v>30343.100000000002</v>
          </cell>
          <cell r="AQ683">
            <v>31129.700000000004</v>
          </cell>
          <cell r="AR683">
            <v>27281.4</v>
          </cell>
          <cell r="AS683">
            <v>33322.200000000004</v>
          </cell>
          <cell r="AT683">
            <v>34019.699999999997</v>
          </cell>
          <cell r="AU683">
            <v>32582.6</v>
          </cell>
          <cell r="AV683">
            <v>29770.600000000006</v>
          </cell>
          <cell r="AW683">
            <v>33181.999999999993</v>
          </cell>
          <cell r="AX683">
            <v>30734.300000000007</v>
          </cell>
          <cell r="AY683">
            <v>28470.100000000006</v>
          </cell>
          <cell r="AZ683">
            <v>29507.8</v>
          </cell>
          <cell r="BA683">
            <v>35131.700000000012</v>
          </cell>
          <cell r="BB683">
            <v>34887.100000000006</v>
          </cell>
          <cell r="BC683">
            <v>28976.5</v>
          </cell>
          <cell r="BD683">
            <v>31449.600000000002</v>
          </cell>
          <cell r="BE683">
            <v>37204.499999999985</v>
          </cell>
          <cell r="BF683">
            <v>50960.499999999993</v>
          </cell>
          <cell r="BG683">
            <v>39465.80000000001</v>
          </cell>
          <cell r="BH683">
            <v>33999.299999999996</v>
          </cell>
          <cell r="BI683">
            <v>36262.200000000004</v>
          </cell>
          <cell r="BJ683">
            <v>31421.7</v>
          </cell>
          <cell r="BK683">
            <v>33324.199999999997</v>
          </cell>
          <cell r="BL683">
            <v>35533.699999999997</v>
          </cell>
          <cell r="BM683">
            <v>31491.699999999997</v>
          </cell>
          <cell r="BN683">
            <v>32912.1</v>
          </cell>
          <cell r="BO683">
            <v>36449.399999999994</v>
          </cell>
          <cell r="BP683">
            <v>33469.199999999997</v>
          </cell>
          <cell r="BQ683">
            <v>36972.600000000013</v>
          </cell>
          <cell r="BR683">
            <v>41189.200000000004</v>
          </cell>
          <cell r="BS683">
            <v>35575.500000000007</v>
          </cell>
          <cell r="BT683">
            <v>35811.500000000007</v>
          </cell>
          <cell r="BU683">
            <v>33622.299999999996</v>
          </cell>
          <cell r="BV683">
            <v>33094.700000000004</v>
          </cell>
          <cell r="BW683">
            <v>28369.700000000004</v>
          </cell>
          <cell r="BX683">
            <v>29295.599999999999</v>
          </cell>
          <cell r="BY683">
            <v>27256.000000000004</v>
          </cell>
          <cell r="BZ683">
            <v>31744.6</v>
          </cell>
          <cell r="CA683">
            <v>30992.799999999999</v>
          </cell>
          <cell r="CB683">
            <v>32389.899999999998</v>
          </cell>
          <cell r="CC683">
            <v>38482.100000000006</v>
          </cell>
          <cell r="CD683">
            <v>38888.199999999997</v>
          </cell>
          <cell r="CE683">
            <v>36001.399999999994</v>
          </cell>
          <cell r="CF683">
            <v>33569.700000000004</v>
          </cell>
          <cell r="CG683">
            <v>28338.400000000016</v>
          </cell>
          <cell r="CH683">
            <v>27047.199999999997</v>
          </cell>
          <cell r="CI683">
            <v>28943.300000000003</v>
          </cell>
          <cell r="CJ683">
            <v>27502.099999999995</v>
          </cell>
          <cell r="CK683">
            <v>25871.499999999996</v>
          </cell>
          <cell r="CL683">
            <v>26799.100000000002</v>
          </cell>
          <cell r="CM683">
            <v>28755.700000000008</v>
          </cell>
          <cell r="CN683">
            <v>29814.899999999994</v>
          </cell>
          <cell r="CO683">
            <v>40481.800000000003</v>
          </cell>
          <cell r="CP683">
            <v>46257.599999999991</v>
          </cell>
          <cell r="CQ683">
            <v>39980.400000000009</v>
          </cell>
          <cell r="CR683">
            <v>38821.700000000004</v>
          </cell>
          <cell r="CS683">
            <v>37534.499999999993</v>
          </cell>
          <cell r="CT683">
            <v>32715.3</v>
          </cell>
          <cell r="CU683">
            <v>32345.100000000002</v>
          </cell>
          <cell r="CV683">
            <v>33929.19999999999</v>
          </cell>
          <cell r="CW683">
            <v>31494.200000000008</v>
          </cell>
          <cell r="CX683">
            <v>32662.000000000004</v>
          </cell>
          <cell r="CY683">
            <v>35605.599999999999</v>
          </cell>
          <cell r="CZ683">
            <v>36107.5</v>
          </cell>
          <cell r="DA683">
            <v>44751.700000000004</v>
          </cell>
          <cell r="DB683">
            <v>55359.699999999983</v>
          </cell>
          <cell r="DC683">
            <v>52215.699999999983</v>
          </cell>
          <cell r="DD683">
            <v>43111.900000000009</v>
          </cell>
          <cell r="DE683">
            <v>43581.900000000009</v>
          </cell>
          <cell r="DF683">
            <v>48923.69999999999</v>
          </cell>
          <cell r="DG683">
            <v>45915.6</v>
          </cell>
          <cell r="DH683">
            <v>48088.5</v>
          </cell>
          <cell r="DI683">
            <v>51958.700000000004</v>
          </cell>
          <cell r="DJ683">
            <v>42429.899999999994</v>
          </cell>
          <cell r="DK683">
            <v>47408.799999999988</v>
          </cell>
          <cell r="DL683">
            <v>37559.299999999996</v>
          </cell>
          <cell r="DM683">
            <v>48108.299999999988</v>
          </cell>
          <cell r="DN683">
            <v>61206.9</v>
          </cell>
          <cell r="DO683">
            <v>58549.400000000016</v>
          </cell>
          <cell r="DP683">
            <v>49689.3</v>
          </cell>
          <cell r="DQ683">
            <v>45039.499999999993</v>
          </cell>
          <cell r="DR683">
            <v>41837.200000000004</v>
          </cell>
          <cell r="DS683">
            <v>38298.699999999997</v>
          </cell>
          <cell r="DT683">
            <v>39395.100000000006</v>
          </cell>
          <cell r="DU683">
            <v>39035.100000000013</v>
          </cell>
          <cell r="DV683">
            <v>38836.199999999997</v>
          </cell>
          <cell r="DW683">
            <v>42798.80830845701</v>
          </cell>
          <cell r="DX683">
            <v>48644.463558186435</v>
          </cell>
          <cell r="DY683">
            <v>47113.777704711763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M683">
            <v>363931.7</v>
          </cell>
          <cell r="EN683">
            <v>395194.7</v>
          </cell>
          <cell r="EO683">
            <v>385916.5</v>
          </cell>
          <cell r="EP683">
            <v>432262.40000000002</v>
          </cell>
          <cell r="EQ683">
            <v>397823.9</v>
          </cell>
          <cell r="ER683">
            <v>372013.3</v>
          </cell>
          <cell r="ES683">
            <v>442204.8</v>
          </cell>
        </row>
        <row r="684">
          <cell r="H684" t="str">
            <v>Total Revenues</v>
          </cell>
          <cell r="J684">
            <v>45049.5</v>
          </cell>
          <cell r="K684">
            <v>41308.5</v>
          </cell>
          <cell r="L684">
            <v>34223.599999999999</v>
          </cell>
          <cell r="M684">
            <v>35414.999999999993</v>
          </cell>
          <cell r="N684">
            <v>26508.2</v>
          </cell>
          <cell r="O684">
            <v>27034.200000000004</v>
          </cell>
          <cell r="P684">
            <v>28126.800000000007</v>
          </cell>
          <cell r="Q684">
            <v>29303.000000000004</v>
          </cell>
          <cell r="R684">
            <v>27440.199999999997</v>
          </cell>
          <cell r="S684">
            <v>28437.5</v>
          </cell>
          <cell r="T684">
            <v>30695.200000000004</v>
          </cell>
          <cell r="U684">
            <v>37377.299999999996</v>
          </cell>
          <cell r="V684">
            <v>41526.899999999994</v>
          </cell>
          <cell r="W684">
            <v>40747.5</v>
          </cell>
          <cell r="X684">
            <v>37675.300000000003</v>
          </cell>
          <cell r="Y684">
            <v>32020.6</v>
          </cell>
          <cell r="Z684">
            <v>27373.699999999997</v>
          </cell>
          <cell r="AA684">
            <v>31846.600000000002</v>
          </cell>
          <cell r="AB684">
            <v>27944.5</v>
          </cell>
          <cell r="AC684">
            <v>30544.100000000002</v>
          </cell>
          <cell r="AD684">
            <v>28843.800000000003</v>
          </cell>
          <cell r="AE684">
            <v>30339.299999999996</v>
          </cell>
          <cell r="AF684">
            <v>34445.69999999999</v>
          </cell>
          <cell r="AG684">
            <v>33008</v>
          </cell>
          <cell r="AH684">
            <v>43458.000000000007</v>
          </cell>
          <cell r="AI684">
            <v>46174.2</v>
          </cell>
          <cell r="AJ684">
            <v>38531.599999999991</v>
          </cell>
          <cell r="AK684">
            <v>35996.100000000006</v>
          </cell>
          <cell r="AL684">
            <v>31351.600000000006</v>
          </cell>
          <cell r="AM684">
            <v>31831.7</v>
          </cell>
          <cell r="AN684">
            <v>35051.799999999996</v>
          </cell>
          <cell r="AO684">
            <v>33706.600000000006</v>
          </cell>
          <cell r="AP684">
            <v>32121.499999999996</v>
          </cell>
          <cell r="AQ684">
            <v>33303.299999999996</v>
          </cell>
          <cell r="AR684">
            <v>30182</v>
          </cell>
          <cell r="AS684">
            <v>35154.1</v>
          </cell>
          <cell r="AT684">
            <v>39030.100000000006</v>
          </cell>
          <cell r="AU684">
            <v>36145.599999999991</v>
          </cell>
          <cell r="AV684">
            <v>34019.600000000006</v>
          </cell>
          <cell r="AW684">
            <v>36866.199999999997</v>
          </cell>
          <cell r="AX684">
            <v>34120.6</v>
          </cell>
          <cell r="AY684">
            <v>30705</v>
          </cell>
          <cell r="AZ684">
            <v>31973.7</v>
          </cell>
          <cell r="BA684">
            <v>37485.4</v>
          </cell>
          <cell r="BB684">
            <v>37297.200000000004</v>
          </cell>
          <cell r="BC684">
            <v>31362.1</v>
          </cell>
          <cell r="BD684">
            <v>34550.9</v>
          </cell>
          <cell r="BE684">
            <v>42238.9</v>
          </cell>
          <cell r="BF684">
            <v>59835.500000000007</v>
          </cell>
          <cell r="BG684">
            <v>43554.299999999996</v>
          </cell>
          <cell r="BH684">
            <v>35536.9</v>
          </cell>
          <cell r="BI684">
            <v>41060.899999999994</v>
          </cell>
          <cell r="BJ684">
            <v>33848.599999999991</v>
          </cell>
          <cell r="BK684">
            <v>36197.799999999996</v>
          </cell>
          <cell r="BL684">
            <v>38349.299999999996</v>
          </cell>
          <cell r="BM684">
            <v>33835</v>
          </cell>
          <cell r="BN684">
            <v>36435.5</v>
          </cell>
          <cell r="BO684">
            <v>38998.499999999993</v>
          </cell>
          <cell r="BP684">
            <v>36747.999999999993</v>
          </cell>
          <cell r="BQ684">
            <v>42047.700000000004</v>
          </cell>
          <cell r="BR684">
            <v>47550.200000000004</v>
          </cell>
          <cell r="BS684">
            <v>41157.199999999997</v>
          </cell>
          <cell r="BT684">
            <v>40847</v>
          </cell>
          <cell r="BU684">
            <v>38432.399999999994</v>
          </cell>
          <cell r="BV684">
            <v>37354.699999999997</v>
          </cell>
          <cell r="BW684">
            <v>31899.699999999997</v>
          </cell>
          <cell r="BX684">
            <v>32015.300000000003</v>
          </cell>
          <cell r="BY684">
            <v>30638.500000000004</v>
          </cell>
          <cell r="BZ684">
            <v>35208.800000000003</v>
          </cell>
          <cell r="CA684">
            <v>34220.799999999996</v>
          </cell>
          <cell r="CB684">
            <v>36597</v>
          </cell>
          <cell r="CC684">
            <v>42314.1</v>
          </cell>
          <cell r="CD684">
            <v>46437.399999999994</v>
          </cell>
          <cell r="CE684">
            <v>41516.599999999991</v>
          </cell>
          <cell r="CF684">
            <v>38320.399999999994</v>
          </cell>
          <cell r="CG684">
            <v>31715.4</v>
          </cell>
          <cell r="CH684">
            <v>30244.9</v>
          </cell>
          <cell r="CI684">
            <v>31928.7</v>
          </cell>
          <cell r="CJ684">
            <v>30409.000000000011</v>
          </cell>
          <cell r="CK684">
            <v>29317.8</v>
          </cell>
          <cell r="CL684">
            <v>29975.599999999999</v>
          </cell>
          <cell r="CM684">
            <v>31351.300000000003</v>
          </cell>
          <cell r="CN684">
            <v>34695.5</v>
          </cell>
          <cell r="CO684">
            <v>44734.599999999991</v>
          </cell>
          <cell r="CP684">
            <v>57318.700000000004</v>
          </cell>
          <cell r="CQ684">
            <v>47602.1</v>
          </cell>
          <cell r="CR684">
            <v>46236.6</v>
          </cell>
          <cell r="CS684">
            <v>44896.7</v>
          </cell>
          <cell r="CT684">
            <v>37848.100000000006</v>
          </cell>
          <cell r="CU684">
            <v>37515.799999999988</v>
          </cell>
          <cell r="CV684">
            <v>38089.800000000003</v>
          </cell>
          <cell r="CW684">
            <v>35925.200000000004</v>
          </cell>
          <cell r="CX684">
            <v>37921.500000000007</v>
          </cell>
          <cell r="CY684">
            <v>40397.699999999997</v>
          </cell>
          <cell r="CZ684">
            <v>41634.799999999996</v>
          </cell>
          <cell r="DA684">
            <v>50454.399999999994</v>
          </cell>
          <cell r="DB684">
            <v>65002.8</v>
          </cell>
          <cell r="DC684">
            <v>60811.1</v>
          </cell>
          <cell r="DD684">
            <v>53545.2</v>
          </cell>
          <cell r="DE684">
            <v>50033.599999999991</v>
          </cell>
          <cell r="DF684">
            <v>54902.899999999994</v>
          </cell>
          <cell r="DG684">
            <v>52350.900000000009</v>
          </cell>
          <cell r="DH684">
            <v>52047.299999999996</v>
          </cell>
          <cell r="DI684">
            <v>56233.2</v>
          </cell>
          <cell r="DJ684">
            <v>49362.899999999987</v>
          </cell>
          <cell r="DK684">
            <v>51960.899999999994</v>
          </cell>
          <cell r="DL684">
            <v>43192.100000000006</v>
          </cell>
          <cell r="DM684">
            <v>54202.500000000007</v>
          </cell>
          <cell r="DN684">
            <v>70597.899999999994</v>
          </cell>
          <cell r="DO684">
            <v>66926.900000000009</v>
          </cell>
          <cell r="DP684">
            <v>60266.999999999993</v>
          </cell>
          <cell r="DQ684">
            <v>51691.999999999985</v>
          </cell>
          <cell r="DR684">
            <v>46837.4</v>
          </cell>
          <cell r="DS684">
            <v>44867.099999999991</v>
          </cell>
          <cell r="DT684">
            <v>43481.8</v>
          </cell>
          <cell r="DU684">
            <v>42945.599999999999</v>
          </cell>
          <cell r="DV684">
            <v>44774.3</v>
          </cell>
          <cell r="DW684">
            <v>45670.799999999988</v>
          </cell>
          <cell r="DX684">
            <v>54090.099999999991</v>
          </cell>
          <cell r="DY684">
            <v>59132.1</v>
          </cell>
          <cell r="EM684">
            <v>396316</v>
          </cell>
          <cell r="EN684">
            <v>426862.50000000006</v>
          </cell>
          <cell r="EO684">
            <v>425795.30000000005</v>
          </cell>
          <cell r="EP684">
            <v>476448</v>
          </cell>
          <cell r="EQ684">
            <v>448235.69999999995</v>
          </cell>
          <cell r="ER684">
            <v>420647.19999999995</v>
          </cell>
          <cell r="ES684">
            <v>515841.4</v>
          </cell>
        </row>
        <row r="685">
          <cell r="H685" t="str">
            <v xml:space="preserve">Subsidiaries Earnings </v>
          </cell>
          <cell r="J685">
            <v>214.3</v>
          </cell>
          <cell r="K685">
            <v>330.6</v>
          </cell>
          <cell r="L685">
            <v>206.5</v>
          </cell>
          <cell r="M685">
            <v>280.89999999999998</v>
          </cell>
          <cell r="N685">
            <v>178.5</v>
          </cell>
          <cell r="O685">
            <v>262.39999999999998</v>
          </cell>
          <cell r="P685">
            <v>240.6</v>
          </cell>
          <cell r="Q685">
            <v>197.8</v>
          </cell>
          <cell r="R685">
            <v>68.8</v>
          </cell>
          <cell r="S685">
            <v>294.2</v>
          </cell>
          <cell r="T685">
            <v>168.3</v>
          </cell>
          <cell r="U685">
            <v>192.9</v>
          </cell>
          <cell r="V685">
            <v>390.8</v>
          </cell>
          <cell r="W685">
            <v>210.9</v>
          </cell>
          <cell r="X685">
            <v>150.80000000000001</v>
          </cell>
          <cell r="Y685">
            <v>117.1</v>
          </cell>
          <cell r="Z685">
            <v>224.4</v>
          </cell>
          <cell r="AA685">
            <v>216.3</v>
          </cell>
          <cell r="AB685">
            <v>152.9</v>
          </cell>
          <cell r="AC685">
            <v>171</v>
          </cell>
          <cell r="AD685">
            <v>223.3</v>
          </cell>
          <cell r="AE685">
            <v>130.19999999999999</v>
          </cell>
          <cell r="AF685">
            <v>190.3</v>
          </cell>
          <cell r="AG685">
            <v>703.8</v>
          </cell>
          <cell r="AH685">
            <v>296.3</v>
          </cell>
          <cell r="AI685">
            <v>362.9</v>
          </cell>
          <cell r="AJ685">
            <v>102.7</v>
          </cell>
          <cell r="AK685">
            <v>122.1</v>
          </cell>
          <cell r="AL685">
            <v>290.5</v>
          </cell>
          <cell r="AM685">
            <v>148.80000000000001</v>
          </cell>
          <cell r="AN685">
            <v>214.9</v>
          </cell>
          <cell r="AO685">
            <v>277.8</v>
          </cell>
          <cell r="AP685">
            <v>180.3</v>
          </cell>
          <cell r="AQ685">
            <v>769.4</v>
          </cell>
          <cell r="AR685">
            <v>203</v>
          </cell>
          <cell r="AS685">
            <v>221.3</v>
          </cell>
          <cell r="AT685">
            <v>353.9</v>
          </cell>
          <cell r="AU685">
            <v>308.10000000000002</v>
          </cell>
          <cell r="AV685">
            <v>287.2</v>
          </cell>
          <cell r="AW685">
            <v>147</v>
          </cell>
          <cell r="AX685">
            <v>332</v>
          </cell>
          <cell r="AY685">
            <v>-153.4</v>
          </cell>
          <cell r="AZ685">
            <v>293.3</v>
          </cell>
          <cell r="BA685">
            <v>142.80000000000001</v>
          </cell>
          <cell r="BB685">
            <v>298</v>
          </cell>
          <cell r="BC685">
            <v>245.6</v>
          </cell>
          <cell r="BD685">
            <v>341.6</v>
          </cell>
          <cell r="BE685">
            <v>549.1</v>
          </cell>
          <cell r="BF685">
            <v>427.3</v>
          </cell>
          <cell r="BG685">
            <v>414.6</v>
          </cell>
          <cell r="BH685">
            <v>112.6</v>
          </cell>
          <cell r="BI685">
            <v>506.3</v>
          </cell>
          <cell r="BJ685">
            <v>262</v>
          </cell>
          <cell r="BK685">
            <v>222.7</v>
          </cell>
          <cell r="BL685">
            <v>289.5</v>
          </cell>
          <cell r="BM685">
            <v>189.6</v>
          </cell>
          <cell r="BN685">
            <v>174.5</v>
          </cell>
          <cell r="BO685">
            <v>253.7</v>
          </cell>
          <cell r="BP685">
            <v>242.7</v>
          </cell>
          <cell r="BQ685">
            <v>417.3</v>
          </cell>
          <cell r="BR685">
            <v>256.60000000000002</v>
          </cell>
          <cell r="BS685">
            <v>285.5</v>
          </cell>
          <cell r="BT685">
            <v>461.1</v>
          </cell>
          <cell r="BU685">
            <v>417.1</v>
          </cell>
          <cell r="BV685">
            <v>323.8</v>
          </cell>
          <cell r="BW685">
            <v>234.5</v>
          </cell>
          <cell r="BX685">
            <v>338.9</v>
          </cell>
          <cell r="BY685">
            <v>459.5</v>
          </cell>
          <cell r="BZ685">
            <v>219.2</v>
          </cell>
          <cell r="CA685">
            <v>197.6</v>
          </cell>
          <cell r="CB685">
            <v>194.2</v>
          </cell>
          <cell r="CC685">
            <v>228.8</v>
          </cell>
          <cell r="CD685">
            <v>126.3</v>
          </cell>
          <cell r="CE685">
            <v>424.9</v>
          </cell>
          <cell r="CF685">
            <v>93.9</v>
          </cell>
          <cell r="CG685">
            <v>334.4</v>
          </cell>
          <cell r="CH685">
            <v>410.3</v>
          </cell>
          <cell r="CI685">
            <v>224.3</v>
          </cell>
          <cell r="CJ685">
            <v>188.4</v>
          </cell>
          <cell r="CK685">
            <v>311.3</v>
          </cell>
          <cell r="CL685">
            <v>239.2</v>
          </cell>
          <cell r="CM685">
            <v>350.8</v>
          </cell>
          <cell r="CN685">
            <v>209</v>
          </cell>
          <cell r="CO685">
            <v>367</v>
          </cell>
          <cell r="CP685">
            <v>334.1</v>
          </cell>
          <cell r="CQ685">
            <v>387.9</v>
          </cell>
          <cell r="CR685">
            <v>275.39999999999998</v>
          </cell>
          <cell r="CS685">
            <v>331.5</v>
          </cell>
          <cell r="CT685">
            <v>390.5</v>
          </cell>
          <cell r="CU685">
            <v>271.5</v>
          </cell>
          <cell r="CV685">
            <v>274.10000000000002</v>
          </cell>
          <cell r="CW685">
            <v>337.1</v>
          </cell>
          <cell r="CX685">
            <v>295.8</v>
          </cell>
          <cell r="CY685">
            <v>313.7</v>
          </cell>
          <cell r="CZ685">
            <v>273.10000000000002</v>
          </cell>
          <cell r="DA685">
            <v>159.4</v>
          </cell>
          <cell r="DB685">
            <v>145</v>
          </cell>
          <cell r="DC685">
            <v>253.3</v>
          </cell>
          <cell r="DD685">
            <v>473.6</v>
          </cell>
          <cell r="DE685">
            <v>257.39999999999998</v>
          </cell>
          <cell r="DF685">
            <v>276</v>
          </cell>
          <cell r="DG685">
            <v>223</v>
          </cell>
          <cell r="DH685">
            <v>436.6</v>
          </cell>
          <cell r="DI685">
            <v>288</v>
          </cell>
          <cell r="DJ685">
            <v>337.6</v>
          </cell>
          <cell r="DK685">
            <v>251.5</v>
          </cell>
          <cell r="DL685">
            <v>300.10000000000002</v>
          </cell>
          <cell r="DM685">
            <v>13.1</v>
          </cell>
          <cell r="DN685">
            <v>178.7</v>
          </cell>
          <cell r="DO685">
            <v>282.5</v>
          </cell>
          <cell r="DP685">
            <v>222.7</v>
          </cell>
          <cell r="DQ685">
            <v>351.6</v>
          </cell>
          <cell r="DR685">
            <v>310</v>
          </cell>
          <cell r="DS685">
            <v>309.5</v>
          </cell>
          <cell r="DT685">
            <v>336.3</v>
          </cell>
          <cell r="DU685">
            <v>306</v>
          </cell>
          <cell r="DV685">
            <v>324.2</v>
          </cell>
          <cell r="DW685">
            <v>321.60000000000002</v>
          </cell>
          <cell r="DX685">
            <v>355</v>
          </cell>
          <cell r="DY685">
            <v>566.6</v>
          </cell>
          <cell r="EM685">
            <v>2881.8</v>
          </cell>
          <cell r="EN685">
            <v>3190</v>
          </cell>
          <cell r="EO685">
            <v>3145.2</v>
          </cell>
          <cell r="EP685">
            <v>3512.7999999999997</v>
          </cell>
          <cell r="EQ685">
            <v>3616.7999999999997</v>
          </cell>
          <cell r="ER685">
            <v>3279.8</v>
          </cell>
          <cell r="ES685">
            <v>3644.1</v>
          </cell>
        </row>
        <row r="686">
          <cell r="H686" t="str">
            <v>Net Income</v>
          </cell>
          <cell r="J686">
            <v>5176.5999999999985</v>
          </cell>
          <cell r="K686">
            <v>4502.5</v>
          </cell>
          <cell r="L686">
            <v>4881.6999999999971</v>
          </cell>
          <cell r="M686">
            <v>3276.0999999999985</v>
          </cell>
          <cell r="N686">
            <v>1814.7000000000007</v>
          </cell>
          <cell r="O686">
            <v>2478.5000000000073</v>
          </cell>
          <cell r="P686">
            <v>1684.3000000000065</v>
          </cell>
          <cell r="Q686">
            <v>1711.3999999999978</v>
          </cell>
          <cell r="R686">
            <v>1334.6000000000058</v>
          </cell>
          <cell r="S686">
            <v>2419.9000000000015</v>
          </cell>
          <cell r="T686">
            <v>2825.5000000000036</v>
          </cell>
          <cell r="U686">
            <v>3730.1999999999971</v>
          </cell>
          <cell r="V686">
            <v>5546.3000000000029</v>
          </cell>
          <cell r="W686">
            <v>4960.9000000000015</v>
          </cell>
          <cell r="X686">
            <v>4121.3000000000102</v>
          </cell>
          <cell r="Y686">
            <v>2370.7000000000007</v>
          </cell>
          <cell r="Z686">
            <v>2344.0000000000073</v>
          </cell>
          <cell r="AA686">
            <v>2796.1000000000022</v>
          </cell>
          <cell r="AB686">
            <v>1833.200000000008</v>
          </cell>
          <cell r="AC686">
            <v>2511.6000000000058</v>
          </cell>
          <cell r="AD686">
            <v>1860.0000000000036</v>
          </cell>
          <cell r="AE686">
            <v>2165.3999999999905</v>
          </cell>
          <cell r="AF686">
            <v>1806.7999999999884</v>
          </cell>
          <cell r="AG686">
            <v>2949.8000000000065</v>
          </cell>
          <cell r="AH686">
            <v>5296.9000000000087</v>
          </cell>
          <cell r="AI686">
            <v>5452.0999999999985</v>
          </cell>
          <cell r="AJ686">
            <v>2373.0999999999913</v>
          </cell>
          <cell r="AK686">
            <v>2945.7999999999956</v>
          </cell>
          <cell r="AL686">
            <v>2772.8000000000102</v>
          </cell>
          <cell r="AM686">
            <v>1321.5000000000073</v>
          </cell>
          <cell r="AN686">
            <v>2616.7000000000044</v>
          </cell>
          <cell r="AO686">
            <v>2020.4000000000087</v>
          </cell>
          <cell r="AP686">
            <v>1958.6999999999935</v>
          </cell>
          <cell r="AQ686">
            <v>2942.9999999999927</v>
          </cell>
          <cell r="AR686">
            <v>3103.5999999999985</v>
          </cell>
          <cell r="AS686">
            <v>2053.1999999999971</v>
          </cell>
          <cell r="AT686">
            <v>5364.3000000000102</v>
          </cell>
          <cell r="AU686">
            <v>3871.0999999999913</v>
          </cell>
          <cell r="AV686">
            <v>4536.1999999999971</v>
          </cell>
          <cell r="AW686">
            <v>3831.2000000000044</v>
          </cell>
          <cell r="AX686">
            <v>3718.299999999992</v>
          </cell>
          <cell r="AY686">
            <v>2081.4999999999927</v>
          </cell>
          <cell r="AZ686">
            <v>2759.2000000000007</v>
          </cell>
          <cell r="BA686">
            <v>2496.4999999999927</v>
          </cell>
          <cell r="BB686">
            <v>2708.0999999999985</v>
          </cell>
          <cell r="BC686">
            <v>2631.1999999999971</v>
          </cell>
          <cell r="BD686">
            <v>3442.8999999999978</v>
          </cell>
          <cell r="BE686">
            <v>5583.5000000000146</v>
          </cell>
          <cell r="BF686">
            <v>9302.3000000000175</v>
          </cell>
          <cell r="BG686">
            <v>4503.099999999984</v>
          </cell>
          <cell r="BH686">
            <v>1650.2000000000044</v>
          </cell>
          <cell r="BI686">
            <v>5304.9999999999927</v>
          </cell>
          <cell r="BJ686">
            <v>2688.8999999999905</v>
          </cell>
          <cell r="BK686">
            <v>3096.2999999999956</v>
          </cell>
          <cell r="BL686">
            <v>3105.0999999999985</v>
          </cell>
          <cell r="BM686">
            <v>2532.9000000000015</v>
          </cell>
          <cell r="BN686">
            <v>3697.9000000000015</v>
          </cell>
          <cell r="BO686">
            <v>2802.7999999999956</v>
          </cell>
          <cell r="BP686">
            <v>3521.4999999999927</v>
          </cell>
          <cell r="BQ686">
            <v>5492.3999999999942</v>
          </cell>
          <cell r="BR686">
            <v>6617.5999999999985</v>
          </cell>
          <cell r="BS686">
            <v>5867.1999999999898</v>
          </cell>
          <cell r="BT686">
            <v>5496.5999999999913</v>
          </cell>
          <cell r="BU686">
            <v>5227.1999999999971</v>
          </cell>
          <cell r="BV686">
            <v>4583.7999999999956</v>
          </cell>
          <cell r="BW686">
            <v>3764.4999999999927</v>
          </cell>
          <cell r="BX686">
            <v>3058.6000000000058</v>
          </cell>
          <cell r="BY686">
            <v>3842</v>
          </cell>
          <cell r="BZ686">
            <v>3683.4000000000015</v>
          </cell>
          <cell r="CA686">
            <v>3425.5999999999949</v>
          </cell>
          <cell r="CB686">
            <v>4401.2999999999993</v>
          </cell>
          <cell r="CC686">
            <v>4060.7999999999956</v>
          </cell>
          <cell r="CD686">
            <v>7675.5</v>
          </cell>
          <cell r="CE686">
            <v>5940.0999999999985</v>
          </cell>
          <cell r="CF686">
            <v>4844.5999999999913</v>
          </cell>
          <cell r="CG686">
            <v>3711.3999999999869</v>
          </cell>
          <cell r="CH686">
            <v>3608.0000000000036</v>
          </cell>
          <cell r="CI686">
            <v>3209.6999999999971</v>
          </cell>
          <cell r="CJ686">
            <v>3095.3000000000175</v>
          </cell>
          <cell r="CK686">
            <v>3757.6000000000022</v>
          </cell>
          <cell r="CL686">
            <v>3415.6999999999971</v>
          </cell>
          <cell r="CM686">
            <v>2946.3999999999942</v>
          </cell>
          <cell r="CN686">
            <v>5089.6000000000058</v>
          </cell>
          <cell r="CO686">
            <v>4619.7999999999884</v>
          </cell>
          <cell r="CP686">
            <v>11395.200000000012</v>
          </cell>
          <cell r="CQ686">
            <v>8009.5999999999913</v>
          </cell>
          <cell r="CR686">
            <v>7690.2999999999956</v>
          </cell>
          <cell r="CS686">
            <v>7693.7000000000044</v>
          </cell>
          <cell r="CT686">
            <v>5523.3000000000065</v>
          </cell>
          <cell r="CU686">
            <v>5442.1999999999862</v>
          </cell>
          <cell r="CV686">
            <v>4434.7000000000116</v>
          </cell>
          <cell r="CW686">
            <v>4768.0999999999949</v>
          </cell>
          <cell r="CX686">
            <v>5555.3000000000065</v>
          </cell>
          <cell r="CY686">
            <v>5105.7999999999956</v>
          </cell>
          <cell r="CZ686">
            <v>5800.3999999999942</v>
          </cell>
          <cell r="DA686">
            <v>5862.0999999999913</v>
          </cell>
          <cell r="DB686">
            <v>9788.1000000000204</v>
          </cell>
          <cell r="DC686">
            <v>8848.7000000000189</v>
          </cell>
          <cell r="DD686">
            <v>10906.899999999987</v>
          </cell>
          <cell r="DE686">
            <v>6709.099999999984</v>
          </cell>
          <cell r="DF686">
            <v>6255.2000000000044</v>
          </cell>
          <cell r="DG686">
            <v>6658.3000000000102</v>
          </cell>
          <cell r="DH686">
            <v>4395.3999999999942</v>
          </cell>
          <cell r="DI686">
            <v>4562.4999999999927</v>
          </cell>
          <cell r="DJ686">
            <v>7270.5999999999913</v>
          </cell>
          <cell r="DK686">
            <v>4803.6000000000058</v>
          </cell>
          <cell r="DL686">
            <v>5932.9000000000087</v>
          </cell>
          <cell r="DM686">
            <v>6107.3000000000175</v>
          </cell>
          <cell r="DN686">
            <v>9569.6999999999898</v>
          </cell>
          <cell r="DO686">
            <v>8659.9999999999927</v>
          </cell>
          <cell r="DP686">
            <v>10800.399999999987</v>
          </cell>
          <cell r="DQ686">
            <v>7004.0999999999913</v>
          </cell>
          <cell r="DR686">
            <v>5310.1999999999971</v>
          </cell>
          <cell r="DS686">
            <v>6877.8999999999942</v>
          </cell>
          <cell r="DT686">
            <v>4423</v>
          </cell>
          <cell r="DU686">
            <v>4216.4999999999854</v>
          </cell>
          <cell r="DV686">
            <v>6262.3000000000029</v>
          </cell>
          <cell r="DW686">
            <v>3193.5916915429771</v>
          </cell>
          <cell r="DX686">
            <v>5800.6364418135563</v>
          </cell>
          <cell r="DY686">
            <v>12584.922295288234</v>
          </cell>
          <cell r="EM686">
            <v>35266.100000000028</v>
          </cell>
          <cell r="EN686">
            <v>34857.800000000003</v>
          </cell>
          <cell r="EO686">
            <v>43023.999999999985</v>
          </cell>
          <cell r="EP686">
            <v>47698.399999999965</v>
          </cell>
          <cell r="EQ686">
            <v>54028.599999999969</v>
          </cell>
          <cell r="ER686">
            <v>51913.699999999983</v>
          </cell>
          <cell r="ES686">
            <v>77280.699999999968</v>
          </cell>
        </row>
        <row r="687">
          <cell r="J687">
            <v>-5.4569682106375694E-12</v>
          </cell>
          <cell r="K687">
            <v>1.8189894035458565E-12</v>
          </cell>
          <cell r="L687">
            <v>-1.8189894035458565E-12</v>
          </cell>
          <cell r="M687">
            <v>7.2759576141834259E-12</v>
          </cell>
          <cell r="N687">
            <v>-3.865352482534945E-12</v>
          </cell>
          <cell r="O687">
            <v>9.0949470177292824E-12</v>
          </cell>
          <cell r="P687">
            <v>-2.5011104298755527E-12</v>
          </cell>
          <cell r="Q687">
            <v>-5.4569682106375694E-12</v>
          </cell>
          <cell r="R687">
            <v>5.4569682106375694E-12</v>
          </cell>
          <cell r="S687">
            <v>-1.8189894035458565E-12</v>
          </cell>
          <cell r="T687">
            <v>-9.0949470177292824E-13</v>
          </cell>
          <cell r="U687">
            <v>-4.5474735088646412E-12</v>
          </cell>
          <cell r="V687">
            <v>-7.2759576141834259E-12</v>
          </cell>
          <cell r="W687">
            <v>-8.1854523159563541E-12</v>
          </cell>
          <cell r="X687">
            <v>8.1854523159563541E-12</v>
          </cell>
          <cell r="Y687">
            <v>2.7284841053187847E-12</v>
          </cell>
          <cell r="Z687">
            <v>9.0949470177292824E-12</v>
          </cell>
          <cell r="AA687">
            <v>-2.7284841053187847E-12</v>
          </cell>
          <cell r="AB687">
            <v>1.659827830735594E-11</v>
          </cell>
          <cell r="AC687">
            <v>8.1854523159563541E-12</v>
          </cell>
          <cell r="AD687">
            <v>-1.5916157281026244E-12</v>
          </cell>
          <cell r="AE687">
            <v>-1.2732925824820995E-11</v>
          </cell>
          <cell r="AF687">
            <v>-8.1854523159563541E-12</v>
          </cell>
          <cell r="AG687">
            <v>-3.637978807091713E-12</v>
          </cell>
          <cell r="AH687">
            <v>0</v>
          </cell>
          <cell r="AI687">
            <v>5.4569682106375694E-12</v>
          </cell>
          <cell r="AJ687">
            <v>-4.5474735088646412E-13</v>
          </cell>
          <cell r="AK687">
            <v>-1.0004441719502211E-11</v>
          </cell>
          <cell r="AL687">
            <v>0</v>
          </cell>
          <cell r="AM687">
            <v>3.637978807091713E-12</v>
          </cell>
          <cell r="AN687">
            <v>4.0927261579781771E-12</v>
          </cell>
          <cell r="AO687">
            <v>1.5916157281026244E-12</v>
          </cell>
          <cell r="AP687">
            <v>9.9999999997635314E-2</v>
          </cell>
          <cell r="AQ687">
            <v>-1.1000000000021828</v>
          </cell>
          <cell r="AR687">
            <v>-4.5474735088646412E-12</v>
          </cell>
          <cell r="AS687">
            <v>4.5474735088646412E-12</v>
          </cell>
          <cell r="AT687">
            <v>-0.99999999999545253</v>
          </cell>
          <cell r="AU687">
            <v>-1.3642420526593924E-12</v>
          </cell>
          <cell r="AV687">
            <v>-1.0000000000109139</v>
          </cell>
          <cell r="AW687">
            <v>3.1832314562052488E-12</v>
          </cell>
          <cell r="AX687">
            <v>-2.7284841053187847E-12</v>
          </cell>
          <cell r="AY687">
            <v>-1.2732925824820995E-11</v>
          </cell>
          <cell r="AZ687">
            <v>-4.0927261579781771E-12</v>
          </cell>
          <cell r="BA687">
            <v>-1</v>
          </cell>
          <cell r="BB687">
            <v>-4.5474735088646412E-12</v>
          </cell>
          <cell r="BC687">
            <v>0.10000000000081855</v>
          </cell>
          <cell r="BD687">
            <v>-0.10000000000127329</v>
          </cell>
          <cell r="BE687">
            <v>1.2732925824820995E-11</v>
          </cell>
          <cell r="BF687">
            <v>1.4551915228366852E-11</v>
          </cell>
          <cell r="BG687">
            <v>-4.5474735088646412E-12</v>
          </cell>
          <cell r="BH687">
            <v>1.3642420526593924E-12</v>
          </cell>
          <cell r="BI687">
            <v>-4.5474735088646412E-12</v>
          </cell>
          <cell r="BJ687">
            <v>9.0949470177292824E-13</v>
          </cell>
          <cell r="BK687">
            <v>6.8212102632969618E-12</v>
          </cell>
          <cell r="BL687">
            <v>6.3664629124104977E-12</v>
          </cell>
          <cell r="BM687">
            <v>2.2737367544323206E-12</v>
          </cell>
          <cell r="BN687">
            <v>2.7284841053187847E-12</v>
          </cell>
          <cell r="BO687">
            <v>-4.0927261579781771E-12</v>
          </cell>
          <cell r="BP687">
            <v>1.8189894035458565E-12</v>
          </cell>
          <cell r="BQ687">
            <v>-3.637978807091713E-12</v>
          </cell>
          <cell r="BR687">
            <v>-1.4551915228366852E-11</v>
          </cell>
          <cell r="BS687">
            <v>-7.2759576141834259E-12</v>
          </cell>
          <cell r="BT687">
            <v>0</v>
          </cell>
          <cell r="BU687">
            <v>0</v>
          </cell>
          <cell r="BV687">
            <v>-8.1854523159563541E-12</v>
          </cell>
          <cell r="BW687">
            <v>-6.3664629124104977E-12</v>
          </cell>
          <cell r="BX687">
            <v>8.6401996668428183E-12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-1.0913936421275139E-11</v>
          </cell>
          <cell r="CH687">
            <v>-1.0913936421275139E-11</v>
          </cell>
          <cell r="CI687">
            <v>0</v>
          </cell>
          <cell r="CJ687">
            <v>2.3646862246096134E-11</v>
          </cell>
          <cell r="CK687">
            <v>0</v>
          </cell>
          <cell r="CL687">
            <v>9.0949470177292824E-12</v>
          </cell>
          <cell r="CM687">
            <v>-1.7280399333685637E-11</v>
          </cell>
          <cell r="CN687">
            <v>1.0004441719502211E-11</v>
          </cell>
          <cell r="CO687">
            <v>7.2759576141834259E-12</v>
          </cell>
          <cell r="CP687">
            <v>0</v>
          </cell>
          <cell r="CQ687">
            <v>2.5465851649641991E-11</v>
          </cell>
          <cell r="CR687">
            <v>0</v>
          </cell>
          <cell r="CS687">
            <v>1.546140993013978E-11</v>
          </cell>
          <cell r="CT687">
            <v>2.0008883439004421E-11</v>
          </cell>
          <cell r="CU687">
            <v>-1.9099388737231493E-11</v>
          </cell>
          <cell r="CV687">
            <v>0</v>
          </cell>
          <cell r="CW687">
            <v>7.2759576141834259E-12</v>
          </cell>
          <cell r="CX687">
            <v>2.1827872842550278E-11</v>
          </cell>
          <cell r="CY687">
            <v>0</v>
          </cell>
          <cell r="CZ687">
            <v>1.2732925824820995E-11</v>
          </cell>
          <cell r="DA687">
            <v>1.0913936421275139E-11</v>
          </cell>
          <cell r="DB687">
            <v>4.5474735088646412E-11</v>
          </cell>
          <cell r="DC687">
            <v>3.637978807091713E-11</v>
          </cell>
          <cell r="DD687">
            <v>0</v>
          </cell>
          <cell r="DE687">
            <v>-2.1827872842550278E-11</v>
          </cell>
          <cell r="DF687">
            <v>2.3646862246096134E-11</v>
          </cell>
          <cell r="DG687">
            <v>4.8203219193965197E-11</v>
          </cell>
          <cell r="DH687">
            <v>2.1827872842550278E-11</v>
          </cell>
          <cell r="DI687">
            <v>0</v>
          </cell>
          <cell r="DJ687">
            <v>-2.5465851649641991E-11</v>
          </cell>
          <cell r="DK687">
            <v>-9.0949470177292824E-12</v>
          </cell>
          <cell r="DL687">
            <v>2.4556356947869062E-11</v>
          </cell>
          <cell r="DM687">
            <v>3.092281986027956E-11</v>
          </cell>
          <cell r="DN687">
            <v>2.1827872842550278E-11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2.0918378140777349E-11</v>
          </cell>
          <cell r="DU687">
            <v>-2.6375346351414919E-11</v>
          </cell>
          <cell r="DV687">
            <v>2.2737367544323206E-11</v>
          </cell>
          <cell r="DW687">
            <v>-2.5465851649641991E-11</v>
          </cell>
          <cell r="DX687">
            <v>1.4551915228366852E-11</v>
          </cell>
          <cell r="DY687">
            <v>0</v>
          </cell>
        </row>
        <row r="689">
          <cell r="H689" t="str">
            <v>Total Net Income per BPC/ECC</v>
          </cell>
          <cell r="J689">
            <v>5176196.6399999997</v>
          </cell>
          <cell r="K689">
            <v>4502626.84</v>
          </cell>
          <cell r="L689">
            <v>4881883.5599999996</v>
          </cell>
          <cell r="M689">
            <v>3275795.51</v>
          </cell>
          <cell r="N689">
            <v>1814214.4</v>
          </cell>
          <cell r="O689">
            <v>2478542.08</v>
          </cell>
          <cell r="P689">
            <v>1684533.29</v>
          </cell>
          <cell r="Q689">
            <v>1711061.1</v>
          </cell>
          <cell r="R689">
            <v>1334666.74</v>
          </cell>
          <cell r="S689">
            <v>2419587.63</v>
          </cell>
          <cell r="T689">
            <v>2825107.6</v>
          </cell>
          <cell r="U689">
            <v>3729886.48</v>
          </cell>
          <cell r="V689">
            <v>5545677.0499999998</v>
          </cell>
          <cell r="W689">
            <v>4960629.74</v>
          </cell>
          <cell r="X689">
            <v>4121482.69</v>
          </cell>
          <cell r="Y689">
            <v>2371048.13</v>
          </cell>
          <cell r="Z689">
            <v>2343817.73</v>
          </cell>
          <cell r="AA689">
            <v>2795820.78</v>
          </cell>
          <cell r="AB689">
            <v>1833585.63</v>
          </cell>
          <cell r="AC689">
            <v>2511676.65</v>
          </cell>
          <cell r="AD689">
            <v>1860447.41</v>
          </cell>
          <cell r="AE689">
            <v>2165009.88</v>
          </cell>
          <cell r="AF689">
            <v>1807041.11</v>
          </cell>
          <cell r="AG689">
            <v>2949033.29</v>
          </cell>
          <cell r="AH689">
            <v>5297380.29</v>
          </cell>
          <cell r="AI689">
            <v>5452103.8300000001</v>
          </cell>
          <cell r="AJ689">
            <v>2373165.4700000002</v>
          </cell>
          <cell r="AK689">
            <v>2946014.46</v>
          </cell>
          <cell r="AL689">
            <v>2773077.51</v>
          </cell>
          <cell r="AM689">
            <v>1322328.54</v>
          </cell>
          <cell r="AN689">
            <v>2616097.65</v>
          </cell>
          <cell r="AO689">
            <v>2019875.78</v>
          </cell>
          <cell r="AP689">
            <v>1958976.08</v>
          </cell>
          <cell r="AQ689">
            <v>2943980.86</v>
          </cell>
          <cell r="AR689">
            <v>3104355.59</v>
          </cell>
          <cell r="AS689">
            <v>2053249.05</v>
          </cell>
          <cell r="AT689">
            <v>5364828.88</v>
          </cell>
          <cell r="AU689">
            <v>3871211.04</v>
          </cell>
          <cell r="AV689">
            <v>4536791.43</v>
          </cell>
          <cell r="AW689">
            <v>3830968.03</v>
          </cell>
          <cell r="AX689">
            <v>3718372.68</v>
          </cell>
          <cell r="AY689">
            <v>2081619.07</v>
          </cell>
          <cell r="AZ689">
            <v>2758883.76</v>
          </cell>
          <cell r="BA689">
            <v>2496907.58</v>
          </cell>
          <cell r="BB689">
            <v>2707918.43</v>
          </cell>
          <cell r="BC689">
            <v>2630149.91</v>
          </cell>
          <cell r="BD689">
            <v>3443330.23</v>
          </cell>
          <cell r="BE689">
            <v>5584119.0700000003</v>
          </cell>
          <cell r="BF689">
            <v>9302106.2899999991</v>
          </cell>
          <cell r="BG689">
            <v>4503468.3256000001</v>
          </cell>
          <cell r="BH689">
            <v>1650568.7243999999</v>
          </cell>
          <cell r="BI689">
            <v>5304901.6399999997</v>
          </cell>
          <cell r="BJ689">
            <v>2688164.04</v>
          </cell>
          <cell r="BK689">
            <v>3096375</v>
          </cell>
          <cell r="BL689">
            <v>3105270.2</v>
          </cell>
          <cell r="BM689">
            <v>2532103.3199999998</v>
          </cell>
          <cell r="BN689">
            <v>3697950.51</v>
          </cell>
          <cell r="BO689">
            <v>2803273.23</v>
          </cell>
          <cell r="BP689">
            <v>3521863.36</v>
          </cell>
          <cell r="BQ689">
            <v>5493355.7599999998</v>
          </cell>
          <cell r="BR689">
            <v>6617945.8899999997</v>
          </cell>
          <cell r="BS689">
            <v>5866661.8499999996</v>
          </cell>
          <cell r="BT689">
            <v>5496050.3099999996</v>
          </cell>
          <cell r="BU689">
            <v>5226930.1900000004</v>
          </cell>
          <cell r="BV689">
            <v>4583161.12</v>
          </cell>
          <cell r="BW689">
            <v>3765173.37</v>
          </cell>
          <cell r="BX689">
            <v>3058815.38</v>
          </cell>
          <cell r="BY689">
            <v>3841883.84</v>
          </cell>
          <cell r="BZ689">
            <v>3683859.63</v>
          </cell>
          <cell r="CA689">
            <v>3425609.09</v>
          </cell>
          <cell r="CB689">
            <v>4401638.71</v>
          </cell>
          <cell r="CC689">
            <v>4061403.69</v>
          </cell>
          <cell r="CD689">
            <v>7675617.6200000001</v>
          </cell>
          <cell r="CE689">
            <v>5940466.9199999999</v>
          </cell>
          <cell r="CF689">
            <v>4844783.18</v>
          </cell>
          <cell r="CG689">
            <v>3710728.28</v>
          </cell>
          <cell r="CH689">
            <v>3608346.84</v>
          </cell>
          <cell r="CI689">
            <v>3209793.14</v>
          </cell>
          <cell r="CJ689">
            <v>3096133.42</v>
          </cell>
          <cell r="CK689">
            <v>3757822.85</v>
          </cell>
          <cell r="CL689">
            <v>3415357.65</v>
          </cell>
          <cell r="CM689">
            <v>2946877.3</v>
          </cell>
          <cell r="CN689">
            <v>5089897.08</v>
          </cell>
          <cell r="CO689">
            <v>4619564.9800000004</v>
          </cell>
          <cell r="CP689">
            <v>11395487.33</v>
          </cell>
          <cell r="CQ689">
            <v>8009638.0999999996</v>
          </cell>
          <cell r="CR689">
            <v>7690800.4699999997</v>
          </cell>
          <cell r="CS689">
            <v>7693733.1100000003</v>
          </cell>
          <cell r="CT689">
            <v>5523422.1399999997</v>
          </cell>
          <cell r="CU689">
            <v>5442618.1799999997</v>
          </cell>
          <cell r="CV689">
            <v>4434602.46</v>
          </cell>
          <cell r="CW689">
            <v>4767526.43</v>
          </cell>
          <cell r="CX689">
            <v>5555927.8700000001</v>
          </cell>
          <cell r="CY689">
            <v>5105687.1500000004</v>
          </cell>
          <cell r="CZ689">
            <v>5800885.7699999996</v>
          </cell>
          <cell r="DA689">
            <v>5862599.79</v>
          </cell>
          <cell r="DB689">
            <v>9787937.4600000009</v>
          </cell>
          <cell r="DC689">
            <v>8848433.3599999994</v>
          </cell>
          <cell r="DD689">
            <v>10906631.869999999</v>
          </cell>
          <cell r="DE689">
            <v>6709140.3300000001</v>
          </cell>
          <cell r="DF689">
            <v>6255344.3099999996</v>
          </cell>
          <cell r="DG689">
            <v>6658559.8300000001</v>
          </cell>
          <cell r="DH689">
            <v>4395198.3499999996</v>
          </cell>
          <cell r="DI689">
            <v>4562159.5</v>
          </cell>
          <cell r="DJ689">
            <v>7270008.4299999997</v>
          </cell>
          <cell r="DK689">
            <v>4804065.5199999996</v>
          </cell>
          <cell r="DL689">
            <v>5933019.0599999996</v>
          </cell>
          <cell r="DM689">
            <v>6107119.9299999997</v>
          </cell>
        </row>
        <row r="690">
          <cell r="H690" t="str">
            <v>VARIANCE</v>
          </cell>
          <cell r="J690">
            <v>-0.40335999999842898</v>
          </cell>
          <cell r="K690">
            <v>0.12683999999990192</v>
          </cell>
          <cell r="L690">
            <v>0.18356000000221684</v>
          </cell>
          <cell r="M690">
            <v>-0.30448999999862281</v>
          </cell>
          <cell r="N690">
            <v>-0.48560000000088621</v>
          </cell>
          <cell r="O690">
            <v>4.2079999992893136E-2</v>
          </cell>
          <cell r="P690">
            <v>0.23328999999353073</v>
          </cell>
          <cell r="Q690">
            <v>-0.33889999999769316</v>
          </cell>
          <cell r="R690">
            <v>6.6739999994069876E-2</v>
          </cell>
          <cell r="S690">
            <v>-0.31237000000146509</v>
          </cell>
          <cell r="T690">
            <v>-0.39240000000336295</v>
          </cell>
          <cell r="U690">
            <v>-0.31351999999697</v>
          </cell>
          <cell r="V690">
            <v>-0.62295000000267464</v>
          </cell>
          <cell r="W690">
            <v>-0.27026000000114436</v>
          </cell>
          <cell r="X690">
            <v>0.18268999998963409</v>
          </cell>
          <cell r="Y690">
            <v>0.348129999998946</v>
          </cell>
          <cell r="Z690">
            <v>-0.18227000000752014</v>
          </cell>
          <cell r="AA690">
            <v>-0.2792200000021694</v>
          </cell>
          <cell r="AB690">
            <v>0.38562999999180647</v>
          </cell>
          <cell r="AC690">
            <v>7.6649999994060636E-2</v>
          </cell>
          <cell r="AD690">
            <v>0.44740999999635278</v>
          </cell>
          <cell r="AE690">
            <v>-0.39011999999047475</v>
          </cell>
          <cell r="AF690">
            <v>0.24111000001175853</v>
          </cell>
          <cell r="AG690">
            <v>-0.76671000000669665</v>
          </cell>
          <cell r="AH690">
            <v>0.48028999999132793</v>
          </cell>
          <cell r="AI690">
            <v>3.8300000014714897E-3</v>
          </cell>
          <cell r="AJ690">
            <v>6.5470000009099749E-2</v>
          </cell>
          <cell r="AK690">
            <v>0.21446000000423737</v>
          </cell>
          <cell r="AL690">
            <v>0.27750999998943371</v>
          </cell>
          <cell r="AM690">
            <v>0.82853999999269945</v>
          </cell>
          <cell r="AN690">
            <v>-0.60235000000466243</v>
          </cell>
          <cell r="AO690">
            <v>-0.5242200000086541</v>
          </cell>
          <cell r="AP690">
            <v>0.27608000000668653</v>
          </cell>
          <cell r="AQ690">
            <v>0.98086000000694185</v>
          </cell>
          <cell r="AR690">
            <v>0.75559000000112064</v>
          </cell>
          <cell r="AS690">
            <v>4.9050000002807792E-2</v>
          </cell>
          <cell r="AT690">
            <v>0.52887999998984014</v>
          </cell>
          <cell r="AU690">
            <v>0.11104000000887027</v>
          </cell>
          <cell r="AV690">
            <v>0.59143000000221946</v>
          </cell>
          <cell r="AW690">
            <v>-0.23197000000436674</v>
          </cell>
          <cell r="AX690">
            <v>7.2680000007949275E-2</v>
          </cell>
          <cell r="AY690">
            <v>0.11907000000746848</v>
          </cell>
          <cell r="AZ690">
            <v>-0.3162400000010166</v>
          </cell>
          <cell r="BA690">
            <v>0.40758000000732864</v>
          </cell>
          <cell r="BB690">
            <v>-0.18156999999837353</v>
          </cell>
          <cell r="BC690">
            <v>-1.0500899999969988</v>
          </cell>
          <cell r="BD690">
            <v>0.43023000000221145</v>
          </cell>
          <cell r="BE690">
            <v>0.61906999998609535</v>
          </cell>
          <cell r="BF690">
            <v>-0.19371000001774519</v>
          </cell>
          <cell r="BG690">
            <v>0.3683256000158508</v>
          </cell>
          <cell r="BH690">
            <v>0.36872439999547169</v>
          </cell>
          <cell r="BI690">
            <v>-9.8359999992680969E-2</v>
          </cell>
          <cell r="BJ690">
            <v>-0.7359599999904276</v>
          </cell>
          <cell r="BK690">
            <v>7.5000000004365575E-2</v>
          </cell>
          <cell r="BL690">
            <v>0.17020000000184154</v>
          </cell>
          <cell r="BM690">
            <v>-0.79668000000174288</v>
          </cell>
          <cell r="BN690">
            <v>5.0509999998212152E-2</v>
          </cell>
          <cell r="BO690">
            <v>0.4732300000041505</v>
          </cell>
          <cell r="BP690">
            <v>0.36336000000710555</v>
          </cell>
          <cell r="BQ690">
            <v>0.95576000000528438</v>
          </cell>
          <cell r="BR690">
            <v>0.34589000000141823</v>
          </cell>
          <cell r="BS690">
            <v>-0.53814999999030988</v>
          </cell>
          <cell r="BT690">
            <v>-0.54968999999164225</v>
          </cell>
          <cell r="BU690">
            <v>-0.26980999999705091</v>
          </cell>
          <cell r="BV690">
            <v>-0.63887999999587919</v>
          </cell>
          <cell r="BW690">
            <v>0.67337000000725311</v>
          </cell>
          <cell r="BX690">
            <v>0.21537999999418389</v>
          </cell>
          <cell r="BY690">
            <v>-0.11616000000003623</v>
          </cell>
          <cell r="BZ690">
            <v>0.45962999999846943</v>
          </cell>
          <cell r="CA690">
            <v>9.0900000050169183E-3</v>
          </cell>
          <cell r="CB690">
            <v>0.33871000000090135</v>
          </cell>
          <cell r="CC690">
            <v>0.60369000000446249</v>
          </cell>
          <cell r="CD690">
            <v>0.11761999999998807</v>
          </cell>
          <cell r="CE690">
            <v>0.36692000000130065</v>
          </cell>
          <cell r="CF690">
            <v>0.18318000000817847</v>
          </cell>
          <cell r="CG690">
            <v>-0.67171999998708998</v>
          </cell>
          <cell r="CH690">
            <v>0.34683999999606385</v>
          </cell>
          <cell r="CI690">
            <v>9.3140000003131718E-2</v>
          </cell>
          <cell r="CJ690">
            <v>0.83341999998265237</v>
          </cell>
          <cell r="CK690">
            <v>0.22284999999783395</v>
          </cell>
          <cell r="CL690">
            <v>-0.3423499999971682</v>
          </cell>
          <cell r="CM690">
            <v>0.47730000000547079</v>
          </cell>
          <cell r="CN690">
            <v>0.29707999999391177</v>
          </cell>
          <cell r="CO690">
            <v>-0.2350199999882534</v>
          </cell>
          <cell r="CP690">
            <v>0.28732999998828745</v>
          </cell>
          <cell r="CQ690">
            <v>3.8100000007943891E-2</v>
          </cell>
          <cell r="CR690">
            <v>0.50047000000449771</v>
          </cell>
          <cell r="CS690">
            <v>3.3109999995758699E-2</v>
          </cell>
          <cell r="CT690">
            <v>0.12213999999312364</v>
          </cell>
          <cell r="CU690">
            <v>0.41818000001330802</v>
          </cell>
          <cell r="CV690">
            <v>-9.7540000011576922E-2</v>
          </cell>
          <cell r="CW690">
            <v>-0.57356999999501568</v>
          </cell>
          <cell r="CX690">
            <v>0.62786999999389081</v>
          </cell>
          <cell r="CY690">
            <v>-0.11284999999497813</v>
          </cell>
          <cell r="CZ690">
            <v>0.4857700000056866</v>
          </cell>
          <cell r="DA690">
            <v>0.49979000000894303</v>
          </cell>
          <cell r="DB690">
            <v>-0.1625400000193622</v>
          </cell>
          <cell r="DC690">
            <v>-0.26664000001983368</v>
          </cell>
          <cell r="DD690">
            <v>-0.26812999998765008</v>
          </cell>
          <cell r="DE690">
            <v>4.0330000016183476E-2</v>
          </cell>
          <cell r="DF690">
            <v>0.14430999999513006</v>
          </cell>
          <cell r="DG690">
            <v>0.25982999998996092</v>
          </cell>
          <cell r="DH690">
            <v>-0.20164999999451538</v>
          </cell>
          <cell r="DI690">
            <v>-0.34049999999297142</v>
          </cell>
          <cell r="DJ690">
            <v>-0.5915699999914068</v>
          </cell>
          <cell r="DK690">
            <v>0.46551999999337568</v>
          </cell>
          <cell r="DL690">
            <v>0.11905999999089545</v>
          </cell>
          <cell r="DM690">
            <v>-0.18007000001762208</v>
          </cell>
          <cell r="DN690">
            <v>-9569.6999999999898</v>
          </cell>
          <cell r="DO690">
            <v>-8659.9999999999927</v>
          </cell>
          <cell r="DP690">
            <v>-10800.399999999987</v>
          </cell>
          <cell r="DQ690">
            <v>-7004.0999999999913</v>
          </cell>
          <cell r="DR690">
            <v>-5310.1999999999971</v>
          </cell>
          <cell r="DS690">
            <v>-6877.8999999999942</v>
          </cell>
          <cell r="DT690">
            <v>-4423</v>
          </cell>
          <cell r="DU690">
            <v>-4216.4999999999854</v>
          </cell>
          <cell r="DV690">
            <v>-6262.3000000000029</v>
          </cell>
          <cell r="DW690">
            <v>-3193.5916915429771</v>
          </cell>
          <cell r="DX690">
            <v>-5800.6364418135563</v>
          </cell>
          <cell r="DY690">
            <v>-12584.922295288234</v>
          </cell>
        </row>
        <row r="692">
          <cell r="J692" t="str">
            <v>January</v>
          </cell>
          <cell r="K692" t="str">
            <v>February</v>
          </cell>
          <cell r="L692" t="str">
            <v>March</v>
          </cell>
          <cell r="M692" t="str">
            <v>April</v>
          </cell>
          <cell r="N692" t="str">
            <v>May</v>
          </cell>
          <cell r="O692" t="str">
            <v>June</v>
          </cell>
          <cell r="P692" t="str">
            <v>July</v>
          </cell>
          <cell r="Q692" t="str">
            <v>August</v>
          </cell>
          <cell r="R692" t="str">
            <v>September</v>
          </cell>
          <cell r="S692" t="str">
            <v>October</v>
          </cell>
          <cell r="T692" t="str">
            <v>November</v>
          </cell>
          <cell r="U692" t="str">
            <v>December</v>
          </cell>
          <cell r="V692" t="str">
            <v>January</v>
          </cell>
          <cell r="W692" t="str">
            <v>February</v>
          </cell>
          <cell r="X692" t="str">
            <v>March</v>
          </cell>
          <cell r="Y692" t="str">
            <v>April</v>
          </cell>
          <cell r="Z692" t="str">
            <v>May</v>
          </cell>
          <cell r="AA692" t="str">
            <v>June</v>
          </cell>
          <cell r="AB692" t="str">
            <v>July</v>
          </cell>
          <cell r="AC692" t="str">
            <v>August</v>
          </cell>
          <cell r="AD692" t="str">
            <v>September</v>
          </cell>
          <cell r="AE692" t="str">
            <v>October</v>
          </cell>
          <cell r="AF692" t="str">
            <v>November</v>
          </cell>
          <cell r="AG692" t="str">
            <v>December</v>
          </cell>
          <cell r="AH692" t="str">
            <v>Jan 2016</v>
          </cell>
          <cell r="AI692" t="str">
            <v>Feb 2016</v>
          </cell>
          <cell r="AJ692" t="str">
            <v>Mar 2016</v>
          </cell>
          <cell r="AK692" t="str">
            <v>Apr 2016</v>
          </cell>
          <cell r="AL692" t="str">
            <v>May 2016</v>
          </cell>
          <cell r="AM692" t="str">
            <v>Jun 2016</v>
          </cell>
          <cell r="AN692" t="str">
            <v>Jul 2016</v>
          </cell>
          <cell r="AO692" t="str">
            <v>Aug 2016</v>
          </cell>
          <cell r="AP692" t="str">
            <v>Sep 2016</v>
          </cell>
          <cell r="AQ692" t="str">
            <v>Oct 2016</v>
          </cell>
          <cell r="AR692" t="str">
            <v>Nov 2016</v>
          </cell>
          <cell r="AS692" t="str">
            <v>Dec 2016</v>
          </cell>
          <cell r="AT692" t="str">
            <v>Jan 2017</v>
          </cell>
          <cell r="AU692" t="str">
            <v>Feb 2017</v>
          </cell>
          <cell r="AV692" t="str">
            <v>Mar 2017</v>
          </cell>
          <cell r="AW692" t="str">
            <v>Apr 2017</v>
          </cell>
          <cell r="AX692" t="str">
            <v>May 2017</v>
          </cell>
          <cell r="AY692" t="str">
            <v>Jun 2017</v>
          </cell>
          <cell r="AZ692" t="str">
            <v>Jul 2017</v>
          </cell>
          <cell r="BA692" t="str">
            <v>Aug 2017</v>
          </cell>
          <cell r="BB692" t="str">
            <v>Sep 2017</v>
          </cell>
          <cell r="BC692" t="str">
            <v>Oct 2017</v>
          </cell>
          <cell r="BD692" t="str">
            <v>Nov 2017</v>
          </cell>
          <cell r="BE692" t="str">
            <v>Dec 2017</v>
          </cell>
          <cell r="BF692" t="str">
            <v>Jan 2018</v>
          </cell>
          <cell r="BG692" t="str">
            <v>Feb 2018</v>
          </cell>
          <cell r="BH692" t="str">
            <v>Mar 2018</v>
          </cell>
          <cell r="BI692" t="str">
            <v>Apr 2018</v>
          </cell>
          <cell r="BJ692" t="str">
            <v>May 2018</v>
          </cell>
          <cell r="BK692" t="str">
            <v>Jun 2018</v>
          </cell>
          <cell r="BL692" t="str">
            <v>Jul 2018</v>
          </cell>
          <cell r="BM692" t="str">
            <v>Aug 2018</v>
          </cell>
          <cell r="BN692" t="str">
            <v>Sep 2018</v>
          </cell>
          <cell r="BO692" t="str">
            <v>Oct 2018</v>
          </cell>
          <cell r="BP692" t="str">
            <v>Nov 2018</v>
          </cell>
          <cell r="BQ692" t="str">
            <v>Dec 2018</v>
          </cell>
          <cell r="BR692" t="str">
            <v>Jan 2019</v>
          </cell>
          <cell r="BS692" t="str">
            <v>Feb 2019</v>
          </cell>
          <cell r="BT692" t="str">
            <v>Mar 2019</v>
          </cell>
          <cell r="BU692" t="str">
            <v>Apr 2019</v>
          </cell>
          <cell r="BV692" t="str">
            <v>May 2019</v>
          </cell>
          <cell r="BW692" t="str">
            <v>Jun 2019</v>
          </cell>
          <cell r="BX692" t="str">
            <v>Jul 2019</v>
          </cell>
          <cell r="BY692" t="str">
            <v>Aug 2019</v>
          </cell>
          <cell r="BZ692" t="str">
            <v>Sep 2019</v>
          </cell>
          <cell r="CA692" t="str">
            <v>Oct 2019</v>
          </cell>
          <cell r="CB692" t="str">
            <v>Nov 2019</v>
          </cell>
          <cell r="CC692" t="str">
            <v>Dec 2019</v>
          </cell>
          <cell r="CD692" t="str">
            <v>Jan 2020</v>
          </cell>
          <cell r="CE692" t="str">
            <v>Feb 2020</v>
          </cell>
          <cell r="CF692" t="str">
            <v>Mar 2020</v>
          </cell>
          <cell r="CG692" t="str">
            <v>Apr 2020</v>
          </cell>
          <cell r="CH692" t="str">
            <v>May 2020</v>
          </cell>
          <cell r="CI692" t="str">
            <v>Jun 2020</v>
          </cell>
          <cell r="CJ692" t="str">
            <v>Jul 2020</v>
          </cell>
          <cell r="CK692" t="str">
            <v>Aug 2020</v>
          </cell>
          <cell r="CL692" t="str">
            <v>Sep 2020</v>
          </cell>
          <cell r="CM692" t="str">
            <v>Oct 2020</v>
          </cell>
          <cell r="CN692" t="str">
            <v>Nov 2020</v>
          </cell>
          <cell r="CO692" t="str">
            <v>Dec 2020</v>
          </cell>
          <cell r="CP692" t="str">
            <v>Jan 2021</v>
          </cell>
          <cell r="CQ692" t="str">
            <v>Feb 2021</v>
          </cell>
          <cell r="CR692" t="str">
            <v>Mar 2021</v>
          </cell>
          <cell r="CS692" t="str">
            <v>Apr 2021</v>
          </cell>
          <cell r="CT692" t="str">
            <v>May 2021</v>
          </cell>
          <cell r="CU692" t="str">
            <v>Jun 2021</v>
          </cell>
          <cell r="CV692" t="str">
            <v>Jul 2021</v>
          </cell>
          <cell r="CW692" t="str">
            <v>Aug 2021</v>
          </cell>
          <cell r="CX692" t="str">
            <v>Sep 2021</v>
          </cell>
          <cell r="CY692" t="str">
            <v>Oct 2021</v>
          </cell>
          <cell r="CZ692" t="str">
            <v>Nov 2021</v>
          </cell>
          <cell r="DA692" t="str">
            <v>Dec 2021</v>
          </cell>
          <cell r="DB692" t="str">
            <v>Jan 2022</v>
          </cell>
          <cell r="DC692" t="str">
            <v>Feb 2022</v>
          </cell>
          <cell r="DD692" t="str">
            <v>Mar 2022</v>
          </cell>
          <cell r="DE692" t="str">
            <v>Apr 2022</v>
          </cell>
          <cell r="DF692" t="str">
            <v>May 2022</v>
          </cell>
          <cell r="DG692" t="str">
            <v>Jun 2022</v>
          </cell>
          <cell r="DH692" t="str">
            <v>Jul 2022</v>
          </cell>
          <cell r="DI692" t="str">
            <v>Aug 2022</v>
          </cell>
          <cell r="DJ692" t="str">
            <v>Sep 2022</v>
          </cell>
          <cell r="DK692" t="str">
            <v>Oct 2022</v>
          </cell>
          <cell r="DL692" t="str">
            <v>Nov 2022</v>
          </cell>
          <cell r="DM692" t="str">
            <v>Dec 2022</v>
          </cell>
          <cell r="DN692" t="str">
            <v>Jan 2023</v>
          </cell>
          <cell r="DO692" t="str">
            <v>Feb 2023</v>
          </cell>
          <cell r="DP692" t="str">
            <v>Mar 2023</v>
          </cell>
          <cell r="DQ692" t="str">
            <v>Apr 2023</v>
          </cell>
          <cell r="DR692" t="str">
            <v>May 2023</v>
          </cell>
          <cell r="DS692" t="str">
            <v>Jun 2023</v>
          </cell>
          <cell r="DT692" t="str">
            <v>Jul 2023</v>
          </cell>
          <cell r="DU692" t="str">
            <v>Aug 2023</v>
          </cell>
          <cell r="DV692" t="str">
            <v>Sep 2023</v>
          </cell>
          <cell r="DW692" t="str">
            <v>Oct 2023</v>
          </cell>
          <cell r="DX692" t="str">
            <v>Nov 2023</v>
          </cell>
          <cell r="DY692" t="str">
            <v>Dec 2023</v>
          </cell>
        </row>
        <row r="693">
          <cell r="H693" t="str">
            <v xml:space="preserve">Profit Before Taxes </v>
          </cell>
          <cell r="J693">
            <v>8082.3000000000038</v>
          </cell>
          <cell r="K693">
            <v>6803.3999999999987</v>
          </cell>
          <cell r="L693">
            <v>7633.5999999999995</v>
          </cell>
          <cell r="M693">
            <v>4881.4999999999918</v>
          </cell>
          <cell r="N693">
            <v>2671.1000000000045</v>
          </cell>
          <cell r="O693">
            <v>3615.4999999999977</v>
          </cell>
          <cell r="P693">
            <v>2386.8000000000093</v>
          </cell>
          <cell r="Q693">
            <v>2471.8000000000029</v>
          </cell>
          <cell r="R693">
            <v>2089.6000000000004</v>
          </cell>
          <cell r="S693">
            <v>3469.1000000000031</v>
          </cell>
          <cell r="T693">
            <v>4333.0000000000045</v>
          </cell>
          <cell r="U693">
            <v>5774.9000000000015</v>
          </cell>
          <cell r="V693">
            <v>8397.5000000000109</v>
          </cell>
          <cell r="W693">
            <v>7750.6000000000104</v>
          </cell>
          <cell r="X693">
            <v>6476.7000000000016</v>
          </cell>
          <cell r="Y693">
            <v>3690.4999999999982</v>
          </cell>
          <cell r="Z693">
            <v>3461.7999999999979</v>
          </cell>
          <cell r="AA693">
            <v>4211.3000000000047</v>
          </cell>
          <cell r="AB693">
            <v>2752.399999999991</v>
          </cell>
          <cell r="AC693">
            <v>3308.7999999999975</v>
          </cell>
          <cell r="AD693">
            <v>2695.9000000000051</v>
          </cell>
          <cell r="AE693">
            <v>3316.8000000000038</v>
          </cell>
          <cell r="AF693">
            <v>2648.4999999999964</v>
          </cell>
          <cell r="AG693">
            <v>3696.4000000000096</v>
          </cell>
          <cell r="AH693">
            <v>8148.7000000000089</v>
          </cell>
          <cell r="AI693">
            <v>8300.3999999999942</v>
          </cell>
          <cell r="AJ693">
            <v>4345.799999999992</v>
          </cell>
          <cell r="AK693">
            <v>4611.0000000000055</v>
          </cell>
          <cell r="AL693">
            <v>4054.1000000000104</v>
          </cell>
          <cell r="AM693">
            <v>2028.7000000000037</v>
          </cell>
          <cell r="AN693">
            <v>3923.7000000000003</v>
          </cell>
          <cell r="AO693">
            <v>2268.9000000000069</v>
          </cell>
          <cell r="AP693">
            <v>3014.4999999999955</v>
          </cell>
          <cell r="AQ693">
            <v>3554.3999999999946</v>
          </cell>
          <cell r="AR693">
            <v>4737.4000000000033</v>
          </cell>
          <cell r="AS693">
            <v>3005.9999999999927</v>
          </cell>
          <cell r="AT693">
            <v>8167.2000000000062</v>
          </cell>
          <cell r="AU693">
            <v>5812.3999999999924</v>
          </cell>
          <cell r="AV693">
            <v>6922.200000000008</v>
          </cell>
          <cell r="AW693">
            <v>6012.3000000000011</v>
          </cell>
          <cell r="AX693">
            <v>5518.6999999999944</v>
          </cell>
          <cell r="AY693">
            <v>3644.6000000000058</v>
          </cell>
          <cell r="AZ693">
            <v>4059.6000000000049</v>
          </cell>
          <cell r="BA693">
            <v>3838.3999999999924</v>
          </cell>
          <cell r="BB693">
            <v>3937.6000000000031</v>
          </cell>
          <cell r="BC693">
            <v>3893.2999999999961</v>
          </cell>
          <cell r="BD693">
            <v>5073.8999999999987</v>
          </cell>
          <cell r="BE693">
            <v>8207.0000000000018</v>
          </cell>
          <cell r="BF693">
            <v>11670.400000000005</v>
          </cell>
          <cell r="BG693">
            <v>5263.7999999999884</v>
          </cell>
          <cell r="BH693">
            <v>2128.6000000000031</v>
          </cell>
          <cell r="BI693">
            <v>6308.3999999999969</v>
          </cell>
          <cell r="BJ693">
            <v>3591.1999999999894</v>
          </cell>
          <cell r="BK693">
            <v>3822.6999999999889</v>
          </cell>
          <cell r="BL693">
            <v>3748.3999999999924</v>
          </cell>
          <cell r="BM693">
            <v>3124.4999999999995</v>
          </cell>
          <cell r="BN693">
            <v>4694.8999999999987</v>
          </cell>
          <cell r="BO693">
            <v>3389.7</v>
          </cell>
          <cell r="BP693">
            <v>4385.3999999999915</v>
          </cell>
          <cell r="BQ693">
            <v>6476.199999999998</v>
          </cell>
          <cell r="BR693">
            <v>8547.1000000000131</v>
          </cell>
          <cell r="BS693">
            <v>7553.7999999999975</v>
          </cell>
          <cell r="BT693">
            <v>6800.6999999999971</v>
          </cell>
          <cell r="BU693">
            <v>6493.6999999999944</v>
          </cell>
          <cell r="BV693">
            <v>5756.5000000000036</v>
          </cell>
          <cell r="BW693">
            <v>4779.6999999999989</v>
          </cell>
          <cell r="BX693">
            <v>3699.799999999997</v>
          </cell>
          <cell r="BY693">
            <v>4600</v>
          </cell>
          <cell r="BZ693">
            <v>4099.8000000000029</v>
          </cell>
          <cell r="CA693">
            <v>4312.0999999999958</v>
          </cell>
          <cell r="CB693">
            <v>5605.4000000000024</v>
          </cell>
          <cell r="CC693">
            <v>5240.199999999998</v>
          </cell>
          <cell r="CD693">
            <v>9995.4999999999964</v>
          </cell>
          <cell r="CE693">
            <v>7291.3999999999924</v>
          </cell>
          <cell r="CF693">
            <v>6108.6999999999944</v>
          </cell>
          <cell r="CG693">
            <v>4436.9999999999982</v>
          </cell>
          <cell r="CH693">
            <v>4180.7000000000144</v>
          </cell>
          <cell r="CI693">
            <v>3973.599999999994</v>
          </cell>
          <cell r="CJ693">
            <v>3779.1999999999935</v>
          </cell>
          <cell r="CK693">
            <v>4435.9000000000005</v>
          </cell>
          <cell r="CL693">
            <v>4239.699999999988</v>
          </cell>
          <cell r="CM693">
            <v>2905.3000000000111</v>
          </cell>
          <cell r="CN693">
            <v>6441.2999999999956</v>
          </cell>
          <cell r="CO693">
            <v>5245.1999999999816</v>
          </cell>
          <cell r="CP693">
            <v>14583.80000000001</v>
          </cell>
          <cell r="CQ693">
            <v>9964.6999999999662</v>
          </cell>
          <cell r="CR693">
            <v>9579.7999999999902</v>
          </cell>
          <cell r="CS693">
            <v>9747.4999999999891</v>
          </cell>
          <cell r="CT693">
            <v>6755.2999999999865</v>
          </cell>
          <cell r="CU693">
            <v>6628.0000000000055</v>
          </cell>
          <cell r="CV693">
            <v>5459.6000000000085</v>
          </cell>
          <cell r="CW693">
            <v>5805.3999999999869</v>
          </cell>
          <cell r="CX693">
            <v>5907.4999999999845</v>
          </cell>
          <cell r="CY693">
            <v>6198.8999999999978</v>
          </cell>
          <cell r="CZ693">
            <v>7693.1999999999807</v>
          </cell>
          <cell r="DA693">
            <v>6966.6999999999807</v>
          </cell>
          <cell r="DB693">
            <v>12930.199999999975</v>
          </cell>
          <cell r="DC693">
            <v>11512.599999999984</v>
          </cell>
          <cell r="DD693">
            <v>13656.599999999982</v>
          </cell>
          <cell r="DE693">
            <v>8639.8000000000065</v>
          </cell>
          <cell r="DF693">
            <v>7985.1999999999807</v>
          </cell>
          <cell r="DG693">
            <v>8395.4999999999618</v>
          </cell>
          <cell r="DH693">
            <v>5248.299999999972</v>
          </cell>
          <cell r="DI693">
            <v>5827.7999999999975</v>
          </cell>
          <cell r="DJ693">
            <v>9239.1000000000167</v>
          </cell>
          <cell r="DK693">
            <v>6118.8000000000156</v>
          </cell>
          <cell r="DL693">
            <v>7539.9999999999836</v>
          </cell>
          <cell r="DM693">
            <v>7682.3999999999869</v>
          </cell>
          <cell r="DN693">
            <v>12515.199999999968</v>
          </cell>
          <cell r="DO693">
            <v>11147.69999999999</v>
          </cell>
          <cell r="DP693">
            <v>13722.799999999988</v>
          </cell>
          <cell r="DQ693">
            <v>8815.2999999999865</v>
          </cell>
          <cell r="DR693">
            <v>6598.5999999999913</v>
          </cell>
          <cell r="DS693">
            <v>8617.7999999999884</v>
          </cell>
          <cell r="DT693">
            <v>5384.8999999999787</v>
          </cell>
          <cell r="DU693">
            <v>5135.9000000000115</v>
          </cell>
          <cell r="DV693">
            <v>7858.3999999999805</v>
          </cell>
          <cell r="DW693">
            <v>3726.2916915430028</v>
          </cell>
          <cell r="DX693">
            <v>7210.5364418135414</v>
          </cell>
          <cell r="DY693">
            <v>15884.022295288241</v>
          </cell>
        </row>
        <row r="694">
          <cell r="H694" t="str">
            <v xml:space="preserve">Profit Before Taxes </v>
          </cell>
          <cell r="J694">
            <v>8082300.0000000037</v>
          </cell>
          <cell r="K694">
            <v>6803399.9999999991</v>
          </cell>
          <cell r="L694">
            <v>7633599.9999999991</v>
          </cell>
          <cell r="M694">
            <v>4881499.9999999916</v>
          </cell>
          <cell r="N694">
            <v>2671100.0000000047</v>
          </cell>
          <cell r="O694">
            <v>3615499.9999999977</v>
          </cell>
          <cell r="P694">
            <v>2386800.0000000093</v>
          </cell>
          <cell r="Q694">
            <v>2471800.0000000028</v>
          </cell>
          <cell r="R694">
            <v>2089600.0000000005</v>
          </cell>
          <cell r="S694">
            <v>3469100.0000000033</v>
          </cell>
          <cell r="T694">
            <v>4333000.0000000047</v>
          </cell>
          <cell r="U694">
            <v>5774900.0000000019</v>
          </cell>
          <cell r="V694">
            <v>8397500.0000000112</v>
          </cell>
          <cell r="W694">
            <v>7750600.0000000102</v>
          </cell>
          <cell r="X694">
            <v>6476700.0000000019</v>
          </cell>
          <cell r="Y694">
            <v>3690499.9999999981</v>
          </cell>
          <cell r="Z694">
            <v>3461799.9999999981</v>
          </cell>
          <cell r="AA694">
            <v>4211300.0000000047</v>
          </cell>
          <cell r="AB694">
            <v>2752399.9999999912</v>
          </cell>
          <cell r="AC694">
            <v>3308799.9999999977</v>
          </cell>
          <cell r="AD694">
            <v>2695900.0000000051</v>
          </cell>
          <cell r="AE694">
            <v>3316800.0000000037</v>
          </cell>
          <cell r="AF694">
            <v>2648499.9999999963</v>
          </cell>
          <cell r="AG694">
            <v>3696400.0000000098</v>
          </cell>
          <cell r="AH694">
            <v>8148700.0000000093</v>
          </cell>
          <cell r="AI694">
            <v>8300399.9999999944</v>
          </cell>
          <cell r="AJ694">
            <v>4345799.9999999916</v>
          </cell>
          <cell r="AK694">
            <v>4611000.0000000056</v>
          </cell>
          <cell r="AL694">
            <v>4054100.0000000102</v>
          </cell>
          <cell r="AM694">
            <v>2028700.0000000037</v>
          </cell>
          <cell r="AN694">
            <v>3923700.0000000005</v>
          </cell>
          <cell r="AO694">
            <v>2268900.000000007</v>
          </cell>
          <cell r="AP694">
            <v>3014499.9999999953</v>
          </cell>
          <cell r="AQ694">
            <v>3554399.9999999944</v>
          </cell>
          <cell r="AR694">
            <v>4737400.0000000037</v>
          </cell>
          <cell r="AS694">
            <v>3005999.9999999925</v>
          </cell>
          <cell r="AT694">
            <v>8167200.0000000065</v>
          </cell>
          <cell r="AU694">
            <v>5812399.9999999925</v>
          </cell>
          <cell r="AV694">
            <v>6922200.0000000084</v>
          </cell>
          <cell r="AW694">
            <v>6012300.0000000009</v>
          </cell>
          <cell r="AX694">
            <v>5518699.9999999944</v>
          </cell>
          <cell r="AY694">
            <v>3644600.0000000056</v>
          </cell>
          <cell r="AZ694">
            <v>4059600.0000000051</v>
          </cell>
          <cell r="BA694">
            <v>3838399.9999999925</v>
          </cell>
          <cell r="BB694">
            <v>3937600.0000000033</v>
          </cell>
          <cell r="BC694">
            <v>3893299.9999999963</v>
          </cell>
          <cell r="BD694">
            <v>5073899.9999999991</v>
          </cell>
          <cell r="BE694">
            <v>8207000.0000000019</v>
          </cell>
          <cell r="BF694">
            <v>11670400.000000006</v>
          </cell>
          <cell r="BG694">
            <v>5263799.9999999888</v>
          </cell>
          <cell r="BH694">
            <v>2128600.0000000033</v>
          </cell>
          <cell r="BI694">
            <v>6308399.9999999972</v>
          </cell>
          <cell r="BJ694">
            <v>3591199.9999999893</v>
          </cell>
          <cell r="BK694">
            <v>3822699.9999999888</v>
          </cell>
          <cell r="BL694">
            <v>3748399.9999999925</v>
          </cell>
          <cell r="BM694">
            <v>3124499.9999999995</v>
          </cell>
          <cell r="BN694">
            <v>4694899.9999999991</v>
          </cell>
          <cell r="BO694">
            <v>3389700</v>
          </cell>
          <cell r="BP694">
            <v>4385399.9999999916</v>
          </cell>
          <cell r="BQ694">
            <v>6476199.9999999981</v>
          </cell>
          <cell r="BR694">
            <v>8547100.000000013</v>
          </cell>
          <cell r="BS694">
            <v>7553799.9999999972</v>
          </cell>
          <cell r="BT694">
            <v>6800699.9999999972</v>
          </cell>
          <cell r="BU694">
            <v>6493699.9999999944</v>
          </cell>
          <cell r="BV694">
            <v>5756500.0000000037</v>
          </cell>
          <cell r="BW694">
            <v>4779699.9999999991</v>
          </cell>
          <cell r="BX694">
            <v>3699799.9999999972</v>
          </cell>
          <cell r="BY694">
            <v>4600000</v>
          </cell>
          <cell r="BZ694">
            <v>4099800.0000000028</v>
          </cell>
          <cell r="CA694">
            <v>4312099.9999999963</v>
          </cell>
          <cell r="CB694">
            <v>5605400.0000000028</v>
          </cell>
          <cell r="CC694">
            <v>5240199.9999999981</v>
          </cell>
          <cell r="CD694">
            <v>9995499.9999999963</v>
          </cell>
          <cell r="CE694">
            <v>7291399.9999999925</v>
          </cell>
          <cell r="CF694">
            <v>6108699.9999999944</v>
          </cell>
          <cell r="CG694">
            <v>4436999.9999999981</v>
          </cell>
          <cell r="CH694">
            <v>4180700.0000000144</v>
          </cell>
          <cell r="CI694">
            <v>3973599.9999999939</v>
          </cell>
          <cell r="CJ694">
            <v>3779199.9999999935</v>
          </cell>
          <cell r="CK694">
            <v>4435900.0000000009</v>
          </cell>
          <cell r="CL694">
            <v>4239699.9999999879</v>
          </cell>
          <cell r="CM694">
            <v>2905300.0000000112</v>
          </cell>
          <cell r="CN694">
            <v>6441299.9999999953</v>
          </cell>
          <cell r="CO694">
            <v>5245199.9999999814</v>
          </cell>
          <cell r="CP694">
            <v>14583800.000000009</v>
          </cell>
          <cell r="CQ694">
            <v>9964699.9999999665</v>
          </cell>
          <cell r="CR694">
            <v>9579799.9999999907</v>
          </cell>
          <cell r="CS694">
            <v>9747499.9999999888</v>
          </cell>
          <cell r="CT694">
            <v>6755299.999999987</v>
          </cell>
          <cell r="CU694">
            <v>6628000.0000000056</v>
          </cell>
          <cell r="CV694">
            <v>5459600.0000000084</v>
          </cell>
          <cell r="CW694">
            <v>5805399.999999987</v>
          </cell>
          <cell r="CX694">
            <v>5907499.9999999842</v>
          </cell>
          <cell r="CY694">
            <v>6198899.9999999981</v>
          </cell>
          <cell r="CZ694">
            <v>7693199.9999999804</v>
          </cell>
          <cell r="DA694">
            <v>6966699.9999999804</v>
          </cell>
          <cell r="DB694">
            <v>12930199.999999976</v>
          </cell>
          <cell r="DC694">
            <v>11512599.999999983</v>
          </cell>
          <cell r="DD694">
            <v>13656599.999999981</v>
          </cell>
          <cell r="DE694">
            <v>8639800.0000000075</v>
          </cell>
          <cell r="DF694">
            <v>7985199.9999999804</v>
          </cell>
          <cell r="DG694">
            <v>8395499.9999999609</v>
          </cell>
          <cell r="DH694">
            <v>5248299.9999999721</v>
          </cell>
          <cell r="DI694">
            <v>5827799.9999999972</v>
          </cell>
          <cell r="DJ694">
            <v>9239100.0000000168</v>
          </cell>
          <cell r="DK694">
            <v>6118800.0000000158</v>
          </cell>
          <cell r="DL694">
            <v>7539999.9999999832</v>
          </cell>
          <cell r="DM694">
            <v>7682399.999999987</v>
          </cell>
          <cell r="DN694">
            <v>12515199.999999968</v>
          </cell>
          <cell r="DO694">
            <v>11147699.999999991</v>
          </cell>
          <cell r="DP694">
            <v>13722799.999999989</v>
          </cell>
          <cell r="DQ694">
            <v>8815299.999999987</v>
          </cell>
          <cell r="DR694">
            <v>6598599.9999999916</v>
          </cell>
          <cell r="DS694">
            <v>8617799.9999999888</v>
          </cell>
          <cell r="DT694">
            <v>5384899.9999999786</v>
          </cell>
          <cell r="DU694">
            <v>5135900.0000000112</v>
          </cell>
          <cell r="DV694">
            <v>7858399.9999999804</v>
          </cell>
          <cell r="DW694">
            <v>3726291.6915430026</v>
          </cell>
          <cell r="DX694">
            <v>7210536.4418135416</v>
          </cell>
          <cell r="DY694">
            <v>15884022.295288241</v>
          </cell>
        </row>
        <row r="697">
          <cell r="H697" t="str">
            <v>Permanent Differences</v>
          </cell>
        </row>
        <row r="698">
          <cell r="H698" t="str">
            <v>Penalties</v>
          </cell>
          <cell r="J698">
            <v>0</v>
          </cell>
          <cell r="K698">
            <v>1</v>
          </cell>
          <cell r="L698">
            <v>0</v>
          </cell>
          <cell r="M698">
            <v>6</v>
          </cell>
          <cell r="N698">
            <v>3</v>
          </cell>
          <cell r="O698">
            <v>2</v>
          </cell>
          <cell r="P698">
            <v>0</v>
          </cell>
          <cell r="Q698">
            <v>3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</row>
        <row r="699">
          <cell r="H699" t="str">
            <v>AFUDC Equity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-135.30000000000001</v>
          </cell>
          <cell r="BZ699">
            <v>-88.1</v>
          </cell>
          <cell r="CA699">
            <v>-70</v>
          </cell>
          <cell r="CB699">
            <v>-78.3</v>
          </cell>
          <cell r="CC699">
            <v>-98.7</v>
          </cell>
          <cell r="CD699">
            <v>-128.1</v>
          </cell>
          <cell r="CE699">
            <v>-160.1</v>
          </cell>
          <cell r="CF699">
            <v>-187</v>
          </cell>
          <cell r="CG699">
            <v>-212.8</v>
          </cell>
          <cell r="CH699">
            <v>-258</v>
          </cell>
          <cell r="CI699">
            <v>-295</v>
          </cell>
          <cell r="CJ699">
            <v>-317.39999999999998</v>
          </cell>
          <cell r="CK699">
            <v>-354.2</v>
          </cell>
          <cell r="CL699">
            <v>-396.2</v>
          </cell>
          <cell r="CM699">
            <v>-313.39999999999998</v>
          </cell>
          <cell r="CN699">
            <v>-231.4</v>
          </cell>
          <cell r="CO699">
            <v>-267.89999999999998</v>
          </cell>
          <cell r="CP699">
            <v>-304.8</v>
          </cell>
          <cell r="CQ699">
            <v>-370.6</v>
          </cell>
          <cell r="CR699">
            <v>-389.9</v>
          </cell>
          <cell r="CS699">
            <v>-326.2</v>
          </cell>
          <cell r="CT699">
            <v>-221.9</v>
          </cell>
          <cell r="CU699">
            <v>-230.3</v>
          </cell>
          <cell r="CV699">
            <v>-249.5</v>
          </cell>
          <cell r="CW699">
            <v>-280.8</v>
          </cell>
          <cell r="CX699">
            <v>-307.8</v>
          </cell>
          <cell r="CY699">
            <v>-330.3</v>
          </cell>
          <cell r="CZ699">
            <v>-119</v>
          </cell>
          <cell r="DA699">
            <v>-163.69999999999999</v>
          </cell>
          <cell r="DB699">
            <v>-180.6</v>
          </cell>
          <cell r="DC699">
            <v>-197.1</v>
          </cell>
          <cell r="DD699">
            <v>-214.3</v>
          </cell>
          <cell r="DE699">
            <v>-235.9</v>
          </cell>
          <cell r="DF699">
            <v>-260.89999999999998</v>
          </cell>
          <cell r="DG699">
            <v>-291.39999999999998</v>
          </cell>
          <cell r="DH699">
            <v>-325.39999999999998</v>
          </cell>
          <cell r="DI699">
            <v>-346.3</v>
          </cell>
          <cell r="DJ699">
            <v>-297.39999999999998</v>
          </cell>
          <cell r="DK699">
            <v>-205.4</v>
          </cell>
          <cell r="DL699">
            <v>-184.2</v>
          </cell>
          <cell r="DM699">
            <v>-192.4</v>
          </cell>
          <cell r="DN699">
            <v>-331.1</v>
          </cell>
          <cell r="DO699">
            <v>-337.5</v>
          </cell>
          <cell r="DP699">
            <v>-356.6</v>
          </cell>
          <cell r="DQ699">
            <v>-425.8</v>
          </cell>
          <cell r="DR699">
            <v>-409.4</v>
          </cell>
          <cell r="DS699">
            <v>-353.4</v>
          </cell>
          <cell r="DT699">
            <v>-384.2</v>
          </cell>
          <cell r="DU699">
            <v>-417.5</v>
          </cell>
          <cell r="DV699">
            <v>-449.3</v>
          </cell>
          <cell r="DW699">
            <v>-476.9</v>
          </cell>
          <cell r="DX699">
            <v>-363</v>
          </cell>
          <cell r="DY699">
            <v>-242.3</v>
          </cell>
        </row>
        <row r="700">
          <cell r="H700" t="str">
            <v>Depr - AFUDC Equity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1.0396800000000002</v>
          </cell>
          <cell r="BZ700">
            <v>1.0396800000000002</v>
          </cell>
          <cell r="CA700">
            <v>1.0396800000000002</v>
          </cell>
          <cell r="CB700">
            <v>1.0396800000000002</v>
          </cell>
          <cell r="CC700">
            <v>1.0396800000000002</v>
          </cell>
          <cell r="CD700">
            <v>3.3887100000000001</v>
          </cell>
          <cell r="CE700">
            <v>1.9861199999999999</v>
          </cell>
          <cell r="CF700">
            <v>2.6874199999999999</v>
          </cell>
          <cell r="CG700">
            <v>2.6874099999999999</v>
          </cell>
          <cell r="CH700">
            <v>2.6874199999999999</v>
          </cell>
          <cell r="CI700">
            <v>2.6874099999999999</v>
          </cell>
          <cell r="CJ700">
            <v>2.6874199999999999</v>
          </cell>
          <cell r="CK700">
            <v>2.6874199999999999</v>
          </cell>
          <cell r="CL700">
            <v>2.6874199999999999</v>
          </cell>
          <cell r="CM700">
            <v>2.6874199999999999</v>
          </cell>
          <cell r="CN700">
            <v>2.6874199999999999</v>
          </cell>
          <cell r="CO700">
            <v>2.6874099999999999</v>
          </cell>
          <cell r="CP700">
            <v>6.9502499999999996</v>
          </cell>
          <cell r="CQ700">
            <v>7.0691800000000002</v>
          </cell>
          <cell r="CR700">
            <v>5.3466499999999995</v>
          </cell>
          <cell r="CS700">
            <v>6.3232499999999998</v>
          </cell>
          <cell r="CT700">
            <v>6.3232499999999998</v>
          </cell>
          <cell r="CU700">
            <v>6.6378599999999999</v>
          </cell>
          <cell r="CV700">
            <v>6.6378599999999999</v>
          </cell>
          <cell r="CW700">
            <v>7.2618</v>
          </cell>
          <cell r="CX700">
            <v>7.2618</v>
          </cell>
          <cell r="CY700">
            <v>7.2618</v>
          </cell>
          <cell r="CZ700">
            <v>7.2618</v>
          </cell>
          <cell r="DA700">
            <v>7.2618</v>
          </cell>
          <cell r="DB700">
            <v>8.3107500000000005</v>
          </cell>
          <cell r="DC700">
            <v>8.8087999999999997</v>
          </cell>
          <cell r="DD700">
            <v>8.4564199999999996</v>
          </cell>
          <cell r="DE700">
            <v>8.4564199999999996</v>
          </cell>
          <cell r="DF700">
            <v>8.4564199999999996</v>
          </cell>
          <cell r="DG700">
            <v>8.0030000000000001</v>
          </cell>
          <cell r="DH700">
            <v>8.1950000000000003</v>
          </cell>
          <cell r="DI700">
            <v>6.1520000000000001</v>
          </cell>
          <cell r="DJ700">
            <v>7.94</v>
          </cell>
          <cell r="DK700">
            <v>7.94</v>
          </cell>
          <cell r="DL700">
            <v>7.94</v>
          </cell>
          <cell r="DM700">
            <v>7.94</v>
          </cell>
          <cell r="DN700">
            <v>12.97683</v>
          </cell>
          <cell r="DO700">
            <v>12.976839999999999</v>
          </cell>
          <cell r="DP700">
            <v>12.97683</v>
          </cell>
          <cell r="DQ700">
            <v>12.97683</v>
          </cell>
          <cell r="DR700">
            <v>12.976839999999999</v>
          </cell>
          <cell r="DS700">
            <v>12.97683</v>
          </cell>
          <cell r="DT700">
            <v>12.97683</v>
          </cell>
          <cell r="DU700">
            <v>12.976839999999999</v>
          </cell>
          <cell r="DV700">
            <v>12.97683</v>
          </cell>
          <cell r="DW700">
            <v>12.97683</v>
          </cell>
          <cell r="DX700">
            <v>12.976839999999999</v>
          </cell>
          <cell r="DY700">
            <v>12.97683</v>
          </cell>
          <cell r="DZ700">
            <v>22.791169999999997</v>
          </cell>
          <cell r="EA700">
            <v>22.791160000000001</v>
          </cell>
          <cell r="EB700">
            <v>22.791169999999997</v>
          </cell>
          <cell r="EC700">
            <v>22.791169999999997</v>
          </cell>
          <cell r="ED700">
            <v>22.791160000000001</v>
          </cell>
          <cell r="EE700">
            <v>22.791169999999997</v>
          </cell>
          <cell r="EF700">
            <v>22.791169999999997</v>
          </cell>
          <cell r="EG700">
            <v>22.791160000000001</v>
          </cell>
          <cell r="EH700">
            <v>22.791169999999997</v>
          </cell>
          <cell r="EI700">
            <v>22.791169999999997</v>
          </cell>
          <cell r="EJ700">
            <v>22.791160000000001</v>
          </cell>
          <cell r="EK700">
            <v>22.791169999999997</v>
          </cell>
        </row>
        <row r="701">
          <cell r="H701" t="str">
            <v>Meal Disallowance</v>
          </cell>
          <cell r="J701">
            <v>7</v>
          </cell>
          <cell r="K701">
            <v>7</v>
          </cell>
          <cell r="L701">
            <v>7</v>
          </cell>
          <cell r="M701">
            <v>7</v>
          </cell>
          <cell r="N701">
            <v>7</v>
          </cell>
          <cell r="O701">
            <v>6</v>
          </cell>
          <cell r="P701">
            <v>7</v>
          </cell>
          <cell r="Q701">
            <v>7</v>
          </cell>
          <cell r="R701">
            <v>7</v>
          </cell>
          <cell r="S701">
            <v>7</v>
          </cell>
          <cell r="T701">
            <v>7</v>
          </cell>
          <cell r="U701">
            <v>7</v>
          </cell>
          <cell r="V701">
            <v>3</v>
          </cell>
          <cell r="W701">
            <v>6</v>
          </cell>
          <cell r="X701">
            <v>16</v>
          </cell>
          <cell r="Y701">
            <v>9</v>
          </cell>
          <cell r="Z701">
            <v>8</v>
          </cell>
          <cell r="AA701">
            <v>9</v>
          </cell>
          <cell r="AB701">
            <v>14</v>
          </cell>
          <cell r="AC701">
            <v>10</v>
          </cell>
          <cell r="AD701">
            <v>10</v>
          </cell>
          <cell r="AE701">
            <v>9</v>
          </cell>
          <cell r="AF701">
            <v>8</v>
          </cell>
          <cell r="AG701">
            <v>12</v>
          </cell>
          <cell r="AH701">
            <v>5.1227900000000002</v>
          </cell>
          <cell r="AI701">
            <v>5.0752899999999999</v>
          </cell>
          <cell r="AJ701">
            <v>11.770790000000002</v>
          </cell>
          <cell r="AK701">
            <v>5.6602899999999998</v>
          </cell>
          <cell r="AL701">
            <v>5.6252899999999997</v>
          </cell>
          <cell r="AM701">
            <v>5.7952899999999996</v>
          </cell>
          <cell r="AN701">
            <v>5.7458</v>
          </cell>
          <cell r="AO701">
            <v>6.0583800000000005</v>
          </cell>
          <cell r="AP701">
            <v>4.6268799999999999</v>
          </cell>
          <cell r="AQ701">
            <v>5.0318800000000001</v>
          </cell>
          <cell r="AR701">
            <v>4.3768799999999999</v>
          </cell>
          <cell r="AS701">
            <v>8.5142900000000008</v>
          </cell>
          <cell r="AT701">
            <v>4.3768799999999999</v>
          </cell>
          <cell r="AU701">
            <v>7.1410900000000002</v>
          </cell>
          <cell r="AV701">
            <v>14.154590000000001</v>
          </cell>
          <cell r="AW701">
            <v>8.5836299999999994</v>
          </cell>
          <cell r="AX701">
            <v>7.7574199999999998</v>
          </cell>
          <cell r="AY701">
            <v>7.1011699999999998</v>
          </cell>
          <cell r="AZ701">
            <v>6.3001700000000005</v>
          </cell>
          <cell r="BA701">
            <v>7.1835000000000004</v>
          </cell>
          <cell r="BB701">
            <v>5.4801700000000002</v>
          </cell>
          <cell r="BC701">
            <v>9.3576700000000006</v>
          </cell>
          <cell r="BD701">
            <v>7.6586699999999999</v>
          </cell>
          <cell r="BE701">
            <v>12.772110000000001</v>
          </cell>
          <cell r="BF701">
            <v>4.0183200000000001</v>
          </cell>
          <cell r="BG701">
            <v>14.953850000000001</v>
          </cell>
          <cell r="BH701">
            <v>33.395690000000002</v>
          </cell>
          <cell r="BI701">
            <v>22.067240000000002</v>
          </cell>
          <cell r="BJ701">
            <v>24.660400000000003</v>
          </cell>
          <cell r="BK701">
            <v>25.1677</v>
          </cell>
          <cell r="BL701">
            <v>17.82103</v>
          </cell>
          <cell r="BM701">
            <v>21.940729999999999</v>
          </cell>
          <cell r="BN701">
            <v>23.619589999999999</v>
          </cell>
          <cell r="BO701">
            <v>17.392669999999999</v>
          </cell>
          <cell r="BP701">
            <v>174.55506</v>
          </cell>
          <cell r="BQ701">
            <v>10.4695</v>
          </cell>
          <cell r="BR701">
            <v>13.856629999999999</v>
          </cell>
          <cell r="BS701">
            <v>18.811630000000001</v>
          </cell>
          <cell r="BT701">
            <v>19.278130000000001</v>
          </cell>
          <cell r="BU701">
            <v>14.351629999999998</v>
          </cell>
          <cell r="BV701">
            <v>13.569129999999999</v>
          </cell>
          <cell r="BW701">
            <v>16.519629999999999</v>
          </cell>
          <cell r="BX701">
            <v>17.055799999999998</v>
          </cell>
          <cell r="BY701">
            <v>18.79064</v>
          </cell>
          <cell r="BZ701">
            <v>25.483169999999998</v>
          </cell>
          <cell r="CA701">
            <v>22.664669999999997</v>
          </cell>
          <cell r="CB701">
            <v>20.589169999999999</v>
          </cell>
          <cell r="CC701">
            <v>21.610169999999997</v>
          </cell>
          <cell r="CD701">
            <v>4.1699599999999997</v>
          </cell>
          <cell r="CE701">
            <v>49.634440000000005</v>
          </cell>
          <cell r="CF701">
            <v>64.405500000000004</v>
          </cell>
          <cell r="CG701">
            <v>24.553000000000001</v>
          </cell>
          <cell r="CH701">
            <v>21.380500000000001</v>
          </cell>
          <cell r="CI701">
            <v>22.288499999999999</v>
          </cell>
          <cell r="CJ701">
            <v>22.998000000000001</v>
          </cell>
          <cell r="CK701">
            <v>26.749299999999998</v>
          </cell>
          <cell r="CL701">
            <v>23.584289999999999</v>
          </cell>
          <cell r="CM701">
            <v>23.552790000000002</v>
          </cell>
          <cell r="CN701">
            <v>27.93216</v>
          </cell>
          <cell r="CO701">
            <v>30.3386</v>
          </cell>
          <cell r="CP701">
            <v>24.115179999999999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14.321999999999999</v>
          </cell>
          <cell r="DO701">
            <v>13.981999999999999</v>
          </cell>
          <cell r="DP701">
            <v>14.973000000000001</v>
          </cell>
          <cell r="DQ701">
            <v>15.178000000000001</v>
          </cell>
          <cell r="DR701">
            <v>14.898</v>
          </cell>
          <cell r="DS701">
            <v>15.222</v>
          </cell>
          <cell r="DT701">
            <v>15.566000000000001</v>
          </cell>
          <cell r="DU701">
            <v>15.401999999999999</v>
          </cell>
          <cell r="DV701">
            <v>16.039000000000001</v>
          </cell>
          <cell r="DW701">
            <v>15.736000000000001</v>
          </cell>
          <cell r="DX701">
            <v>15.368</v>
          </cell>
          <cell r="DY701">
            <v>29.155999999999999</v>
          </cell>
          <cell r="DZ701">
            <v>14.637</v>
          </cell>
          <cell r="EA701">
            <v>14.29</v>
          </cell>
          <cell r="EB701">
            <v>15.302</v>
          </cell>
          <cell r="EC701">
            <v>15.512</v>
          </cell>
          <cell r="ED701">
            <v>15.226000000000001</v>
          </cell>
          <cell r="EE701">
            <v>15.557</v>
          </cell>
          <cell r="EF701">
            <v>15.907999999999999</v>
          </cell>
          <cell r="EG701">
            <v>15.741</v>
          </cell>
          <cell r="EH701">
            <v>16.391999999999999</v>
          </cell>
          <cell r="EI701">
            <v>16.082999999999998</v>
          </cell>
          <cell r="EJ701">
            <v>15.707000000000001</v>
          </cell>
          <cell r="EK701">
            <v>29.795000000000002</v>
          </cell>
        </row>
        <row r="702">
          <cell r="H702" t="str">
            <v>Club Dues</v>
          </cell>
          <cell r="V702">
            <v>1</v>
          </cell>
          <cell r="W702">
            <v>6</v>
          </cell>
          <cell r="X702">
            <v>0</v>
          </cell>
          <cell r="Y702">
            <v>1</v>
          </cell>
          <cell r="Z702">
            <v>1</v>
          </cell>
          <cell r="AA702">
            <v>1</v>
          </cell>
          <cell r="AB702">
            <v>0</v>
          </cell>
          <cell r="AC702">
            <v>12</v>
          </cell>
          <cell r="AD702">
            <v>2</v>
          </cell>
          <cell r="AE702">
            <v>0</v>
          </cell>
          <cell r="AF702">
            <v>0</v>
          </cell>
          <cell r="AG702">
            <v>20</v>
          </cell>
          <cell r="AH702">
            <v>3.7749999999999999</v>
          </cell>
          <cell r="AI702">
            <v>0.3</v>
          </cell>
          <cell r="AJ702">
            <v>3.35</v>
          </cell>
          <cell r="AK702">
            <v>1.7250000000000001</v>
          </cell>
          <cell r="AL702">
            <v>1.04</v>
          </cell>
          <cell r="AM702">
            <v>1.02</v>
          </cell>
          <cell r="AN702">
            <v>10.234</v>
          </cell>
          <cell r="AO702">
            <v>0</v>
          </cell>
          <cell r="AP702">
            <v>9.0050000000000008</v>
          </cell>
          <cell r="AQ702">
            <v>5.5590000000000002</v>
          </cell>
          <cell r="AR702">
            <v>0</v>
          </cell>
          <cell r="AS702">
            <v>2</v>
          </cell>
          <cell r="AT702">
            <v>0</v>
          </cell>
          <cell r="AU702">
            <v>0</v>
          </cell>
          <cell r="AV702">
            <v>0.85</v>
          </cell>
          <cell r="AW702">
            <v>0</v>
          </cell>
          <cell r="AX702">
            <v>0</v>
          </cell>
          <cell r="AY702">
            <v>0.85</v>
          </cell>
          <cell r="AZ702">
            <v>3.8090000000000002</v>
          </cell>
          <cell r="BA702">
            <v>7.258</v>
          </cell>
          <cell r="BB702">
            <v>0</v>
          </cell>
          <cell r="BC702">
            <v>2.84</v>
          </cell>
          <cell r="BD702">
            <v>0</v>
          </cell>
          <cell r="BE702">
            <v>4.75</v>
          </cell>
          <cell r="BF702">
            <v>1.21</v>
          </cell>
          <cell r="BG702">
            <v>1.5</v>
          </cell>
          <cell r="BH702">
            <v>0</v>
          </cell>
          <cell r="BI702">
            <v>0</v>
          </cell>
          <cell r="BJ702">
            <v>0.33</v>
          </cell>
          <cell r="BK702">
            <v>0</v>
          </cell>
          <cell r="BL702">
            <v>1.4485299999999999</v>
          </cell>
          <cell r="BM702">
            <v>0.115</v>
          </cell>
          <cell r="BN702">
            <v>0</v>
          </cell>
          <cell r="BO702">
            <v>4.9249999999999998</v>
          </cell>
          <cell r="BP702">
            <v>1</v>
          </cell>
          <cell r="BQ702">
            <v>6.1749999999999998</v>
          </cell>
          <cell r="BR702">
            <v>1.7</v>
          </cell>
          <cell r="BS702">
            <v>0.1</v>
          </cell>
          <cell r="BT702">
            <v>3.03</v>
          </cell>
          <cell r="BU702">
            <v>0.1</v>
          </cell>
          <cell r="BV702">
            <v>0.1</v>
          </cell>
          <cell r="BW702">
            <v>0.85</v>
          </cell>
          <cell r="BX702">
            <v>4.2590000000000003</v>
          </cell>
          <cell r="BY702">
            <v>3.2080000000000002</v>
          </cell>
          <cell r="BZ702">
            <v>1.3</v>
          </cell>
          <cell r="CA702">
            <v>2.39</v>
          </cell>
          <cell r="CB702">
            <v>1.7</v>
          </cell>
          <cell r="CC702">
            <v>6.4790000000000001</v>
          </cell>
          <cell r="CD702">
            <v>0.5</v>
          </cell>
          <cell r="CE702">
            <v>0</v>
          </cell>
          <cell r="CF702">
            <v>19.43</v>
          </cell>
          <cell r="CG702">
            <v>2</v>
          </cell>
          <cell r="CH702">
            <v>0</v>
          </cell>
          <cell r="CI702">
            <v>0.76</v>
          </cell>
          <cell r="CJ702">
            <v>3.754</v>
          </cell>
          <cell r="CK702">
            <v>2.4580000000000002</v>
          </cell>
          <cell r="CL702">
            <v>7.4999999999999997E-2</v>
          </cell>
          <cell r="CM702">
            <v>1.8149999999999999</v>
          </cell>
          <cell r="CN702">
            <v>0</v>
          </cell>
          <cell r="CO702">
            <v>4.8949999999999996</v>
          </cell>
          <cell r="CP702">
            <v>1.6352</v>
          </cell>
          <cell r="CQ702">
            <v>2.2484000000000002</v>
          </cell>
          <cell r="CR702">
            <v>3.1477600000000003</v>
          </cell>
          <cell r="CS702">
            <v>0</v>
          </cell>
          <cell r="CT702">
            <v>0</v>
          </cell>
          <cell r="CU702">
            <v>0.77672000000000008</v>
          </cell>
          <cell r="CV702">
            <v>4.2715899999999998</v>
          </cell>
          <cell r="CW702">
            <v>2.5120800000000001</v>
          </cell>
          <cell r="CX702">
            <v>7.665000000000001E-2</v>
          </cell>
          <cell r="CY702">
            <v>1.85493</v>
          </cell>
          <cell r="CZ702">
            <v>0</v>
          </cell>
          <cell r="DA702">
            <v>12.280100000000001</v>
          </cell>
          <cell r="DB702">
            <v>0</v>
          </cell>
          <cell r="DC702">
            <v>0</v>
          </cell>
          <cell r="DD702">
            <v>3.95</v>
          </cell>
          <cell r="DE702">
            <v>0</v>
          </cell>
          <cell r="DF702">
            <v>0</v>
          </cell>
          <cell r="DG702">
            <v>6.91</v>
          </cell>
          <cell r="DH702">
            <v>3.46</v>
          </cell>
          <cell r="DI702">
            <v>2.41</v>
          </cell>
          <cell r="DJ702">
            <v>7.62</v>
          </cell>
          <cell r="DK702">
            <v>2.41</v>
          </cell>
          <cell r="DL702">
            <v>6.6749999999999998</v>
          </cell>
          <cell r="DM702">
            <v>1.5529999999999999</v>
          </cell>
          <cell r="DN702">
            <v>1.44</v>
          </cell>
          <cell r="DO702">
            <v>1.44</v>
          </cell>
          <cell r="DP702">
            <v>1.44</v>
          </cell>
          <cell r="DQ702">
            <v>23.44</v>
          </cell>
          <cell r="DR702">
            <v>1.44</v>
          </cell>
          <cell r="DS702">
            <v>1.44</v>
          </cell>
          <cell r="DT702">
            <v>1.44</v>
          </cell>
          <cell r="DU702">
            <v>1.44</v>
          </cell>
          <cell r="DV702">
            <v>1.44</v>
          </cell>
          <cell r="DW702">
            <v>1.44</v>
          </cell>
          <cell r="DX702">
            <v>1.44</v>
          </cell>
          <cell r="DY702">
            <v>1.44</v>
          </cell>
          <cell r="DZ702">
            <v>1.472</v>
          </cell>
          <cell r="EA702">
            <v>1.472</v>
          </cell>
          <cell r="EB702">
            <v>1.472</v>
          </cell>
          <cell r="EC702">
            <v>23.956</v>
          </cell>
          <cell r="ED702">
            <v>1.472</v>
          </cell>
          <cell r="EE702">
            <v>1.472</v>
          </cell>
          <cell r="EF702">
            <v>1.472</v>
          </cell>
          <cell r="EG702">
            <v>1.472</v>
          </cell>
          <cell r="EH702">
            <v>1.472</v>
          </cell>
          <cell r="EI702">
            <v>1.472</v>
          </cell>
          <cell r="EJ702">
            <v>1.472</v>
          </cell>
          <cell r="EK702">
            <v>1.468</v>
          </cell>
        </row>
        <row r="703">
          <cell r="H703" t="str">
            <v>Political Contributions</v>
          </cell>
          <cell r="V703">
            <v>4</v>
          </cell>
          <cell r="W703">
            <v>4</v>
          </cell>
          <cell r="X703">
            <v>4</v>
          </cell>
          <cell r="Y703">
            <v>21</v>
          </cell>
          <cell r="Z703">
            <v>8</v>
          </cell>
          <cell r="AA703">
            <v>8</v>
          </cell>
          <cell r="AB703">
            <v>8</v>
          </cell>
          <cell r="AC703">
            <v>0</v>
          </cell>
          <cell r="AD703">
            <v>8</v>
          </cell>
          <cell r="AE703">
            <v>8</v>
          </cell>
          <cell r="AF703">
            <v>8</v>
          </cell>
          <cell r="AG703">
            <v>23</v>
          </cell>
          <cell r="AH703">
            <v>9.5830000000000002</v>
          </cell>
          <cell r="AI703">
            <v>9.5830000000000002</v>
          </cell>
          <cell r="AJ703">
            <v>9.5830000000000002</v>
          </cell>
          <cell r="AK703">
            <v>9.5830000000000002</v>
          </cell>
          <cell r="AL703">
            <v>9.5830000000000002</v>
          </cell>
          <cell r="AM703">
            <v>9.5830000000000002</v>
          </cell>
          <cell r="AN703">
            <v>9.5830000000000002</v>
          </cell>
          <cell r="AO703">
            <v>8.3333200000000005</v>
          </cell>
          <cell r="AP703">
            <v>8.3333200000000005</v>
          </cell>
          <cell r="AQ703">
            <v>8.3333200000000005</v>
          </cell>
          <cell r="AR703">
            <v>8.3333200000000005</v>
          </cell>
          <cell r="AS703">
            <v>23.333479999999998</v>
          </cell>
          <cell r="AT703">
            <v>8.3333200000000005</v>
          </cell>
          <cell r="AU703">
            <v>9.5830000000000002</v>
          </cell>
          <cell r="AV703">
            <v>9.5830000000000002</v>
          </cell>
          <cell r="AW703">
            <v>9.5830000000000002</v>
          </cell>
          <cell r="AX703">
            <v>9.5830000000000002</v>
          </cell>
          <cell r="AY703">
            <v>5.4163399999999999</v>
          </cell>
          <cell r="AZ703">
            <v>5.4163399999999999</v>
          </cell>
          <cell r="BA703">
            <v>5.4163399999999999</v>
          </cell>
          <cell r="BB703">
            <v>5.4163399999999999</v>
          </cell>
          <cell r="BC703">
            <v>5.4163399999999999</v>
          </cell>
          <cell r="BD703">
            <v>11.41634</v>
          </cell>
          <cell r="BE703">
            <v>16.253340000000001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25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8.3333300000000001</v>
          </cell>
          <cell r="DO703">
            <v>8.3333399999999997</v>
          </cell>
          <cell r="DP703">
            <v>8.3333300000000001</v>
          </cell>
          <cell r="DQ703">
            <v>8.3333300000000001</v>
          </cell>
          <cell r="DR703">
            <v>8.3333399999999997</v>
          </cell>
          <cell r="DS703">
            <v>8.3333300000000001</v>
          </cell>
          <cell r="DT703">
            <v>8.3333300000000001</v>
          </cell>
          <cell r="DU703">
            <v>8.3333399999999997</v>
          </cell>
          <cell r="DV703">
            <v>8.3333300000000001</v>
          </cell>
          <cell r="DW703">
            <v>8.3333300000000001</v>
          </cell>
          <cell r="DX703">
            <v>8.3333399999999997</v>
          </cell>
          <cell r="DY703">
            <v>8.3333300000000001</v>
          </cell>
          <cell r="DZ703">
            <v>8.5166699999999995</v>
          </cell>
          <cell r="EA703">
            <v>8.5166599999999999</v>
          </cell>
          <cell r="EB703">
            <v>8.5166699999999995</v>
          </cell>
          <cell r="EC703">
            <v>8.5166699999999995</v>
          </cell>
          <cell r="ED703">
            <v>8.5166599999999999</v>
          </cell>
          <cell r="EE703">
            <v>8.5166699999999995</v>
          </cell>
          <cell r="EF703">
            <v>8.5166699999999995</v>
          </cell>
          <cell r="EG703">
            <v>8.5166599999999999</v>
          </cell>
          <cell r="EH703">
            <v>8.5166699999999995</v>
          </cell>
          <cell r="EI703">
            <v>8.5166699999999995</v>
          </cell>
          <cell r="EJ703">
            <v>8.5166599999999999</v>
          </cell>
          <cell r="EK703">
            <v>8.5166699999999995</v>
          </cell>
        </row>
        <row r="704">
          <cell r="H704" t="str">
            <v>Lobbying Expense</v>
          </cell>
          <cell r="V704">
            <v>0</v>
          </cell>
          <cell r="W704">
            <v>12</v>
          </cell>
          <cell r="X704">
            <v>0</v>
          </cell>
          <cell r="Y704">
            <v>3</v>
          </cell>
          <cell r="Z704">
            <v>0</v>
          </cell>
          <cell r="AA704">
            <v>0</v>
          </cell>
          <cell r="AB704">
            <v>4</v>
          </cell>
          <cell r="AC704">
            <v>3</v>
          </cell>
          <cell r="AD704">
            <v>3</v>
          </cell>
          <cell r="AE704">
            <v>3</v>
          </cell>
          <cell r="AF704">
            <v>3</v>
          </cell>
          <cell r="AG704">
            <v>3</v>
          </cell>
          <cell r="AH704">
            <v>5</v>
          </cell>
          <cell r="AI704">
            <v>5</v>
          </cell>
          <cell r="AJ704">
            <v>5</v>
          </cell>
          <cell r="AK704">
            <v>5</v>
          </cell>
          <cell r="AL704">
            <v>5</v>
          </cell>
          <cell r="AM704">
            <v>5</v>
          </cell>
          <cell r="AN704">
            <v>5</v>
          </cell>
          <cell r="AO704">
            <v>5</v>
          </cell>
          <cell r="AP704">
            <v>5</v>
          </cell>
          <cell r="AQ704">
            <v>5</v>
          </cell>
          <cell r="AR704">
            <v>5</v>
          </cell>
          <cell r="AS704">
            <v>5</v>
          </cell>
          <cell r="AT704">
            <v>5</v>
          </cell>
          <cell r="AU704">
            <v>4.6666600000000003</v>
          </cell>
          <cell r="AV704">
            <v>4.6666699999999999</v>
          </cell>
          <cell r="AW704">
            <v>4.6666699999999999</v>
          </cell>
          <cell r="AX704">
            <v>4.6666600000000003</v>
          </cell>
          <cell r="AY704">
            <v>0</v>
          </cell>
          <cell r="AZ704">
            <v>58.442050000000002</v>
          </cell>
          <cell r="BA704">
            <v>0</v>
          </cell>
          <cell r="BB704">
            <v>0</v>
          </cell>
          <cell r="BC704">
            <v>3.5702500000000001</v>
          </cell>
          <cell r="BD704">
            <v>0</v>
          </cell>
          <cell r="BE704">
            <v>0</v>
          </cell>
          <cell r="BF704">
            <v>6.6494499999999999</v>
          </cell>
          <cell r="BG704">
            <v>6.8490500000000001</v>
          </cell>
          <cell r="BH704">
            <v>6.74925</v>
          </cell>
          <cell r="BI704">
            <v>6.7492399999999995</v>
          </cell>
          <cell r="BJ704">
            <v>6.74925</v>
          </cell>
          <cell r="BK704">
            <v>6.74925</v>
          </cell>
          <cell r="BL704">
            <v>6.74925</v>
          </cell>
          <cell r="BM704">
            <v>6.74925</v>
          </cell>
          <cell r="BN704">
            <v>6.74925</v>
          </cell>
          <cell r="BO704">
            <v>6.74925</v>
          </cell>
          <cell r="BP704">
            <v>6.74925</v>
          </cell>
          <cell r="BQ704">
            <v>6.74925</v>
          </cell>
          <cell r="BR704">
            <v>5.3666800000000006</v>
          </cell>
          <cell r="BS704">
            <v>2.5750000000000002</v>
          </cell>
          <cell r="BT704">
            <v>6.9583500000000003</v>
          </cell>
          <cell r="BU704">
            <v>5.4833500000000006</v>
          </cell>
          <cell r="BV704">
            <v>2.0833499999999998</v>
          </cell>
          <cell r="BW704">
            <v>2.1333500000000001</v>
          </cell>
          <cell r="BX704">
            <v>6.1833500000000008</v>
          </cell>
          <cell r="BY704">
            <v>49.785239999999995</v>
          </cell>
          <cell r="BZ704">
            <v>2.5708299999999999</v>
          </cell>
          <cell r="CA704">
            <v>4.7333500000000006</v>
          </cell>
          <cell r="CB704">
            <v>2.8333499999999998</v>
          </cell>
          <cell r="CC704">
            <v>2.1283499999999997</v>
          </cell>
          <cell r="CD704">
            <v>15.278129999999999</v>
          </cell>
          <cell r="CE704">
            <v>2.8104</v>
          </cell>
          <cell r="CF704">
            <v>12.43413</v>
          </cell>
          <cell r="CG704">
            <v>10.20411</v>
          </cell>
          <cell r="CH704">
            <v>3.7500900000000001</v>
          </cell>
          <cell r="CI704">
            <v>3.7500300000000002</v>
          </cell>
          <cell r="CJ704">
            <v>9.3041100000000014</v>
          </cell>
          <cell r="CK704">
            <v>1.84768</v>
          </cell>
          <cell r="CL704">
            <v>1.84768</v>
          </cell>
          <cell r="CM704">
            <v>6.3846400000000001</v>
          </cell>
          <cell r="CN704">
            <v>3.0476799999999997</v>
          </cell>
          <cell r="CO704">
            <v>1.83968</v>
          </cell>
          <cell r="CP704">
            <v>13.87933</v>
          </cell>
          <cell r="CQ704">
            <v>25.28182</v>
          </cell>
          <cell r="CR704">
            <v>-3.88388</v>
          </cell>
          <cell r="CS704">
            <v>9.2188999999999997</v>
          </cell>
          <cell r="CT704">
            <v>4.4400000000000004</v>
          </cell>
          <cell r="CU704">
            <v>-9.2101600000000001</v>
          </cell>
          <cell r="CV704">
            <v>9.2188999999999997</v>
          </cell>
          <cell r="CW704">
            <v>9.98766</v>
          </cell>
          <cell r="CX704">
            <v>1.04</v>
          </cell>
          <cell r="CY704">
            <v>5.8188999999999993</v>
          </cell>
          <cell r="CZ704">
            <v>1.8560000000000001</v>
          </cell>
          <cell r="DA704">
            <v>1.8560000000000001</v>
          </cell>
          <cell r="DB704">
            <v>22.190240000000003</v>
          </cell>
          <cell r="DC704">
            <v>7.6912000000000003</v>
          </cell>
          <cell r="DD704">
            <v>16.260400000000001</v>
          </cell>
          <cell r="DE704">
            <v>5.84</v>
          </cell>
          <cell r="DF704">
            <v>0</v>
          </cell>
          <cell r="DG704">
            <v>1</v>
          </cell>
          <cell r="DH704">
            <v>4.88</v>
          </cell>
          <cell r="DI704">
            <v>0</v>
          </cell>
          <cell r="DJ704">
            <v>0</v>
          </cell>
          <cell r="DK704">
            <v>4.4000000000000004</v>
          </cell>
          <cell r="DL704">
            <v>0</v>
          </cell>
          <cell r="DM704">
            <v>2.52</v>
          </cell>
          <cell r="DN704">
            <v>27.298999999999999</v>
          </cell>
          <cell r="DO704">
            <v>4.6340000000000003</v>
          </cell>
          <cell r="DP704">
            <v>17.78</v>
          </cell>
          <cell r="DQ704">
            <v>5.6340000000000003</v>
          </cell>
          <cell r="DR704">
            <v>1.6</v>
          </cell>
          <cell r="DS704">
            <v>0.16</v>
          </cell>
          <cell r="DT704">
            <v>5.1139999999999999</v>
          </cell>
          <cell r="DU704">
            <v>0.16</v>
          </cell>
          <cell r="DV704">
            <v>0.16</v>
          </cell>
          <cell r="DW704">
            <v>4.6340000000000003</v>
          </cell>
          <cell r="DX704">
            <v>0.16</v>
          </cell>
          <cell r="DY704">
            <v>0.16200000000000001</v>
          </cell>
          <cell r="DZ704">
            <v>27.899000000000001</v>
          </cell>
          <cell r="EA704">
            <v>4.7359999999999998</v>
          </cell>
          <cell r="EB704">
            <v>18.172000000000001</v>
          </cell>
          <cell r="EC704">
            <v>5.758</v>
          </cell>
          <cell r="ED704">
            <v>1.635</v>
          </cell>
          <cell r="EE704">
            <v>0.16400000000000001</v>
          </cell>
          <cell r="EF704">
            <v>5.2270000000000003</v>
          </cell>
          <cell r="EG704">
            <v>0.16300000000000001</v>
          </cell>
          <cell r="EH704">
            <v>0.16300000000000001</v>
          </cell>
          <cell r="EI704">
            <v>4.7359999999999998</v>
          </cell>
          <cell r="EJ704">
            <v>0.16400000000000001</v>
          </cell>
          <cell r="EK704">
            <v>0.16500000000000001</v>
          </cell>
        </row>
        <row r="705">
          <cell r="H705" t="str">
            <v>Transportation Fringe</v>
          </cell>
          <cell r="AD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15.855</v>
          </cell>
          <cell r="BM705">
            <v>2.2650000000000001</v>
          </cell>
          <cell r="BN705">
            <v>2.2650000000000001</v>
          </cell>
          <cell r="BO705">
            <v>2.2650000000000001</v>
          </cell>
          <cell r="BP705">
            <v>2.2650000000000001</v>
          </cell>
          <cell r="BQ705">
            <v>2.2650000000000001</v>
          </cell>
          <cell r="BS705">
            <v>2.5150000000000001</v>
          </cell>
          <cell r="BT705">
            <v>2.39</v>
          </cell>
          <cell r="BU705">
            <v>2.39</v>
          </cell>
          <cell r="BV705">
            <v>2.39</v>
          </cell>
          <cell r="BW705">
            <v>2.39</v>
          </cell>
          <cell r="BX705">
            <v>2.39</v>
          </cell>
          <cell r="BY705">
            <v>2.39</v>
          </cell>
          <cell r="BZ705">
            <v>2.39</v>
          </cell>
          <cell r="CA705">
            <v>2.39</v>
          </cell>
          <cell r="CB705">
            <v>2.39</v>
          </cell>
          <cell r="CC705">
            <v>2.39</v>
          </cell>
          <cell r="CD705">
            <v>2.39</v>
          </cell>
          <cell r="CE705">
            <v>2.39</v>
          </cell>
          <cell r="CF705">
            <v>2.39</v>
          </cell>
          <cell r="CG705">
            <v>2.39</v>
          </cell>
          <cell r="CH705">
            <v>2.39</v>
          </cell>
          <cell r="CI705">
            <v>2.39</v>
          </cell>
          <cell r="CJ705">
            <v>2.39</v>
          </cell>
          <cell r="CK705">
            <v>4.758</v>
          </cell>
          <cell r="CL705">
            <v>2.6859999999999999</v>
          </cell>
          <cell r="CM705">
            <v>2.6859999999999999</v>
          </cell>
          <cell r="CN705">
            <v>2.6859999999999999</v>
          </cell>
          <cell r="CO705">
            <v>2.6859999999999999</v>
          </cell>
          <cell r="CP705">
            <v>2.6859999999999999</v>
          </cell>
          <cell r="CQ705">
            <v>2.6859999999999999</v>
          </cell>
          <cell r="CR705">
            <v>2.6859999999999999</v>
          </cell>
          <cell r="CS705">
            <v>2.6859999999999999</v>
          </cell>
          <cell r="CT705">
            <v>2.6859999999999999</v>
          </cell>
          <cell r="CU705">
            <v>2.6859999999999999</v>
          </cell>
          <cell r="CV705">
            <v>2.6859999999999999</v>
          </cell>
          <cell r="CW705">
            <v>2.6859999999999999</v>
          </cell>
          <cell r="CX705">
            <v>2.6859999999999999</v>
          </cell>
          <cell r="CY705">
            <v>2.6859999999999999</v>
          </cell>
          <cell r="CZ705">
            <v>2.6859999999999999</v>
          </cell>
          <cell r="DA705">
            <v>2.6859999999999999</v>
          </cell>
          <cell r="DB705">
            <v>2.6859999999999999</v>
          </cell>
          <cell r="DC705">
            <v>2.6859999999999999</v>
          </cell>
          <cell r="DD705">
            <v>2.6859999999999999</v>
          </cell>
          <cell r="DE705">
            <v>2.6859999999999999</v>
          </cell>
          <cell r="DF705">
            <v>2.6859999999999999</v>
          </cell>
          <cell r="DG705">
            <v>3.64838</v>
          </cell>
          <cell r="DH705">
            <v>3.64838</v>
          </cell>
          <cell r="DI705">
            <v>3.64838</v>
          </cell>
          <cell r="DJ705">
            <v>3.64838</v>
          </cell>
          <cell r="DK705">
            <v>3.64838</v>
          </cell>
          <cell r="DL705">
            <v>3.64838</v>
          </cell>
          <cell r="DM705">
            <v>3.64838</v>
          </cell>
          <cell r="DN705">
            <v>3.6480000000000001</v>
          </cell>
          <cell r="DO705">
            <v>3.6480000000000001</v>
          </cell>
          <cell r="DP705">
            <v>3.6480000000000001</v>
          </cell>
          <cell r="DQ705">
            <v>3.6480000000000001</v>
          </cell>
          <cell r="DR705">
            <v>3.6480000000000001</v>
          </cell>
          <cell r="DS705">
            <v>3.6480000000000001</v>
          </cell>
          <cell r="DT705">
            <v>3.6480000000000001</v>
          </cell>
          <cell r="DU705">
            <v>3.6480000000000001</v>
          </cell>
          <cell r="DV705">
            <v>3.6480000000000001</v>
          </cell>
          <cell r="DW705">
            <v>3.6480000000000001</v>
          </cell>
          <cell r="DX705">
            <v>3.6480000000000001</v>
          </cell>
          <cell r="DY705">
            <v>3.6520000000000001</v>
          </cell>
          <cell r="DZ705">
            <v>3.6483300000000001</v>
          </cell>
          <cell r="EA705">
            <v>3.6483400000000001</v>
          </cell>
          <cell r="EB705">
            <v>3.6483300000000001</v>
          </cell>
          <cell r="EC705">
            <v>3.6483300000000001</v>
          </cell>
          <cell r="ED705">
            <v>3.6483400000000001</v>
          </cell>
          <cell r="EE705">
            <v>3.6483300000000001</v>
          </cell>
          <cell r="EF705">
            <v>3.6483300000000001</v>
          </cell>
          <cell r="EG705">
            <v>3.6483400000000001</v>
          </cell>
          <cell r="EH705">
            <v>3.6483300000000001</v>
          </cell>
          <cell r="EI705">
            <v>3.6483300000000001</v>
          </cell>
          <cell r="EJ705">
            <v>3.6483400000000001</v>
          </cell>
          <cell r="EK705">
            <v>3.6483300000000001</v>
          </cell>
        </row>
        <row r="706">
          <cell r="H706" t="str">
            <v>RNG ITC</v>
          </cell>
          <cell r="DN706">
            <v>1.804</v>
          </cell>
          <cell r="DO706">
            <v>1.804</v>
          </cell>
          <cell r="DP706">
            <v>1.804</v>
          </cell>
          <cell r="DQ706">
            <v>1.804</v>
          </cell>
          <cell r="DR706">
            <v>1.804</v>
          </cell>
          <cell r="DS706">
            <v>1.804</v>
          </cell>
          <cell r="DT706">
            <v>1.804</v>
          </cell>
          <cell r="DU706">
            <v>1.804</v>
          </cell>
          <cell r="DV706">
            <v>1.804</v>
          </cell>
          <cell r="DW706">
            <v>1.804</v>
          </cell>
          <cell r="DX706">
            <v>1.804</v>
          </cell>
          <cell r="DY706">
            <v>1.804</v>
          </cell>
        </row>
        <row r="707">
          <cell r="H707" t="str">
            <v>Tax Dept State tax variance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0</v>
          </cell>
          <cell r="S707">
            <v>0</v>
          </cell>
          <cell r="T707">
            <v>1</v>
          </cell>
          <cell r="U707">
            <v>1</v>
          </cell>
          <cell r="V707">
            <v>1</v>
          </cell>
          <cell r="W707">
            <v>-3</v>
          </cell>
          <cell r="X707">
            <v>-3</v>
          </cell>
          <cell r="Y707">
            <v>-3</v>
          </cell>
          <cell r="Z707">
            <v>-3</v>
          </cell>
          <cell r="AA707">
            <v>-3</v>
          </cell>
          <cell r="AB707">
            <v>-3</v>
          </cell>
          <cell r="AC707">
            <v>-3</v>
          </cell>
          <cell r="AD707">
            <v>1</v>
          </cell>
          <cell r="AE707">
            <v>3</v>
          </cell>
          <cell r="AF707">
            <v>0</v>
          </cell>
          <cell r="AG707">
            <v>-1</v>
          </cell>
          <cell r="AH707">
            <v>0</v>
          </cell>
          <cell r="AI707">
            <v>2</v>
          </cell>
          <cell r="AJ707">
            <v>0</v>
          </cell>
          <cell r="AK707">
            <v>1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1</v>
          </cell>
          <cell r="AQ707">
            <v>1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-1.7344916750516859E-4</v>
          </cell>
          <cell r="CB707">
            <v>1.0814758138621983E-4</v>
          </cell>
          <cell r="CC707">
            <v>2.0010486423416296E-6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</row>
        <row r="708">
          <cell r="H708" t="str">
            <v>Total timing Differences</v>
          </cell>
          <cell r="J708">
            <v>8</v>
          </cell>
          <cell r="K708">
            <v>9</v>
          </cell>
          <cell r="L708">
            <v>8</v>
          </cell>
          <cell r="M708">
            <v>14</v>
          </cell>
          <cell r="N708">
            <v>11</v>
          </cell>
          <cell r="O708">
            <v>9</v>
          </cell>
          <cell r="P708">
            <v>8</v>
          </cell>
          <cell r="Q708">
            <v>11</v>
          </cell>
          <cell r="R708">
            <v>7</v>
          </cell>
          <cell r="S708">
            <v>7</v>
          </cell>
          <cell r="T708">
            <v>8</v>
          </cell>
          <cell r="U708">
            <v>8</v>
          </cell>
          <cell r="V708">
            <v>9</v>
          </cell>
          <cell r="W708">
            <v>25</v>
          </cell>
          <cell r="X708">
            <v>17</v>
          </cell>
          <cell r="Y708">
            <v>31</v>
          </cell>
          <cell r="Z708">
            <v>14</v>
          </cell>
          <cell r="AA708">
            <v>15</v>
          </cell>
          <cell r="AB708">
            <v>23</v>
          </cell>
          <cell r="AC708">
            <v>22</v>
          </cell>
          <cell r="AD708">
            <v>24</v>
          </cell>
          <cell r="AE708">
            <v>23</v>
          </cell>
          <cell r="AF708">
            <v>19</v>
          </cell>
          <cell r="AG708">
            <v>57</v>
          </cell>
          <cell r="AH708">
            <v>23.480789999999999</v>
          </cell>
          <cell r="AI708">
            <v>21.958289999999998</v>
          </cell>
          <cell r="AJ708">
            <v>29.703790000000001</v>
          </cell>
          <cell r="AK708">
            <v>22.96829</v>
          </cell>
          <cell r="AL708">
            <v>21.248290000000001</v>
          </cell>
          <cell r="AM708">
            <v>21.398289999999999</v>
          </cell>
          <cell r="AN708">
            <v>30.562800000000003</v>
          </cell>
          <cell r="AO708">
            <v>19.3917</v>
          </cell>
          <cell r="AP708">
            <v>27.965200000000003</v>
          </cell>
          <cell r="AQ708">
            <v>24.924199999999999</v>
          </cell>
          <cell r="AR708">
            <v>17.7102</v>
          </cell>
          <cell r="AS708">
            <v>38.847769999999997</v>
          </cell>
          <cell r="AT708">
            <v>17.7102</v>
          </cell>
          <cell r="AU708">
            <v>21.390750000000001</v>
          </cell>
          <cell r="AV708">
            <v>29.254259999999999</v>
          </cell>
          <cell r="AW708">
            <v>22.833299999999998</v>
          </cell>
          <cell r="AX708">
            <v>22.007080000000002</v>
          </cell>
          <cell r="AY708">
            <v>13.367509999999999</v>
          </cell>
          <cell r="AZ708">
            <v>73.967560000000006</v>
          </cell>
          <cell r="BA708">
            <v>19.857840000000003</v>
          </cell>
          <cell r="BB708">
            <v>10.896509999999999</v>
          </cell>
          <cell r="BC708">
            <v>21.184260000000002</v>
          </cell>
          <cell r="BD708">
            <v>19.075009999999999</v>
          </cell>
          <cell r="BE708">
            <v>33.775450000000006</v>
          </cell>
          <cell r="BF708">
            <v>11.87777</v>
          </cell>
          <cell r="BG708">
            <v>23.302900000000001</v>
          </cell>
          <cell r="BH708">
            <v>40.144940000000005</v>
          </cell>
          <cell r="BI708">
            <v>28.816480000000002</v>
          </cell>
          <cell r="BJ708">
            <v>31.739650000000001</v>
          </cell>
          <cell r="BK708">
            <v>31.91695</v>
          </cell>
          <cell r="BL708">
            <v>41.873809999999999</v>
          </cell>
          <cell r="BM708">
            <v>31.069979999999997</v>
          </cell>
          <cell r="BN708">
            <v>32.633839999999999</v>
          </cell>
          <cell r="BO708">
            <v>31.33192</v>
          </cell>
          <cell r="BP708">
            <v>209.56930999999997</v>
          </cell>
          <cell r="BQ708">
            <v>25.658750000000001</v>
          </cell>
          <cell r="BR708">
            <v>20.923310000000001</v>
          </cell>
          <cell r="BS708">
            <v>24.001630000000002</v>
          </cell>
          <cell r="BT708">
            <v>31.656480000000002</v>
          </cell>
          <cell r="BU708">
            <v>22.32498</v>
          </cell>
          <cell r="BV708">
            <v>18.142479999999999</v>
          </cell>
          <cell r="BW708">
            <v>21.892980000000001</v>
          </cell>
          <cell r="BX708">
            <v>29.88815</v>
          </cell>
          <cell r="BY708">
            <v>-60.086440000000017</v>
          </cell>
          <cell r="BZ708">
            <v>-55.31631999999999</v>
          </cell>
          <cell r="CA708">
            <v>-36.782473449167497</v>
          </cell>
          <cell r="CB708">
            <v>-49.747691852418605</v>
          </cell>
          <cell r="CC708">
            <v>-65.052797998951363</v>
          </cell>
          <cell r="CD708">
            <v>-102.37319999999998</v>
          </cell>
          <cell r="CE708">
            <v>-103.27903999999998</v>
          </cell>
          <cell r="CF708">
            <v>-85.652950000000004</v>
          </cell>
          <cell r="CG708">
            <v>-170.96548000000001</v>
          </cell>
          <cell r="CH708">
            <v>-227.79199</v>
          </cell>
          <cell r="CI708">
            <v>-263.12406000000004</v>
          </cell>
          <cell r="CJ708">
            <v>-276.26647000000003</v>
          </cell>
          <cell r="CK708">
            <v>-315.69959999999998</v>
          </cell>
          <cell r="CL708">
            <v>-365.31961000000001</v>
          </cell>
          <cell r="CM708">
            <v>-276.27415000000002</v>
          </cell>
          <cell r="CN708">
            <v>-195.04673999999997</v>
          </cell>
          <cell r="CO708">
            <v>-225.45330999999999</v>
          </cell>
          <cell r="CP708">
            <v>-255.53404000000003</v>
          </cell>
          <cell r="CQ708">
            <v>-333.31460000000004</v>
          </cell>
          <cell r="CR708">
            <v>-382.60346999999996</v>
          </cell>
          <cell r="CS708">
            <v>-307.97185000000002</v>
          </cell>
          <cell r="CT708">
            <v>-208.45075</v>
          </cell>
          <cell r="CU708">
            <v>-229.40958000000001</v>
          </cell>
          <cell r="CV708">
            <v>-226.68565000000001</v>
          </cell>
          <cell r="CW708">
            <v>-258.35246000000001</v>
          </cell>
          <cell r="CX708">
            <v>-296.73555000000005</v>
          </cell>
          <cell r="CY708">
            <v>-312.67837000000003</v>
          </cell>
          <cell r="CZ708">
            <v>-107.1962</v>
          </cell>
          <cell r="DA708">
            <v>-139.61609999999999</v>
          </cell>
          <cell r="DB708">
            <v>-147.41300999999996</v>
          </cell>
          <cell r="DC708">
            <v>-177.91399999999999</v>
          </cell>
          <cell r="DD708">
            <v>-182.94718</v>
          </cell>
          <cell r="DE708">
            <v>-218.91757999999999</v>
          </cell>
          <cell r="DF708">
            <v>-249.75757999999996</v>
          </cell>
          <cell r="DG708">
            <v>-271.83861999999999</v>
          </cell>
          <cell r="DH708">
            <v>-305.21662000000003</v>
          </cell>
          <cell r="DI708">
            <v>-334.08962000000002</v>
          </cell>
          <cell r="DJ708">
            <v>-278.19162</v>
          </cell>
          <cell r="DK708">
            <v>-187.00162</v>
          </cell>
          <cell r="DL708">
            <v>-165.93661999999998</v>
          </cell>
          <cell r="DM708">
            <v>-176.73862</v>
          </cell>
          <cell r="DN708">
            <v>-261.27684000000005</v>
          </cell>
          <cell r="DO708">
            <v>-290.68181999999996</v>
          </cell>
          <cell r="DP708">
            <v>-295.64484000000004</v>
          </cell>
          <cell r="DQ708">
            <v>-354.78584000000001</v>
          </cell>
          <cell r="DR708">
            <v>-364.69981999999993</v>
          </cell>
          <cell r="DS708">
            <v>-309.81583999999998</v>
          </cell>
          <cell r="DT708">
            <v>-335.31784000000005</v>
          </cell>
          <cell r="DU708">
            <v>-373.73581999999999</v>
          </cell>
          <cell r="DV708">
            <v>-404.89884000000001</v>
          </cell>
          <cell r="DW708">
            <v>-428.32783999999998</v>
          </cell>
          <cell r="DX708">
            <v>-319.26981999999998</v>
          </cell>
          <cell r="DY708">
            <v>-184.77584000000002</v>
          </cell>
        </row>
        <row r="710">
          <cell r="H710" t="str">
            <v>Taxable Income</v>
          </cell>
          <cell r="J710">
            <v>8090.3000000000038</v>
          </cell>
          <cell r="K710">
            <v>6812.3999999999987</v>
          </cell>
          <cell r="L710">
            <v>7641.5999999999995</v>
          </cell>
          <cell r="M710">
            <v>4895.4999999999918</v>
          </cell>
          <cell r="N710">
            <v>2682.1000000000045</v>
          </cell>
          <cell r="O710">
            <v>3624.4999999999977</v>
          </cell>
          <cell r="P710">
            <v>2394.8000000000093</v>
          </cell>
          <cell r="Q710">
            <v>2482.8000000000029</v>
          </cell>
          <cell r="R710">
            <v>2096.6000000000004</v>
          </cell>
          <cell r="S710">
            <v>3476.1000000000031</v>
          </cell>
          <cell r="T710">
            <v>4341.0000000000045</v>
          </cell>
          <cell r="U710">
            <v>5782.9000000000015</v>
          </cell>
          <cell r="V710">
            <v>8406.5000000000109</v>
          </cell>
          <cell r="W710">
            <v>7775.6000000000104</v>
          </cell>
          <cell r="X710">
            <v>6493.7000000000016</v>
          </cell>
          <cell r="Y710">
            <v>3721.4999999999982</v>
          </cell>
          <cell r="Z710">
            <v>3475.7999999999979</v>
          </cell>
          <cell r="AA710">
            <v>4226.3000000000047</v>
          </cell>
          <cell r="AB710">
            <v>2775.399999999991</v>
          </cell>
          <cell r="AC710">
            <v>3330.7999999999975</v>
          </cell>
          <cell r="AD710">
            <v>2719.9000000000051</v>
          </cell>
          <cell r="AE710">
            <v>3339.8000000000038</v>
          </cell>
          <cell r="AF710">
            <v>2667.4999999999964</v>
          </cell>
          <cell r="AG710">
            <v>3753.4000000000096</v>
          </cell>
          <cell r="AH710">
            <v>8172.1807900000085</v>
          </cell>
          <cell r="AI710">
            <v>8322.3582899999947</v>
          </cell>
          <cell r="AJ710">
            <v>4375.5037899999916</v>
          </cell>
          <cell r="AK710">
            <v>4633.9682900000053</v>
          </cell>
          <cell r="AL710">
            <v>4075.3482900000104</v>
          </cell>
          <cell r="AM710">
            <v>2050.0982900000035</v>
          </cell>
          <cell r="AN710">
            <v>3954.2628000000004</v>
          </cell>
          <cell r="AO710">
            <v>2288.291700000007</v>
          </cell>
          <cell r="AP710">
            <v>3042.4651999999955</v>
          </cell>
          <cell r="AQ710">
            <v>3579.3241999999946</v>
          </cell>
          <cell r="AR710">
            <v>4755.1102000000037</v>
          </cell>
          <cell r="AS710">
            <v>3044.8477699999926</v>
          </cell>
          <cell r="AT710">
            <v>8184.9102000000066</v>
          </cell>
          <cell r="AU710">
            <v>5833.7907499999919</v>
          </cell>
          <cell r="AV710">
            <v>6951.4542600000077</v>
          </cell>
          <cell r="AW710">
            <v>6035.1333000000013</v>
          </cell>
          <cell r="AX710">
            <v>5540.7070799999947</v>
          </cell>
          <cell r="AY710">
            <v>3657.9675100000059</v>
          </cell>
          <cell r="AZ710">
            <v>4133.567560000005</v>
          </cell>
          <cell r="BA710">
            <v>3858.2578399999925</v>
          </cell>
          <cell r="BB710">
            <v>3948.4965100000031</v>
          </cell>
          <cell r="BC710">
            <v>3914.4842599999961</v>
          </cell>
          <cell r="BD710">
            <v>5092.9750099999983</v>
          </cell>
          <cell r="BE710">
            <v>8240.775450000001</v>
          </cell>
          <cell r="BF710">
            <v>11682.277770000004</v>
          </cell>
          <cell r="BG710">
            <v>5287.102899999988</v>
          </cell>
          <cell r="BH710">
            <v>2168.7449400000032</v>
          </cell>
          <cell r="BI710">
            <v>6337.2164799999973</v>
          </cell>
          <cell r="BJ710">
            <v>3622.9396499999893</v>
          </cell>
          <cell r="BK710">
            <v>3854.6169499999887</v>
          </cell>
          <cell r="BL710">
            <v>3790.2738099999924</v>
          </cell>
          <cell r="BM710">
            <v>3155.5699799999998</v>
          </cell>
          <cell r="BN710">
            <v>4727.5338399999991</v>
          </cell>
          <cell r="BO710">
            <v>3421.0319199999999</v>
          </cell>
          <cell r="BP710">
            <v>4594.9693099999913</v>
          </cell>
          <cell r="BQ710">
            <v>6501.8587499999976</v>
          </cell>
          <cell r="BR710">
            <v>8568.0233100000132</v>
          </cell>
          <cell r="BS710">
            <v>7577.8016299999972</v>
          </cell>
          <cell r="BT710">
            <v>6832.3564799999967</v>
          </cell>
          <cell r="BU710">
            <v>6516.0249799999947</v>
          </cell>
          <cell r="BV710">
            <v>5774.6424800000041</v>
          </cell>
          <cell r="BW710">
            <v>4801.5929799999985</v>
          </cell>
          <cell r="BX710">
            <v>3729.6881499999972</v>
          </cell>
          <cell r="BY710">
            <v>4539.91356</v>
          </cell>
          <cell r="BZ710">
            <v>4044.483680000003</v>
          </cell>
          <cell r="CA710">
            <v>4275.317526550828</v>
          </cell>
          <cell r="CB710">
            <v>5555.6523081475834</v>
          </cell>
          <cell r="CC710">
            <v>5175.1472020010469</v>
          </cell>
          <cell r="CD710">
            <v>9893.1267999999964</v>
          </cell>
          <cell r="CE710">
            <v>7188.120959999992</v>
          </cell>
          <cell r="CF710">
            <v>6023.0470499999947</v>
          </cell>
          <cell r="CG710">
            <v>4266.0345199999983</v>
          </cell>
          <cell r="CH710">
            <v>3952.9080100000142</v>
          </cell>
          <cell r="CI710">
            <v>3710.4759399999939</v>
          </cell>
          <cell r="CJ710">
            <v>3502.9335299999934</v>
          </cell>
          <cell r="CK710">
            <v>4120.2004000000006</v>
          </cell>
          <cell r="CL710">
            <v>3874.380389999988</v>
          </cell>
          <cell r="CM710">
            <v>2629.0258500000109</v>
          </cell>
          <cell r="CN710">
            <v>6246.2532599999959</v>
          </cell>
          <cell r="CO710">
            <v>5019.7466899999818</v>
          </cell>
          <cell r="CP710">
            <v>14328.26596000001</v>
          </cell>
          <cell r="CQ710">
            <v>9631.3853999999665</v>
          </cell>
          <cell r="CR710">
            <v>9197.1965299999902</v>
          </cell>
          <cell r="CS710">
            <v>9439.5281499999892</v>
          </cell>
          <cell r="CT710">
            <v>6546.8492499999866</v>
          </cell>
          <cell r="CU710">
            <v>6398.5904200000059</v>
          </cell>
          <cell r="CV710">
            <v>5232.9143500000082</v>
          </cell>
          <cell r="CW710">
            <v>5547.0475399999868</v>
          </cell>
          <cell r="CX710">
            <v>5610.7644499999842</v>
          </cell>
          <cell r="CY710">
            <v>5886.2216299999982</v>
          </cell>
          <cell r="CZ710">
            <v>7586.0037999999804</v>
          </cell>
          <cell r="DA710">
            <v>6827.0838999999805</v>
          </cell>
          <cell r="DB710">
            <v>12782.786989999975</v>
          </cell>
          <cell r="DC710">
            <v>11334.685999999983</v>
          </cell>
          <cell r="DD710">
            <v>13473.652819999983</v>
          </cell>
          <cell r="DE710">
            <v>8420.8824200000072</v>
          </cell>
          <cell r="DF710">
            <v>7735.4424199999812</v>
          </cell>
          <cell r="DG710">
            <v>8123.6613799999614</v>
          </cell>
          <cell r="DH710">
            <v>4943.0833799999718</v>
          </cell>
          <cell r="DI710">
            <v>5493.7103799999977</v>
          </cell>
          <cell r="DJ710">
            <v>8960.9083800000171</v>
          </cell>
          <cell r="DK710">
            <v>5931.7983800000156</v>
          </cell>
          <cell r="DL710">
            <v>7374.0633799999832</v>
          </cell>
          <cell r="DM710">
            <v>7505.6613799999868</v>
          </cell>
          <cell r="DN710">
            <v>12253.923159999968</v>
          </cell>
          <cell r="DO710">
            <v>10857.01817999999</v>
          </cell>
          <cell r="DP710">
            <v>13427.155159999988</v>
          </cell>
          <cell r="DQ710">
            <v>8460.5141599999861</v>
          </cell>
          <cell r="DR710">
            <v>6233.9001799999915</v>
          </cell>
          <cell r="DS710">
            <v>8307.9841599999891</v>
          </cell>
          <cell r="DT710">
            <v>5049.582159999979</v>
          </cell>
          <cell r="DU710">
            <v>4762.1641800000116</v>
          </cell>
          <cell r="DV710">
            <v>7453.5011599999807</v>
          </cell>
          <cell r="DW710">
            <v>3297.9638515430029</v>
          </cell>
          <cell r="DX710">
            <v>6891.2666218135419</v>
          </cell>
          <cell r="DY710">
            <v>15699.246455288241</v>
          </cell>
        </row>
        <row r="711">
          <cell r="H711" t="str">
            <v>Times tax rate</v>
          </cell>
          <cell r="J711">
            <v>0.38574999999999998</v>
          </cell>
          <cell r="K711">
            <v>0.38574999999999998</v>
          </cell>
          <cell r="L711">
            <v>0.38574999999999998</v>
          </cell>
          <cell r="M711">
            <v>0.38574999999999998</v>
          </cell>
          <cell r="N711">
            <v>0.38574999999999998</v>
          </cell>
          <cell r="O711">
            <v>0.38574999999999998</v>
          </cell>
          <cell r="P711">
            <v>0.38574999999999998</v>
          </cell>
          <cell r="Q711">
            <v>0.38574999999999998</v>
          </cell>
          <cell r="R711">
            <v>0.38574999999999998</v>
          </cell>
          <cell r="S711">
            <v>0.38574999999999998</v>
          </cell>
          <cell r="T711">
            <v>0.38574999999999998</v>
          </cell>
          <cell r="U711">
            <v>0.38574999999999998</v>
          </cell>
          <cell r="V711">
            <v>0.38574999999999998</v>
          </cell>
          <cell r="W711">
            <v>0.38574999999999998</v>
          </cell>
          <cell r="X711">
            <v>0.38574999999999998</v>
          </cell>
          <cell r="Y711">
            <v>0.38574999999999998</v>
          </cell>
          <cell r="Z711">
            <v>0.38574999999999998</v>
          </cell>
          <cell r="AA711">
            <v>0.38574999999999998</v>
          </cell>
          <cell r="AB711">
            <v>0.38574999999999998</v>
          </cell>
          <cell r="AC711">
            <v>0.38574999999999998</v>
          </cell>
          <cell r="AD711">
            <v>0.38574999999999998</v>
          </cell>
          <cell r="AE711">
            <v>0.38574999999999998</v>
          </cell>
          <cell r="AF711">
            <v>0.38574999999999998</v>
          </cell>
          <cell r="AG711">
            <v>0.38574999999999998</v>
          </cell>
          <cell r="AH711">
            <v>0.38574999999999998</v>
          </cell>
          <cell r="AI711">
            <v>0.38574999999999998</v>
          </cell>
          <cell r="AJ711">
            <v>0.38574999999999998</v>
          </cell>
          <cell r="AK711">
            <v>0.38574999999999998</v>
          </cell>
          <cell r="AL711">
            <v>0.38574999999999998</v>
          </cell>
          <cell r="AM711">
            <v>0.38574999999999998</v>
          </cell>
          <cell r="AN711">
            <v>0.38574999999999998</v>
          </cell>
          <cell r="AO711">
            <v>0.38574999999999998</v>
          </cell>
          <cell r="AP711">
            <v>0.38574999999999998</v>
          </cell>
          <cell r="AQ711">
            <v>0.38574999999999998</v>
          </cell>
          <cell r="AR711">
            <v>0.38574999999999998</v>
          </cell>
          <cell r="AS711">
            <v>0.38574999999999998</v>
          </cell>
          <cell r="AT711">
            <v>0.38574999999999998</v>
          </cell>
          <cell r="AU711">
            <v>0.38574999999999998</v>
          </cell>
          <cell r="AV711">
            <v>0.38574999999999998</v>
          </cell>
          <cell r="AW711">
            <v>0.38574999999999998</v>
          </cell>
          <cell r="AX711">
            <v>0.38574999999999998</v>
          </cell>
          <cell r="AY711">
            <v>0.38574999999999998</v>
          </cell>
          <cell r="AZ711">
            <v>0.38574999999999998</v>
          </cell>
          <cell r="BA711">
            <v>0.38574999999999998</v>
          </cell>
          <cell r="BB711">
            <v>0.38574999999999998</v>
          </cell>
          <cell r="BC711">
            <v>0.38574999999999998</v>
          </cell>
          <cell r="BD711">
            <v>0.38574999999999998</v>
          </cell>
          <cell r="BE711">
            <v>0.38574999999999998</v>
          </cell>
          <cell r="BF711">
            <v>0.25345000000000001</v>
          </cell>
          <cell r="BG711">
            <v>0.25345000000000001</v>
          </cell>
          <cell r="BH711">
            <v>0.25345000000000001</v>
          </cell>
          <cell r="BI711">
            <v>0.25345000000000001</v>
          </cell>
          <cell r="BJ711">
            <v>0.25345000000000001</v>
          </cell>
          <cell r="BK711">
            <v>0.25345000000000001</v>
          </cell>
          <cell r="BL711">
            <v>0.25345000000000001</v>
          </cell>
          <cell r="BM711">
            <v>0.25345000000000001</v>
          </cell>
          <cell r="BN711">
            <v>0.25345000000000001</v>
          </cell>
          <cell r="BO711">
            <v>0.25345000000000001</v>
          </cell>
          <cell r="BP711">
            <v>0.25345000000000001</v>
          </cell>
          <cell r="BQ711">
            <v>0.25345000000000001</v>
          </cell>
          <cell r="BR711">
            <v>0.25345000000000001</v>
          </cell>
          <cell r="BS711">
            <v>0.25345000000000001</v>
          </cell>
          <cell r="BT711">
            <v>0.25345000000000001</v>
          </cell>
          <cell r="BU711">
            <v>0.25345000000000001</v>
          </cell>
          <cell r="BV711">
            <v>0.25345000000000001</v>
          </cell>
          <cell r="BW711">
            <v>0.25345000000000001</v>
          </cell>
          <cell r="BX711">
            <v>0.25345000000000001</v>
          </cell>
          <cell r="BY711">
            <v>0.25345000000000001</v>
          </cell>
          <cell r="BZ711">
            <v>0.2452182</v>
          </cell>
          <cell r="CA711">
            <v>0.2452182</v>
          </cell>
          <cell r="CB711">
            <v>0.2452182</v>
          </cell>
          <cell r="CC711">
            <v>0.2452182</v>
          </cell>
          <cell r="CD711">
            <v>0.2452182</v>
          </cell>
          <cell r="CE711">
            <v>0.2452182</v>
          </cell>
          <cell r="CF711">
            <v>0.2452182</v>
          </cell>
          <cell r="CG711">
            <v>0.2452182</v>
          </cell>
          <cell r="CH711">
            <v>0.2452182</v>
          </cell>
          <cell r="CI711">
            <v>0.2452182</v>
          </cell>
          <cell r="CJ711">
            <v>0.2452182</v>
          </cell>
          <cell r="CK711">
            <v>0.2452182</v>
          </cell>
          <cell r="CL711">
            <v>0.2452182</v>
          </cell>
          <cell r="CM711">
            <v>0.2452182</v>
          </cell>
          <cell r="CN711">
            <v>0.2452182</v>
          </cell>
          <cell r="CO711">
            <v>0.2452182</v>
          </cell>
          <cell r="CP711">
            <v>0.2452182</v>
          </cell>
          <cell r="CQ711">
            <v>0.2452182</v>
          </cell>
          <cell r="CR711">
            <v>0.2452182</v>
          </cell>
          <cell r="CS711">
            <v>0.2452182</v>
          </cell>
          <cell r="CT711">
            <v>0.2452182</v>
          </cell>
          <cell r="CU711">
            <v>0.2452182</v>
          </cell>
          <cell r="CV711">
            <v>0.2452182</v>
          </cell>
          <cell r="CW711">
            <v>0.2452182</v>
          </cell>
          <cell r="CX711">
            <v>0.2452182</v>
          </cell>
          <cell r="CY711">
            <v>0.2452182</v>
          </cell>
          <cell r="CZ711">
            <v>0.2452182</v>
          </cell>
          <cell r="DA711">
            <v>0.2452182</v>
          </cell>
          <cell r="DB711">
            <v>0.25345000000000001</v>
          </cell>
          <cell r="DC711">
            <v>0.25345000000000001</v>
          </cell>
          <cell r="DD711">
            <v>0.25345000000000001</v>
          </cell>
          <cell r="DE711">
            <v>0.25345000000000001</v>
          </cell>
          <cell r="DF711">
            <v>0.25345000000000001</v>
          </cell>
          <cell r="DG711">
            <v>0.25345000000000001</v>
          </cell>
          <cell r="DH711">
            <v>0.25345000000000001</v>
          </cell>
          <cell r="DI711">
            <v>0.25345000000000001</v>
          </cell>
          <cell r="DJ711">
            <v>0.25345000000000001</v>
          </cell>
          <cell r="DK711">
            <v>0.25345000000000001</v>
          </cell>
          <cell r="DL711">
            <v>0.25345000000000001</v>
          </cell>
          <cell r="DM711">
            <v>0.25345000000000001</v>
          </cell>
          <cell r="DN711">
            <v>0.25345000000000001</v>
          </cell>
          <cell r="DO711">
            <v>0.25345000000000001</v>
          </cell>
          <cell r="DP711">
            <v>0.25345000000000001</v>
          </cell>
          <cell r="DQ711">
            <v>0.25345000000000001</v>
          </cell>
          <cell r="DR711">
            <v>0.25345000000000001</v>
          </cell>
          <cell r="DS711">
            <v>0.25345000000000001</v>
          </cell>
          <cell r="DT711">
            <v>0.25345000000000001</v>
          </cell>
          <cell r="DU711">
            <v>0.25345000000000001</v>
          </cell>
          <cell r="DV711">
            <v>0.25345000000000001</v>
          </cell>
          <cell r="DW711">
            <v>0.25345000000000001</v>
          </cell>
          <cell r="DX711">
            <v>0.25345000000000001</v>
          </cell>
          <cell r="DY711">
            <v>0.25345000000000001</v>
          </cell>
          <cell r="DZ711">
            <v>0.25345000000000001</v>
          </cell>
          <cell r="EA711">
            <v>0.25345000000000001</v>
          </cell>
          <cell r="EB711">
            <v>0.25345000000000001</v>
          </cell>
          <cell r="EC711">
            <v>0.25345000000000001</v>
          </cell>
          <cell r="ED711">
            <v>0.25345000000000001</v>
          </cell>
          <cell r="EE711">
            <v>0.25345000000000001</v>
          </cell>
          <cell r="EF711">
            <v>0.25345000000000001</v>
          </cell>
          <cell r="EG711">
            <v>0.25345000000000001</v>
          </cell>
          <cell r="EH711">
            <v>0.25345000000000001</v>
          </cell>
          <cell r="EI711">
            <v>0.25345000000000001</v>
          </cell>
          <cell r="EJ711">
            <v>0.25345000000000001</v>
          </cell>
          <cell r="EK711">
            <v>0.25345000000000001</v>
          </cell>
        </row>
        <row r="712">
          <cell r="H712" t="str">
            <v>Income taxes before credits</v>
          </cell>
          <cell r="J712">
            <v>3120.8332250000012</v>
          </cell>
          <cell r="K712">
            <v>2627.8832999999995</v>
          </cell>
          <cell r="L712">
            <v>2947.7471999999998</v>
          </cell>
          <cell r="M712">
            <v>1888.4391249999967</v>
          </cell>
          <cell r="N712">
            <v>1034.6200750000016</v>
          </cell>
          <cell r="O712">
            <v>1398.1508749999991</v>
          </cell>
          <cell r="P712">
            <v>923.79410000000348</v>
          </cell>
          <cell r="Q712">
            <v>957.74010000000112</v>
          </cell>
          <cell r="R712">
            <v>808.76345000000015</v>
          </cell>
          <cell r="S712">
            <v>1340.9055750000011</v>
          </cell>
          <cell r="T712">
            <v>1674.5407500000017</v>
          </cell>
          <cell r="U712">
            <v>2230.7536750000004</v>
          </cell>
          <cell r="V712">
            <v>3242.807375000004</v>
          </cell>
          <cell r="W712">
            <v>2999.437700000004</v>
          </cell>
          <cell r="X712">
            <v>2504.9447750000004</v>
          </cell>
          <cell r="Y712">
            <v>1435.5686249999992</v>
          </cell>
          <cell r="Z712">
            <v>1340.7898499999992</v>
          </cell>
          <cell r="AA712">
            <v>1630.2952250000017</v>
          </cell>
          <cell r="AB712">
            <v>1070.6105499999965</v>
          </cell>
          <cell r="AC712">
            <v>1284.8560999999991</v>
          </cell>
          <cell r="AD712">
            <v>1049.201425000002</v>
          </cell>
          <cell r="AE712">
            <v>1288.3278500000015</v>
          </cell>
          <cell r="AF712">
            <v>1028.9881249999985</v>
          </cell>
          <cell r="AG712">
            <v>1447.8740500000038</v>
          </cell>
          <cell r="AH712">
            <v>3152.418739742503</v>
          </cell>
          <cell r="AI712">
            <v>3210.3497103674977</v>
          </cell>
          <cell r="AJ712">
            <v>1687.8505869924966</v>
          </cell>
          <cell r="AK712">
            <v>1787.553267867502</v>
          </cell>
          <cell r="AL712">
            <v>1572.0656028675039</v>
          </cell>
          <cell r="AM712">
            <v>790.82541536750136</v>
          </cell>
          <cell r="AN712">
            <v>1525.3568751</v>
          </cell>
          <cell r="AO712">
            <v>882.70852327500268</v>
          </cell>
          <cell r="AP712">
            <v>1173.6309508999982</v>
          </cell>
          <cell r="AQ712">
            <v>1380.7243101499978</v>
          </cell>
          <cell r="AR712">
            <v>1834.2837596500015</v>
          </cell>
          <cell r="AS712">
            <v>1174.5500272774971</v>
          </cell>
          <cell r="AT712">
            <v>3157.3291096500025</v>
          </cell>
          <cell r="AU712">
            <v>2250.3847818124968</v>
          </cell>
          <cell r="AV712">
            <v>2681.5234807950028</v>
          </cell>
          <cell r="AW712">
            <v>2328.0526704750005</v>
          </cell>
          <cell r="AX712">
            <v>2137.3277561099981</v>
          </cell>
          <cell r="AY712">
            <v>1411.0609669825021</v>
          </cell>
          <cell r="AZ712">
            <v>1594.5236862700019</v>
          </cell>
          <cell r="BA712">
            <v>1488.3229617799971</v>
          </cell>
          <cell r="BB712">
            <v>1523.1325287325012</v>
          </cell>
          <cell r="BC712">
            <v>1510.0123032949984</v>
          </cell>
          <cell r="BD712">
            <v>1964.6151101074993</v>
          </cell>
          <cell r="BE712">
            <v>3178.8791298375004</v>
          </cell>
          <cell r="BF712">
            <v>2960.873300806501</v>
          </cell>
          <cell r="BG712">
            <v>1340.0162300049969</v>
          </cell>
          <cell r="BH712">
            <v>549.6684050430008</v>
          </cell>
          <cell r="BI712">
            <v>1606.1675168559993</v>
          </cell>
          <cell r="BJ712">
            <v>918.23405429249738</v>
          </cell>
          <cell r="BK712">
            <v>976.95266597749719</v>
          </cell>
          <cell r="BL712">
            <v>960.64489714449815</v>
          </cell>
          <cell r="BM712">
            <v>799.77921143100002</v>
          </cell>
          <cell r="BN712">
            <v>1198.1934517479999</v>
          </cell>
          <cell r="BO712">
            <v>867.060540124</v>
          </cell>
          <cell r="BP712">
            <v>1164.5949716194978</v>
          </cell>
          <cell r="BQ712">
            <v>1647.8961001874995</v>
          </cell>
          <cell r="BR712">
            <v>2171.5655079195035</v>
          </cell>
          <cell r="BS712">
            <v>1920.5938231234993</v>
          </cell>
          <cell r="BT712">
            <v>1731.6607498559993</v>
          </cell>
          <cell r="BU712">
            <v>1651.4865311809988</v>
          </cell>
          <cell r="BV712">
            <v>1463.5831365560011</v>
          </cell>
          <cell r="BW712">
            <v>1216.9637407809996</v>
          </cell>
          <cell r="BX712">
            <v>945.28946161749934</v>
          </cell>
          <cell r="BY712">
            <v>1150.6410917820001</v>
          </cell>
          <cell r="BZ712">
            <v>991.7810079389767</v>
          </cell>
          <cell r="CA712">
            <v>1048.3856682892463</v>
          </cell>
          <cell r="CB712">
            <v>1362.3470588297957</v>
          </cell>
          <cell r="CC712">
            <v>1269.040281609733</v>
          </cell>
          <cell r="CD712">
            <v>2425.9747462677592</v>
          </cell>
          <cell r="CE712">
            <v>1762.65808319347</v>
          </cell>
          <cell r="CF712">
            <v>1476.9607561163086</v>
          </cell>
          <cell r="CG712">
            <v>1046.1093061322636</v>
          </cell>
          <cell r="CH712">
            <v>969.32498697778544</v>
          </cell>
          <cell r="CI712">
            <v>909.87623115010649</v>
          </cell>
          <cell r="CJ712">
            <v>858.98305494624435</v>
          </cell>
          <cell r="CK712">
            <v>1010.3481257272801</v>
          </cell>
          <cell r="CL712">
            <v>950.06858535109507</v>
          </cell>
          <cell r="CM712">
            <v>644.68498669047267</v>
          </cell>
          <cell r="CN712">
            <v>1531.694981161331</v>
          </cell>
          <cell r="CO712">
            <v>1230.9332477777534</v>
          </cell>
          <cell r="CP712">
            <v>3513.5515878324745</v>
          </cell>
          <cell r="CQ712">
            <v>2361.7909912942719</v>
          </cell>
          <cell r="CR712">
            <v>2255.3199781328435</v>
          </cell>
          <cell r="CS712">
            <v>2314.7441017923275</v>
          </cell>
          <cell r="CT712">
            <v>1605.4065887563468</v>
          </cell>
          <cell r="CU712">
            <v>1569.0508253296455</v>
          </cell>
          <cell r="CV712">
            <v>1283.2058376611719</v>
          </cell>
          <cell r="CW712">
            <v>1360.2370130732247</v>
          </cell>
          <cell r="CX712">
            <v>1375.8615590529862</v>
          </cell>
          <cell r="CY712">
            <v>1443.4086729096655</v>
          </cell>
          <cell r="CZ712">
            <v>1860.2261970291552</v>
          </cell>
          <cell r="DA712">
            <v>1674.1252252069753</v>
          </cell>
          <cell r="DB712">
            <v>3239.797362615494</v>
          </cell>
          <cell r="DC712">
            <v>2872.7761666999959</v>
          </cell>
          <cell r="DD712">
            <v>3414.8973072289959</v>
          </cell>
          <cell r="DE712">
            <v>2134.2726493490018</v>
          </cell>
          <cell r="DF712">
            <v>1960.5478813489954</v>
          </cell>
          <cell r="DG712">
            <v>2058.9419767609902</v>
          </cell>
          <cell r="DH712">
            <v>1252.824482660993</v>
          </cell>
          <cell r="DI712">
            <v>1392.3808958109994</v>
          </cell>
          <cell r="DJ712">
            <v>2271.1422289110046</v>
          </cell>
          <cell r="DK712">
            <v>1503.4142994110041</v>
          </cell>
          <cell r="DL712">
            <v>1868.9563636609957</v>
          </cell>
          <cell r="DM712">
            <v>1902.3098767609968</v>
          </cell>
          <cell r="DN712">
            <v>3105.7568249019919</v>
          </cell>
          <cell r="DO712">
            <v>2751.7112577209978</v>
          </cell>
          <cell r="DP712">
            <v>3403.1124753019972</v>
          </cell>
          <cell r="DQ712">
            <v>2144.3173138519965</v>
          </cell>
          <cell r="DR712">
            <v>1579.982000620998</v>
          </cell>
          <cell r="DS712">
            <v>2105.6585853519973</v>
          </cell>
          <cell r="DT712">
            <v>1279.8165984519947</v>
          </cell>
          <cell r="DU712">
            <v>1206.970511421003</v>
          </cell>
          <cell r="DV712">
            <v>1889.0898690019951</v>
          </cell>
          <cell r="DW712">
            <v>835.86893817357407</v>
          </cell>
          <cell r="DX712">
            <v>1746.5915252986422</v>
          </cell>
          <cell r="DY712">
            <v>3978.9740140928047</v>
          </cell>
        </row>
        <row r="714">
          <cell r="H714" t="str">
            <v>Less:</v>
          </cell>
        </row>
        <row r="715">
          <cell r="H715" t="str">
            <v>Investment tax Credit</v>
          </cell>
        </row>
        <row r="716">
          <cell r="H716" t="str">
            <v>Sec 199 Tax Benefit Loss</v>
          </cell>
        </row>
        <row r="717">
          <cell r="H717" t="str">
            <v>R&amp;D Credit</v>
          </cell>
          <cell r="AC717">
            <v>0</v>
          </cell>
          <cell r="CO717">
            <v>-262</v>
          </cell>
        </row>
        <row r="718">
          <cell r="H718" t="str">
            <v>State Tax True Up</v>
          </cell>
          <cell r="AD718">
            <v>-8</v>
          </cell>
          <cell r="AP718">
            <v>-3</v>
          </cell>
          <cell r="BE718">
            <v>-4</v>
          </cell>
          <cell r="BP718">
            <v>105.00926</v>
          </cell>
        </row>
        <row r="719">
          <cell r="H719" t="str">
            <v>Tax return True up</v>
          </cell>
          <cell r="CM719">
            <v>-343.75700000000001</v>
          </cell>
        </row>
        <row r="720">
          <cell r="H720" t="str">
            <v>Write-Off of Excess Deferred Taxes</v>
          </cell>
          <cell r="R720">
            <v>13</v>
          </cell>
          <cell r="AD720">
            <v>0</v>
          </cell>
          <cell r="BF720">
            <v>-165.4354799999935</v>
          </cell>
          <cell r="BG720">
            <v>-164.91289500000653</v>
          </cell>
          <cell r="BH720">
            <v>41.134905000004345</v>
          </cell>
          <cell r="BI720">
            <v>-96.379605000004346</v>
          </cell>
          <cell r="BJ720">
            <v>246.28684500000654</v>
          </cell>
          <cell r="BK720">
            <v>-27.846315000002175</v>
          </cell>
          <cell r="BL720">
            <v>-27.846315000002175</v>
          </cell>
          <cell r="BM720">
            <v>-18.365130000004346</v>
          </cell>
          <cell r="BN720">
            <v>-26.651834999997828</v>
          </cell>
          <cell r="BO720">
            <v>-26.651834999997828</v>
          </cell>
          <cell r="BP720">
            <v>-26.353215000002173</v>
          </cell>
          <cell r="BQ720">
            <v>-26.651834999997828</v>
          </cell>
          <cell r="BR720">
            <v>14.333759999997827</v>
          </cell>
          <cell r="BS720">
            <v>49.570920000006524</v>
          </cell>
          <cell r="BT720">
            <v>32.400269999995658</v>
          </cell>
          <cell r="BU720">
            <v>31.429755000004349</v>
          </cell>
          <cell r="BV720">
            <v>31.95233999999131</v>
          </cell>
          <cell r="BW720">
            <v>31.952340000002174</v>
          </cell>
          <cell r="BX720">
            <v>31.952340000002174</v>
          </cell>
          <cell r="BY720">
            <v>64.352609999997824</v>
          </cell>
          <cell r="BZ720">
            <v>-904.30407457999331</v>
          </cell>
          <cell r="CA720">
            <v>35.776657319995607</v>
          </cell>
          <cell r="CB720">
            <v>35.776657319995607</v>
          </cell>
          <cell r="CC720">
            <v>379.20237632000658</v>
          </cell>
          <cell r="CD720">
            <v>20.530064959997802</v>
          </cell>
          <cell r="CE720">
            <v>14.189897840002196</v>
          </cell>
          <cell r="CF720">
            <v>-110.27362098000438</v>
          </cell>
          <cell r="CG720">
            <v>16.982590500000001</v>
          </cell>
          <cell r="CH720">
            <v>16.90711232000659</v>
          </cell>
          <cell r="CI720">
            <v>85.441299759997804</v>
          </cell>
          <cell r="CJ720">
            <v>16.982590500000001</v>
          </cell>
          <cell r="CK720">
            <v>-16.227808699999997</v>
          </cell>
          <cell r="CL720">
            <v>79.704958079993403</v>
          </cell>
          <cell r="CM720">
            <v>1890.5774526400021</v>
          </cell>
          <cell r="CN720">
            <v>33.965181000000001</v>
          </cell>
          <cell r="CO720">
            <v>10.642423380004393</v>
          </cell>
          <cell r="CP720">
            <v>16.68067777999341</v>
          </cell>
          <cell r="CQ720">
            <v>-19.095979539991212</v>
          </cell>
          <cell r="CR720">
            <v>-117.14213536000878</v>
          </cell>
          <cell r="CS720">
            <v>72.0816619</v>
          </cell>
          <cell r="CT720">
            <v>17.963806840002196</v>
          </cell>
          <cell r="CU720">
            <v>-131.55846774000219</v>
          </cell>
          <cell r="CV720">
            <v>17.284503220006588</v>
          </cell>
          <cell r="CW720">
            <v>17.586415940002194</v>
          </cell>
          <cell r="CX720">
            <v>-182.20432652000659</v>
          </cell>
          <cell r="CY720">
            <v>-23.473713979993409</v>
          </cell>
          <cell r="CZ720">
            <v>340.18015725999777</v>
          </cell>
          <cell r="DA720">
            <v>-3597.4410151599977</v>
          </cell>
          <cell r="DB720">
            <v>45.091619999995658</v>
          </cell>
          <cell r="DC720">
            <v>44.643690000002174</v>
          </cell>
          <cell r="DD720">
            <v>-193.43110500000435</v>
          </cell>
          <cell r="DE720">
            <v>41.134905000004345</v>
          </cell>
          <cell r="DF720">
            <v>40.46300999999783</v>
          </cell>
          <cell r="DG720">
            <v>-93.915990000002182</v>
          </cell>
          <cell r="DH720">
            <v>37.775430000004349</v>
          </cell>
          <cell r="DI720">
            <v>148.04086500000219</v>
          </cell>
          <cell r="DJ720">
            <v>54.199529999993487</v>
          </cell>
          <cell r="DK720">
            <v>52.034534999997831</v>
          </cell>
          <cell r="DL720">
            <v>52.631775000000005</v>
          </cell>
          <cell r="DM720">
            <v>-69.130529999993485</v>
          </cell>
          <cell r="DN720">
            <v>17.523559116003891</v>
          </cell>
          <cell r="DO720">
            <v>17.52353671949631</v>
          </cell>
          <cell r="DP720">
            <v>17.523566581495555</v>
          </cell>
          <cell r="DQ720">
            <v>17.523521788502119</v>
          </cell>
          <cell r="DR720">
            <v>17.523566581506419</v>
          </cell>
          <cell r="DS720">
            <v>-214.92416751750511</v>
          </cell>
          <cell r="DT720">
            <v>17.523588978003136</v>
          </cell>
          <cell r="DU720">
            <v>17.523544184998837</v>
          </cell>
          <cell r="DV720">
            <v>17.523521788491255</v>
          </cell>
          <cell r="DW720">
            <v>17.523551650512228</v>
          </cell>
          <cell r="DX720">
            <v>17.5235516504905</v>
          </cell>
          <cell r="DY720">
            <v>-214.92671325299784</v>
          </cell>
        </row>
        <row r="721">
          <cell r="R721">
            <v>13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-8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-3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-4</v>
          </cell>
          <cell r="BF721">
            <v>-165.4354799999935</v>
          </cell>
          <cell r="BG721">
            <v>-164.91289500000653</v>
          </cell>
          <cell r="BH721">
            <v>41.134905000004345</v>
          </cell>
          <cell r="BI721">
            <v>-96.379605000004346</v>
          </cell>
          <cell r="BJ721">
            <v>246.28684500000654</v>
          </cell>
          <cell r="BK721">
            <v>-27.846315000002175</v>
          </cell>
          <cell r="BL721">
            <v>-27.846315000002175</v>
          </cell>
          <cell r="BM721">
            <v>-18.365130000004346</v>
          </cell>
          <cell r="BN721">
            <v>-26.651834999997828</v>
          </cell>
          <cell r="BO721">
            <v>-26.651834999997828</v>
          </cell>
          <cell r="BP721">
            <v>78.656044999997818</v>
          </cell>
          <cell r="BQ721">
            <v>-26.651834999997828</v>
          </cell>
          <cell r="BR721">
            <v>14.333759999997827</v>
          </cell>
          <cell r="BS721">
            <v>49.570920000006524</v>
          </cell>
          <cell r="BT721">
            <v>32.400269999995658</v>
          </cell>
          <cell r="BU721">
            <v>31.429755000004349</v>
          </cell>
          <cell r="BV721">
            <v>31.95233999999131</v>
          </cell>
          <cell r="BW721">
            <v>31.952340000002174</v>
          </cell>
          <cell r="BX721">
            <v>31.952340000002174</v>
          </cell>
          <cell r="BY721">
            <v>64.352609999997824</v>
          </cell>
          <cell r="BZ721">
            <v>-904.30407457999331</v>
          </cell>
          <cell r="CA721">
            <v>35.776657319995607</v>
          </cell>
          <cell r="CB721">
            <v>35.776657319995607</v>
          </cell>
          <cell r="CC721">
            <v>379.20237632000658</v>
          </cell>
          <cell r="CD721">
            <v>20.530064959997802</v>
          </cell>
          <cell r="CE721">
            <v>14.189897840002196</v>
          </cell>
          <cell r="CF721">
            <v>-110.27362098000438</v>
          </cell>
          <cell r="CG721">
            <v>16.982590500000001</v>
          </cell>
          <cell r="CH721">
            <v>16.90711232000659</v>
          </cell>
          <cell r="CI721">
            <v>85.441299759997804</v>
          </cell>
          <cell r="CJ721">
            <v>16.982590500000001</v>
          </cell>
          <cell r="CK721">
            <v>-16.227808699999997</v>
          </cell>
          <cell r="CL721">
            <v>79.704958079993403</v>
          </cell>
          <cell r="CM721">
            <v>1546.820452640002</v>
          </cell>
          <cell r="CN721">
            <v>33.965181000000001</v>
          </cell>
          <cell r="CO721">
            <v>-251.3575766199956</v>
          </cell>
          <cell r="CP721">
            <v>16.68067777999341</v>
          </cell>
          <cell r="CQ721">
            <v>-19.095979539991212</v>
          </cell>
          <cell r="CR721">
            <v>-117.14213536000878</v>
          </cell>
          <cell r="CS721">
            <v>72.0816619</v>
          </cell>
          <cell r="CT721">
            <v>17.963806840002196</v>
          </cell>
          <cell r="CU721">
            <v>-131.55846774000219</v>
          </cell>
          <cell r="CV721">
            <v>17.284503220006588</v>
          </cell>
          <cell r="CW721">
            <v>17.586415940002194</v>
          </cell>
          <cell r="CX721">
            <v>-182.20432652000659</v>
          </cell>
          <cell r="CY721">
            <v>-23.473713979993409</v>
          </cell>
          <cell r="CZ721">
            <v>340.18015725999777</v>
          </cell>
          <cell r="DA721">
            <v>-3597.4410151599977</v>
          </cell>
          <cell r="DB721">
            <v>45.091619999995658</v>
          </cell>
          <cell r="DC721">
            <v>44.643690000002174</v>
          </cell>
          <cell r="DD721">
            <v>-193.43110500000435</v>
          </cell>
          <cell r="DE721">
            <v>41.134905000004345</v>
          </cell>
          <cell r="DF721">
            <v>40.46300999999783</v>
          </cell>
          <cell r="DG721">
            <v>-93.915990000002182</v>
          </cell>
          <cell r="DH721">
            <v>37.775430000004349</v>
          </cell>
          <cell r="DI721">
            <v>148.04086500000219</v>
          </cell>
          <cell r="DJ721">
            <v>54.199529999993487</v>
          </cell>
          <cell r="DK721">
            <v>52.034534999997831</v>
          </cell>
          <cell r="DL721">
            <v>52.631775000000005</v>
          </cell>
          <cell r="DM721">
            <v>-69.130529999993485</v>
          </cell>
          <cell r="DN721">
            <v>17.523559116003891</v>
          </cell>
          <cell r="DO721">
            <v>17.52353671949631</v>
          </cell>
          <cell r="DP721">
            <v>17.523566581495555</v>
          </cell>
          <cell r="DQ721">
            <v>17.523521788502119</v>
          </cell>
          <cell r="DR721">
            <v>17.523566581506419</v>
          </cell>
          <cell r="DS721">
            <v>-214.92416751750511</v>
          </cell>
          <cell r="DT721">
            <v>17.523588978003136</v>
          </cell>
          <cell r="DU721">
            <v>17.523544184998837</v>
          </cell>
          <cell r="DV721">
            <v>17.523521788491255</v>
          </cell>
          <cell r="DW721">
            <v>17.523551650512228</v>
          </cell>
          <cell r="DX721">
            <v>17.5235516504905</v>
          </cell>
          <cell r="DY721">
            <v>-214.92671325299784</v>
          </cell>
        </row>
        <row r="723">
          <cell r="H723" t="str">
            <v>Income Tax Expense</v>
          </cell>
          <cell r="J723">
            <v>3120.8332250000012</v>
          </cell>
          <cell r="K723">
            <v>2627.8832999999995</v>
          </cell>
          <cell r="L723">
            <v>2947.7471999999998</v>
          </cell>
          <cell r="M723">
            <v>1888.4391249999967</v>
          </cell>
          <cell r="N723">
            <v>1034.6200750000016</v>
          </cell>
          <cell r="O723">
            <v>1398.1508749999991</v>
          </cell>
          <cell r="P723">
            <v>923.79410000000348</v>
          </cell>
          <cell r="Q723">
            <v>957.74010000000112</v>
          </cell>
          <cell r="R723">
            <v>821.76345000000015</v>
          </cell>
          <cell r="S723">
            <v>1340.9055750000011</v>
          </cell>
          <cell r="T723">
            <v>1674.5407500000017</v>
          </cell>
          <cell r="U723">
            <v>2230.7536750000004</v>
          </cell>
          <cell r="V723">
            <v>3242.807375000004</v>
          </cell>
          <cell r="W723">
            <v>2999.437700000004</v>
          </cell>
          <cell r="X723">
            <v>2504.9447750000004</v>
          </cell>
          <cell r="Y723">
            <v>1435.5686249999992</v>
          </cell>
          <cell r="Z723">
            <v>1340.7898499999992</v>
          </cell>
          <cell r="AA723">
            <v>1630.2952250000017</v>
          </cell>
          <cell r="AB723">
            <v>1070.6105499999965</v>
          </cell>
          <cell r="AC723">
            <v>1284.8560999999991</v>
          </cell>
          <cell r="AD723">
            <v>1041.201425000002</v>
          </cell>
          <cell r="AE723">
            <v>1288.3278500000015</v>
          </cell>
          <cell r="AF723">
            <v>1028.9881249999985</v>
          </cell>
          <cell r="AG723">
            <v>1447.8740500000038</v>
          </cell>
          <cell r="AH723">
            <v>3152.418739742503</v>
          </cell>
          <cell r="AI723">
            <v>3210.3497103674977</v>
          </cell>
          <cell r="AJ723">
            <v>1687.8505869924966</v>
          </cell>
          <cell r="AK723">
            <v>1787.553267867502</v>
          </cell>
          <cell r="AL723">
            <v>1572.0656028675039</v>
          </cell>
          <cell r="AM723">
            <v>790.82541536750136</v>
          </cell>
          <cell r="AN723">
            <v>1525.3568751</v>
          </cell>
          <cell r="AO723">
            <v>882.70852327500268</v>
          </cell>
          <cell r="AP723">
            <v>1170.6309508999982</v>
          </cell>
          <cell r="AQ723">
            <v>1380.7243101499978</v>
          </cell>
          <cell r="AR723">
            <v>1834.2837596500015</v>
          </cell>
          <cell r="AS723">
            <v>1174.5500272774971</v>
          </cell>
          <cell r="AT723">
            <v>3157.3291096500025</v>
          </cell>
          <cell r="AU723">
            <v>2250.3847818124968</v>
          </cell>
          <cell r="AV723">
            <v>2681.5234807950028</v>
          </cell>
          <cell r="AW723">
            <v>2328.0526704750005</v>
          </cell>
          <cell r="AX723">
            <v>2137.3277561099981</v>
          </cell>
          <cell r="AY723">
            <v>1411.0609669825021</v>
          </cell>
          <cell r="AZ723">
            <v>1594.5236862700019</v>
          </cell>
          <cell r="BA723">
            <v>1488.3229617799971</v>
          </cell>
          <cell r="BB723">
            <v>1523.1325287325012</v>
          </cell>
          <cell r="BC723">
            <v>1510.0123032949984</v>
          </cell>
          <cell r="BD723">
            <v>1964.6151101074993</v>
          </cell>
          <cell r="BE723">
            <v>3174.8791298375004</v>
          </cell>
          <cell r="BF723">
            <v>2795.4378208065073</v>
          </cell>
          <cell r="BG723">
            <v>1175.1033350049904</v>
          </cell>
          <cell r="BH723">
            <v>590.80331004300513</v>
          </cell>
          <cell r="BI723">
            <v>1509.7879118559949</v>
          </cell>
          <cell r="BJ723">
            <v>1164.5208992925038</v>
          </cell>
          <cell r="BK723">
            <v>949.10635097749503</v>
          </cell>
          <cell r="BL723">
            <v>932.79858214449598</v>
          </cell>
          <cell r="BM723">
            <v>781.41408143099568</v>
          </cell>
          <cell r="BN723">
            <v>1171.5416167480021</v>
          </cell>
          <cell r="BO723">
            <v>840.40870512400215</v>
          </cell>
          <cell r="BP723">
            <v>1243.2510166194957</v>
          </cell>
          <cell r="BQ723">
            <v>1621.2442651875017</v>
          </cell>
          <cell r="BR723">
            <v>2185.8992679195012</v>
          </cell>
          <cell r="BS723">
            <v>1970.1647431235058</v>
          </cell>
          <cell r="BT723">
            <v>1764.0610198559948</v>
          </cell>
          <cell r="BU723">
            <v>1682.9162861810032</v>
          </cell>
          <cell r="BV723">
            <v>1495.5354765559925</v>
          </cell>
          <cell r="BW723">
            <v>1248.9160807810017</v>
          </cell>
          <cell r="BX723">
            <v>977.24180161750155</v>
          </cell>
          <cell r="BY723">
            <v>1214.993701781998</v>
          </cell>
          <cell r="BZ723">
            <v>87.476933358983388</v>
          </cell>
          <cell r="CA723">
            <v>1084.1623256092419</v>
          </cell>
          <cell r="CB723">
            <v>1398.1237161497913</v>
          </cell>
          <cell r="CC723">
            <v>1648.2426579297396</v>
          </cell>
          <cell r="CD723">
            <v>2446.5048112277568</v>
          </cell>
          <cell r="CE723">
            <v>1776.8479810334723</v>
          </cell>
          <cell r="CF723">
            <v>1366.6871351363043</v>
          </cell>
          <cell r="CG723">
            <v>1063.0918966322636</v>
          </cell>
          <cell r="CH723">
            <v>986.23209929779205</v>
          </cell>
          <cell r="CI723">
            <v>995.31753091010432</v>
          </cell>
          <cell r="CJ723">
            <v>875.96564544624437</v>
          </cell>
          <cell r="CK723">
            <v>994.12031702728018</v>
          </cell>
          <cell r="CL723">
            <v>1029.7735434310885</v>
          </cell>
          <cell r="CM723">
            <v>2191.5054393304745</v>
          </cell>
          <cell r="CN723">
            <v>1565.6601621613311</v>
          </cell>
          <cell r="CO723">
            <v>979.57567115775782</v>
          </cell>
          <cell r="CP723">
            <v>3530.2322656124679</v>
          </cell>
          <cell r="CQ723">
            <v>2342.6950117542806</v>
          </cell>
          <cell r="CR723">
            <v>2138.1778427728345</v>
          </cell>
          <cell r="CS723">
            <v>2386.8257636923277</v>
          </cell>
          <cell r="CT723">
            <v>1623.370395596349</v>
          </cell>
          <cell r="CU723">
            <v>1437.4923575896432</v>
          </cell>
          <cell r="CV723">
            <v>1300.4903408811786</v>
          </cell>
          <cell r="CW723">
            <v>1377.8234290132268</v>
          </cell>
          <cell r="CX723">
            <v>1193.6572325329796</v>
          </cell>
          <cell r="CY723">
            <v>1419.9349589296721</v>
          </cell>
          <cell r="CZ723">
            <v>2200.4063542891531</v>
          </cell>
          <cell r="DA723">
            <v>-1923.3157899530224</v>
          </cell>
          <cell r="DB723">
            <v>3284.8889826154896</v>
          </cell>
          <cell r="DC723">
            <v>2917.419856699998</v>
          </cell>
          <cell r="DD723">
            <v>3221.4662022289917</v>
          </cell>
          <cell r="DE723">
            <v>2175.4075543490062</v>
          </cell>
          <cell r="DF723">
            <v>2001.0108913489933</v>
          </cell>
          <cell r="DG723">
            <v>1965.025986760988</v>
          </cell>
          <cell r="DH723">
            <v>1290.5999126609972</v>
          </cell>
          <cell r="DI723">
            <v>1540.4217608110016</v>
          </cell>
          <cell r="DJ723">
            <v>2325.3417589109981</v>
          </cell>
          <cell r="DK723">
            <v>1555.4488344110018</v>
          </cell>
          <cell r="DL723">
            <v>1921.5881386609958</v>
          </cell>
          <cell r="DM723">
            <v>1833.1793467610032</v>
          </cell>
          <cell r="DN723">
            <v>3123.2803840179959</v>
          </cell>
          <cell r="DO723">
            <v>2769.2347944404942</v>
          </cell>
          <cell r="DP723">
            <v>3420.6360418834929</v>
          </cell>
          <cell r="DQ723">
            <v>2161.8408356404984</v>
          </cell>
          <cell r="DR723">
            <v>1597.5055672025044</v>
          </cell>
          <cell r="DS723">
            <v>1890.7344178344922</v>
          </cell>
          <cell r="DT723">
            <v>1297.3401874299977</v>
          </cell>
          <cell r="DU723">
            <v>1224.4940556060019</v>
          </cell>
          <cell r="DV723">
            <v>1906.6133907904864</v>
          </cell>
          <cell r="DW723">
            <v>853.39248982408628</v>
          </cell>
          <cell r="DX723">
            <v>1764.1150769491326</v>
          </cell>
          <cell r="DY723">
            <v>3764.0473008398067</v>
          </cell>
        </row>
        <row r="725">
          <cell r="H725" t="str">
            <v>Tax In Model</v>
          </cell>
          <cell r="J725">
            <v>3120.8999999999996</v>
          </cell>
          <cell r="K725">
            <v>2631.9</v>
          </cell>
          <cell r="L725">
            <v>2958.9</v>
          </cell>
          <cell r="M725">
            <v>1888</v>
          </cell>
          <cell r="N725">
            <v>1037.5000000000002</v>
          </cell>
          <cell r="O725">
            <v>1399.5</v>
          </cell>
          <cell r="P725">
            <v>943.10000000000014</v>
          </cell>
          <cell r="Q725">
            <v>958.5</v>
          </cell>
          <cell r="R725">
            <v>824</v>
          </cell>
          <cell r="S725">
            <v>1343.7000000000003</v>
          </cell>
          <cell r="T725">
            <v>1675.8</v>
          </cell>
          <cell r="U725">
            <v>2238.5999999999995</v>
          </cell>
          <cell r="V725">
            <v>3242</v>
          </cell>
          <cell r="W725">
            <v>3000.6000000000004</v>
          </cell>
          <cell r="X725">
            <v>2506.1999999999998</v>
          </cell>
          <cell r="Y725">
            <v>1436.9</v>
          </cell>
          <cell r="Z725">
            <v>1342.2</v>
          </cell>
          <cell r="AA725">
            <v>1631.5</v>
          </cell>
          <cell r="AB725">
            <v>1072.0999999999997</v>
          </cell>
          <cell r="AC725">
            <v>968.19999999999993</v>
          </cell>
          <cell r="AD725">
            <v>1059.2</v>
          </cell>
          <cell r="AE725">
            <v>1281.5999999999999</v>
          </cell>
          <cell r="AF725">
            <v>1032</v>
          </cell>
          <cell r="AG725">
            <v>1450.4000000000015</v>
          </cell>
          <cell r="AH725">
            <v>3148.1000000000004</v>
          </cell>
          <cell r="AI725">
            <v>3211.2000000000003</v>
          </cell>
          <cell r="AJ725">
            <v>2075.4</v>
          </cell>
          <cell r="AK725">
            <v>1787.3000000000002</v>
          </cell>
          <cell r="AL725">
            <v>1571.8000000000002</v>
          </cell>
          <cell r="AM725">
            <v>856</v>
          </cell>
          <cell r="AN725">
            <v>1521.9</v>
          </cell>
          <cell r="AO725">
            <v>526.30000000000007</v>
          </cell>
          <cell r="AP725">
            <v>1236.2000000000003</v>
          </cell>
          <cell r="AQ725">
            <v>1380.7</v>
          </cell>
          <cell r="AR725">
            <v>1836.8</v>
          </cell>
          <cell r="AS725">
            <v>1174.0999999999999</v>
          </cell>
          <cell r="AT725">
            <v>3156.8</v>
          </cell>
          <cell r="AU725">
            <v>2249.4000000000005</v>
          </cell>
          <cell r="AV725">
            <v>2673.2000000000003</v>
          </cell>
          <cell r="AW725">
            <v>2328.1</v>
          </cell>
          <cell r="AX725">
            <v>2132.3999999999996</v>
          </cell>
          <cell r="AY725">
            <v>1409.7000000000003</v>
          </cell>
          <cell r="AZ725">
            <v>1593.6999999999998</v>
          </cell>
          <cell r="BA725">
            <v>1484.6999999999998</v>
          </cell>
          <cell r="BB725">
            <v>1527.5</v>
          </cell>
          <cell r="BC725">
            <v>1507.8</v>
          </cell>
          <cell r="BD725">
            <v>1972.5</v>
          </cell>
          <cell r="BE725">
            <v>3172.6000000000008</v>
          </cell>
          <cell r="BF725">
            <v>2795.4</v>
          </cell>
          <cell r="BG725">
            <v>1175.3</v>
          </cell>
          <cell r="BH725">
            <v>591</v>
          </cell>
          <cell r="BI725">
            <v>1509.7</v>
          </cell>
          <cell r="BJ725">
            <v>1164.3</v>
          </cell>
          <cell r="BK725">
            <v>949.09999999999991</v>
          </cell>
          <cell r="BL725">
            <v>932.80000000000007</v>
          </cell>
          <cell r="BM725">
            <v>781.2</v>
          </cell>
          <cell r="BN725">
            <v>1171.5</v>
          </cell>
          <cell r="BO725">
            <v>840.6</v>
          </cell>
          <cell r="BP725">
            <v>1106.5999999999999</v>
          </cell>
          <cell r="BQ725">
            <v>1401.1</v>
          </cell>
          <cell r="BR725">
            <v>2186.1</v>
          </cell>
          <cell r="BS725">
            <v>1972.1000000000001</v>
          </cell>
          <cell r="BT725">
            <v>1765.2000000000003</v>
          </cell>
          <cell r="BU725">
            <v>1683.6</v>
          </cell>
          <cell r="BV725">
            <v>1496.5</v>
          </cell>
          <cell r="BW725">
            <v>1249.6999999999998</v>
          </cell>
          <cell r="BX725">
            <v>980.1</v>
          </cell>
          <cell r="BY725">
            <v>1217.5</v>
          </cell>
          <cell r="BZ725">
            <v>635.59999999999991</v>
          </cell>
          <cell r="CA725">
            <v>1084.1000000000001</v>
          </cell>
          <cell r="CB725">
            <v>1398.3</v>
          </cell>
          <cell r="CC725">
            <v>1408.2</v>
          </cell>
          <cell r="CD725">
            <v>2446.3000000000002</v>
          </cell>
          <cell r="CE725">
            <v>1776.1999999999998</v>
          </cell>
          <cell r="CF725">
            <v>1358</v>
          </cell>
          <cell r="CG725">
            <v>1060</v>
          </cell>
          <cell r="CH725">
            <v>983.00000000000011</v>
          </cell>
          <cell r="CI725">
            <v>988.19999999999993</v>
          </cell>
          <cell r="CJ725">
            <v>872.30000000000007</v>
          </cell>
          <cell r="CK725">
            <v>989.59999999999991</v>
          </cell>
          <cell r="CL725">
            <v>1063.2</v>
          </cell>
          <cell r="CM725">
            <v>309.70000000000005</v>
          </cell>
          <cell r="CN725">
            <v>1560.7</v>
          </cell>
          <cell r="CO725">
            <v>992.40000000000009</v>
          </cell>
          <cell r="CP725">
            <v>3522.7</v>
          </cell>
          <cell r="CQ725">
            <v>2343</v>
          </cell>
          <cell r="CR725">
            <v>2164.9</v>
          </cell>
          <cell r="CS725">
            <v>2385.3000000000002</v>
          </cell>
          <cell r="CT725">
            <v>1622.5</v>
          </cell>
          <cell r="CU725">
            <v>1457.2999999999997</v>
          </cell>
          <cell r="CV725">
            <v>1299</v>
          </cell>
          <cell r="CW725">
            <v>1374.4</v>
          </cell>
          <cell r="CX725">
            <v>648</v>
          </cell>
          <cell r="CY725">
            <v>1406.8000000000004</v>
          </cell>
          <cell r="CZ725">
            <v>2165.8999999999996</v>
          </cell>
          <cell r="DA725">
            <v>1264</v>
          </cell>
          <cell r="DB725">
            <v>3287.1</v>
          </cell>
          <cell r="DC725">
            <v>2917.2</v>
          </cell>
          <cell r="DD725">
            <v>3223.2999999999997</v>
          </cell>
          <cell r="DE725">
            <v>2188.1</v>
          </cell>
          <cell r="DF725">
            <v>2006</v>
          </cell>
          <cell r="DG725">
            <v>1960.2</v>
          </cell>
          <cell r="DH725">
            <v>1289.5</v>
          </cell>
          <cell r="DI725">
            <v>1553.3000000000002</v>
          </cell>
          <cell r="DJ725">
            <v>2306.1000000000004</v>
          </cell>
          <cell r="DK725">
            <v>1566.7000000000003</v>
          </cell>
          <cell r="DL725">
            <v>1907.1999999999998</v>
          </cell>
          <cell r="DM725">
            <v>1588.2</v>
          </cell>
          <cell r="DN725">
            <v>3124.2000000000003</v>
          </cell>
          <cell r="DO725">
            <v>2770.2</v>
          </cell>
          <cell r="DP725">
            <v>3145.0999999999995</v>
          </cell>
          <cell r="DQ725">
            <v>2162.8000000000002</v>
          </cell>
          <cell r="DR725">
            <v>1598.4</v>
          </cell>
          <cell r="DS725">
            <v>2049.4</v>
          </cell>
          <cell r="DT725">
            <v>1298.2</v>
          </cell>
          <cell r="DU725">
            <v>1225.3999999999999</v>
          </cell>
          <cell r="DV725">
            <v>1920.2999999999997</v>
          </cell>
          <cell r="DW725">
            <v>854.30000000000018</v>
          </cell>
          <cell r="DX725">
            <v>1764.9</v>
          </cell>
          <cell r="DY725">
            <v>3865.7000000000003</v>
          </cell>
        </row>
        <row r="727">
          <cell r="H727" t="str">
            <v>Tax Variance</v>
          </cell>
          <cell r="J727">
            <v>-6.6774999998415296E-2</v>
          </cell>
          <cell r="K727">
            <v>-4.0167000000005828</v>
          </cell>
          <cell r="L727">
            <v>-11.152800000000298</v>
          </cell>
          <cell r="M727">
            <v>0.43912499999669308</v>
          </cell>
          <cell r="N727">
            <v>-2.8799249999985932</v>
          </cell>
          <cell r="O727">
            <v>-1.3491250000008677</v>
          </cell>
          <cell r="P727">
            <v>-19.305899999996655</v>
          </cell>
          <cell r="Q727">
            <v>-0.75989999999887914</v>
          </cell>
          <cell r="R727">
            <v>-2.2365499999998519</v>
          </cell>
          <cell r="S727">
            <v>-2.7944249999991371</v>
          </cell>
          <cell r="T727">
            <v>-1.2592499999982465</v>
          </cell>
          <cell r="U727">
            <v>-8.3463249999990694</v>
          </cell>
          <cell r="V727">
            <v>0.80737500000395812</v>
          </cell>
          <cell r="W727">
            <v>-1.1622999999963213</v>
          </cell>
          <cell r="X727">
            <v>-1.2552249999994274</v>
          </cell>
          <cell r="Y727">
            <v>-1.3313750000008895</v>
          </cell>
          <cell r="Z727">
            <v>-1.41015000000084</v>
          </cell>
          <cell r="AA727">
            <v>-1.2047749999983353</v>
          </cell>
          <cell r="AB727">
            <v>-1.4894500000032167</v>
          </cell>
          <cell r="AC727">
            <v>316.65609999999913</v>
          </cell>
          <cell r="AD727">
            <v>-17.998574999998027</v>
          </cell>
          <cell r="AE727">
            <v>6.7278500000015811</v>
          </cell>
          <cell r="AF727">
            <v>-3.0118750000015098</v>
          </cell>
          <cell r="AG727">
            <v>-2.5259499999976924</v>
          </cell>
          <cell r="AH727">
            <v>4.3187397425026575</v>
          </cell>
          <cell r="AI727">
            <v>-0.85028963250260858</v>
          </cell>
          <cell r="AJ727">
            <v>-387.54941300750352</v>
          </cell>
          <cell r="AK727">
            <v>0.25326786750179053</v>
          </cell>
          <cell r="AL727">
            <v>0.26560286750373052</v>
          </cell>
          <cell r="AM727">
            <v>-65.174584632498636</v>
          </cell>
          <cell r="AN727">
            <v>3.4568750999999338</v>
          </cell>
          <cell r="AO727">
            <v>356.40852327500261</v>
          </cell>
          <cell r="AP727">
            <v>-65.569049100002076</v>
          </cell>
          <cell r="AQ727">
            <v>2.4310149997745611E-2</v>
          </cell>
          <cell r="AR727">
            <v>-2.5162403499984975</v>
          </cell>
          <cell r="AS727">
            <v>0.45002727749715632</v>
          </cell>
          <cell r="AT727">
            <v>0.52910965000228316</v>
          </cell>
          <cell r="AU727">
            <v>0.98478181249629415</v>
          </cell>
          <cell r="AV727">
            <v>8.3234807950025242</v>
          </cell>
          <cell r="AW727">
            <v>-4.7329524999440764E-2</v>
          </cell>
          <cell r="AX727">
            <v>4.9277561099984268</v>
          </cell>
          <cell r="AY727">
            <v>1.36096698250185</v>
          </cell>
          <cell r="AZ727">
            <v>0.82368627000209926</v>
          </cell>
          <cell r="BA727">
            <v>3.6229617799972402</v>
          </cell>
          <cell r="BB727">
            <v>-4.3674712674987859</v>
          </cell>
          <cell r="BC727">
            <v>2.2123032949984918</v>
          </cell>
          <cell r="BD727">
            <v>-7.8848898925007234</v>
          </cell>
          <cell r="BE727">
            <v>2.2791298374995677</v>
          </cell>
          <cell r="BF727">
            <v>3.7820806507170346E-2</v>
          </cell>
          <cell r="BG727">
            <v>-0.1966649950095416</v>
          </cell>
          <cell r="BH727">
            <v>-0.19668995699487368</v>
          </cell>
          <cell r="BI727">
            <v>8.7911855994889265E-2</v>
          </cell>
          <cell r="BJ727">
            <v>0.22089929250387286</v>
          </cell>
          <cell r="BK727">
            <v>6.3509774951171494E-3</v>
          </cell>
          <cell r="BL727">
            <v>-1.4178555040871288E-3</v>
          </cell>
          <cell r="BM727">
            <v>0.21408143099563404</v>
          </cell>
          <cell r="BN727">
            <v>4.1616748002070381E-2</v>
          </cell>
          <cell r="BO727">
            <v>-0.19129487599786898</v>
          </cell>
          <cell r="BP727">
            <v>136.65101661949575</v>
          </cell>
          <cell r="BQ727">
            <v>220.14426518750179</v>
          </cell>
          <cell r="BR727">
            <v>-0.20073208049871027</v>
          </cell>
          <cell r="BS727">
            <v>-1.9352568764943499</v>
          </cell>
          <cell r="BT727">
            <v>-1.1389801440054725</v>
          </cell>
          <cell r="BU727">
            <v>-0.68371381899669359</v>
          </cell>
          <cell r="BV727">
            <v>-0.9645234440074546</v>
          </cell>
          <cell r="BW727">
            <v>-0.78391921899810768</v>
          </cell>
          <cell r="BX727">
            <v>-2.8581983824984718</v>
          </cell>
          <cell r="BY727">
            <v>-2.5062982180020299</v>
          </cell>
          <cell r="BZ727">
            <v>-548.12306664101652</v>
          </cell>
          <cell r="CA727">
            <v>6.2325609241725033E-2</v>
          </cell>
          <cell r="CB727">
            <v>-0.1762838502086197</v>
          </cell>
          <cell r="CC727">
            <v>240.04265792973956</v>
          </cell>
          <cell r="CD727">
            <v>0.20481122775663607</v>
          </cell>
          <cell r="CE727">
            <v>0.64798103347243341</v>
          </cell>
          <cell r="CF727">
            <v>8.6871351363042777</v>
          </cell>
          <cell r="CG727">
            <v>3.0918966322635697</v>
          </cell>
          <cell r="CH727">
            <v>3.2320992977919332</v>
          </cell>
          <cell r="CI727">
            <v>7.1175309101043922</v>
          </cell>
          <cell r="CJ727">
            <v>3.665645446244298</v>
          </cell>
          <cell r="CK727">
            <v>4.5203170272802708</v>
          </cell>
          <cell r="CL727">
            <v>-33.42645656891159</v>
          </cell>
          <cell r="CM727">
            <v>1881.8054393304744</v>
          </cell>
          <cell r="CN727">
            <v>4.9601621613310272</v>
          </cell>
          <cell r="CO727">
            <v>-12.824328842242267</v>
          </cell>
          <cell r="CP727">
            <v>7.5322656124681089</v>
          </cell>
          <cell r="CQ727">
            <v>-0.30498824571941441</v>
          </cell>
          <cell r="CR727">
            <v>-26.722157227165553</v>
          </cell>
          <cell r="CS727">
            <v>1.5257636923274731</v>
          </cell>
          <cell r="CT727">
            <v>0.87039559634899888</v>
          </cell>
          <cell r="CU727">
            <v>-19.807642410356493</v>
          </cell>
          <cell r="CV727">
            <v>1.4903408811785539</v>
          </cell>
          <cell r="CW727">
            <v>3.4234290132267233</v>
          </cell>
          <cell r="CX727">
            <v>545.65723253297961</v>
          </cell>
          <cell r="CY727">
            <v>13.134958929671711</v>
          </cell>
          <cell r="CZ727">
            <v>34.506354289153478</v>
          </cell>
          <cell r="DA727">
            <v>-3187.3157899530224</v>
          </cell>
          <cell r="DB727">
            <v>-2.2110173845103418</v>
          </cell>
          <cell r="DC727">
            <v>0.21985669999821766</v>
          </cell>
          <cell r="DD727">
            <v>-1.833797771007994</v>
          </cell>
          <cell r="DE727">
            <v>-12.692445650993704</v>
          </cell>
          <cell r="DF727">
            <v>-4.9891086510067453</v>
          </cell>
          <cell r="DG727">
            <v>4.8259867609879166</v>
          </cell>
          <cell r="DH727">
            <v>1.0999126609972336</v>
          </cell>
          <cell r="DI727">
            <v>-12.878239188998577</v>
          </cell>
          <cell r="DJ727">
            <v>19.24175891099776</v>
          </cell>
          <cell r="DK727">
            <v>-11.251165588998447</v>
          </cell>
          <cell r="DL727">
            <v>14.388138660995992</v>
          </cell>
          <cell r="DM727">
            <v>244.97934676100317</v>
          </cell>
          <cell r="DN727">
            <v>-0.91961598200441586</v>
          </cell>
          <cell r="DO727">
            <v>-0.96520555950564813</v>
          </cell>
          <cell r="DP727">
            <v>275.53604188349345</v>
          </cell>
          <cell r="DQ727">
            <v>-0.95916435950175583</v>
          </cell>
          <cell r="DR727">
            <v>-0.89443279749571047</v>
          </cell>
          <cell r="DS727">
            <v>-158.66558216550789</v>
          </cell>
          <cell r="DT727">
            <v>-0.85981257000230471</v>
          </cell>
          <cell r="DU727">
            <v>-0.90594439399797011</v>
          </cell>
          <cell r="DV727">
            <v>-13.686609209513335</v>
          </cell>
          <cell r="DW727">
            <v>-0.90751017591389882</v>
          </cell>
          <cell r="DX727">
            <v>-0.78492305086751912</v>
          </cell>
          <cell r="DY727">
            <v>-101.65269916019361</v>
          </cell>
        </row>
        <row r="729">
          <cell r="H729" t="str">
            <v>INVESTMENT IN SUBSIDIARY CALCULATION.</v>
          </cell>
          <cell r="I729" t="str">
            <v>Actual</v>
          </cell>
          <cell r="J729" t="str">
            <v>Actual</v>
          </cell>
          <cell r="K729" t="str">
            <v>Actual</v>
          </cell>
          <cell r="L729" t="str">
            <v>Actual</v>
          </cell>
          <cell r="M729" t="str">
            <v>Actual</v>
          </cell>
          <cell r="N729" t="str">
            <v>Actual</v>
          </cell>
          <cell r="O729" t="str">
            <v>Actual</v>
          </cell>
          <cell r="P729" t="str">
            <v>Actual</v>
          </cell>
          <cell r="Q729" t="str">
            <v>Actual</v>
          </cell>
          <cell r="R729" t="str">
            <v>Actual</v>
          </cell>
          <cell r="S729" t="str">
            <v>Actual</v>
          </cell>
          <cell r="T729" t="str">
            <v>Actual</v>
          </cell>
          <cell r="U729" t="str">
            <v>Actual</v>
          </cell>
          <cell r="V729" t="str">
            <v>Actual</v>
          </cell>
          <cell r="W729" t="str">
            <v>Actual</v>
          </cell>
          <cell r="X729" t="str">
            <v>Actual</v>
          </cell>
          <cell r="Y729" t="str">
            <v>Actual</v>
          </cell>
          <cell r="Z729" t="str">
            <v>Actual</v>
          </cell>
          <cell r="AA729" t="str">
            <v>Actual</v>
          </cell>
          <cell r="AB729" t="str">
            <v>Actual</v>
          </cell>
          <cell r="AC729" t="str">
            <v>Actual</v>
          </cell>
          <cell r="AD729" t="str">
            <v>Actual</v>
          </cell>
          <cell r="AE729" t="str">
            <v>Actual</v>
          </cell>
          <cell r="AF729" t="str">
            <v>Actual</v>
          </cell>
          <cell r="AG729" t="str">
            <v>Actual</v>
          </cell>
          <cell r="AH729" t="str">
            <v>Actual</v>
          </cell>
          <cell r="AI729" t="str">
            <v>Actual</v>
          </cell>
          <cell r="AJ729" t="str">
            <v>Actual</v>
          </cell>
          <cell r="AK729" t="str">
            <v>Actual</v>
          </cell>
          <cell r="AL729" t="str">
            <v>Actual</v>
          </cell>
          <cell r="AM729" t="str">
            <v>Actual</v>
          </cell>
          <cell r="AN729" t="str">
            <v>Actual</v>
          </cell>
          <cell r="AO729" t="str">
            <v>Actual</v>
          </cell>
          <cell r="AP729" t="str">
            <v>Actual</v>
          </cell>
          <cell r="AQ729" t="str">
            <v>Actual</v>
          </cell>
          <cell r="AR729" t="str">
            <v>Actual</v>
          </cell>
          <cell r="AS729" t="str">
            <v>Actual</v>
          </cell>
          <cell r="AT729" t="str">
            <v>Actual</v>
          </cell>
          <cell r="AU729" t="str">
            <v>Actual</v>
          </cell>
          <cell r="AV729" t="str">
            <v>Actual</v>
          </cell>
          <cell r="AW729" t="str">
            <v>Actual</v>
          </cell>
          <cell r="AX729" t="str">
            <v>Actual</v>
          </cell>
          <cell r="AY729" t="str">
            <v>Actual</v>
          </cell>
          <cell r="AZ729" t="str">
            <v>Actual</v>
          </cell>
          <cell r="BA729" t="str">
            <v>Actual</v>
          </cell>
          <cell r="BB729" t="str">
            <v>Actual</v>
          </cell>
          <cell r="BC729" t="str">
            <v>Actual</v>
          </cell>
          <cell r="BD729" t="str">
            <v>Actual</v>
          </cell>
          <cell r="BE729" t="str">
            <v>Actual</v>
          </cell>
          <cell r="BF729" t="str">
            <v>Actual</v>
          </cell>
          <cell r="BG729" t="str">
            <v>Actual</v>
          </cell>
          <cell r="BH729" t="str">
            <v>Actual</v>
          </cell>
          <cell r="BI729" t="str">
            <v>Actual</v>
          </cell>
          <cell r="BJ729" t="str">
            <v>Actual</v>
          </cell>
          <cell r="BK729" t="str">
            <v>Actual</v>
          </cell>
          <cell r="BL729" t="str">
            <v>Actual</v>
          </cell>
          <cell r="BM729" t="str">
            <v>Actual</v>
          </cell>
          <cell r="BN729" t="str">
            <v>Actual</v>
          </cell>
          <cell r="BO729" t="str">
            <v>Actual</v>
          </cell>
          <cell r="BP729" t="str">
            <v>Actual</v>
          </cell>
          <cell r="BQ729" t="str">
            <v>Actual</v>
          </cell>
          <cell r="BR729" t="str">
            <v>Actual</v>
          </cell>
          <cell r="BS729" t="str">
            <v>Actual</v>
          </cell>
          <cell r="BT729" t="str">
            <v>Actual</v>
          </cell>
          <cell r="BU729" t="str">
            <v>Actual</v>
          </cell>
          <cell r="BV729" t="str">
            <v>Actual</v>
          </cell>
          <cell r="BW729" t="str">
            <v>Actual</v>
          </cell>
          <cell r="BX729" t="str">
            <v>Actual</v>
          </cell>
          <cell r="BY729" t="str">
            <v>Actual</v>
          </cell>
          <cell r="BZ729" t="str">
            <v>Actual</v>
          </cell>
          <cell r="CA729" t="str">
            <v>Actual</v>
          </cell>
          <cell r="CB729" t="str">
            <v>Actual</v>
          </cell>
          <cell r="CC729" t="str">
            <v>Actual</v>
          </cell>
          <cell r="CD729" t="str">
            <v>Actual</v>
          </cell>
          <cell r="CE729" t="str">
            <v>Actual</v>
          </cell>
          <cell r="CF729" t="str">
            <v>Actual</v>
          </cell>
          <cell r="CG729" t="str">
            <v>Actual</v>
          </cell>
          <cell r="CH729" t="str">
            <v>Actual</v>
          </cell>
          <cell r="CI729" t="str">
            <v>Actual</v>
          </cell>
          <cell r="CJ729" t="str">
            <v>Actual</v>
          </cell>
          <cell r="CK729" t="str">
            <v>Actual</v>
          </cell>
          <cell r="CL729" t="str">
            <v>Actual</v>
          </cell>
          <cell r="CM729" t="str">
            <v>Actual</v>
          </cell>
          <cell r="CN729" t="str">
            <v>Actual</v>
          </cell>
          <cell r="CO729" t="str">
            <v>Actual</v>
          </cell>
          <cell r="CP729" t="str">
            <v>Actual</v>
          </cell>
          <cell r="CQ729" t="str">
            <v>Actual</v>
          </cell>
          <cell r="CR729" t="str">
            <v>Actual</v>
          </cell>
          <cell r="CS729" t="str">
            <v>Actual</v>
          </cell>
          <cell r="CT729" t="str">
            <v>Actual</v>
          </cell>
          <cell r="CU729" t="str">
            <v>Actual</v>
          </cell>
          <cell r="CV729" t="str">
            <v>Actual</v>
          </cell>
          <cell r="CW729" t="str">
            <v>Actual</v>
          </cell>
          <cell r="CX729" t="str">
            <v>Actual</v>
          </cell>
          <cell r="CY729" t="str">
            <v>Actual</v>
          </cell>
          <cell r="CZ729" t="str">
            <v>Actual</v>
          </cell>
          <cell r="DA729" t="str">
            <v>Actual</v>
          </cell>
          <cell r="DB729" t="str">
            <v>Actual</v>
          </cell>
          <cell r="DC729" t="str">
            <v>Actual</v>
          </cell>
          <cell r="DD729" t="str">
            <v>Actual</v>
          </cell>
          <cell r="DE729" t="str">
            <v>Actual</v>
          </cell>
          <cell r="DF729" t="str">
            <v>Actual</v>
          </cell>
          <cell r="DG729" t="str">
            <v>Actual</v>
          </cell>
          <cell r="DH729" t="str">
            <v>Actual</v>
          </cell>
          <cell r="DI729" t="str">
            <v>Actual</v>
          </cell>
          <cell r="DJ729" t="str">
            <v>Actual</v>
          </cell>
          <cell r="DK729" t="str">
            <v>Actual</v>
          </cell>
          <cell r="DL729" t="str">
            <v>Actual</v>
          </cell>
          <cell r="DM729" t="str">
            <v>Actual</v>
          </cell>
          <cell r="DN729" t="str">
            <v>Budget</v>
          </cell>
          <cell r="DO729" t="str">
            <v>Budget</v>
          </cell>
          <cell r="DP729" t="str">
            <v>Budget</v>
          </cell>
          <cell r="DQ729" t="str">
            <v>Budget</v>
          </cell>
          <cell r="DR729" t="str">
            <v>Budget</v>
          </cell>
          <cell r="DS729" t="str">
            <v>Budget</v>
          </cell>
          <cell r="DT729" t="str">
            <v>Budget</v>
          </cell>
          <cell r="DU729" t="str">
            <v>Budget</v>
          </cell>
          <cell r="DV729" t="str">
            <v>Budget</v>
          </cell>
          <cell r="DW729" t="str">
            <v>Budget</v>
          </cell>
          <cell r="DX729" t="str">
            <v>Budget</v>
          </cell>
          <cell r="DY729" t="str">
            <v>Budget</v>
          </cell>
        </row>
        <row r="730">
          <cell r="I730" t="str">
            <v>2013 DEC</v>
          </cell>
          <cell r="J730" t="str">
            <v>Jan 2014</v>
          </cell>
          <cell r="K730" t="str">
            <v>Feb 2014</v>
          </cell>
          <cell r="L730" t="str">
            <v>Mar 2014</v>
          </cell>
          <cell r="M730" t="str">
            <v>Apr 2014</v>
          </cell>
          <cell r="N730" t="str">
            <v>May 2014</v>
          </cell>
          <cell r="O730" t="str">
            <v>Jun 2014</v>
          </cell>
          <cell r="P730" t="str">
            <v>Jul 2014</v>
          </cell>
          <cell r="Q730" t="str">
            <v>Aug 2014</v>
          </cell>
          <cell r="R730" t="str">
            <v>Sep 2014</v>
          </cell>
          <cell r="S730" t="str">
            <v>Oct 2014</v>
          </cell>
          <cell r="T730" t="str">
            <v>Nov 2014</v>
          </cell>
          <cell r="U730" t="str">
            <v>Dec 2014</v>
          </cell>
          <cell r="V730" t="str">
            <v>Jan 2015</v>
          </cell>
          <cell r="W730" t="str">
            <v>Feb 2015</v>
          </cell>
          <cell r="X730" t="str">
            <v>Mar 2015</v>
          </cell>
          <cell r="Y730" t="str">
            <v>Apr 2015</v>
          </cell>
          <cell r="Z730" t="str">
            <v>May 2015</v>
          </cell>
          <cell r="AA730" t="str">
            <v>Jun 2015</v>
          </cell>
          <cell r="AB730" t="str">
            <v>Jul 2015</v>
          </cell>
          <cell r="AC730" t="str">
            <v>Aug 2015</v>
          </cell>
          <cell r="AD730" t="str">
            <v>Sep 2015</v>
          </cell>
          <cell r="AE730" t="str">
            <v>Oct 2015</v>
          </cell>
          <cell r="AF730" t="str">
            <v>Nov 2015</v>
          </cell>
          <cell r="AG730" t="str">
            <v>Dec 2015</v>
          </cell>
          <cell r="AH730" t="str">
            <v>Jan 2016</v>
          </cell>
          <cell r="AI730" t="str">
            <v>Feb 2016</v>
          </cell>
          <cell r="AJ730" t="str">
            <v>Mar 2016</v>
          </cell>
          <cell r="AK730" t="str">
            <v>Apr 2016</v>
          </cell>
          <cell r="AL730" t="str">
            <v>May 2016</v>
          </cell>
          <cell r="AM730" t="str">
            <v>Jun 2016</v>
          </cell>
          <cell r="AN730" t="str">
            <v>Jul 2016</v>
          </cell>
          <cell r="AO730" t="str">
            <v>Aug 2016</v>
          </cell>
          <cell r="AP730" t="str">
            <v>Sep 2016</v>
          </cell>
          <cell r="AQ730" t="str">
            <v>Oct 2016</v>
          </cell>
          <cell r="AR730" t="str">
            <v>Nov 2016</v>
          </cell>
          <cell r="AS730" t="str">
            <v>Dec 2016</v>
          </cell>
          <cell r="AT730" t="str">
            <v>Jan 2017</v>
          </cell>
          <cell r="AU730" t="str">
            <v>Feb 2017</v>
          </cell>
          <cell r="AV730" t="str">
            <v>Mar 2017</v>
          </cell>
          <cell r="AW730" t="str">
            <v>Apr 2017</v>
          </cell>
          <cell r="AX730" t="str">
            <v>May 2017</v>
          </cell>
          <cell r="AY730" t="str">
            <v>Jun 2017</v>
          </cell>
          <cell r="AZ730" t="str">
            <v>Jul 2017</v>
          </cell>
          <cell r="BA730" t="str">
            <v>Aug 2017</v>
          </cell>
          <cell r="BB730" t="str">
            <v>Sep 2017</v>
          </cell>
          <cell r="BC730" t="str">
            <v>Oct 2017</v>
          </cell>
          <cell r="BD730" t="str">
            <v>Nov 2017</v>
          </cell>
          <cell r="BE730" t="str">
            <v>Dec 2017</v>
          </cell>
          <cell r="BF730" t="str">
            <v>Jan 2018</v>
          </cell>
          <cell r="BG730" t="str">
            <v>Feb 2018</v>
          </cell>
          <cell r="BH730" t="str">
            <v>Mar 2018</v>
          </cell>
          <cell r="BI730" t="str">
            <v>Apr 2018</v>
          </cell>
          <cell r="BJ730" t="str">
            <v>May 2018</v>
          </cell>
          <cell r="BK730" t="str">
            <v>Jun 2018</v>
          </cell>
          <cell r="BL730" t="str">
            <v>Jul 2018</v>
          </cell>
          <cell r="BM730" t="str">
            <v>Aug 2018</v>
          </cell>
          <cell r="BN730" t="str">
            <v>Sep 2018</v>
          </cell>
          <cell r="BO730" t="str">
            <v>Oct 2018</v>
          </cell>
          <cell r="BP730" t="str">
            <v>Nov 2018</v>
          </cell>
          <cell r="BQ730" t="str">
            <v>Dec 2018</v>
          </cell>
          <cell r="BR730" t="str">
            <v>Jan 2019</v>
          </cell>
          <cell r="BS730" t="str">
            <v>Feb 2019</v>
          </cell>
          <cell r="BT730" t="str">
            <v>Mar 2019</v>
          </cell>
          <cell r="BU730" t="str">
            <v>Apr 2019</v>
          </cell>
          <cell r="BV730" t="str">
            <v>May 2019</v>
          </cell>
          <cell r="BW730" t="str">
            <v>Jun 2019</v>
          </cell>
          <cell r="BX730" t="str">
            <v>Jul 2019</v>
          </cell>
          <cell r="BY730" t="str">
            <v>Aug 2019</v>
          </cell>
          <cell r="BZ730" t="str">
            <v>Sep 2019</v>
          </cell>
          <cell r="CA730" t="str">
            <v>Oct 2019</v>
          </cell>
          <cell r="CB730" t="str">
            <v>Nov 2019</v>
          </cell>
          <cell r="CC730" t="str">
            <v>Dec 2019</v>
          </cell>
          <cell r="CD730" t="str">
            <v>Jan 2020</v>
          </cell>
          <cell r="CE730" t="str">
            <v>Feb 2020</v>
          </cell>
          <cell r="CF730" t="str">
            <v>Mar 2020</v>
          </cell>
          <cell r="CG730" t="str">
            <v>Apr 2020</v>
          </cell>
          <cell r="CH730" t="str">
            <v>May 2020</v>
          </cell>
          <cell r="CI730" t="str">
            <v>Jun 2020</v>
          </cell>
          <cell r="CJ730" t="str">
            <v>Jul 2020</v>
          </cell>
          <cell r="CK730" t="str">
            <v>Aug 2020</v>
          </cell>
          <cell r="CL730" t="str">
            <v>Sep 2020</v>
          </cell>
          <cell r="CM730" t="str">
            <v>Oct 2020</v>
          </cell>
          <cell r="CN730" t="str">
            <v>Nov 2020</v>
          </cell>
          <cell r="CO730" t="str">
            <v>Dec 2020</v>
          </cell>
          <cell r="CP730" t="str">
            <v>Jan 2021</v>
          </cell>
          <cell r="CQ730" t="str">
            <v>Feb 2021</v>
          </cell>
          <cell r="CR730" t="str">
            <v>Mar 2021</v>
          </cell>
          <cell r="CS730" t="str">
            <v>Apr 2021</v>
          </cell>
          <cell r="CT730" t="str">
            <v>May 2021</v>
          </cell>
          <cell r="CU730" t="str">
            <v>Jun 2021</v>
          </cell>
          <cell r="CV730" t="str">
            <v>Jul 2021</v>
          </cell>
          <cell r="CW730" t="str">
            <v>Aug 2021</v>
          </cell>
          <cell r="CX730" t="str">
            <v>Sep 2021</v>
          </cell>
          <cell r="CY730" t="str">
            <v>Oct 2021</v>
          </cell>
          <cell r="CZ730" t="str">
            <v>Nov 2021</v>
          </cell>
          <cell r="DA730" t="str">
            <v>Dec 2021</v>
          </cell>
          <cell r="DB730" t="str">
            <v>Jan 2022</v>
          </cell>
          <cell r="DC730" t="str">
            <v>Feb 2022</v>
          </cell>
          <cell r="DD730" t="str">
            <v>Mar 2022</v>
          </cell>
          <cell r="DE730" t="str">
            <v>Apr 2022</v>
          </cell>
          <cell r="DF730" t="str">
            <v>May 2022</v>
          </cell>
          <cell r="DG730" t="str">
            <v>Jun 2022</v>
          </cell>
          <cell r="DH730" t="str">
            <v>Jul 2022</v>
          </cell>
          <cell r="DI730" t="str">
            <v>Aug 2022</v>
          </cell>
          <cell r="DJ730" t="str">
            <v>Sep 2022</v>
          </cell>
          <cell r="DK730" t="str">
            <v>Oct 2022</v>
          </cell>
          <cell r="DL730" t="str">
            <v>Nov 2022</v>
          </cell>
          <cell r="DM730" t="str">
            <v>Dec 2022</v>
          </cell>
          <cell r="DN730" t="str">
            <v>Jan 2023</v>
          </cell>
          <cell r="DO730" t="str">
            <v>Feb 2023</v>
          </cell>
          <cell r="DP730" t="str">
            <v>Mar 2023</v>
          </cell>
          <cell r="DQ730" t="str">
            <v>Apr 2023</v>
          </cell>
          <cell r="DR730" t="str">
            <v>May 2023</v>
          </cell>
          <cell r="DS730" t="str">
            <v>Jun 2023</v>
          </cell>
          <cell r="DT730" t="str">
            <v>Jul 2023</v>
          </cell>
          <cell r="DU730" t="str">
            <v>Aug 2023</v>
          </cell>
          <cell r="DV730" t="str">
            <v>Sep 2023</v>
          </cell>
          <cell r="DW730" t="str">
            <v>Oct 2023</v>
          </cell>
          <cell r="DX730" t="str">
            <v>Nov 2023</v>
          </cell>
          <cell r="DY730" t="str">
            <v>Dec 2023</v>
          </cell>
        </row>
        <row r="731">
          <cell r="H731" t="str">
            <v>Investment in Subsidiary Companies</v>
          </cell>
          <cell r="I731">
            <v>1469</v>
          </cell>
          <cell r="J731">
            <v>1683.3</v>
          </cell>
          <cell r="K731">
            <v>1417.9</v>
          </cell>
          <cell r="L731">
            <v>1624.4</v>
          </cell>
          <cell r="M731">
            <v>1905.3000000000002</v>
          </cell>
          <cell r="N731">
            <v>1364.9</v>
          </cell>
          <cell r="O731">
            <v>1627.3000000000002</v>
          </cell>
          <cell r="P731">
            <v>1867.9</v>
          </cell>
          <cell r="Q731">
            <v>1399.8000000000002</v>
          </cell>
          <cell r="R731">
            <v>1468.6000000000001</v>
          </cell>
          <cell r="S731">
            <v>1762.8000000000002</v>
          </cell>
          <cell r="T731">
            <v>1230.3000000000002</v>
          </cell>
          <cell r="U731">
            <v>1423.2000000000003</v>
          </cell>
          <cell r="V731">
            <v>1814.0000000000002</v>
          </cell>
          <cell r="W731">
            <v>2024.9000000000003</v>
          </cell>
          <cell r="X731">
            <v>1644.4000000000003</v>
          </cell>
          <cell r="Y731">
            <v>1761.5000000000002</v>
          </cell>
          <cell r="Z731">
            <v>1191.3000000000002</v>
          </cell>
          <cell r="AA731">
            <v>1407.6000000000001</v>
          </cell>
          <cell r="AB731">
            <v>1560.5000000000002</v>
          </cell>
          <cell r="AC731">
            <v>1239.2000000000003</v>
          </cell>
          <cell r="AD731">
            <v>1462.5000000000002</v>
          </cell>
          <cell r="AE731">
            <v>1592.7000000000003</v>
          </cell>
          <cell r="AF731">
            <v>1783.0000000000002</v>
          </cell>
          <cell r="AG731">
            <v>1946.6000000000001</v>
          </cell>
          <cell r="AH731">
            <v>2242.9</v>
          </cell>
          <cell r="AI731">
            <v>2605.8000000000002</v>
          </cell>
          <cell r="AJ731">
            <v>2164.6999999999998</v>
          </cell>
          <cell r="AK731">
            <v>2286.7999999999997</v>
          </cell>
          <cell r="AL731">
            <v>2577.2999999999997</v>
          </cell>
          <cell r="AM731">
            <v>1363.1</v>
          </cell>
          <cell r="AN731">
            <v>1578</v>
          </cell>
          <cell r="AO731">
            <v>1855.8</v>
          </cell>
          <cell r="AP731">
            <v>1520.8</v>
          </cell>
          <cell r="AQ731">
            <v>2290.1999999999998</v>
          </cell>
          <cell r="AR731">
            <v>2493.1999999999998</v>
          </cell>
          <cell r="AS731">
            <v>2073</v>
          </cell>
          <cell r="AT731">
            <v>2426.9</v>
          </cell>
          <cell r="AU731">
            <v>1582.3</v>
          </cell>
          <cell r="AV731">
            <v>1869.5</v>
          </cell>
          <cell r="AW731">
            <v>2016.5</v>
          </cell>
          <cell r="AX731">
            <v>1465.1999999999998</v>
          </cell>
          <cell r="AY731">
            <v>1311.7999999999997</v>
          </cell>
          <cell r="AZ731">
            <v>1605.0999999999997</v>
          </cell>
          <cell r="BA731">
            <v>981.69999999999959</v>
          </cell>
          <cell r="BB731">
            <v>1279.6999999999996</v>
          </cell>
          <cell r="BC731">
            <v>1525.2999999999995</v>
          </cell>
          <cell r="BD731">
            <v>1584.1999999999996</v>
          </cell>
          <cell r="BE731">
            <v>2133.2999999999997</v>
          </cell>
          <cell r="BF731">
            <v>2560.6</v>
          </cell>
          <cell r="BG731">
            <v>1540.8999999999996</v>
          </cell>
          <cell r="BH731">
            <v>1653.4999999999995</v>
          </cell>
          <cell r="BI731">
            <v>2159.7999999999997</v>
          </cell>
          <cell r="BJ731">
            <v>1467.2999999999997</v>
          </cell>
          <cell r="BK731">
            <v>1689.9999999999998</v>
          </cell>
          <cell r="BL731">
            <v>1979.4999999999998</v>
          </cell>
          <cell r="BM731">
            <v>1178.0999999999999</v>
          </cell>
          <cell r="BN731">
            <v>1352.6</v>
          </cell>
          <cell r="BO731">
            <v>1606.3</v>
          </cell>
          <cell r="BP731">
            <v>1195.4000000000001</v>
          </cell>
          <cell r="BQ731">
            <v>1612.7</v>
          </cell>
          <cell r="BR731">
            <v>1869.3000000000002</v>
          </cell>
          <cell r="BS731">
            <v>1241.1000000000001</v>
          </cell>
          <cell r="BT731">
            <v>1702.2000000000003</v>
          </cell>
          <cell r="BU731">
            <v>2119.3000000000002</v>
          </cell>
          <cell r="BV731">
            <v>1439.9000000000003</v>
          </cell>
          <cell r="BW731">
            <v>1674.4000000000003</v>
          </cell>
          <cell r="BX731">
            <v>2013.3000000000002</v>
          </cell>
          <cell r="BY731">
            <v>1497.4</v>
          </cell>
          <cell r="BZ731">
            <v>1716.6000000000001</v>
          </cell>
          <cell r="CA731">
            <v>1914.2</v>
          </cell>
          <cell r="CB731">
            <v>1090.8000000000002</v>
          </cell>
          <cell r="CC731">
            <v>1319.6000000000001</v>
          </cell>
          <cell r="CD731">
            <v>1445.9</v>
          </cell>
          <cell r="CE731">
            <v>1250.2000000000003</v>
          </cell>
          <cell r="CF731">
            <v>1344.1000000000004</v>
          </cell>
          <cell r="CG731">
            <v>1678.5000000000005</v>
          </cell>
          <cell r="CH731">
            <v>1443.7000000000007</v>
          </cell>
          <cell r="CI731">
            <v>1668.0000000000007</v>
          </cell>
          <cell r="CJ731">
            <v>1856.4000000000008</v>
          </cell>
          <cell r="CK731">
            <v>1198.7000000000007</v>
          </cell>
          <cell r="CL731">
            <v>1437.9000000000008</v>
          </cell>
          <cell r="CM731">
            <v>1788.7000000000007</v>
          </cell>
          <cell r="CN731">
            <v>1258.8000000000006</v>
          </cell>
          <cell r="CO731">
            <v>1625.8000000000006</v>
          </cell>
          <cell r="CP731">
            <v>1959.9000000000005</v>
          </cell>
          <cell r="CQ731">
            <v>1421.0000000000007</v>
          </cell>
          <cell r="CR731">
            <v>1696.4000000000005</v>
          </cell>
          <cell r="CS731">
            <v>2027.9000000000005</v>
          </cell>
          <cell r="CT731">
            <v>1421.0000000000005</v>
          </cell>
          <cell r="CU731">
            <v>1692.5000000000005</v>
          </cell>
          <cell r="CV731">
            <v>1966.6000000000004</v>
          </cell>
          <cell r="CW731">
            <v>1310.2000000000003</v>
          </cell>
          <cell r="CX731">
            <v>1606.0000000000002</v>
          </cell>
          <cell r="CY731">
            <v>1919.7000000000003</v>
          </cell>
          <cell r="CZ731">
            <v>1285.8000000000002</v>
          </cell>
          <cell r="DA731">
            <v>1445.2000000000003</v>
          </cell>
          <cell r="DB731">
            <v>1590.2000000000003</v>
          </cell>
          <cell r="DC731">
            <v>1097.3000000000002</v>
          </cell>
          <cell r="DD731">
            <v>1570.9</v>
          </cell>
          <cell r="DE731">
            <v>1828.3000000000002</v>
          </cell>
          <cell r="DF731">
            <v>1232.4000000000001</v>
          </cell>
          <cell r="DG731">
            <v>1455.4</v>
          </cell>
          <cell r="DH731">
            <v>1892</v>
          </cell>
          <cell r="DI731">
            <v>1423.6</v>
          </cell>
          <cell r="DJ731">
            <v>1761.1999999999998</v>
          </cell>
          <cell r="DK731">
            <v>2012.6999999999998</v>
          </cell>
          <cell r="DL731">
            <v>1250.5999999999997</v>
          </cell>
          <cell r="DM731">
            <v>1263.6999999999996</v>
          </cell>
          <cell r="DN731">
            <v>1442.3999999999996</v>
          </cell>
          <cell r="DO731">
            <v>1160.1999999999996</v>
          </cell>
          <cell r="DP731">
            <v>1382.8999999999996</v>
          </cell>
          <cell r="DQ731">
            <v>1734.4999999999995</v>
          </cell>
          <cell r="DR731">
            <v>1360.5999999999995</v>
          </cell>
          <cell r="DS731">
            <v>1670.0999999999995</v>
          </cell>
          <cell r="DT731">
            <v>2006.3999999999994</v>
          </cell>
          <cell r="DU731">
            <v>1341.2999999999997</v>
          </cell>
          <cell r="DV731">
            <v>1665.4999999999998</v>
          </cell>
          <cell r="DW731">
            <v>1987.1</v>
          </cell>
          <cell r="DX731">
            <v>1375.6</v>
          </cell>
          <cell r="DY731">
            <v>1942.1999999999998</v>
          </cell>
        </row>
        <row r="732">
          <cell r="H732" t="str">
            <v>PGS Net Income</v>
          </cell>
          <cell r="J732">
            <v>214.3</v>
          </cell>
          <cell r="K732">
            <v>330.6</v>
          </cell>
          <cell r="L732">
            <v>206.5</v>
          </cell>
          <cell r="M732">
            <v>280.89999999999998</v>
          </cell>
          <cell r="N732">
            <v>178.5</v>
          </cell>
          <cell r="O732">
            <v>262.39999999999998</v>
          </cell>
          <cell r="P732">
            <v>240.6</v>
          </cell>
          <cell r="Q732">
            <v>197.8</v>
          </cell>
          <cell r="R732">
            <v>68.8</v>
          </cell>
          <cell r="S732">
            <v>294.2</v>
          </cell>
          <cell r="T732">
            <v>168.3</v>
          </cell>
          <cell r="U732">
            <v>192.9</v>
          </cell>
          <cell r="V732">
            <v>390.8</v>
          </cell>
          <cell r="W732">
            <v>210.9</v>
          </cell>
          <cell r="X732">
            <v>150.80000000000001</v>
          </cell>
          <cell r="Y732">
            <v>117.1</v>
          </cell>
          <cell r="Z732">
            <v>224.4</v>
          </cell>
          <cell r="AA732">
            <v>216.3</v>
          </cell>
          <cell r="AB732">
            <v>152.9</v>
          </cell>
          <cell r="AC732">
            <v>171</v>
          </cell>
          <cell r="AD732">
            <v>223.3</v>
          </cell>
          <cell r="AE732">
            <v>130.19999999999999</v>
          </cell>
          <cell r="AF732">
            <v>190.3</v>
          </cell>
          <cell r="AG732">
            <v>703.8</v>
          </cell>
          <cell r="AH732">
            <v>296.3</v>
          </cell>
          <cell r="AI732">
            <v>362.9</v>
          </cell>
          <cell r="AJ732">
            <v>102.7</v>
          </cell>
          <cell r="AK732">
            <v>122.1</v>
          </cell>
          <cell r="AL732">
            <v>290.5</v>
          </cell>
          <cell r="AM732">
            <v>148.80000000000001</v>
          </cell>
          <cell r="AN732">
            <v>214.9</v>
          </cell>
          <cell r="AO732">
            <v>277.8</v>
          </cell>
          <cell r="AP732">
            <v>180.3</v>
          </cell>
          <cell r="AQ732">
            <v>769.4</v>
          </cell>
          <cell r="AR732">
            <v>203</v>
          </cell>
          <cell r="AS732">
            <v>221.3</v>
          </cell>
          <cell r="AT732">
            <v>353.9</v>
          </cell>
          <cell r="AU732">
            <v>308.10000000000002</v>
          </cell>
          <cell r="AV732">
            <v>287.2</v>
          </cell>
          <cell r="AW732">
            <v>147</v>
          </cell>
          <cell r="AX732">
            <v>332</v>
          </cell>
          <cell r="AY732">
            <v>-153.4</v>
          </cell>
          <cell r="AZ732">
            <v>293.3</v>
          </cell>
          <cell r="BA732">
            <v>142.80000000000001</v>
          </cell>
          <cell r="BB732">
            <v>298</v>
          </cell>
          <cell r="BC732">
            <v>245.6</v>
          </cell>
          <cell r="BD732">
            <v>341.6</v>
          </cell>
          <cell r="BE732">
            <v>549.1</v>
          </cell>
          <cell r="BF732">
            <v>427.3</v>
          </cell>
          <cell r="BG732">
            <v>414.6</v>
          </cell>
          <cell r="BH732">
            <v>112.6</v>
          </cell>
          <cell r="BI732">
            <v>506.3</v>
          </cell>
          <cell r="BJ732">
            <v>262</v>
          </cell>
          <cell r="BK732">
            <v>222.7</v>
          </cell>
          <cell r="BL732">
            <v>289.5</v>
          </cell>
          <cell r="BM732">
            <v>189.6</v>
          </cell>
          <cell r="BN732">
            <v>174.5</v>
          </cell>
          <cell r="BO732">
            <v>253.7</v>
          </cell>
          <cell r="BP732">
            <v>242.7</v>
          </cell>
          <cell r="BQ732">
            <v>417.3</v>
          </cell>
          <cell r="BR732">
            <v>256.60000000000002</v>
          </cell>
          <cell r="BS732">
            <v>285.5</v>
          </cell>
          <cell r="BT732">
            <v>461.1</v>
          </cell>
          <cell r="BU732">
            <v>417.1</v>
          </cell>
          <cell r="BV732">
            <v>323.8</v>
          </cell>
          <cell r="BW732">
            <v>234.5</v>
          </cell>
          <cell r="BX732">
            <v>338.9</v>
          </cell>
          <cell r="BY732">
            <v>459.5</v>
          </cell>
          <cell r="BZ732">
            <v>219.2</v>
          </cell>
          <cell r="CA732">
            <v>197.6</v>
          </cell>
          <cell r="CB732">
            <v>194.2</v>
          </cell>
          <cell r="CC732">
            <v>228.8</v>
          </cell>
          <cell r="CD732">
            <v>126.3</v>
          </cell>
          <cell r="CE732">
            <v>424.9</v>
          </cell>
          <cell r="CF732">
            <v>93.9</v>
          </cell>
          <cell r="CG732">
            <v>334.4</v>
          </cell>
          <cell r="CH732">
            <v>410.3</v>
          </cell>
          <cell r="CI732">
            <v>224.3</v>
          </cell>
          <cell r="CJ732">
            <v>188.4</v>
          </cell>
          <cell r="CK732">
            <v>311.3</v>
          </cell>
          <cell r="CL732">
            <v>239.2</v>
          </cell>
          <cell r="CM732">
            <v>350.8</v>
          </cell>
          <cell r="CN732">
            <v>209</v>
          </cell>
          <cell r="CO732">
            <v>367</v>
          </cell>
          <cell r="CP732">
            <v>334.1</v>
          </cell>
          <cell r="CQ732">
            <v>387.9</v>
          </cell>
          <cell r="CR732">
            <v>275.39999999999998</v>
          </cell>
          <cell r="CS732">
            <v>331.5</v>
          </cell>
          <cell r="CT732">
            <v>390.5</v>
          </cell>
          <cell r="CU732">
            <v>271.5</v>
          </cell>
          <cell r="CV732">
            <v>274.10000000000002</v>
          </cell>
          <cell r="CW732">
            <v>337.1</v>
          </cell>
          <cell r="CX732">
            <v>295.8</v>
          </cell>
          <cell r="CY732">
            <v>313.7</v>
          </cell>
          <cell r="CZ732">
            <v>273.10000000000002</v>
          </cell>
          <cell r="DA732">
            <v>159.4</v>
          </cell>
          <cell r="DB732">
            <v>145</v>
          </cell>
          <cell r="DC732">
            <v>253.3</v>
          </cell>
          <cell r="DD732">
            <v>473.6</v>
          </cell>
          <cell r="DE732">
            <v>257.39999999999998</v>
          </cell>
          <cell r="DF732">
            <v>276</v>
          </cell>
          <cell r="DG732">
            <v>223</v>
          </cell>
          <cell r="DH732">
            <v>436.6</v>
          </cell>
          <cell r="DI732">
            <v>288</v>
          </cell>
          <cell r="DJ732">
            <v>337.6</v>
          </cell>
          <cell r="DK732">
            <v>251.5</v>
          </cell>
          <cell r="DL732">
            <v>300.10000000000002</v>
          </cell>
          <cell r="DM732">
            <v>13.1</v>
          </cell>
          <cell r="DN732">
            <v>178.7</v>
          </cell>
          <cell r="DO732">
            <v>282.5</v>
          </cell>
          <cell r="DP732">
            <v>222.7</v>
          </cell>
          <cell r="DQ732">
            <v>351.6</v>
          </cell>
          <cell r="DR732">
            <v>310</v>
          </cell>
          <cell r="DS732">
            <v>309.5</v>
          </cell>
          <cell r="DT732">
            <v>336.3</v>
          </cell>
          <cell r="DU732">
            <v>306</v>
          </cell>
          <cell r="DV732">
            <v>324.2</v>
          </cell>
          <cell r="DW732">
            <v>321.60000000000002</v>
          </cell>
          <cell r="DX732">
            <v>355</v>
          </cell>
          <cell r="DY732">
            <v>566.6</v>
          </cell>
        </row>
        <row r="733">
          <cell r="H733" t="str">
            <v>Dividends Paid</v>
          </cell>
          <cell r="K733">
            <v>-596</v>
          </cell>
          <cell r="N733">
            <v>-718.90000000000009</v>
          </cell>
          <cell r="Q733">
            <v>-665.9</v>
          </cell>
          <cell r="T733">
            <v>-700.8</v>
          </cell>
          <cell r="U733">
            <v>0</v>
          </cell>
          <cell r="V733">
            <v>0</v>
          </cell>
          <cell r="W733">
            <v>0</v>
          </cell>
          <cell r="X733">
            <v>-531.29999999999995</v>
          </cell>
          <cell r="Y733">
            <v>0</v>
          </cell>
          <cell r="Z733">
            <v>-794.6</v>
          </cell>
          <cell r="AA733">
            <v>0</v>
          </cell>
          <cell r="AB733">
            <v>0</v>
          </cell>
          <cell r="AC733">
            <v>-492.29999999999995</v>
          </cell>
          <cell r="AD733">
            <v>0</v>
          </cell>
          <cell r="AE733">
            <v>0</v>
          </cell>
          <cell r="AF733">
            <v>0</v>
          </cell>
          <cell r="AG733">
            <v>-540.20000000000005</v>
          </cell>
          <cell r="AH733">
            <v>0</v>
          </cell>
          <cell r="AI733">
            <v>0</v>
          </cell>
          <cell r="AJ733">
            <v>-543.79999999999995</v>
          </cell>
          <cell r="AK733">
            <v>0</v>
          </cell>
          <cell r="AL733">
            <v>0</v>
          </cell>
          <cell r="AM733">
            <v>-1363</v>
          </cell>
          <cell r="AN733">
            <v>0</v>
          </cell>
          <cell r="AO733">
            <v>0</v>
          </cell>
          <cell r="AP733">
            <v>-515.29999999999995</v>
          </cell>
          <cell r="AQ733">
            <v>0</v>
          </cell>
          <cell r="AR733">
            <v>0</v>
          </cell>
          <cell r="AS733">
            <v>-641.5</v>
          </cell>
          <cell r="AT733">
            <v>0</v>
          </cell>
          <cell r="AU733">
            <v>-1152.7</v>
          </cell>
          <cell r="AV733">
            <v>0</v>
          </cell>
          <cell r="AW733">
            <v>0</v>
          </cell>
          <cell r="AX733">
            <v>-883.30000000000007</v>
          </cell>
          <cell r="AY733">
            <v>0</v>
          </cell>
          <cell r="AZ733">
            <v>0</v>
          </cell>
          <cell r="BA733">
            <v>-766.2</v>
          </cell>
          <cell r="BB733">
            <v>0</v>
          </cell>
          <cell r="BC733">
            <v>0</v>
          </cell>
          <cell r="BD733">
            <v>-282.70000000000005</v>
          </cell>
          <cell r="BE733">
            <v>0</v>
          </cell>
          <cell r="BF733">
            <v>0</v>
          </cell>
          <cell r="BG733">
            <v>-1434.3000000000002</v>
          </cell>
          <cell r="BH733">
            <v>0</v>
          </cell>
          <cell r="BI733">
            <v>0</v>
          </cell>
          <cell r="BJ733">
            <v>-954.50000000000011</v>
          </cell>
          <cell r="BK733">
            <v>0</v>
          </cell>
          <cell r="BL733">
            <v>0</v>
          </cell>
          <cell r="BM733">
            <v>-991</v>
          </cell>
          <cell r="BN733">
            <v>0</v>
          </cell>
          <cell r="BO733">
            <v>0</v>
          </cell>
          <cell r="BP733">
            <v>-653.6</v>
          </cell>
          <cell r="BQ733">
            <v>0</v>
          </cell>
          <cell r="BR733">
            <v>0</v>
          </cell>
          <cell r="BS733">
            <v>-913.7</v>
          </cell>
          <cell r="BT733">
            <v>0</v>
          </cell>
          <cell r="BU733">
            <v>0</v>
          </cell>
          <cell r="BV733">
            <v>-1003.2</v>
          </cell>
          <cell r="BW733">
            <v>0</v>
          </cell>
          <cell r="BX733">
            <v>0</v>
          </cell>
          <cell r="BY733">
            <v>-975.40000000000009</v>
          </cell>
          <cell r="BZ733">
            <v>0</v>
          </cell>
          <cell r="CA733">
            <v>0</v>
          </cell>
          <cell r="CB733">
            <v>-1017.5999999999999</v>
          </cell>
          <cell r="CC733">
            <v>0</v>
          </cell>
          <cell r="CD733">
            <v>0</v>
          </cell>
          <cell r="CE733">
            <v>-620.59999999999991</v>
          </cell>
          <cell r="CF733">
            <v>0</v>
          </cell>
          <cell r="CG733">
            <v>0</v>
          </cell>
          <cell r="CH733">
            <v>-645.09999999999991</v>
          </cell>
          <cell r="CI733">
            <v>0</v>
          </cell>
          <cell r="CJ733">
            <v>0</v>
          </cell>
          <cell r="CK733">
            <v>-969</v>
          </cell>
          <cell r="CL733">
            <v>0</v>
          </cell>
          <cell r="CM733">
            <v>0</v>
          </cell>
          <cell r="CN733">
            <v>-738.90000000000009</v>
          </cell>
          <cell r="CO733">
            <v>0</v>
          </cell>
          <cell r="CP733">
            <v>0</v>
          </cell>
          <cell r="CQ733">
            <v>-926.8</v>
          </cell>
          <cell r="CR733">
            <v>0</v>
          </cell>
          <cell r="CS733">
            <v>0</v>
          </cell>
          <cell r="CT733">
            <v>-997.4</v>
          </cell>
          <cell r="CU733">
            <v>0</v>
          </cell>
          <cell r="CV733">
            <v>0</v>
          </cell>
          <cell r="CW733">
            <v>-993.5</v>
          </cell>
          <cell r="CX733">
            <v>0</v>
          </cell>
          <cell r="CY733">
            <v>0</v>
          </cell>
          <cell r="CZ733">
            <v>-907</v>
          </cell>
          <cell r="DA733">
            <v>0</v>
          </cell>
          <cell r="DB733">
            <v>0</v>
          </cell>
          <cell r="DC733">
            <v>-746.19999999999993</v>
          </cell>
          <cell r="DD733">
            <v>0</v>
          </cell>
          <cell r="DE733">
            <v>0</v>
          </cell>
          <cell r="DF733">
            <v>-871.90000000000009</v>
          </cell>
          <cell r="DG733">
            <v>0</v>
          </cell>
          <cell r="DH733">
            <v>0</v>
          </cell>
          <cell r="DI733">
            <v>-756.4</v>
          </cell>
          <cell r="DJ733">
            <v>0</v>
          </cell>
          <cell r="DK733">
            <v>0</v>
          </cell>
          <cell r="DL733">
            <v>-1062.2</v>
          </cell>
          <cell r="DM733">
            <v>0</v>
          </cell>
          <cell r="DN733">
            <v>0</v>
          </cell>
          <cell r="DO733">
            <v>-564.70000000000005</v>
          </cell>
          <cell r="DP733">
            <v>0</v>
          </cell>
          <cell r="DQ733">
            <v>0</v>
          </cell>
          <cell r="DR733">
            <v>-683.9</v>
          </cell>
          <cell r="DS733">
            <v>0</v>
          </cell>
          <cell r="DT733">
            <v>0</v>
          </cell>
          <cell r="DU733">
            <v>-971.1</v>
          </cell>
          <cell r="DV733">
            <v>0</v>
          </cell>
          <cell r="DW733">
            <v>0</v>
          </cell>
          <cell r="DX733">
            <v>-966.5</v>
          </cell>
          <cell r="DY733">
            <v>0</v>
          </cell>
        </row>
        <row r="736">
          <cell r="H736" t="str">
            <v>State Tax Variance</v>
          </cell>
          <cell r="J736">
            <v>-0.34335769262713711</v>
          </cell>
          <cell r="K736">
            <v>-0.34335769262713711</v>
          </cell>
          <cell r="L736">
            <v>-0.34335769262713711</v>
          </cell>
          <cell r="M736">
            <v>-0.34335769262713711</v>
          </cell>
          <cell r="N736">
            <v>-0.34335769262713711</v>
          </cell>
          <cell r="O736">
            <v>-0.34335769262713711</v>
          </cell>
          <cell r="P736">
            <v>-0.34335769262713711</v>
          </cell>
          <cell r="Q736">
            <v>-0.34335769262713711</v>
          </cell>
          <cell r="R736">
            <v>8.3355621010468894E-2</v>
          </cell>
          <cell r="S736">
            <v>-0.119010822297469</v>
          </cell>
          <cell r="T736">
            <v>-0.29457409090127801</v>
          </cell>
          <cell r="U736">
            <v>-0.2945740909012784</v>
          </cell>
          <cell r="V736">
            <v>-0.53503371684255097</v>
          </cell>
          <cell r="W736">
            <v>1.0696716188562707</v>
          </cell>
          <cell r="X736">
            <v>1.0696716188562707</v>
          </cell>
          <cell r="Y736">
            <v>1.0696716188562707</v>
          </cell>
          <cell r="Z736">
            <v>1.0696716188562707</v>
          </cell>
          <cell r="AA736">
            <v>1.0696716188562707</v>
          </cell>
          <cell r="AB736">
            <v>1.0696716188562707</v>
          </cell>
          <cell r="AC736">
            <v>1.0696716188562707</v>
          </cell>
          <cell r="AD736">
            <v>1.0696716188562707</v>
          </cell>
          <cell r="AE736">
            <v>1.0696716188562707</v>
          </cell>
          <cell r="AF736">
            <v>1.0696716188562707</v>
          </cell>
          <cell r="AG736">
            <v>1.0696716188562707</v>
          </cell>
          <cell r="AH736">
            <v>-3.3388229525826318E-2</v>
          </cell>
          <cell r="AI736">
            <v>-0.66345896277698557</v>
          </cell>
          <cell r="AJ736">
            <v>9.7776199446343526E-2</v>
          </cell>
          <cell r="AK736">
            <v>-0.38038790470227468</v>
          </cell>
          <cell r="AL736">
            <v>-4.7355360015671977E-2</v>
          </cell>
          <cell r="AM736">
            <v>-0.15547003706899432</v>
          </cell>
          <cell r="AN736">
            <v>-9.7071037433579477E-2</v>
          </cell>
          <cell r="AO736">
            <v>0.13647799261809723</v>
          </cell>
          <cell r="AP736">
            <v>-0.19790364749997025</v>
          </cell>
          <cell r="AQ736">
            <v>-0.22833771440332384</v>
          </cell>
          <cell r="AR736">
            <v>2.6530628171033688E-2</v>
          </cell>
          <cell r="AS736">
            <v>-0.13102315034211642</v>
          </cell>
          <cell r="BF736">
            <v>-0.11006315892700513</v>
          </cell>
          <cell r="BG736">
            <v>-0.11006315892700513</v>
          </cell>
          <cell r="BH736">
            <v>-0.11006315892700513</v>
          </cell>
          <cell r="BI736">
            <v>-0.11006315892700513</v>
          </cell>
          <cell r="BJ736">
            <v>-0.11006315892700513</v>
          </cell>
          <cell r="BK736">
            <v>-0.11006315892700513</v>
          </cell>
          <cell r="BL736">
            <v>-0.11006315892700513</v>
          </cell>
          <cell r="BM736">
            <v>-0.11006315892700513</v>
          </cell>
          <cell r="BN736">
            <v>-0.11006315892700513</v>
          </cell>
          <cell r="BO736">
            <v>-2.883602300835264E-2</v>
          </cell>
          <cell r="BP736">
            <v>0.1206310699998312</v>
          </cell>
          <cell r="BQ736">
            <v>-2.872559200818614E-2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-1.7344916750516859E-4</v>
          </cell>
          <cell r="CB736">
            <v>1.0814758138621983E-4</v>
          </cell>
          <cell r="CC736">
            <v>2.0010486423416296E-6</v>
          </cell>
        </row>
        <row r="739">
          <cell r="F739" t="str">
            <v>Misc Rev</v>
          </cell>
          <cell r="G739" t="str">
            <v>A_4120001</v>
          </cell>
          <cell r="H739" t="str">
            <v>Revenues from Gas Plant leased to Others-GAAP adj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-188.4</v>
          </cell>
          <cell r="AN739">
            <v>-62.8</v>
          </cell>
          <cell r="AO739">
            <v>-62.8</v>
          </cell>
          <cell r="AP739">
            <v>-62.8</v>
          </cell>
          <cell r="AQ739">
            <v>-62.8</v>
          </cell>
          <cell r="AR739">
            <v>-106.7</v>
          </cell>
          <cell r="AS739">
            <v>-84.8</v>
          </cell>
          <cell r="AT739">
            <v>-84.8</v>
          </cell>
          <cell r="AU739">
            <v>-84.8</v>
          </cell>
          <cell r="AV739">
            <v>-84.8</v>
          </cell>
          <cell r="AW739">
            <v>-171.5</v>
          </cell>
          <cell r="AX739">
            <v>-171.5</v>
          </cell>
          <cell r="AY739">
            <v>-171.5</v>
          </cell>
          <cell r="AZ739">
            <v>-171.5</v>
          </cell>
          <cell r="BA739">
            <v>-171.5</v>
          </cell>
          <cell r="BB739">
            <v>-171.5</v>
          </cell>
          <cell r="BC739">
            <v>-201.9</v>
          </cell>
          <cell r="BD739">
            <v>-201.9</v>
          </cell>
          <cell r="BE739">
            <v>-201.9</v>
          </cell>
          <cell r="BF739">
            <v>-201.9</v>
          </cell>
          <cell r="BG739">
            <v>-201.9</v>
          </cell>
          <cell r="BH739">
            <v>-201.9</v>
          </cell>
          <cell r="BI739">
            <v>-201.9</v>
          </cell>
          <cell r="BJ739">
            <v>-201.9</v>
          </cell>
          <cell r="BK739">
            <v>-201.9</v>
          </cell>
          <cell r="BL739">
            <v>-201.9</v>
          </cell>
          <cell r="BM739">
            <v>-201.9</v>
          </cell>
          <cell r="BN739">
            <v>-201.9</v>
          </cell>
          <cell r="BO739">
            <v>-201.9</v>
          </cell>
          <cell r="BP739">
            <v>-201.9</v>
          </cell>
          <cell r="BQ739">
            <v>-201.9</v>
          </cell>
          <cell r="BR739">
            <v>-201.9</v>
          </cell>
          <cell r="BS739">
            <v>-201.9</v>
          </cell>
          <cell r="BT739">
            <v>-201.9</v>
          </cell>
          <cell r="BU739">
            <v>-201.9</v>
          </cell>
          <cell r="BV739">
            <v>-201.9</v>
          </cell>
          <cell r="BW739">
            <v>-201.9</v>
          </cell>
          <cell r="BX739">
            <v>-201.9</v>
          </cell>
          <cell r="BY739">
            <v>-201.9</v>
          </cell>
          <cell r="BZ739">
            <v>-201.9</v>
          </cell>
          <cell r="CA739">
            <v>-201.9</v>
          </cell>
          <cell r="CB739">
            <v>-201.9</v>
          </cell>
          <cell r="CC739">
            <v>-201.9</v>
          </cell>
          <cell r="CD739">
            <v>-201.9</v>
          </cell>
          <cell r="CE739">
            <v>-201.9</v>
          </cell>
          <cell r="CF739">
            <v>-201.9</v>
          </cell>
          <cell r="CG739">
            <v>-177.9</v>
          </cell>
          <cell r="CH739">
            <v>-177.9</v>
          </cell>
          <cell r="CI739">
            <v>-177.9</v>
          </cell>
          <cell r="CJ739">
            <v>-177.9</v>
          </cell>
          <cell r="CK739">
            <v>-177.9</v>
          </cell>
          <cell r="CL739">
            <v>-177.9</v>
          </cell>
          <cell r="CM739">
            <v>-169.6</v>
          </cell>
          <cell r="CN739">
            <v>-169.6</v>
          </cell>
          <cell r="CO739">
            <v>-169.6</v>
          </cell>
          <cell r="CP739">
            <v>-169.6</v>
          </cell>
          <cell r="CQ739">
            <v>-169.6</v>
          </cell>
          <cell r="CR739">
            <v>-169.6</v>
          </cell>
          <cell r="CS739">
            <v>-169.6</v>
          </cell>
          <cell r="CT739">
            <v>-169.6</v>
          </cell>
          <cell r="CU739">
            <v>-169.6</v>
          </cell>
          <cell r="CV739">
            <v>-169.6</v>
          </cell>
          <cell r="CW739">
            <v>-169.6</v>
          </cell>
          <cell r="CX739">
            <v>-169.6</v>
          </cell>
          <cell r="CY739">
            <v>-169.6</v>
          </cell>
          <cell r="CZ739">
            <v>-169.6</v>
          </cell>
          <cell r="DA739">
            <v>-169.6</v>
          </cell>
          <cell r="DB739">
            <v>-169.6</v>
          </cell>
          <cell r="DC739">
            <v>-169.6</v>
          </cell>
          <cell r="DD739">
            <v>-169.6</v>
          </cell>
          <cell r="DE739">
            <v>-125.6</v>
          </cell>
          <cell r="DF739">
            <v>-125.6</v>
          </cell>
          <cell r="DG739">
            <v>-125.6</v>
          </cell>
          <cell r="DH739">
            <v>-125.6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-334.8</v>
          </cell>
          <cell r="DQ739">
            <v>-334.8</v>
          </cell>
          <cell r="DR739">
            <v>-334.8</v>
          </cell>
          <cell r="DS739">
            <v>-334.8</v>
          </cell>
          <cell r="DT739">
            <v>-334.8</v>
          </cell>
          <cell r="DU739">
            <v>-334.8</v>
          </cell>
          <cell r="DV739">
            <v>-334.8</v>
          </cell>
          <cell r="DW739">
            <v>-334.8</v>
          </cell>
          <cell r="DX739">
            <v>-334.8</v>
          </cell>
          <cell r="DY739">
            <v>-334.8</v>
          </cell>
        </row>
        <row r="740">
          <cell r="F740" t="str">
            <v>Misc Rev</v>
          </cell>
          <cell r="G740" t="str">
            <v>A_4120002</v>
          </cell>
          <cell r="H740" t="str">
            <v>Rev from Gas Plant leased-Interest Earned GAAP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-4.2</v>
          </cell>
          <cell r="AN740">
            <v>-1.4</v>
          </cell>
          <cell r="AO740">
            <v>-1.4</v>
          </cell>
          <cell r="AP740">
            <v>-1.4</v>
          </cell>
          <cell r="AQ740">
            <v>-1.4</v>
          </cell>
          <cell r="AR740">
            <v>-2.4</v>
          </cell>
          <cell r="AS740">
            <v>-1.9</v>
          </cell>
          <cell r="AT740">
            <v>-1.5</v>
          </cell>
          <cell r="AU740">
            <v>-1.5</v>
          </cell>
          <cell r="AV740">
            <v>-1.5</v>
          </cell>
          <cell r="AW740">
            <v>55.3</v>
          </cell>
          <cell r="AX740">
            <v>55.3</v>
          </cell>
          <cell r="AY740">
            <v>55.3</v>
          </cell>
          <cell r="AZ740">
            <v>55.3</v>
          </cell>
          <cell r="BA740">
            <v>55.3</v>
          </cell>
          <cell r="BB740">
            <v>55.3</v>
          </cell>
          <cell r="BC740">
            <v>75.2</v>
          </cell>
          <cell r="BD740">
            <v>75.2</v>
          </cell>
          <cell r="BE740">
            <v>75.2</v>
          </cell>
          <cell r="BF740">
            <v>75.900000000000006</v>
          </cell>
          <cell r="BG740">
            <v>75.900000000000006</v>
          </cell>
          <cell r="BH740">
            <v>75.900000000000006</v>
          </cell>
          <cell r="BI740">
            <v>75.900000000000006</v>
          </cell>
          <cell r="BJ740">
            <v>75.900000000000006</v>
          </cell>
          <cell r="BK740">
            <v>75.900000000000006</v>
          </cell>
          <cell r="BL740">
            <v>75.900000000000006</v>
          </cell>
          <cell r="BM740">
            <v>75.900000000000006</v>
          </cell>
          <cell r="BN740">
            <v>75.900000000000006</v>
          </cell>
          <cell r="BO740">
            <v>75.900000000000006</v>
          </cell>
          <cell r="BP740">
            <v>75.900000000000006</v>
          </cell>
          <cell r="BQ740">
            <v>75.900000000000006</v>
          </cell>
          <cell r="BR740">
            <v>76.5</v>
          </cell>
          <cell r="BS740">
            <v>76.5</v>
          </cell>
          <cell r="BT740">
            <v>76.5</v>
          </cell>
          <cell r="BU740">
            <v>76.5</v>
          </cell>
          <cell r="BV740">
            <v>76.5</v>
          </cell>
          <cell r="BW740">
            <v>76.5</v>
          </cell>
          <cell r="BX740">
            <v>76.5</v>
          </cell>
          <cell r="BY740">
            <v>76.5</v>
          </cell>
          <cell r="BZ740">
            <v>76.5</v>
          </cell>
          <cell r="CA740">
            <v>76.5</v>
          </cell>
          <cell r="CB740">
            <v>76.5</v>
          </cell>
          <cell r="CC740">
            <v>76.5</v>
          </cell>
          <cell r="CD740">
            <v>77.2</v>
          </cell>
          <cell r="CE740">
            <v>77.2</v>
          </cell>
          <cell r="CF740">
            <v>77.2</v>
          </cell>
          <cell r="CG740">
            <v>61.5</v>
          </cell>
          <cell r="CH740">
            <v>61.5</v>
          </cell>
          <cell r="CI740">
            <v>61.5</v>
          </cell>
          <cell r="CJ740">
            <v>61.5</v>
          </cell>
          <cell r="CK740">
            <v>61.5</v>
          </cell>
          <cell r="CL740">
            <v>61.5</v>
          </cell>
          <cell r="CM740">
            <v>56</v>
          </cell>
          <cell r="CN740">
            <v>56</v>
          </cell>
          <cell r="CO740">
            <v>56</v>
          </cell>
          <cell r="CP740">
            <v>56.7</v>
          </cell>
          <cell r="CQ740">
            <v>56.7</v>
          </cell>
          <cell r="CR740">
            <v>56.7</v>
          </cell>
          <cell r="CS740">
            <v>56.7</v>
          </cell>
          <cell r="CT740">
            <v>56.7</v>
          </cell>
          <cell r="CU740">
            <v>56.7</v>
          </cell>
          <cell r="CV740">
            <v>56.7</v>
          </cell>
          <cell r="CW740">
            <v>56.7</v>
          </cell>
          <cell r="CX740">
            <v>56.7</v>
          </cell>
          <cell r="CY740">
            <v>56.7</v>
          </cell>
          <cell r="CZ740">
            <v>56.7</v>
          </cell>
          <cell r="DA740">
            <v>56.7</v>
          </cell>
          <cell r="DB740">
            <v>57.3</v>
          </cell>
          <cell r="DC740">
            <v>57.3</v>
          </cell>
          <cell r="DD740">
            <v>57.3</v>
          </cell>
          <cell r="DE740">
            <v>42.5</v>
          </cell>
          <cell r="DF740">
            <v>42.5</v>
          </cell>
          <cell r="DG740">
            <v>42.5</v>
          </cell>
          <cell r="DH740">
            <v>42.5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230.7</v>
          </cell>
          <cell r="DQ740">
            <v>230.7</v>
          </cell>
          <cell r="DR740">
            <v>230.7</v>
          </cell>
          <cell r="DS740">
            <v>230.7</v>
          </cell>
          <cell r="DT740">
            <v>230.7</v>
          </cell>
          <cell r="DU740">
            <v>230.7</v>
          </cell>
          <cell r="DV740">
            <v>230.7</v>
          </cell>
          <cell r="DW740">
            <v>230.7</v>
          </cell>
          <cell r="DX740">
            <v>230.7</v>
          </cell>
          <cell r="DY740">
            <v>230.7</v>
          </cell>
        </row>
        <row r="741">
          <cell r="F741" t="str">
            <v>O&amp;M</v>
          </cell>
          <cell r="G741" t="str">
            <v>A_6790801</v>
          </cell>
          <cell r="H741" t="str">
            <v>Other Operational Expense - GAAP Adjustment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-65.099999999999994</v>
          </cell>
          <cell r="AN741">
            <v>-21.7</v>
          </cell>
          <cell r="AO741">
            <v>-21.7</v>
          </cell>
          <cell r="AP741">
            <v>-21.7</v>
          </cell>
          <cell r="AQ741">
            <v>-21.7</v>
          </cell>
          <cell r="AR741">
            <v>-36.799999999999997</v>
          </cell>
          <cell r="AS741">
            <v>-29.3</v>
          </cell>
          <cell r="AT741">
            <v>-29.3</v>
          </cell>
          <cell r="AU741">
            <v>-29.3</v>
          </cell>
          <cell r="AV741">
            <v>-29.3</v>
          </cell>
          <cell r="AW741">
            <v>-59.2</v>
          </cell>
          <cell r="AX741">
            <v>-59.2</v>
          </cell>
          <cell r="AY741">
            <v>-59.2</v>
          </cell>
          <cell r="AZ741">
            <v>-59.2</v>
          </cell>
          <cell r="BA741">
            <v>-59.2</v>
          </cell>
          <cell r="BB741">
            <v>-59.2</v>
          </cell>
          <cell r="BC741">
            <v>-69.7</v>
          </cell>
          <cell r="BD741">
            <v>-69.7</v>
          </cell>
          <cell r="BE741">
            <v>-69.7</v>
          </cell>
          <cell r="BF741">
            <v>-69.7</v>
          </cell>
          <cell r="BG741">
            <v>-69.7</v>
          </cell>
          <cell r="BH741">
            <v>-69.7</v>
          </cell>
          <cell r="BI741">
            <v>-69.7</v>
          </cell>
          <cell r="BJ741">
            <v>-69.7</v>
          </cell>
          <cell r="BK741">
            <v>-69.7</v>
          </cell>
          <cell r="BL741">
            <v>-69.7</v>
          </cell>
          <cell r="BM741">
            <v>-69.7</v>
          </cell>
          <cell r="BN741">
            <v>-69.7</v>
          </cell>
          <cell r="BO741">
            <v>-69.7</v>
          </cell>
          <cell r="BP741">
            <v>-69.7</v>
          </cell>
          <cell r="BQ741">
            <v>-69.7</v>
          </cell>
          <cell r="BR741">
            <v>-69.7</v>
          </cell>
          <cell r="BS741">
            <v>-69.7</v>
          </cell>
          <cell r="BT741">
            <v>-69.7</v>
          </cell>
          <cell r="BU741">
            <v>-69.7</v>
          </cell>
          <cell r="BV741">
            <v>-69.7</v>
          </cell>
          <cell r="BW741">
            <v>-69.7</v>
          </cell>
          <cell r="BX741">
            <v>-69.7</v>
          </cell>
          <cell r="BY741">
            <v>-69.7</v>
          </cell>
          <cell r="BZ741">
            <v>-69.7</v>
          </cell>
          <cell r="CA741">
            <v>-69.7</v>
          </cell>
          <cell r="CB741">
            <v>-69.7</v>
          </cell>
          <cell r="CC741">
            <v>-69.7</v>
          </cell>
          <cell r="CD741">
            <v>-69.7</v>
          </cell>
          <cell r="CE741">
            <v>-69.7</v>
          </cell>
          <cell r="CF741">
            <v>-69.7</v>
          </cell>
          <cell r="CG741">
            <v>-61.4</v>
          </cell>
          <cell r="CH741">
            <v>-61.4</v>
          </cell>
          <cell r="CI741">
            <v>-61.4</v>
          </cell>
          <cell r="CJ741">
            <v>-61.4</v>
          </cell>
          <cell r="CK741">
            <v>-61.4</v>
          </cell>
          <cell r="CL741">
            <v>-61.4</v>
          </cell>
          <cell r="CM741">
            <v>-58.5</v>
          </cell>
          <cell r="CN741">
            <v>-58.5</v>
          </cell>
          <cell r="CO741">
            <v>-58.5</v>
          </cell>
          <cell r="CP741">
            <v>-58.5</v>
          </cell>
          <cell r="CQ741">
            <v>-58.5</v>
          </cell>
          <cell r="CR741">
            <v>-58.5</v>
          </cell>
          <cell r="CS741">
            <v>-58.5</v>
          </cell>
          <cell r="CT741">
            <v>-58.5</v>
          </cell>
          <cell r="CU741">
            <v>-58.5</v>
          </cell>
          <cell r="CV741">
            <v>-58.5</v>
          </cell>
          <cell r="CW741">
            <v>-58.5</v>
          </cell>
          <cell r="CX741">
            <v>-58.5</v>
          </cell>
          <cell r="CY741">
            <v>-58.5</v>
          </cell>
          <cell r="CZ741">
            <v>-58.5</v>
          </cell>
          <cell r="DA741">
            <v>-58.5</v>
          </cell>
          <cell r="DB741">
            <v>-58.5</v>
          </cell>
          <cell r="DC741">
            <v>-58.5</v>
          </cell>
          <cell r="DD741">
            <v>-58.5</v>
          </cell>
          <cell r="DE741">
            <v>-43.4</v>
          </cell>
          <cell r="DF741">
            <v>-43.4</v>
          </cell>
          <cell r="DG741">
            <v>-43.4</v>
          </cell>
          <cell r="DH741">
            <v>-43.4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</row>
        <row r="742">
          <cell r="F742" t="str">
            <v>Dep Exp</v>
          </cell>
          <cell r="G742" t="str">
            <v>A_6810801</v>
          </cell>
          <cell r="H742" t="str">
            <v>Depreciation - Other - GAAP adjustment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-98.2</v>
          </cell>
          <cell r="AN742">
            <v>-32.700000000000003</v>
          </cell>
          <cell r="AO742">
            <v>-32.700000000000003</v>
          </cell>
          <cell r="AP742">
            <v>-32.700000000000003</v>
          </cell>
          <cell r="AQ742">
            <v>-32.700000000000003</v>
          </cell>
          <cell r="AR742">
            <v>-55.6</v>
          </cell>
          <cell r="AS742">
            <v>-44.2</v>
          </cell>
          <cell r="AT742">
            <v>-44.2</v>
          </cell>
          <cell r="AU742">
            <v>-44.2</v>
          </cell>
          <cell r="AV742">
            <v>-44.2</v>
          </cell>
          <cell r="AW742">
            <v>-44.2</v>
          </cell>
          <cell r="AX742">
            <v>-44.2</v>
          </cell>
          <cell r="AY742">
            <v>-44.2</v>
          </cell>
          <cell r="AZ742">
            <v>-44.2</v>
          </cell>
          <cell r="BA742">
            <v>-44.2</v>
          </cell>
          <cell r="BB742">
            <v>-44.2</v>
          </cell>
          <cell r="BC742">
            <v>-44.2</v>
          </cell>
          <cell r="BD742">
            <v>-44.2</v>
          </cell>
          <cell r="BE742">
            <v>-44.2</v>
          </cell>
          <cell r="BF742">
            <v>-44.2</v>
          </cell>
          <cell r="BG742">
            <v>-44.2</v>
          </cell>
          <cell r="BH742">
            <v>-44.2</v>
          </cell>
          <cell r="BI742">
            <v>-44.2</v>
          </cell>
          <cell r="BJ742">
            <v>-44.2</v>
          </cell>
          <cell r="BK742">
            <v>-44.2</v>
          </cell>
          <cell r="BL742">
            <v>-44.2</v>
          </cell>
          <cell r="BM742">
            <v>-44.2</v>
          </cell>
          <cell r="BN742">
            <v>-44.2</v>
          </cell>
          <cell r="BO742">
            <v>-44.2</v>
          </cell>
          <cell r="BP742">
            <v>-44.2</v>
          </cell>
          <cell r="BQ742">
            <v>-44.2</v>
          </cell>
          <cell r="BR742">
            <v>-44.2</v>
          </cell>
          <cell r="BS742">
            <v>-44.2</v>
          </cell>
          <cell r="BT742">
            <v>-44.2</v>
          </cell>
          <cell r="BU742">
            <v>-44.2</v>
          </cell>
          <cell r="BV742">
            <v>-44.2</v>
          </cell>
          <cell r="BW742">
            <v>-44.2</v>
          </cell>
          <cell r="BX742">
            <v>-44.2</v>
          </cell>
          <cell r="BY742">
            <v>-44.2</v>
          </cell>
          <cell r="BZ742">
            <v>-44.2</v>
          </cell>
          <cell r="CA742">
            <v>-44.2</v>
          </cell>
          <cell r="CB742">
            <v>-44.2</v>
          </cell>
          <cell r="CC742">
            <v>-44.2</v>
          </cell>
          <cell r="CD742">
            <v>-44.2</v>
          </cell>
          <cell r="CE742">
            <v>-44.2</v>
          </cell>
          <cell r="CF742">
            <v>-44.2</v>
          </cell>
          <cell r="CG742">
            <v>-44.2</v>
          </cell>
          <cell r="CH742">
            <v>-44.2</v>
          </cell>
          <cell r="CI742">
            <v>-44.2</v>
          </cell>
          <cell r="CJ742">
            <v>-44.2</v>
          </cell>
          <cell r="CK742">
            <v>-44.2</v>
          </cell>
          <cell r="CL742">
            <v>-44.2</v>
          </cell>
          <cell r="CM742">
            <v>-44.2</v>
          </cell>
          <cell r="CN742">
            <v>-44.2</v>
          </cell>
          <cell r="CO742">
            <v>-44.2</v>
          </cell>
          <cell r="CP742">
            <v>-44.2</v>
          </cell>
          <cell r="CQ742">
            <v>-44.2</v>
          </cell>
          <cell r="CR742">
            <v>-44.2</v>
          </cell>
          <cell r="CS742">
            <v>-44.2</v>
          </cell>
          <cell r="CT742">
            <v>-44.2</v>
          </cell>
          <cell r="CU742">
            <v>-44.2</v>
          </cell>
          <cell r="CV742">
            <v>-44.2</v>
          </cell>
          <cell r="CW742">
            <v>-44.2</v>
          </cell>
          <cell r="CX742">
            <v>-44.2</v>
          </cell>
          <cell r="CY742">
            <v>-44.2</v>
          </cell>
          <cell r="CZ742">
            <v>-44.2</v>
          </cell>
          <cell r="DA742">
            <v>-44.2</v>
          </cell>
          <cell r="DB742">
            <v>-44.2</v>
          </cell>
          <cell r="DC742">
            <v>-44.2</v>
          </cell>
          <cell r="DD742">
            <v>-44.2</v>
          </cell>
          <cell r="DE742">
            <v>-32.700000000000003</v>
          </cell>
          <cell r="DF742">
            <v>-32.700000000000003</v>
          </cell>
          <cell r="DG742">
            <v>-32.700000000000003</v>
          </cell>
          <cell r="DH742">
            <v>-32.700000000000003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-104.1</v>
          </cell>
          <cell r="DQ742">
            <v>-104.1</v>
          </cell>
          <cell r="DR742">
            <v>-104.1</v>
          </cell>
          <cell r="DS742">
            <v>-104.1</v>
          </cell>
          <cell r="DT742">
            <v>-104.1</v>
          </cell>
          <cell r="DU742">
            <v>-104.1</v>
          </cell>
          <cell r="DV742">
            <v>-104.1</v>
          </cell>
          <cell r="DW742">
            <v>-104.1</v>
          </cell>
          <cell r="DX742">
            <v>-104.1</v>
          </cell>
          <cell r="DY742">
            <v>-104.1</v>
          </cell>
        </row>
        <row r="743">
          <cell r="F743" t="str">
            <v>Prop Tax</v>
          </cell>
          <cell r="G743" t="str">
            <v>A_6900061</v>
          </cell>
          <cell r="H743" t="str">
            <v>TOTI - Property Tax - Above the line - GAAP Adj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-29.4</v>
          </cell>
          <cell r="AN743">
            <v>-9.8000000000000007</v>
          </cell>
          <cell r="AO743">
            <v>-9.8000000000000007</v>
          </cell>
          <cell r="AP743">
            <v>-9.8000000000000007</v>
          </cell>
          <cell r="AQ743">
            <v>-9.8000000000000007</v>
          </cell>
          <cell r="AR743">
            <v>-16.7</v>
          </cell>
          <cell r="AS743">
            <v>-13.2</v>
          </cell>
          <cell r="AT743">
            <v>-12.8</v>
          </cell>
          <cell r="AU743">
            <v>-12.8</v>
          </cell>
          <cell r="AV743">
            <v>-12.8</v>
          </cell>
          <cell r="AW743">
            <v>-12.8</v>
          </cell>
          <cell r="AX743">
            <v>-12.8</v>
          </cell>
          <cell r="AY743">
            <v>-12.8</v>
          </cell>
          <cell r="AZ743">
            <v>-12.8</v>
          </cell>
          <cell r="BA743">
            <v>-12.8</v>
          </cell>
          <cell r="BB743">
            <v>-12.8</v>
          </cell>
          <cell r="BC743">
            <v>-12.8</v>
          </cell>
          <cell r="BD743">
            <v>-12.8</v>
          </cell>
          <cell r="BE743">
            <v>-12.8</v>
          </cell>
          <cell r="BF743">
            <v>-12.2</v>
          </cell>
          <cell r="BG743">
            <v>-12.2</v>
          </cell>
          <cell r="BH743">
            <v>-12.2</v>
          </cell>
          <cell r="BI743">
            <v>-12.2</v>
          </cell>
          <cell r="BJ743">
            <v>-12.2</v>
          </cell>
          <cell r="BK743">
            <v>-12.2</v>
          </cell>
          <cell r="BL743">
            <v>-12.2</v>
          </cell>
          <cell r="BM743">
            <v>-12.2</v>
          </cell>
          <cell r="BN743">
            <v>-12.2</v>
          </cell>
          <cell r="BO743">
            <v>-12.2</v>
          </cell>
          <cell r="BP743">
            <v>-12.2</v>
          </cell>
          <cell r="BQ743">
            <v>-12.2</v>
          </cell>
          <cell r="BR743">
            <v>-11.5</v>
          </cell>
          <cell r="BS743">
            <v>-11.5</v>
          </cell>
          <cell r="BT743">
            <v>-11.5</v>
          </cell>
          <cell r="BU743">
            <v>-11.5</v>
          </cell>
          <cell r="BV743">
            <v>-11.5</v>
          </cell>
          <cell r="BW743">
            <v>-11.5</v>
          </cell>
          <cell r="BX743">
            <v>-11.5</v>
          </cell>
          <cell r="BY743">
            <v>-11.5</v>
          </cell>
          <cell r="BZ743">
            <v>-11.5</v>
          </cell>
          <cell r="CA743">
            <v>-11.5</v>
          </cell>
          <cell r="CB743">
            <v>-11.5</v>
          </cell>
          <cell r="CC743">
            <v>-11.5</v>
          </cell>
          <cell r="CD743">
            <v>-10.8</v>
          </cell>
          <cell r="CE743">
            <v>-10.8</v>
          </cell>
          <cell r="CF743">
            <v>-10.8</v>
          </cell>
          <cell r="CG743">
            <v>-10.8</v>
          </cell>
          <cell r="CH743">
            <v>-10.8</v>
          </cell>
          <cell r="CI743">
            <v>-10.8</v>
          </cell>
          <cell r="CJ743">
            <v>-10.8</v>
          </cell>
          <cell r="CK743">
            <v>-10.8</v>
          </cell>
          <cell r="CL743">
            <v>-10.8</v>
          </cell>
          <cell r="CM743">
            <v>-10.8</v>
          </cell>
          <cell r="CN743">
            <v>-10.8</v>
          </cell>
          <cell r="CO743">
            <v>-10.8</v>
          </cell>
          <cell r="CP743">
            <v>-10.199999999999999</v>
          </cell>
          <cell r="CQ743">
            <v>-10.199999999999999</v>
          </cell>
          <cell r="CR743">
            <v>-10.199999999999999</v>
          </cell>
          <cell r="CS743">
            <v>-10.199999999999999</v>
          </cell>
          <cell r="CT743">
            <v>-10.199999999999999</v>
          </cell>
          <cell r="CU743">
            <v>-10.199999999999999</v>
          </cell>
          <cell r="CV743">
            <v>-10.199999999999999</v>
          </cell>
          <cell r="CW743">
            <v>-10.199999999999999</v>
          </cell>
          <cell r="CX743">
            <v>-10.199999999999999</v>
          </cell>
          <cell r="CY743">
            <v>-10.199999999999999</v>
          </cell>
          <cell r="CZ743">
            <v>-10.199999999999999</v>
          </cell>
          <cell r="DA743">
            <v>-10.199999999999999</v>
          </cell>
          <cell r="DB743">
            <v>-9.5</v>
          </cell>
          <cell r="DC743">
            <v>-9.5</v>
          </cell>
          <cell r="DD743">
            <v>-9.5</v>
          </cell>
          <cell r="DE743">
            <v>-7</v>
          </cell>
          <cell r="DF743">
            <v>-7</v>
          </cell>
          <cell r="DG743">
            <v>-7</v>
          </cell>
          <cell r="DH743">
            <v>-7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</row>
        <row r="745">
          <cell r="H745" t="str">
            <v>Variance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0.10000000000000853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0.10000000000000853</v>
          </cell>
          <cell r="BG745">
            <v>0.10000000000000853</v>
          </cell>
          <cell r="BH745">
            <v>0.10000000000000853</v>
          </cell>
          <cell r="BI745">
            <v>0.10000000000000853</v>
          </cell>
          <cell r="BJ745">
            <v>0.10000000000000853</v>
          </cell>
          <cell r="BK745">
            <v>0.10000000000000853</v>
          </cell>
          <cell r="BL745">
            <v>0.10000000000000853</v>
          </cell>
          <cell r="BM745">
            <v>0.10000000000000853</v>
          </cell>
          <cell r="BN745">
            <v>0.10000000000000853</v>
          </cell>
          <cell r="BO745">
            <v>0.10000000000000853</v>
          </cell>
          <cell r="BP745">
            <v>0.10000000000000853</v>
          </cell>
          <cell r="BQ745">
            <v>0.10000000000000853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-9.9999999999994316E-2</v>
          </cell>
          <cell r="CN745">
            <v>-9.9999999999994316E-2</v>
          </cell>
          <cell r="CO745">
            <v>-9.9999999999994316E-2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-9.9999999999994316E-2</v>
          </cell>
          <cell r="DC745">
            <v>-9.9999999999994316E-2</v>
          </cell>
          <cell r="DD745">
            <v>-9.9999999999994316E-2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</row>
        <row r="747">
          <cell r="H747" t="str">
            <v>ST Int for BPC Forecast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F747">
            <v>1900</v>
          </cell>
          <cell r="CG747">
            <v>1500</v>
          </cell>
          <cell r="CH747">
            <v>1500</v>
          </cell>
          <cell r="CI747">
            <v>286800</v>
          </cell>
          <cell r="CJ747">
            <v>36300</v>
          </cell>
          <cell r="CK747">
            <v>36300</v>
          </cell>
          <cell r="CL747">
            <v>35200</v>
          </cell>
          <cell r="CM747">
            <v>36300</v>
          </cell>
          <cell r="CN747">
            <v>35200</v>
          </cell>
          <cell r="CO747">
            <v>36300</v>
          </cell>
          <cell r="CP747">
            <v>36300</v>
          </cell>
          <cell r="CQ747">
            <v>33700</v>
          </cell>
          <cell r="CR747">
            <v>27600</v>
          </cell>
          <cell r="CS747">
            <v>2500</v>
          </cell>
          <cell r="CT747">
            <v>0</v>
          </cell>
          <cell r="CU747">
            <v>15700</v>
          </cell>
          <cell r="CV747">
            <v>28600</v>
          </cell>
          <cell r="CW747">
            <v>33200</v>
          </cell>
          <cell r="CX747">
            <v>24200</v>
          </cell>
          <cell r="CY747">
            <v>37700</v>
          </cell>
          <cell r="CZ747">
            <v>38900</v>
          </cell>
          <cell r="DA747">
            <v>60500</v>
          </cell>
          <cell r="DB747">
            <v>100600</v>
          </cell>
          <cell r="DC747">
            <v>78500</v>
          </cell>
          <cell r="DD747">
            <v>123600</v>
          </cell>
          <cell r="DE747">
            <v>165200</v>
          </cell>
          <cell r="DF747">
            <v>233900</v>
          </cell>
          <cell r="DG747">
            <v>259700</v>
          </cell>
          <cell r="DH747">
            <v>317000</v>
          </cell>
          <cell r="DI747">
            <v>247300</v>
          </cell>
          <cell r="DJ747">
            <v>357600</v>
          </cell>
          <cell r="DK747">
            <v>503500</v>
          </cell>
          <cell r="DL747">
            <v>596800</v>
          </cell>
          <cell r="DM747">
            <v>747300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1068508.3084570023</v>
          </cell>
          <cell r="DX747">
            <v>483763.55818643264</v>
          </cell>
          <cell r="DY747">
            <v>471977.70471175137</v>
          </cell>
        </row>
        <row r="749">
          <cell r="H749" t="str">
            <v>Equity Earnings CC390000</v>
          </cell>
        </row>
        <row r="750">
          <cell r="DN750" t="str">
            <v>Intercompany</v>
          </cell>
          <cell r="DO750" t="str">
            <v>Intercompany</v>
          </cell>
          <cell r="DP750" t="str">
            <v>Intercompany</v>
          </cell>
          <cell r="DQ750" t="str">
            <v>Intercompany</v>
          </cell>
          <cell r="DR750" t="str">
            <v>Intercompany</v>
          </cell>
          <cell r="DS750" t="str">
            <v>Intercompany</v>
          </cell>
        </row>
        <row r="753">
          <cell r="G753">
            <v>1</v>
          </cell>
          <cell r="DN753">
            <v>112</v>
          </cell>
        </row>
        <row r="761">
          <cell r="DN761">
            <v>3313300</v>
          </cell>
        </row>
        <row r="763">
          <cell r="DN763">
            <v>-534000</v>
          </cell>
          <cell r="DO763">
            <v>-617900</v>
          </cell>
          <cell r="DP763">
            <v>-608300</v>
          </cell>
          <cell r="DQ763">
            <v>-605500</v>
          </cell>
          <cell r="DR763">
            <v>-602700</v>
          </cell>
          <cell r="DS763">
            <v>-614800</v>
          </cell>
          <cell r="DT763">
            <v>-617500</v>
          </cell>
          <cell r="DU763">
            <v>-621800</v>
          </cell>
          <cell r="DV763">
            <v>-632600</v>
          </cell>
          <cell r="DW763">
            <v>-640900</v>
          </cell>
          <cell r="DX763">
            <v>-648200</v>
          </cell>
          <cell r="DY763">
            <v>-665200</v>
          </cell>
        </row>
      </sheetData>
      <sheetData sheetId="28">
        <row r="3">
          <cell r="D3">
            <v>1</v>
          </cell>
          <cell r="E3" t="str">
            <v>Debt Accounts</v>
          </cell>
          <cell r="DL3">
            <v>112</v>
          </cell>
          <cell r="DR3">
            <v>118</v>
          </cell>
        </row>
        <row r="4">
          <cell r="D4">
            <v>0</v>
          </cell>
          <cell r="E4">
            <v>1</v>
          </cell>
          <cell r="G4" t="str">
            <v>Actual</v>
          </cell>
          <cell r="H4" t="str">
            <v>Actual</v>
          </cell>
          <cell r="I4" t="str">
            <v>Actual</v>
          </cell>
          <cell r="J4" t="str">
            <v>Actual</v>
          </cell>
          <cell r="K4" t="str">
            <v>Actual</v>
          </cell>
          <cell r="L4" t="str">
            <v>Actual</v>
          </cell>
          <cell r="M4" t="str">
            <v>Actual</v>
          </cell>
          <cell r="N4" t="str">
            <v>Actual</v>
          </cell>
          <cell r="O4" t="str">
            <v>Actual</v>
          </cell>
          <cell r="P4" t="str">
            <v>Actual</v>
          </cell>
          <cell r="Q4" t="str">
            <v>Actual</v>
          </cell>
          <cell r="R4" t="str">
            <v>Actual</v>
          </cell>
          <cell r="S4" t="str">
            <v>Actual</v>
          </cell>
          <cell r="T4" t="str">
            <v>Actual</v>
          </cell>
          <cell r="U4" t="str">
            <v>Actual</v>
          </cell>
          <cell r="V4" t="str">
            <v>Actual</v>
          </cell>
          <cell r="W4" t="str">
            <v>Actual</v>
          </cell>
          <cell r="X4" t="str">
            <v>Actual</v>
          </cell>
          <cell r="Y4" t="str">
            <v>Actual</v>
          </cell>
          <cell r="Z4" t="str">
            <v>Actual</v>
          </cell>
          <cell r="AA4" t="str">
            <v>Actual</v>
          </cell>
          <cell r="AB4" t="str">
            <v>Actual</v>
          </cell>
          <cell r="AC4" t="str">
            <v>Actual</v>
          </cell>
          <cell r="AD4" t="str">
            <v>Actual</v>
          </cell>
          <cell r="AE4" t="str">
            <v>Actual</v>
          </cell>
          <cell r="AF4" t="str">
            <v>Actual</v>
          </cell>
          <cell r="AG4" t="str">
            <v>Actual</v>
          </cell>
          <cell r="AH4" t="str">
            <v>Actual</v>
          </cell>
          <cell r="AI4" t="str">
            <v>Actual</v>
          </cell>
          <cell r="AJ4" t="str">
            <v>Actual</v>
          </cell>
          <cell r="AK4" t="str">
            <v>Actual</v>
          </cell>
          <cell r="AL4" t="str">
            <v>Actual</v>
          </cell>
          <cell r="AM4" t="str">
            <v>Actual</v>
          </cell>
          <cell r="AN4" t="str">
            <v>Actual</v>
          </cell>
          <cell r="AO4" t="str">
            <v>Actual</v>
          </cell>
          <cell r="AP4" t="str">
            <v>Actual</v>
          </cell>
          <cell r="AQ4" t="str">
            <v>Actual</v>
          </cell>
          <cell r="AR4" t="str">
            <v>Actual</v>
          </cell>
          <cell r="AS4" t="str">
            <v>Actual</v>
          </cell>
          <cell r="AT4" t="str">
            <v>Actual</v>
          </cell>
          <cell r="AU4" t="str">
            <v>Actual</v>
          </cell>
          <cell r="AV4" t="str">
            <v>Actual</v>
          </cell>
          <cell r="AW4" t="str">
            <v>Actual</v>
          </cell>
          <cell r="AX4" t="str">
            <v>Actual</v>
          </cell>
          <cell r="AY4" t="str">
            <v>Actual</v>
          </cell>
          <cell r="AZ4" t="str">
            <v>Actual</v>
          </cell>
          <cell r="BA4" t="str">
            <v>Actual</v>
          </cell>
          <cell r="BB4" t="str">
            <v>Actual</v>
          </cell>
          <cell r="BC4" t="str">
            <v>Actual</v>
          </cell>
          <cell r="BD4" t="str">
            <v>Actual</v>
          </cell>
          <cell r="BE4" t="str">
            <v>Actual</v>
          </cell>
          <cell r="BF4" t="str">
            <v>Actual</v>
          </cell>
          <cell r="BG4" t="str">
            <v>Actual</v>
          </cell>
          <cell r="BH4" t="str">
            <v>Actual</v>
          </cell>
          <cell r="BI4" t="str">
            <v>Actual</v>
          </cell>
          <cell r="BJ4" t="str">
            <v>Actual</v>
          </cell>
          <cell r="BK4" t="str">
            <v>Actual</v>
          </cell>
          <cell r="BL4" t="str">
            <v>Actual</v>
          </cell>
          <cell r="BM4" t="str">
            <v>Actual</v>
          </cell>
          <cell r="BN4" t="str">
            <v>Actual</v>
          </cell>
          <cell r="BO4" t="str">
            <v>Actual</v>
          </cell>
          <cell r="BP4" t="str">
            <v>Actual</v>
          </cell>
          <cell r="BQ4" t="str">
            <v>Actual</v>
          </cell>
          <cell r="BR4" t="str">
            <v>Actual</v>
          </cell>
          <cell r="BS4" t="str">
            <v>Actual</v>
          </cell>
          <cell r="BT4" t="str">
            <v>Actual</v>
          </cell>
          <cell r="BU4" t="str">
            <v>Actual</v>
          </cell>
          <cell r="BV4" t="str">
            <v>Actual</v>
          </cell>
          <cell r="BW4" t="str">
            <v>Actual</v>
          </cell>
          <cell r="BX4" t="str">
            <v>Actual</v>
          </cell>
          <cell r="BY4" t="str">
            <v>Actual</v>
          </cell>
          <cell r="BZ4" t="str">
            <v>Actual</v>
          </cell>
          <cell r="CA4" t="str">
            <v>Actual</v>
          </cell>
          <cell r="CB4" t="str">
            <v>Actual</v>
          </cell>
          <cell r="CC4" t="str">
            <v>Actual</v>
          </cell>
          <cell r="CD4" t="str">
            <v>Actual</v>
          </cell>
          <cell r="CE4" t="str">
            <v>Actual</v>
          </cell>
          <cell r="CF4" t="str">
            <v>Actual</v>
          </cell>
          <cell r="CG4" t="str">
            <v>Actual</v>
          </cell>
          <cell r="CH4" t="str">
            <v>Actual</v>
          </cell>
          <cell r="CI4" t="str">
            <v>Actual</v>
          </cell>
          <cell r="CJ4" t="str">
            <v>Actual</v>
          </cell>
          <cell r="CK4" t="str">
            <v>Actual</v>
          </cell>
          <cell r="CL4" t="str">
            <v>Actual</v>
          </cell>
          <cell r="CM4" t="str">
            <v>Actual</v>
          </cell>
          <cell r="CN4" t="str">
            <v>Actual</v>
          </cell>
          <cell r="CO4" t="str">
            <v>Actual</v>
          </cell>
          <cell r="CP4" t="str">
            <v>Actual</v>
          </cell>
          <cell r="CQ4" t="str">
            <v>Actual</v>
          </cell>
          <cell r="CR4" t="str">
            <v>Actual</v>
          </cell>
          <cell r="CS4" t="str">
            <v>Actual</v>
          </cell>
          <cell r="CT4" t="str">
            <v>Actual</v>
          </cell>
          <cell r="CU4" t="str">
            <v>Actual</v>
          </cell>
          <cell r="CV4" t="str">
            <v>Actual</v>
          </cell>
          <cell r="CW4" t="str">
            <v>Actual</v>
          </cell>
          <cell r="CX4" t="str">
            <v>Actual</v>
          </cell>
          <cell r="CY4" t="str">
            <v>Actual</v>
          </cell>
          <cell r="CZ4" t="str">
            <v>Actual</v>
          </cell>
          <cell r="DA4" t="str">
            <v>Actual</v>
          </cell>
          <cell r="DB4" t="str">
            <v>Actual</v>
          </cell>
          <cell r="DC4" t="str">
            <v>Actual</v>
          </cell>
          <cell r="DD4" t="str">
            <v>Actual</v>
          </cell>
          <cell r="DE4" t="str">
            <v>Actual</v>
          </cell>
          <cell r="DF4" t="str">
            <v>Actual</v>
          </cell>
          <cell r="DG4" t="str">
            <v>Actual</v>
          </cell>
          <cell r="DH4" t="str">
            <v>Actual</v>
          </cell>
          <cell r="DI4" t="str">
            <v>Actual</v>
          </cell>
          <cell r="DJ4" t="str">
            <v>Actual</v>
          </cell>
          <cell r="DK4" t="str">
            <v>Actual</v>
          </cell>
          <cell r="DL4" t="str">
            <v>Budget</v>
          </cell>
          <cell r="DM4" t="str">
            <v>Budget</v>
          </cell>
          <cell r="DN4" t="str">
            <v>Budget</v>
          </cell>
          <cell r="DO4" t="str">
            <v>Budget</v>
          </cell>
          <cell r="DP4" t="str">
            <v>Budget</v>
          </cell>
          <cell r="DQ4" t="str">
            <v>Budget</v>
          </cell>
          <cell r="DR4" t="str">
            <v>Budget</v>
          </cell>
          <cell r="DS4" t="str">
            <v>Budget</v>
          </cell>
          <cell r="DT4" t="str">
            <v>Budget</v>
          </cell>
          <cell r="DU4" t="str">
            <v>Budget</v>
          </cell>
          <cell r="DV4" t="str">
            <v>Budget</v>
          </cell>
          <cell r="DW4" t="str">
            <v>Budget</v>
          </cell>
          <cell r="DX4" t="str">
            <v>Forecast</v>
          </cell>
          <cell r="DY4" t="str">
            <v>Forecast</v>
          </cell>
          <cell r="DZ4" t="str">
            <v>Forecast</v>
          </cell>
          <cell r="EA4" t="str">
            <v>Forecast</v>
          </cell>
          <cell r="EB4" t="str">
            <v>Forecast</v>
          </cell>
          <cell r="EC4" t="str">
            <v>Forecast</v>
          </cell>
          <cell r="ED4" t="str">
            <v>Forecast</v>
          </cell>
          <cell r="EE4" t="str">
            <v>Forecast</v>
          </cell>
          <cell r="EF4" t="str">
            <v>Forecast</v>
          </cell>
          <cell r="EG4" t="str">
            <v>Forecast</v>
          </cell>
          <cell r="EH4" t="str">
            <v>Forecast</v>
          </cell>
          <cell r="EI4" t="str">
            <v>Forecast</v>
          </cell>
          <cell r="EM4" t="str">
            <v>Budget</v>
          </cell>
          <cell r="EN4" t="str">
            <v>Budget</v>
          </cell>
          <cell r="EO4" t="str">
            <v>Budget</v>
          </cell>
          <cell r="EP4" t="str">
            <v>Budget</v>
          </cell>
          <cell r="EQ4" t="str">
            <v>Budget</v>
          </cell>
          <cell r="ER4" t="str">
            <v>Budget</v>
          </cell>
          <cell r="ES4" t="str">
            <v>Budget</v>
          </cell>
          <cell r="ET4" t="str">
            <v>Budget</v>
          </cell>
          <cell r="EU4" t="str">
            <v>Budget</v>
          </cell>
          <cell r="EV4" t="str">
            <v>Budget</v>
          </cell>
          <cell r="EW4" t="str">
            <v>Budget</v>
          </cell>
          <cell r="EX4" t="str">
            <v>Budget</v>
          </cell>
        </row>
        <row r="5">
          <cell r="A5" t="str">
            <v>BS Detail Descr</v>
          </cell>
          <cell r="B5" t="str">
            <v>CF Detail Descr</v>
          </cell>
          <cell r="C5" t="str">
            <v>Surv. Report Descr</v>
          </cell>
          <cell r="D5" t="str">
            <v>GL Account</v>
          </cell>
          <cell r="E5" t="str">
            <v>GL Account</v>
          </cell>
          <cell r="F5" t="str">
            <v>Description</v>
          </cell>
          <cell r="G5" t="str">
            <v>Dec 2013</v>
          </cell>
          <cell r="H5" t="str">
            <v>Jan 2014</v>
          </cell>
          <cell r="I5" t="str">
            <v>Feb 2014</v>
          </cell>
          <cell r="J5" t="str">
            <v>Mar 2014</v>
          </cell>
          <cell r="K5" t="str">
            <v>Apr 2014</v>
          </cell>
          <cell r="L5" t="str">
            <v>May 2014</v>
          </cell>
          <cell r="M5" t="str">
            <v>Jun 2014</v>
          </cell>
          <cell r="N5" t="str">
            <v>Jul 2014</v>
          </cell>
          <cell r="O5" t="str">
            <v>Aug 2014</v>
          </cell>
          <cell r="P5" t="str">
            <v>Sep 2014</v>
          </cell>
          <cell r="Q5" t="str">
            <v>Oct 2014</v>
          </cell>
          <cell r="R5" t="str">
            <v>Nov 2014</v>
          </cell>
          <cell r="S5" t="str">
            <v>Dec 2014</v>
          </cell>
          <cell r="T5" t="str">
            <v>Jan 2015</v>
          </cell>
          <cell r="U5" t="str">
            <v>Feb 2015</v>
          </cell>
          <cell r="V5" t="str">
            <v>Mar 2015</v>
          </cell>
          <cell r="W5" t="str">
            <v>Apr 2015</v>
          </cell>
          <cell r="X5" t="str">
            <v>May 2015</v>
          </cell>
          <cell r="Y5" t="str">
            <v>Jun 2015</v>
          </cell>
          <cell r="Z5" t="str">
            <v>Jul 2015</v>
          </cell>
          <cell r="AA5" t="str">
            <v>Aug 2015</v>
          </cell>
          <cell r="AB5" t="str">
            <v>Sep 2015</v>
          </cell>
          <cell r="AC5" t="str">
            <v>Oct 2015</v>
          </cell>
          <cell r="AD5" t="str">
            <v>Nov 2015</v>
          </cell>
          <cell r="AE5" t="str">
            <v>Dec 2015</v>
          </cell>
          <cell r="AF5" t="str">
            <v>Jan 2016</v>
          </cell>
          <cell r="AG5" t="str">
            <v>Feb 2016</v>
          </cell>
          <cell r="AH5" t="str">
            <v>Mar 2016</v>
          </cell>
          <cell r="AI5" t="str">
            <v>Apr 2016</v>
          </cell>
          <cell r="AJ5" t="str">
            <v>May 2016</v>
          </cell>
          <cell r="AK5" t="str">
            <v>Jun 2016</v>
          </cell>
          <cell r="AL5" t="str">
            <v>Jul 2016</v>
          </cell>
          <cell r="AM5" t="str">
            <v>Aug 2016</v>
          </cell>
          <cell r="AN5" t="str">
            <v>Sep 2016</v>
          </cell>
          <cell r="AO5" t="str">
            <v>Oct 2016</v>
          </cell>
          <cell r="AP5" t="str">
            <v>Nov 2016</v>
          </cell>
          <cell r="AQ5" t="str">
            <v>Dec 2016</v>
          </cell>
          <cell r="AR5" t="str">
            <v>Jan 2017</v>
          </cell>
          <cell r="AS5" t="str">
            <v>Feb 2017</v>
          </cell>
          <cell r="AT5" t="str">
            <v>Mar 2017</v>
          </cell>
          <cell r="AU5" t="str">
            <v>Apr 2017</v>
          </cell>
          <cell r="AV5" t="str">
            <v>May 2017</v>
          </cell>
          <cell r="AW5" t="str">
            <v>Jun 2017</v>
          </cell>
          <cell r="AX5" t="str">
            <v>Jul 2017</v>
          </cell>
          <cell r="AY5" t="str">
            <v>Aug 2017</v>
          </cell>
          <cell r="AZ5" t="str">
            <v>Sep 2017</v>
          </cell>
          <cell r="BA5" t="str">
            <v>Oct 2017</v>
          </cell>
          <cell r="BB5" t="str">
            <v>Nov 2017</v>
          </cell>
          <cell r="BC5" t="str">
            <v>Dec 2017</v>
          </cell>
          <cell r="BD5" t="str">
            <v>Jan 2018</v>
          </cell>
          <cell r="BE5" t="str">
            <v>Feb 2018</v>
          </cell>
          <cell r="BF5" t="str">
            <v>Mar 2018</v>
          </cell>
          <cell r="BG5" t="str">
            <v>Apr 2018</v>
          </cell>
          <cell r="BH5" t="str">
            <v>May 2018</v>
          </cell>
          <cell r="BI5" t="str">
            <v>Jun 2018</v>
          </cell>
          <cell r="BJ5" t="str">
            <v>Jul 2018</v>
          </cell>
          <cell r="BK5" t="str">
            <v>Aug 2018</v>
          </cell>
          <cell r="BL5" t="str">
            <v>Sep 2018</v>
          </cell>
          <cell r="BM5" t="str">
            <v>Oct 2018</v>
          </cell>
          <cell r="BN5" t="str">
            <v>Nov 2018</v>
          </cell>
          <cell r="BO5" t="str">
            <v>Dec 2018</v>
          </cell>
          <cell r="BP5" t="str">
            <v>Jan 2019</v>
          </cell>
          <cell r="BQ5" t="str">
            <v>Feb 2019</v>
          </cell>
          <cell r="BR5" t="str">
            <v>Mar 2019</v>
          </cell>
          <cell r="BS5" t="str">
            <v>Apr 2019</v>
          </cell>
          <cell r="BT5" t="str">
            <v>May 2019</v>
          </cell>
          <cell r="BU5" t="str">
            <v>Jun 2019</v>
          </cell>
          <cell r="BV5" t="str">
            <v>Jul 2019</v>
          </cell>
          <cell r="BW5" t="str">
            <v>Aug 2019</v>
          </cell>
          <cell r="BX5" t="str">
            <v>Sep 2019</v>
          </cell>
          <cell r="BY5" t="str">
            <v>Oct 2019</v>
          </cell>
          <cell r="BZ5" t="str">
            <v>Nov 2019</v>
          </cell>
          <cell r="CA5" t="str">
            <v>Dec 2019</v>
          </cell>
          <cell r="CB5" t="str">
            <v>Jan 2020</v>
          </cell>
          <cell r="CC5" t="str">
            <v>Feb 2020</v>
          </cell>
          <cell r="CD5" t="str">
            <v>Mar 2020</v>
          </cell>
          <cell r="CE5" t="str">
            <v>Apr 2020</v>
          </cell>
          <cell r="CF5" t="str">
            <v>May 2020</v>
          </cell>
          <cell r="CG5" t="str">
            <v>Jun 2020</v>
          </cell>
          <cell r="CH5" t="str">
            <v>Jul 2020</v>
          </cell>
          <cell r="CI5" t="str">
            <v>Aug 2020</v>
          </cell>
          <cell r="CJ5" t="str">
            <v>Sep 2020</v>
          </cell>
          <cell r="CK5" t="str">
            <v>Oct 2020</v>
          </cell>
          <cell r="CL5" t="str">
            <v>Nov 2020</v>
          </cell>
          <cell r="CM5" t="str">
            <v>Dec 2020</v>
          </cell>
          <cell r="CN5" t="str">
            <v>Jan 2021</v>
          </cell>
          <cell r="CO5" t="str">
            <v>Feb 2021</v>
          </cell>
          <cell r="CP5" t="str">
            <v>Mar 2021</v>
          </cell>
          <cell r="CQ5" t="str">
            <v>Apr 2021</v>
          </cell>
          <cell r="CR5" t="str">
            <v>May 2021</v>
          </cell>
          <cell r="CS5" t="str">
            <v>Jun 2021</v>
          </cell>
          <cell r="CT5" t="str">
            <v>Jul 2021</v>
          </cell>
          <cell r="CU5" t="str">
            <v>Aug 2021</v>
          </cell>
          <cell r="CV5" t="str">
            <v>Sep 2021</v>
          </cell>
          <cell r="CW5" t="str">
            <v>Oct 2021</v>
          </cell>
          <cell r="CX5" t="str">
            <v>Nov 2021</v>
          </cell>
          <cell r="CY5" t="str">
            <v>Dec 2021</v>
          </cell>
          <cell r="CZ5" t="str">
            <v>Jan 2022</v>
          </cell>
          <cell r="DA5" t="str">
            <v>Feb 2022</v>
          </cell>
          <cell r="DB5" t="str">
            <v>Mar 2022</v>
          </cell>
          <cell r="DC5" t="str">
            <v>Apr 2022</v>
          </cell>
          <cell r="DD5" t="str">
            <v>May 2022</v>
          </cell>
          <cell r="DE5" t="str">
            <v>Jun 2022</v>
          </cell>
          <cell r="DF5" t="str">
            <v>Jul 2022</v>
          </cell>
          <cell r="DG5" t="str">
            <v>Aug 2022</v>
          </cell>
          <cell r="DH5" t="str">
            <v>Sep 2022</v>
          </cell>
          <cell r="DI5" t="str">
            <v>Oct 2022</v>
          </cell>
          <cell r="DJ5" t="str">
            <v>Nov 2022</v>
          </cell>
          <cell r="DK5" t="str">
            <v>Dec 2022</v>
          </cell>
          <cell r="DL5" t="str">
            <v>Jan 2023</v>
          </cell>
          <cell r="DM5" t="str">
            <v>Feb 2023</v>
          </cell>
          <cell r="DN5" t="str">
            <v>Mar 2023</v>
          </cell>
          <cell r="DO5" t="str">
            <v>Apr 2023</v>
          </cell>
          <cell r="DP5" t="str">
            <v>May 2023</v>
          </cell>
          <cell r="DQ5" t="str">
            <v>Jun 2023</v>
          </cell>
          <cell r="DR5" t="str">
            <v>Jul 2023</v>
          </cell>
          <cell r="DS5" t="str">
            <v>Aug 2023</v>
          </cell>
          <cell r="DT5" t="str">
            <v>Sep 2023</v>
          </cell>
          <cell r="DU5" t="str">
            <v>Oct 2023</v>
          </cell>
          <cell r="DV5" t="str">
            <v>Nov 2023</v>
          </cell>
          <cell r="DW5" t="str">
            <v>Dec 2023</v>
          </cell>
          <cell r="DX5" t="str">
            <v>JAN 2024</v>
          </cell>
          <cell r="DY5" t="str">
            <v>FEB 2024</v>
          </cell>
          <cell r="DZ5" t="str">
            <v>MAR 2024</v>
          </cell>
          <cell r="EA5" t="str">
            <v>APR 2024</v>
          </cell>
          <cell r="EB5" t="str">
            <v>MAY 2024</v>
          </cell>
          <cell r="EC5" t="str">
            <v>JUN 2024</v>
          </cell>
          <cell r="ED5" t="str">
            <v>JUL 2024</v>
          </cell>
          <cell r="EE5" t="str">
            <v>AUG 2024</v>
          </cell>
          <cell r="EF5" t="str">
            <v>SEP 2024</v>
          </cell>
          <cell r="EG5" t="str">
            <v>OCT 2024</v>
          </cell>
          <cell r="EH5" t="str">
            <v>NOV 2024</v>
          </cell>
          <cell r="EI5" t="str">
            <v>DEC 2024</v>
          </cell>
          <cell r="EK5" t="str">
            <v>Build Budget</v>
          </cell>
          <cell r="EM5" t="str">
            <v>Jan 2023</v>
          </cell>
          <cell r="EN5" t="str">
            <v>Feb 2023</v>
          </cell>
          <cell r="EO5" t="str">
            <v>Mar 2023</v>
          </cell>
          <cell r="EP5" t="str">
            <v>Apr 2023</v>
          </cell>
          <cell r="EQ5" t="str">
            <v>May 2023</v>
          </cell>
          <cell r="ER5" t="str">
            <v>Jun 2023</v>
          </cell>
          <cell r="ES5" t="str">
            <v>Jul 2023</v>
          </cell>
          <cell r="ET5" t="str">
            <v>Aug 2023</v>
          </cell>
          <cell r="EU5" t="str">
            <v>Sep 2023</v>
          </cell>
          <cell r="EV5" t="str">
            <v>Oct 2023</v>
          </cell>
          <cell r="EW5" t="str">
            <v>Nov 2023</v>
          </cell>
          <cell r="EX5" t="str">
            <v>Dec 2023</v>
          </cell>
        </row>
        <row r="6">
          <cell r="A6" t="str">
            <v>Gas Plant in Service</v>
          </cell>
          <cell r="C6" t="str">
            <v>Gas Plant in Service</v>
          </cell>
          <cell r="D6" t="str">
            <v>1010000</v>
          </cell>
          <cell r="E6" t="str">
            <v>A_1010000</v>
          </cell>
          <cell r="F6" t="str">
            <v>Utility Plant in Service</v>
          </cell>
          <cell r="G6">
            <v>1188438.1444600001</v>
          </cell>
          <cell r="H6">
            <v>1181375.1000000001</v>
          </cell>
          <cell r="I6">
            <v>1183669.6000000001</v>
          </cell>
          <cell r="J6">
            <v>1187818.1000000001</v>
          </cell>
          <cell r="K6">
            <v>1193444.1000000001</v>
          </cell>
          <cell r="L6">
            <v>1196718.8</v>
          </cell>
          <cell r="M6">
            <v>1205461.2</v>
          </cell>
          <cell r="N6">
            <v>1217215.1000000001</v>
          </cell>
          <cell r="O6">
            <v>1219768.8</v>
          </cell>
          <cell r="P6">
            <v>1221186</v>
          </cell>
          <cell r="Q6">
            <v>1226654.5</v>
          </cell>
          <cell r="R6">
            <v>1230602.5</v>
          </cell>
          <cell r="S6">
            <v>1237774.8</v>
          </cell>
          <cell r="T6">
            <v>1243453.3999999999</v>
          </cell>
          <cell r="U6">
            <v>1239784.8999999999</v>
          </cell>
          <cell r="V6">
            <v>1247743.1000000001</v>
          </cell>
          <cell r="W6">
            <v>1255789.7</v>
          </cell>
          <cell r="X6">
            <v>1263521.3999999999</v>
          </cell>
          <cell r="Y6">
            <v>1273021.2</v>
          </cell>
          <cell r="Z6">
            <v>1278370.3999999999</v>
          </cell>
          <cell r="AA6">
            <v>1280724.1000000001</v>
          </cell>
          <cell r="AB6">
            <v>1284361.3999999999</v>
          </cell>
          <cell r="AC6">
            <v>1285704.7</v>
          </cell>
          <cell r="AD6">
            <v>1290505.3999999999</v>
          </cell>
          <cell r="AE6">
            <v>1306055.8</v>
          </cell>
          <cell r="AF6">
            <v>1307925.7</v>
          </cell>
          <cell r="AG6">
            <v>1312431.1000000001</v>
          </cell>
          <cell r="AH6">
            <v>1322755.8999999999</v>
          </cell>
          <cell r="AI6">
            <v>1329266.3</v>
          </cell>
          <cell r="AJ6">
            <v>1334332.7</v>
          </cell>
          <cell r="AK6">
            <v>1337225</v>
          </cell>
          <cell r="AL6">
            <v>1347244.9</v>
          </cell>
          <cell r="AM6">
            <v>1356728.8</v>
          </cell>
          <cell r="AN6">
            <v>1360597.9</v>
          </cell>
          <cell r="AO6">
            <v>1365895.9</v>
          </cell>
          <cell r="AP6">
            <v>1376010.8</v>
          </cell>
          <cell r="AQ6">
            <v>1379384.7</v>
          </cell>
          <cell r="AR6">
            <v>1380967.8</v>
          </cell>
          <cell r="AS6">
            <v>1387344.8</v>
          </cell>
          <cell r="AT6">
            <v>1399295.4</v>
          </cell>
          <cell r="AU6">
            <v>1399609.4</v>
          </cell>
          <cell r="AV6">
            <v>1402003.8</v>
          </cell>
          <cell r="AW6">
            <v>1414377.1</v>
          </cell>
          <cell r="AX6">
            <v>1419403.4</v>
          </cell>
          <cell r="AY6">
            <v>1419263.8</v>
          </cell>
          <cell r="AZ6">
            <v>1434909.7</v>
          </cell>
          <cell r="BA6">
            <v>1443639.1</v>
          </cell>
          <cell r="BB6">
            <v>1445030.2</v>
          </cell>
          <cell r="BC6">
            <v>1454809.8</v>
          </cell>
          <cell r="BD6">
            <v>1456901.1</v>
          </cell>
          <cell r="BE6">
            <v>1485655.1</v>
          </cell>
          <cell r="BF6">
            <v>1498293.1</v>
          </cell>
          <cell r="BG6">
            <v>1505702.4</v>
          </cell>
          <cell r="BH6">
            <v>1508979</v>
          </cell>
          <cell r="BI6">
            <v>1521219.9</v>
          </cell>
          <cell r="BJ6">
            <v>1523942.8</v>
          </cell>
          <cell r="BK6">
            <v>1541525.5</v>
          </cell>
          <cell r="BL6">
            <v>1550361.3</v>
          </cell>
          <cell r="BM6">
            <v>1553271.4</v>
          </cell>
          <cell r="BN6">
            <v>1556639.3</v>
          </cell>
          <cell r="BO6">
            <v>1571168.7</v>
          </cell>
          <cell r="BP6">
            <v>1574185.2</v>
          </cell>
          <cell r="BQ6">
            <v>1578994.6</v>
          </cell>
          <cell r="BR6">
            <v>1592070.7</v>
          </cell>
          <cell r="BS6">
            <v>1601334.1</v>
          </cell>
          <cell r="BT6">
            <v>1612685.3</v>
          </cell>
          <cell r="BU6">
            <v>1638034.3</v>
          </cell>
          <cell r="BV6">
            <v>1641548.3</v>
          </cell>
          <cell r="BW6">
            <v>1645419.3</v>
          </cell>
          <cell r="BX6">
            <v>1659929.4</v>
          </cell>
          <cell r="BY6">
            <v>1675381.6</v>
          </cell>
          <cell r="BZ6">
            <v>1685840.4</v>
          </cell>
          <cell r="CA6">
            <v>1719277.6</v>
          </cell>
          <cell r="CB6">
            <v>1722370.6</v>
          </cell>
          <cell r="CC6">
            <v>1717543.3</v>
          </cell>
          <cell r="CD6">
            <v>1733113.9</v>
          </cell>
          <cell r="CE6">
            <v>1737708.2</v>
          </cell>
          <cell r="CF6">
            <v>1752095.5</v>
          </cell>
          <cell r="CG6">
            <v>1770287.7</v>
          </cell>
          <cell r="CH6">
            <v>1775799.6</v>
          </cell>
          <cell r="CI6">
            <v>1777592.6</v>
          </cell>
          <cell r="CJ6">
            <v>1800710.6</v>
          </cell>
          <cell r="CK6">
            <v>1803688.7</v>
          </cell>
          <cell r="CL6">
            <v>1805576.9</v>
          </cell>
          <cell r="CM6">
            <v>1869700.3</v>
          </cell>
          <cell r="CN6">
            <v>1870076.6</v>
          </cell>
          <cell r="CO6">
            <v>1884351.9</v>
          </cell>
          <cell r="CP6">
            <v>1890043.8</v>
          </cell>
          <cell r="CQ6">
            <v>1901225.4</v>
          </cell>
          <cell r="CR6">
            <v>1942744.9</v>
          </cell>
          <cell r="CS6">
            <v>1968537.4</v>
          </cell>
          <cell r="CT6">
            <v>2043575.7</v>
          </cell>
          <cell r="CU6">
            <v>2044747.7</v>
          </cell>
          <cell r="CV6">
            <v>2110173.7999999998</v>
          </cell>
          <cell r="CW6">
            <v>2124604.5</v>
          </cell>
          <cell r="CX6">
            <v>2142216.5</v>
          </cell>
          <cell r="CY6">
            <v>2168081.7999999998</v>
          </cell>
          <cell r="CZ6">
            <v>2183864.9</v>
          </cell>
          <cell r="DA6">
            <v>2202545.7000000002</v>
          </cell>
          <cell r="DB6">
            <v>2219080.1</v>
          </cell>
          <cell r="DC6">
            <v>2225116.4</v>
          </cell>
          <cell r="DD6">
            <v>2264293</v>
          </cell>
          <cell r="DE6">
            <v>2291322</v>
          </cell>
          <cell r="DF6">
            <v>2295823</v>
          </cell>
          <cell r="DG6">
            <v>2296939.7000000002</v>
          </cell>
          <cell r="DH6">
            <v>2297763.6</v>
          </cell>
          <cell r="DI6">
            <v>2298134.2000000002</v>
          </cell>
          <cell r="DJ6">
            <v>2299277.6</v>
          </cell>
          <cell r="DK6">
            <v>2346274.6</v>
          </cell>
          <cell r="DL6">
            <v>2419457.5</v>
          </cell>
          <cell r="DM6">
            <v>2440986.7000000002</v>
          </cell>
          <cell r="DN6">
            <v>2461962.2999999998</v>
          </cell>
          <cell r="DO6">
            <v>2483028.7999999998</v>
          </cell>
          <cell r="DP6">
            <v>2498856.1</v>
          </cell>
          <cell r="DQ6">
            <v>2513356.7999999998</v>
          </cell>
          <cell r="DR6">
            <v>2630173</v>
          </cell>
          <cell r="DS6">
            <v>2706718.6</v>
          </cell>
          <cell r="DT6">
            <v>2742984.9</v>
          </cell>
          <cell r="DU6">
            <v>2773772</v>
          </cell>
          <cell r="DV6">
            <v>2826080</v>
          </cell>
          <cell r="DW6">
            <v>2855565.6</v>
          </cell>
          <cell r="EK6" t="str">
            <v>SOP</v>
          </cell>
        </row>
        <row r="7">
          <cell r="D7" t="str">
            <v>101</v>
          </cell>
          <cell r="E7">
            <v>101</v>
          </cell>
          <cell r="G7">
            <v>1188438.1444600001</v>
          </cell>
          <cell r="H7">
            <v>1181375.1000000001</v>
          </cell>
          <cell r="I7">
            <v>1183669.6000000001</v>
          </cell>
          <cell r="J7">
            <v>1187818.1000000001</v>
          </cell>
          <cell r="K7">
            <v>1193444.1000000001</v>
          </cell>
          <cell r="L7">
            <v>1196718.8</v>
          </cell>
          <cell r="M7">
            <v>1205461.2</v>
          </cell>
          <cell r="N7">
            <v>1217215.1000000001</v>
          </cell>
          <cell r="O7">
            <v>1219768.8</v>
          </cell>
          <cell r="P7">
            <v>1221186</v>
          </cell>
          <cell r="Q7">
            <v>1226654.5</v>
          </cell>
          <cell r="R7">
            <v>1230602.5</v>
          </cell>
          <cell r="S7">
            <v>1237774.8</v>
          </cell>
          <cell r="T7">
            <v>1243453.3999999999</v>
          </cell>
          <cell r="U7">
            <v>1239784.8999999999</v>
          </cell>
          <cell r="V7">
            <v>1247743.1000000001</v>
          </cell>
          <cell r="W7">
            <v>1255789.7</v>
          </cell>
          <cell r="X7">
            <v>1263521.3999999999</v>
          </cell>
          <cell r="Y7">
            <v>1273021.2</v>
          </cell>
          <cell r="Z7">
            <v>1278370.3999999999</v>
          </cell>
          <cell r="AA7">
            <v>1280724.1000000001</v>
          </cell>
          <cell r="AB7">
            <v>1284361.3999999999</v>
          </cell>
          <cell r="AC7">
            <v>1285704.7</v>
          </cell>
          <cell r="AD7">
            <v>1290505.3999999999</v>
          </cell>
          <cell r="AE7">
            <v>1306055.8</v>
          </cell>
          <cell r="AF7">
            <v>1307925.7</v>
          </cell>
          <cell r="AG7">
            <v>1312431.1000000001</v>
          </cell>
          <cell r="AH7">
            <v>1322755.8999999999</v>
          </cell>
          <cell r="AI7">
            <v>1329266.3</v>
          </cell>
          <cell r="AJ7">
            <v>1334332.7</v>
          </cell>
          <cell r="AK7">
            <v>1337225</v>
          </cell>
          <cell r="AL7">
            <v>1347244.9</v>
          </cell>
          <cell r="AM7">
            <v>1356728.8</v>
          </cell>
          <cell r="AN7">
            <v>1360597.9</v>
          </cell>
          <cell r="AO7">
            <v>1365895.9</v>
          </cell>
          <cell r="AP7">
            <v>1376010.8</v>
          </cell>
          <cell r="AQ7">
            <v>1379384.7</v>
          </cell>
          <cell r="AR7">
            <v>1380967.8</v>
          </cell>
          <cell r="AS7">
            <v>1387344.8</v>
          </cell>
          <cell r="AT7">
            <v>1399295.4</v>
          </cell>
          <cell r="AU7">
            <v>1399609.4</v>
          </cell>
          <cell r="AV7">
            <v>1402003.8</v>
          </cell>
          <cell r="AW7">
            <v>1414377.1</v>
          </cell>
          <cell r="AX7">
            <v>1419403.4</v>
          </cell>
          <cell r="AY7">
            <v>1419263.8</v>
          </cell>
          <cell r="AZ7">
            <v>1434909.7</v>
          </cell>
          <cell r="BA7">
            <v>1443639.1</v>
          </cell>
          <cell r="BB7">
            <v>1445030.2</v>
          </cell>
          <cell r="BC7">
            <v>1454809.8</v>
          </cell>
          <cell r="BD7">
            <v>1456901.1</v>
          </cell>
          <cell r="BE7">
            <v>1485655.1</v>
          </cell>
          <cell r="BF7">
            <v>1498293.1</v>
          </cell>
          <cell r="BG7">
            <v>1505702.4</v>
          </cell>
          <cell r="BH7">
            <v>1508979</v>
          </cell>
          <cell r="BI7">
            <v>1521219.9</v>
          </cell>
          <cell r="BJ7">
            <v>1523942.8</v>
          </cell>
          <cell r="BK7">
            <v>1541525.5</v>
          </cell>
          <cell r="BL7">
            <v>1550361.3</v>
          </cell>
          <cell r="BM7">
            <v>1553271.4</v>
          </cell>
          <cell r="BN7">
            <v>1556639.3</v>
          </cell>
          <cell r="BO7">
            <v>1571168.7</v>
          </cell>
          <cell r="BP7">
            <v>1574185.2</v>
          </cell>
          <cell r="BQ7">
            <v>1578994.6</v>
          </cell>
          <cell r="BR7">
            <v>1592070.7</v>
          </cell>
          <cell r="BS7">
            <v>1601334.1</v>
          </cell>
          <cell r="BT7">
            <v>1612685.3</v>
          </cell>
          <cell r="BU7">
            <v>1638034.3</v>
          </cell>
          <cell r="BV7">
            <v>1641548.3</v>
          </cell>
          <cell r="BW7">
            <v>1645419.3</v>
          </cell>
          <cell r="BX7">
            <v>1659929.4</v>
          </cell>
          <cell r="BY7">
            <v>1675381.6</v>
          </cell>
          <cell r="BZ7">
            <v>1685840.4</v>
          </cell>
          <cell r="CA7">
            <v>1719277.6</v>
          </cell>
          <cell r="CB7">
            <v>1722370.6</v>
          </cell>
          <cell r="CC7">
            <v>1717543.3</v>
          </cell>
          <cell r="CD7">
            <v>1733113.9</v>
          </cell>
          <cell r="CE7">
            <v>1737708.2</v>
          </cell>
          <cell r="CF7">
            <v>1752095.5</v>
          </cell>
          <cell r="CG7">
            <v>1770287.7</v>
          </cell>
          <cell r="CH7">
            <v>1775799.6</v>
          </cell>
          <cell r="CI7">
            <v>1777592.6</v>
          </cell>
          <cell r="CJ7">
            <v>1800710.6</v>
          </cell>
          <cell r="CK7">
            <v>1803688.7</v>
          </cell>
          <cell r="CL7">
            <v>1805576.9</v>
          </cell>
          <cell r="CM7">
            <v>1869700.3</v>
          </cell>
          <cell r="CN7">
            <v>1870076.6</v>
          </cell>
          <cell r="CO7">
            <v>1884351.9</v>
          </cell>
          <cell r="CP7">
            <v>1890043.8</v>
          </cell>
          <cell r="CQ7">
            <v>1901225.4</v>
          </cell>
          <cell r="CR7">
            <v>1942744.9</v>
          </cell>
          <cell r="CS7">
            <v>1968537.4</v>
          </cell>
          <cell r="CT7">
            <v>2043575.7</v>
          </cell>
          <cell r="CU7">
            <v>2044747.7</v>
          </cell>
          <cell r="CV7">
            <v>2110173.7999999998</v>
          </cell>
          <cell r="CW7">
            <v>2124604.5</v>
          </cell>
          <cell r="CX7">
            <v>2142216.5</v>
          </cell>
          <cell r="CY7">
            <v>2168081.7999999998</v>
          </cell>
          <cell r="CZ7">
            <v>2183864.9</v>
          </cell>
          <cell r="DA7">
            <v>2202545.7000000002</v>
          </cell>
          <cell r="DB7">
            <v>2219080.1</v>
          </cell>
          <cell r="DC7">
            <v>2225116.4</v>
          </cell>
          <cell r="DD7">
            <v>2264293</v>
          </cell>
          <cell r="DE7">
            <v>2291322</v>
          </cell>
          <cell r="DF7">
            <v>2295823</v>
          </cell>
          <cell r="DG7">
            <v>2296939.7000000002</v>
          </cell>
          <cell r="DH7">
            <v>2297763.6</v>
          </cell>
          <cell r="DI7">
            <v>2298134.2000000002</v>
          </cell>
          <cell r="DJ7">
            <v>2299277.6</v>
          </cell>
          <cell r="DK7">
            <v>2346274.6</v>
          </cell>
          <cell r="DL7">
            <v>2419457.5</v>
          </cell>
          <cell r="DM7">
            <v>2440986.7000000002</v>
          </cell>
          <cell r="DN7">
            <v>2461962.2999999998</v>
          </cell>
          <cell r="DO7">
            <v>2483028.7999999998</v>
          </cell>
          <cell r="DP7">
            <v>2498856.1</v>
          </cell>
          <cell r="DQ7">
            <v>2513356.7999999998</v>
          </cell>
          <cell r="DR7">
            <v>2630173</v>
          </cell>
          <cell r="DS7">
            <v>2706718.6</v>
          </cell>
          <cell r="DT7">
            <v>2742984.9</v>
          </cell>
          <cell r="DU7">
            <v>2773772</v>
          </cell>
          <cell r="DV7">
            <v>2826080</v>
          </cell>
          <cell r="DW7">
            <v>2855565.6</v>
          </cell>
          <cell r="EJ7" t="str">
            <v>.</v>
          </cell>
        </row>
        <row r="8">
          <cell r="A8" t="str">
            <v>Gas Plant in Service</v>
          </cell>
          <cell r="C8" t="str">
            <v>Gas Plant in Service</v>
          </cell>
          <cell r="D8" t="str">
            <v>1040000</v>
          </cell>
          <cell r="E8" t="str">
            <v>A_1040000</v>
          </cell>
          <cell r="F8" t="str">
            <v>Plant Leased to Others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9286.2000000000007</v>
          </cell>
          <cell r="AL8">
            <v>11734.1</v>
          </cell>
          <cell r="AM8">
            <v>11832.4</v>
          </cell>
          <cell r="AN8">
            <v>12032.6</v>
          </cell>
          <cell r="AO8">
            <v>12032.6</v>
          </cell>
          <cell r="AP8">
            <v>12032.6</v>
          </cell>
          <cell r="AQ8">
            <v>12033.3</v>
          </cell>
          <cell r="AR8">
            <v>12033.3</v>
          </cell>
          <cell r="AS8">
            <v>12033.3</v>
          </cell>
          <cell r="AT8">
            <v>12033.3</v>
          </cell>
          <cell r="AU8">
            <v>12033.3</v>
          </cell>
          <cell r="AV8">
            <v>12033.3</v>
          </cell>
          <cell r="AW8">
            <v>12033.3</v>
          </cell>
          <cell r="AX8">
            <v>12033.3</v>
          </cell>
          <cell r="AY8">
            <v>12033.3</v>
          </cell>
          <cell r="AZ8">
            <v>12033.3</v>
          </cell>
          <cell r="BA8">
            <v>12033.3</v>
          </cell>
          <cell r="BB8">
            <v>12033.3</v>
          </cell>
          <cell r="BC8">
            <v>12033.3</v>
          </cell>
          <cell r="BD8">
            <v>12033.3</v>
          </cell>
          <cell r="BE8">
            <v>12033.3</v>
          </cell>
          <cell r="BF8">
            <v>12033.3</v>
          </cell>
          <cell r="BG8">
            <v>12033.3</v>
          </cell>
          <cell r="BH8">
            <v>12033.3</v>
          </cell>
          <cell r="BI8">
            <v>12033.3</v>
          </cell>
          <cell r="BJ8">
            <v>12033.3</v>
          </cell>
          <cell r="BK8">
            <v>12033.3</v>
          </cell>
          <cell r="BL8">
            <v>12033.3</v>
          </cell>
          <cell r="BM8">
            <v>12033.3</v>
          </cell>
          <cell r="BN8">
            <v>12033.3</v>
          </cell>
          <cell r="BO8">
            <v>12033.3</v>
          </cell>
          <cell r="BP8">
            <v>12033.3</v>
          </cell>
          <cell r="BQ8">
            <v>12033.3</v>
          </cell>
          <cell r="BR8">
            <v>12033.3</v>
          </cell>
          <cell r="BS8">
            <v>13128.4</v>
          </cell>
          <cell r="BT8">
            <v>13128.4</v>
          </cell>
          <cell r="BU8">
            <v>13128.4</v>
          </cell>
          <cell r="BV8">
            <v>13128.4</v>
          </cell>
          <cell r="BW8">
            <v>13128.4</v>
          </cell>
          <cell r="BX8">
            <v>13128.4</v>
          </cell>
          <cell r="BY8">
            <v>13128.4</v>
          </cell>
          <cell r="BZ8">
            <v>13128.4</v>
          </cell>
          <cell r="CA8">
            <v>13128.4</v>
          </cell>
          <cell r="CB8">
            <v>13128.4</v>
          </cell>
          <cell r="CC8">
            <v>13128.4</v>
          </cell>
          <cell r="CD8">
            <v>13128.4</v>
          </cell>
          <cell r="CE8">
            <v>13128.4</v>
          </cell>
          <cell r="CF8">
            <v>13128.4</v>
          </cell>
          <cell r="CG8">
            <v>13128.4</v>
          </cell>
          <cell r="CH8">
            <v>13128.4</v>
          </cell>
          <cell r="CI8">
            <v>13128.4</v>
          </cell>
          <cell r="CJ8">
            <v>13128.4</v>
          </cell>
          <cell r="CK8">
            <v>13128.4</v>
          </cell>
          <cell r="CL8">
            <v>13128.4</v>
          </cell>
          <cell r="CM8">
            <v>13128.4</v>
          </cell>
          <cell r="CN8">
            <v>13128.4</v>
          </cell>
          <cell r="CO8">
            <v>13128.4</v>
          </cell>
          <cell r="CP8">
            <v>13128.4</v>
          </cell>
          <cell r="CQ8">
            <v>13128.4</v>
          </cell>
          <cell r="CR8">
            <v>13128.4</v>
          </cell>
          <cell r="CS8">
            <v>13128.4</v>
          </cell>
          <cell r="CT8">
            <v>13128.4</v>
          </cell>
          <cell r="CU8">
            <v>13128.4</v>
          </cell>
          <cell r="CV8">
            <v>13128.4</v>
          </cell>
          <cell r="CW8">
            <v>13128.4</v>
          </cell>
          <cell r="CX8">
            <v>13128.4</v>
          </cell>
          <cell r="CY8">
            <v>13128.4</v>
          </cell>
          <cell r="CZ8">
            <v>13128.4</v>
          </cell>
          <cell r="DA8">
            <v>13128.4</v>
          </cell>
          <cell r="DB8">
            <v>10382.200000000001</v>
          </cell>
          <cell r="DC8">
            <v>10382.200000000001</v>
          </cell>
          <cell r="DD8">
            <v>10382.200000000001</v>
          </cell>
          <cell r="DE8">
            <v>10382.200000000001</v>
          </cell>
          <cell r="DF8">
            <v>2527</v>
          </cell>
          <cell r="DG8">
            <v>2527</v>
          </cell>
          <cell r="DH8">
            <v>2527</v>
          </cell>
          <cell r="DI8">
            <v>2527</v>
          </cell>
          <cell r="DJ8">
            <v>2527</v>
          </cell>
          <cell r="DK8">
            <v>2527</v>
          </cell>
          <cell r="DL8">
            <v>2527</v>
          </cell>
          <cell r="DM8">
            <v>38185.699999999997</v>
          </cell>
          <cell r="DN8">
            <v>38185.699999999997</v>
          </cell>
          <cell r="DO8">
            <v>38185.699999999997</v>
          </cell>
          <cell r="DP8">
            <v>38185.699999999997</v>
          </cell>
          <cell r="DQ8">
            <v>38185.699999999997</v>
          </cell>
          <cell r="DR8">
            <v>38185.699999999997</v>
          </cell>
          <cell r="DS8">
            <v>38185.699999999997</v>
          </cell>
          <cell r="DT8">
            <v>38185.699999999997</v>
          </cell>
          <cell r="DU8">
            <v>38185.699999999997</v>
          </cell>
          <cell r="DV8">
            <v>38185.699999999997</v>
          </cell>
          <cell r="DW8">
            <v>38185.699999999997</v>
          </cell>
          <cell r="EK8" t="str">
            <v>SOP</v>
          </cell>
        </row>
        <row r="9">
          <cell r="A9" t="str">
            <v>Gas Plant in Service</v>
          </cell>
          <cell r="B9" t="str">
            <v>Other Assets</v>
          </cell>
          <cell r="C9" t="str">
            <v>Gas Plant in Service SUB</v>
          </cell>
          <cell r="D9" t="str">
            <v>1040001</v>
          </cell>
          <cell r="E9" t="str">
            <v>A_1040001</v>
          </cell>
          <cell r="F9" t="str">
            <v>Plant Leased to Others - GAAP adj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-7852</v>
          </cell>
          <cell r="AL9">
            <v>-7852</v>
          </cell>
          <cell r="AM9">
            <v>-7852</v>
          </cell>
          <cell r="AN9">
            <v>-7852</v>
          </cell>
          <cell r="AO9">
            <v>-7852</v>
          </cell>
          <cell r="AP9">
            <v>-10597</v>
          </cell>
          <cell r="AQ9">
            <v>-10597</v>
          </cell>
          <cell r="AR9">
            <v>-10597</v>
          </cell>
          <cell r="AS9">
            <v>-10597</v>
          </cell>
          <cell r="AT9">
            <v>-10597</v>
          </cell>
          <cell r="AU9">
            <v>-10597</v>
          </cell>
          <cell r="AV9">
            <v>-10597</v>
          </cell>
          <cell r="AW9">
            <v>-10597</v>
          </cell>
          <cell r="AX9">
            <v>-10597</v>
          </cell>
          <cell r="AY9">
            <v>-10597</v>
          </cell>
          <cell r="AZ9">
            <v>-10597</v>
          </cell>
          <cell r="BA9">
            <v>-10597</v>
          </cell>
          <cell r="BB9">
            <v>-10597</v>
          </cell>
          <cell r="BC9">
            <v>-10597</v>
          </cell>
          <cell r="BD9">
            <v>-10597</v>
          </cell>
          <cell r="BE9">
            <v>-10597</v>
          </cell>
          <cell r="BF9">
            <v>-10597</v>
          </cell>
          <cell r="BG9">
            <v>-10597</v>
          </cell>
          <cell r="BH9">
            <v>-10597</v>
          </cell>
          <cell r="BI9">
            <v>-10597</v>
          </cell>
          <cell r="BJ9">
            <v>-10597</v>
          </cell>
          <cell r="BK9">
            <v>-10597</v>
          </cell>
          <cell r="BL9">
            <v>-10597</v>
          </cell>
          <cell r="BM9">
            <v>-10597</v>
          </cell>
          <cell r="BN9">
            <v>-10597</v>
          </cell>
          <cell r="BO9">
            <v>-10597</v>
          </cell>
          <cell r="BP9">
            <v>-10597</v>
          </cell>
          <cell r="BQ9">
            <v>-10597</v>
          </cell>
          <cell r="BR9">
            <v>-10597</v>
          </cell>
          <cell r="BS9">
            <v>-10597</v>
          </cell>
          <cell r="BT9">
            <v>-10597</v>
          </cell>
          <cell r="BU9">
            <v>-10597</v>
          </cell>
          <cell r="BV9">
            <v>-10597</v>
          </cell>
          <cell r="BW9">
            <v>-10597</v>
          </cell>
          <cell r="BX9">
            <v>-10597</v>
          </cell>
          <cell r="BY9">
            <v>-10597</v>
          </cell>
          <cell r="BZ9">
            <v>-10597</v>
          </cell>
          <cell r="CA9">
            <v>-10597</v>
          </cell>
          <cell r="CB9">
            <v>-10597</v>
          </cell>
          <cell r="CC9">
            <v>-10597</v>
          </cell>
          <cell r="CD9">
            <v>-10597</v>
          </cell>
          <cell r="CE9">
            <v>-10597</v>
          </cell>
          <cell r="CF9">
            <v>-10597</v>
          </cell>
          <cell r="CG9">
            <v>-10597</v>
          </cell>
          <cell r="CH9">
            <v>-10597</v>
          </cell>
          <cell r="CI9">
            <v>-10597</v>
          </cell>
          <cell r="CJ9">
            <v>-10597</v>
          </cell>
          <cell r="CK9">
            <v>-10597</v>
          </cell>
          <cell r="CL9">
            <v>-10597</v>
          </cell>
          <cell r="CM9">
            <v>-10597</v>
          </cell>
          <cell r="CN9">
            <v>-10597</v>
          </cell>
          <cell r="CO9">
            <v>-10597</v>
          </cell>
          <cell r="CP9">
            <v>-10597</v>
          </cell>
          <cell r="CQ9">
            <v>-10597</v>
          </cell>
          <cell r="CR9">
            <v>-10597</v>
          </cell>
          <cell r="CS9">
            <v>-10597</v>
          </cell>
          <cell r="CT9">
            <v>-10597</v>
          </cell>
          <cell r="CU9">
            <v>-10597</v>
          </cell>
          <cell r="CV9">
            <v>-10597</v>
          </cell>
          <cell r="CW9">
            <v>-10597</v>
          </cell>
          <cell r="CX9">
            <v>-10597</v>
          </cell>
          <cell r="CY9">
            <v>-10597</v>
          </cell>
          <cell r="CZ9">
            <v>-10597</v>
          </cell>
          <cell r="DA9">
            <v>-10597</v>
          </cell>
          <cell r="DB9">
            <v>-7852</v>
          </cell>
          <cell r="DC9">
            <v>-7852</v>
          </cell>
          <cell r="DD9">
            <v>-7852</v>
          </cell>
          <cell r="DE9">
            <v>-7852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-35658.699999999997</v>
          </cell>
          <cell r="DN9">
            <v>-35658.699999999997</v>
          </cell>
          <cell r="DO9">
            <v>-35658.699999999997</v>
          </cell>
          <cell r="DP9">
            <v>-35658.699999999997</v>
          </cell>
          <cell r="DQ9">
            <v>-35658.699999999997</v>
          </cell>
          <cell r="DR9">
            <v>-35658.699999999997</v>
          </cell>
          <cell r="DS9">
            <v>-35658.699999999997</v>
          </cell>
          <cell r="DT9">
            <v>-35658.699999999997</v>
          </cell>
          <cell r="DU9">
            <v>-35658.699999999997</v>
          </cell>
          <cell r="DV9">
            <v>-35658.699999999997</v>
          </cell>
          <cell r="DW9">
            <v>-35658.699999999997</v>
          </cell>
          <cell r="EK9" t="str">
            <v>SOP</v>
          </cell>
        </row>
        <row r="10">
          <cell r="D10" t="str">
            <v>104</v>
          </cell>
          <cell r="E10">
            <v>104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1434.2000000000007</v>
          </cell>
          <cell r="AL10">
            <v>3882.1000000000004</v>
          </cell>
          <cell r="AM10">
            <v>3980.3999999999996</v>
          </cell>
          <cell r="AN10">
            <v>4180.6000000000004</v>
          </cell>
          <cell r="AO10">
            <v>4180.6000000000004</v>
          </cell>
          <cell r="AP10">
            <v>1435.6000000000004</v>
          </cell>
          <cell r="AQ10">
            <v>1436.2999999999993</v>
          </cell>
          <cell r="AR10">
            <v>1436.2999999999993</v>
          </cell>
          <cell r="AS10">
            <v>1436.2999999999993</v>
          </cell>
          <cell r="AT10">
            <v>1436.2999999999993</v>
          </cell>
          <cell r="AU10">
            <v>1436.2999999999993</v>
          </cell>
          <cell r="AV10">
            <v>1436.2999999999993</v>
          </cell>
          <cell r="AW10">
            <v>1436.2999999999993</v>
          </cell>
          <cell r="AX10">
            <v>1436.2999999999993</v>
          </cell>
          <cell r="AY10">
            <v>1436.2999999999993</v>
          </cell>
          <cell r="AZ10">
            <v>1436.2999999999993</v>
          </cell>
          <cell r="BA10">
            <v>1436.2999999999993</v>
          </cell>
          <cell r="BB10">
            <v>1436.2999999999993</v>
          </cell>
          <cell r="BC10">
            <v>1436.2999999999993</v>
          </cell>
          <cell r="BD10">
            <v>1436.2999999999993</v>
          </cell>
          <cell r="BE10">
            <v>1436.2999999999993</v>
          </cell>
          <cell r="BF10">
            <v>1436.2999999999993</v>
          </cell>
          <cell r="BG10">
            <v>1436.2999999999993</v>
          </cell>
          <cell r="BH10">
            <v>1436.2999999999993</v>
          </cell>
          <cell r="BI10">
            <v>1436.2999999999993</v>
          </cell>
          <cell r="BJ10">
            <v>1436.2999999999993</v>
          </cell>
          <cell r="BK10">
            <v>1436.2999999999993</v>
          </cell>
          <cell r="BL10">
            <v>1436.2999999999993</v>
          </cell>
          <cell r="BM10">
            <v>1436.2999999999993</v>
          </cell>
          <cell r="BN10">
            <v>1436.2999999999993</v>
          </cell>
          <cell r="BO10">
            <v>1436.2999999999993</v>
          </cell>
          <cell r="BP10">
            <v>1436.2999999999993</v>
          </cell>
          <cell r="BQ10">
            <v>1436.2999999999993</v>
          </cell>
          <cell r="BR10">
            <v>1436.2999999999993</v>
          </cell>
          <cell r="BS10">
            <v>2531.3999999999996</v>
          </cell>
          <cell r="BT10">
            <v>2531.3999999999996</v>
          </cell>
          <cell r="BU10">
            <v>2531.3999999999996</v>
          </cell>
          <cell r="BV10">
            <v>2531.3999999999996</v>
          </cell>
          <cell r="BW10">
            <v>2531.3999999999996</v>
          </cell>
          <cell r="BX10">
            <v>2531.3999999999996</v>
          </cell>
          <cell r="BY10">
            <v>2531.3999999999996</v>
          </cell>
          <cell r="BZ10">
            <v>2531.3999999999996</v>
          </cell>
          <cell r="CA10">
            <v>2531.3999999999996</v>
          </cell>
          <cell r="CB10">
            <v>2531.3999999999996</v>
          </cell>
          <cell r="CC10">
            <v>2531.3999999999996</v>
          </cell>
          <cell r="CD10">
            <v>2531.3999999999996</v>
          </cell>
          <cell r="CE10">
            <v>2531.3999999999996</v>
          </cell>
          <cell r="CF10">
            <v>2531.3999999999996</v>
          </cell>
          <cell r="CG10">
            <v>2531.3999999999996</v>
          </cell>
          <cell r="CH10">
            <v>2531.3999999999996</v>
          </cell>
          <cell r="CI10">
            <v>2531.3999999999996</v>
          </cell>
          <cell r="CJ10">
            <v>2531.3999999999996</v>
          </cell>
          <cell r="CK10">
            <v>2531.3999999999996</v>
          </cell>
          <cell r="CL10">
            <v>2531.3999999999996</v>
          </cell>
          <cell r="CM10">
            <v>2531.3999999999996</v>
          </cell>
          <cell r="CN10">
            <v>2531.3999999999996</v>
          </cell>
          <cell r="CO10">
            <v>2531.3999999999996</v>
          </cell>
          <cell r="CP10">
            <v>2531.3999999999996</v>
          </cell>
          <cell r="CQ10">
            <v>2531.3999999999996</v>
          </cell>
          <cell r="CR10">
            <v>2531.3999999999996</v>
          </cell>
          <cell r="CS10">
            <v>2531.3999999999996</v>
          </cell>
          <cell r="CT10">
            <v>2531.3999999999996</v>
          </cell>
          <cell r="CU10">
            <v>2531.3999999999996</v>
          </cell>
          <cell r="CV10">
            <v>2531.3999999999996</v>
          </cell>
          <cell r="CW10">
            <v>2531.3999999999996</v>
          </cell>
          <cell r="CX10">
            <v>2531.3999999999996</v>
          </cell>
          <cell r="CY10">
            <v>2531.3999999999996</v>
          </cell>
          <cell r="CZ10">
            <v>2531.3999999999996</v>
          </cell>
          <cell r="DA10">
            <v>2531.3999999999996</v>
          </cell>
          <cell r="DB10">
            <v>2530.2000000000007</v>
          </cell>
          <cell r="DC10">
            <v>2530.2000000000007</v>
          </cell>
          <cell r="DD10">
            <v>2530.2000000000007</v>
          </cell>
          <cell r="DE10">
            <v>2530.2000000000007</v>
          </cell>
          <cell r="DF10">
            <v>2527</v>
          </cell>
          <cell r="DG10">
            <v>2527</v>
          </cell>
          <cell r="DH10">
            <v>2527</v>
          </cell>
          <cell r="DI10">
            <v>2527</v>
          </cell>
          <cell r="DJ10">
            <v>2527</v>
          </cell>
          <cell r="DK10">
            <v>2527</v>
          </cell>
          <cell r="DL10">
            <v>2527</v>
          </cell>
          <cell r="DM10">
            <v>2527</v>
          </cell>
          <cell r="DN10">
            <v>2527</v>
          </cell>
          <cell r="DO10">
            <v>2527</v>
          </cell>
          <cell r="DP10">
            <v>2527</v>
          </cell>
          <cell r="DQ10">
            <v>2527</v>
          </cell>
          <cell r="DR10">
            <v>2527</v>
          </cell>
          <cell r="DS10">
            <v>2527</v>
          </cell>
          <cell r="DT10">
            <v>2527</v>
          </cell>
          <cell r="DU10">
            <v>2527</v>
          </cell>
          <cell r="DV10">
            <v>2527</v>
          </cell>
          <cell r="DW10">
            <v>2527</v>
          </cell>
          <cell r="EJ10" t="str">
            <v>.</v>
          </cell>
        </row>
        <row r="11">
          <cell r="A11" t="str">
            <v>PHFFU</v>
          </cell>
          <cell r="C11" t="str">
            <v>Plant Held for Future Use</v>
          </cell>
          <cell r="D11" t="str">
            <v>1050000</v>
          </cell>
          <cell r="E11" t="str">
            <v>A_1050000</v>
          </cell>
          <cell r="F11" t="str">
            <v>Plant Held for Future Use</v>
          </cell>
          <cell r="G11">
            <v>1937.5744499999998</v>
          </cell>
          <cell r="H11">
            <v>1939.6</v>
          </cell>
          <cell r="I11">
            <v>1939.6</v>
          </cell>
          <cell r="J11">
            <v>2983</v>
          </cell>
          <cell r="K11">
            <v>2983</v>
          </cell>
          <cell r="L11">
            <v>2983</v>
          </cell>
          <cell r="M11">
            <v>2983</v>
          </cell>
          <cell r="N11">
            <v>2983</v>
          </cell>
          <cell r="O11">
            <v>2983</v>
          </cell>
          <cell r="P11">
            <v>2983</v>
          </cell>
          <cell r="Q11">
            <v>2983.1</v>
          </cell>
          <cell r="R11">
            <v>2983.1</v>
          </cell>
          <cell r="S11">
            <v>2984.6</v>
          </cell>
          <cell r="T11">
            <v>2984.6</v>
          </cell>
          <cell r="U11">
            <v>2984.6</v>
          </cell>
          <cell r="V11">
            <v>2984.6</v>
          </cell>
          <cell r="W11">
            <v>2984.6</v>
          </cell>
          <cell r="X11">
            <v>2984.6</v>
          </cell>
          <cell r="Y11">
            <v>1939.6</v>
          </cell>
          <cell r="Z11">
            <v>1939.6</v>
          </cell>
          <cell r="AA11">
            <v>1939.6</v>
          </cell>
          <cell r="AB11">
            <v>1939.6</v>
          </cell>
          <cell r="AC11">
            <v>1939.6</v>
          </cell>
          <cell r="AD11">
            <v>1939.6</v>
          </cell>
          <cell r="AE11">
            <v>1939.6</v>
          </cell>
          <cell r="AF11">
            <v>1939.6</v>
          </cell>
          <cell r="AG11">
            <v>1939.6</v>
          </cell>
          <cell r="AH11">
            <v>1939.6</v>
          </cell>
          <cell r="AI11">
            <v>1939.6</v>
          </cell>
          <cell r="AJ11">
            <v>1939.6</v>
          </cell>
          <cell r="AK11">
            <v>1939.6</v>
          </cell>
          <cell r="AL11">
            <v>1939.6</v>
          </cell>
          <cell r="AM11">
            <v>1939.6</v>
          </cell>
          <cell r="AN11">
            <v>1939.6</v>
          </cell>
          <cell r="AO11">
            <v>1939.6</v>
          </cell>
          <cell r="AP11">
            <v>1939.6</v>
          </cell>
          <cell r="AQ11">
            <v>1939.6</v>
          </cell>
          <cell r="AR11">
            <v>1939.6</v>
          </cell>
          <cell r="AS11">
            <v>1939.6</v>
          </cell>
          <cell r="AT11">
            <v>1939.6</v>
          </cell>
          <cell r="AU11">
            <v>1939.6</v>
          </cell>
          <cell r="AV11">
            <v>1939.6</v>
          </cell>
          <cell r="AW11">
            <v>1939.6</v>
          </cell>
          <cell r="AX11">
            <v>1939.6</v>
          </cell>
          <cell r="AY11">
            <v>1939.6</v>
          </cell>
          <cell r="AZ11">
            <v>1939.6</v>
          </cell>
          <cell r="BA11">
            <v>1939.6</v>
          </cell>
          <cell r="BB11">
            <v>1939.6</v>
          </cell>
          <cell r="BC11">
            <v>1939.6</v>
          </cell>
          <cell r="BD11">
            <v>1939.6</v>
          </cell>
          <cell r="BE11">
            <v>1939.6</v>
          </cell>
          <cell r="BF11">
            <v>1939.6</v>
          </cell>
          <cell r="BG11">
            <v>1939.6</v>
          </cell>
          <cell r="BH11">
            <v>1939.6</v>
          </cell>
          <cell r="BI11">
            <v>1939.6</v>
          </cell>
          <cell r="BJ11">
            <v>1939.6</v>
          </cell>
          <cell r="BK11">
            <v>1939.6</v>
          </cell>
          <cell r="BL11">
            <v>1939.6</v>
          </cell>
          <cell r="BM11">
            <v>1939.6</v>
          </cell>
          <cell r="BN11">
            <v>1939.6</v>
          </cell>
          <cell r="BO11">
            <v>1939.6</v>
          </cell>
          <cell r="BP11">
            <v>1939.6</v>
          </cell>
          <cell r="BQ11">
            <v>1939.6</v>
          </cell>
          <cell r="BR11">
            <v>1939.6</v>
          </cell>
          <cell r="BS11">
            <v>1939.6</v>
          </cell>
          <cell r="BT11">
            <v>1939.6</v>
          </cell>
          <cell r="BU11">
            <v>1939.6</v>
          </cell>
          <cell r="BV11">
            <v>1939.6</v>
          </cell>
          <cell r="BW11">
            <v>1939.6</v>
          </cell>
          <cell r="BX11">
            <v>1939.6</v>
          </cell>
          <cell r="BY11">
            <v>1939.6</v>
          </cell>
          <cell r="BZ11">
            <v>1939.6</v>
          </cell>
          <cell r="CA11">
            <v>1939.6</v>
          </cell>
          <cell r="CB11">
            <v>1939.6</v>
          </cell>
          <cell r="CC11">
            <v>1939.6</v>
          </cell>
          <cell r="CD11">
            <v>1939.6</v>
          </cell>
          <cell r="CE11">
            <v>1939.6</v>
          </cell>
          <cell r="CF11">
            <v>1939.6</v>
          </cell>
          <cell r="CG11">
            <v>1939.6</v>
          </cell>
          <cell r="CH11">
            <v>1939.6</v>
          </cell>
          <cell r="CI11">
            <v>1939.6</v>
          </cell>
          <cell r="CJ11">
            <v>1939.6</v>
          </cell>
          <cell r="CK11">
            <v>1939.6</v>
          </cell>
          <cell r="CL11">
            <v>1939.6</v>
          </cell>
          <cell r="CM11">
            <v>1939.6</v>
          </cell>
          <cell r="CN11">
            <v>1939.6</v>
          </cell>
          <cell r="CO11">
            <v>1939.6</v>
          </cell>
          <cell r="CP11">
            <v>1939.6</v>
          </cell>
          <cell r="CQ11">
            <v>1939.6</v>
          </cell>
          <cell r="CR11">
            <v>1939.6</v>
          </cell>
          <cell r="CS11">
            <v>1939.6</v>
          </cell>
          <cell r="CT11">
            <v>1939.6</v>
          </cell>
          <cell r="CU11">
            <v>1939.6</v>
          </cell>
          <cell r="CV11">
            <v>1939.6</v>
          </cell>
          <cell r="CW11">
            <v>1939.6</v>
          </cell>
          <cell r="CX11">
            <v>1939.6</v>
          </cell>
          <cell r="CY11">
            <v>1939.6</v>
          </cell>
          <cell r="CZ11">
            <v>1939.6</v>
          </cell>
          <cell r="DA11">
            <v>1939.6</v>
          </cell>
          <cell r="DB11">
            <v>1939.6</v>
          </cell>
          <cell r="DC11">
            <v>1939.6</v>
          </cell>
          <cell r="DD11">
            <v>1939.6</v>
          </cell>
          <cell r="DE11">
            <v>1939.6</v>
          </cell>
          <cell r="DF11">
            <v>1939.6</v>
          </cell>
          <cell r="DG11">
            <v>1939.6</v>
          </cell>
          <cell r="DH11">
            <v>1939.6</v>
          </cell>
          <cell r="DI11">
            <v>1939.6</v>
          </cell>
          <cell r="DJ11">
            <v>1939.6</v>
          </cell>
          <cell r="DK11">
            <v>1939.6</v>
          </cell>
          <cell r="DL11">
            <v>1939.6</v>
          </cell>
          <cell r="DM11">
            <v>1939.6</v>
          </cell>
          <cell r="DN11">
            <v>1939.6</v>
          </cell>
          <cell r="DO11">
            <v>1939.6</v>
          </cell>
          <cell r="DP11">
            <v>1939.6</v>
          </cell>
          <cell r="DQ11">
            <v>1939.6</v>
          </cell>
          <cell r="DR11">
            <v>1939.6</v>
          </cell>
          <cell r="DS11">
            <v>1939.6</v>
          </cell>
          <cell r="DT11">
            <v>1939.6</v>
          </cell>
          <cell r="DU11">
            <v>1939.6</v>
          </cell>
          <cell r="DV11">
            <v>1939.6</v>
          </cell>
          <cell r="DW11">
            <v>1939.6</v>
          </cell>
          <cell r="EK11" t="str">
            <v>SOP</v>
          </cell>
        </row>
        <row r="12">
          <cell r="D12" t="str">
            <v>105</v>
          </cell>
          <cell r="E12">
            <v>105</v>
          </cell>
          <cell r="G12">
            <v>1937.5744499999998</v>
          </cell>
          <cell r="H12">
            <v>1939.6</v>
          </cell>
          <cell r="I12">
            <v>1939.6</v>
          </cell>
          <cell r="J12">
            <v>2983</v>
          </cell>
          <cell r="K12">
            <v>2983</v>
          </cell>
          <cell r="L12">
            <v>2983</v>
          </cell>
          <cell r="M12">
            <v>2983</v>
          </cell>
          <cell r="N12">
            <v>2983</v>
          </cell>
          <cell r="O12">
            <v>2983</v>
          </cell>
          <cell r="P12">
            <v>2983</v>
          </cell>
          <cell r="Q12">
            <v>2983.1</v>
          </cell>
          <cell r="R12">
            <v>2983.1</v>
          </cell>
          <cell r="S12">
            <v>2984.6</v>
          </cell>
          <cell r="T12">
            <v>2984.6</v>
          </cell>
          <cell r="U12">
            <v>2984.6</v>
          </cell>
          <cell r="V12">
            <v>2984.6</v>
          </cell>
          <cell r="W12">
            <v>2984.6</v>
          </cell>
          <cell r="X12">
            <v>2984.6</v>
          </cell>
          <cell r="Y12">
            <v>1939.6</v>
          </cell>
          <cell r="Z12">
            <v>1939.6</v>
          </cell>
          <cell r="AA12">
            <v>1939.6</v>
          </cell>
          <cell r="AB12">
            <v>1939.6</v>
          </cell>
          <cell r="AC12">
            <v>1939.6</v>
          </cell>
          <cell r="AD12">
            <v>1939.6</v>
          </cell>
          <cell r="AE12">
            <v>1939.6</v>
          </cell>
          <cell r="AF12">
            <v>1939.6</v>
          </cell>
          <cell r="AG12">
            <v>1939.6</v>
          </cell>
          <cell r="AH12">
            <v>1939.6</v>
          </cell>
          <cell r="AI12">
            <v>1939.6</v>
          </cell>
          <cell r="AJ12">
            <v>1939.6</v>
          </cell>
          <cell r="AK12">
            <v>1939.6</v>
          </cell>
          <cell r="AL12">
            <v>1939.6</v>
          </cell>
          <cell r="AM12">
            <v>1939.6</v>
          </cell>
          <cell r="AN12">
            <v>1939.6</v>
          </cell>
          <cell r="AO12">
            <v>1939.6</v>
          </cell>
          <cell r="AP12">
            <v>1939.6</v>
          </cell>
          <cell r="AQ12">
            <v>1939.6</v>
          </cell>
          <cell r="AR12">
            <v>1939.6</v>
          </cell>
          <cell r="AS12">
            <v>1939.6</v>
          </cell>
          <cell r="AT12">
            <v>1939.6</v>
          </cell>
          <cell r="AU12">
            <v>1939.6</v>
          </cell>
          <cell r="AV12">
            <v>1939.6</v>
          </cell>
          <cell r="AW12">
            <v>1939.6</v>
          </cell>
          <cell r="AX12">
            <v>1939.6</v>
          </cell>
          <cell r="AY12">
            <v>1939.6</v>
          </cell>
          <cell r="AZ12">
            <v>1939.6</v>
          </cell>
          <cell r="BA12">
            <v>1939.6</v>
          </cell>
          <cell r="BB12">
            <v>1939.6</v>
          </cell>
          <cell r="BC12">
            <v>1939.6</v>
          </cell>
          <cell r="BD12">
            <v>1939.6</v>
          </cell>
          <cell r="BE12">
            <v>1939.6</v>
          </cell>
          <cell r="BF12">
            <v>1939.6</v>
          </cell>
          <cell r="BG12">
            <v>1939.6</v>
          </cell>
          <cell r="BH12">
            <v>1939.6</v>
          </cell>
          <cell r="BI12">
            <v>1939.6</v>
          </cell>
          <cell r="BJ12">
            <v>1939.6</v>
          </cell>
          <cell r="BK12">
            <v>1939.6</v>
          </cell>
          <cell r="BL12">
            <v>1939.6</v>
          </cell>
          <cell r="BM12">
            <v>1939.6</v>
          </cell>
          <cell r="BN12">
            <v>1939.6</v>
          </cell>
          <cell r="BO12">
            <v>1939.6</v>
          </cell>
          <cell r="BP12">
            <v>1939.6</v>
          </cell>
          <cell r="BQ12">
            <v>1939.6</v>
          </cell>
          <cell r="BR12">
            <v>1939.6</v>
          </cell>
          <cell r="BS12">
            <v>1939.6</v>
          </cell>
          <cell r="BT12">
            <v>1939.6</v>
          </cell>
          <cell r="BU12">
            <v>1939.6</v>
          </cell>
          <cell r="BV12">
            <v>1939.6</v>
          </cell>
          <cell r="BW12">
            <v>1939.6</v>
          </cell>
          <cell r="BX12">
            <v>1939.6</v>
          </cell>
          <cell r="BY12">
            <v>1939.6</v>
          </cell>
          <cell r="BZ12">
            <v>1939.6</v>
          </cell>
          <cell r="CA12">
            <v>1939.6</v>
          </cell>
          <cell r="CB12">
            <v>1939.6</v>
          </cell>
          <cell r="CC12">
            <v>1939.6</v>
          </cell>
          <cell r="CD12">
            <v>1939.6</v>
          </cell>
          <cell r="CE12">
            <v>1939.6</v>
          </cell>
          <cell r="CF12">
            <v>1939.6</v>
          </cell>
          <cell r="CG12">
            <v>1939.6</v>
          </cell>
          <cell r="CH12">
            <v>1939.6</v>
          </cell>
          <cell r="CI12">
            <v>1939.6</v>
          </cell>
          <cell r="CJ12">
            <v>1939.6</v>
          </cell>
          <cell r="CK12">
            <v>1939.6</v>
          </cell>
          <cell r="CL12">
            <v>1939.6</v>
          </cell>
          <cell r="CM12">
            <v>1939.6</v>
          </cell>
          <cell r="CN12">
            <v>1939.6</v>
          </cell>
          <cell r="CO12">
            <v>1939.6</v>
          </cell>
          <cell r="CP12">
            <v>1939.6</v>
          </cell>
          <cell r="CQ12">
            <v>1939.6</v>
          </cell>
          <cell r="CR12">
            <v>1939.6</v>
          </cell>
          <cell r="CS12">
            <v>1939.6</v>
          </cell>
          <cell r="CT12">
            <v>1939.6</v>
          </cell>
          <cell r="CU12">
            <v>1939.6</v>
          </cell>
          <cell r="CV12">
            <v>1939.6</v>
          </cell>
          <cell r="CW12">
            <v>1939.6</v>
          </cell>
          <cell r="CX12">
            <v>1939.6</v>
          </cell>
          <cell r="CY12">
            <v>1939.6</v>
          </cell>
          <cell r="CZ12">
            <v>1939.6</v>
          </cell>
          <cell r="DA12">
            <v>1939.6</v>
          </cell>
          <cell r="DB12">
            <v>1939.6</v>
          </cell>
          <cell r="DC12">
            <v>1939.6</v>
          </cell>
          <cell r="DD12">
            <v>1939.6</v>
          </cell>
          <cell r="DE12">
            <v>1939.6</v>
          </cell>
          <cell r="DF12">
            <v>1939.6</v>
          </cell>
          <cell r="DG12">
            <v>1939.6</v>
          </cell>
          <cell r="DH12">
            <v>1939.6</v>
          </cell>
          <cell r="DI12">
            <v>1939.6</v>
          </cell>
          <cell r="DJ12">
            <v>1939.6</v>
          </cell>
          <cell r="DK12">
            <v>1939.6</v>
          </cell>
          <cell r="DL12">
            <v>1939.6</v>
          </cell>
          <cell r="DM12">
            <v>1939.6</v>
          </cell>
          <cell r="DN12">
            <v>1939.6</v>
          </cell>
          <cell r="DO12">
            <v>1939.6</v>
          </cell>
          <cell r="DP12">
            <v>1939.6</v>
          </cell>
          <cell r="DQ12">
            <v>1939.6</v>
          </cell>
          <cell r="DR12">
            <v>1939.6</v>
          </cell>
          <cell r="DS12">
            <v>1939.6</v>
          </cell>
          <cell r="DT12">
            <v>1939.6</v>
          </cell>
          <cell r="DU12">
            <v>1939.6</v>
          </cell>
          <cell r="DV12">
            <v>1939.6</v>
          </cell>
          <cell r="DW12">
            <v>1939.6</v>
          </cell>
          <cell r="EJ12" t="str">
            <v>.</v>
          </cell>
        </row>
        <row r="13">
          <cell r="A13" t="str">
            <v>Gas Plant in Service</v>
          </cell>
          <cell r="C13" t="str">
            <v>Gas Plant in Service</v>
          </cell>
          <cell r="D13" t="str">
            <v>1060000</v>
          </cell>
          <cell r="E13" t="str">
            <v>A_1060000</v>
          </cell>
          <cell r="F13" t="str">
            <v>Completed Construction not Classified</v>
          </cell>
          <cell r="G13">
            <v>55155.772069999999</v>
          </cell>
          <cell r="H13">
            <v>59777.1</v>
          </cell>
          <cell r="I13">
            <v>59522.7</v>
          </cell>
          <cell r="J13">
            <v>59811.5</v>
          </cell>
          <cell r="K13">
            <v>60269.1</v>
          </cell>
          <cell r="L13">
            <v>60378.400000000001</v>
          </cell>
          <cell r="M13">
            <v>54234.7</v>
          </cell>
          <cell r="N13">
            <v>53319.1</v>
          </cell>
          <cell r="O13">
            <v>55502.400000000001</v>
          </cell>
          <cell r="P13">
            <v>59575.199999999997</v>
          </cell>
          <cell r="Q13">
            <v>63821.4</v>
          </cell>
          <cell r="R13">
            <v>65705</v>
          </cell>
          <cell r="S13">
            <v>65158.2</v>
          </cell>
          <cell r="T13">
            <v>64389.4</v>
          </cell>
          <cell r="U13">
            <v>68828.3</v>
          </cell>
          <cell r="V13">
            <v>64965.7</v>
          </cell>
          <cell r="W13">
            <v>72489.399999999994</v>
          </cell>
          <cell r="X13">
            <v>72631.199999999997</v>
          </cell>
          <cell r="Y13">
            <v>80039.7</v>
          </cell>
          <cell r="Z13">
            <v>78249.5</v>
          </cell>
          <cell r="AA13">
            <v>79647</v>
          </cell>
          <cell r="AB13">
            <v>83186.100000000006</v>
          </cell>
          <cell r="AC13">
            <v>87491.9</v>
          </cell>
          <cell r="AD13">
            <v>91246.7</v>
          </cell>
          <cell r="AE13">
            <v>86192.2</v>
          </cell>
          <cell r="AF13">
            <v>94491</v>
          </cell>
          <cell r="AG13">
            <v>95210.3</v>
          </cell>
          <cell r="AH13">
            <v>90134.399999999994</v>
          </cell>
          <cell r="AI13">
            <v>89673.2</v>
          </cell>
          <cell r="AJ13">
            <v>88170.6</v>
          </cell>
          <cell r="AK13">
            <v>101902.3</v>
          </cell>
          <cell r="AL13">
            <v>97464.1</v>
          </cell>
          <cell r="AM13">
            <v>94939.4</v>
          </cell>
          <cell r="AN13">
            <v>94936.5</v>
          </cell>
          <cell r="AO13">
            <v>106629.1</v>
          </cell>
          <cell r="AP13">
            <v>103796.9</v>
          </cell>
          <cell r="AQ13">
            <v>116017.8</v>
          </cell>
          <cell r="AR13">
            <v>123478.3</v>
          </cell>
          <cell r="AS13">
            <v>123104.5</v>
          </cell>
          <cell r="AT13">
            <v>121595</v>
          </cell>
          <cell r="AU13">
            <v>126843.1</v>
          </cell>
          <cell r="AV13">
            <v>130438.7</v>
          </cell>
          <cell r="AW13">
            <v>124575.7</v>
          </cell>
          <cell r="AX13">
            <v>126774.7</v>
          </cell>
          <cell r="AY13">
            <v>137418.70000000001</v>
          </cell>
          <cell r="AZ13">
            <v>137030.70000000001</v>
          </cell>
          <cell r="BA13">
            <v>139217</v>
          </cell>
          <cell r="BB13">
            <v>145683.5</v>
          </cell>
          <cell r="BC13">
            <v>146308.6</v>
          </cell>
          <cell r="BD13">
            <v>157102.29999999999</v>
          </cell>
          <cell r="BE13">
            <v>135334.1</v>
          </cell>
          <cell r="BF13">
            <v>134638.1</v>
          </cell>
          <cell r="BG13">
            <v>134348.70000000001</v>
          </cell>
          <cell r="BH13">
            <v>147286.29999999999</v>
          </cell>
          <cell r="BI13">
            <v>142572.20000000001</v>
          </cell>
          <cell r="BJ13">
            <v>148353.1</v>
          </cell>
          <cell r="BK13">
            <v>140643.20000000001</v>
          </cell>
          <cell r="BL13">
            <v>138692.4</v>
          </cell>
          <cell r="BM13">
            <v>147018.20000000001</v>
          </cell>
          <cell r="BN13">
            <v>170081.6</v>
          </cell>
          <cell r="BO13">
            <v>178864</v>
          </cell>
          <cell r="BP13">
            <v>187836.79999999999</v>
          </cell>
          <cell r="BQ13">
            <v>201744.7</v>
          </cell>
          <cell r="BR13">
            <v>205081</v>
          </cell>
          <cell r="BS13">
            <v>206811.5</v>
          </cell>
          <cell r="BT13">
            <v>208625.2</v>
          </cell>
          <cell r="BU13">
            <v>198920.9</v>
          </cell>
          <cell r="BV13">
            <v>207592.1</v>
          </cell>
          <cell r="BW13">
            <v>212178.3</v>
          </cell>
          <cell r="BX13">
            <v>216700.5</v>
          </cell>
          <cell r="BY13">
            <v>212255</v>
          </cell>
          <cell r="BZ13">
            <v>225486.2</v>
          </cell>
          <cell r="CA13">
            <v>208469.5</v>
          </cell>
          <cell r="CB13">
            <v>214740.5</v>
          </cell>
          <cell r="CC13">
            <v>233879.6</v>
          </cell>
          <cell r="CD13">
            <v>236630</v>
          </cell>
          <cell r="CE13">
            <v>245175.6</v>
          </cell>
          <cell r="CF13">
            <v>243003.9</v>
          </cell>
          <cell r="CG13">
            <v>239387.3</v>
          </cell>
          <cell r="CH13">
            <v>244937.60000000001</v>
          </cell>
          <cell r="CI13">
            <v>262835.7</v>
          </cell>
          <cell r="CJ13">
            <v>255783.9</v>
          </cell>
          <cell r="CK13">
            <v>331089.90000000002</v>
          </cell>
          <cell r="CL13">
            <v>349864.3</v>
          </cell>
          <cell r="CM13">
            <v>307437.3</v>
          </cell>
          <cell r="CN13">
            <v>327435.8</v>
          </cell>
          <cell r="CO13">
            <v>320782.8</v>
          </cell>
          <cell r="CP13">
            <v>334363</v>
          </cell>
          <cell r="CQ13">
            <v>398104.8</v>
          </cell>
          <cell r="CR13">
            <v>370986.2</v>
          </cell>
          <cell r="CS13">
            <v>357640.7</v>
          </cell>
          <cell r="CT13">
            <v>292578.5</v>
          </cell>
          <cell r="CU13">
            <v>302547.20000000001</v>
          </cell>
          <cell r="CV13">
            <v>247163.9</v>
          </cell>
          <cell r="CW13">
            <v>243389</v>
          </cell>
          <cell r="CX13">
            <v>300047.3</v>
          </cell>
          <cell r="CY13">
            <v>297505.7</v>
          </cell>
          <cell r="CZ13">
            <v>293671</v>
          </cell>
          <cell r="DA13">
            <v>294694</v>
          </cell>
          <cell r="DB13">
            <v>290733.2</v>
          </cell>
          <cell r="DC13">
            <v>302344.5</v>
          </cell>
          <cell r="DD13">
            <v>283595.40000000002</v>
          </cell>
          <cell r="DE13">
            <v>272186.90000000002</v>
          </cell>
          <cell r="DF13">
            <v>279198.40000000002</v>
          </cell>
          <cell r="DG13">
            <v>293707.3</v>
          </cell>
          <cell r="DH13">
            <v>304307.20000000001</v>
          </cell>
          <cell r="DI13">
            <v>359987.4</v>
          </cell>
          <cell r="DJ13">
            <v>371496.2</v>
          </cell>
          <cell r="DK13">
            <v>331968.7</v>
          </cell>
          <cell r="DL13">
            <v>390853.1</v>
          </cell>
          <cell r="DM13">
            <v>416203.9</v>
          </cell>
          <cell r="DN13">
            <v>426587.2</v>
          </cell>
          <cell r="DO13">
            <v>430267.2</v>
          </cell>
          <cell r="DP13">
            <v>467881.4</v>
          </cell>
          <cell r="DQ13">
            <v>476392.8</v>
          </cell>
          <cell r="DR13">
            <v>377323.1</v>
          </cell>
          <cell r="DS13">
            <v>316951</v>
          </cell>
          <cell r="DT13">
            <v>297665.90000000002</v>
          </cell>
          <cell r="DU13">
            <v>282664.5</v>
          </cell>
          <cell r="DV13">
            <v>305118.2</v>
          </cell>
          <cell r="DW13">
            <v>308931.59999999998</v>
          </cell>
          <cell r="EK13" t="str">
            <v>SOP</v>
          </cell>
        </row>
        <row r="14">
          <cell r="D14" t="str">
            <v>106</v>
          </cell>
          <cell r="E14">
            <v>106</v>
          </cell>
          <cell r="G14">
            <v>55155.772069999999</v>
          </cell>
          <cell r="H14">
            <v>59777.1</v>
          </cell>
          <cell r="I14">
            <v>59522.7</v>
          </cell>
          <cell r="J14">
            <v>59811.5</v>
          </cell>
          <cell r="K14">
            <v>60269.1</v>
          </cell>
          <cell r="L14">
            <v>60378.400000000001</v>
          </cell>
          <cell r="M14">
            <v>54234.7</v>
          </cell>
          <cell r="N14">
            <v>53319.1</v>
          </cell>
          <cell r="O14">
            <v>55502.400000000001</v>
          </cell>
          <cell r="P14">
            <v>59575.199999999997</v>
          </cell>
          <cell r="Q14">
            <v>63821.4</v>
          </cell>
          <cell r="R14">
            <v>65705</v>
          </cell>
          <cell r="S14">
            <v>65158.2</v>
          </cell>
          <cell r="T14">
            <v>64389.4</v>
          </cell>
          <cell r="U14">
            <v>68828.3</v>
          </cell>
          <cell r="V14">
            <v>64965.7</v>
          </cell>
          <cell r="W14">
            <v>72489.399999999994</v>
          </cell>
          <cell r="X14">
            <v>72631.199999999997</v>
          </cell>
          <cell r="Y14">
            <v>80039.7</v>
          </cell>
          <cell r="Z14">
            <v>78249.5</v>
          </cell>
          <cell r="AA14">
            <v>79647</v>
          </cell>
          <cell r="AB14">
            <v>83186.100000000006</v>
          </cell>
          <cell r="AC14">
            <v>87491.9</v>
          </cell>
          <cell r="AD14">
            <v>91246.7</v>
          </cell>
          <cell r="AE14">
            <v>86192.2</v>
          </cell>
          <cell r="AF14">
            <v>94491</v>
          </cell>
          <cell r="AG14">
            <v>95210.3</v>
          </cell>
          <cell r="AH14">
            <v>90134.399999999994</v>
          </cell>
          <cell r="AI14">
            <v>89673.2</v>
          </cell>
          <cell r="AJ14">
            <v>88170.6</v>
          </cell>
          <cell r="AK14">
            <v>101902.3</v>
          </cell>
          <cell r="AL14">
            <v>97464.1</v>
          </cell>
          <cell r="AM14">
            <v>94939.4</v>
          </cell>
          <cell r="AN14">
            <v>94936.5</v>
          </cell>
          <cell r="AO14">
            <v>106629.1</v>
          </cell>
          <cell r="AP14">
            <v>103796.9</v>
          </cell>
          <cell r="AQ14">
            <v>116017.8</v>
          </cell>
          <cell r="AR14">
            <v>123478.3</v>
          </cell>
          <cell r="AS14">
            <v>123104.5</v>
          </cell>
          <cell r="AT14">
            <v>121595</v>
          </cell>
          <cell r="AU14">
            <v>126843.1</v>
          </cell>
          <cell r="AV14">
            <v>130438.7</v>
          </cell>
          <cell r="AW14">
            <v>124575.7</v>
          </cell>
          <cell r="AX14">
            <v>126774.7</v>
          </cell>
          <cell r="AY14">
            <v>137418.70000000001</v>
          </cell>
          <cell r="AZ14">
            <v>137030.70000000001</v>
          </cell>
          <cell r="BA14">
            <v>139217</v>
          </cell>
          <cell r="BB14">
            <v>145683.5</v>
          </cell>
          <cell r="BC14">
            <v>146308.6</v>
          </cell>
          <cell r="BD14">
            <v>157102.29999999999</v>
          </cell>
          <cell r="BE14">
            <v>135334.1</v>
          </cell>
          <cell r="BF14">
            <v>134638.1</v>
          </cell>
          <cell r="BG14">
            <v>134348.70000000001</v>
          </cell>
          <cell r="BH14">
            <v>147286.29999999999</v>
          </cell>
          <cell r="BI14">
            <v>142572.20000000001</v>
          </cell>
          <cell r="BJ14">
            <v>148353.1</v>
          </cell>
          <cell r="BK14">
            <v>140643.20000000001</v>
          </cell>
          <cell r="BL14">
            <v>138692.4</v>
          </cell>
          <cell r="BM14">
            <v>147018.20000000001</v>
          </cell>
          <cell r="BN14">
            <v>170081.6</v>
          </cell>
          <cell r="BO14">
            <v>178864</v>
          </cell>
          <cell r="BP14">
            <v>187836.79999999999</v>
          </cell>
          <cell r="BQ14">
            <v>201744.7</v>
          </cell>
          <cell r="BR14">
            <v>205081</v>
          </cell>
          <cell r="BS14">
            <v>206811.5</v>
          </cell>
          <cell r="BT14">
            <v>208625.2</v>
          </cell>
          <cell r="BU14">
            <v>198920.9</v>
          </cell>
          <cell r="BV14">
            <v>207592.1</v>
          </cell>
          <cell r="BW14">
            <v>212178.3</v>
          </cell>
          <cell r="BX14">
            <v>216700.5</v>
          </cell>
          <cell r="BY14">
            <v>212255</v>
          </cell>
          <cell r="BZ14">
            <v>225486.2</v>
          </cell>
          <cell r="CA14">
            <v>208469.5</v>
          </cell>
          <cell r="CB14">
            <v>214740.5</v>
          </cell>
          <cell r="CC14">
            <v>233879.6</v>
          </cell>
          <cell r="CD14">
            <v>236630</v>
          </cell>
          <cell r="CE14">
            <v>245175.6</v>
          </cell>
          <cell r="CF14">
            <v>243003.9</v>
          </cell>
          <cell r="CG14">
            <v>239387.3</v>
          </cell>
          <cell r="CH14">
            <v>244937.60000000001</v>
          </cell>
          <cell r="CI14">
            <v>262835.7</v>
          </cell>
          <cell r="CJ14">
            <v>255783.9</v>
          </cell>
          <cell r="CK14">
            <v>331089.90000000002</v>
          </cell>
          <cell r="CL14">
            <v>349864.3</v>
          </cell>
          <cell r="CM14">
            <v>307437.3</v>
          </cell>
          <cell r="CN14">
            <v>327435.8</v>
          </cell>
          <cell r="CO14">
            <v>320782.8</v>
          </cell>
          <cell r="CP14">
            <v>334363</v>
          </cell>
          <cell r="CQ14">
            <v>398104.8</v>
          </cell>
          <cell r="CR14">
            <v>370986.2</v>
          </cell>
          <cell r="CS14">
            <v>357640.7</v>
          </cell>
          <cell r="CT14">
            <v>292578.5</v>
          </cell>
          <cell r="CU14">
            <v>302547.20000000001</v>
          </cell>
          <cell r="CV14">
            <v>247163.9</v>
          </cell>
          <cell r="CW14">
            <v>243389</v>
          </cell>
          <cell r="CX14">
            <v>300047.3</v>
          </cell>
          <cell r="CY14">
            <v>297505.7</v>
          </cell>
          <cell r="CZ14">
            <v>293671</v>
          </cell>
          <cell r="DA14">
            <v>294694</v>
          </cell>
          <cell r="DB14">
            <v>290733.2</v>
          </cell>
          <cell r="DC14">
            <v>302344.5</v>
          </cell>
          <cell r="DD14">
            <v>283595.40000000002</v>
          </cell>
          <cell r="DE14">
            <v>272186.90000000002</v>
          </cell>
          <cell r="DF14">
            <v>279198.40000000002</v>
          </cell>
          <cell r="DG14">
            <v>293707.3</v>
          </cell>
          <cell r="DH14">
            <v>304307.20000000001</v>
          </cell>
          <cell r="DI14">
            <v>359987.4</v>
          </cell>
          <cell r="DJ14">
            <v>371496.2</v>
          </cell>
          <cell r="DK14">
            <v>331968.7</v>
          </cell>
          <cell r="DL14">
            <v>390853.1</v>
          </cell>
          <cell r="DM14">
            <v>416203.9</v>
          </cell>
          <cell r="DN14">
            <v>426587.2</v>
          </cell>
          <cell r="DO14">
            <v>430267.2</v>
          </cell>
          <cell r="DP14">
            <v>467881.4</v>
          </cell>
          <cell r="DQ14">
            <v>476392.8</v>
          </cell>
          <cell r="DR14">
            <v>377323.1</v>
          </cell>
          <cell r="DS14">
            <v>316951</v>
          </cell>
          <cell r="DT14">
            <v>297665.90000000002</v>
          </cell>
          <cell r="DU14">
            <v>282664.5</v>
          </cell>
          <cell r="DV14">
            <v>305118.2</v>
          </cell>
          <cell r="DW14">
            <v>308931.59999999998</v>
          </cell>
          <cell r="EJ14" t="str">
            <v>.</v>
          </cell>
        </row>
        <row r="15">
          <cell r="A15" t="str">
            <v>CWIP (Calc.)</v>
          </cell>
          <cell r="C15" t="str">
            <v>CWIP</v>
          </cell>
          <cell r="D15" t="str">
            <v>1070000</v>
          </cell>
          <cell r="E15" t="str">
            <v>A_1070000</v>
          </cell>
          <cell r="F15" t="str">
            <v>Construction Work in Progress</v>
          </cell>
          <cell r="G15">
            <v>37999.178799999994</v>
          </cell>
          <cell r="H15">
            <v>35807.4</v>
          </cell>
          <cell r="I15">
            <v>39501.4</v>
          </cell>
          <cell r="J15">
            <v>40111.9</v>
          </cell>
          <cell r="K15">
            <v>40338.5</v>
          </cell>
          <cell r="L15">
            <v>42218.9</v>
          </cell>
          <cell r="M15">
            <v>45750.400000000001</v>
          </cell>
          <cell r="N15">
            <v>40929.1</v>
          </cell>
          <cell r="O15">
            <v>43484</v>
          </cell>
          <cell r="P15">
            <v>44285.9</v>
          </cell>
          <cell r="Q15">
            <v>40392.6</v>
          </cell>
          <cell r="R15">
            <v>40115.199999999997</v>
          </cell>
          <cell r="S15">
            <v>46636</v>
          </cell>
          <cell r="T15">
            <v>46972.1</v>
          </cell>
          <cell r="U15">
            <v>42466.5</v>
          </cell>
          <cell r="V15">
            <v>44747.9</v>
          </cell>
          <cell r="W15">
            <v>34317.9</v>
          </cell>
          <cell r="X15">
            <v>31350.7</v>
          </cell>
          <cell r="Y15">
            <v>23330.9</v>
          </cell>
          <cell r="Z15">
            <v>26918.3</v>
          </cell>
          <cell r="AA15">
            <v>28581.200000000001</v>
          </cell>
          <cell r="AB15">
            <v>27609.4</v>
          </cell>
          <cell r="AC15">
            <v>30037.3</v>
          </cell>
          <cell r="AD15">
            <v>31116.400000000001</v>
          </cell>
          <cell r="AE15">
            <v>32173.4</v>
          </cell>
          <cell r="AF15">
            <v>26347.1</v>
          </cell>
          <cell r="AG15">
            <v>34957.199999999997</v>
          </cell>
          <cell r="AH15">
            <v>38950.800000000003</v>
          </cell>
          <cell r="AI15">
            <v>40408</v>
          </cell>
          <cell r="AJ15">
            <v>47638</v>
          </cell>
          <cell r="AK15">
            <v>31292.5</v>
          </cell>
          <cell r="AL15">
            <v>31457</v>
          </cell>
          <cell r="AM15">
            <v>32878.1</v>
          </cell>
          <cell r="AN15">
            <v>39114.300000000003</v>
          </cell>
          <cell r="AO15">
            <v>30954</v>
          </cell>
          <cell r="AP15">
            <v>33838.199999999997</v>
          </cell>
          <cell r="AQ15">
            <v>27484.7</v>
          </cell>
          <cell r="AR15">
            <v>23589.1</v>
          </cell>
          <cell r="AS15">
            <v>25860.5</v>
          </cell>
          <cell r="AT15">
            <v>22431.3</v>
          </cell>
          <cell r="AU15">
            <v>19601.5</v>
          </cell>
          <cell r="AV15">
            <v>22896.7</v>
          </cell>
          <cell r="AW15">
            <v>23021</v>
          </cell>
          <cell r="AX15">
            <v>24466.9</v>
          </cell>
          <cell r="AY15">
            <v>26444.2</v>
          </cell>
          <cell r="AZ15">
            <v>19059.5</v>
          </cell>
          <cell r="BA15">
            <v>18962.099999999999</v>
          </cell>
          <cell r="BB15">
            <v>20898.5</v>
          </cell>
          <cell r="BC15">
            <v>22182.2</v>
          </cell>
          <cell r="BD15">
            <v>18556.7</v>
          </cell>
          <cell r="BE15">
            <v>20716</v>
          </cell>
          <cell r="BF15">
            <v>22686.400000000001</v>
          </cell>
          <cell r="BG15">
            <v>24764.400000000001</v>
          </cell>
          <cell r="BH15">
            <v>22853</v>
          </cell>
          <cell r="BI15">
            <v>25749.4</v>
          </cell>
          <cell r="BJ15">
            <v>27787.4</v>
          </cell>
          <cell r="BK15">
            <v>32937.4</v>
          </cell>
          <cell r="BL15">
            <v>42024.800000000003</v>
          </cell>
          <cell r="BM15">
            <v>49273.5</v>
          </cell>
          <cell r="BN15">
            <v>40575.1</v>
          </cell>
          <cell r="BO15">
            <v>32694.2</v>
          </cell>
          <cell r="BP15">
            <v>37233.300000000003</v>
          </cell>
          <cell r="BQ15">
            <v>30935.4</v>
          </cell>
          <cell r="BR15">
            <v>31118.9</v>
          </cell>
          <cell r="BS15">
            <v>32041.1</v>
          </cell>
          <cell r="BT15">
            <v>37503.300000000003</v>
          </cell>
          <cell r="BU15">
            <v>39013.1</v>
          </cell>
          <cell r="BV15">
            <v>43393.1</v>
          </cell>
          <cell r="BW15">
            <v>55128.2</v>
          </cell>
          <cell r="BX15">
            <v>55798.7</v>
          </cell>
          <cell r="BY15">
            <v>62985.7</v>
          </cell>
          <cell r="BZ15">
            <v>59495.1</v>
          </cell>
          <cell r="CA15">
            <v>71222.2</v>
          </cell>
          <cell r="CB15">
            <v>87383.3</v>
          </cell>
          <cell r="CC15">
            <v>89788.6</v>
          </cell>
          <cell r="CD15">
            <v>92714</v>
          </cell>
          <cell r="CE15">
            <v>105186.3</v>
          </cell>
          <cell r="CF15">
            <v>119487.9</v>
          </cell>
          <cell r="CG15">
            <v>129123.9</v>
          </cell>
          <cell r="CH15">
            <v>142982</v>
          </cell>
          <cell r="CI15">
            <v>160185.9</v>
          </cell>
          <cell r="CJ15">
            <v>169862.8</v>
          </cell>
          <cell r="CK15">
            <v>123028.3</v>
          </cell>
          <cell r="CL15">
            <v>131449.5</v>
          </cell>
          <cell r="CM15">
            <v>140807.9</v>
          </cell>
          <cell r="CN15">
            <v>142689.5</v>
          </cell>
          <cell r="CO15">
            <v>158270.79999999999</v>
          </cell>
          <cell r="CP15">
            <v>168655.1</v>
          </cell>
          <cell r="CQ15">
            <v>116700.5</v>
          </cell>
          <cell r="CR15">
            <v>118593.7</v>
          </cell>
          <cell r="CS15">
            <v>130442.9</v>
          </cell>
          <cell r="CT15">
            <v>145786.1</v>
          </cell>
          <cell r="CU15">
            <v>159472.20000000001</v>
          </cell>
          <cell r="CV15">
            <v>174423.9</v>
          </cell>
          <cell r="CW15">
            <v>191413.4</v>
          </cell>
          <cell r="CX15">
            <v>142092.4</v>
          </cell>
          <cell r="CY15">
            <v>147483.79999999999</v>
          </cell>
          <cell r="CZ15">
            <v>158111.20000000001</v>
          </cell>
          <cell r="DA15">
            <v>162199.6</v>
          </cell>
          <cell r="DB15">
            <v>174470.9</v>
          </cell>
          <cell r="DC15">
            <v>184225.6</v>
          </cell>
          <cell r="DD15">
            <v>188333.2</v>
          </cell>
          <cell r="DE15">
            <v>201983.4</v>
          </cell>
          <cell r="DF15">
            <v>212538.8</v>
          </cell>
          <cell r="DG15">
            <v>225280.6</v>
          </cell>
          <cell r="DH15">
            <v>235379.6</v>
          </cell>
          <cell r="DI15">
            <v>200850.2</v>
          </cell>
          <cell r="DJ15">
            <v>210666.6</v>
          </cell>
          <cell r="DK15">
            <v>246109</v>
          </cell>
          <cell r="DL15">
            <v>139895.4</v>
          </cell>
          <cell r="DM15">
            <v>119553.9</v>
          </cell>
          <cell r="DN15">
            <v>118095</v>
          </cell>
          <cell r="DO15">
            <v>138120.20000000001</v>
          </cell>
          <cell r="DP15">
            <v>110979.9</v>
          </cell>
          <cell r="DQ15">
            <v>116583.6</v>
          </cell>
          <cell r="DR15">
            <v>127626</v>
          </cell>
          <cell r="DS15">
            <v>138177.9</v>
          </cell>
          <cell r="DT15">
            <v>145799.79999999999</v>
          </cell>
          <cell r="DU15">
            <v>152661.70000000001</v>
          </cell>
          <cell r="DV15">
            <v>98595.9</v>
          </cell>
          <cell r="DW15">
            <v>85626.4</v>
          </cell>
          <cell r="EK15" t="str">
            <v>SOP</v>
          </cell>
        </row>
        <row r="16">
          <cell r="D16" t="str">
            <v>107</v>
          </cell>
          <cell r="E16">
            <v>107</v>
          </cell>
          <cell r="G16">
            <v>37999.178799999994</v>
          </cell>
          <cell r="H16">
            <v>35807.4</v>
          </cell>
          <cell r="I16">
            <v>39501.4</v>
          </cell>
          <cell r="J16">
            <v>40111.9</v>
          </cell>
          <cell r="K16">
            <v>40338.5</v>
          </cell>
          <cell r="L16">
            <v>42218.9</v>
          </cell>
          <cell r="M16">
            <v>45750.400000000001</v>
          </cell>
          <cell r="N16">
            <v>40929.1</v>
          </cell>
          <cell r="O16">
            <v>43484</v>
          </cell>
          <cell r="P16">
            <v>44285.9</v>
          </cell>
          <cell r="Q16">
            <v>40392.6</v>
          </cell>
          <cell r="R16">
            <v>40115.199999999997</v>
          </cell>
          <cell r="S16">
            <v>46636</v>
          </cell>
          <cell r="T16">
            <v>46972.1</v>
          </cell>
          <cell r="U16">
            <v>42466.5</v>
          </cell>
          <cell r="V16">
            <v>44747.9</v>
          </cell>
          <cell r="W16">
            <v>34317.9</v>
          </cell>
          <cell r="X16">
            <v>31350.7</v>
          </cell>
          <cell r="Y16">
            <v>23330.9</v>
          </cell>
          <cell r="Z16">
            <v>26918.3</v>
          </cell>
          <cell r="AA16">
            <v>28581.200000000001</v>
          </cell>
          <cell r="AB16">
            <v>27609.4</v>
          </cell>
          <cell r="AC16">
            <v>30037.3</v>
          </cell>
          <cell r="AD16">
            <v>31116.400000000001</v>
          </cell>
          <cell r="AE16">
            <v>32173.4</v>
          </cell>
          <cell r="AF16">
            <v>26347.1</v>
          </cell>
          <cell r="AG16">
            <v>34957.199999999997</v>
          </cell>
          <cell r="AH16">
            <v>38950.800000000003</v>
          </cell>
          <cell r="AI16">
            <v>40408</v>
          </cell>
          <cell r="AJ16">
            <v>47638</v>
          </cell>
          <cell r="AK16">
            <v>31292.5</v>
          </cell>
          <cell r="AL16">
            <v>31457</v>
          </cell>
          <cell r="AM16">
            <v>32878.1</v>
          </cell>
          <cell r="AN16">
            <v>39114.300000000003</v>
          </cell>
          <cell r="AO16">
            <v>30954</v>
          </cell>
          <cell r="AP16">
            <v>33838.199999999997</v>
          </cell>
          <cell r="AQ16">
            <v>27484.7</v>
          </cell>
          <cell r="AR16">
            <v>23589.1</v>
          </cell>
          <cell r="AS16">
            <v>25860.5</v>
          </cell>
          <cell r="AT16">
            <v>22431.3</v>
          </cell>
          <cell r="AU16">
            <v>19601.5</v>
          </cell>
          <cell r="AV16">
            <v>22896.7</v>
          </cell>
          <cell r="AW16">
            <v>23021</v>
          </cell>
          <cell r="AX16">
            <v>24466.9</v>
          </cell>
          <cell r="AY16">
            <v>26444.2</v>
          </cell>
          <cell r="AZ16">
            <v>19059.5</v>
          </cell>
          <cell r="BA16">
            <v>18962.099999999999</v>
          </cell>
          <cell r="BB16">
            <v>20898.5</v>
          </cell>
          <cell r="BC16">
            <v>22182.2</v>
          </cell>
          <cell r="BD16">
            <v>18556.7</v>
          </cell>
          <cell r="BE16">
            <v>20716</v>
          </cell>
          <cell r="BF16">
            <v>22686.400000000001</v>
          </cell>
          <cell r="BG16">
            <v>24764.400000000001</v>
          </cell>
          <cell r="BH16">
            <v>22853</v>
          </cell>
          <cell r="BI16">
            <v>25749.4</v>
          </cell>
          <cell r="BJ16">
            <v>27787.4</v>
          </cell>
          <cell r="BK16">
            <v>32937.4</v>
          </cell>
          <cell r="BL16">
            <v>42024.800000000003</v>
          </cell>
          <cell r="BM16">
            <v>49273.5</v>
          </cell>
          <cell r="BN16">
            <v>40575.1</v>
          </cell>
          <cell r="BO16">
            <v>32694.2</v>
          </cell>
          <cell r="BP16">
            <v>37233.300000000003</v>
          </cell>
          <cell r="BQ16">
            <v>30935.4</v>
          </cell>
          <cell r="BR16">
            <v>31118.9</v>
          </cell>
          <cell r="BS16">
            <v>32041.1</v>
          </cell>
          <cell r="BT16">
            <v>37503.300000000003</v>
          </cell>
          <cell r="BU16">
            <v>39013.1</v>
          </cell>
          <cell r="BV16">
            <v>43393.1</v>
          </cell>
          <cell r="BW16">
            <v>55128.2</v>
          </cell>
          <cell r="BX16">
            <v>55798.7</v>
          </cell>
          <cell r="BY16">
            <v>62985.7</v>
          </cell>
          <cell r="BZ16">
            <v>59495.1</v>
          </cell>
          <cell r="CA16">
            <v>71222.2</v>
          </cell>
          <cell r="CB16">
            <v>87383.3</v>
          </cell>
          <cell r="CC16">
            <v>89788.6</v>
          </cell>
          <cell r="CD16">
            <v>92714</v>
          </cell>
          <cell r="CE16">
            <v>105186.3</v>
          </cell>
          <cell r="CF16">
            <v>119487.9</v>
          </cell>
          <cell r="CG16">
            <v>129123.9</v>
          </cell>
          <cell r="CH16">
            <v>142982</v>
          </cell>
          <cell r="CI16">
            <v>160185.9</v>
          </cell>
          <cell r="CJ16">
            <v>169862.8</v>
          </cell>
          <cell r="CK16">
            <v>123028.3</v>
          </cell>
          <cell r="CL16">
            <v>131449.5</v>
          </cell>
          <cell r="CM16">
            <v>140807.9</v>
          </cell>
          <cell r="CN16">
            <v>142689.5</v>
          </cell>
          <cell r="CO16">
            <v>158270.79999999999</v>
          </cell>
          <cell r="CP16">
            <v>168655.1</v>
          </cell>
          <cell r="CQ16">
            <v>116700.5</v>
          </cell>
          <cell r="CR16">
            <v>118593.7</v>
          </cell>
          <cell r="CS16">
            <v>130442.9</v>
          </cell>
          <cell r="CT16">
            <v>145786.1</v>
          </cell>
          <cell r="CU16">
            <v>159472.20000000001</v>
          </cell>
          <cell r="CV16">
            <v>174423.9</v>
          </cell>
          <cell r="CW16">
            <v>191413.4</v>
          </cell>
          <cell r="CX16">
            <v>142092.4</v>
          </cell>
          <cell r="CY16">
            <v>147483.79999999999</v>
          </cell>
          <cell r="CZ16">
            <v>158111.20000000001</v>
          </cell>
          <cell r="DA16">
            <v>162199.6</v>
          </cell>
          <cell r="DB16">
            <v>174470.9</v>
          </cell>
          <cell r="DC16">
            <v>184225.6</v>
          </cell>
          <cell r="DD16">
            <v>188333.2</v>
          </cell>
          <cell r="DE16">
            <v>201983.4</v>
          </cell>
          <cell r="DF16">
            <v>212538.8</v>
          </cell>
          <cell r="DG16">
            <v>225280.6</v>
          </cell>
          <cell r="DH16">
            <v>235379.6</v>
          </cell>
          <cell r="DI16">
            <v>200850.2</v>
          </cell>
          <cell r="DJ16">
            <v>210666.6</v>
          </cell>
          <cell r="DK16">
            <v>246109</v>
          </cell>
          <cell r="DL16">
            <v>139895.4</v>
          </cell>
          <cell r="DM16">
            <v>119553.9</v>
          </cell>
          <cell r="DN16">
            <v>118095</v>
          </cell>
          <cell r="DO16">
            <v>138120.20000000001</v>
          </cell>
          <cell r="DP16">
            <v>110979.9</v>
          </cell>
          <cell r="DQ16">
            <v>116583.6</v>
          </cell>
          <cell r="DR16">
            <v>127626</v>
          </cell>
          <cell r="DS16">
            <v>138177.9</v>
          </cell>
          <cell r="DT16">
            <v>145799.79999999999</v>
          </cell>
          <cell r="DU16">
            <v>152661.70000000001</v>
          </cell>
          <cell r="DV16">
            <v>98595.9</v>
          </cell>
          <cell r="DW16">
            <v>85626.4</v>
          </cell>
          <cell r="EJ16" t="str">
            <v>.</v>
          </cell>
        </row>
        <row r="17">
          <cell r="A17" t="str">
            <v>Accum. Depreciation (Calc.)</v>
          </cell>
          <cell r="C17" t="str">
            <v>Accumulated Provision for Depr.</v>
          </cell>
          <cell r="D17" t="str">
            <v>1080000</v>
          </cell>
          <cell r="E17" t="str">
            <v>A_1080000</v>
          </cell>
          <cell r="F17" t="str">
            <v>Accumulated Provision for Depreciation</v>
          </cell>
          <cell r="G17">
            <v>-597208.17804999999</v>
          </cell>
          <cell r="H17">
            <v>-592509.30000000005</v>
          </cell>
          <cell r="I17">
            <v>-595908</v>
          </cell>
          <cell r="J17">
            <v>-599418.19999999995</v>
          </cell>
          <cell r="K17">
            <v>-603256.80000000005</v>
          </cell>
          <cell r="L17">
            <v>-606600</v>
          </cell>
          <cell r="M17">
            <v>-610070.19999999995</v>
          </cell>
          <cell r="N17">
            <v>-613707.6</v>
          </cell>
          <cell r="O17">
            <v>-617772.1</v>
          </cell>
          <cell r="P17">
            <v>-621209.4</v>
          </cell>
          <cell r="Q17">
            <v>-624961.19999999995</v>
          </cell>
          <cell r="R17">
            <v>-628795.69999999995</v>
          </cell>
          <cell r="S17">
            <v>-633220.80000000005</v>
          </cell>
          <cell r="T17">
            <v>-636284.80000000005</v>
          </cell>
          <cell r="U17">
            <v>-632257.69999999995</v>
          </cell>
          <cell r="V17">
            <v>-635762.30000000005</v>
          </cell>
          <cell r="W17">
            <v>-639827.1</v>
          </cell>
          <cell r="X17">
            <v>-643141.5</v>
          </cell>
          <cell r="Y17">
            <v>-647276.4</v>
          </cell>
          <cell r="Z17">
            <v>-651791</v>
          </cell>
          <cell r="AA17">
            <v>-656400.19999999995</v>
          </cell>
          <cell r="AB17">
            <v>-661025.19999999995</v>
          </cell>
          <cell r="AC17">
            <v>-665759.30000000005</v>
          </cell>
          <cell r="AD17">
            <v>-670459.6</v>
          </cell>
          <cell r="AE17">
            <v>-672064.7</v>
          </cell>
          <cell r="AF17">
            <v>-676480.5</v>
          </cell>
          <cell r="AG17">
            <v>-681119.1</v>
          </cell>
          <cell r="AH17">
            <v>-684493.4</v>
          </cell>
          <cell r="AI17">
            <v>-688949.5</v>
          </cell>
          <cell r="AJ17">
            <v>-693510.6</v>
          </cell>
          <cell r="AK17">
            <v>-693182.5</v>
          </cell>
          <cell r="AL17">
            <v>-697440.6</v>
          </cell>
          <cell r="AM17">
            <v>-701354.8</v>
          </cell>
          <cell r="AN17">
            <v>-705482.7</v>
          </cell>
          <cell r="AO17">
            <v>-709669.5</v>
          </cell>
          <cell r="AP17">
            <v>-714151.8</v>
          </cell>
          <cell r="AQ17">
            <v>-696231.5</v>
          </cell>
          <cell r="AR17">
            <v>-699360</v>
          </cell>
          <cell r="AS17">
            <v>-702639.5</v>
          </cell>
          <cell r="AT17">
            <v>-703734.7</v>
          </cell>
          <cell r="AU17">
            <v>-702713.6</v>
          </cell>
          <cell r="AV17">
            <v>-705623.9</v>
          </cell>
          <cell r="AW17">
            <v>-707442.8</v>
          </cell>
          <cell r="AX17">
            <v>-709945</v>
          </cell>
          <cell r="AY17">
            <v>-712909.8</v>
          </cell>
          <cell r="AZ17">
            <v>-714501.1</v>
          </cell>
          <cell r="BA17">
            <v>-717214</v>
          </cell>
          <cell r="BB17">
            <v>-721040.6</v>
          </cell>
          <cell r="BC17">
            <v>-721926.1</v>
          </cell>
          <cell r="BD17">
            <v>-725822.9</v>
          </cell>
          <cell r="BE17">
            <v>-728967.6</v>
          </cell>
          <cell r="BF17">
            <v>-731607.1</v>
          </cell>
          <cell r="BG17">
            <v>-735299.8</v>
          </cell>
          <cell r="BH17">
            <v>-739136.6</v>
          </cell>
          <cell r="BI17">
            <v>-742049.2</v>
          </cell>
          <cell r="BJ17">
            <v>-746185.6</v>
          </cell>
          <cell r="BK17">
            <v>-749684.6</v>
          </cell>
          <cell r="BL17">
            <v>-753040.8</v>
          </cell>
          <cell r="BM17">
            <v>-756678.5</v>
          </cell>
          <cell r="BN17">
            <v>-760912.5</v>
          </cell>
          <cell r="BO17">
            <v>-763366.5</v>
          </cell>
          <cell r="BP17">
            <v>-766550.6</v>
          </cell>
          <cell r="BQ17">
            <v>-769130.6</v>
          </cell>
          <cell r="BR17">
            <v>-771764.5</v>
          </cell>
          <cell r="BS17">
            <v>-774392</v>
          </cell>
          <cell r="BT17">
            <v>-776788.5</v>
          </cell>
          <cell r="BU17">
            <v>-777273.9</v>
          </cell>
          <cell r="BV17">
            <v>-779663.8</v>
          </cell>
          <cell r="BW17">
            <v>-783042.6</v>
          </cell>
          <cell r="BX17">
            <v>-786565.7</v>
          </cell>
          <cell r="BY17">
            <v>-789234</v>
          </cell>
          <cell r="BZ17">
            <v>-792658.3</v>
          </cell>
          <cell r="CA17">
            <v>-792260.8</v>
          </cell>
          <cell r="CB17">
            <v>-794749.5</v>
          </cell>
          <cell r="CC17">
            <v>-798094.2</v>
          </cell>
          <cell r="CD17">
            <v>-801441.9</v>
          </cell>
          <cell r="CE17">
            <v>-804633</v>
          </cell>
          <cell r="CF17">
            <v>-807458.3</v>
          </cell>
          <cell r="CG17">
            <v>-809022.1</v>
          </cell>
          <cell r="CH17">
            <v>-812000.2</v>
          </cell>
          <cell r="CI17">
            <v>-815873.7</v>
          </cell>
          <cell r="CJ17">
            <v>-818684.5</v>
          </cell>
          <cell r="CK17">
            <v>-822505.6</v>
          </cell>
          <cell r="CL17">
            <v>-826628</v>
          </cell>
          <cell r="CM17">
            <v>-824194.8</v>
          </cell>
          <cell r="CN17">
            <v>-828540.6</v>
          </cell>
          <cell r="CO17">
            <v>-828942.2</v>
          </cell>
          <cell r="CP17">
            <v>-833319.2</v>
          </cell>
          <cell r="CQ17">
            <v>-837035</v>
          </cell>
          <cell r="CR17">
            <v>-841539.1</v>
          </cell>
          <cell r="CS17">
            <v>-845169.2</v>
          </cell>
          <cell r="CT17">
            <v>-849611.5</v>
          </cell>
          <cell r="CU17">
            <v>-854340</v>
          </cell>
          <cell r="CV17">
            <v>-857331.19999999995</v>
          </cell>
          <cell r="CW17">
            <v>-859741.8</v>
          </cell>
          <cell r="CX17">
            <v>-863181.6</v>
          </cell>
          <cell r="CY17">
            <v>-863797.2</v>
          </cell>
          <cell r="CZ17">
            <v>-867875.7</v>
          </cell>
          <cell r="DA17">
            <v>-871813.3</v>
          </cell>
          <cell r="DB17">
            <v>-870653.4</v>
          </cell>
          <cell r="DC17">
            <v>-874631.1</v>
          </cell>
          <cell r="DD17">
            <v>-879037.8</v>
          </cell>
          <cell r="DE17">
            <v>-877464.3</v>
          </cell>
          <cell r="DF17">
            <v>-879336.3</v>
          </cell>
          <cell r="DG17">
            <v>-883968.1</v>
          </cell>
          <cell r="DH17">
            <v>-884255.3</v>
          </cell>
          <cell r="DI17">
            <v>-889341.4</v>
          </cell>
          <cell r="DJ17">
            <v>-894532.9</v>
          </cell>
          <cell r="DK17">
            <v>-897690.6</v>
          </cell>
          <cell r="DL17">
            <v>-893099.4</v>
          </cell>
          <cell r="DM17">
            <v>-893498</v>
          </cell>
          <cell r="DN17">
            <v>-890594.5</v>
          </cell>
          <cell r="DO17">
            <v>-893477.7</v>
          </cell>
          <cell r="DP17">
            <v>-896905.5</v>
          </cell>
          <cell r="DQ17">
            <v>-896606.8</v>
          </cell>
          <cell r="DR17">
            <v>-900569</v>
          </cell>
          <cell r="DS17">
            <v>-904587.3</v>
          </cell>
          <cell r="DT17">
            <v>-906199.1</v>
          </cell>
          <cell r="DU17">
            <v>-910329.4</v>
          </cell>
          <cell r="DV17">
            <v>-914516.9</v>
          </cell>
          <cell r="DW17">
            <v>-910495.6</v>
          </cell>
          <cell r="EK17" t="str">
            <v>SOP</v>
          </cell>
        </row>
        <row r="18">
          <cell r="A18" t="str">
            <v>Accum. Depreciation (Calc.)</v>
          </cell>
          <cell r="C18" t="str">
            <v>Accumulated Provision for Depr.</v>
          </cell>
          <cell r="D18" t="str">
            <v>1080001</v>
          </cell>
          <cell r="E18" t="str">
            <v>A_1080001</v>
          </cell>
          <cell r="F18" t="str">
            <v>Retirement Work in Progress</v>
          </cell>
          <cell r="G18">
            <v>5475.3096699999996</v>
          </cell>
          <cell r="H18">
            <v>6070.5</v>
          </cell>
          <cell r="I18">
            <v>6193.8</v>
          </cell>
          <cell r="J18">
            <v>6024.4</v>
          </cell>
          <cell r="K18">
            <v>6061.3</v>
          </cell>
          <cell r="L18">
            <v>5786.4</v>
          </cell>
          <cell r="M18">
            <v>5811.3</v>
          </cell>
          <cell r="N18">
            <v>5641.6</v>
          </cell>
          <cell r="O18">
            <v>6105.5</v>
          </cell>
          <cell r="P18">
            <v>6017.2</v>
          </cell>
          <cell r="Q18">
            <v>6264.2</v>
          </cell>
          <cell r="R18">
            <v>5997</v>
          </cell>
          <cell r="S18">
            <v>6806.6</v>
          </cell>
          <cell r="T18">
            <v>5987.5</v>
          </cell>
          <cell r="U18">
            <v>6231.3</v>
          </cell>
          <cell r="V18">
            <v>6280.5</v>
          </cell>
          <cell r="W18">
            <v>6419.4</v>
          </cell>
          <cell r="X18">
            <v>6028.3</v>
          </cell>
          <cell r="Y18">
            <v>6278.5</v>
          </cell>
          <cell r="Z18">
            <v>6759.6</v>
          </cell>
          <cell r="AA18">
            <v>7187.9</v>
          </cell>
          <cell r="AB18">
            <v>8099.5</v>
          </cell>
          <cell r="AC18">
            <v>8822.1</v>
          </cell>
          <cell r="AD18">
            <v>9240.4</v>
          </cell>
          <cell r="AE18">
            <v>7728.7</v>
          </cell>
          <cell r="AF18">
            <v>8491.1</v>
          </cell>
          <cell r="AG18">
            <v>8813</v>
          </cell>
          <cell r="AH18">
            <v>8216.2999999999993</v>
          </cell>
          <cell r="AI18">
            <v>8443.6</v>
          </cell>
          <cell r="AJ18">
            <v>8676.1</v>
          </cell>
          <cell r="AK18">
            <v>8507</v>
          </cell>
          <cell r="AL18">
            <v>8786.7000000000007</v>
          </cell>
          <cell r="AM18">
            <v>9470.4</v>
          </cell>
          <cell r="AN18">
            <v>9107.7999999999993</v>
          </cell>
          <cell r="AO18">
            <v>9025.1</v>
          </cell>
          <cell r="AP18">
            <v>9224</v>
          </cell>
          <cell r="AQ18">
            <v>9023.2999999999993</v>
          </cell>
          <cell r="AR18">
            <v>9190.1</v>
          </cell>
          <cell r="AS18">
            <v>9485.9</v>
          </cell>
          <cell r="AT18">
            <v>9462.7000000000007</v>
          </cell>
          <cell r="AU18">
            <v>9529.2000000000007</v>
          </cell>
          <cell r="AV18">
            <v>9650.5</v>
          </cell>
          <cell r="AW18">
            <v>8907.9</v>
          </cell>
          <cell r="AX18">
            <v>8629.7999999999993</v>
          </cell>
          <cell r="AY18">
            <v>8994.7999999999993</v>
          </cell>
          <cell r="AZ18">
            <v>7779.7</v>
          </cell>
          <cell r="BA18">
            <v>7770.6</v>
          </cell>
          <cell r="BB18">
            <v>8916.7999999999993</v>
          </cell>
          <cell r="BC18">
            <v>7422.2</v>
          </cell>
          <cell r="BD18">
            <v>7870.4</v>
          </cell>
          <cell r="BE18">
            <v>8310.7000000000007</v>
          </cell>
          <cell r="BF18">
            <v>7824.6</v>
          </cell>
          <cell r="BG18">
            <v>7933.4</v>
          </cell>
          <cell r="BH18">
            <v>8348.7000000000007</v>
          </cell>
          <cell r="BI18">
            <v>8410.9</v>
          </cell>
          <cell r="BJ18">
            <v>8712.7999999999993</v>
          </cell>
          <cell r="BK18">
            <v>8716.2999999999993</v>
          </cell>
          <cell r="BL18">
            <v>8829.6</v>
          </cell>
          <cell r="BM18">
            <v>9677.5</v>
          </cell>
          <cell r="BN18">
            <v>10142</v>
          </cell>
          <cell r="BO18">
            <v>9945.6</v>
          </cell>
          <cell r="BP18">
            <v>10843.6</v>
          </cell>
          <cell r="BQ18">
            <v>11222</v>
          </cell>
          <cell r="BR18">
            <v>11155.4</v>
          </cell>
          <cell r="BS18">
            <v>11397.9</v>
          </cell>
          <cell r="BT18">
            <v>11847.1</v>
          </cell>
          <cell r="BU18">
            <v>11136.7</v>
          </cell>
          <cell r="BV18">
            <v>11512.5</v>
          </cell>
          <cell r="BW18">
            <v>12447.6</v>
          </cell>
          <cell r="BX18">
            <v>13248.9</v>
          </cell>
          <cell r="BY18">
            <v>13786.1</v>
          </cell>
          <cell r="BZ18">
            <v>14318.4</v>
          </cell>
          <cell r="CA18">
            <v>12667.9</v>
          </cell>
          <cell r="CB18">
            <v>7188</v>
          </cell>
          <cell r="CC18">
            <v>14090.6</v>
          </cell>
          <cell r="CD18">
            <v>14713.7</v>
          </cell>
          <cell r="CE18">
            <v>15130.7</v>
          </cell>
          <cell r="CF18">
            <v>14934.7</v>
          </cell>
          <cell r="CG18">
            <v>13714.2</v>
          </cell>
          <cell r="CH18">
            <v>14234.2</v>
          </cell>
          <cell r="CI18">
            <v>15037.7</v>
          </cell>
          <cell r="CJ18">
            <v>15011.7</v>
          </cell>
          <cell r="CK18">
            <v>15771.3</v>
          </cell>
          <cell r="CL18">
            <v>16697.7</v>
          </cell>
          <cell r="CM18">
            <v>14310.7</v>
          </cell>
          <cell r="CN18">
            <v>13733</v>
          </cell>
          <cell r="CO18">
            <v>14220</v>
          </cell>
          <cell r="CP18">
            <v>15066.6</v>
          </cell>
          <cell r="CQ18">
            <v>15447.5</v>
          </cell>
          <cell r="CR18">
            <v>16530.400000000001</v>
          </cell>
          <cell r="CS18">
            <v>17286.099999999999</v>
          </cell>
          <cell r="CT18">
            <v>18879.400000000001</v>
          </cell>
          <cell r="CU18">
            <v>19735.2</v>
          </cell>
          <cell r="CV18">
            <v>19652</v>
          </cell>
          <cell r="CW18">
            <v>20495.7</v>
          </cell>
          <cell r="CX18">
            <v>22214</v>
          </cell>
          <cell r="CY18">
            <v>14177.8</v>
          </cell>
          <cell r="CZ18">
            <v>14826.3</v>
          </cell>
          <cell r="DA18">
            <v>14679.3</v>
          </cell>
          <cell r="DB18">
            <v>15391.8</v>
          </cell>
          <cell r="DC18">
            <v>16386.099999999999</v>
          </cell>
          <cell r="DD18">
            <v>16775.099999999999</v>
          </cell>
          <cell r="DE18">
            <v>17428.3</v>
          </cell>
          <cell r="DF18">
            <v>17458.400000000001</v>
          </cell>
          <cell r="DG18">
            <v>18327.599999999999</v>
          </cell>
          <cell r="DH18">
            <v>19038.7</v>
          </cell>
          <cell r="DI18">
            <v>19783.3</v>
          </cell>
          <cell r="DJ18">
            <v>20748.3</v>
          </cell>
          <cell r="DK18">
            <v>21479.3</v>
          </cell>
          <cell r="DL18">
            <v>21479.3</v>
          </cell>
          <cell r="DM18">
            <v>21479.3</v>
          </cell>
          <cell r="DN18">
            <v>21479.3</v>
          </cell>
          <cell r="DO18">
            <v>21479.3</v>
          </cell>
          <cell r="DP18">
            <v>21479.3</v>
          </cell>
          <cell r="DQ18">
            <v>21479.3</v>
          </cell>
          <cell r="DR18">
            <v>21479.3</v>
          </cell>
          <cell r="DS18">
            <v>21479.3</v>
          </cell>
          <cell r="DT18">
            <v>21479.3</v>
          </cell>
          <cell r="DU18">
            <v>21479.3</v>
          </cell>
          <cell r="DV18">
            <v>21479.3</v>
          </cell>
          <cell r="DW18">
            <v>21479.3</v>
          </cell>
          <cell r="EK18" t="str">
            <v>SOP</v>
          </cell>
        </row>
        <row r="19">
          <cell r="A19" t="str">
            <v>Accum. Depreciation (Calc.)</v>
          </cell>
          <cell r="C19" t="str">
            <v>Accumulated Provision for Depr.</v>
          </cell>
          <cell r="D19" t="str">
            <v>1080100</v>
          </cell>
          <cell r="E19" t="str">
            <v>A_1080100</v>
          </cell>
          <cell r="F19" t="str">
            <v>Accumulated Reserve Cost of Removal - Current</v>
          </cell>
          <cell r="G19">
            <v>8308.8466599999992</v>
          </cell>
          <cell r="H19">
            <v>8312.2000000000007</v>
          </cell>
          <cell r="I19">
            <v>8326.7000000000007</v>
          </cell>
          <cell r="J19">
            <v>8330.2999999999993</v>
          </cell>
          <cell r="K19">
            <v>8330.5</v>
          </cell>
          <cell r="L19">
            <v>8340.9</v>
          </cell>
          <cell r="M19">
            <v>8334.7000000000007</v>
          </cell>
          <cell r="N19">
            <v>8341.2999999999993</v>
          </cell>
          <cell r="O19">
            <v>8344.4</v>
          </cell>
          <cell r="P19">
            <v>8368.9</v>
          </cell>
          <cell r="Q19">
            <v>8370.2999999999993</v>
          </cell>
          <cell r="R19">
            <v>8385.6</v>
          </cell>
          <cell r="S19">
            <v>8393.7999999999993</v>
          </cell>
          <cell r="T19">
            <v>8405.6</v>
          </cell>
          <cell r="U19">
            <v>8379.2000000000007</v>
          </cell>
          <cell r="V19">
            <v>8400.7000000000007</v>
          </cell>
          <cell r="W19">
            <v>8408.7999999999993</v>
          </cell>
          <cell r="X19">
            <v>8421.5</v>
          </cell>
          <cell r="Y19">
            <v>8407.9</v>
          </cell>
          <cell r="Z19">
            <v>8422.9</v>
          </cell>
          <cell r="AA19">
            <v>8449.6</v>
          </cell>
          <cell r="AB19">
            <v>8477.4</v>
          </cell>
          <cell r="AC19">
            <v>8499.5</v>
          </cell>
          <cell r="AD19">
            <v>8523.2999999999993</v>
          </cell>
          <cell r="AE19">
            <v>8547</v>
          </cell>
          <cell r="AF19">
            <v>8463.2000000000007</v>
          </cell>
          <cell r="AG19">
            <v>8442.2000000000007</v>
          </cell>
          <cell r="AH19">
            <v>8422.6</v>
          </cell>
          <cell r="AI19">
            <v>8486.2000000000007</v>
          </cell>
          <cell r="AJ19">
            <v>8502.7999999999993</v>
          </cell>
          <cell r="AK19">
            <v>8519.2000000000007</v>
          </cell>
          <cell r="AL19">
            <v>8498.9</v>
          </cell>
          <cell r="AM19">
            <v>8519.2000000000007</v>
          </cell>
          <cell r="AN19">
            <v>8528.7000000000007</v>
          </cell>
          <cell r="AO19">
            <v>8522.9</v>
          </cell>
          <cell r="AP19">
            <v>8526.2000000000007</v>
          </cell>
          <cell r="AQ19">
            <v>8538.6</v>
          </cell>
          <cell r="AR19">
            <v>8636.7999999999993</v>
          </cell>
          <cell r="AS19">
            <v>8665.6</v>
          </cell>
          <cell r="AT19">
            <v>8698.7000000000007</v>
          </cell>
          <cell r="AU19">
            <v>8711.6</v>
          </cell>
          <cell r="AV19">
            <v>8747.9</v>
          </cell>
          <cell r="AW19">
            <v>8765.7000000000007</v>
          </cell>
          <cell r="AX19">
            <v>8743.4</v>
          </cell>
          <cell r="AY19">
            <v>8751.7000000000007</v>
          </cell>
          <cell r="AZ19">
            <v>8780.2999999999993</v>
          </cell>
          <cell r="BA19">
            <v>8738.5</v>
          </cell>
          <cell r="BB19">
            <v>8745.4</v>
          </cell>
          <cell r="BC19">
            <v>8780.6</v>
          </cell>
          <cell r="BD19">
            <v>8748</v>
          </cell>
          <cell r="BE19">
            <v>8784.7999999999993</v>
          </cell>
          <cell r="BF19">
            <v>8795.2999999999993</v>
          </cell>
          <cell r="BG19">
            <v>8779.9</v>
          </cell>
          <cell r="BH19">
            <v>8805.7000000000007</v>
          </cell>
          <cell r="BI19">
            <v>8842.7999999999993</v>
          </cell>
          <cell r="BJ19">
            <v>8844.4</v>
          </cell>
          <cell r="BK19">
            <v>8884.6</v>
          </cell>
          <cell r="BL19">
            <v>8896.4</v>
          </cell>
          <cell r="BM19">
            <v>8916.7000000000007</v>
          </cell>
          <cell r="BN19">
            <v>8953.1</v>
          </cell>
          <cell r="BO19">
            <v>8990.5</v>
          </cell>
          <cell r="BP19">
            <v>8977.7999999999993</v>
          </cell>
          <cell r="BQ19">
            <v>9005.2000000000007</v>
          </cell>
          <cell r="BR19">
            <v>9015.6</v>
          </cell>
          <cell r="BS19">
            <v>9016.7999999999993</v>
          </cell>
          <cell r="BT19">
            <v>9016.6</v>
          </cell>
          <cell r="BU19">
            <v>9032.7999999999993</v>
          </cell>
          <cell r="BV19">
            <v>8978.7000000000007</v>
          </cell>
          <cell r="BW19">
            <v>8993.1</v>
          </cell>
          <cell r="BX19">
            <v>9025.2000000000007</v>
          </cell>
          <cell r="BY19">
            <v>9058.1</v>
          </cell>
          <cell r="BZ19">
            <v>9065.7000000000007</v>
          </cell>
          <cell r="CA19">
            <v>9090</v>
          </cell>
          <cell r="CB19">
            <v>8987.4</v>
          </cell>
          <cell r="CC19">
            <v>9018</v>
          </cell>
          <cell r="CD19">
            <v>9053.5</v>
          </cell>
          <cell r="CE19">
            <v>9084.5</v>
          </cell>
          <cell r="CF19">
            <v>9112.6</v>
          </cell>
          <cell r="CG19">
            <v>9110.2000000000007</v>
          </cell>
          <cell r="CH19">
            <v>9060.4</v>
          </cell>
          <cell r="CI19">
            <v>9090.2999999999993</v>
          </cell>
          <cell r="CJ19">
            <v>9130.1</v>
          </cell>
          <cell r="CK19">
            <v>9136</v>
          </cell>
          <cell r="CL19">
            <v>9169.7999999999993</v>
          </cell>
          <cell r="CM19">
            <v>9210.4</v>
          </cell>
          <cell r="CN19">
            <v>9339.4</v>
          </cell>
          <cell r="CO19">
            <v>9136.7999999999993</v>
          </cell>
          <cell r="CP19">
            <v>9182.5</v>
          </cell>
          <cell r="CQ19">
            <v>9238.7999999999993</v>
          </cell>
          <cell r="CR19">
            <v>9272.7999999999993</v>
          </cell>
          <cell r="CS19">
            <v>9330.9</v>
          </cell>
          <cell r="CT19">
            <v>9348.9</v>
          </cell>
          <cell r="CU19">
            <v>9399.1</v>
          </cell>
          <cell r="CV19">
            <v>9458.2000000000007</v>
          </cell>
          <cell r="CW19">
            <v>9439.2000000000007</v>
          </cell>
          <cell r="CX19">
            <v>9421</v>
          </cell>
          <cell r="CY19">
            <v>9459.2000000000007</v>
          </cell>
          <cell r="CZ19">
            <v>9344.6</v>
          </cell>
          <cell r="DA19">
            <v>9392.2999999999993</v>
          </cell>
          <cell r="DB19">
            <v>9408.5</v>
          </cell>
          <cell r="DC19">
            <v>9455.2999999999993</v>
          </cell>
          <cell r="DD19">
            <v>9492.5</v>
          </cell>
          <cell r="DE19">
            <v>9540</v>
          </cell>
          <cell r="DF19">
            <v>9557.1</v>
          </cell>
          <cell r="DG19">
            <v>9591</v>
          </cell>
          <cell r="DH19">
            <v>9673.5</v>
          </cell>
          <cell r="DI19">
            <v>9701.7000000000007</v>
          </cell>
          <cell r="DJ19">
            <v>9762.1</v>
          </cell>
          <cell r="DK19">
            <v>9822</v>
          </cell>
          <cell r="DL19">
            <v>9881.9</v>
          </cell>
          <cell r="DM19">
            <v>9906.9</v>
          </cell>
          <cell r="DN19">
            <v>9931.9</v>
          </cell>
          <cell r="DO19">
            <v>9956.9</v>
          </cell>
          <cell r="DP19">
            <v>9981.9</v>
          </cell>
          <cell r="DQ19">
            <v>10006.9</v>
          </cell>
          <cell r="DR19">
            <v>10031.9</v>
          </cell>
          <cell r="DS19">
            <v>10056.9</v>
          </cell>
          <cell r="DT19">
            <v>10081.9</v>
          </cell>
          <cell r="DU19">
            <v>10106.9</v>
          </cell>
          <cell r="DV19">
            <v>10131.9</v>
          </cell>
          <cell r="DW19">
            <v>10156.9</v>
          </cell>
          <cell r="EK19" t="str">
            <v>SOP</v>
          </cell>
        </row>
        <row r="20">
          <cell r="A20" t="str">
            <v>Accum. Depreciation (Calc.)</v>
          </cell>
          <cell r="C20" t="str">
            <v>Accumulated Provision for Depr.</v>
          </cell>
          <cell r="D20" t="str">
            <v>1080110</v>
          </cell>
          <cell r="E20" t="str">
            <v>A_1080110</v>
          </cell>
          <cell r="F20" t="str">
            <v>Accum Reserve Cost of Removal Contra- Current</v>
          </cell>
          <cell r="G20">
            <v>-8308.8466599999992</v>
          </cell>
          <cell r="H20">
            <v>-8312.2000000000007</v>
          </cell>
          <cell r="I20">
            <v>-8326.7000000000007</v>
          </cell>
          <cell r="J20">
            <v>-8330.2999999999993</v>
          </cell>
          <cell r="K20">
            <v>-8330.5</v>
          </cell>
          <cell r="L20">
            <v>-8340.9</v>
          </cell>
          <cell r="M20">
            <v>-8334.7000000000007</v>
          </cell>
          <cell r="N20">
            <v>-8341.2999999999993</v>
          </cell>
          <cell r="O20">
            <v>-8344.4</v>
          </cell>
          <cell r="P20">
            <v>-8368.9</v>
          </cell>
          <cell r="Q20">
            <v>-8370.2999999999993</v>
          </cell>
          <cell r="R20">
            <v>-8385.6</v>
          </cell>
          <cell r="S20">
            <v>-8393.7999999999993</v>
          </cell>
          <cell r="T20">
            <v>-8405.6</v>
          </cell>
          <cell r="U20">
            <v>-8379.2000000000007</v>
          </cell>
          <cell r="V20">
            <v>-8400.7000000000007</v>
          </cell>
          <cell r="W20">
            <v>-8408.7999999999993</v>
          </cell>
          <cell r="X20">
            <v>-8421.5</v>
          </cell>
          <cell r="Y20">
            <v>-8407.9</v>
          </cell>
          <cell r="Z20">
            <v>-8422.9</v>
          </cell>
          <cell r="AA20">
            <v>-8449.6</v>
          </cell>
          <cell r="AB20">
            <v>-8477.4</v>
          </cell>
          <cell r="AC20">
            <v>-8499.5</v>
          </cell>
          <cell r="AD20">
            <v>-8523.2999999999993</v>
          </cell>
          <cell r="AE20">
            <v>-8547</v>
          </cell>
          <cell r="AF20">
            <v>-8463.2000000000007</v>
          </cell>
          <cell r="AG20">
            <v>-8442.2000000000007</v>
          </cell>
          <cell r="AH20">
            <v>-8422.6</v>
          </cell>
          <cell r="AI20">
            <v>-8486.2000000000007</v>
          </cell>
          <cell r="AJ20">
            <v>-8502.7999999999993</v>
          </cell>
          <cell r="AK20">
            <v>-8519.2000000000007</v>
          </cell>
          <cell r="AL20">
            <v>-8498.9</v>
          </cell>
          <cell r="AM20">
            <v>-8519.2000000000007</v>
          </cell>
          <cell r="AN20">
            <v>-8528.7000000000007</v>
          </cell>
          <cell r="AO20">
            <v>-8522.9</v>
          </cell>
          <cell r="AP20">
            <v>-8526.2000000000007</v>
          </cell>
          <cell r="AQ20">
            <v>-8538.6</v>
          </cell>
          <cell r="AR20">
            <v>-8636.7999999999993</v>
          </cell>
          <cell r="AS20">
            <v>-8665.6</v>
          </cell>
          <cell r="AT20">
            <v>-8698.7000000000007</v>
          </cell>
          <cell r="AU20">
            <v>-8711.6</v>
          </cell>
          <cell r="AV20">
            <v>-8747.9</v>
          </cell>
          <cell r="AW20">
            <v>-8765.7000000000007</v>
          </cell>
          <cell r="AX20">
            <v>-8743.4</v>
          </cell>
          <cell r="AY20">
            <v>-8751.7000000000007</v>
          </cell>
          <cell r="AZ20">
            <v>-8780.2999999999993</v>
          </cell>
          <cell r="BA20">
            <v>-8738.5</v>
          </cell>
          <cell r="BB20">
            <v>-8745.4</v>
          </cell>
          <cell r="BC20">
            <v>-8780.6</v>
          </cell>
          <cell r="BD20">
            <v>-8748</v>
          </cell>
          <cell r="BE20">
            <v>-8784.7999999999993</v>
          </cell>
          <cell r="BF20">
            <v>-8795.2999999999993</v>
          </cell>
          <cell r="BG20">
            <v>-8779.9</v>
          </cell>
          <cell r="BH20">
            <v>-8805.7000000000007</v>
          </cell>
          <cell r="BI20">
            <v>-8842.7999999999993</v>
          </cell>
          <cell r="BJ20">
            <v>-8844.4</v>
          </cell>
          <cell r="BK20">
            <v>-8884.6</v>
          </cell>
          <cell r="BL20">
            <v>-8896.4</v>
          </cell>
          <cell r="BM20">
            <v>-8916.7000000000007</v>
          </cell>
          <cell r="BN20">
            <v>-8953.1</v>
          </cell>
          <cell r="BO20">
            <v>-8990.5</v>
          </cell>
          <cell r="BP20">
            <v>-8977.7999999999993</v>
          </cell>
          <cell r="BQ20">
            <v>-9005.2000000000007</v>
          </cell>
          <cell r="BR20">
            <v>-9015.6</v>
          </cell>
          <cell r="BS20">
            <v>-9016.7999999999993</v>
          </cell>
          <cell r="BT20">
            <v>-9016.6</v>
          </cell>
          <cell r="BU20">
            <v>-9032.7999999999993</v>
          </cell>
          <cell r="BV20">
            <v>-8978.7000000000007</v>
          </cell>
          <cell r="BW20">
            <v>-8993.1</v>
          </cell>
          <cell r="BX20">
            <v>-9025.2000000000007</v>
          </cell>
          <cell r="BY20">
            <v>-9058.1</v>
          </cell>
          <cell r="BZ20">
            <v>-9065.7000000000007</v>
          </cell>
          <cell r="CA20">
            <v>-9090</v>
          </cell>
          <cell r="CB20">
            <v>-8987.4</v>
          </cell>
          <cell r="CC20">
            <v>-9018</v>
          </cell>
          <cell r="CD20">
            <v>-9053.5</v>
          </cell>
          <cell r="CE20">
            <v>-9084.5</v>
          </cell>
          <cell r="CF20">
            <v>-9112.6</v>
          </cell>
          <cell r="CG20">
            <v>-9110.2000000000007</v>
          </cell>
          <cell r="CH20">
            <v>-9060.4</v>
          </cell>
          <cell r="CI20">
            <v>-9090.2999999999993</v>
          </cell>
          <cell r="CJ20">
            <v>-9130.1</v>
          </cell>
          <cell r="CK20">
            <v>-9136</v>
          </cell>
          <cell r="CL20">
            <v>-9169.7999999999993</v>
          </cell>
          <cell r="CM20">
            <v>-9210.4</v>
          </cell>
          <cell r="CN20">
            <v>-9339.4</v>
          </cell>
          <cell r="CO20">
            <v>-9136.7999999999993</v>
          </cell>
          <cell r="CP20">
            <v>-9182.5</v>
          </cell>
          <cell r="CQ20">
            <v>-9238.7999999999993</v>
          </cell>
          <cell r="CR20">
            <v>-9272.7999999999993</v>
          </cell>
          <cell r="CS20">
            <v>-9330.9</v>
          </cell>
          <cell r="CT20">
            <v>-9348.9</v>
          </cell>
          <cell r="CU20">
            <v>-9399.1</v>
          </cell>
          <cell r="CV20">
            <v>-9458.2000000000007</v>
          </cell>
          <cell r="CW20">
            <v>-9439.2000000000007</v>
          </cell>
          <cell r="CX20">
            <v>-9421</v>
          </cell>
          <cell r="CY20">
            <v>-9459.2000000000007</v>
          </cell>
          <cell r="CZ20">
            <v>-9344.6</v>
          </cell>
          <cell r="DA20">
            <v>-9392.2999999999993</v>
          </cell>
          <cell r="DB20">
            <v>-9408.5</v>
          </cell>
          <cell r="DC20">
            <v>-9455.2999999999993</v>
          </cell>
          <cell r="DD20">
            <v>-9492.5</v>
          </cell>
          <cell r="DE20">
            <v>-9540</v>
          </cell>
          <cell r="DF20">
            <v>-9557.1</v>
          </cell>
          <cell r="DG20">
            <v>-9591</v>
          </cell>
          <cell r="DH20">
            <v>-9673.5</v>
          </cell>
          <cell r="DI20">
            <v>-9701.7000000000007</v>
          </cell>
          <cell r="DJ20">
            <v>-9762.1</v>
          </cell>
          <cell r="DK20">
            <v>-9822</v>
          </cell>
          <cell r="DL20">
            <v>-9881.9</v>
          </cell>
          <cell r="DM20">
            <v>-9906.9</v>
          </cell>
          <cell r="DN20">
            <v>-9931.9</v>
          </cell>
          <cell r="DO20">
            <v>-9956.9</v>
          </cell>
          <cell r="DP20">
            <v>-9981.9</v>
          </cell>
          <cell r="DQ20">
            <v>-10006.9</v>
          </cell>
          <cell r="DR20">
            <v>-10031.9</v>
          </cell>
          <cell r="DS20">
            <v>-10056.9</v>
          </cell>
          <cell r="DT20">
            <v>-10081.9</v>
          </cell>
          <cell r="DU20">
            <v>-10106.9</v>
          </cell>
          <cell r="DV20">
            <v>-10131.9</v>
          </cell>
          <cell r="DW20">
            <v>-10156.9</v>
          </cell>
          <cell r="EK20" t="str">
            <v>SOP</v>
          </cell>
        </row>
        <row r="21">
          <cell r="A21" t="str">
            <v>Accum. Depreciation (Calc.)</v>
          </cell>
          <cell r="C21" t="str">
            <v>Accumulated Provision for Depr.</v>
          </cell>
          <cell r="D21" t="str">
            <v>1080200</v>
          </cell>
          <cell r="E21" t="str">
            <v>A_1080200</v>
          </cell>
          <cell r="F21" t="str">
            <v>Accumulated Reserve Cost of Removal - Non-Current</v>
          </cell>
          <cell r="G21">
            <v>157868.08648</v>
          </cell>
          <cell r="H21">
            <v>157930.9</v>
          </cell>
          <cell r="I21">
            <v>158207.6</v>
          </cell>
          <cell r="J21">
            <v>158275.70000000001</v>
          </cell>
          <cell r="K21">
            <v>158278.6</v>
          </cell>
          <cell r="L21">
            <v>158476.5</v>
          </cell>
          <cell r="M21">
            <v>158359.79999999999</v>
          </cell>
          <cell r="N21">
            <v>158485.4</v>
          </cell>
          <cell r="O21">
            <v>158544.29999999999</v>
          </cell>
          <cell r="P21">
            <v>159008.70000000001</v>
          </cell>
          <cell r="Q21">
            <v>159035.79999999999</v>
          </cell>
          <cell r="R21">
            <v>159326.5</v>
          </cell>
          <cell r="S21">
            <v>159481.60000000001</v>
          </cell>
          <cell r="T21">
            <v>159705.60000000001</v>
          </cell>
          <cell r="U21">
            <v>159204.6</v>
          </cell>
          <cell r="V21">
            <v>159613.70000000001</v>
          </cell>
          <cell r="W21">
            <v>159767.29999999999</v>
          </cell>
          <cell r="X21">
            <v>160007.9</v>
          </cell>
          <cell r="Y21">
            <v>159750.20000000001</v>
          </cell>
          <cell r="Z21">
            <v>160035.6</v>
          </cell>
          <cell r="AA21">
            <v>160542</v>
          </cell>
          <cell r="AB21">
            <v>161070.5</v>
          </cell>
          <cell r="AC21">
            <v>161490.79999999999</v>
          </cell>
          <cell r="AD21">
            <v>161942</v>
          </cell>
          <cell r="AE21">
            <v>162393.1</v>
          </cell>
          <cell r="AF21">
            <v>160801.70000000001</v>
          </cell>
          <cell r="AG21">
            <v>160402.4</v>
          </cell>
          <cell r="AH21">
            <v>160029.20000000001</v>
          </cell>
          <cell r="AI21">
            <v>161238.20000000001</v>
          </cell>
          <cell r="AJ21">
            <v>161552.70000000001</v>
          </cell>
          <cell r="AK21">
            <v>161864.9</v>
          </cell>
          <cell r="AL21">
            <v>161479.4</v>
          </cell>
          <cell r="AM21">
            <v>161864.6</v>
          </cell>
          <cell r="AN21">
            <v>162044.79999999999</v>
          </cell>
          <cell r="AO21">
            <v>161935.29999999999</v>
          </cell>
          <cell r="AP21">
            <v>161997.9</v>
          </cell>
          <cell r="AQ21">
            <v>162233.9</v>
          </cell>
          <cell r="AR21">
            <v>164099.70000000001</v>
          </cell>
          <cell r="AS21">
            <v>164645.6</v>
          </cell>
          <cell r="AT21">
            <v>165274.79999999999</v>
          </cell>
          <cell r="AU21">
            <v>165520</v>
          </cell>
          <cell r="AV21">
            <v>166209.70000000001</v>
          </cell>
          <cell r="AW21">
            <v>166548</v>
          </cell>
          <cell r="AX21">
            <v>166123.9</v>
          </cell>
          <cell r="AY21">
            <v>166281.70000000001</v>
          </cell>
          <cell r="AZ21">
            <v>166825.1</v>
          </cell>
          <cell r="BA21">
            <v>166032.29999999999</v>
          </cell>
          <cell r="BB21">
            <v>166163.20000000001</v>
          </cell>
          <cell r="BC21">
            <v>166832.29999999999</v>
          </cell>
          <cell r="BD21">
            <v>166212.4</v>
          </cell>
          <cell r="BE21">
            <v>166910.39999999999</v>
          </cell>
          <cell r="BF21">
            <v>167111.4</v>
          </cell>
          <cell r="BG21">
            <v>166818.20000000001</v>
          </cell>
          <cell r="BH21">
            <v>167308</v>
          </cell>
          <cell r="BI21">
            <v>168013</v>
          </cell>
          <cell r="BJ21">
            <v>168043.3</v>
          </cell>
          <cell r="BK21">
            <v>168807.8</v>
          </cell>
          <cell r="BL21">
            <v>169031.4</v>
          </cell>
          <cell r="BM21">
            <v>169418</v>
          </cell>
          <cell r="BN21">
            <v>170108.5</v>
          </cell>
          <cell r="BO21">
            <v>170820</v>
          </cell>
          <cell r="BP21">
            <v>170579</v>
          </cell>
          <cell r="BQ21">
            <v>171098.8</v>
          </cell>
          <cell r="BR21">
            <v>171296</v>
          </cell>
          <cell r="BS21">
            <v>171318.5</v>
          </cell>
          <cell r="BT21">
            <v>171314.5</v>
          </cell>
          <cell r="BU21">
            <v>171623.8</v>
          </cell>
          <cell r="BV21">
            <v>170596.2</v>
          </cell>
          <cell r="BW21">
            <v>170868.8</v>
          </cell>
          <cell r="BX21">
            <v>171478.6</v>
          </cell>
          <cell r="BY21">
            <v>172104</v>
          </cell>
          <cell r="BZ21">
            <v>172248.2</v>
          </cell>
          <cell r="CA21">
            <v>172710.2</v>
          </cell>
          <cell r="CB21">
            <v>170759.7</v>
          </cell>
          <cell r="CC21">
            <v>171341.7</v>
          </cell>
          <cell r="CD21">
            <v>172016.1</v>
          </cell>
          <cell r="CE21">
            <v>172605.8</v>
          </cell>
          <cell r="CF21">
            <v>173139.4</v>
          </cell>
          <cell r="CG21">
            <v>173093.8</v>
          </cell>
          <cell r="CH21">
            <v>172147.3</v>
          </cell>
          <cell r="CI21">
            <v>172715.6</v>
          </cell>
          <cell r="CJ21">
            <v>173471.5</v>
          </cell>
          <cell r="CK21">
            <v>173584.9</v>
          </cell>
          <cell r="CL21">
            <v>174226.7</v>
          </cell>
          <cell r="CM21">
            <v>174998.1</v>
          </cell>
          <cell r="CN21">
            <v>177447.8</v>
          </cell>
          <cell r="CO21">
            <v>173599.2</v>
          </cell>
          <cell r="CP21">
            <v>174466.9</v>
          </cell>
          <cell r="CQ21">
            <v>175537.3</v>
          </cell>
          <cell r="CR21">
            <v>176183.9</v>
          </cell>
          <cell r="CS21">
            <v>177286.39999999999</v>
          </cell>
          <cell r="CT21">
            <v>177629.2</v>
          </cell>
          <cell r="CU21">
            <v>178582.39999999999</v>
          </cell>
          <cell r="CV21">
            <v>179704.9</v>
          </cell>
          <cell r="CW21">
            <v>179344.9</v>
          </cell>
          <cell r="CX21">
            <v>178999.2</v>
          </cell>
          <cell r="CY21">
            <v>179725.5</v>
          </cell>
          <cell r="CZ21">
            <v>177547.2</v>
          </cell>
          <cell r="DA21">
            <v>178453.9</v>
          </cell>
          <cell r="DB21">
            <v>178761</v>
          </cell>
          <cell r="DC21">
            <v>179649.9</v>
          </cell>
          <cell r="DD21">
            <v>180356.7</v>
          </cell>
          <cell r="DE21">
            <v>181260.3</v>
          </cell>
          <cell r="DF21">
            <v>181585.3</v>
          </cell>
          <cell r="DG21">
            <v>182229.3</v>
          </cell>
          <cell r="DH21">
            <v>183796.8</v>
          </cell>
          <cell r="DI21">
            <v>184332.7</v>
          </cell>
          <cell r="DJ21">
            <v>185479.8</v>
          </cell>
          <cell r="DK21">
            <v>186617.60000000001</v>
          </cell>
          <cell r="DL21">
            <v>186677.5</v>
          </cell>
          <cell r="DM21">
            <v>186702.5</v>
          </cell>
          <cell r="DN21">
            <v>186727.5</v>
          </cell>
          <cell r="DO21">
            <v>186752.5</v>
          </cell>
          <cell r="DP21">
            <v>186777.5</v>
          </cell>
          <cell r="DQ21">
            <v>186802.5</v>
          </cell>
          <cell r="DR21">
            <v>186827.5</v>
          </cell>
          <cell r="DS21">
            <v>186852.5</v>
          </cell>
          <cell r="DT21">
            <v>186877.5</v>
          </cell>
          <cell r="DU21">
            <v>186902.5</v>
          </cell>
          <cell r="DV21">
            <v>186927.5</v>
          </cell>
          <cell r="DW21">
            <v>186952.5</v>
          </cell>
          <cell r="EK21" t="str">
            <v>SOP</v>
          </cell>
        </row>
        <row r="22">
          <cell r="A22" t="str">
            <v>Accum. Depreciation (Calc.)</v>
          </cell>
          <cell r="C22" t="str">
            <v>Accumulated Provision for Depr.</v>
          </cell>
          <cell r="D22" t="str">
            <v>1080210</v>
          </cell>
          <cell r="E22" t="str">
            <v>A_1080210</v>
          </cell>
          <cell r="F22" t="str">
            <v>Accum Reserve Cost of Removal Contra- Non-Current</v>
          </cell>
          <cell r="G22">
            <v>-157868.08648</v>
          </cell>
          <cell r="H22">
            <v>-157930.9</v>
          </cell>
          <cell r="I22">
            <v>-158207.6</v>
          </cell>
          <cell r="J22">
            <v>-158275.70000000001</v>
          </cell>
          <cell r="K22">
            <v>-158278.6</v>
          </cell>
          <cell r="L22">
            <v>-158476.5</v>
          </cell>
          <cell r="M22">
            <v>-158359.79999999999</v>
          </cell>
          <cell r="N22">
            <v>-158485.4</v>
          </cell>
          <cell r="O22">
            <v>-158544.29999999999</v>
          </cell>
          <cell r="P22">
            <v>-159008.70000000001</v>
          </cell>
          <cell r="Q22">
            <v>-159035.79999999999</v>
          </cell>
          <cell r="R22">
            <v>-159326.5</v>
          </cell>
          <cell r="S22">
            <v>-159481.60000000001</v>
          </cell>
          <cell r="T22">
            <v>-159705.60000000001</v>
          </cell>
          <cell r="U22">
            <v>-159204.6</v>
          </cell>
          <cell r="V22">
            <v>-159613.70000000001</v>
          </cell>
          <cell r="W22">
            <v>-159767.29999999999</v>
          </cell>
          <cell r="X22">
            <v>-160007.9</v>
          </cell>
          <cell r="Y22">
            <v>-159750.20000000001</v>
          </cell>
          <cell r="Z22">
            <v>-160035.6</v>
          </cell>
          <cell r="AA22">
            <v>-160542</v>
          </cell>
          <cell r="AB22">
            <v>-161070.5</v>
          </cell>
          <cell r="AC22">
            <v>-161490.79999999999</v>
          </cell>
          <cell r="AD22">
            <v>-161942</v>
          </cell>
          <cell r="AE22">
            <v>-162393.1</v>
          </cell>
          <cell r="AF22">
            <v>-160801.70000000001</v>
          </cell>
          <cell r="AG22">
            <v>-160402.4</v>
          </cell>
          <cell r="AH22">
            <v>-160029.20000000001</v>
          </cell>
          <cell r="AI22">
            <v>-161238.20000000001</v>
          </cell>
          <cell r="AJ22">
            <v>-161552.70000000001</v>
          </cell>
          <cell r="AK22">
            <v>-161864.9</v>
          </cell>
          <cell r="AL22">
            <v>-161479.4</v>
          </cell>
          <cell r="AM22">
            <v>-161864.6</v>
          </cell>
          <cell r="AN22">
            <v>-162044.79999999999</v>
          </cell>
          <cell r="AO22">
            <v>-161935.29999999999</v>
          </cell>
          <cell r="AP22">
            <v>-161997.9</v>
          </cell>
          <cell r="AQ22">
            <v>-162233.9</v>
          </cell>
          <cell r="AR22">
            <v>-164099.70000000001</v>
          </cell>
          <cell r="AS22">
            <v>-164645.6</v>
          </cell>
          <cell r="AT22">
            <v>-165274.79999999999</v>
          </cell>
          <cell r="AU22">
            <v>-165520</v>
          </cell>
          <cell r="AV22">
            <v>-166209.70000000001</v>
          </cell>
          <cell r="AW22">
            <v>-166548</v>
          </cell>
          <cell r="AX22">
            <v>-166123.9</v>
          </cell>
          <cell r="AY22">
            <v>-166281.70000000001</v>
          </cell>
          <cell r="AZ22">
            <v>-166825.1</v>
          </cell>
          <cell r="BA22">
            <v>-166032.29999999999</v>
          </cell>
          <cell r="BB22">
            <v>-166163.20000000001</v>
          </cell>
          <cell r="BC22">
            <v>-166832.29999999999</v>
          </cell>
          <cell r="BD22">
            <v>-166212.4</v>
          </cell>
          <cell r="BE22">
            <v>-166910.39999999999</v>
          </cell>
          <cell r="BF22">
            <v>-167111.4</v>
          </cell>
          <cell r="BG22">
            <v>-166818.20000000001</v>
          </cell>
          <cell r="BH22">
            <v>-167308</v>
          </cell>
          <cell r="BI22">
            <v>-168013</v>
          </cell>
          <cell r="BJ22">
            <v>-168043.3</v>
          </cell>
          <cell r="BK22">
            <v>-168807.8</v>
          </cell>
          <cell r="BL22">
            <v>-169031.4</v>
          </cell>
          <cell r="BM22">
            <v>-169418</v>
          </cell>
          <cell r="BN22">
            <v>-170108.5</v>
          </cell>
          <cell r="BO22">
            <v>-170820</v>
          </cell>
          <cell r="BP22">
            <v>-170579</v>
          </cell>
          <cell r="BQ22">
            <v>-171098.8</v>
          </cell>
          <cell r="BR22">
            <v>-171296</v>
          </cell>
          <cell r="BS22">
            <v>-171318.5</v>
          </cell>
          <cell r="BT22">
            <v>-171314.5</v>
          </cell>
          <cell r="BU22">
            <v>-171623.8</v>
          </cell>
          <cell r="BV22">
            <v>-170596.2</v>
          </cell>
          <cell r="BW22">
            <v>-170868.8</v>
          </cell>
          <cell r="BX22">
            <v>-171478.6</v>
          </cell>
          <cell r="BY22">
            <v>-172104</v>
          </cell>
          <cell r="BZ22">
            <v>-172248.2</v>
          </cell>
          <cell r="CA22">
            <v>-172710.2</v>
          </cell>
          <cell r="CB22">
            <v>-170759.7</v>
          </cell>
          <cell r="CC22">
            <v>-171341.7</v>
          </cell>
          <cell r="CD22">
            <v>-172016.1</v>
          </cell>
          <cell r="CE22">
            <v>-172605.8</v>
          </cell>
          <cell r="CF22">
            <v>-173139.4</v>
          </cell>
          <cell r="CG22">
            <v>-173093.8</v>
          </cell>
          <cell r="CH22">
            <v>-172147.3</v>
          </cell>
          <cell r="CI22">
            <v>-172715.6</v>
          </cell>
          <cell r="CJ22">
            <v>-173471.5</v>
          </cell>
          <cell r="CK22">
            <v>-173584.9</v>
          </cell>
          <cell r="CL22">
            <v>-174226.7</v>
          </cell>
          <cell r="CM22">
            <v>-174998.1</v>
          </cell>
          <cell r="CN22">
            <v>-177447.8</v>
          </cell>
          <cell r="CO22">
            <v>-173599.2</v>
          </cell>
          <cell r="CP22">
            <v>-174466.9</v>
          </cell>
          <cell r="CQ22">
            <v>-175537.3</v>
          </cell>
          <cell r="CR22">
            <v>-176183.9</v>
          </cell>
          <cell r="CS22">
            <v>-177286.39999999999</v>
          </cell>
          <cell r="CT22">
            <v>-177629.2</v>
          </cell>
          <cell r="CU22">
            <v>-178582.39999999999</v>
          </cell>
          <cell r="CV22">
            <v>-179704.9</v>
          </cell>
          <cell r="CW22">
            <v>-179344.9</v>
          </cell>
          <cell r="CX22">
            <v>-178999.2</v>
          </cell>
          <cell r="CY22">
            <v>-179725.5</v>
          </cell>
          <cell r="CZ22">
            <v>-177547.2</v>
          </cell>
          <cell r="DA22">
            <v>-178453.9</v>
          </cell>
          <cell r="DB22">
            <v>-178761</v>
          </cell>
          <cell r="DC22">
            <v>-179649.9</v>
          </cell>
          <cell r="DD22">
            <v>-180356.7</v>
          </cell>
          <cell r="DE22">
            <v>-181260.3</v>
          </cell>
          <cell r="DF22">
            <v>-181585.3</v>
          </cell>
          <cell r="DG22">
            <v>-182229.3</v>
          </cell>
          <cell r="DH22">
            <v>-183796.8</v>
          </cell>
          <cell r="DI22">
            <v>-184332.7</v>
          </cell>
          <cell r="DJ22">
            <v>-185479.8</v>
          </cell>
          <cell r="DK22">
            <v>-186617.60000000001</v>
          </cell>
          <cell r="DL22">
            <v>-186677.5</v>
          </cell>
          <cell r="DM22">
            <v>-186702.5</v>
          </cell>
          <cell r="DN22">
            <v>-186727.5</v>
          </cell>
          <cell r="DO22">
            <v>-186752.5</v>
          </cell>
          <cell r="DP22">
            <v>-186777.5</v>
          </cell>
          <cell r="DQ22">
            <v>-186802.5</v>
          </cell>
          <cell r="DR22">
            <v>-186827.5</v>
          </cell>
          <cell r="DS22">
            <v>-186852.5</v>
          </cell>
          <cell r="DT22">
            <v>-186877.5</v>
          </cell>
          <cell r="DU22">
            <v>-186902.5</v>
          </cell>
          <cell r="DV22">
            <v>-186927.5</v>
          </cell>
          <cell r="DW22">
            <v>-186952.5</v>
          </cell>
          <cell r="EK22" t="str">
            <v>SOP</v>
          </cell>
        </row>
        <row r="23">
          <cell r="A23" t="str">
            <v>Accum. Depreciation (Calc.)</v>
          </cell>
          <cell r="C23" t="str">
            <v>Accumulated Provision for Depr. SUB</v>
          </cell>
          <cell r="D23" t="str">
            <v>1080901</v>
          </cell>
          <cell r="E23" t="str">
            <v>A_1080901</v>
          </cell>
          <cell r="F23" t="str">
            <v>Accumulated Provision for Depreciation - GAAP adj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98.2</v>
          </cell>
          <cell r="AL23">
            <v>130.9</v>
          </cell>
          <cell r="AM23">
            <v>163.6</v>
          </cell>
          <cell r="AN23">
            <v>196.3</v>
          </cell>
          <cell r="AO23">
            <v>229</v>
          </cell>
          <cell r="AP23">
            <v>284.60000000000002</v>
          </cell>
          <cell r="AQ23">
            <v>328.8</v>
          </cell>
          <cell r="AR23">
            <v>372.9</v>
          </cell>
          <cell r="AS23">
            <v>417.1</v>
          </cell>
          <cell r="AT23">
            <v>461.2</v>
          </cell>
          <cell r="AU23">
            <v>505.4</v>
          </cell>
          <cell r="AV23">
            <v>549.5</v>
          </cell>
          <cell r="AW23">
            <v>593.70000000000005</v>
          </cell>
          <cell r="AX23">
            <v>637.9</v>
          </cell>
          <cell r="AY23">
            <v>682</v>
          </cell>
          <cell r="AZ23">
            <v>726.2</v>
          </cell>
          <cell r="BA23">
            <v>770.3</v>
          </cell>
          <cell r="BB23">
            <v>814.5</v>
          </cell>
          <cell r="BC23">
            <v>858.6</v>
          </cell>
          <cell r="BD23">
            <v>902.8</v>
          </cell>
          <cell r="BE23">
            <v>946.9</v>
          </cell>
          <cell r="BF23">
            <v>991.1</v>
          </cell>
          <cell r="BG23">
            <v>1035.2</v>
          </cell>
          <cell r="BH23">
            <v>1079.4000000000001</v>
          </cell>
          <cell r="BI23">
            <v>1123.5999999999999</v>
          </cell>
          <cell r="BJ23">
            <v>1167.7</v>
          </cell>
          <cell r="BK23">
            <v>1211.9000000000001</v>
          </cell>
          <cell r="BL23">
            <v>1256</v>
          </cell>
          <cell r="BM23">
            <v>1300.2</v>
          </cell>
          <cell r="BN23">
            <v>1344.3</v>
          </cell>
          <cell r="BO23">
            <v>1388.5</v>
          </cell>
          <cell r="BP23">
            <v>1432.6</v>
          </cell>
          <cell r="BQ23">
            <v>1476.8</v>
          </cell>
          <cell r="BR23">
            <v>1521</v>
          </cell>
          <cell r="BS23">
            <v>1565.1</v>
          </cell>
          <cell r="BT23">
            <v>1609.3</v>
          </cell>
          <cell r="BU23">
            <v>1653.4</v>
          </cell>
          <cell r="BV23">
            <v>1697.6</v>
          </cell>
          <cell r="BW23">
            <v>1741.7</v>
          </cell>
          <cell r="BX23">
            <v>1785.9</v>
          </cell>
          <cell r="BY23">
            <v>1830</v>
          </cell>
          <cell r="BZ23">
            <v>1874.2</v>
          </cell>
          <cell r="CA23">
            <v>1918.3</v>
          </cell>
          <cell r="CB23">
            <v>1962.5</v>
          </cell>
          <cell r="CC23">
            <v>2006.7</v>
          </cell>
          <cell r="CD23">
            <v>2050.8000000000002</v>
          </cell>
          <cell r="CE23">
            <v>2095</v>
          </cell>
          <cell r="CF23">
            <v>2139.1</v>
          </cell>
          <cell r="CG23">
            <v>2183.3000000000002</v>
          </cell>
          <cell r="CH23">
            <v>2227.4</v>
          </cell>
          <cell r="CI23">
            <v>2271.6</v>
          </cell>
          <cell r="CJ23">
            <v>2315.6999999999998</v>
          </cell>
          <cell r="CK23">
            <v>2359.9</v>
          </cell>
          <cell r="CL23">
            <v>2404.1</v>
          </cell>
          <cell r="CM23">
            <v>2448.1999999999998</v>
          </cell>
          <cell r="CN23">
            <v>2492.4</v>
          </cell>
          <cell r="CO23">
            <v>2536.5</v>
          </cell>
          <cell r="CP23">
            <v>2580.6999999999998</v>
          </cell>
          <cell r="CQ23">
            <v>2624.8</v>
          </cell>
          <cell r="CR23">
            <v>2669</v>
          </cell>
          <cell r="CS23">
            <v>2713.1</v>
          </cell>
          <cell r="CT23">
            <v>2757.3</v>
          </cell>
          <cell r="CU23">
            <v>2801.4</v>
          </cell>
          <cell r="CV23">
            <v>2845.6</v>
          </cell>
          <cell r="CW23">
            <v>2889.8</v>
          </cell>
          <cell r="CX23">
            <v>2933.9</v>
          </cell>
          <cell r="CY23">
            <v>2978.1</v>
          </cell>
          <cell r="CZ23">
            <v>3022.2</v>
          </cell>
          <cell r="DA23">
            <v>3066.4</v>
          </cell>
          <cell r="DB23">
            <v>2355.6</v>
          </cell>
          <cell r="DC23">
            <v>2388.3000000000002</v>
          </cell>
          <cell r="DD23">
            <v>2421.1</v>
          </cell>
          <cell r="DE23">
            <v>2453.8000000000002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104.1</v>
          </cell>
          <cell r="DO23">
            <v>208.2</v>
          </cell>
          <cell r="DP23">
            <v>312.2</v>
          </cell>
          <cell r="DQ23">
            <v>416.3</v>
          </cell>
          <cell r="DR23">
            <v>520.4</v>
          </cell>
          <cell r="DS23">
            <v>624.5</v>
          </cell>
          <cell r="DT23">
            <v>728.6</v>
          </cell>
          <cell r="DU23">
            <v>832.7</v>
          </cell>
          <cell r="DV23">
            <v>936.7</v>
          </cell>
          <cell r="DW23">
            <v>1040.8</v>
          </cell>
          <cell r="EK23" t="str">
            <v>SOP</v>
          </cell>
        </row>
        <row r="24">
          <cell r="D24" t="str">
            <v>108</v>
          </cell>
          <cell r="E24">
            <v>108</v>
          </cell>
          <cell r="F24" t="str">
            <v>Acumulated Depreciation, RWIP, Removal</v>
          </cell>
          <cell r="G24">
            <v>-591732.86838</v>
          </cell>
          <cell r="H24">
            <v>-586438.80000000005</v>
          </cell>
          <cell r="I24">
            <v>-589714.19999999995</v>
          </cell>
          <cell r="J24">
            <v>-593393.79999999993</v>
          </cell>
          <cell r="K24">
            <v>-597195.5</v>
          </cell>
          <cell r="L24">
            <v>-600813.6</v>
          </cell>
          <cell r="M24">
            <v>-604258.89999999991</v>
          </cell>
          <cell r="N24">
            <v>-608066</v>
          </cell>
          <cell r="O24">
            <v>-611666.6</v>
          </cell>
          <cell r="P24">
            <v>-615192.20000000007</v>
          </cell>
          <cell r="Q24">
            <v>-618697</v>
          </cell>
          <cell r="R24">
            <v>-622798.69999999995</v>
          </cell>
          <cell r="S24">
            <v>-626414.20000000007</v>
          </cell>
          <cell r="T24">
            <v>-630297.30000000005</v>
          </cell>
          <cell r="U24">
            <v>-626026.39999999991</v>
          </cell>
          <cell r="V24">
            <v>-629481.80000000005</v>
          </cell>
          <cell r="W24">
            <v>-633407.69999999995</v>
          </cell>
          <cell r="X24">
            <v>-637113.19999999995</v>
          </cell>
          <cell r="Y24">
            <v>-640997.9</v>
          </cell>
          <cell r="Z24">
            <v>-645031.4</v>
          </cell>
          <cell r="AA24">
            <v>-649212.29999999993</v>
          </cell>
          <cell r="AB24">
            <v>-652925.69999999995</v>
          </cell>
          <cell r="AC24">
            <v>-656937.20000000007</v>
          </cell>
          <cell r="AD24">
            <v>-661219.19999999995</v>
          </cell>
          <cell r="AE24">
            <v>-664336</v>
          </cell>
          <cell r="AF24">
            <v>-667989.4</v>
          </cell>
          <cell r="AG24">
            <v>-672306.1</v>
          </cell>
          <cell r="AH24">
            <v>-676277.1</v>
          </cell>
          <cell r="AI24">
            <v>-680505.9</v>
          </cell>
          <cell r="AJ24">
            <v>-684834.5</v>
          </cell>
          <cell r="AK24">
            <v>-684577.3</v>
          </cell>
          <cell r="AL24">
            <v>-688523</v>
          </cell>
          <cell r="AM24">
            <v>-691720.8</v>
          </cell>
          <cell r="AN24">
            <v>-696178.59999999986</v>
          </cell>
          <cell r="AO24">
            <v>-700415.40000000014</v>
          </cell>
          <cell r="AP24">
            <v>-704643.20000000007</v>
          </cell>
          <cell r="AQ24">
            <v>-686879.39999999991</v>
          </cell>
          <cell r="AR24">
            <v>-689796.99999999988</v>
          </cell>
          <cell r="AS24">
            <v>-692736.5</v>
          </cell>
          <cell r="AT24">
            <v>-693810.8</v>
          </cell>
          <cell r="AU24">
            <v>-692679</v>
          </cell>
          <cell r="AV24">
            <v>-695423.89999999991</v>
          </cell>
          <cell r="AW24">
            <v>-697941.20000000007</v>
          </cell>
          <cell r="AX24">
            <v>-700677.29999999993</v>
          </cell>
          <cell r="AY24">
            <v>-703233</v>
          </cell>
          <cell r="AZ24">
            <v>-705995.20000000007</v>
          </cell>
          <cell r="BA24">
            <v>-708673.10000000009</v>
          </cell>
          <cell r="BB24">
            <v>-711309.29999999981</v>
          </cell>
          <cell r="BC24">
            <v>-713645.30000000016</v>
          </cell>
          <cell r="BD24">
            <v>-717049.7</v>
          </cell>
          <cell r="BE24">
            <v>-719710</v>
          </cell>
          <cell r="BF24">
            <v>-722791.4</v>
          </cell>
          <cell r="BG24">
            <v>-726331.2</v>
          </cell>
          <cell r="BH24">
            <v>-729708.5</v>
          </cell>
          <cell r="BI24">
            <v>-732514.7</v>
          </cell>
          <cell r="BJ24">
            <v>-736305.10000000009</v>
          </cell>
          <cell r="BK24">
            <v>-739756.4</v>
          </cell>
          <cell r="BL24">
            <v>-742955.20000000007</v>
          </cell>
          <cell r="BM24">
            <v>-745700.8</v>
          </cell>
          <cell r="BN24">
            <v>-749426.2</v>
          </cell>
          <cell r="BO24">
            <v>-752032.4</v>
          </cell>
          <cell r="BP24">
            <v>-754274.4</v>
          </cell>
          <cell r="BQ24">
            <v>-756431.8</v>
          </cell>
          <cell r="BR24">
            <v>-759088.1</v>
          </cell>
          <cell r="BS24">
            <v>-761429</v>
          </cell>
          <cell r="BT24">
            <v>-763332.1</v>
          </cell>
          <cell r="BU24">
            <v>-764483.80000000016</v>
          </cell>
          <cell r="BV24">
            <v>-766453.70000000007</v>
          </cell>
          <cell r="BW24">
            <v>-768853.3</v>
          </cell>
          <cell r="BX24">
            <v>-771530.89999999991</v>
          </cell>
          <cell r="BY24">
            <v>-773617.9</v>
          </cell>
          <cell r="BZ24">
            <v>-776465.7</v>
          </cell>
          <cell r="CA24">
            <v>-777674.59999999986</v>
          </cell>
          <cell r="CB24">
            <v>-785599</v>
          </cell>
          <cell r="CC24">
            <v>-781996.89999999991</v>
          </cell>
          <cell r="CD24">
            <v>-784677.4</v>
          </cell>
          <cell r="CE24">
            <v>-787407.3</v>
          </cell>
          <cell r="CF24">
            <v>-790384.50000000012</v>
          </cell>
          <cell r="CG24">
            <v>-793124.60000000009</v>
          </cell>
          <cell r="CH24">
            <v>-795538.6</v>
          </cell>
          <cell r="CI24">
            <v>-798564.4</v>
          </cell>
          <cell r="CJ24">
            <v>-801357.10000000009</v>
          </cell>
          <cell r="CK24">
            <v>-804374.39999999991</v>
          </cell>
          <cell r="CL24">
            <v>-807526.20000000007</v>
          </cell>
          <cell r="CM24">
            <v>-807435.90000000014</v>
          </cell>
          <cell r="CN24">
            <v>-812315.20000000007</v>
          </cell>
          <cell r="CO24">
            <v>-812185.7</v>
          </cell>
          <cell r="CP24">
            <v>-815671.9</v>
          </cell>
          <cell r="CQ24">
            <v>-818962.7</v>
          </cell>
          <cell r="CR24">
            <v>-822339.7</v>
          </cell>
          <cell r="CS24">
            <v>-825170</v>
          </cell>
          <cell r="CT24">
            <v>-827974.79999999981</v>
          </cell>
          <cell r="CU24">
            <v>-831803.4</v>
          </cell>
          <cell r="CV24">
            <v>-834833.6</v>
          </cell>
          <cell r="CW24">
            <v>-836356.3</v>
          </cell>
          <cell r="CX24">
            <v>-838033.69999999984</v>
          </cell>
          <cell r="CY24">
            <v>-846641.29999999993</v>
          </cell>
          <cell r="CZ24">
            <v>-850027.2</v>
          </cell>
          <cell r="DA24">
            <v>-854067.6</v>
          </cell>
          <cell r="DB24">
            <v>-852906</v>
          </cell>
          <cell r="DC24">
            <v>-855856.7</v>
          </cell>
          <cell r="DD24">
            <v>-859841.6</v>
          </cell>
          <cell r="DE24">
            <v>-857582.2</v>
          </cell>
          <cell r="DF24">
            <v>-861877.90000000014</v>
          </cell>
          <cell r="DG24">
            <v>-865640.5</v>
          </cell>
          <cell r="DH24">
            <v>-865216.60000000009</v>
          </cell>
          <cell r="DI24">
            <v>-869558.09999999986</v>
          </cell>
          <cell r="DJ24">
            <v>-873784.60000000009</v>
          </cell>
          <cell r="DK24">
            <v>-876211.29999999993</v>
          </cell>
          <cell r="DL24">
            <v>-871620.1</v>
          </cell>
          <cell r="DM24">
            <v>-872018.7</v>
          </cell>
          <cell r="DN24">
            <v>-869011.1</v>
          </cell>
          <cell r="DO24">
            <v>-871790.2</v>
          </cell>
          <cell r="DP24">
            <v>-875114</v>
          </cell>
          <cell r="DQ24">
            <v>-874711.2</v>
          </cell>
          <cell r="DR24">
            <v>-878569.29999999993</v>
          </cell>
          <cell r="DS24">
            <v>-882483.5</v>
          </cell>
          <cell r="DT24">
            <v>-883991.2</v>
          </cell>
          <cell r="DU24">
            <v>-888017.4</v>
          </cell>
          <cell r="DV24">
            <v>-892100.9</v>
          </cell>
          <cell r="DW24">
            <v>-887975.49999999988</v>
          </cell>
        </row>
        <row r="25">
          <cell r="A25" t="str">
            <v>Gas Plant Acquisition Adjustment</v>
          </cell>
          <cell r="C25" t="str">
            <v>Gas Plant Acquisition Adjustment</v>
          </cell>
          <cell r="D25" t="str">
            <v>1140000</v>
          </cell>
          <cell r="E25" t="str">
            <v>A_1140000</v>
          </cell>
          <cell r="F25" t="str">
            <v>Plant Acquisition Adjustments</v>
          </cell>
          <cell r="G25">
            <v>5031.8972400000002</v>
          </cell>
          <cell r="H25">
            <v>5031.8999999999996</v>
          </cell>
          <cell r="I25">
            <v>5031.8999999999996</v>
          </cell>
          <cell r="J25">
            <v>5031.8999999999996</v>
          </cell>
          <cell r="K25">
            <v>5031.8999999999996</v>
          </cell>
          <cell r="L25">
            <v>5031.8999999999996</v>
          </cell>
          <cell r="M25">
            <v>5031.8999999999996</v>
          </cell>
          <cell r="N25">
            <v>5031.8999999999996</v>
          </cell>
          <cell r="O25">
            <v>5031.8999999999996</v>
          </cell>
          <cell r="P25">
            <v>5031.8999999999996</v>
          </cell>
          <cell r="Q25">
            <v>5031.8999999999996</v>
          </cell>
          <cell r="R25">
            <v>5031.8999999999996</v>
          </cell>
          <cell r="S25">
            <v>5031.8999999999996</v>
          </cell>
          <cell r="T25">
            <v>5031.8999999999996</v>
          </cell>
          <cell r="U25">
            <v>5031.8999999999996</v>
          </cell>
          <cell r="V25">
            <v>5031.8999999999996</v>
          </cell>
          <cell r="W25">
            <v>5031.8999999999996</v>
          </cell>
          <cell r="X25">
            <v>5031.8999999999996</v>
          </cell>
          <cell r="Y25">
            <v>5031.8999999999996</v>
          </cell>
          <cell r="Z25">
            <v>5031.8999999999996</v>
          </cell>
          <cell r="AA25">
            <v>5031.8999999999996</v>
          </cell>
          <cell r="AB25">
            <v>5031.8999999999996</v>
          </cell>
          <cell r="AC25">
            <v>5031.8999999999996</v>
          </cell>
          <cell r="AD25">
            <v>5031.8999999999996</v>
          </cell>
          <cell r="AE25">
            <v>5031.8999999999996</v>
          </cell>
          <cell r="AF25">
            <v>5031.8999999999996</v>
          </cell>
          <cell r="AG25">
            <v>5031.8999999999996</v>
          </cell>
          <cell r="AH25">
            <v>5031.8999999999996</v>
          </cell>
          <cell r="AI25">
            <v>5031.8999999999996</v>
          </cell>
          <cell r="AJ25">
            <v>5031.8999999999996</v>
          </cell>
          <cell r="AK25">
            <v>5031.8999999999996</v>
          </cell>
          <cell r="AL25">
            <v>5031.8999999999996</v>
          </cell>
          <cell r="AM25">
            <v>5031.8999999999996</v>
          </cell>
          <cell r="AN25">
            <v>5031.8999999999996</v>
          </cell>
          <cell r="AO25">
            <v>5031.8999999999996</v>
          </cell>
          <cell r="AP25">
            <v>5031.8999999999996</v>
          </cell>
          <cell r="AQ25">
            <v>5031.8999999999996</v>
          </cell>
          <cell r="AR25">
            <v>5031.8999999999996</v>
          </cell>
          <cell r="AS25">
            <v>5031.8999999999996</v>
          </cell>
          <cell r="AT25">
            <v>5031.8999999999996</v>
          </cell>
          <cell r="AU25">
            <v>5031.8999999999996</v>
          </cell>
          <cell r="AV25">
            <v>5031.8999999999996</v>
          </cell>
          <cell r="AW25">
            <v>5031.8999999999996</v>
          </cell>
          <cell r="AX25">
            <v>5031.8999999999996</v>
          </cell>
          <cell r="AY25">
            <v>5031.8999999999996</v>
          </cell>
          <cell r="AZ25">
            <v>5031.8999999999996</v>
          </cell>
          <cell r="BA25">
            <v>5031.8999999999996</v>
          </cell>
          <cell r="BB25">
            <v>5031.8999999999996</v>
          </cell>
          <cell r="BC25">
            <v>5031.8999999999996</v>
          </cell>
          <cell r="BD25">
            <v>5031.8999999999996</v>
          </cell>
          <cell r="BE25">
            <v>5031.8999999999996</v>
          </cell>
          <cell r="BF25">
            <v>5031.8999999999996</v>
          </cell>
          <cell r="BG25">
            <v>5031.8999999999996</v>
          </cell>
          <cell r="BH25">
            <v>5031.8999999999996</v>
          </cell>
          <cell r="BI25">
            <v>5031.8999999999996</v>
          </cell>
          <cell r="BJ25">
            <v>5031.8999999999996</v>
          </cell>
          <cell r="BK25">
            <v>5031.8999999999996</v>
          </cell>
          <cell r="BL25">
            <v>5031.8999999999996</v>
          </cell>
          <cell r="BM25">
            <v>5031.8999999999996</v>
          </cell>
          <cell r="BN25">
            <v>5031.8999999999996</v>
          </cell>
          <cell r="BO25">
            <v>5031.8999999999996</v>
          </cell>
          <cell r="BP25">
            <v>5031.8999999999996</v>
          </cell>
          <cell r="BQ25">
            <v>5031.8999999999996</v>
          </cell>
          <cell r="BR25">
            <v>5031.8999999999996</v>
          </cell>
          <cell r="BS25">
            <v>5031.8999999999996</v>
          </cell>
          <cell r="BT25">
            <v>5031.8999999999996</v>
          </cell>
          <cell r="BU25">
            <v>5031.8999999999996</v>
          </cell>
          <cell r="BV25">
            <v>5031.8999999999996</v>
          </cell>
          <cell r="BW25">
            <v>5031.8999999999996</v>
          </cell>
          <cell r="BX25">
            <v>5031.8999999999996</v>
          </cell>
          <cell r="BY25">
            <v>5031.8999999999996</v>
          </cell>
          <cell r="BZ25">
            <v>5031.8999999999996</v>
          </cell>
          <cell r="CA25">
            <v>5031.8999999999996</v>
          </cell>
          <cell r="CB25">
            <v>5031.8999999999996</v>
          </cell>
          <cell r="CC25">
            <v>5031.8999999999996</v>
          </cell>
          <cell r="CD25">
            <v>5031.8999999999996</v>
          </cell>
          <cell r="CE25">
            <v>5031.8999999999996</v>
          </cell>
          <cell r="CF25">
            <v>5031.8999999999996</v>
          </cell>
          <cell r="CG25">
            <v>5031.8999999999996</v>
          </cell>
          <cell r="CH25">
            <v>5031.8999999999996</v>
          </cell>
          <cell r="CI25">
            <v>5031.8999999999996</v>
          </cell>
          <cell r="CJ25">
            <v>5031.8999999999996</v>
          </cell>
          <cell r="CK25">
            <v>5031.8999999999996</v>
          </cell>
          <cell r="CL25">
            <v>5031.8999999999996</v>
          </cell>
          <cell r="CM25">
            <v>5031.8999999999996</v>
          </cell>
          <cell r="CN25">
            <v>5031.8999999999996</v>
          </cell>
          <cell r="CO25">
            <v>5031.8999999999996</v>
          </cell>
          <cell r="CP25">
            <v>5031.8999999999996</v>
          </cell>
          <cell r="CQ25">
            <v>5031.8999999999996</v>
          </cell>
          <cell r="CR25">
            <v>5031.8999999999996</v>
          </cell>
          <cell r="CS25">
            <v>5031.8999999999996</v>
          </cell>
          <cell r="CT25">
            <v>5031.8999999999996</v>
          </cell>
          <cell r="CU25">
            <v>5031.8999999999996</v>
          </cell>
          <cell r="CV25">
            <v>5031.8999999999996</v>
          </cell>
          <cell r="CW25">
            <v>5031.8999999999996</v>
          </cell>
          <cell r="CX25">
            <v>5031.8999999999996</v>
          </cell>
          <cell r="CY25">
            <v>5031.8999999999996</v>
          </cell>
          <cell r="CZ25">
            <v>5031.8999999999996</v>
          </cell>
          <cell r="DA25">
            <v>5031.8999999999996</v>
          </cell>
          <cell r="DB25">
            <v>5031.8999999999996</v>
          </cell>
          <cell r="DC25">
            <v>5031.8999999999996</v>
          </cell>
          <cell r="DD25">
            <v>5031.8999999999996</v>
          </cell>
          <cell r="DE25">
            <v>5031.8999999999996</v>
          </cell>
          <cell r="DF25">
            <v>5031.8999999999996</v>
          </cell>
          <cell r="DG25">
            <v>5031.8999999999996</v>
          </cell>
          <cell r="DH25">
            <v>5031.8999999999996</v>
          </cell>
          <cell r="DI25">
            <v>5031.8999999999996</v>
          </cell>
          <cell r="DJ25">
            <v>5031.8999999999996</v>
          </cell>
          <cell r="DK25">
            <v>5031.8999999999996</v>
          </cell>
          <cell r="DL25">
            <v>5031.8999999999996</v>
          </cell>
          <cell r="DM25">
            <v>5031.8999999999996</v>
          </cell>
          <cell r="DN25">
            <v>5031.8999999999996</v>
          </cell>
          <cell r="DO25">
            <v>5031.8999999999996</v>
          </cell>
          <cell r="DP25">
            <v>5031.8999999999996</v>
          </cell>
          <cell r="DQ25">
            <v>5031.8999999999996</v>
          </cell>
          <cell r="DR25">
            <v>5031.8999999999996</v>
          </cell>
          <cell r="DS25">
            <v>5031.8999999999996</v>
          </cell>
          <cell r="DT25">
            <v>5031.8999999999996</v>
          </cell>
          <cell r="DU25">
            <v>5031.8999999999996</v>
          </cell>
          <cell r="DV25">
            <v>5031.8999999999996</v>
          </cell>
          <cell r="DW25">
            <v>5031.8999999999996</v>
          </cell>
          <cell r="EK25" t="str">
            <v>SOP</v>
          </cell>
        </row>
        <row r="26">
          <cell r="D26" t="str">
            <v>114</v>
          </cell>
          <cell r="E26">
            <v>114</v>
          </cell>
          <cell r="G26">
            <v>5031.8972400000002</v>
          </cell>
          <cell r="H26">
            <v>5031.8999999999996</v>
          </cell>
          <cell r="I26">
            <v>5031.8999999999996</v>
          </cell>
          <cell r="J26">
            <v>5031.8999999999996</v>
          </cell>
          <cell r="K26">
            <v>5031.8999999999996</v>
          </cell>
          <cell r="L26">
            <v>5031.8999999999996</v>
          </cell>
          <cell r="M26">
            <v>5031.8999999999996</v>
          </cell>
          <cell r="N26">
            <v>5031.8999999999996</v>
          </cell>
          <cell r="O26">
            <v>5031.8999999999996</v>
          </cell>
          <cell r="P26">
            <v>5031.8999999999996</v>
          </cell>
          <cell r="Q26">
            <v>5031.8999999999996</v>
          </cell>
          <cell r="R26">
            <v>5031.8999999999996</v>
          </cell>
          <cell r="S26">
            <v>5031.8999999999996</v>
          </cell>
          <cell r="T26">
            <v>5031.8999999999996</v>
          </cell>
          <cell r="U26">
            <v>5031.8999999999996</v>
          </cell>
          <cell r="V26">
            <v>5031.8999999999996</v>
          </cell>
          <cell r="W26">
            <v>5031.8999999999996</v>
          </cell>
          <cell r="X26">
            <v>5031.8999999999996</v>
          </cell>
          <cell r="Y26">
            <v>5031.8999999999996</v>
          </cell>
          <cell r="Z26">
            <v>5031.8999999999996</v>
          </cell>
          <cell r="AA26">
            <v>5031.8999999999996</v>
          </cell>
          <cell r="AB26">
            <v>5031.8999999999996</v>
          </cell>
          <cell r="AC26">
            <v>5031.8999999999996</v>
          </cell>
          <cell r="AD26">
            <v>5031.8999999999996</v>
          </cell>
          <cell r="AE26">
            <v>5031.8999999999996</v>
          </cell>
          <cell r="AF26">
            <v>5031.8999999999996</v>
          </cell>
          <cell r="AG26">
            <v>5031.8999999999996</v>
          </cell>
          <cell r="AH26">
            <v>5031.8999999999996</v>
          </cell>
          <cell r="AI26">
            <v>5031.8999999999996</v>
          </cell>
          <cell r="AJ26">
            <v>5031.8999999999996</v>
          </cell>
          <cell r="AK26">
            <v>5031.8999999999996</v>
          </cell>
          <cell r="AL26">
            <v>5031.8999999999996</v>
          </cell>
          <cell r="AM26">
            <v>5031.8999999999996</v>
          </cell>
          <cell r="AN26">
            <v>5031.8999999999996</v>
          </cell>
          <cell r="AO26">
            <v>5031.8999999999996</v>
          </cell>
          <cell r="AP26">
            <v>5031.8999999999996</v>
          </cell>
          <cell r="AQ26">
            <v>5031.8999999999996</v>
          </cell>
          <cell r="AR26">
            <v>5031.8999999999996</v>
          </cell>
          <cell r="AS26">
            <v>5031.8999999999996</v>
          </cell>
          <cell r="AT26">
            <v>5031.8999999999996</v>
          </cell>
          <cell r="AU26">
            <v>5031.8999999999996</v>
          </cell>
          <cell r="AV26">
            <v>5031.8999999999996</v>
          </cell>
          <cell r="AW26">
            <v>5031.8999999999996</v>
          </cell>
          <cell r="AX26">
            <v>5031.8999999999996</v>
          </cell>
          <cell r="AY26">
            <v>5031.8999999999996</v>
          </cell>
          <cell r="AZ26">
            <v>5031.8999999999996</v>
          </cell>
          <cell r="BA26">
            <v>5031.8999999999996</v>
          </cell>
          <cell r="BB26">
            <v>5031.8999999999996</v>
          </cell>
          <cell r="BC26">
            <v>5031.8999999999996</v>
          </cell>
          <cell r="BD26">
            <v>5031.8999999999996</v>
          </cell>
          <cell r="BE26">
            <v>5031.8999999999996</v>
          </cell>
          <cell r="BF26">
            <v>5031.8999999999996</v>
          </cell>
          <cell r="BG26">
            <v>5031.8999999999996</v>
          </cell>
          <cell r="BH26">
            <v>5031.8999999999996</v>
          </cell>
          <cell r="BI26">
            <v>5031.8999999999996</v>
          </cell>
          <cell r="BJ26">
            <v>5031.8999999999996</v>
          </cell>
          <cell r="BK26">
            <v>5031.8999999999996</v>
          </cell>
          <cell r="BL26">
            <v>5031.8999999999996</v>
          </cell>
          <cell r="BM26">
            <v>5031.8999999999996</v>
          </cell>
          <cell r="BN26">
            <v>5031.8999999999996</v>
          </cell>
          <cell r="BO26">
            <v>5031.8999999999996</v>
          </cell>
          <cell r="BP26">
            <v>5031.8999999999996</v>
          </cell>
          <cell r="BQ26">
            <v>5031.8999999999996</v>
          </cell>
          <cell r="BR26">
            <v>5031.8999999999996</v>
          </cell>
          <cell r="BS26">
            <v>5031.8999999999996</v>
          </cell>
          <cell r="BT26">
            <v>5031.8999999999996</v>
          </cell>
          <cell r="BU26">
            <v>5031.8999999999996</v>
          </cell>
          <cell r="BV26">
            <v>5031.8999999999996</v>
          </cell>
          <cell r="BW26">
            <v>5031.8999999999996</v>
          </cell>
          <cell r="BX26">
            <v>5031.8999999999996</v>
          </cell>
          <cell r="BY26">
            <v>5031.8999999999996</v>
          </cell>
          <cell r="BZ26">
            <v>5031.8999999999996</v>
          </cell>
          <cell r="CA26">
            <v>5031.8999999999996</v>
          </cell>
          <cell r="CB26">
            <v>5031.8999999999996</v>
          </cell>
          <cell r="CC26">
            <v>5031.8999999999996</v>
          </cell>
          <cell r="CD26">
            <v>5031.8999999999996</v>
          </cell>
          <cell r="CE26">
            <v>5031.8999999999996</v>
          </cell>
          <cell r="CF26">
            <v>5031.8999999999996</v>
          </cell>
          <cell r="CG26">
            <v>5031.8999999999996</v>
          </cell>
          <cell r="CH26">
            <v>5031.8999999999996</v>
          </cell>
          <cell r="CI26">
            <v>5031.8999999999996</v>
          </cell>
          <cell r="CJ26">
            <v>5031.8999999999996</v>
          </cell>
          <cell r="CK26">
            <v>5031.8999999999996</v>
          </cell>
          <cell r="CL26">
            <v>5031.8999999999996</v>
          </cell>
          <cell r="CM26">
            <v>5031.8999999999996</v>
          </cell>
          <cell r="CN26">
            <v>5031.8999999999996</v>
          </cell>
          <cell r="CO26">
            <v>5031.8999999999996</v>
          </cell>
          <cell r="CP26">
            <v>5031.8999999999996</v>
          </cell>
          <cell r="CQ26">
            <v>5031.8999999999996</v>
          </cell>
          <cell r="CR26">
            <v>5031.8999999999996</v>
          </cell>
          <cell r="CS26">
            <v>5031.8999999999996</v>
          </cell>
          <cell r="CT26">
            <v>5031.8999999999996</v>
          </cell>
          <cell r="CU26">
            <v>5031.8999999999996</v>
          </cell>
          <cell r="CV26">
            <v>5031.8999999999996</v>
          </cell>
          <cell r="CW26">
            <v>5031.8999999999996</v>
          </cell>
          <cell r="CX26">
            <v>5031.8999999999996</v>
          </cell>
          <cell r="CY26">
            <v>5031.8999999999996</v>
          </cell>
          <cell r="CZ26">
            <v>5031.8999999999996</v>
          </cell>
          <cell r="DA26">
            <v>5031.8999999999996</v>
          </cell>
          <cell r="DB26">
            <v>5031.8999999999996</v>
          </cell>
          <cell r="DC26">
            <v>5031.8999999999996</v>
          </cell>
          <cell r="DD26">
            <v>5031.8999999999996</v>
          </cell>
          <cell r="DE26">
            <v>5031.8999999999996</v>
          </cell>
          <cell r="DF26">
            <v>5031.8999999999996</v>
          </cell>
          <cell r="DG26">
            <v>5031.8999999999996</v>
          </cell>
          <cell r="DH26">
            <v>5031.8999999999996</v>
          </cell>
          <cell r="DI26">
            <v>5031.8999999999996</v>
          </cell>
          <cell r="DJ26">
            <v>5031.8999999999996</v>
          </cell>
          <cell r="DK26">
            <v>5031.8999999999996</v>
          </cell>
          <cell r="DL26">
            <v>5031.8999999999996</v>
          </cell>
          <cell r="DM26">
            <v>5031.8999999999996</v>
          </cell>
          <cell r="DN26">
            <v>5031.8999999999996</v>
          </cell>
          <cell r="DO26">
            <v>5031.8999999999996</v>
          </cell>
          <cell r="DP26">
            <v>5031.8999999999996</v>
          </cell>
          <cell r="DQ26">
            <v>5031.8999999999996</v>
          </cell>
          <cell r="DR26">
            <v>5031.8999999999996</v>
          </cell>
          <cell r="DS26">
            <v>5031.8999999999996</v>
          </cell>
          <cell r="DT26">
            <v>5031.8999999999996</v>
          </cell>
          <cell r="DU26">
            <v>5031.8999999999996</v>
          </cell>
          <cell r="DV26">
            <v>5031.8999999999996</v>
          </cell>
          <cell r="DW26">
            <v>5031.8999999999996</v>
          </cell>
          <cell r="EJ26" t="str">
            <v>.</v>
          </cell>
        </row>
        <row r="27">
          <cell r="A27" t="str">
            <v>Accum. Depreciation (Calc.)</v>
          </cell>
          <cell r="C27" t="str">
            <v>Accumulated Provision for Depr.</v>
          </cell>
          <cell r="D27" t="str">
            <v>1150000</v>
          </cell>
          <cell r="E27" t="str">
            <v>A_1150000</v>
          </cell>
          <cell r="F27" t="str">
            <v>Accum Provision Amort Plant Acquisition Adjustment</v>
          </cell>
          <cell r="G27">
            <v>-3962.6086299999997</v>
          </cell>
          <cell r="H27">
            <v>-3975</v>
          </cell>
          <cell r="I27">
            <v>-3987.5</v>
          </cell>
          <cell r="J27">
            <v>-3999.9</v>
          </cell>
          <cell r="K27">
            <v>-4012.3</v>
          </cell>
          <cell r="L27">
            <v>-4024.8</v>
          </cell>
          <cell r="M27">
            <v>-4037.2</v>
          </cell>
          <cell r="N27">
            <v>-4049.6</v>
          </cell>
          <cell r="O27">
            <v>-4062</v>
          </cell>
          <cell r="P27">
            <v>-4074.5</v>
          </cell>
          <cell r="Q27">
            <v>-4086.9</v>
          </cell>
          <cell r="R27">
            <v>-4099.3</v>
          </cell>
          <cell r="S27">
            <v>-4111.8</v>
          </cell>
          <cell r="T27">
            <v>-4124.2</v>
          </cell>
          <cell r="U27">
            <v>-4136.6000000000004</v>
          </cell>
          <cell r="V27">
            <v>-4149</v>
          </cell>
          <cell r="W27">
            <v>-4161.5</v>
          </cell>
          <cell r="X27">
            <v>-4173.8999999999996</v>
          </cell>
          <cell r="Y27">
            <v>-4186.3</v>
          </cell>
          <cell r="Z27">
            <v>-4198.8</v>
          </cell>
          <cell r="AA27">
            <v>-4211.2</v>
          </cell>
          <cell r="AB27">
            <v>-4223.6000000000004</v>
          </cell>
          <cell r="AC27">
            <v>-4236</v>
          </cell>
          <cell r="AD27">
            <v>-4248.5</v>
          </cell>
          <cell r="AE27">
            <v>-4260.8999999999996</v>
          </cell>
          <cell r="AF27">
            <v>-4273.3</v>
          </cell>
          <cell r="AG27">
            <v>-4285.8</v>
          </cell>
          <cell r="AH27">
            <v>-4298.2</v>
          </cell>
          <cell r="AI27">
            <v>-4310.6000000000004</v>
          </cell>
          <cell r="AJ27">
            <v>-4323</v>
          </cell>
          <cell r="AK27">
            <v>-4335.5</v>
          </cell>
          <cell r="AL27">
            <v>-4347.8999999999996</v>
          </cell>
          <cell r="AM27">
            <v>-4360.3</v>
          </cell>
          <cell r="AN27">
            <v>-4372.8</v>
          </cell>
          <cell r="AO27">
            <v>-4385.2</v>
          </cell>
          <cell r="AP27">
            <v>-4397.6000000000004</v>
          </cell>
          <cell r="AQ27">
            <v>-4410</v>
          </cell>
          <cell r="AR27">
            <v>-4422.5</v>
          </cell>
          <cell r="AS27">
            <v>-4434.8999999999996</v>
          </cell>
          <cell r="AT27">
            <v>-4447.3</v>
          </cell>
          <cell r="AU27">
            <v>-4459.8</v>
          </cell>
          <cell r="AV27">
            <v>-4472.2</v>
          </cell>
          <cell r="AW27">
            <v>-4484.6000000000004</v>
          </cell>
          <cell r="AX27">
            <v>-4497</v>
          </cell>
          <cell r="AY27">
            <v>-4509.5</v>
          </cell>
          <cell r="AZ27">
            <v>-4521.8999999999996</v>
          </cell>
          <cell r="BA27">
            <v>-4534.3</v>
          </cell>
          <cell r="BB27">
            <v>-4546.8</v>
          </cell>
          <cell r="BC27">
            <v>-4559.2</v>
          </cell>
          <cell r="BD27">
            <v>-4571.6000000000004</v>
          </cell>
          <cell r="BE27">
            <v>-4584</v>
          </cell>
          <cell r="BF27">
            <v>-4596.5</v>
          </cell>
          <cell r="BG27">
            <v>-4608.8999999999996</v>
          </cell>
          <cell r="BH27">
            <v>-4621.3</v>
          </cell>
          <cell r="BI27">
            <v>-4633.8</v>
          </cell>
          <cell r="BJ27">
            <v>-4646.2</v>
          </cell>
          <cell r="BK27">
            <v>-4658.6000000000004</v>
          </cell>
          <cell r="BL27">
            <v>-4671.1000000000004</v>
          </cell>
          <cell r="BM27">
            <v>-4683.5</v>
          </cell>
          <cell r="BN27">
            <v>-4695.8999999999996</v>
          </cell>
          <cell r="BO27">
            <v>-4708.3</v>
          </cell>
          <cell r="BP27">
            <v>-4720.8</v>
          </cell>
          <cell r="BQ27">
            <v>-4733.2</v>
          </cell>
          <cell r="BR27">
            <v>-4745.6000000000004</v>
          </cell>
          <cell r="BS27">
            <v>-4758.1000000000004</v>
          </cell>
          <cell r="BT27">
            <v>-4770.5</v>
          </cell>
          <cell r="BU27">
            <v>-4782.8999999999996</v>
          </cell>
          <cell r="BV27">
            <v>-4795.3</v>
          </cell>
          <cell r="BW27">
            <v>-4807.8</v>
          </cell>
          <cell r="BX27">
            <v>-4820.2</v>
          </cell>
          <cell r="BY27">
            <v>-4832.6000000000004</v>
          </cell>
          <cell r="BZ27">
            <v>-4845.1000000000004</v>
          </cell>
          <cell r="CA27">
            <v>-4857.5</v>
          </cell>
          <cell r="CB27">
            <v>-4869.8999999999996</v>
          </cell>
          <cell r="CC27">
            <v>-4882.3</v>
          </cell>
          <cell r="CD27">
            <v>-4894.8</v>
          </cell>
          <cell r="CE27">
            <v>-4907.2</v>
          </cell>
          <cell r="CF27">
            <v>-4919.6000000000004</v>
          </cell>
          <cell r="CG27">
            <v>-4932.1000000000004</v>
          </cell>
          <cell r="CH27">
            <v>-4944.5</v>
          </cell>
          <cell r="CI27">
            <v>-4956.8999999999996</v>
          </cell>
          <cell r="CJ27">
            <v>-4969.3</v>
          </cell>
          <cell r="CK27">
            <v>-4975.3</v>
          </cell>
          <cell r="CL27">
            <v>-4981.2</v>
          </cell>
          <cell r="CM27">
            <v>-4987.2</v>
          </cell>
          <cell r="CN27">
            <v>-4993.1000000000004</v>
          </cell>
          <cell r="CO27">
            <v>-4999.1000000000004</v>
          </cell>
          <cell r="CP27">
            <v>-5005</v>
          </cell>
          <cell r="CQ27">
            <v>-5011</v>
          </cell>
          <cell r="CR27">
            <v>-5016.8999999999996</v>
          </cell>
          <cell r="CS27">
            <v>-5022.8999999999996</v>
          </cell>
          <cell r="CT27">
            <v>-5028.8</v>
          </cell>
          <cell r="CU27">
            <v>-5028.2</v>
          </cell>
          <cell r="CV27">
            <v>-5028.2</v>
          </cell>
          <cell r="CW27">
            <v>-5028.2</v>
          </cell>
          <cell r="CX27">
            <v>-5028.2</v>
          </cell>
          <cell r="CY27">
            <v>-5028.2</v>
          </cell>
          <cell r="CZ27">
            <v>-5028.2</v>
          </cell>
          <cell r="DA27">
            <v>-5028.2</v>
          </cell>
          <cell r="DB27">
            <v>-5028.2</v>
          </cell>
          <cell r="DC27">
            <v>-5028.2</v>
          </cell>
          <cell r="DD27">
            <v>-5028.2</v>
          </cell>
          <cell r="DE27">
            <v>-5028.2</v>
          </cell>
          <cell r="DF27">
            <v>-5028.2</v>
          </cell>
          <cell r="DG27">
            <v>-5028.2</v>
          </cell>
          <cell r="DH27">
            <v>-5028.2</v>
          </cell>
          <cell r="DI27">
            <v>-5028.2</v>
          </cell>
          <cell r="DJ27">
            <v>-5028.2</v>
          </cell>
          <cell r="DK27">
            <v>-5028.2</v>
          </cell>
          <cell r="DL27">
            <v>-5028.2</v>
          </cell>
          <cell r="DM27">
            <v>-5028.2</v>
          </cell>
          <cell r="DN27">
            <v>-5028.2</v>
          </cell>
          <cell r="DO27">
            <v>-5028.2</v>
          </cell>
          <cell r="DP27">
            <v>-5028.2</v>
          </cell>
          <cell r="DQ27">
            <v>-5028.2</v>
          </cell>
          <cell r="DR27">
            <v>-5028.2</v>
          </cell>
          <cell r="DS27">
            <v>-5028.2</v>
          </cell>
          <cell r="DT27">
            <v>-5028.2</v>
          </cell>
          <cell r="DU27">
            <v>-5028.2</v>
          </cell>
          <cell r="DV27">
            <v>-5028.2</v>
          </cell>
          <cell r="DW27">
            <v>-5028.2</v>
          </cell>
          <cell r="EK27" t="str">
            <v>SOP</v>
          </cell>
        </row>
        <row r="28">
          <cell r="D28" t="str">
            <v>115</v>
          </cell>
          <cell r="E28">
            <v>115</v>
          </cell>
          <cell r="G28">
            <v>-3962.6086299999997</v>
          </cell>
          <cell r="H28">
            <v>-3975</v>
          </cell>
          <cell r="I28">
            <v>-3987.5</v>
          </cell>
          <cell r="J28">
            <v>-3999.9</v>
          </cell>
          <cell r="K28">
            <v>-4012.3</v>
          </cell>
          <cell r="L28">
            <v>-4024.8</v>
          </cell>
          <cell r="M28">
            <v>-4037.2</v>
          </cell>
          <cell r="N28">
            <v>-4049.6</v>
          </cell>
          <cell r="O28">
            <v>-4062</v>
          </cell>
          <cell r="P28">
            <v>-4074.5</v>
          </cell>
          <cell r="Q28">
            <v>-4086.9</v>
          </cell>
          <cell r="R28">
            <v>-4099.3</v>
          </cell>
          <cell r="S28">
            <v>-4111.8</v>
          </cell>
          <cell r="T28">
            <v>-4124.2</v>
          </cell>
          <cell r="U28">
            <v>-4136.6000000000004</v>
          </cell>
          <cell r="V28">
            <v>-4149</v>
          </cell>
          <cell r="W28">
            <v>-4161.5</v>
          </cell>
          <cell r="X28">
            <v>-4173.8999999999996</v>
          </cell>
          <cell r="Y28">
            <v>-4186.3</v>
          </cell>
          <cell r="Z28">
            <v>-4198.8</v>
          </cell>
          <cell r="AA28">
            <v>-4211.2</v>
          </cell>
          <cell r="AB28">
            <v>-4223.6000000000004</v>
          </cell>
          <cell r="AC28">
            <v>-4236</v>
          </cell>
          <cell r="AD28">
            <v>-4248.5</v>
          </cell>
          <cell r="AE28">
            <v>-4260.8999999999996</v>
          </cell>
          <cell r="AF28">
            <v>-4273.3</v>
          </cell>
          <cell r="AG28">
            <v>-4285.8</v>
          </cell>
          <cell r="AH28">
            <v>-4298.2</v>
          </cell>
          <cell r="AI28">
            <v>-4310.6000000000004</v>
          </cell>
          <cell r="AJ28">
            <v>-4323</v>
          </cell>
          <cell r="AK28">
            <v>-4335.5</v>
          </cell>
          <cell r="AL28">
            <v>-4347.8999999999996</v>
          </cell>
          <cell r="AM28">
            <v>-4360.3</v>
          </cell>
          <cell r="AN28">
            <v>-4372.8</v>
          </cell>
          <cell r="AO28">
            <v>-4385.2</v>
          </cell>
          <cell r="AP28">
            <v>-4397.6000000000004</v>
          </cell>
          <cell r="AQ28">
            <v>-4410</v>
          </cell>
          <cell r="AR28">
            <v>-4422.5</v>
          </cell>
          <cell r="AS28">
            <v>-4434.8999999999996</v>
          </cell>
          <cell r="AT28">
            <v>-4447.3</v>
          </cell>
          <cell r="AU28">
            <v>-4459.8</v>
          </cell>
          <cell r="AV28">
            <v>-4472.2</v>
          </cell>
          <cell r="AW28">
            <v>-4484.6000000000004</v>
          </cell>
          <cell r="AX28">
            <v>-4497</v>
          </cell>
          <cell r="AY28">
            <v>-4509.5</v>
          </cell>
          <cell r="AZ28">
            <v>-4521.8999999999996</v>
          </cell>
          <cell r="BA28">
            <v>-4534.3</v>
          </cell>
          <cell r="BB28">
            <v>-4546.8</v>
          </cell>
          <cell r="BC28">
            <v>-4559.2</v>
          </cell>
          <cell r="BD28">
            <v>-4571.6000000000004</v>
          </cell>
          <cell r="BE28">
            <v>-4584</v>
          </cell>
          <cell r="BF28">
            <v>-4596.5</v>
          </cell>
          <cell r="BG28">
            <v>-4608.8999999999996</v>
          </cell>
          <cell r="BH28">
            <v>-4621.3</v>
          </cell>
          <cell r="BI28">
            <v>-4633.8</v>
          </cell>
          <cell r="BJ28">
            <v>-4646.2</v>
          </cell>
          <cell r="BK28">
            <v>-4658.6000000000004</v>
          </cell>
          <cell r="BL28">
            <v>-4671.1000000000004</v>
          </cell>
          <cell r="BM28">
            <v>-4683.5</v>
          </cell>
          <cell r="BN28">
            <v>-4695.8999999999996</v>
          </cell>
          <cell r="BO28">
            <v>-4708.3</v>
          </cell>
          <cell r="BP28">
            <v>-4720.8</v>
          </cell>
          <cell r="BQ28">
            <v>-4733.2</v>
          </cell>
          <cell r="BR28">
            <v>-4745.6000000000004</v>
          </cell>
          <cell r="BS28">
            <v>-4758.1000000000004</v>
          </cell>
          <cell r="BT28">
            <v>-4770.5</v>
          </cell>
          <cell r="BU28">
            <v>-4782.8999999999996</v>
          </cell>
          <cell r="BV28">
            <v>-4795.3</v>
          </cell>
          <cell r="BW28">
            <v>-4807.8</v>
          </cell>
          <cell r="BX28">
            <v>-4820.2</v>
          </cell>
          <cell r="BY28">
            <v>-4832.6000000000004</v>
          </cell>
          <cell r="BZ28">
            <v>-4845.1000000000004</v>
          </cell>
          <cell r="CA28">
            <v>-4857.5</v>
          </cell>
          <cell r="CB28">
            <v>-4869.8999999999996</v>
          </cell>
          <cell r="CC28">
            <v>-4882.3</v>
          </cell>
          <cell r="CD28">
            <v>-4894.8</v>
          </cell>
          <cell r="CE28">
            <v>-4907.2</v>
          </cell>
          <cell r="CF28">
            <v>-4919.6000000000004</v>
          </cell>
          <cell r="CG28">
            <v>-4932.1000000000004</v>
          </cell>
          <cell r="CH28">
            <v>-4944.5</v>
          </cell>
          <cell r="CI28">
            <v>-4956.8999999999996</v>
          </cell>
          <cell r="CJ28">
            <v>-4969.3</v>
          </cell>
          <cell r="CK28">
            <v>-4975.3</v>
          </cell>
          <cell r="CL28">
            <v>-4981.2</v>
          </cell>
          <cell r="CM28">
            <v>-4987.2</v>
          </cell>
          <cell r="CN28">
            <v>-4993.1000000000004</v>
          </cell>
          <cell r="CO28">
            <v>-4999.1000000000004</v>
          </cell>
          <cell r="CP28">
            <v>-5005</v>
          </cell>
          <cell r="CQ28">
            <v>-5011</v>
          </cell>
          <cell r="CR28">
            <v>-5016.8999999999996</v>
          </cell>
          <cell r="CS28">
            <v>-5022.8999999999996</v>
          </cell>
          <cell r="CT28">
            <v>-5028.8</v>
          </cell>
          <cell r="CU28">
            <v>-5028.2</v>
          </cell>
          <cell r="CV28">
            <v>-5028.2</v>
          </cell>
          <cell r="CW28">
            <v>-5028.2</v>
          </cell>
          <cell r="CX28">
            <v>-5028.2</v>
          </cell>
          <cell r="CY28">
            <v>-5028.2</v>
          </cell>
          <cell r="CZ28">
            <v>-5028.2</v>
          </cell>
          <cell r="DA28">
            <v>-5028.2</v>
          </cell>
          <cell r="DB28">
            <v>-5028.2</v>
          </cell>
          <cell r="DC28">
            <v>-5028.2</v>
          </cell>
          <cell r="DD28">
            <v>-5028.2</v>
          </cell>
          <cell r="DE28">
            <v>-5028.2</v>
          </cell>
          <cell r="DF28">
            <v>-5028.2</v>
          </cell>
          <cell r="DG28">
            <v>-5028.2</v>
          </cell>
          <cell r="DH28">
            <v>-5028.2</v>
          </cell>
          <cell r="DI28">
            <v>-5028.2</v>
          </cell>
          <cell r="DJ28">
            <v>-5028.2</v>
          </cell>
          <cell r="DK28">
            <v>-5028.2</v>
          </cell>
          <cell r="DL28">
            <v>-5028.2</v>
          </cell>
          <cell r="DM28">
            <v>-5028.2</v>
          </cell>
          <cell r="DN28">
            <v>-5028.2</v>
          </cell>
          <cell r="DO28">
            <v>-5028.2</v>
          </cell>
          <cell r="DP28">
            <v>-5028.2</v>
          </cell>
          <cell r="DQ28">
            <v>-5028.2</v>
          </cell>
          <cell r="DR28">
            <v>-5028.2</v>
          </cell>
          <cell r="DS28">
            <v>-5028.2</v>
          </cell>
          <cell r="DT28">
            <v>-5028.2</v>
          </cell>
          <cell r="DU28">
            <v>-5028.2</v>
          </cell>
          <cell r="DV28">
            <v>-5028.2</v>
          </cell>
          <cell r="DW28">
            <v>-5028.2</v>
          </cell>
          <cell r="EJ28" t="str">
            <v>.</v>
          </cell>
        </row>
        <row r="29">
          <cell r="A29" t="str">
            <v>PHFFU</v>
          </cell>
          <cell r="C29" t="str">
            <v>Plant Held for Future Use</v>
          </cell>
          <cell r="D29" t="str">
            <v>1210000</v>
          </cell>
          <cell r="E29" t="str">
            <v>A_1210000</v>
          </cell>
          <cell r="F29" t="str">
            <v>Nonutility Property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EK29" t="str">
            <v>SOP</v>
          </cell>
        </row>
        <row r="30">
          <cell r="D30" t="str">
            <v>121</v>
          </cell>
          <cell r="E30">
            <v>121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EJ30" t="str">
            <v>.</v>
          </cell>
        </row>
        <row r="31">
          <cell r="A31" t="str">
            <v>Other Investments 123</v>
          </cell>
          <cell r="B31" t="str">
            <v>Equity in Earning from Consolidated Affiliated</v>
          </cell>
          <cell r="C31" t="str">
            <v>Other Investments</v>
          </cell>
          <cell r="D31" t="str">
            <v>1231000</v>
          </cell>
          <cell r="E31" t="str">
            <v>A_1231000</v>
          </cell>
          <cell r="F31" t="str">
            <v>Investment in Subsidiary Companies</v>
          </cell>
          <cell r="G31">
            <v>1072.2861399999999</v>
          </cell>
          <cell r="H31">
            <v>690.7</v>
          </cell>
          <cell r="I31">
            <v>1021.3</v>
          </cell>
          <cell r="J31">
            <v>1227.8</v>
          </cell>
          <cell r="K31">
            <v>789.8</v>
          </cell>
          <cell r="L31">
            <v>968.3</v>
          </cell>
          <cell r="M31">
            <v>1230.8</v>
          </cell>
          <cell r="N31">
            <v>805.5</v>
          </cell>
          <cell r="O31">
            <v>1003.3</v>
          </cell>
          <cell r="P31">
            <v>1072</v>
          </cell>
          <cell r="Q31">
            <v>665.4</v>
          </cell>
          <cell r="R31">
            <v>833.8</v>
          </cell>
          <cell r="S31">
            <v>1026.7</v>
          </cell>
          <cell r="T31">
            <v>1417.4</v>
          </cell>
          <cell r="U31">
            <v>1097</v>
          </cell>
          <cell r="V31">
            <v>1247.7</v>
          </cell>
          <cell r="W31">
            <v>570.29999999999995</v>
          </cell>
          <cell r="X31">
            <v>794.6</v>
          </cell>
          <cell r="Y31">
            <v>1010.9</v>
          </cell>
          <cell r="Z31">
            <v>671.7</v>
          </cell>
          <cell r="AA31">
            <v>842.7</v>
          </cell>
          <cell r="AB31">
            <v>1066</v>
          </cell>
          <cell r="AC31">
            <v>1196.3</v>
          </cell>
          <cell r="AD31">
            <v>846.4</v>
          </cell>
          <cell r="AE31">
            <v>1550.2</v>
          </cell>
          <cell r="AF31">
            <v>1846.5</v>
          </cell>
          <cell r="AG31">
            <v>1665.5</v>
          </cell>
          <cell r="AH31">
            <v>1768.1</v>
          </cell>
          <cell r="AI31">
            <v>1890.2</v>
          </cell>
          <cell r="AJ31">
            <v>817.7</v>
          </cell>
          <cell r="AK31">
            <v>451.3</v>
          </cell>
          <cell r="AL31">
            <v>666.1</v>
          </cell>
          <cell r="AM31">
            <v>943.9</v>
          </cell>
          <cell r="AN31">
            <v>1124.2</v>
          </cell>
          <cell r="AO31">
            <v>1893.6</v>
          </cell>
          <cell r="AP31">
            <v>1455.1</v>
          </cell>
          <cell r="AQ31">
            <v>1676.4</v>
          </cell>
          <cell r="AR31">
            <v>2030.3</v>
          </cell>
          <cell r="AS31">
            <v>1185.8</v>
          </cell>
          <cell r="AT31">
            <v>1473</v>
          </cell>
          <cell r="AU31">
            <v>1620</v>
          </cell>
          <cell r="AV31">
            <v>1068.5</v>
          </cell>
          <cell r="AW31">
            <v>915.2</v>
          </cell>
          <cell r="AX31">
            <v>1208.4000000000001</v>
          </cell>
          <cell r="AY31">
            <v>564.20000000000005</v>
          </cell>
          <cell r="AZ31">
            <v>862.1</v>
          </cell>
          <cell r="BA31">
            <v>1107.7</v>
          </cell>
          <cell r="BB31">
            <v>1166.5999999999999</v>
          </cell>
          <cell r="BC31">
            <v>1715.7</v>
          </cell>
          <cell r="BD31">
            <v>2142.9</v>
          </cell>
          <cell r="BE31">
            <v>1123.3</v>
          </cell>
          <cell r="BF31">
            <v>1235.9000000000001</v>
          </cell>
          <cell r="BG31">
            <v>1742.2</v>
          </cell>
          <cell r="BH31">
            <v>1049.8</v>
          </cell>
          <cell r="BI31">
            <v>1272.5</v>
          </cell>
          <cell r="BJ31">
            <v>1562</v>
          </cell>
          <cell r="BK31">
            <v>760.6</v>
          </cell>
          <cell r="BL31">
            <v>935.1</v>
          </cell>
          <cell r="BM31">
            <v>1188.8</v>
          </cell>
          <cell r="BN31">
            <v>777.9</v>
          </cell>
          <cell r="BO31">
            <v>1195.2</v>
          </cell>
          <cell r="BP31">
            <v>1451.9</v>
          </cell>
          <cell r="BQ31">
            <v>823.6</v>
          </cell>
          <cell r="BR31">
            <v>1284.8</v>
          </cell>
          <cell r="BS31">
            <v>1701.9</v>
          </cell>
          <cell r="BT31">
            <v>1022.4</v>
          </cell>
          <cell r="BU31">
            <v>1256.9000000000001</v>
          </cell>
          <cell r="BV31">
            <v>1595.9</v>
          </cell>
          <cell r="BW31">
            <v>1079.9000000000001</v>
          </cell>
          <cell r="BX31">
            <v>1299</v>
          </cell>
          <cell r="BY31">
            <v>1496.6</v>
          </cell>
          <cell r="BZ31">
            <v>673.3</v>
          </cell>
          <cell r="CA31">
            <v>902</v>
          </cell>
          <cell r="CB31">
            <v>1028.3</v>
          </cell>
          <cell r="CC31">
            <v>832.6</v>
          </cell>
          <cell r="CD31">
            <v>926.5</v>
          </cell>
          <cell r="CE31">
            <v>1261</v>
          </cell>
          <cell r="CF31">
            <v>1026.3</v>
          </cell>
          <cell r="CG31">
            <v>1250.5999999999999</v>
          </cell>
          <cell r="CH31">
            <v>1439</v>
          </cell>
          <cell r="CI31">
            <v>781.3</v>
          </cell>
          <cell r="CJ31">
            <v>1020.5</v>
          </cell>
          <cell r="CK31">
            <v>1371.3</v>
          </cell>
          <cell r="CL31">
            <v>841.3</v>
          </cell>
          <cell r="CM31">
            <v>1208.3</v>
          </cell>
          <cell r="CN31">
            <v>1542.5</v>
          </cell>
          <cell r="CO31">
            <v>1003.5</v>
          </cell>
          <cell r="CP31">
            <v>1278.8</v>
          </cell>
          <cell r="CQ31">
            <v>612.9</v>
          </cell>
          <cell r="CR31">
            <v>1003.5</v>
          </cell>
          <cell r="CS31">
            <v>1274.9000000000001</v>
          </cell>
          <cell r="CT31">
            <v>1549.1</v>
          </cell>
          <cell r="CU31">
            <v>892.7</v>
          </cell>
          <cell r="CV31">
            <v>1188.5</v>
          </cell>
          <cell r="CW31">
            <v>1502.2</v>
          </cell>
          <cell r="CX31">
            <v>868.3</v>
          </cell>
          <cell r="CY31">
            <v>1027.8</v>
          </cell>
          <cell r="CZ31">
            <v>1172.8</v>
          </cell>
          <cell r="DA31">
            <v>679.8</v>
          </cell>
          <cell r="DB31">
            <v>1153.4000000000001</v>
          </cell>
          <cell r="DC31">
            <v>538.79999999999995</v>
          </cell>
          <cell r="DD31">
            <v>814.9</v>
          </cell>
          <cell r="DE31">
            <v>1037.8</v>
          </cell>
          <cell r="DF31">
            <v>1474.4</v>
          </cell>
          <cell r="DG31">
            <v>1006.1</v>
          </cell>
          <cell r="DH31">
            <v>1343.6</v>
          </cell>
          <cell r="DI31">
            <v>533</v>
          </cell>
          <cell r="DJ31">
            <v>833.1</v>
          </cell>
          <cell r="DK31">
            <v>846.2</v>
          </cell>
          <cell r="DL31">
            <v>1677.2</v>
          </cell>
          <cell r="DM31">
            <v>742.7</v>
          </cell>
          <cell r="DN31">
            <v>965.4</v>
          </cell>
          <cell r="DO31">
            <v>1317</v>
          </cell>
          <cell r="DP31">
            <v>943</v>
          </cell>
          <cell r="DQ31">
            <v>1252.5</v>
          </cell>
          <cell r="DR31">
            <v>1588.8</v>
          </cell>
          <cell r="DS31">
            <v>923.8</v>
          </cell>
          <cell r="DT31">
            <v>1248</v>
          </cell>
          <cell r="DU31">
            <v>1569.6</v>
          </cell>
          <cell r="DV31">
            <v>958.1</v>
          </cell>
          <cell r="DW31">
            <v>1524.7</v>
          </cell>
          <cell r="EK31" t="str">
            <v>Model</v>
          </cell>
          <cell r="EL31" t="str">
            <v>A_1231000</v>
          </cell>
        </row>
        <row r="32">
          <cell r="D32" t="str">
            <v>123</v>
          </cell>
          <cell r="E32">
            <v>123</v>
          </cell>
          <cell r="G32">
            <v>1072.2861399999999</v>
          </cell>
          <cell r="H32">
            <v>690.7</v>
          </cell>
          <cell r="I32">
            <v>1021.3</v>
          </cell>
          <cell r="J32">
            <v>1227.8</v>
          </cell>
          <cell r="K32">
            <v>789.8</v>
          </cell>
          <cell r="L32">
            <v>968.3</v>
          </cell>
          <cell r="M32">
            <v>1230.8</v>
          </cell>
          <cell r="N32">
            <v>805.5</v>
          </cell>
          <cell r="O32">
            <v>1003.3</v>
          </cell>
          <cell r="P32">
            <v>1072</v>
          </cell>
          <cell r="Q32">
            <v>665.4</v>
          </cell>
          <cell r="R32">
            <v>833.8</v>
          </cell>
          <cell r="S32">
            <v>1026.7</v>
          </cell>
          <cell r="T32">
            <v>1417.4</v>
          </cell>
          <cell r="U32">
            <v>1097</v>
          </cell>
          <cell r="V32">
            <v>1247.7</v>
          </cell>
          <cell r="W32">
            <v>570.29999999999995</v>
          </cell>
          <cell r="X32">
            <v>794.6</v>
          </cell>
          <cell r="Y32">
            <v>1010.9</v>
          </cell>
          <cell r="Z32">
            <v>671.7</v>
          </cell>
          <cell r="AA32">
            <v>842.7</v>
          </cell>
          <cell r="AB32">
            <v>1066</v>
          </cell>
          <cell r="AC32">
            <v>1196.3</v>
          </cell>
          <cell r="AD32">
            <v>846.4</v>
          </cell>
          <cell r="AE32">
            <v>1550.2</v>
          </cell>
          <cell r="AF32">
            <v>1846.5</v>
          </cell>
          <cell r="AG32">
            <v>1665.5</v>
          </cell>
          <cell r="AH32">
            <v>1768.1</v>
          </cell>
          <cell r="AI32">
            <v>1890.2</v>
          </cell>
          <cell r="AJ32">
            <v>817.7</v>
          </cell>
          <cell r="AK32">
            <v>451.3</v>
          </cell>
          <cell r="AL32">
            <v>666.1</v>
          </cell>
          <cell r="AM32">
            <v>943.9</v>
          </cell>
          <cell r="AN32">
            <v>1124.2</v>
          </cell>
          <cell r="AO32">
            <v>1893.6</v>
          </cell>
          <cell r="AP32">
            <v>1455.1</v>
          </cell>
          <cell r="AQ32">
            <v>1676.4</v>
          </cell>
          <cell r="AR32">
            <v>2030.3</v>
          </cell>
          <cell r="AS32">
            <v>1185.8</v>
          </cell>
          <cell r="AT32">
            <v>1473</v>
          </cell>
          <cell r="AU32">
            <v>1620</v>
          </cell>
          <cell r="AV32">
            <v>1068.5</v>
          </cell>
          <cell r="AW32">
            <v>915.2</v>
          </cell>
          <cell r="AX32">
            <v>1208.4000000000001</v>
          </cell>
          <cell r="AY32">
            <v>564.20000000000005</v>
          </cell>
          <cell r="AZ32">
            <v>862.1</v>
          </cell>
          <cell r="BA32">
            <v>1107.7</v>
          </cell>
          <cell r="BB32">
            <v>1166.5999999999999</v>
          </cell>
          <cell r="BC32">
            <v>1715.7</v>
          </cell>
          <cell r="BD32">
            <v>2142.9</v>
          </cell>
          <cell r="BE32">
            <v>1123.3</v>
          </cell>
          <cell r="BF32">
            <v>1235.9000000000001</v>
          </cell>
          <cell r="BG32">
            <v>1742.2</v>
          </cell>
          <cell r="BH32">
            <v>1049.8</v>
          </cell>
          <cell r="BI32">
            <v>1272.5</v>
          </cell>
          <cell r="BJ32">
            <v>1562</v>
          </cell>
          <cell r="BK32">
            <v>760.6</v>
          </cell>
          <cell r="BL32">
            <v>935.1</v>
          </cell>
          <cell r="BM32">
            <v>1188.8</v>
          </cell>
          <cell r="BN32">
            <v>777.9</v>
          </cell>
          <cell r="BO32">
            <v>1195.2</v>
          </cell>
          <cell r="BP32">
            <v>1451.9</v>
          </cell>
          <cell r="BQ32">
            <v>823.6</v>
          </cell>
          <cell r="BR32">
            <v>1284.8</v>
          </cell>
          <cell r="BS32">
            <v>1701.9</v>
          </cell>
          <cell r="BT32">
            <v>1022.4</v>
          </cell>
          <cell r="BU32">
            <v>1256.9000000000001</v>
          </cell>
          <cell r="BV32">
            <v>1595.9</v>
          </cell>
          <cell r="BW32">
            <v>1079.9000000000001</v>
          </cell>
          <cell r="BX32">
            <v>1299</v>
          </cell>
          <cell r="BY32">
            <v>1496.6</v>
          </cell>
          <cell r="BZ32">
            <v>673.3</v>
          </cell>
          <cell r="CA32">
            <v>902</v>
          </cell>
          <cell r="CB32">
            <v>1028.3</v>
          </cell>
          <cell r="CC32">
            <v>832.6</v>
          </cell>
          <cell r="CD32">
            <v>926.5</v>
          </cell>
          <cell r="CE32">
            <v>1261</v>
          </cell>
          <cell r="CF32">
            <v>1026.3</v>
          </cell>
          <cell r="CG32">
            <v>1250.5999999999999</v>
          </cell>
          <cell r="CH32">
            <v>1439</v>
          </cell>
          <cell r="CI32">
            <v>781.3</v>
          </cell>
          <cell r="CJ32">
            <v>1020.5</v>
          </cell>
          <cell r="CK32">
            <v>1371.3</v>
          </cell>
          <cell r="CL32">
            <v>841.3</v>
          </cell>
          <cell r="CM32">
            <v>1208.3</v>
          </cell>
          <cell r="CN32">
            <v>1542.5</v>
          </cell>
          <cell r="CO32">
            <v>1003.5</v>
          </cell>
          <cell r="CP32">
            <v>1278.8</v>
          </cell>
          <cell r="CQ32">
            <v>612.9</v>
          </cell>
          <cell r="CR32">
            <v>1003.5</v>
          </cell>
          <cell r="CS32">
            <v>1274.9000000000001</v>
          </cell>
          <cell r="CT32">
            <v>1549.1</v>
          </cell>
          <cell r="CU32">
            <v>892.7</v>
          </cell>
          <cell r="CV32">
            <v>1188.5</v>
          </cell>
          <cell r="CW32">
            <v>1502.2</v>
          </cell>
          <cell r="CX32">
            <v>868.3</v>
          </cell>
          <cell r="CY32">
            <v>1027.8</v>
          </cell>
          <cell r="CZ32">
            <v>1172.8</v>
          </cell>
          <cell r="DA32">
            <v>679.8</v>
          </cell>
          <cell r="DB32">
            <v>1153.4000000000001</v>
          </cell>
          <cell r="DC32">
            <v>538.79999999999995</v>
          </cell>
          <cell r="DD32">
            <v>814.9</v>
          </cell>
          <cell r="DE32">
            <v>1037.8</v>
          </cell>
          <cell r="DF32">
            <v>1474.4</v>
          </cell>
          <cell r="DG32">
            <v>1006.1</v>
          </cell>
          <cell r="DH32">
            <v>1343.6</v>
          </cell>
          <cell r="DI32">
            <v>533</v>
          </cell>
          <cell r="DJ32">
            <v>833.1</v>
          </cell>
          <cell r="DK32">
            <v>846.2</v>
          </cell>
          <cell r="DL32">
            <v>1677.2</v>
          </cell>
          <cell r="DM32">
            <v>742.7</v>
          </cell>
          <cell r="DN32">
            <v>965.4</v>
          </cell>
          <cell r="DO32">
            <v>1317</v>
          </cell>
          <cell r="DP32">
            <v>943</v>
          </cell>
          <cell r="DQ32">
            <v>1252.5</v>
          </cell>
          <cell r="DR32">
            <v>1588.8</v>
          </cell>
          <cell r="DS32">
            <v>923.8</v>
          </cell>
          <cell r="DT32">
            <v>1248</v>
          </cell>
          <cell r="DU32">
            <v>1569.6</v>
          </cell>
          <cell r="DV32">
            <v>958.1</v>
          </cell>
          <cell r="DW32">
            <v>1524.7</v>
          </cell>
          <cell r="EJ32" t="str">
            <v>.</v>
          </cell>
        </row>
        <row r="33">
          <cell r="A33" t="str">
            <v>Cash</v>
          </cell>
          <cell r="C33" t="str">
            <v>Cash</v>
          </cell>
          <cell r="D33" t="str">
            <v>1310010</v>
          </cell>
          <cell r="E33" t="str">
            <v>A_1310010</v>
          </cell>
          <cell r="F33" t="str">
            <v>JPM TECO Energy Operations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EK33" t="str">
            <v>Assume Zero</v>
          </cell>
        </row>
        <row r="34">
          <cell r="A34" t="str">
            <v>Cash</v>
          </cell>
          <cell r="C34" t="str">
            <v>Cash</v>
          </cell>
          <cell r="D34" t="str">
            <v>1310180</v>
          </cell>
          <cell r="E34" t="str">
            <v>A_1310180</v>
          </cell>
          <cell r="F34" t="str">
            <v>JPM Peoples Gas System Concentration</v>
          </cell>
          <cell r="G34">
            <v>854.81556999999998</v>
          </cell>
          <cell r="H34">
            <v>661.8</v>
          </cell>
          <cell r="I34">
            <v>924.9</v>
          </cell>
          <cell r="J34">
            <v>1024.0999999999999</v>
          </cell>
          <cell r="K34">
            <v>1305.8</v>
          </cell>
          <cell r="L34">
            <v>10340.5</v>
          </cell>
          <cell r="M34">
            <v>7815.6</v>
          </cell>
          <cell r="N34">
            <v>9387.6</v>
          </cell>
          <cell r="O34">
            <v>850.2</v>
          </cell>
          <cell r="P34">
            <v>743.9</v>
          </cell>
          <cell r="Q34">
            <v>3692.8</v>
          </cell>
          <cell r="R34">
            <v>4648.6000000000004</v>
          </cell>
          <cell r="S34">
            <v>585.9</v>
          </cell>
          <cell r="T34">
            <v>579.1</v>
          </cell>
          <cell r="U34">
            <v>556.29999999999995</v>
          </cell>
          <cell r="V34">
            <v>474</v>
          </cell>
          <cell r="W34">
            <v>547.6</v>
          </cell>
          <cell r="X34">
            <v>26328.2</v>
          </cell>
          <cell r="Y34">
            <v>21575.5</v>
          </cell>
          <cell r="Z34">
            <v>25277</v>
          </cell>
          <cell r="AA34">
            <v>25642</v>
          </cell>
          <cell r="AB34">
            <v>23546.6</v>
          </cell>
          <cell r="AC34">
            <v>8806.1</v>
          </cell>
          <cell r="AD34">
            <v>8378.7000000000007</v>
          </cell>
          <cell r="AE34">
            <v>1927</v>
          </cell>
          <cell r="AF34">
            <v>549.4</v>
          </cell>
          <cell r="AG34">
            <v>671.6</v>
          </cell>
          <cell r="AH34">
            <v>22075.3</v>
          </cell>
          <cell r="AI34">
            <v>297.7</v>
          </cell>
          <cell r="AJ34">
            <v>662.7</v>
          </cell>
          <cell r="AK34">
            <v>599.79999999999995</v>
          </cell>
          <cell r="AL34">
            <v>619.9</v>
          </cell>
          <cell r="AM34">
            <v>557.4</v>
          </cell>
          <cell r="AN34">
            <v>656.8</v>
          </cell>
          <cell r="AO34">
            <v>572.1</v>
          </cell>
          <cell r="AP34">
            <v>601.1</v>
          </cell>
          <cell r="AQ34">
            <v>818.2</v>
          </cell>
          <cell r="AR34">
            <v>637.79999999999995</v>
          </cell>
          <cell r="AS34">
            <v>646.79999999999995</v>
          </cell>
          <cell r="AT34">
            <v>675.3</v>
          </cell>
          <cell r="AU34">
            <v>646.70000000000005</v>
          </cell>
          <cell r="AV34">
            <v>571.79999999999995</v>
          </cell>
          <cell r="AW34">
            <v>709.7</v>
          </cell>
          <cell r="AX34">
            <v>614.70000000000005</v>
          </cell>
          <cell r="AY34">
            <v>614.4</v>
          </cell>
          <cell r="AZ34">
            <v>1095.3</v>
          </cell>
          <cell r="BA34">
            <v>687.3</v>
          </cell>
          <cell r="BB34">
            <v>730.4</v>
          </cell>
          <cell r="BC34">
            <v>681.1</v>
          </cell>
          <cell r="BD34">
            <v>719.3</v>
          </cell>
          <cell r="BE34">
            <v>696.9</v>
          </cell>
          <cell r="BF34">
            <v>2644.9</v>
          </cell>
          <cell r="BG34">
            <v>745.4</v>
          </cell>
          <cell r="BH34">
            <v>640.79999999999995</v>
          </cell>
          <cell r="BI34">
            <v>708.2</v>
          </cell>
          <cell r="BJ34">
            <v>557.9</v>
          </cell>
          <cell r="BK34">
            <v>678.4</v>
          </cell>
          <cell r="BL34">
            <v>729.2</v>
          </cell>
          <cell r="BM34">
            <v>660.2</v>
          </cell>
          <cell r="BN34">
            <v>709.7</v>
          </cell>
          <cell r="BO34">
            <v>1018.3</v>
          </cell>
          <cell r="BP34">
            <v>620.70000000000005</v>
          </cell>
          <cell r="BQ34">
            <v>1202.9000000000001</v>
          </cell>
          <cell r="BR34">
            <v>704.9</v>
          </cell>
          <cell r="BS34">
            <v>1063.5999999999999</v>
          </cell>
          <cell r="BT34">
            <v>1046.4000000000001</v>
          </cell>
          <cell r="BU34">
            <v>911.5</v>
          </cell>
          <cell r="BV34">
            <v>647.1</v>
          </cell>
          <cell r="BW34">
            <v>1009.8</v>
          </cell>
          <cell r="BX34">
            <v>1059.4000000000001</v>
          </cell>
          <cell r="BY34">
            <v>1198.2</v>
          </cell>
          <cell r="BZ34">
            <v>8018.3</v>
          </cell>
          <cell r="CA34">
            <v>994.3</v>
          </cell>
          <cell r="CB34">
            <v>630</v>
          </cell>
          <cell r="CC34">
            <v>1538.2</v>
          </cell>
          <cell r="CD34">
            <v>1044.4000000000001</v>
          </cell>
          <cell r="CE34">
            <v>1015.4</v>
          </cell>
          <cell r="CF34">
            <v>1034.5</v>
          </cell>
          <cell r="CG34">
            <v>1010.4</v>
          </cell>
          <cell r="CH34">
            <v>954.1</v>
          </cell>
          <cell r="CI34">
            <v>944.4</v>
          </cell>
          <cell r="CJ34">
            <v>723.4</v>
          </cell>
          <cell r="CK34">
            <v>614.9</v>
          </cell>
          <cell r="CL34">
            <v>3866.8</v>
          </cell>
          <cell r="CM34">
            <v>1057.4000000000001</v>
          </cell>
          <cell r="CN34">
            <v>579.79999999999995</v>
          </cell>
          <cell r="CO34">
            <v>704.1</v>
          </cell>
          <cell r="CP34">
            <v>609.29999999999995</v>
          </cell>
          <cell r="CQ34">
            <v>642.20000000000005</v>
          </cell>
          <cell r="CR34">
            <v>912.8</v>
          </cell>
          <cell r="CS34">
            <v>761.6</v>
          </cell>
          <cell r="CT34">
            <v>714.4</v>
          </cell>
          <cell r="CU34">
            <v>986.5</v>
          </cell>
          <cell r="CV34">
            <v>980.1</v>
          </cell>
          <cell r="CW34">
            <v>678.7</v>
          </cell>
          <cell r="CX34">
            <v>884.5</v>
          </cell>
          <cell r="CY34">
            <v>3275.4</v>
          </cell>
          <cell r="CZ34">
            <v>648.29999999999995</v>
          </cell>
          <cell r="DA34">
            <v>690.3</v>
          </cell>
          <cell r="DB34">
            <v>663.8</v>
          </cell>
          <cell r="DC34">
            <v>758.6</v>
          </cell>
          <cell r="DD34">
            <v>670.9</v>
          </cell>
          <cell r="DE34">
            <v>1098.7</v>
          </cell>
          <cell r="DF34">
            <v>1807.9</v>
          </cell>
          <cell r="DG34">
            <v>637.29999999999995</v>
          </cell>
          <cell r="DH34">
            <v>1236.5</v>
          </cell>
          <cell r="DI34">
            <v>608.79999999999995</v>
          </cell>
          <cell r="DJ34">
            <v>632.5</v>
          </cell>
          <cell r="DK34">
            <v>165.1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EK34" t="str">
            <v>Assume Zero</v>
          </cell>
        </row>
        <row r="35">
          <cell r="A35" t="str">
            <v>Cash</v>
          </cell>
          <cell r="C35" t="str">
            <v>Cash</v>
          </cell>
          <cell r="D35" t="str">
            <v>1310187</v>
          </cell>
          <cell r="E35" t="str">
            <v>A_1310187</v>
          </cell>
          <cell r="F35" t="str">
            <v>JPM Peoples Gas System Concentration-ZBA Clearing</v>
          </cell>
          <cell r="G35">
            <v>1000.47612</v>
          </cell>
          <cell r="H35">
            <v>514.4</v>
          </cell>
          <cell r="I35">
            <v>826.9</v>
          </cell>
          <cell r="J35">
            <v>319.89999999999998</v>
          </cell>
          <cell r="K35">
            <v>414.6</v>
          </cell>
          <cell r="L35">
            <v>692.1</v>
          </cell>
          <cell r="M35">
            <v>617.4</v>
          </cell>
          <cell r="N35">
            <v>285.10000000000002</v>
          </cell>
          <cell r="O35">
            <v>629.79999999999995</v>
          </cell>
          <cell r="P35">
            <v>1041.8</v>
          </cell>
          <cell r="Q35">
            <v>822.9</v>
          </cell>
          <cell r="R35">
            <v>1268.3</v>
          </cell>
          <cell r="S35">
            <v>1258.5</v>
          </cell>
          <cell r="T35">
            <v>570.79999999999995</v>
          </cell>
          <cell r="U35">
            <v>249.5</v>
          </cell>
          <cell r="V35">
            <v>688.3</v>
          </cell>
          <cell r="W35">
            <v>669.1</v>
          </cell>
          <cell r="X35">
            <v>1074.8</v>
          </cell>
          <cell r="Y35">
            <v>1292</v>
          </cell>
          <cell r="Z35">
            <v>959.1</v>
          </cell>
          <cell r="AA35">
            <v>1142</v>
          </cell>
          <cell r="AB35">
            <v>1649.4</v>
          </cell>
          <cell r="AC35">
            <v>1180</v>
          </cell>
          <cell r="AD35">
            <v>1194.4000000000001</v>
          </cell>
          <cell r="AE35">
            <v>1450.8</v>
          </cell>
          <cell r="AF35">
            <v>35.9</v>
          </cell>
          <cell r="AG35">
            <v>237.7</v>
          </cell>
          <cell r="AH35">
            <v>-21.4</v>
          </cell>
          <cell r="AI35">
            <v>325.3</v>
          </cell>
          <cell r="AJ35">
            <v>1271</v>
          </cell>
          <cell r="AK35">
            <v>1794.3</v>
          </cell>
          <cell r="AL35">
            <v>1303.9000000000001</v>
          </cell>
          <cell r="AM35">
            <v>1002.1</v>
          </cell>
          <cell r="AN35">
            <v>741.3</v>
          </cell>
          <cell r="AO35">
            <v>426.5</v>
          </cell>
          <cell r="AP35">
            <v>-366</v>
          </cell>
          <cell r="AQ35">
            <v>477.7</v>
          </cell>
          <cell r="AR35">
            <v>373</v>
          </cell>
          <cell r="AS35">
            <v>1896.7</v>
          </cell>
          <cell r="AT35">
            <v>1980.8</v>
          </cell>
          <cell r="AU35">
            <v>2625.7</v>
          </cell>
          <cell r="AV35">
            <v>3260.6</v>
          </cell>
          <cell r="AW35">
            <v>3438.6</v>
          </cell>
          <cell r="AX35">
            <v>3286.9</v>
          </cell>
          <cell r="AY35">
            <v>3754.3</v>
          </cell>
          <cell r="AZ35">
            <v>4247.6000000000004</v>
          </cell>
          <cell r="BA35">
            <v>4182.6000000000004</v>
          </cell>
          <cell r="BB35">
            <v>3880.1</v>
          </cell>
          <cell r="BC35">
            <v>4086.7</v>
          </cell>
          <cell r="BD35">
            <v>2911.2</v>
          </cell>
          <cell r="BE35">
            <v>4778.5</v>
          </cell>
          <cell r="BF35">
            <v>4764.8999999999996</v>
          </cell>
          <cell r="BG35">
            <v>4705</v>
          </cell>
          <cell r="BH35">
            <v>5621.9</v>
          </cell>
          <cell r="BI35">
            <v>5296</v>
          </cell>
          <cell r="BJ35">
            <v>5045.3</v>
          </cell>
          <cell r="BK35">
            <v>5840.4</v>
          </cell>
          <cell r="BL35">
            <v>5806.3</v>
          </cell>
          <cell r="BM35">
            <v>5738.3</v>
          </cell>
          <cell r="BN35">
            <v>6056</v>
          </cell>
          <cell r="BO35">
            <v>6039</v>
          </cell>
          <cell r="BP35">
            <v>6880.8</v>
          </cell>
          <cell r="BQ35">
            <v>7098.3</v>
          </cell>
          <cell r="BR35">
            <v>7117.5</v>
          </cell>
          <cell r="BS35">
            <v>7013.6</v>
          </cell>
          <cell r="BT35">
            <v>7612.1</v>
          </cell>
          <cell r="BU35">
            <v>7697.8</v>
          </cell>
          <cell r="BV35">
            <v>7648.3</v>
          </cell>
          <cell r="BW35">
            <v>8492.9</v>
          </cell>
          <cell r="BX35">
            <v>8819.6</v>
          </cell>
          <cell r="BY35">
            <v>8198</v>
          </cell>
          <cell r="BZ35">
            <v>9022.4</v>
          </cell>
          <cell r="CA35">
            <v>9358.4</v>
          </cell>
          <cell r="CB35">
            <v>8782.9</v>
          </cell>
          <cell r="CC35">
            <v>9922.4</v>
          </cell>
          <cell r="CD35">
            <v>9604</v>
          </cell>
          <cell r="CE35">
            <v>10116.4</v>
          </cell>
          <cell r="CF35">
            <v>10104.299999999999</v>
          </cell>
          <cell r="CG35">
            <v>9855.6</v>
          </cell>
          <cell r="CH35">
            <v>9665.7999999999993</v>
          </cell>
          <cell r="CI35">
            <v>10417.700000000001</v>
          </cell>
          <cell r="CJ35">
            <v>10371.6</v>
          </cell>
          <cell r="CK35">
            <v>9788.2999999999993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EK35" t="str">
            <v>Assume Zero</v>
          </cell>
        </row>
        <row r="36">
          <cell r="A36" t="str">
            <v>Cash</v>
          </cell>
          <cell r="C36" t="str">
            <v>Cash</v>
          </cell>
          <cell r="D36" t="str">
            <v>1310190</v>
          </cell>
          <cell r="E36" t="str">
            <v>A_1310190</v>
          </cell>
          <cell r="F36" t="str">
            <v>JPM Peoples Gas System-Operations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EK36" t="str">
            <v>Assume Zero</v>
          </cell>
        </row>
        <row r="37">
          <cell r="A37" t="str">
            <v>Cash</v>
          </cell>
          <cell r="C37" t="str">
            <v>Cash</v>
          </cell>
          <cell r="D37" t="str">
            <v>1310191</v>
          </cell>
          <cell r="E37" t="str">
            <v>A_1310191</v>
          </cell>
          <cell r="F37" t="str">
            <v>JPM Peoples Gas System-Operations - Outgoing ACH</v>
          </cell>
          <cell r="G37">
            <v>0</v>
          </cell>
          <cell r="H37">
            <v>0</v>
          </cell>
          <cell r="I37">
            <v>0</v>
          </cell>
          <cell r="J37">
            <v>-9.6</v>
          </cell>
          <cell r="K37">
            <v>0</v>
          </cell>
          <cell r="L37">
            <v>0</v>
          </cell>
          <cell r="M37">
            <v>-5.2</v>
          </cell>
          <cell r="N37">
            <v>-0.4</v>
          </cell>
          <cell r="O37">
            <v>0</v>
          </cell>
          <cell r="P37">
            <v>0</v>
          </cell>
          <cell r="Q37">
            <v>-4.3</v>
          </cell>
          <cell r="R37">
            <v>0</v>
          </cell>
          <cell r="S37">
            <v>-1.6</v>
          </cell>
          <cell r="T37">
            <v>-10</v>
          </cell>
          <cell r="U37">
            <v>0</v>
          </cell>
          <cell r="V37">
            <v>0</v>
          </cell>
          <cell r="W37">
            <v>-11.4</v>
          </cell>
          <cell r="X37">
            <v>0</v>
          </cell>
          <cell r="Y37">
            <v>-10</v>
          </cell>
          <cell r="Z37">
            <v>-11.6</v>
          </cell>
          <cell r="AA37">
            <v>-9.6999999999999993</v>
          </cell>
          <cell r="AB37">
            <v>0</v>
          </cell>
          <cell r="AC37">
            <v>0</v>
          </cell>
          <cell r="AD37">
            <v>-5.7</v>
          </cell>
          <cell r="AE37">
            <v>-3.7</v>
          </cell>
          <cell r="AF37">
            <v>-0.4</v>
          </cell>
          <cell r="AG37">
            <v>-1.2</v>
          </cell>
          <cell r="AH37">
            <v>-1.8</v>
          </cell>
          <cell r="AI37">
            <v>-16.100000000000001</v>
          </cell>
          <cell r="AJ37">
            <v>-6.9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-6.3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EK37" t="str">
            <v>Assume Zero</v>
          </cell>
        </row>
        <row r="38">
          <cell r="A38" t="str">
            <v>Cash</v>
          </cell>
          <cell r="C38" t="str">
            <v>Cash</v>
          </cell>
          <cell r="D38" t="str">
            <v>1310193</v>
          </cell>
          <cell r="E38" t="str">
            <v>A_1310193</v>
          </cell>
          <cell r="F38" t="str">
            <v>JPM Peoples Gas System-Operations - Outgoing WIRE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EK38" t="str">
            <v>Assume Zero</v>
          </cell>
        </row>
        <row r="39">
          <cell r="A39" t="str">
            <v>Cash</v>
          </cell>
          <cell r="C39" t="str">
            <v>Cash</v>
          </cell>
          <cell r="D39" t="str">
            <v>1310200</v>
          </cell>
          <cell r="E39" t="str">
            <v>A_1310200</v>
          </cell>
          <cell r="F39" t="str">
            <v>JPM Peoples Gas System - Payroll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EK39" t="str">
            <v>Assume Zero</v>
          </cell>
        </row>
        <row r="40">
          <cell r="A40" t="str">
            <v>Cash</v>
          </cell>
          <cell r="C40" t="str">
            <v>Cash</v>
          </cell>
          <cell r="D40" t="str">
            <v>1310201</v>
          </cell>
          <cell r="E40" t="str">
            <v>A_1310201</v>
          </cell>
          <cell r="F40" t="str">
            <v>JPM Peoples Gas System - Payroll- Outgoing ACH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 t="str">
            <v>QTD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0.6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0.8</v>
          </cell>
          <cell r="BO40">
            <v>0.3</v>
          </cell>
          <cell r="BP40">
            <v>0.3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0.5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-1</v>
          </cell>
          <cell r="DG40">
            <v>-5.4</v>
          </cell>
          <cell r="DH40">
            <v>-6.4</v>
          </cell>
          <cell r="DI40">
            <v>-3.5</v>
          </cell>
          <cell r="DJ40">
            <v>-3.5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EK40" t="str">
            <v>Assume Zero</v>
          </cell>
        </row>
        <row r="41">
          <cell r="A41" t="str">
            <v>Cash</v>
          </cell>
          <cell r="C41" t="str">
            <v>Cash</v>
          </cell>
          <cell r="D41" t="str">
            <v>1310202</v>
          </cell>
          <cell r="E41" t="str">
            <v>A_1310202</v>
          </cell>
          <cell r="F41" t="str">
            <v>JPM Peoples Gas System - Payroll - Incoming ACH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-0.5</v>
          </cell>
          <cell r="BM41">
            <v>-0.5</v>
          </cell>
          <cell r="BN41">
            <v>-0.5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EK41" t="str">
            <v>Assume Zero</v>
          </cell>
        </row>
        <row r="42">
          <cell r="A42" t="str">
            <v>Cash</v>
          </cell>
          <cell r="C42" t="str">
            <v>Cash</v>
          </cell>
          <cell r="D42" t="str">
            <v>1310205</v>
          </cell>
          <cell r="E42" t="str">
            <v>A_1310205</v>
          </cell>
          <cell r="F42" t="str">
            <v>JPM Peoples Gas System - Payroll - Outgoing Check</v>
          </cell>
          <cell r="G42">
            <v>-13.257760000000001</v>
          </cell>
          <cell r="H42">
            <v>-301.3</v>
          </cell>
          <cell r="I42">
            <v>-21.5</v>
          </cell>
          <cell r="J42">
            <v>-0.1</v>
          </cell>
          <cell r="K42">
            <v>-0.6</v>
          </cell>
          <cell r="L42">
            <v>-21</v>
          </cell>
          <cell r="M42">
            <v>-5.5</v>
          </cell>
          <cell r="N42">
            <v>-3.6</v>
          </cell>
          <cell r="O42">
            <v>-0.3</v>
          </cell>
          <cell r="P42">
            <v>-0.1</v>
          </cell>
          <cell r="Q42">
            <v>-9.6999999999999993</v>
          </cell>
          <cell r="R42">
            <v>-8.6</v>
          </cell>
          <cell r="S42">
            <v>-6.9</v>
          </cell>
          <cell r="T42">
            <v>-2.9</v>
          </cell>
          <cell r="U42">
            <v>-35.299999999999997</v>
          </cell>
          <cell r="V42">
            <v>-11.3</v>
          </cell>
          <cell r="W42">
            <v>-28</v>
          </cell>
          <cell r="X42">
            <v>-27.2</v>
          </cell>
          <cell r="Y42">
            <v>-5</v>
          </cell>
          <cell r="Z42">
            <v>-5.3</v>
          </cell>
          <cell r="AA42">
            <v>-1.7</v>
          </cell>
          <cell r="AB42">
            <v>-0.2</v>
          </cell>
          <cell r="AC42">
            <v>-13.8</v>
          </cell>
          <cell r="AD42">
            <v>-3.6</v>
          </cell>
          <cell r="AE42">
            <v>-3.7</v>
          </cell>
          <cell r="AF42">
            <v>-1.5</v>
          </cell>
          <cell r="AG42">
            <v>-17.100000000000001</v>
          </cell>
          <cell r="AH42">
            <v>-28.4</v>
          </cell>
          <cell r="AI42">
            <v>-10.5</v>
          </cell>
          <cell r="AJ42">
            <v>-8.3000000000000007</v>
          </cell>
          <cell r="AK42">
            <v>-1.3</v>
          </cell>
          <cell r="AL42">
            <v>-3.8</v>
          </cell>
          <cell r="AM42">
            <v>-7</v>
          </cell>
          <cell r="AN42">
            <v>-15</v>
          </cell>
          <cell r="AO42">
            <v>-8.6999999999999993</v>
          </cell>
          <cell r="AP42">
            <v>-4.5</v>
          </cell>
          <cell r="AQ42">
            <v>-14.9</v>
          </cell>
          <cell r="AR42">
            <v>-6</v>
          </cell>
          <cell r="AS42">
            <v>-18.8</v>
          </cell>
          <cell r="AT42">
            <v>-7.7</v>
          </cell>
          <cell r="AU42">
            <v>-8.1999999999999993</v>
          </cell>
          <cell r="AV42">
            <v>-0.6</v>
          </cell>
          <cell r="AW42">
            <v>-0.1</v>
          </cell>
          <cell r="AX42">
            <v>-1</v>
          </cell>
          <cell r="AY42">
            <v>-14.6</v>
          </cell>
          <cell r="AZ42">
            <v>-7.6</v>
          </cell>
          <cell r="BA42">
            <v>-0.4</v>
          </cell>
          <cell r="BB42">
            <v>-1.4</v>
          </cell>
          <cell r="BC42">
            <v>0</v>
          </cell>
          <cell r="BD42">
            <v>0</v>
          </cell>
          <cell r="BE42">
            <v>-23.8</v>
          </cell>
          <cell r="BF42">
            <v>-11.7</v>
          </cell>
          <cell r="BG42">
            <v>-11.8</v>
          </cell>
          <cell r="BH42">
            <v>-1.5</v>
          </cell>
          <cell r="BI42">
            <v>-1</v>
          </cell>
          <cell r="BJ42">
            <v>-0.6</v>
          </cell>
          <cell r="BK42">
            <v>-5.5</v>
          </cell>
          <cell r="BL42">
            <v>-1.8</v>
          </cell>
          <cell r="BM42">
            <v>-1.5</v>
          </cell>
          <cell r="BN42">
            <v>-1.4</v>
          </cell>
          <cell r="BO42">
            <v>-0.5</v>
          </cell>
          <cell r="BP42">
            <v>-12.4</v>
          </cell>
          <cell r="BQ42">
            <v>-50.4</v>
          </cell>
          <cell r="BR42">
            <v>-25.4</v>
          </cell>
          <cell r="BS42">
            <v>-3.1</v>
          </cell>
          <cell r="BT42">
            <v>-3.2</v>
          </cell>
          <cell r="BU42">
            <v>-2.6</v>
          </cell>
          <cell r="BV42">
            <v>-3.1</v>
          </cell>
          <cell r="BW42">
            <v>-6.7</v>
          </cell>
          <cell r="BX42">
            <v>-5.6</v>
          </cell>
          <cell r="BY42">
            <v>-1.4</v>
          </cell>
          <cell r="BZ42">
            <v>-0.6</v>
          </cell>
          <cell r="CA42">
            <v>-0.4</v>
          </cell>
          <cell r="CB42">
            <v>-5.9</v>
          </cell>
          <cell r="CC42">
            <v>-133.30000000000001</v>
          </cell>
          <cell r="CD42">
            <v>-9.9</v>
          </cell>
          <cell r="CE42">
            <v>-7.6</v>
          </cell>
          <cell r="CF42">
            <v>-7.5</v>
          </cell>
          <cell r="CG42">
            <v>-7.4</v>
          </cell>
          <cell r="CH42">
            <v>-4.9000000000000004</v>
          </cell>
          <cell r="CI42">
            <v>-4.7</v>
          </cell>
          <cell r="CJ42">
            <v>-2.8</v>
          </cell>
          <cell r="CK42">
            <v>-0.4</v>
          </cell>
          <cell r="CL42">
            <v>-0.4</v>
          </cell>
          <cell r="CM42">
            <v>-2.6</v>
          </cell>
          <cell r="CN42">
            <v>-2.5</v>
          </cell>
          <cell r="CO42">
            <v>-4.2</v>
          </cell>
          <cell r="CP42">
            <v>-8.6</v>
          </cell>
          <cell r="CQ42">
            <v>-2.1</v>
          </cell>
          <cell r="CR42">
            <v>-6.1</v>
          </cell>
          <cell r="CS42">
            <v>-0.7</v>
          </cell>
          <cell r="CT42">
            <v>-3.9</v>
          </cell>
          <cell r="CU42">
            <v>-3.3</v>
          </cell>
          <cell r="CV42">
            <v>-1.9</v>
          </cell>
          <cell r="CW42">
            <v>-2.6</v>
          </cell>
          <cell r="CX42">
            <v>-2.6</v>
          </cell>
          <cell r="CY42">
            <v>-9.3000000000000007</v>
          </cell>
          <cell r="CZ42">
            <v>-10.4</v>
          </cell>
          <cell r="DA42">
            <v>-6.5</v>
          </cell>
          <cell r="DB42">
            <v>-3.7</v>
          </cell>
          <cell r="DC42">
            <v>-37.1</v>
          </cell>
          <cell r="DD42">
            <v>-3.8</v>
          </cell>
          <cell r="DE42">
            <v>-6.4</v>
          </cell>
          <cell r="DF42">
            <v>-7.8</v>
          </cell>
          <cell r="DG42">
            <v>-3.9</v>
          </cell>
          <cell r="DH42">
            <v>-61.3</v>
          </cell>
          <cell r="DI42">
            <v>-3.5</v>
          </cell>
          <cell r="DJ42">
            <v>-5.0999999999999996</v>
          </cell>
          <cell r="DK42">
            <v>-7.8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EK42" t="str">
            <v>Assume Zero</v>
          </cell>
        </row>
        <row r="43">
          <cell r="A43" t="str">
            <v>Cash</v>
          </cell>
          <cell r="C43" t="str">
            <v>Cash</v>
          </cell>
          <cell r="D43" t="str">
            <v>1310210</v>
          </cell>
          <cell r="E43" t="str">
            <v>A_1310210</v>
          </cell>
          <cell r="F43" t="str">
            <v>JPM Peoples Gas System - Deposits</v>
          </cell>
          <cell r="G43">
            <v>331.51673</v>
          </cell>
          <cell r="H43">
            <v>359.2</v>
          </cell>
          <cell r="I43">
            <v>423.1</v>
          </cell>
          <cell r="J43">
            <v>773.7</v>
          </cell>
          <cell r="K43">
            <v>309.39999999999998</v>
          </cell>
          <cell r="L43">
            <v>325.7</v>
          </cell>
          <cell r="M43">
            <v>544.9</v>
          </cell>
          <cell r="N43">
            <v>259.7</v>
          </cell>
          <cell r="O43">
            <v>301.39999999999998</v>
          </cell>
          <cell r="P43">
            <v>360.3</v>
          </cell>
          <cell r="Q43">
            <v>433.3</v>
          </cell>
          <cell r="R43">
            <v>-130.80000000000001</v>
          </cell>
          <cell r="S43">
            <v>519.79999999999995</v>
          </cell>
          <cell r="T43">
            <v>560.5</v>
          </cell>
          <cell r="U43">
            <v>499.8</v>
          </cell>
          <cell r="V43">
            <v>675.5</v>
          </cell>
          <cell r="W43">
            <v>428.7</v>
          </cell>
          <cell r="X43">
            <v>329.4</v>
          </cell>
          <cell r="Y43">
            <v>741.2</v>
          </cell>
          <cell r="Z43">
            <v>368.1</v>
          </cell>
          <cell r="AA43">
            <v>696.8</v>
          </cell>
          <cell r="AB43">
            <v>410.7</v>
          </cell>
          <cell r="AC43">
            <v>341.7</v>
          </cell>
          <cell r="AD43">
            <v>537.9</v>
          </cell>
          <cell r="AE43">
            <v>417.1</v>
          </cell>
          <cell r="AF43">
            <v>402</v>
          </cell>
          <cell r="AG43">
            <v>1188.2</v>
          </cell>
          <cell r="AH43">
            <v>362.8</v>
          </cell>
          <cell r="AI43">
            <v>434.5</v>
          </cell>
          <cell r="AJ43">
            <v>925.1</v>
          </cell>
          <cell r="AK43">
            <v>297.10000000000002</v>
          </cell>
          <cell r="AL43">
            <v>346.7</v>
          </cell>
          <cell r="AM43">
            <v>306.2</v>
          </cell>
          <cell r="AN43">
            <v>361.4</v>
          </cell>
          <cell r="AO43">
            <v>588.20000000000005</v>
          </cell>
          <cell r="AP43">
            <v>356.9</v>
          </cell>
          <cell r="AQ43">
            <v>329.5</v>
          </cell>
          <cell r="AR43">
            <v>-11.3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411.2</v>
          </cell>
          <cell r="BA43">
            <v>309.3</v>
          </cell>
          <cell r="BB43">
            <v>310.8</v>
          </cell>
          <cell r="BC43">
            <v>471.5</v>
          </cell>
          <cell r="BD43">
            <v>318.7</v>
          </cell>
          <cell r="BE43">
            <v>323.7</v>
          </cell>
          <cell r="BF43">
            <v>343.4</v>
          </cell>
          <cell r="BG43">
            <v>308.5</v>
          </cell>
          <cell r="BH43">
            <v>599.29999999999995</v>
          </cell>
          <cell r="BI43">
            <v>320.2</v>
          </cell>
          <cell r="BJ43">
            <v>300.7</v>
          </cell>
          <cell r="BK43">
            <v>331.4</v>
          </cell>
          <cell r="BL43">
            <v>292</v>
          </cell>
          <cell r="BM43">
            <v>313.2</v>
          </cell>
          <cell r="BN43">
            <v>316.10000000000002</v>
          </cell>
          <cell r="BO43">
            <v>337.1</v>
          </cell>
          <cell r="BP43">
            <v>330</v>
          </cell>
          <cell r="BQ43">
            <v>320.5</v>
          </cell>
          <cell r="BR43">
            <v>298.2</v>
          </cell>
          <cell r="BS43">
            <v>302.10000000000002</v>
          </cell>
          <cell r="BT43">
            <v>304.7</v>
          </cell>
          <cell r="BU43">
            <v>305.7</v>
          </cell>
          <cell r="BV43">
            <v>292.60000000000002</v>
          </cell>
          <cell r="BW43">
            <v>304.5</v>
          </cell>
          <cell r="BX43">
            <v>331.4</v>
          </cell>
          <cell r="BY43">
            <v>306.7</v>
          </cell>
          <cell r="BZ43">
            <v>353.8</v>
          </cell>
          <cell r="CA43">
            <v>297.89999999999998</v>
          </cell>
          <cell r="CB43">
            <v>334.1</v>
          </cell>
          <cell r="CC43">
            <v>302.5</v>
          </cell>
          <cell r="CD43">
            <v>280.60000000000002</v>
          </cell>
          <cell r="CE43">
            <v>304.89999999999998</v>
          </cell>
          <cell r="CF43">
            <v>303.3</v>
          </cell>
          <cell r="CG43">
            <v>289.89999999999998</v>
          </cell>
          <cell r="CH43">
            <v>299.2</v>
          </cell>
          <cell r="CI43">
            <v>288.10000000000002</v>
          </cell>
          <cell r="CJ43">
            <v>282.3</v>
          </cell>
          <cell r="CK43">
            <v>241.4</v>
          </cell>
          <cell r="CL43">
            <v>286.2</v>
          </cell>
          <cell r="CM43">
            <v>247</v>
          </cell>
          <cell r="CN43">
            <v>230.6</v>
          </cell>
          <cell r="CO43">
            <v>250.1</v>
          </cell>
          <cell r="CP43">
            <v>182.2</v>
          </cell>
          <cell r="CQ43">
            <v>100.3</v>
          </cell>
          <cell r="CR43">
            <v>50</v>
          </cell>
          <cell r="CS43">
            <v>10.6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EK43" t="str">
            <v>Assume Zero</v>
          </cell>
        </row>
        <row r="44">
          <cell r="A44" t="str">
            <v>Cash</v>
          </cell>
          <cell r="C44" t="str">
            <v>Cash</v>
          </cell>
          <cell r="D44" t="str">
            <v>1310220</v>
          </cell>
          <cell r="E44" t="str">
            <v>A_1310220</v>
          </cell>
          <cell r="F44" t="str">
            <v>JPM Peoples Gas System - CDA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EK44" t="str">
            <v>Assume Zero</v>
          </cell>
        </row>
        <row r="45">
          <cell r="A45" t="str">
            <v>Cash</v>
          </cell>
          <cell r="C45" t="str">
            <v>Cash</v>
          </cell>
          <cell r="D45" t="str">
            <v>1310225</v>
          </cell>
          <cell r="E45" t="str">
            <v>A_1310225</v>
          </cell>
          <cell r="F45" t="str">
            <v>JPM Peoples Gas System - CDA - Outgoing Check</v>
          </cell>
          <cell r="G45">
            <v>-2370.5410699999998</v>
          </cell>
          <cell r="H45">
            <v>-2044.1</v>
          </cell>
          <cell r="I45">
            <v>-2674.5</v>
          </cell>
          <cell r="J45">
            <v>-3052.9</v>
          </cell>
          <cell r="K45">
            <v>-1813.1</v>
          </cell>
          <cell r="L45">
            <v>-3951.6</v>
          </cell>
          <cell r="M45">
            <v>-1563.9</v>
          </cell>
          <cell r="N45">
            <v>-4752.1000000000004</v>
          </cell>
          <cell r="O45">
            <v>-4384.2</v>
          </cell>
          <cell r="P45">
            <v>-1538.8</v>
          </cell>
          <cell r="Q45">
            <v>-3367.8</v>
          </cell>
          <cell r="R45">
            <v>-9623.4</v>
          </cell>
          <cell r="S45">
            <v>-4131.7</v>
          </cell>
          <cell r="T45">
            <v>-3347.7</v>
          </cell>
          <cell r="U45">
            <v>-2828.7</v>
          </cell>
          <cell r="V45">
            <v>-2779.1</v>
          </cell>
          <cell r="W45">
            <v>-2554.1</v>
          </cell>
          <cell r="X45">
            <v>-2724.6</v>
          </cell>
          <cell r="Y45">
            <v>-2383.3000000000002</v>
          </cell>
          <cell r="Z45">
            <v>-3574.6</v>
          </cell>
          <cell r="AA45">
            <v>-1956</v>
          </cell>
          <cell r="AB45">
            <v>-1909.4</v>
          </cell>
          <cell r="AC45">
            <v>-3762.8</v>
          </cell>
          <cell r="AD45">
            <v>-11587.3</v>
          </cell>
          <cell r="AE45">
            <v>-5199</v>
          </cell>
          <cell r="AF45">
            <v>-3463.8</v>
          </cell>
          <cell r="AG45">
            <v>-2184</v>
          </cell>
          <cell r="AH45">
            <v>-2698</v>
          </cell>
          <cell r="AI45">
            <v>-3421.4</v>
          </cell>
          <cell r="AJ45">
            <v>-2811.1</v>
          </cell>
          <cell r="AK45">
            <v>-4782.7</v>
          </cell>
          <cell r="AL45">
            <v>-5113.3</v>
          </cell>
          <cell r="AM45">
            <v>-2554.9</v>
          </cell>
          <cell r="AN45">
            <v>-3040.3</v>
          </cell>
          <cell r="AO45">
            <v>-2743.3</v>
          </cell>
          <cell r="AP45">
            <v>-11928.8</v>
          </cell>
          <cell r="AQ45">
            <v>-4724.8999999999996</v>
          </cell>
          <cell r="AR45">
            <v>-3405.1</v>
          </cell>
          <cell r="AS45">
            <v>-4361.5</v>
          </cell>
          <cell r="AT45">
            <v>-3022.4</v>
          </cell>
          <cell r="AU45">
            <v>-4115.1000000000004</v>
          </cell>
          <cell r="AV45">
            <v>-1929.1</v>
          </cell>
          <cell r="AW45">
            <v>-2878.9</v>
          </cell>
          <cell r="AX45">
            <v>-3908.5</v>
          </cell>
          <cell r="AY45">
            <v>-4192.2</v>
          </cell>
          <cell r="AZ45">
            <v>-3241.7</v>
          </cell>
          <cell r="BA45">
            <v>-3135.9</v>
          </cell>
          <cell r="BB45">
            <v>-11486.5</v>
          </cell>
          <cell r="BC45">
            <v>-3789.4</v>
          </cell>
          <cell r="BD45">
            <v>-4217.6000000000004</v>
          </cell>
          <cell r="BE45">
            <v>-5339.6</v>
          </cell>
          <cell r="BF45">
            <v>-3315.2</v>
          </cell>
          <cell r="BG45">
            <v>-4664</v>
          </cell>
          <cell r="BH45">
            <v>-2902.4</v>
          </cell>
          <cell r="BI45">
            <v>-2873.9</v>
          </cell>
          <cell r="BJ45">
            <v>-3857.8</v>
          </cell>
          <cell r="BK45">
            <v>-4843.3</v>
          </cell>
          <cell r="BL45">
            <v>-4575</v>
          </cell>
          <cell r="BM45">
            <v>-4711.2</v>
          </cell>
          <cell r="BN45">
            <v>-16069.6</v>
          </cell>
          <cell r="BO45">
            <v>-2779.7</v>
          </cell>
          <cell r="BP45">
            <v>-5528</v>
          </cell>
          <cell r="BQ45">
            <v>-3617.2</v>
          </cell>
          <cell r="BR45">
            <v>-6810.4</v>
          </cell>
          <cell r="BS45">
            <v>-4379.7</v>
          </cell>
          <cell r="BT45">
            <v>-6145.2</v>
          </cell>
          <cell r="BU45">
            <v>-5321.9</v>
          </cell>
          <cell r="BV45">
            <v>-4752.8999999999996</v>
          </cell>
          <cell r="BW45">
            <v>-7470.2</v>
          </cell>
          <cell r="BX45">
            <v>-3987</v>
          </cell>
          <cell r="BY45">
            <v>-5637.2</v>
          </cell>
          <cell r="BZ45">
            <v>-15457.8</v>
          </cell>
          <cell r="CA45">
            <v>-5558.7</v>
          </cell>
          <cell r="CB45">
            <v>-8815.2999999999993</v>
          </cell>
          <cell r="CC45">
            <v>-11664.6</v>
          </cell>
          <cell r="CD45">
            <v>-5098.2</v>
          </cell>
          <cell r="CE45">
            <v>-12022.6</v>
          </cell>
          <cell r="CF45">
            <v>-12236</v>
          </cell>
          <cell r="CG45">
            <v>-6255.6</v>
          </cell>
          <cell r="CH45">
            <v>-6597.2</v>
          </cell>
          <cell r="CI45">
            <v>-7959.8</v>
          </cell>
          <cell r="CJ45">
            <v>-8952.4</v>
          </cell>
          <cell r="CK45">
            <v>-13272.4</v>
          </cell>
          <cell r="CL45">
            <v>-18610.599999999999</v>
          </cell>
          <cell r="CM45">
            <v>-6483.1</v>
          </cell>
          <cell r="CN45">
            <v>-10064.5</v>
          </cell>
          <cell r="CO45">
            <v>-8998.7999999999993</v>
          </cell>
          <cell r="CP45">
            <v>-10144.6</v>
          </cell>
          <cell r="CQ45">
            <v>-6984</v>
          </cell>
          <cell r="CR45">
            <v>-5003.5</v>
          </cell>
          <cell r="CS45">
            <v>-5664.9</v>
          </cell>
          <cell r="CT45">
            <v>-5947.1</v>
          </cell>
          <cell r="CU45">
            <v>-6030.5</v>
          </cell>
          <cell r="CV45">
            <v>-6149.6</v>
          </cell>
          <cell r="CW45">
            <v>-5255.9</v>
          </cell>
          <cell r="CX45">
            <v>-17982</v>
          </cell>
          <cell r="CY45">
            <v>-3781.4</v>
          </cell>
          <cell r="CZ45">
            <v>-8618.1</v>
          </cell>
          <cell r="DA45">
            <v>-6327.5</v>
          </cell>
          <cell r="DB45">
            <v>-5715.7</v>
          </cell>
          <cell r="DC45">
            <v>-5293.2</v>
          </cell>
          <cell r="DD45">
            <v>-6299</v>
          </cell>
          <cell r="DE45">
            <v>-6395.9</v>
          </cell>
          <cell r="DF45">
            <v>-6712.4</v>
          </cell>
          <cell r="DG45">
            <v>-3507</v>
          </cell>
          <cell r="DH45">
            <v>-5892.7</v>
          </cell>
          <cell r="DI45">
            <v>-3703.6</v>
          </cell>
          <cell r="DJ45">
            <v>-19843.099999999999</v>
          </cell>
          <cell r="DK45">
            <v>-4958.7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EK45" t="str">
            <v>Assume Zero</v>
          </cell>
        </row>
        <row r="46">
          <cell r="A46" t="str">
            <v>Cash</v>
          </cell>
          <cell r="C46" t="str">
            <v>Cash</v>
          </cell>
          <cell r="D46" t="str">
            <v>1310230</v>
          </cell>
          <cell r="E46" t="str">
            <v>A_1310230</v>
          </cell>
          <cell r="F46" t="str">
            <v>JPM Peoples Gas System - Conservation</v>
          </cell>
          <cell r="G46">
            <v>-322.03868</v>
          </cell>
          <cell r="H46">
            <v>-455.9</v>
          </cell>
          <cell r="I46">
            <v>-403.7</v>
          </cell>
          <cell r="J46">
            <v>-294.89999999999998</v>
          </cell>
          <cell r="K46">
            <v>-327.9</v>
          </cell>
          <cell r="L46">
            <v>-410</v>
          </cell>
          <cell r="M46">
            <v>-325.60000000000002</v>
          </cell>
          <cell r="N46">
            <v>-476.1</v>
          </cell>
          <cell r="O46">
            <v>-392.2</v>
          </cell>
          <cell r="P46">
            <v>-437.8</v>
          </cell>
          <cell r="Q46">
            <v>-362.2</v>
          </cell>
          <cell r="R46">
            <v>-276.60000000000002</v>
          </cell>
          <cell r="S46">
            <v>-247.1</v>
          </cell>
          <cell r="T46">
            <v>-532.29999999999995</v>
          </cell>
          <cell r="U46">
            <v>-402.1</v>
          </cell>
          <cell r="V46">
            <v>-343.5</v>
          </cell>
          <cell r="W46">
            <v>-357.6</v>
          </cell>
          <cell r="X46">
            <v>-374.8</v>
          </cell>
          <cell r="Y46">
            <v>-342.6</v>
          </cell>
          <cell r="Z46">
            <v>-460.7</v>
          </cell>
          <cell r="AA46">
            <v>-318</v>
          </cell>
          <cell r="AB46">
            <v>-383.9</v>
          </cell>
          <cell r="AC46">
            <v>-523.5</v>
          </cell>
          <cell r="AD46">
            <v>-332.2</v>
          </cell>
          <cell r="AE46">
            <v>-316.5</v>
          </cell>
          <cell r="AF46">
            <v>-349.2</v>
          </cell>
          <cell r="AG46">
            <v>-432.4</v>
          </cell>
          <cell r="AH46">
            <v>-494.1</v>
          </cell>
          <cell r="AI46">
            <v>-545.4</v>
          </cell>
          <cell r="AJ46">
            <v>-341.9</v>
          </cell>
          <cell r="AK46">
            <v>-418.2</v>
          </cell>
          <cell r="AL46">
            <v>-476.1</v>
          </cell>
          <cell r="AM46">
            <v>-430.4</v>
          </cell>
          <cell r="AN46">
            <v>-462.6</v>
          </cell>
          <cell r="AO46">
            <v>-540.4</v>
          </cell>
          <cell r="AP46">
            <v>-437.8</v>
          </cell>
          <cell r="AQ46">
            <v>-784.2</v>
          </cell>
          <cell r="AR46">
            <v>-118.5</v>
          </cell>
          <cell r="AS46">
            <v>-107.1</v>
          </cell>
          <cell r="AT46">
            <v>-96.3</v>
          </cell>
          <cell r="AU46">
            <v>-94.7</v>
          </cell>
          <cell r="AV46">
            <v>-93</v>
          </cell>
          <cell r="AW46">
            <v>-89.6</v>
          </cell>
          <cell r="AX46">
            <v>-87.9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EK46" t="str">
            <v>Assume Zero</v>
          </cell>
        </row>
        <row r="47">
          <cell r="A47" t="str">
            <v>Cash</v>
          </cell>
          <cell r="C47" t="str">
            <v>Cash</v>
          </cell>
          <cell r="D47" t="str">
            <v>1310240</v>
          </cell>
          <cell r="E47" t="str">
            <v>A_1310240</v>
          </cell>
          <cell r="F47" t="str">
            <v>JPM TEC Receivables Concen-PGS</v>
          </cell>
          <cell r="G47">
            <v>504.52019999999999</v>
          </cell>
          <cell r="H47">
            <v>553.6</v>
          </cell>
          <cell r="I47">
            <v>564.79999999999995</v>
          </cell>
          <cell r="J47">
            <v>1951.8</v>
          </cell>
          <cell r="K47">
            <v>515.9</v>
          </cell>
          <cell r="L47">
            <v>7611.7</v>
          </cell>
          <cell r="M47">
            <v>4997.8999999999996</v>
          </cell>
          <cell r="N47">
            <v>478.9</v>
          </cell>
          <cell r="O47">
            <v>599.1</v>
          </cell>
          <cell r="P47">
            <v>507.1</v>
          </cell>
          <cell r="Q47">
            <v>514.79999999999995</v>
          </cell>
          <cell r="R47">
            <v>587.5</v>
          </cell>
          <cell r="S47">
            <v>447.1</v>
          </cell>
          <cell r="T47">
            <v>339</v>
          </cell>
          <cell r="U47">
            <v>249.3</v>
          </cell>
          <cell r="V47">
            <v>3540</v>
          </cell>
          <cell r="W47">
            <v>240.2</v>
          </cell>
          <cell r="X47">
            <v>6139.9</v>
          </cell>
          <cell r="Y47">
            <v>408.6</v>
          </cell>
          <cell r="Z47">
            <v>571.6</v>
          </cell>
          <cell r="AA47">
            <v>553.9</v>
          </cell>
          <cell r="AB47">
            <v>771</v>
          </cell>
          <cell r="AC47">
            <v>15540.9</v>
          </cell>
          <cell r="AD47">
            <v>353.5</v>
          </cell>
          <cell r="AE47">
            <v>1038.5</v>
          </cell>
          <cell r="AF47">
            <v>1921</v>
          </cell>
          <cell r="AG47">
            <v>815.2</v>
          </cell>
          <cell r="AH47">
            <v>708.5</v>
          </cell>
          <cell r="AI47">
            <v>213.5</v>
          </cell>
          <cell r="AJ47">
            <v>662.8</v>
          </cell>
          <cell r="AK47">
            <v>250.5</v>
          </cell>
          <cell r="AL47">
            <v>356.3</v>
          </cell>
          <cell r="AM47">
            <v>678.5</v>
          </cell>
          <cell r="AN47">
            <v>382.2</v>
          </cell>
          <cell r="AO47">
            <v>1455.8</v>
          </cell>
          <cell r="AP47">
            <v>369.3</v>
          </cell>
          <cell r="AQ47">
            <v>573</v>
          </cell>
          <cell r="AR47">
            <v>443.8</v>
          </cell>
          <cell r="AS47">
            <v>522.20000000000005</v>
          </cell>
          <cell r="AT47">
            <v>634.9</v>
          </cell>
          <cell r="AU47">
            <v>556</v>
          </cell>
          <cell r="AV47">
            <v>554.9</v>
          </cell>
          <cell r="AW47">
            <v>547.4</v>
          </cell>
          <cell r="AX47">
            <v>512.6</v>
          </cell>
          <cell r="AY47">
            <v>496.8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EK47" t="str">
            <v>Assume Zero</v>
          </cell>
        </row>
        <row r="48">
          <cell r="A48" t="str">
            <v>Cash</v>
          </cell>
          <cell r="C48" t="str">
            <v>Cash</v>
          </cell>
          <cell r="D48" t="str">
            <v>1310250</v>
          </cell>
          <cell r="E48" t="str">
            <v>A_1310250</v>
          </cell>
          <cell r="F48" t="str">
            <v>SUN Peoples Gas System Meter Dep Ref</v>
          </cell>
          <cell r="G48">
            <v>-356.80324000000002</v>
          </cell>
          <cell r="H48">
            <v>-417.5</v>
          </cell>
          <cell r="I48">
            <v>-380.4</v>
          </cell>
          <cell r="J48">
            <v>-460.8</v>
          </cell>
          <cell r="K48">
            <v>-350</v>
          </cell>
          <cell r="L48">
            <v>-326.2</v>
          </cell>
          <cell r="M48">
            <v>-369.6</v>
          </cell>
          <cell r="N48">
            <v>-373</v>
          </cell>
          <cell r="O48">
            <v>-402.9</v>
          </cell>
          <cell r="P48">
            <v>-340.3</v>
          </cell>
          <cell r="Q48">
            <v>-418.5</v>
          </cell>
          <cell r="R48">
            <v>-542.70000000000005</v>
          </cell>
          <cell r="S48">
            <v>-276.7</v>
          </cell>
          <cell r="T48">
            <v>-460.8</v>
          </cell>
          <cell r="U48">
            <v>-393.3</v>
          </cell>
          <cell r="V48">
            <v>-409.4</v>
          </cell>
          <cell r="W48">
            <v>-447.9</v>
          </cell>
          <cell r="X48">
            <v>-432.3</v>
          </cell>
          <cell r="Y48">
            <v>-390.1</v>
          </cell>
          <cell r="Z48">
            <v>-400.9</v>
          </cell>
          <cell r="AA48">
            <v>-383.3</v>
          </cell>
          <cell r="AB48">
            <v>-372.6</v>
          </cell>
          <cell r="AC48">
            <v>-382.8</v>
          </cell>
          <cell r="AD48">
            <v>-396.3</v>
          </cell>
          <cell r="AE48">
            <v>-334.9</v>
          </cell>
          <cell r="AF48">
            <v>-397.5</v>
          </cell>
          <cell r="AG48">
            <v>-713.4</v>
          </cell>
          <cell r="AH48">
            <v>-375.1</v>
          </cell>
          <cell r="AI48">
            <v>-468.4</v>
          </cell>
          <cell r="AJ48">
            <v>-453.8</v>
          </cell>
          <cell r="AK48">
            <v>-457.8</v>
          </cell>
          <cell r="AL48">
            <v>-652.9</v>
          </cell>
          <cell r="AM48">
            <v>-485.9</v>
          </cell>
          <cell r="AN48">
            <v>-607.5</v>
          </cell>
          <cell r="AO48">
            <v>-471.6</v>
          </cell>
          <cell r="AP48">
            <v>-432.1</v>
          </cell>
          <cell r="AQ48">
            <v>-721.2</v>
          </cell>
          <cell r="AR48">
            <v>-281.7</v>
          </cell>
          <cell r="AS48">
            <v>-209.9</v>
          </cell>
          <cell r="AT48">
            <v>-143.9</v>
          </cell>
          <cell r="AU48">
            <v>-106.7</v>
          </cell>
          <cell r="AV48">
            <v>-79</v>
          </cell>
          <cell r="AW48">
            <v>-41.5</v>
          </cell>
          <cell r="AX48">
            <v>-19.7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EK48" t="str">
            <v>Assume Zero</v>
          </cell>
        </row>
        <row r="49">
          <cell r="A49" t="str">
            <v>Cash</v>
          </cell>
          <cell r="C49" t="str">
            <v>Cash</v>
          </cell>
          <cell r="D49" t="str">
            <v>1310260</v>
          </cell>
          <cell r="E49" t="str">
            <v>A_1310260</v>
          </cell>
          <cell r="F49" t="str">
            <v>SUN TEC Receivables -PGS Deposit</v>
          </cell>
          <cell r="G49">
            <v>1253.75856</v>
          </cell>
          <cell r="H49">
            <v>1208.5999999999999</v>
          </cell>
          <cell r="I49">
            <v>1370.4</v>
          </cell>
          <cell r="J49">
            <v>1298.5</v>
          </cell>
          <cell r="K49">
            <v>977.5</v>
          </cell>
          <cell r="L49">
            <v>1315.2</v>
          </cell>
          <cell r="M49">
            <v>1062.5999999999999</v>
          </cell>
          <cell r="N49">
            <v>1175.5</v>
          </cell>
          <cell r="O49">
            <v>900.3</v>
          </cell>
          <cell r="P49">
            <v>919.5</v>
          </cell>
          <cell r="Q49">
            <v>796.3</v>
          </cell>
          <cell r="R49">
            <v>312.8</v>
          </cell>
          <cell r="S49">
            <v>1595.7</v>
          </cell>
          <cell r="T49">
            <v>1096.8</v>
          </cell>
          <cell r="U49">
            <v>1314.1</v>
          </cell>
          <cell r="V49">
            <v>1741.8</v>
          </cell>
          <cell r="W49">
            <v>1017.5</v>
          </cell>
          <cell r="X49">
            <v>927.7</v>
          </cell>
          <cell r="Y49">
            <v>1351.8</v>
          </cell>
          <cell r="Z49">
            <v>870.9</v>
          </cell>
          <cell r="AA49">
            <v>858.6</v>
          </cell>
          <cell r="AB49">
            <v>1070.5</v>
          </cell>
          <cell r="AC49">
            <v>794.3</v>
          </cell>
          <cell r="AD49">
            <v>1261.5</v>
          </cell>
          <cell r="AE49">
            <v>1211.9000000000001</v>
          </cell>
          <cell r="AF49">
            <v>1152.0999999999999</v>
          </cell>
          <cell r="AG49">
            <v>1175.4000000000001</v>
          </cell>
          <cell r="AH49">
            <v>1049.0999999999999</v>
          </cell>
          <cell r="AI49">
            <v>954</v>
          </cell>
          <cell r="AJ49">
            <v>836.6</v>
          </cell>
          <cell r="AK49">
            <v>920.8</v>
          </cell>
          <cell r="AL49">
            <v>1167.4000000000001</v>
          </cell>
          <cell r="AM49">
            <v>910</v>
          </cell>
          <cell r="AN49">
            <v>749.4</v>
          </cell>
          <cell r="AO49">
            <v>860.5</v>
          </cell>
          <cell r="AP49">
            <v>1661.4</v>
          </cell>
          <cell r="AQ49">
            <v>1462.2</v>
          </cell>
          <cell r="AR49">
            <v>293.5</v>
          </cell>
          <cell r="AS49">
            <v>301.60000000000002</v>
          </cell>
          <cell r="AT49">
            <v>301.3</v>
          </cell>
          <cell r="AU49">
            <v>299.8</v>
          </cell>
          <cell r="AV49">
            <v>298.8</v>
          </cell>
          <cell r="AW49">
            <v>298.7</v>
          </cell>
          <cell r="AX49">
            <v>298.60000000000002</v>
          </cell>
          <cell r="AY49">
            <v>298.60000000000002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EK49" t="str">
            <v>Assume Zero</v>
          </cell>
        </row>
        <row r="50">
          <cell r="A50" t="str">
            <v>Cash</v>
          </cell>
          <cell r="C50" t="str">
            <v>Cash</v>
          </cell>
          <cell r="D50" t="str">
            <v>1310630</v>
          </cell>
          <cell r="E50" t="str">
            <v>A_1310630</v>
          </cell>
          <cell r="F50" t="str">
            <v>Seacoast National Bank</v>
          </cell>
          <cell r="G50">
            <v>170.751</v>
          </cell>
          <cell r="H50">
            <v>170.8</v>
          </cell>
          <cell r="I50">
            <v>170.8</v>
          </cell>
          <cell r="J50">
            <v>170.8</v>
          </cell>
          <cell r="K50">
            <v>170.8</v>
          </cell>
          <cell r="L50">
            <v>170.8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EK50" t="str">
            <v>Assume Zero</v>
          </cell>
        </row>
        <row r="51">
          <cell r="A51" t="str">
            <v>Cash</v>
          </cell>
          <cell r="C51" t="str">
            <v>Cash</v>
          </cell>
          <cell r="D51" t="str">
            <v>1310690</v>
          </cell>
          <cell r="E51" t="str">
            <v>A_1310690</v>
          </cell>
          <cell r="F51" t="str">
            <v>SUN PGS Misc. Deposits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150.6</v>
          </cell>
          <cell r="AS51">
            <v>122.7</v>
          </cell>
          <cell r="AT51">
            <v>172.1</v>
          </cell>
          <cell r="AU51">
            <v>100</v>
          </cell>
          <cell r="AV51">
            <v>154.9</v>
          </cell>
          <cell r="AW51">
            <v>113.3</v>
          </cell>
          <cell r="AX51">
            <v>107.6</v>
          </cell>
          <cell r="AY51">
            <v>7307.1</v>
          </cell>
          <cell r="AZ51">
            <v>133.19999999999999</v>
          </cell>
          <cell r="BA51">
            <v>171.9</v>
          </cell>
          <cell r="BB51">
            <v>100</v>
          </cell>
          <cell r="BC51">
            <v>209.7</v>
          </cell>
          <cell r="BD51">
            <v>130.80000000000001</v>
          </cell>
          <cell r="BE51">
            <v>108.1</v>
          </cell>
          <cell r="BF51">
            <v>108.2</v>
          </cell>
          <cell r="BG51">
            <v>132.5</v>
          </cell>
          <cell r="BH51">
            <v>187.9</v>
          </cell>
          <cell r="BI51">
            <v>129.30000000000001</v>
          </cell>
          <cell r="BJ51">
            <v>177.7</v>
          </cell>
          <cell r="BK51">
            <v>118.5</v>
          </cell>
          <cell r="BL51">
            <v>129.1</v>
          </cell>
          <cell r="BM51">
            <v>107.1</v>
          </cell>
          <cell r="BN51">
            <v>282.60000000000002</v>
          </cell>
          <cell r="BO51">
            <v>108.2</v>
          </cell>
          <cell r="BP51">
            <v>144.69999999999999</v>
          </cell>
          <cell r="BQ51">
            <v>151.4</v>
          </cell>
          <cell r="BR51">
            <v>131.6</v>
          </cell>
          <cell r="BS51">
            <v>231.2</v>
          </cell>
          <cell r="BT51">
            <v>203.2</v>
          </cell>
          <cell r="BU51">
            <v>177.2</v>
          </cell>
          <cell r="BV51">
            <v>199.6</v>
          </cell>
          <cell r="BW51">
            <v>195.8</v>
          </cell>
          <cell r="BX51">
            <v>139.4</v>
          </cell>
          <cell r="BY51">
            <v>244.8</v>
          </cell>
          <cell r="BZ51">
            <v>117.5</v>
          </cell>
          <cell r="CA51">
            <v>152.5</v>
          </cell>
          <cell r="CB51">
            <v>156.1</v>
          </cell>
          <cell r="CC51">
            <v>293.5</v>
          </cell>
          <cell r="CD51">
            <v>141.1</v>
          </cell>
          <cell r="CE51">
            <v>134.5</v>
          </cell>
          <cell r="CF51">
            <v>142.4</v>
          </cell>
          <cell r="CG51">
            <v>178.8</v>
          </cell>
          <cell r="CH51">
            <v>250.5</v>
          </cell>
          <cell r="CI51">
            <v>117</v>
          </cell>
          <cell r="CJ51">
            <v>116.1</v>
          </cell>
          <cell r="CK51">
            <v>258.10000000000002</v>
          </cell>
          <cell r="CL51">
            <v>100.4</v>
          </cell>
          <cell r="CM51">
            <v>220</v>
          </cell>
          <cell r="CN51">
            <v>185.6</v>
          </cell>
          <cell r="CO51">
            <v>155.69999999999999</v>
          </cell>
          <cell r="CP51">
            <v>200.3</v>
          </cell>
          <cell r="CQ51">
            <v>427.9</v>
          </cell>
          <cell r="CR51">
            <v>141.4</v>
          </cell>
          <cell r="CS51">
            <v>187.4</v>
          </cell>
          <cell r="CT51">
            <v>217.3</v>
          </cell>
          <cell r="CU51">
            <v>120.3</v>
          </cell>
          <cell r="CV51">
            <v>424.7</v>
          </cell>
          <cell r="CW51">
            <v>458.1</v>
          </cell>
          <cell r="CX51">
            <v>116.1</v>
          </cell>
          <cell r="CY51">
            <v>100.3</v>
          </cell>
          <cell r="CZ51">
            <v>131.30000000000001</v>
          </cell>
          <cell r="DA51">
            <v>206.6</v>
          </cell>
          <cell r="DB51">
            <v>100</v>
          </cell>
          <cell r="DC51">
            <v>98.5</v>
          </cell>
          <cell r="DD51">
            <v>119.7</v>
          </cell>
          <cell r="DE51">
            <v>279</v>
          </cell>
          <cell r="DF51">
            <v>226.6</v>
          </cell>
          <cell r="DG51">
            <v>100</v>
          </cell>
          <cell r="DH51">
            <v>100</v>
          </cell>
          <cell r="DI51">
            <v>100.1</v>
          </cell>
          <cell r="DJ51">
            <v>100.8</v>
          </cell>
          <cell r="DK51">
            <v>145.69999999999999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EK51" t="str">
            <v>Assume Zero</v>
          </cell>
        </row>
        <row r="52">
          <cell r="A52" t="str">
            <v>Cash</v>
          </cell>
          <cell r="C52" t="str">
            <v>Cash</v>
          </cell>
          <cell r="D52" t="str">
            <v>1310990</v>
          </cell>
          <cell r="E52" t="str">
            <v>A_1310990</v>
          </cell>
          <cell r="F52" t="str">
            <v>Cash - Miscellaneous Adjustments  Input/Actual</v>
          </cell>
          <cell r="G52">
            <v>2208</v>
          </cell>
          <cell r="H52">
            <v>2556.8000000000002</v>
          </cell>
          <cell r="I52">
            <v>2555.3000000000002</v>
          </cell>
          <cell r="J52">
            <v>2794.2</v>
          </cell>
          <cell r="K52">
            <v>1185.7</v>
          </cell>
          <cell r="L52">
            <v>326.2</v>
          </cell>
          <cell r="M52">
            <v>369.6</v>
          </cell>
          <cell r="N52">
            <v>373</v>
          </cell>
          <cell r="O52">
            <v>4329.3999999999996</v>
          </cell>
          <cell r="P52">
            <v>1573.1</v>
          </cell>
          <cell r="Q52">
            <v>-469.6</v>
          </cell>
          <cell r="R52">
            <v>4863.3</v>
          </cell>
          <cell r="S52">
            <v>4078</v>
          </cell>
          <cell r="T52">
            <v>3774.5</v>
          </cell>
          <cell r="U52">
            <v>3103</v>
          </cell>
          <cell r="V52">
            <v>3069.2</v>
          </cell>
          <cell r="W52">
            <v>2851.4</v>
          </cell>
          <cell r="X52">
            <v>432.3</v>
          </cell>
          <cell r="Y52">
            <v>390.1</v>
          </cell>
          <cell r="Z52">
            <v>400.9</v>
          </cell>
          <cell r="AA52">
            <v>383.3</v>
          </cell>
          <cell r="AB52">
            <v>372.6</v>
          </cell>
          <cell r="AC52">
            <v>382.8</v>
          </cell>
          <cell r="AD52">
            <v>3946.3</v>
          </cell>
          <cell r="AE52">
            <v>3930.8</v>
          </cell>
          <cell r="AF52">
            <v>3663.1</v>
          </cell>
          <cell r="AG52">
            <v>2676.5</v>
          </cell>
          <cell r="AH52">
            <v>375.1</v>
          </cell>
          <cell r="AI52">
            <v>4164.1000000000004</v>
          </cell>
          <cell r="AJ52">
            <v>2959.3</v>
          </cell>
          <cell r="AK52">
            <v>5060.2</v>
          </cell>
          <cell r="AL52">
            <v>5626.2</v>
          </cell>
          <cell r="AM52">
            <v>2920.8</v>
          </cell>
          <cell r="AN52">
            <v>3468.5</v>
          </cell>
          <cell r="AO52">
            <v>3191.9</v>
          </cell>
          <cell r="AP52">
            <v>12202.1</v>
          </cell>
          <cell r="AQ52">
            <v>5427.2</v>
          </cell>
          <cell r="AR52">
            <v>612</v>
          </cell>
          <cell r="AS52">
            <v>8890.2999999999993</v>
          </cell>
          <cell r="AT52">
            <v>5033.8999999999996</v>
          </cell>
          <cell r="AU52">
            <v>10828.9</v>
          </cell>
          <cell r="AV52">
            <v>10369.700000000001</v>
          </cell>
          <cell r="AW52">
            <v>5137.5</v>
          </cell>
          <cell r="AX52">
            <v>8650.7000000000007</v>
          </cell>
          <cell r="AY52">
            <v>-4281.5</v>
          </cell>
          <cell r="AZ52">
            <v>6657.5</v>
          </cell>
          <cell r="BA52">
            <v>7342</v>
          </cell>
          <cell r="BB52">
            <v>15752.1</v>
          </cell>
          <cell r="BC52">
            <v>8017.8</v>
          </cell>
          <cell r="BD52">
            <v>7826.1</v>
          </cell>
          <cell r="BE52">
            <v>10366.4</v>
          </cell>
          <cell r="BF52">
            <v>4144.1000000000004</v>
          </cell>
          <cell r="BG52">
            <v>5989.6</v>
          </cell>
          <cell r="BH52">
            <v>5378.5</v>
          </cell>
          <cell r="BI52">
            <v>5402.8</v>
          </cell>
          <cell r="BJ52">
            <v>6414</v>
          </cell>
          <cell r="BK52">
            <v>7025.1</v>
          </cell>
          <cell r="BL52">
            <v>7039.9</v>
          </cell>
          <cell r="BM52">
            <v>6855.7</v>
          </cell>
          <cell r="BN52">
            <v>17691.2</v>
          </cell>
          <cell r="BO52">
            <v>3759.2</v>
          </cell>
          <cell r="BP52">
            <v>6747.1</v>
          </cell>
          <cell r="BQ52">
            <v>3644.6</v>
          </cell>
          <cell r="BR52">
            <v>7055.1</v>
          </cell>
          <cell r="BS52">
            <v>3804.1</v>
          </cell>
          <cell r="BT52">
            <v>5420.4</v>
          </cell>
          <cell r="BU52">
            <v>4353.7</v>
          </cell>
          <cell r="BV52">
            <v>3877.1</v>
          </cell>
          <cell r="BW52">
            <v>5982.7</v>
          </cell>
          <cell r="BX52">
            <v>2177.5</v>
          </cell>
          <cell r="BY52">
            <v>3471.3</v>
          </cell>
          <cell r="BZ52">
            <v>6032</v>
          </cell>
          <cell r="CA52">
            <v>3059.9</v>
          </cell>
          <cell r="CB52">
            <v>6220.6</v>
          </cell>
          <cell r="CC52">
            <v>8029.3</v>
          </cell>
          <cell r="CD52">
            <v>1363.9</v>
          </cell>
          <cell r="CE52">
            <v>9038.2000000000007</v>
          </cell>
          <cell r="CF52">
            <v>8598.7999999999993</v>
          </cell>
          <cell r="CG52">
            <v>4145.6000000000004</v>
          </cell>
          <cell r="CH52">
            <v>4181.5</v>
          </cell>
          <cell r="CI52">
            <v>5288.5</v>
          </cell>
          <cell r="CJ52">
            <v>6155.6</v>
          </cell>
          <cell r="CK52">
            <v>10279.4</v>
          </cell>
          <cell r="CL52">
            <v>12028.4</v>
          </cell>
          <cell r="CM52">
            <v>2444.3000000000002</v>
          </cell>
          <cell r="CN52">
            <v>6381.1</v>
          </cell>
          <cell r="CO52">
            <v>4731.2</v>
          </cell>
          <cell r="CP52">
            <v>-2240</v>
          </cell>
          <cell r="CQ52">
            <v>306.39999999999998</v>
          </cell>
          <cell r="CR52">
            <v>-2555.6999999999998</v>
          </cell>
          <cell r="CS52">
            <v>-2242.9</v>
          </cell>
          <cell r="CT52">
            <v>-2379.1999999999998</v>
          </cell>
          <cell r="CU52">
            <v>-3300.5</v>
          </cell>
          <cell r="CV52">
            <v>-3019.2</v>
          </cell>
          <cell r="CW52">
            <v>-3348.7</v>
          </cell>
          <cell r="CX52">
            <v>9248.7000000000007</v>
          </cell>
          <cell r="CY52">
            <v>2519.3000000000002</v>
          </cell>
          <cell r="CZ52">
            <v>10270.299999999999</v>
          </cell>
          <cell r="DA52">
            <v>8351.1</v>
          </cell>
          <cell r="DB52">
            <v>7872.5</v>
          </cell>
          <cell r="DC52">
            <v>7559.3</v>
          </cell>
          <cell r="DD52">
            <v>8606.5</v>
          </cell>
          <cell r="DE52">
            <v>8203</v>
          </cell>
          <cell r="DF52">
            <v>8213.2999999999993</v>
          </cell>
          <cell r="DG52">
            <v>6370.7</v>
          </cell>
          <cell r="DH52">
            <v>8307.7999999999993</v>
          </cell>
          <cell r="DI52">
            <v>7121</v>
          </cell>
          <cell r="DJ52">
            <v>22811.599999999999</v>
          </cell>
          <cell r="DK52">
            <v>8060.8</v>
          </cell>
          <cell r="DL52">
            <v>1000</v>
          </cell>
          <cell r="DM52">
            <v>1000</v>
          </cell>
          <cell r="DN52">
            <v>1000</v>
          </cell>
          <cell r="DO52">
            <v>1000</v>
          </cell>
          <cell r="DP52">
            <v>1000</v>
          </cell>
          <cell r="DQ52">
            <v>1000</v>
          </cell>
          <cell r="DR52">
            <v>1000</v>
          </cell>
          <cell r="DS52">
            <v>1000</v>
          </cell>
          <cell r="DT52">
            <v>1000</v>
          </cell>
          <cell r="DU52">
            <v>1000</v>
          </cell>
          <cell r="DV52">
            <v>1000</v>
          </cell>
          <cell r="DW52">
            <v>1000</v>
          </cell>
          <cell r="EK52" t="str">
            <v>Use $1M for Cash</v>
          </cell>
          <cell r="EL52" t="str">
            <v>A_1310990</v>
          </cell>
          <cell r="EM52">
            <v>1000000</v>
          </cell>
          <cell r="EN52">
            <v>1000000</v>
          </cell>
          <cell r="EO52">
            <v>1000000</v>
          </cell>
          <cell r="EP52">
            <v>1000000</v>
          </cell>
          <cell r="EQ52">
            <v>1000000</v>
          </cell>
          <cell r="ER52">
            <v>1000000</v>
          </cell>
          <cell r="ES52">
            <v>1000000</v>
          </cell>
          <cell r="ET52">
            <v>1000000</v>
          </cell>
          <cell r="EU52">
            <v>1000000</v>
          </cell>
          <cell r="EV52">
            <v>1000000</v>
          </cell>
          <cell r="EW52">
            <v>1000000</v>
          </cell>
          <cell r="EX52">
            <v>1000000</v>
          </cell>
        </row>
        <row r="53">
          <cell r="D53" t="str">
            <v>131</v>
          </cell>
          <cell r="E53">
            <v>131</v>
          </cell>
          <cell r="F53" t="str">
            <v>CASH</v>
          </cell>
          <cell r="G53">
            <v>3261.02261</v>
          </cell>
          <cell r="H53">
            <v>2806.4</v>
          </cell>
          <cell r="I53">
            <v>3356.1000000000004</v>
          </cell>
          <cell r="J53">
            <v>4514.7</v>
          </cell>
          <cell r="K53">
            <v>2388.1000000000004</v>
          </cell>
          <cell r="L53">
            <v>16073.400000000001</v>
          </cell>
          <cell r="M53">
            <v>13138.199999999999</v>
          </cell>
          <cell r="N53">
            <v>6354.6</v>
          </cell>
          <cell r="O53">
            <v>2430.5999999999995</v>
          </cell>
          <cell r="P53">
            <v>2828.7</v>
          </cell>
          <cell r="Q53">
            <v>1627.9999999999995</v>
          </cell>
          <cell r="R53">
            <v>1098.4000000000005</v>
          </cell>
          <cell r="S53">
            <v>3821</v>
          </cell>
          <cell r="T53">
            <v>2567</v>
          </cell>
          <cell r="U53">
            <v>2312.6</v>
          </cell>
          <cell r="V53">
            <v>6645.5</v>
          </cell>
          <cell r="W53">
            <v>2355.5000000000005</v>
          </cell>
          <cell r="X53">
            <v>31675.000000000004</v>
          </cell>
          <cell r="Y53">
            <v>22628.2</v>
          </cell>
          <cell r="Z53">
            <v>23994.5</v>
          </cell>
          <cell r="AA53">
            <v>26607.899999999998</v>
          </cell>
          <cell r="AB53">
            <v>25154.699999999997</v>
          </cell>
          <cell r="AC53">
            <v>22362.9</v>
          </cell>
          <cell r="AD53">
            <v>3347.2</v>
          </cell>
          <cell r="AE53">
            <v>4118.3000000000011</v>
          </cell>
          <cell r="AF53">
            <v>3511.1</v>
          </cell>
          <cell r="AG53">
            <v>3416.5</v>
          </cell>
          <cell r="AH53">
            <v>20951.999999999996</v>
          </cell>
          <cell r="AI53">
            <v>1927.3000000000002</v>
          </cell>
          <cell r="AJ53">
            <v>3695.5</v>
          </cell>
          <cell r="AK53">
            <v>3262.7</v>
          </cell>
          <cell r="AL53">
            <v>3174.3</v>
          </cell>
          <cell r="AM53">
            <v>2896.8</v>
          </cell>
          <cell r="AN53">
            <v>2234.1999999999998</v>
          </cell>
          <cell r="AO53">
            <v>3330.9999999999995</v>
          </cell>
          <cell r="AP53">
            <v>2021.6000000000004</v>
          </cell>
          <cell r="AQ53">
            <v>2842.6000000000004</v>
          </cell>
          <cell r="AR53">
            <v>-1311.8999999999996</v>
          </cell>
          <cell r="AS53">
            <v>7682.9999999999991</v>
          </cell>
          <cell r="AT53">
            <v>5528</v>
          </cell>
          <cell r="AU53">
            <v>10732.4</v>
          </cell>
          <cell r="AV53">
            <v>13109</v>
          </cell>
          <cell r="AW53">
            <v>7235.1</v>
          </cell>
          <cell r="AX53">
            <v>9454.6</v>
          </cell>
          <cell r="AY53">
            <v>3982.8999999999996</v>
          </cell>
          <cell r="AZ53">
            <v>9295.5</v>
          </cell>
          <cell r="BA53">
            <v>9556.8000000000011</v>
          </cell>
          <cell r="BB53">
            <v>9285.5</v>
          </cell>
          <cell r="BC53">
            <v>9677.4</v>
          </cell>
          <cell r="BD53">
            <v>7688.5</v>
          </cell>
          <cell r="BE53">
            <v>10910.199999999999</v>
          </cell>
          <cell r="BF53">
            <v>8678.5999999999985</v>
          </cell>
          <cell r="BG53">
            <v>7205.2</v>
          </cell>
          <cell r="BH53">
            <v>9524.5</v>
          </cell>
          <cell r="BI53">
            <v>8981.6</v>
          </cell>
          <cell r="BJ53">
            <v>8637.1999999999989</v>
          </cell>
          <cell r="BK53">
            <v>9145</v>
          </cell>
          <cell r="BL53">
            <v>9419.1999999999989</v>
          </cell>
          <cell r="BM53">
            <v>8961.2999999999993</v>
          </cell>
          <cell r="BN53">
            <v>8984.9000000000015</v>
          </cell>
          <cell r="BO53">
            <v>8481.9000000000015</v>
          </cell>
          <cell r="BP53">
            <v>9183.2000000000007</v>
          </cell>
          <cell r="BQ53">
            <v>8750.1</v>
          </cell>
          <cell r="BR53">
            <v>8471.5</v>
          </cell>
          <cell r="BS53">
            <v>8031.8000000000011</v>
          </cell>
          <cell r="BT53">
            <v>8438.4</v>
          </cell>
          <cell r="BU53">
            <v>8121.4</v>
          </cell>
          <cell r="BV53">
            <v>7908.7</v>
          </cell>
          <cell r="BW53">
            <v>8508.7999999999993</v>
          </cell>
          <cell r="BX53">
            <v>8534.6999999999989</v>
          </cell>
          <cell r="BY53">
            <v>7780.9000000000024</v>
          </cell>
          <cell r="BZ53">
            <v>8085.6000000000022</v>
          </cell>
          <cell r="CA53">
            <v>8303.9</v>
          </cell>
          <cell r="CB53">
            <v>7302.5000000000018</v>
          </cell>
          <cell r="CC53">
            <v>8288</v>
          </cell>
          <cell r="CD53">
            <v>7325.9000000000015</v>
          </cell>
          <cell r="CE53">
            <v>8579.1999999999989</v>
          </cell>
          <cell r="CF53">
            <v>7939.7999999999975</v>
          </cell>
          <cell r="CG53">
            <v>9217.2999999999993</v>
          </cell>
          <cell r="CH53">
            <v>8749</v>
          </cell>
          <cell r="CI53">
            <v>9091.2000000000007</v>
          </cell>
          <cell r="CJ53">
            <v>8693.8000000000011</v>
          </cell>
          <cell r="CK53">
            <v>7909.2999999999993</v>
          </cell>
          <cell r="CL53">
            <v>-2329.1999999999989</v>
          </cell>
          <cell r="CM53">
            <v>-2517</v>
          </cell>
          <cell r="CN53">
            <v>-2689.8999999999996</v>
          </cell>
          <cell r="CO53">
            <v>-3161.8999999999996</v>
          </cell>
          <cell r="CP53">
            <v>-11401.400000000001</v>
          </cell>
          <cell r="CQ53">
            <v>-5509.3000000000011</v>
          </cell>
          <cell r="CR53">
            <v>-6461.1</v>
          </cell>
          <cell r="CS53">
            <v>-6948.9</v>
          </cell>
          <cell r="CT53">
            <v>-7398.5</v>
          </cell>
          <cell r="CU53">
            <v>-8227.5</v>
          </cell>
          <cell r="CV53">
            <v>-7765.9000000000005</v>
          </cell>
          <cell r="CW53">
            <v>-7470.3999999999987</v>
          </cell>
          <cell r="CX53">
            <v>-7735.2999999999993</v>
          </cell>
          <cell r="CY53">
            <v>2104.3000000000002</v>
          </cell>
          <cell r="CZ53">
            <v>2421.3999999999987</v>
          </cell>
          <cell r="DA53">
            <v>2914.0000000000009</v>
          </cell>
          <cell r="DB53">
            <v>2916.8999999999996</v>
          </cell>
          <cell r="DC53">
            <v>3086.1000000000004</v>
          </cell>
          <cell r="DD53">
            <v>3094.3</v>
          </cell>
          <cell r="DE53">
            <v>3178.4000000000005</v>
          </cell>
          <cell r="DF53">
            <v>3526.6000000000004</v>
          </cell>
          <cell r="DG53">
            <v>3591.7</v>
          </cell>
          <cell r="DH53">
            <v>3683.8999999999996</v>
          </cell>
          <cell r="DI53">
            <v>4119.2999999999993</v>
          </cell>
          <cell r="DJ53">
            <v>3693.2000000000007</v>
          </cell>
          <cell r="DK53">
            <v>3398.8</v>
          </cell>
          <cell r="DL53">
            <v>1000</v>
          </cell>
          <cell r="DM53">
            <v>1000</v>
          </cell>
          <cell r="DN53">
            <v>1000</v>
          </cell>
          <cell r="DO53">
            <v>1000</v>
          </cell>
          <cell r="DP53">
            <v>1000</v>
          </cell>
          <cell r="DQ53">
            <v>1000</v>
          </cell>
          <cell r="DR53">
            <v>1000</v>
          </cell>
          <cell r="DS53">
            <v>1000</v>
          </cell>
          <cell r="DT53">
            <v>1000</v>
          </cell>
          <cell r="DU53">
            <v>1000</v>
          </cell>
          <cell r="DV53">
            <v>1000</v>
          </cell>
          <cell r="DW53">
            <v>1000</v>
          </cell>
        </row>
        <row r="54">
          <cell r="A54" t="str">
            <v>Special Deposits</v>
          </cell>
          <cell r="B54" t="str">
            <v>Prepayments</v>
          </cell>
          <cell r="C54" t="str">
            <v>Special Deposits</v>
          </cell>
          <cell r="D54" t="str">
            <v>1340200</v>
          </cell>
          <cell r="E54" t="str">
            <v>A_1340200</v>
          </cell>
          <cell r="F54" t="str">
            <v>Other Special Deposits - Long-term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  <cell r="P54">
            <v>25</v>
          </cell>
          <cell r="Q54">
            <v>25</v>
          </cell>
          <cell r="R54">
            <v>25</v>
          </cell>
          <cell r="S54">
            <v>25</v>
          </cell>
          <cell r="T54">
            <v>25</v>
          </cell>
          <cell r="U54">
            <v>25</v>
          </cell>
          <cell r="V54">
            <v>25</v>
          </cell>
          <cell r="W54">
            <v>25</v>
          </cell>
          <cell r="X54">
            <v>25</v>
          </cell>
          <cell r="Y54">
            <v>25</v>
          </cell>
          <cell r="Z54">
            <v>25</v>
          </cell>
          <cell r="AA54">
            <v>25</v>
          </cell>
          <cell r="AB54">
            <v>25</v>
          </cell>
          <cell r="AC54">
            <v>25</v>
          </cell>
          <cell r="AD54">
            <v>25</v>
          </cell>
          <cell r="AE54">
            <v>25</v>
          </cell>
          <cell r="AF54">
            <v>25</v>
          </cell>
          <cell r="AG54">
            <v>25</v>
          </cell>
          <cell r="AH54">
            <v>25</v>
          </cell>
          <cell r="AI54">
            <v>25</v>
          </cell>
          <cell r="AJ54">
            <v>25</v>
          </cell>
          <cell r="AK54">
            <v>25</v>
          </cell>
          <cell r="AL54">
            <v>25</v>
          </cell>
          <cell r="AM54">
            <v>25</v>
          </cell>
          <cell r="AN54">
            <v>25</v>
          </cell>
          <cell r="AO54">
            <v>25</v>
          </cell>
          <cell r="AP54">
            <v>25</v>
          </cell>
          <cell r="AQ54">
            <v>25</v>
          </cell>
          <cell r="AR54">
            <v>25</v>
          </cell>
          <cell r="AS54">
            <v>25</v>
          </cell>
          <cell r="AT54">
            <v>25</v>
          </cell>
          <cell r="AU54">
            <v>25</v>
          </cell>
          <cell r="AV54">
            <v>25</v>
          </cell>
          <cell r="AW54">
            <v>25</v>
          </cell>
          <cell r="AX54">
            <v>25</v>
          </cell>
          <cell r="AY54">
            <v>25</v>
          </cell>
          <cell r="AZ54">
            <v>25</v>
          </cell>
          <cell r="BA54">
            <v>25</v>
          </cell>
          <cell r="BB54">
            <v>25</v>
          </cell>
          <cell r="BC54">
            <v>25</v>
          </cell>
          <cell r="BD54">
            <v>25</v>
          </cell>
          <cell r="BE54">
            <v>25</v>
          </cell>
          <cell r="BF54">
            <v>25</v>
          </cell>
          <cell r="BG54">
            <v>25</v>
          </cell>
          <cell r="BH54">
            <v>25</v>
          </cell>
          <cell r="BI54">
            <v>25</v>
          </cell>
          <cell r="BJ54">
            <v>25</v>
          </cell>
          <cell r="BK54">
            <v>25</v>
          </cell>
          <cell r="BL54">
            <v>25</v>
          </cell>
          <cell r="BM54">
            <v>25</v>
          </cell>
          <cell r="BN54">
            <v>25</v>
          </cell>
          <cell r="BO54">
            <v>25</v>
          </cell>
          <cell r="BP54">
            <v>25</v>
          </cell>
          <cell r="BQ54">
            <v>25</v>
          </cell>
          <cell r="BR54">
            <v>25</v>
          </cell>
          <cell r="BS54">
            <v>25</v>
          </cell>
          <cell r="BT54">
            <v>25</v>
          </cell>
          <cell r="BU54">
            <v>25</v>
          </cell>
          <cell r="BV54">
            <v>25</v>
          </cell>
          <cell r="BW54">
            <v>25</v>
          </cell>
          <cell r="BX54">
            <v>25</v>
          </cell>
          <cell r="BY54">
            <v>25</v>
          </cell>
          <cell r="BZ54">
            <v>25</v>
          </cell>
          <cell r="CA54">
            <v>25</v>
          </cell>
          <cell r="CB54">
            <v>25</v>
          </cell>
          <cell r="CC54">
            <v>25</v>
          </cell>
          <cell r="CD54">
            <v>25</v>
          </cell>
          <cell r="CE54">
            <v>25</v>
          </cell>
          <cell r="CF54">
            <v>25</v>
          </cell>
          <cell r="CG54">
            <v>25</v>
          </cell>
          <cell r="CH54">
            <v>25</v>
          </cell>
          <cell r="CI54">
            <v>25</v>
          </cell>
          <cell r="CJ54">
            <v>25</v>
          </cell>
          <cell r="CK54">
            <v>25</v>
          </cell>
          <cell r="CL54">
            <v>25</v>
          </cell>
          <cell r="CM54">
            <v>25</v>
          </cell>
          <cell r="CN54">
            <v>25</v>
          </cell>
          <cell r="CO54">
            <v>25</v>
          </cell>
          <cell r="CP54">
            <v>25</v>
          </cell>
          <cell r="CQ54">
            <v>25</v>
          </cell>
          <cell r="CR54">
            <v>25</v>
          </cell>
          <cell r="CS54">
            <v>25</v>
          </cell>
          <cell r="CT54">
            <v>25</v>
          </cell>
          <cell r="CU54">
            <v>25</v>
          </cell>
          <cell r="CV54">
            <v>25</v>
          </cell>
          <cell r="CW54">
            <v>25</v>
          </cell>
          <cell r="CX54">
            <v>25</v>
          </cell>
          <cell r="CY54">
            <v>25</v>
          </cell>
          <cell r="CZ54">
            <v>25</v>
          </cell>
          <cell r="DA54">
            <v>25</v>
          </cell>
          <cell r="DB54">
            <v>25</v>
          </cell>
          <cell r="DC54">
            <v>25</v>
          </cell>
          <cell r="DD54">
            <v>25</v>
          </cell>
          <cell r="DE54">
            <v>25</v>
          </cell>
          <cell r="DF54">
            <v>25</v>
          </cell>
          <cell r="DG54">
            <v>25</v>
          </cell>
          <cell r="DH54">
            <v>25</v>
          </cell>
          <cell r="DI54">
            <v>25</v>
          </cell>
          <cell r="DJ54">
            <v>25</v>
          </cell>
          <cell r="DK54">
            <v>25</v>
          </cell>
          <cell r="DL54">
            <v>25</v>
          </cell>
          <cell r="DM54">
            <v>25</v>
          </cell>
          <cell r="DN54">
            <v>25</v>
          </cell>
          <cell r="DO54">
            <v>25</v>
          </cell>
          <cell r="DP54">
            <v>25</v>
          </cell>
          <cell r="DQ54">
            <v>25</v>
          </cell>
          <cell r="DR54">
            <v>25</v>
          </cell>
          <cell r="DS54">
            <v>25</v>
          </cell>
          <cell r="DT54">
            <v>25</v>
          </cell>
          <cell r="DU54">
            <v>25</v>
          </cell>
          <cell r="DV54">
            <v>25</v>
          </cell>
          <cell r="DW54">
            <v>25</v>
          </cell>
          <cell r="EK54" t="str">
            <v>3 yr Avg (2020 to 2022 8+4F)</v>
          </cell>
          <cell r="EL54" t="str">
            <v>A_1340200</v>
          </cell>
          <cell r="EM54">
            <v>25000</v>
          </cell>
          <cell r="EN54">
            <v>25000</v>
          </cell>
          <cell r="EO54">
            <v>25000</v>
          </cell>
          <cell r="EP54">
            <v>25000</v>
          </cell>
          <cell r="EQ54">
            <v>25000</v>
          </cell>
          <cell r="ER54">
            <v>25000</v>
          </cell>
          <cell r="ES54">
            <v>25000</v>
          </cell>
          <cell r="ET54">
            <v>25000</v>
          </cell>
          <cell r="EU54">
            <v>25000</v>
          </cell>
          <cell r="EV54">
            <v>25000</v>
          </cell>
          <cell r="EW54">
            <v>25000</v>
          </cell>
          <cell r="EX54">
            <v>25000</v>
          </cell>
        </row>
        <row r="55">
          <cell r="D55" t="str">
            <v>134</v>
          </cell>
          <cell r="E55">
            <v>134</v>
          </cell>
          <cell r="G55">
            <v>25</v>
          </cell>
          <cell r="H55">
            <v>25</v>
          </cell>
          <cell r="I55">
            <v>25</v>
          </cell>
          <cell r="J55">
            <v>25</v>
          </cell>
          <cell r="K55">
            <v>25</v>
          </cell>
          <cell r="L55">
            <v>25</v>
          </cell>
          <cell r="M55">
            <v>25</v>
          </cell>
          <cell r="N55">
            <v>25</v>
          </cell>
          <cell r="O55">
            <v>25</v>
          </cell>
          <cell r="P55">
            <v>25</v>
          </cell>
          <cell r="Q55">
            <v>25</v>
          </cell>
          <cell r="R55">
            <v>25</v>
          </cell>
          <cell r="S55">
            <v>25</v>
          </cell>
          <cell r="T55">
            <v>25</v>
          </cell>
          <cell r="U55">
            <v>25</v>
          </cell>
          <cell r="V55">
            <v>25</v>
          </cell>
          <cell r="W55">
            <v>25</v>
          </cell>
          <cell r="X55">
            <v>25</v>
          </cell>
          <cell r="Y55">
            <v>25</v>
          </cell>
          <cell r="Z55">
            <v>25</v>
          </cell>
          <cell r="AA55">
            <v>25</v>
          </cell>
          <cell r="AB55">
            <v>25</v>
          </cell>
          <cell r="AC55">
            <v>25</v>
          </cell>
          <cell r="AD55">
            <v>25</v>
          </cell>
          <cell r="AE55">
            <v>25</v>
          </cell>
          <cell r="AF55">
            <v>25</v>
          </cell>
          <cell r="AG55">
            <v>25</v>
          </cell>
          <cell r="AH55">
            <v>25</v>
          </cell>
          <cell r="AI55">
            <v>25</v>
          </cell>
          <cell r="AJ55">
            <v>25</v>
          </cell>
          <cell r="AK55">
            <v>25</v>
          </cell>
          <cell r="AL55">
            <v>25</v>
          </cell>
          <cell r="AM55">
            <v>25</v>
          </cell>
          <cell r="AN55">
            <v>25</v>
          </cell>
          <cell r="AO55">
            <v>25</v>
          </cell>
          <cell r="AP55">
            <v>25</v>
          </cell>
          <cell r="AQ55">
            <v>25</v>
          </cell>
          <cell r="AR55">
            <v>25</v>
          </cell>
          <cell r="AS55">
            <v>25</v>
          </cell>
          <cell r="AT55">
            <v>25</v>
          </cell>
          <cell r="AU55">
            <v>25</v>
          </cell>
          <cell r="AV55">
            <v>25</v>
          </cell>
          <cell r="AW55">
            <v>25</v>
          </cell>
          <cell r="AX55">
            <v>25</v>
          </cell>
          <cell r="AY55">
            <v>25</v>
          </cell>
          <cell r="AZ55">
            <v>25</v>
          </cell>
          <cell r="BA55">
            <v>25</v>
          </cell>
          <cell r="BB55">
            <v>25</v>
          </cell>
          <cell r="BC55">
            <v>25</v>
          </cell>
          <cell r="BD55">
            <v>25</v>
          </cell>
          <cell r="BE55">
            <v>25</v>
          </cell>
          <cell r="BF55">
            <v>25</v>
          </cell>
          <cell r="BG55">
            <v>25</v>
          </cell>
          <cell r="BH55">
            <v>25</v>
          </cell>
          <cell r="BI55">
            <v>25</v>
          </cell>
          <cell r="BJ55">
            <v>25</v>
          </cell>
          <cell r="BK55">
            <v>25</v>
          </cell>
          <cell r="BL55">
            <v>25</v>
          </cell>
          <cell r="BM55">
            <v>25</v>
          </cell>
          <cell r="BN55">
            <v>25</v>
          </cell>
          <cell r="BO55">
            <v>25</v>
          </cell>
          <cell r="BP55">
            <v>25</v>
          </cell>
          <cell r="BQ55">
            <v>25</v>
          </cell>
          <cell r="BR55">
            <v>25</v>
          </cell>
          <cell r="BS55">
            <v>25</v>
          </cell>
          <cell r="BT55">
            <v>25</v>
          </cell>
          <cell r="BU55">
            <v>25</v>
          </cell>
          <cell r="BV55">
            <v>25</v>
          </cell>
          <cell r="BW55">
            <v>25</v>
          </cell>
          <cell r="BX55">
            <v>25</v>
          </cell>
          <cell r="BY55">
            <v>25</v>
          </cell>
          <cell r="BZ55">
            <v>25</v>
          </cell>
          <cell r="CA55">
            <v>25</v>
          </cell>
          <cell r="CB55">
            <v>25</v>
          </cell>
          <cell r="CC55">
            <v>25</v>
          </cell>
          <cell r="CD55">
            <v>25</v>
          </cell>
          <cell r="CE55">
            <v>25</v>
          </cell>
          <cell r="CF55">
            <v>25</v>
          </cell>
          <cell r="CG55">
            <v>25</v>
          </cell>
          <cell r="CH55">
            <v>25</v>
          </cell>
          <cell r="CI55">
            <v>25</v>
          </cell>
          <cell r="CJ55">
            <v>25</v>
          </cell>
          <cell r="CK55">
            <v>25</v>
          </cell>
          <cell r="CL55">
            <v>25</v>
          </cell>
          <cell r="CM55">
            <v>25</v>
          </cell>
          <cell r="CN55">
            <v>25</v>
          </cell>
          <cell r="CO55">
            <v>25</v>
          </cell>
          <cell r="CP55">
            <v>25</v>
          </cell>
          <cell r="CQ55">
            <v>25</v>
          </cell>
          <cell r="CR55">
            <v>25</v>
          </cell>
          <cell r="CS55">
            <v>25</v>
          </cell>
          <cell r="CT55">
            <v>25</v>
          </cell>
          <cell r="CU55">
            <v>25</v>
          </cell>
          <cell r="CV55">
            <v>25</v>
          </cell>
          <cell r="CW55">
            <v>25</v>
          </cell>
          <cell r="CX55">
            <v>25</v>
          </cell>
          <cell r="CY55">
            <v>25</v>
          </cell>
          <cell r="CZ55">
            <v>25</v>
          </cell>
          <cell r="DA55">
            <v>25</v>
          </cell>
          <cell r="DB55">
            <v>25</v>
          </cell>
          <cell r="DC55">
            <v>25</v>
          </cell>
          <cell r="DD55">
            <v>25</v>
          </cell>
          <cell r="DE55">
            <v>25</v>
          </cell>
          <cell r="DF55">
            <v>25</v>
          </cell>
          <cell r="DG55">
            <v>25</v>
          </cell>
          <cell r="DH55">
            <v>25</v>
          </cell>
          <cell r="DI55">
            <v>25</v>
          </cell>
          <cell r="DJ55">
            <v>25</v>
          </cell>
          <cell r="DK55">
            <v>25</v>
          </cell>
          <cell r="DL55">
            <v>25</v>
          </cell>
          <cell r="DM55">
            <v>25</v>
          </cell>
          <cell r="DN55">
            <v>25</v>
          </cell>
          <cell r="DO55">
            <v>25</v>
          </cell>
          <cell r="DP55">
            <v>25</v>
          </cell>
          <cell r="DQ55">
            <v>25</v>
          </cell>
          <cell r="DR55">
            <v>25</v>
          </cell>
          <cell r="DS55">
            <v>25</v>
          </cell>
          <cell r="DT55">
            <v>25</v>
          </cell>
          <cell r="DU55">
            <v>25</v>
          </cell>
          <cell r="DV55">
            <v>25</v>
          </cell>
          <cell r="DW55">
            <v>25</v>
          </cell>
          <cell r="EJ55" t="str">
            <v>.</v>
          </cell>
        </row>
        <row r="56">
          <cell r="A56" t="str">
            <v>Working Funds/Petty Cash</v>
          </cell>
          <cell r="B56" t="str">
            <v>AOCI SUB</v>
          </cell>
          <cell r="C56" t="str">
            <v>Working Funds</v>
          </cell>
          <cell r="D56" t="str">
            <v>1350000</v>
          </cell>
          <cell r="E56" t="str">
            <v>A_1350000</v>
          </cell>
          <cell r="F56" t="str">
            <v>Petty Cash USD</v>
          </cell>
          <cell r="G56">
            <v>3.5</v>
          </cell>
          <cell r="H56">
            <v>3.5</v>
          </cell>
          <cell r="I56">
            <v>3.5</v>
          </cell>
          <cell r="J56">
            <v>3.5</v>
          </cell>
          <cell r="K56">
            <v>3.5</v>
          </cell>
          <cell r="L56">
            <v>3.5</v>
          </cell>
          <cell r="M56">
            <v>3.5</v>
          </cell>
          <cell r="N56">
            <v>3.5</v>
          </cell>
          <cell r="O56">
            <v>3.5</v>
          </cell>
          <cell r="P56">
            <v>3.5</v>
          </cell>
          <cell r="Q56">
            <v>3.5</v>
          </cell>
          <cell r="R56">
            <v>3.5</v>
          </cell>
          <cell r="S56">
            <v>3.5</v>
          </cell>
          <cell r="T56">
            <v>3.5</v>
          </cell>
          <cell r="U56">
            <v>3.5</v>
          </cell>
          <cell r="V56">
            <v>3.5</v>
          </cell>
          <cell r="W56">
            <v>3.5</v>
          </cell>
          <cell r="X56">
            <v>3</v>
          </cell>
          <cell r="Y56">
            <v>3</v>
          </cell>
          <cell r="Z56">
            <v>3</v>
          </cell>
          <cell r="AA56">
            <v>3</v>
          </cell>
          <cell r="AB56">
            <v>3</v>
          </cell>
          <cell r="AC56">
            <v>3</v>
          </cell>
          <cell r="AD56">
            <v>3</v>
          </cell>
          <cell r="AE56">
            <v>3</v>
          </cell>
          <cell r="AF56">
            <v>3</v>
          </cell>
          <cell r="AG56">
            <v>3</v>
          </cell>
          <cell r="AH56">
            <v>3</v>
          </cell>
          <cell r="AI56">
            <v>3</v>
          </cell>
          <cell r="AJ56">
            <v>3</v>
          </cell>
          <cell r="AK56">
            <v>3</v>
          </cell>
          <cell r="AL56">
            <v>3</v>
          </cell>
          <cell r="AM56">
            <v>3</v>
          </cell>
          <cell r="AN56">
            <v>3.5</v>
          </cell>
          <cell r="AO56">
            <v>3.5</v>
          </cell>
          <cell r="AP56">
            <v>3</v>
          </cell>
          <cell r="AQ56">
            <v>3</v>
          </cell>
          <cell r="AR56">
            <v>3</v>
          </cell>
          <cell r="AS56">
            <v>3</v>
          </cell>
          <cell r="AT56">
            <v>3</v>
          </cell>
          <cell r="AU56">
            <v>3</v>
          </cell>
          <cell r="AV56">
            <v>3</v>
          </cell>
          <cell r="AW56">
            <v>3</v>
          </cell>
          <cell r="AX56">
            <v>3</v>
          </cell>
          <cell r="AY56">
            <v>3</v>
          </cell>
          <cell r="AZ56">
            <v>3</v>
          </cell>
          <cell r="BA56">
            <v>3</v>
          </cell>
          <cell r="BB56">
            <v>3</v>
          </cell>
          <cell r="BC56">
            <v>3</v>
          </cell>
          <cell r="BD56">
            <v>3</v>
          </cell>
          <cell r="BE56">
            <v>3</v>
          </cell>
          <cell r="BF56">
            <v>3</v>
          </cell>
          <cell r="BG56">
            <v>3</v>
          </cell>
          <cell r="BH56">
            <v>3</v>
          </cell>
          <cell r="BI56">
            <v>3</v>
          </cell>
          <cell r="BJ56">
            <v>3</v>
          </cell>
          <cell r="BK56">
            <v>3</v>
          </cell>
          <cell r="BL56">
            <v>3</v>
          </cell>
          <cell r="BM56">
            <v>3</v>
          </cell>
          <cell r="BN56">
            <v>3</v>
          </cell>
          <cell r="BO56">
            <v>3</v>
          </cell>
          <cell r="BP56">
            <v>3</v>
          </cell>
          <cell r="BQ56">
            <v>3</v>
          </cell>
          <cell r="BR56">
            <v>3</v>
          </cell>
          <cell r="BS56">
            <v>3</v>
          </cell>
          <cell r="BT56">
            <v>3</v>
          </cell>
          <cell r="BU56">
            <v>3</v>
          </cell>
          <cell r="BV56">
            <v>3</v>
          </cell>
          <cell r="BW56">
            <v>3</v>
          </cell>
          <cell r="BX56">
            <v>3</v>
          </cell>
          <cell r="BY56">
            <v>3</v>
          </cell>
          <cell r="BZ56">
            <v>3</v>
          </cell>
          <cell r="CA56">
            <v>3</v>
          </cell>
          <cell r="CB56">
            <v>3</v>
          </cell>
          <cell r="CC56">
            <v>3</v>
          </cell>
          <cell r="CD56">
            <v>3</v>
          </cell>
          <cell r="CE56">
            <v>3</v>
          </cell>
          <cell r="CF56">
            <v>3</v>
          </cell>
          <cell r="CG56">
            <v>3</v>
          </cell>
          <cell r="CH56">
            <v>3</v>
          </cell>
          <cell r="CI56">
            <v>3</v>
          </cell>
          <cell r="CJ56">
            <v>3</v>
          </cell>
          <cell r="CK56">
            <v>3</v>
          </cell>
          <cell r="CL56">
            <v>3</v>
          </cell>
          <cell r="CM56">
            <v>3</v>
          </cell>
          <cell r="CN56">
            <v>3</v>
          </cell>
          <cell r="CO56">
            <v>3</v>
          </cell>
          <cell r="CP56">
            <v>3</v>
          </cell>
          <cell r="CQ56">
            <v>3</v>
          </cell>
          <cell r="CR56">
            <v>3</v>
          </cell>
          <cell r="CS56">
            <v>3</v>
          </cell>
          <cell r="CT56">
            <v>3</v>
          </cell>
          <cell r="CU56">
            <v>3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3</v>
          </cell>
          <cell r="DA56">
            <v>3</v>
          </cell>
          <cell r="DB56">
            <v>3</v>
          </cell>
          <cell r="DC56">
            <v>3</v>
          </cell>
          <cell r="DD56">
            <v>3</v>
          </cell>
          <cell r="DE56">
            <v>3</v>
          </cell>
          <cell r="DF56">
            <v>3</v>
          </cell>
          <cell r="DG56">
            <v>3</v>
          </cell>
          <cell r="DH56">
            <v>3</v>
          </cell>
          <cell r="DI56">
            <v>3</v>
          </cell>
          <cell r="DJ56">
            <v>3</v>
          </cell>
          <cell r="DK56">
            <v>3</v>
          </cell>
          <cell r="DL56">
            <v>3</v>
          </cell>
          <cell r="DM56">
            <v>3</v>
          </cell>
          <cell r="DN56">
            <v>3</v>
          </cell>
          <cell r="DO56">
            <v>3</v>
          </cell>
          <cell r="DP56">
            <v>3</v>
          </cell>
          <cell r="DQ56">
            <v>3</v>
          </cell>
          <cell r="DR56">
            <v>3</v>
          </cell>
          <cell r="DS56">
            <v>3</v>
          </cell>
          <cell r="DT56">
            <v>3</v>
          </cell>
          <cell r="DU56">
            <v>3</v>
          </cell>
          <cell r="DV56">
            <v>3</v>
          </cell>
          <cell r="DW56">
            <v>3</v>
          </cell>
          <cell r="EK56" t="str">
            <v>3 yr Avg (2020 to 2022 8+4F)</v>
          </cell>
          <cell r="EL56" t="str">
            <v>A_1350000</v>
          </cell>
        </row>
        <row r="57">
          <cell r="D57" t="str">
            <v>135</v>
          </cell>
          <cell r="E57">
            <v>135</v>
          </cell>
          <cell r="G57">
            <v>3.5</v>
          </cell>
          <cell r="H57">
            <v>3.5</v>
          </cell>
          <cell r="I57">
            <v>3.5</v>
          </cell>
          <cell r="J57">
            <v>3.5</v>
          </cell>
          <cell r="K57">
            <v>3.5</v>
          </cell>
          <cell r="L57">
            <v>3.5</v>
          </cell>
          <cell r="M57">
            <v>3.5</v>
          </cell>
          <cell r="N57">
            <v>3.5</v>
          </cell>
          <cell r="O57">
            <v>3.5</v>
          </cell>
          <cell r="P57">
            <v>3.5</v>
          </cell>
          <cell r="Q57">
            <v>3.5</v>
          </cell>
          <cell r="R57">
            <v>3.5</v>
          </cell>
          <cell r="S57">
            <v>3.5</v>
          </cell>
          <cell r="T57">
            <v>3.5</v>
          </cell>
          <cell r="U57">
            <v>3.5</v>
          </cell>
          <cell r="V57">
            <v>3.5</v>
          </cell>
          <cell r="W57">
            <v>3.5</v>
          </cell>
          <cell r="X57">
            <v>3</v>
          </cell>
          <cell r="Y57">
            <v>3</v>
          </cell>
          <cell r="Z57">
            <v>3</v>
          </cell>
          <cell r="AA57">
            <v>3</v>
          </cell>
          <cell r="AB57">
            <v>3</v>
          </cell>
          <cell r="AC57">
            <v>3</v>
          </cell>
          <cell r="AD57">
            <v>3</v>
          </cell>
          <cell r="AE57">
            <v>3</v>
          </cell>
          <cell r="AF57">
            <v>3</v>
          </cell>
          <cell r="AG57">
            <v>3</v>
          </cell>
          <cell r="AH57">
            <v>3</v>
          </cell>
          <cell r="AI57">
            <v>3</v>
          </cell>
          <cell r="AJ57">
            <v>3</v>
          </cell>
          <cell r="AK57">
            <v>3</v>
          </cell>
          <cell r="AL57">
            <v>3</v>
          </cell>
          <cell r="AM57">
            <v>3</v>
          </cell>
          <cell r="AN57">
            <v>3.5</v>
          </cell>
          <cell r="AO57">
            <v>3.5</v>
          </cell>
          <cell r="AP57">
            <v>3</v>
          </cell>
          <cell r="AQ57">
            <v>3</v>
          </cell>
          <cell r="AR57">
            <v>3</v>
          </cell>
          <cell r="AS57">
            <v>3</v>
          </cell>
          <cell r="AT57">
            <v>3</v>
          </cell>
          <cell r="AU57">
            <v>3</v>
          </cell>
          <cell r="AV57">
            <v>3</v>
          </cell>
          <cell r="AW57">
            <v>3</v>
          </cell>
          <cell r="AX57">
            <v>3</v>
          </cell>
          <cell r="AY57">
            <v>3</v>
          </cell>
          <cell r="AZ57">
            <v>3</v>
          </cell>
          <cell r="BA57">
            <v>3</v>
          </cell>
          <cell r="BB57">
            <v>3</v>
          </cell>
          <cell r="BC57">
            <v>3</v>
          </cell>
          <cell r="BD57">
            <v>3</v>
          </cell>
          <cell r="BE57">
            <v>3</v>
          </cell>
          <cell r="BF57">
            <v>3</v>
          </cell>
          <cell r="BG57">
            <v>3</v>
          </cell>
          <cell r="BH57">
            <v>3</v>
          </cell>
          <cell r="BI57">
            <v>3</v>
          </cell>
          <cell r="BJ57">
            <v>3</v>
          </cell>
          <cell r="BK57">
            <v>3</v>
          </cell>
          <cell r="BL57">
            <v>3</v>
          </cell>
          <cell r="BM57">
            <v>3</v>
          </cell>
          <cell r="BN57">
            <v>3</v>
          </cell>
          <cell r="BO57">
            <v>3</v>
          </cell>
          <cell r="BP57">
            <v>3</v>
          </cell>
          <cell r="BQ57">
            <v>3</v>
          </cell>
          <cell r="BR57">
            <v>3</v>
          </cell>
          <cell r="BS57">
            <v>3</v>
          </cell>
          <cell r="BT57">
            <v>3</v>
          </cell>
          <cell r="BU57">
            <v>3</v>
          </cell>
          <cell r="BV57">
            <v>3</v>
          </cell>
          <cell r="BW57">
            <v>3</v>
          </cell>
          <cell r="BX57">
            <v>3</v>
          </cell>
          <cell r="BY57">
            <v>3</v>
          </cell>
          <cell r="BZ57">
            <v>3</v>
          </cell>
          <cell r="CA57">
            <v>3</v>
          </cell>
          <cell r="CB57">
            <v>3</v>
          </cell>
          <cell r="CC57">
            <v>3</v>
          </cell>
          <cell r="CD57">
            <v>3</v>
          </cell>
          <cell r="CE57">
            <v>3</v>
          </cell>
          <cell r="CF57">
            <v>3</v>
          </cell>
          <cell r="CG57">
            <v>3</v>
          </cell>
          <cell r="CH57">
            <v>3</v>
          </cell>
          <cell r="CI57">
            <v>3</v>
          </cell>
          <cell r="CJ57">
            <v>3</v>
          </cell>
          <cell r="CK57">
            <v>3</v>
          </cell>
          <cell r="CL57">
            <v>3</v>
          </cell>
          <cell r="CM57">
            <v>3</v>
          </cell>
          <cell r="CN57">
            <v>3</v>
          </cell>
          <cell r="CO57">
            <v>3</v>
          </cell>
          <cell r="CP57">
            <v>3</v>
          </cell>
          <cell r="CQ57">
            <v>3</v>
          </cell>
          <cell r="CR57">
            <v>3</v>
          </cell>
          <cell r="CS57">
            <v>3</v>
          </cell>
          <cell r="CT57">
            <v>3</v>
          </cell>
          <cell r="CU57">
            <v>3</v>
          </cell>
          <cell r="CV57">
            <v>3</v>
          </cell>
          <cell r="CW57">
            <v>3</v>
          </cell>
          <cell r="CX57">
            <v>3</v>
          </cell>
          <cell r="CY57">
            <v>3</v>
          </cell>
          <cell r="CZ57">
            <v>3</v>
          </cell>
          <cell r="DA57">
            <v>3</v>
          </cell>
          <cell r="DB57">
            <v>3</v>
          </cell>
          <cell r="DC57">
            <v>3</v>
          </cell>
          <cell r="DD57">
            <v>3</v>
          </cell>
          <cell r="DE57">
            <v>3</v>
          </cell>
          <cell r="DF57">
            <v>3</v>
          </cell>
          <cell r="DG57">
            <v>3</v>
          </cell>
          <cell r="DH57">
            <v>3</v>
          </cell>
          <cell r="DI57">
            <v>3</v>
          </cell>
          <cell r="DJ57">
            <v>3</v>
          </cell>
          <cell r="DK57">
            <v>3</v>
          </cell>
          <cell r="DL57">
            <v>3</v>
          </cell>
          <cell r="DM57">
            <v>3</v>
          </cell>
          <cell r="DN57">
            <v>3</v>
          </cell>
          <cell r="DO57">
            <v>3</v>
          </cell>
          <cell r="DP57">
            <v>3</v>
          </cell>
          <cell r="DQ57">
            <v>3</v>
          </cell>
          <cell r="DR57">
            <v>3</v>
          </cell>
          <cell r="DS57">
            <v>3</v>
          </cell>
          <cell r="DT57">
            <v>3</v>
          </cell>
          <cell r="DU57">
            <v>3</v>
          </cell>
          <cell r="DV57">
            <v>3</v>
          </cell>
          <cell r="DW57">
            <v>3</v>
          </cell>
          <cell r="EJ57" t="str">
            <v>.</v>
          </cell>
          <cell r="EM57">
            <v>3000</v>
          </cell>
          <cell r="EN57">
            <v>3000</v>
          </cell>
          <cell r="EO57">
            <v>3000</v>
          </cell>
          <cell r="EP57">
            <v>3000</v>
          </cell>
          <cell r="EQ57">
            <v>3000</v>
          </cell>
          <cell r="ER57">
            <v>3000</v>
          </cell>
          <cell r="ES57">
            <v>3000</v>
          </cell>
          <cell r="ET57">
            <v>3000</v>
          </cell>
          <cell r="EU57">
            <v>3000</v>
          </cell>
          <cell r="EV57">
            <v>3000</v>
          </cell>
          <cell r="EW57">
            <v>3000</v>
          </cell>
          <cell r="EX57">
            <v>3000</v>
          </cell>
        </row>
        <row r="58">
          <cell r="A58" t="str">
            <v>Temp. Cash Investments</v>
          </cell>
          <cell r="B58" t="str">
            <v>AOCI SUB</v>
          </cell>
          <cell r="C58" t="str">
            <v>Temp. Cash Investments</v>
          </cell>
          <cell r="D58" t="str">
            <v>1360010</v>
          </cell>
          <cell r="E58" t="str">
            <v>A_1360010</v>
          </cell>
          <cell r="F58" t="str">
            <v>Cash Equivalents - Investments (0 To 90 Days)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EK58" t="str">
            <v>Assume Zero</v>
          </cell>
        </row>
        <row r="59">
          <cell r="A59" t="str">
            <v>Temp. Cash Investments</v>
          </cell>
          <cell r="B59" t="str">
            <v>AOCI SUB</v>
          </cell>
          <cell r="C59" t="str">
            <v>Temp. Cash Investments</v>
          </cell>
          <cell r="D59" t="str">
            <v>1360990</v>
          </cell>
          <cell r="E59" t="str">
            <v>A_1360990</v>
          </cell>
          <cell r="F59" t="str">
            <v>Cash - Miscellaneous Adjustments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EK59" t="str">
            <v>Assume Zero</v>
          </cell>
        </row>
        <row r="60">
          <cell r="D60" t="str">
            <v>136</v>
          </cell>
          <cell r="E60">
            <v>136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EJ60" t="str">
            <v>.</v>
          </cell>
        </row>
        <row r="61">
          <cell r="A61" t="str">
            <v>Customer Accounts Receivable 142</v>
          </cell>
          <cell r="B61" t="str">
            <v>Accounts Receivable - External SUB</v>
          </cell>
          <cell r="C61" t="str">
            <v>Customer Accounts Receivable</v>
          </cell>
          <cell r="D61" t="str">
            <v>1420500</v>
          </cell>
          <cell r="E61" t="str">
            <v>A_1420500</v>
          </cell>
          <cell r="F61" t="str">
            <v>AR CIS - TEC-R</v>
          </cell>
          <cell r="G61">
            <v>20129.818179999998</v>
          </cell>
          <cell r="H61">
            <v>27584.5</v>
          </cell>
          <cell r="I61">
            <v>27329.599999999999</v>
          </cell>
          <cell r="J61">
            <v>24243</v>
          </cell>
          <cell r="K61">
            <v>21283.1</v>
          </cell>
          <cell r="L61">
            <v>18624.7</v>
          </cell>
          <cell r="M61">
            <v>17741.900000000001</v>
          </cell>
          <cell r="N61">
            <v>17780.599999999999</v>
          </cell>
          <cell r="O61">
            <v>15694.6</v>
          </cell>
          <cell r="P61">
            <v>16187.4</v>
          </cell>
          <cell r="Q61">
            <v>17331.7</v>
          </cell>
          <cell r="R61">
            <v>18519.2</v>
          </cell>
          <cell r="S61">
            <v>22554.799999999999</v>
          </cell>
          <cell r="T61">
            <v>26841.200000000001</v>
          </cell>
          <cell r="U61">
            <v>25861.3</v>
          </cell>
          <cell r="V61">
            <v>24515.3</v>
          </cell>
          <cell r="W61">
            <v>20821.900000000001</v>
          </cell>
          <cell r="X61">
            <v>17359.099999999999</v>
          </cell>
          <cell r="Y61">
            <v>17899.099999999999</v>
          </cell>
          <cell r="Z61">
            <v>19745.099999999999</v>
          </cell>
          <cell r="AA61">
            <v>16469.900000000001</v>
          </cell>
          <cell r="AB61">
            <v>17441.5</v>
          </cell>
          <cell r="AC61">
            <v>17980.099999999999</v>
          </cell>
          <cell r="AD61">
            <v>17055.099999999999</v>
          </cell>
          <cell r="AE61">
            <v>19380.099999999999</v>
          </cell>
          <cell r="AF61">
            <v>24902.400000000001</v>
          </cell>
          <cell r="AG61">
            <v>26165.8</v>
          </cell>
          <cell r="AH61">
            <v>22452.6</v>
          </cell>
          <cell r="AI61">
            <v>20112.5</v>
          </cell>
          <cell r="AJ61">
            <v>17311.7</v>
          </cell>
          <cell r="AK61">
            <v>17600.400000000001</v>
          </cell>
          <cell r="AL61">
            <v>13948.9</v>
          </cell>
          <cell r="AM61">
            <v>12810.5</v>
          </cell>
          <cell r="AN61">
            <v>13124.3</v>
          </cell>
          <cell r="AO61">
            <v>13062.2</v>
          </cell>
          <cell r="AP61">
            <v>14169.1</v>
          </cell>
          <cell r="AQ61">
            <v>17217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</row>
        <row r="62">
          <cell r="A62" t="str">
            <v>Customer Accounts Receivable 142</v>
          </cell>
          <cell r="B62" t="str">
            <v>Accounts Receivable - External SUB</v>
          </cell>
          <cell r="C62" t="str">
            <v>Customer Accounts Receivable</v>
          </cell>
          <cell r="D62" t="str">
            <v>1420400</v>
          </cell>
          <cell r="E62" t="str">
            <v>A_1420400</v>
          </cell>
          <cell r="F62" t="str">
            <v>AR - CRM (includes TEC-R) (RECON)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25568.2</v>
          </cell>
          <cell r="AS62">
            <v>26752.7</v>
          </cell>
          <cell r="AT62">
            <v>22643.4</v>
          </cell>
          <cell r="AU62">
            <v>24049</v>
          </cell>
          <cell r="AV62">
            <v>20824.599999999999</v>
          </cell>
          <cell r="AW62">
            <v>19134.3</v>
          </cell>
          <cell r="AX62">
            <v>18573.2</v>
          </cell>
          <cell r="AY62">
            <v>14873.2</v>
          </cell>
          <cell r="AZ62">
            <v>19546.5</v>
          </cell>
          <cell r="BA62">
            <v>17574.400000000001</v>
          </cell>
          <cell r="BB62">
            <v>21378.2</v>
          </cell>
          <cell r="BC62">
            <v>25220.400000000001</v>
          </cell>
          <cell r="BD62">
            <v>33998.1</v>
          </cell>
          <cell r="BE62">
            <v>31050.799999999999</v>
          </cell>
          <cell r="BF62">
            <v>26543.8</v>
          </cell>
          <cell r="BG62">
            <v>27168.2</v>
          </cell>
          <cell r="BH62">
            <v>22659.3</v>
          </cell>
          <cell r="BI62">
            <v>21542.3</v>
          </cell>
          <cell r="BJ62">
            <v>20060.7</v>
          </cell>
          <cell r="BK62">
            <v>16932.2</v>
          </cell>
          <cell r="BL62">
            <v>22029.1</v>
          </cell>
          <cell r="BM62">
            <v>19584.599999999999</v>
          </cell>
          <cell r="BN62">
            <v>21530.3</v>
          </cell>
          <cell r="BO62">
            <v>25510.3</v>
          </cell>
          <cell r="BP62">
            <v>28138.9</v>
          </cell>
          <cell r="BQ62">
            <v>29865.1</v>
          </cell>
          <cell r="BR62">
            <v>27188.5</v>
          </cell>
          <cell r="BS62">
            <v>24115.8</v>
          </cell>
          <cell r="BT62">
            <v>21043.8</v>
          </cell>
          <cell r="BU62">
            <v>20508.900000000001</v>
          </cell>
          <cell r="BV62">
            <v>18497.8</v>
          </cell>
          <cell r="BW62">
            <v>17018.3</v>
          </cell>
          <cell r="BX62">
            <v>19383.599999999999</v>
          </cell>
          <cell r="BY62">
            <v>17383.900000000001</v>
          </cell>
          <cell r="BZ62">
            <v>21813.5</v>
          </cell>
          <cell r="CA62">
            <v>26207.8</v>
          </cell>
          <cell r="CB62">
            <v>28814.2</v>
          </cell>
          <cell r="CC62">
            <v>29457.8</v>
          </cell>
          <cell r="CD62">
            <v>26732.2</v>
          </cell>
          <cell r="CE62">
            <v>24042.3</v>
          </cell>
          <cell r="CF62">
            <v>23769</v>
          </cell>
          <cell r="CG62">
            <v>21895</v>
          </cell>
          <cell r="CH62">
            <v>20012.900000000001</v>
          </cell>
          <cell r="CI62">
            <v>20937.099999999999</v>
          </cell>
          <cell r="CJ62">
            <v>20879.3</v>
          </cell>
          <cell r="CK62">
            <v>20212.3</v>
          </cell>
          <cell r="CL62">
            <v>24110.2</v>
          </cell>
          <cell r="CM62">
            <v>27398.1</v>
          </cell>
          <cell r="CN62">
            <v>39748.800000000003</v>
          </cell>
          <cell r="CO62">
            <v>40559</v>
          </cell>
          <cell r="CP62">
            <v>34244.1</v>
          </cell>
          <cell r="CQ62">
            <v>33226.699999999997</v>
          </cell>
          <cell r="CR62">
            <v>29943.9</v>
          </cell>
          <cell r="CS62">
            <v>27209.5</v>
          </cell>
          <cell r="CT62">
            <v>27514.5</v>
          </cell>
          <cell r="CU62">
            <v>24352.9</v>
          </cell>
          <cell r="CV62">
            <v>26152.6</v>
          </cell>
          <cell r="CW62">
            <v>26343.9</v>
          </cell>
          <cell r="CX62">
            <v>29144</v>
          </cell>
          <cell r="CY62">
            <v>35036.6</v>
          </cell>
          <cell r="CZ62">
            <v>42793.4</v>
          </cell>
          <cell r="DA62">
            <v>48311.199999999997</v>
          </cell>
          <cell r="DB62">
            <v>37908.9</v>
          </cell>
          <cell r="DC62">
            <v>37018.6</v>
          </cell>
          <cell r="DD62">
            <v>34638.699999999997</v>
          </cell>
          <cell r="DE62">
            <v>30864.5</v>
          </cell>
          <cell r="DF62">
            <v>30029.5</v>
          </cell>
          <cell r="DG62">
            <v>27710.9</v>
          </cell>
          <cell r="DH62">
            <v>31263.200000000001</v>
          </cell>
          <cell r="DI62">
            <v>31958</v>
          </cell>
          <cell r="DJ62">
            <v>30153</v>
          </cell>
          <cell r="DK62">
            <v>34475</v>
          </cell>
          <cell r="DL62">
            <v>42500</v>
          </cell>
          <cell r="DM62">
            <v>45800</v>
          </cell>
          <cell r="DN62">
            <v>37200</v>
          </cell>
          <cell r="DO62">
            <v>36200</v>
          </cell>
          <cell r="DP62">
            <v>33300</v>
          </cell>
          <cell r="DQ62">
            <v>29900</v>
          </cell>
          <cell r="DR62">
            <v>29600</v>
          </cell>
          <cell r="DS62">
            <v>26800</v>
          </cell>
          <cell r="DT62">
            <v>29600</v>
          </cell>
          <cell r="DU62">
            <v>30000</v>
          </cell>
          <cell r="DV62">
            <v>30500</v>
          </cell>
          <cell r="DW62">
            <v>35800</v>
          </cell>
        </row>
        <row r="63">
          <cell r="A63" t="str">
            <v>Customer Accounts Receivable 142</v>
          </cell>
          <cell r="B63" t="str">
            <v>Accounts Receivable - External SUB</v>
          </cell>
          <cell r="C63" t="str">
            <v>Customer Accounts Receivable</v>
          </cell>
          <cell r="D63" t="str">
            <v>1420401</v>
          </cell>
          <cell r="E63" t="str">
            <v>A_1420401</v>
          </cell>
          <cell r="F63" t="str">
            <v>AR - CRM (includes TEC-R) (Posting)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11.2</v>
          </cell>
          <cell r="AS63">
            <v>30.8</v>
          </cell>
          <cell r="AT63">
            <v>36.5</v>
          </cell>
          <cell r="AU63">
            <v>-80.5</v>
          </cell>
          <cell r="AV63">
            <v>-16.600000000000001</v>
          </cell>
          <cell r="AW63">
            <v>4</v>
          </cell>
          <cell r="AX63">
            <v>6.7</v>
          </cell>
          <cell r="AY63">
            <v>0.3</v>
          </cell>
          <cell r="AZ63">
            <v>-1.2</v>
          </cell>
          <cell r="BA63">
            <v>-108.9</v>
          </cell>
          <cell r="BB63">
            <v>-10.9</v>
          </cell>
          <cell r="BC63">
            <v>-13.4</v>
          </cell>
          <cell r="BD63">
            <v>-26</v>
          </cell>
          <cell r="BE63">
            <v>-40.799999999999997</v>
          </cell>
          <cell r="BF63">
            <v>-48.3</v>
          </cell>
          <cell r="BG63">
            <v>-47</v>
          </cell>
          <cell r="BH63">
            <v>-53.7</v>
          </cell>
          <cell r="BI63">
            <v>-51.9</v>
          </cell>
          <cell r="BJ63">
            <v>-51.2</v>
          </cell>
          <cell r="BK63">
            <v>-50.9</v>
          </cell>
          <cell r="BL63">
            <v>-42.1</v>
          </cell>
          <cell r="BM63">
            <v>-49.7</v>
          </cell>
          <cell r="BN63">
            <v>-53.4</v>
          </cell>
          <cell r="BO63">
            <v>-72</v>
          </cell>
          <cell r="BP63">
            <v>-68.599999999999994</v>
          </cell>
          <cell r="BQ63">
            <v>-63.8</v>
          </cell>
          <cell r="BR63">
            <v>-72.099999999999994</v>
          </cell>
          <cell r="BS63">
            <v>-69.099999999999994</v>
          </cell>
          <cell r="BT63">
            <v>-78.8</v>
          </cell>
          <cell r="BU63">
            <v>-78.2</v>
          </cell>
          <cell r="BV63">
            <v>-68.7</v>
          </cell>
          <cell r="BW63">
            <v>-75.900000000000006</v>
          </cell>
          <cell r="BX63">
            <v>-68.3</v>
          </cell>
          <cell r="BY63">
            <v>-112.3</v>
          </cell>
          <cell r="BZ63">
            <v>-82</v>
          </cell>
          <cell r="CA63">
            <v>-97.2</v>
          </cell>
          <cell r="CB63">
            <v>-93</v>
          </cell>
          <cell r="CC63">
            <v>-95.9</v>
          </cell>
          <cell r="CD63">
            <v>-105.8</v>
          </cell>
          <cell r="CE63">
            <v>-109.2</v>
          </cell>
          <cell r="CF63">
            <v>-112.7</v>
          </cell>
          <cell r="CG63">
            <v>-121</v>
          </cell>
          <cell r="CH63">
            <v>-122.7</v>
          </cell>
          <cell r="CI63">
            <v>-130.4</v>
          </cell>
          <cell r="CJ63">
            <v>-135.4</v>
          </cell>
          <cell r="CK63">
            <v>-139.1</v>
          </cell>
          <cell r="CL63">
            <v>-140.80000000000001</v>
          </cell>
          <cell r="CM63">
            <v>-159.9</v>
          </cell>
          <cell r="CN63">
            <v>-145.6</v>
          </cell>
          <cell r="CO63">
            <v>-140.1</v>
          </cell>
          <cell r="CP63">
            <v>-183.3</v>
          </cell>
          <cell r="CQ63">
            <v>-182.7</v>
          </cell>
          <cell r="CR63">
            <v>-177</v>
          </cell>
          <cell r="CS63">
            <v>-166</v>
          </cell>
          <cell r="CT63">
            <v>-170.1</v>
          </cell>
          <cell r="CU63">
            <v>-171.8</v>
          </cell>
          <cell r="CV63">
            <v>-150.30000000000001</v>
          </cell>
          <cell r="CW63">
            <v>-156.5</v>
          </cell>
          <cell r="CX63">
            <v>-169.1</v>
          </cell>
          <cell r="CY63">
            <v>-194.9</v>
          </cell>
          <cell r="CZ63">
            <v>-192.3</v>
          </cell>
          <cell r="DA63">
            <v>-209</v>
          </cell>
          <cell r="DB63">
            <v>-224.8</v>
          </cell>
          <cell r="DC63">
            <v>-214.3</v>
          </cell>
          <cell r="DD63">
            <v>-204</v>
          </cell>
          <cell r="DE63">
            <v>-225.6</v>
          </cell>
          <cell r="DF63">
            <v>-206.2</v>
          </cell>
          <cell r="DG63">
            <v>-205.2</v>
          </cell>
          <cell r="DH63">
            <v>-180.8</v>
          </cell>
          <cell r="DI63">
            <v>-237.2</v>
          </cell>
          <cell r="DJ63">
            <v>-188.9</v>
          </cell>
          <cell r="DK63">
            <v>-203.7</v>
          </cell>
          <cell r="DL63">
            <v>-150</v>
          </cell>
          <cell r="DM63">
            <v>-150</v>
          </cell>
          <cell r="DN63">
            <v>-150</v>
          </cell>
          <cell r="DO63">
            <v>-150</v>
          </cell>
          <cell r="DP63">
            <v>-150</v>
          </cell>
          <cell r="DQ63">
            <v>-150</v>
          </cell>
          <cell r="DR63">
            <v>-150</v>
          </cell>
          <cell r="DS63">
            <v>-150</v>
          </cell>
          <cell r="DT63">
            <v>-150</v>
          </cell>
          <cell r="DU63">
            <v>-150</v>
          </cell>
          <cell r="DV63">
            <v>-150</v>
          </cell>
          <cell r="DW63">
            <v>-150</v>
          </cell>
        </row>
        <row r="64">
          <cell r="A64" t="str">
            <v>Customer Accounts Receivable 142</v>
          </cell>
          <cell r="B64" t="str">
            <v>Accounts Receivable - External SUB</v>
          </cell>
          <cell r="C64" t="str">
            <v>Customer Accounts Receivable</v>
          </cell>
          <cell r="D64" t="str">
            <v>1420510</v>
          </cell>
          <cell r="E64" t="str">
            <v>A_1420510</v>
          </cell>
          <cell r="F64" t="str">
            <v>AR CIS Incremental Billing</v>
          </cell>
          <cell r="G64">
            <v>70.754850000000005</v>
          </cell>
          <cell r="H64">
            <v>64.400000000000006</v>
          </cell>
          <cell r="I64">
            <v>56.9</v>
          </cell>
          <cell r="J64">
            <v>47.9</v>
          </cell>
          <cell r="K64">
            <v>38.9</v>
          </cell>
          <cell r="L64">
            <v>34.1</v>
          </cell>
          <cell r="M64">
            <v>33.6</v>
          </cell>
          <cell r="N64">
            <v>37.299999999999997</v>
          </cell>
          <cell r="O64">
            <v>110.5</v>
          </cell>
          <cell r="P64">
            <v>102.1</v>
          </cell>
          <cell r="Q64">
            <v>93.3</v>
          </cell>
          <cell r="R64">
            <v>83.2</v>
          </cell>
          <cell r="S64">
            <v>79.900000000000006</v>
          </cell>
          <cell r="T64">
            <v>73.900000000000006</v>
          </cell>
          <cell r="U64">
            <v>71.400000000000006</v>
          </cell>
          <cell r="V64">
            <v>66.5</v>
          </cell>
          <cell r="W64">
            <v>61.8</v>
          </cell>
          <cell r="X64">
            <v>57.4</v>
          </cell>
          <cell r="Y64">
            <v>53.4</v>
          </cell>
          <cell r="Z64">
            <v>147.9</v>
          </cell>
          <cell r="AA64">
            <v>142.4</v>
          </cell>
          <cell r="AB64">
            <v>121.9</v>
          </cell>
          <cell r="AC64">
            <v>138</v>
          </cell>
          <cell r="AD64">
            <v>132.4</v>
          </cell>
          <cell r="AE64">
            <v>126.9</v>
          </cell>
          <cell r="AF64">
            <v>123.2</v>
          </cell>
          <cell r="AG64">
            <v>139.30000000000001</v>
          </cell>
          <cell r="AH64">
            <v>111.7</v>
          </cell>
          <cell r="AI64">
            <v>106</v>
          </cell>
          <cell r="AJ64">
            <v>100.2</v>
          </cell>
          <cell r="AK64">
            <v>14.5</v>
          </cell>
          <cell r="AL64">
            <v>11.7</v>
          </cell>
          <cell r="AM64">
            <v>6</v>
          </cell>
          <cell r="AN64">
            <v>3.6</v>
          </cell>
          <cell r="AO64">
            <v>4.7</v>
          </cell>
          <cell r="AP64">
            <v>3.9</v>
          </cell>
          <cell r="AQ64">
            <v>3.1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</row>
        <row r="65">
          <cell r="A65" t="str">
            <v>Customer Accounts Receivable 142</v>
          </cell>
          <cell r="B65" t="str">
            <v>Accounts Receivable - External SUB</v>
          </cell>
          <cell r="C65" t="str">
            <v>Customer Accounts Receivable</v>
          </cell>
          <cell r="D65" t="str">
            <v>1420520</v>
          </cell>
          <cell r="E65" t="str">
            <v>A_1420520</v>
          </cell>
          <cell r="F65" t="str">
            <v>AR CIS Unapplied Cash - TEC-R</v>
          </cell>
          <cell r="G65">
            <v>1327.07203</v>
          </cell>
          <cell r="H65">
            <v>1908.1</v>
          </cell>
          <cell r="I65">
            <v>4463.3</v>
          </cell>
          <cell r="J65">
            <v>3440.4</v>
          </cell>
          <cell r="K65">
            <v>2273.5</v>
          </cell>
          <cell r="L65">
            <v>1330</v>
          </cell>
          <cell r="M65">
            <v>2845.9</v>
          </cell>
          <cell r="N65">
            <v>990.9</v>
          </cell>
          <cell r="O65">
            <v>1353.7</v>
          </cell>
          <cell r="P65">
            <v>2181.3000000000002</v>
          </cell>
          <cell r="Q65">
            <v>1362.9</v>
          </cell>
          <cell r="R65">
            <v>4302.8999999999996</v>
          </cell>
          <cell r="S65">
            <v>1314.8</v>
          </cell>
          <cell r="T65">
            <v>1860.1</v>
          </cell>
          <cell r="U65">
            <v>4666.8999999999996</v>
          </cell>
          <cell r="V65">
            <v>2956.5</v>
          </cell>
          <cell r="W65">
            <v>1099.7</v>
          </cell>
          <cell r="X65">
            <v>2768.6</v>
          </cell>
          <cell r="Y65">
            <v>1853.8</v>
          </cell>
          <cell r="Z65">
            <v>1396</v>
          </cell>
          <cell r="AA65">
            <v>2523.9</v>
          </cell>
          <cell r="AB65">
            <v>2064.4</v>
          </cell>
          <cell r="AC65">
            <v>1324.3</v>
          </cell>
          <cell r="AD65">
            <v>2950.4</v>
          </cell>
          <cell r="AE65">
            <v>1704.2</v>
          </cell>
          <cell r="AF65">
            <v>3812.3</v>
          </cell>
          <cell r="AG65">
            <v>4467.3</v>
          </cell>
          <cell r="AH65">
            <v>1218</v>
          </cell>
          <cell r="AI65">
            <v>1711.3</v>
          </cell>
          <cell r="AJ65">
            <v>3165.7</v>
          </cell>
          <cell r="AK65">
            <v>921.4</v>
          </cell>
          <cell r="AL65">
            <v>2744.2</v>
          </cell>
          <cell r="AM65">
            <v>1335.2</v>
          </cell>
          <cell r="AN65">
            <v>1206.5999999999999</v>
          </cell>
          <cell r="AO65">
            <v>1594.9</v>
          </cell>
          <cell r="AP65">
            <v>952.5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</row>
        <row r="66">
          <cell r="A66" t="str">
            <v>Customer Accounts Receivable 142</v>
          </cell>
          <cell r="B66" t="str">
            <v>Accounts Receivable - External SUB</v>
          </cell>
          <cell r="C66" t="str">
            <v>Customer Accounts Receivable</v>
          </cell>
          <cell r="D66" t="str">
            <v>1420530</v>
          </cell>
          <cell r="E66" t="str">
            <v>A_1420530</v>
          </cell>
          <cell r="F66" t="str">
            <v>AR CIS Unapplied Refunds - TEC-R</v>
          </cell>
          <cell r="G66">
            <v>-6.36395</v>
          </cell>
          <cell r="H66">
            <v>-6.3</v>
          </cell>
          <cell r="I66">
            <v>-36.1</v>
          </cell>
          <cell r="J66">
            <v>-16.8</v>
          </cell>
          <cell r="K66">
            <v>-3.7</v>
          </cell>
          <cell r="L66">
            <v>-6.4</v>
          </cell>
          <cell r="M66">
            <v>-79.400000000000006</v>
          </cell>
          <cell r="N66">
            <v>-42.4</v>
          </cell>
          <cell r="O66">
            <v>-10.1</v>
          </cell>
          <cell r="P66">
            <v>-13</v>
          </cell>
          <cell r="Q66">
            <v>4.2</v>
          </cell>
          <cell r="R66">
            <v>-19.399999999999999</v>
          </cell>
          <cell r="S66">
            <v>15.6</v>
          </cell>
          <cell r="T66">
            <v>0.4</v>
          </cell>
          <cell r="U66">
            <v>6.1</v>
          </cell>
          <cell r="V66">
            <v>-26.2</v>
          </cell>
          <cell r="W66">
            <v>-15.8</v>
          </cell>
          <cell r="X66">
            <v>-16.899999999999999</v>
          </cell>
          <cell r="Y66">
            <v>-51.9</v>
          </cell>
          <cell r="Z66">
            <v>1.2</v>
          </cell>
          <cell r="AA66">
            <v>-2.2000000000000002</v>
          </cell>
          <cell r="AB66">
            <v>-13.6</v>
          </cell>
          <cell r="AC66">
            <v>11.4</v>
          </cell>
          <cell r="AD66">
            <v>-49.6</v>
          </cell>
          <cell r="AE66">
            <v>-0.9</v>
          </cell>
          <cell r="AF66">
            <v>15.5</v>
          </cell>
          <cell r="AG66">
            <v>7.1</v>
          </cell>
          <cell r="AH66">
            <v>-66.099999999999994</v>
          </cell>
          <cell r="AI66">
            <v>-18</v>
          </cell>
          <cell r="AJ66">
            <v>-59.7</v>
          </cell>
          <cell r="AK66">
            <v>-4</v>
          </cell>
          <cell r="AL66">
            <v>-26.6</v>
          </cell>
          <cell r="AM66">
            <v>-1.3</v>
          </cell>
          <cell r="AN66">
            <v>-33.6</v>
          </cell>
          <cell r="AO66">
            <v>-7.5</v>
          </cell>
          <cell r="AP66">
            <v>16.2</v>
          </cell>
          <cell r="AQ66">
            <v>70.8</v>
          </cell>
          <cell r="AR66">
            <v>70.8</v>
          </cell>
          <cell r="AS66">
            <v>70.8</v>
          </cell>
          <cell r="AT66">
            <v>70.8</v>
          </cell>
          <cell r="AU66">
            <v>70.8</v>
          </cell>
          <cell r="AV66">
            <v>70.8</v>
          </cell>
          <cell r="AW66">
            <v>70.8</v>
          </cell>
          <cell r="AX66">
            <v>70.8</v>
          </cell>
          <cell r="AY66">
            <v>70.8</v>
          </cell>
          <cell r="AZ66">
            <v>70.8</v>
          </cell>
          <cell r="BA66">
            <v>70.8</v>
          </cell>
          <cell r="BB66">
            <v>70.8</v>
          </cell>
          <cell r="BC66">
            <v>70.8</v>
          </cell>
          <cell r="BD66">
            <v>70.8</v>
          </cell>
          <cell r="BE66">
            <v>70.8</v>
          </cell>
          <cell r="BF66">
            <v>70.8</v>
          </cell>
          <cell r="BG66">
            <v>70.8</v>
          </cell>
          <cell r="BH66">
            <v>70.8</v>
          </cell>
          <cell r="BI66">
            <v>70.8</v>
          </cell>
          <cell r="BJ66">
            <v>70.8</v>
          </cell>
          <cell r="BK66">
            <v>70.8</v>
          </cell>
          <cell r="BL66">
            <v>70.8</v>
          </cell>
          <cell r="BM66">
            <v>70.8</v>
          </cell>
          <cell r="BN66">
            <v>70.8</v>
          </cell>
          <cell r="BO66">
            <v>70.8</v>
          </cell>
          <cell r="BP66">
            <v>70.8</v>
          </cell>
          <cell r="BQ66">
            <v>70.8</v>
          </cell>
          <cell r="BR66">
            <v>70.8</v>
          </cell>
          <cell r="BS66">
            <v>70.8</v>
          </cell>
          <cell r="BT66">
            <v>70.8</v>
          </cell>
          <cell r="BU66">
            <v>70.8</v>
          </cell>
          <cell r="BV66">
            <v>70.8</v>
          </cell>
          <cell r="BW66">
            <v>70.8</v>
          </cell>
          <cell r="BX66">
            <v>70.8</v>
          </cell>
          <cell r="BY66">
            <v>70.8</v>
          </cell>
          <cell r="BZ66">
            <v>70.8</v>
          </cell>
          <cell r="CA66">
            <v>70.8</v>
          </cell>
          <cell r="CB66">
            <v>70.8</v>
          </cell>
          <cell r="CC66">
            <v>70.8</v>
          </cell>
          <cell r="CD66">
            <v>70.8</v>
          </cell>
          <cell r="CE66">
            <v>70.8</v>
          </cell>
          <cell r="CF66">
            <v>70.8</v>
          </cell>
          <cell r="CG66">
            <v>70.8</v>
          </cell>
          <cell r="CH66">
            <v>70.8</v>
          </cell>
          <cell r="CI66">
            <v>70.8</v>
          </cell>
          <cell r="CJ66">
            <v>70.8</v>
          </cell>
          <cell r="CK66">
            <v>70.8</v>
          </cell>
          <cell r="CL66">
            <v>70.8</v>
          </cell>
          <cell r="CM66">
            <v>70.8</v>
          </cell>
          <cell r="CN66">
            <v>70.8</v>
          </cell>
          <cell r="CO66">
            <v>70.8</v>
          </cell>
          <cell r="CP66">
            <v>70.8</v>
          </cell>
          <cell r="CQ66">
            <v>70.8</v>
          </cell>
          <cell r="CR66">
            <v>70.8</v>
          </cell>
          <cell r="CS66">
            <v>70.8</v>
          </cell>
          <cell r="CT66">
            <v>70.8</v>
          </cell>
          <cell r="CU66">
            <v>70.8</v>
          </cell>
          <cell r="CV66">
            <v>70.8</v>
          </cell>
          <cell r="CW66">
            <v>70.8</v>
          </cell>
          <cell r="CX66">
            <v>70.8</v>
          </cell>
          <cell r="CY66">
            <v>70.8</v>
          </cell>
          <cell r="CZ66">
            <v>70.8</v>
          </cell>
          <cell r="DA66">
            <v>70.8</v>
          </cell>
          <cell r="DB66">
            <v>70.8</v>
          </cell>
          <cell r="DC66">
            <v>70.8</v>
          </cell>
          <cell r="DD66">
            <v>70.8</v>
          </cell>
          <cell r="DE66">
            <v>70.8</v>
          </cell>
          <cell r="DF66">
            <v>70.8</v>
          </cell>
          <cell r="DG66">
            <v>70.8</v>
          </cell>
          <cell r="DH66">
            <v>70.8</v>
          </cell>
          <cell r="DI66">
            <v>70.8</v>
          </cell>
          <cell r="DJ66">
            <v>70.8</v>
          </cell>
          <cell r="DK66">
            <v>70.8</v>
          </cell>
          <cell r="DL66">
            <v>70</v>
          </cell>
          <cell r="DM66">
            <v>70</v>
          </cell>
          <cell r="DN66">
            <v>70</v>
          </cell>
          <cell r="DO66">
            <v>70</v>
          </cell>
          <cell r="DP66">
            <v>70</v>
          </cell>
          <cell r="DQ66">
            <v>70</v>
          </cell>
          <cell r="DR66">
            <v>70</v>
          </cell>
          <cell r="DS66">
            <v>70</v>
          </cell>
          <cell r="DT66">
            <v>70</v>
          </cell>
          <cell r="DU66">
            <v>70</v>
          </cell>
          <cell r="DV66">
            <v>70</v>
          </cell>
          <cell r="DW66">
            <v>70</v>
          </cell>
        </row>
        <row r="67">
          <cell r="A67" t="str">
            <v>Customer Accounts Receivable 142</v>
          </cell>
          <cell r="B67" t="str">
            <v>Accounts Receivable - External SUB</v>
          </cell>
          <cell r="C67" t="str">
            <v>Customer Accounts Receivable</v>
          </cell>
          <cell r="D67" t="str">
            <v>1420540</v>
          </cell>
          <cell r="E67" t="str">
            <v>A_1420540</v>
          </cell>
          <cell r="F67" t="str">
            <v>AR CIS Levelized Billing - TEC-R</v>
          </cell>
          <cell r="G67">
            <v>-23.117729999999998</v>
          </cell>
          <cell r="H67">
            <v>29.9</v>
          </cell>
          <cell r="I67">
            <v>91.1</v>
          </cell>
          <cell r="J67">
            <v>110</v>
          </cell>
          <cell r="K67">
            <v>112.4</v>
          </cell>
          <cell r="L67">
            <v>96.7</v>
          </cell>
          <cell r="M67">
            <v>78.3</v>
          </cell>
          <cell r="N67">
            <v>56.5</v>
          </cell>
          <cell r="O67">
            <v>33</v>
          </cell>
          <cell r="P67">
            <v>10.5</v>
          </cell>
          <cell r="Q67">
            <v>-10.9</v>
          </cell>
          <cell r="R67">
            <v>-19.899999999999999</v>
          </cell>
          <cell r="S67">
            <v>2</v>
          </cell>
          <cell r="T67">
            <v>38.200000000000003</v>
          </cell>
          <cell r="U67">
            <v>80.099999999999994</v>
          </cell>
          <cell r="V67">
            <v>108.1</v>
          </cell>
          <cell r="W67">
            <v>91.1</v>
          </cell>
          <cell r="X67">
            <v>65.400000000000006</v>
          </cell>
          <cell r="Y67">
            <v>41.2</v>
          </cell>
          <cell r="Z67">
            <v>13.7</v>
          </cell>
          <cell r="AA67">
            <v>-12.3</v>
          </cell>
          <cell r="AB67">
            <v>-39</v>
          </cell>
          <cell r="AC67">
            <v>-62</v>
          </cell>
          <cell r="AD67">
            <v>-84.5</v>
          </cell>
          <cell r="AE67">
            <v>-95.8</v>
          </cell>
          <cell r="AF67">
            <v>-74.3</v>
          </cell>
          <cell r="AG67">
            <v>-26.8</v>
          </cell>
          <cell r="AH67">
            <v>-5.6</v>
          </cell>
          <cell r="AI67">
            <v>-7.7</v>
          </cell>
          <cell r="AJ67">
            <v>-15.2</v>
          </cell>
          <cell r="AK67">
            <v>-27.1</v>
          </cell>
          <cell r="AL67">
            <v>-42.9</v>
          </cell>
          <cell r="AM67">
            <v>-57.6</v>
          </cell>
          <cell r="AN67">
            <v>-70.8</v>
          </cell>
          <cell r="AO67">
            <v>-82.2</v>
          </cell>
          <cell r="AP67">
            <v>-87.9</v>
          </cell>
          <cell r="AQ67">
            <v>-82.2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</row>
        <row r="68">
          <cell r="A68" t="str">
            <v>Customer Accounts Receivable 142</v>
          </cell>
          <cell r="B68" t="str">
            <v>Accounts Receivable - External SUB</v>
          </cell>
          <cell r="C68" t="str">
            <v>Customer Accounts Receivable</v>
          </cell>
          <cell r="D68" t="str">
            <v>1420600</v>
          </cell>
          <cell r="E68" t="str">
            <v>A_1420600</v>
          </cell>
          <cell r="F68" t="str">
            <v>AR Off System Sales - TEC-R (RECON)</v>
          </cell>
          <cell r="G68">
            <v>-3.5299999999999997E-3</v>
          </cell>
          <cell r="H68">
            <v>0</v>
          </cell>
          <cell r="I68">
            <v>4.8</v>
          </cell>
          <cell r="J68">
            <v>0</v>
          </cell>
          <cell r="K68">
            <v>72.5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562.9</v>
          </cell>
          <cell r="Q68">
            <v>0.3</v>
          </cell>
          <cell r="R68">
            <v>26.2</v>
          </cell>
          <cell r="S68">
            <v>0</v>
          </cell>
          <cell r="T68">
            <v>65.8</v>
          </cell>
          <cell r="U68">
            <v>184</v>
          </cell>
          <cell r="V68">
            <v>10</v>
          </cell>
          <cell r="W68">
            <v>90.5</v>
          </cell>
          <cell r="X68">
            <v>0</v>
          </cell>
          <cell r="Y68">
            <v>0.1</v>
          </cell>
          <cell r="Z68">
            <v>17.899999999999999</v>
          </cell>
          <cell r="AA68">
            <v>15.5</v>
          </cell>
          <cell r="AB68">
            <v>49.5</v>
          </cell>
          <cell r="AC68">
            <v>1.9</v>
          </cell>
          <cell r="AD68">
            <v>1.9</v>
          </cell>
          <cell r="AE68">
            <v>1.9</v>
          </cell>
          <cell r="AF68">
            <v>1.9</v>
          </cell>
          <cell r="AG68">
            <v>2.5</v>
          </cell>
          <cell r="AH68">
            <v>4.8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41.5</v>
          </cell>
          <cell r="AN68">
            <v>0.3</v>
          </cell>
          <cell r="AO68">
            <v>65.3</v>
          </cell>
          <cell r="AP68">
            <v>0</v>
          </cell>
          <cell r="AQ68">
            <v>0</v>
          </cell>
          <cell r="AR68">
            <v>328.6</v>
          </cell>
          <cell r="AS68">
            <v>27.5</v>
          </cell>
          <cell r="AT68">
            <v>0</v>
          </cell>
          <cell r="AU68">
            <v>0</v>
          </cell>
          <cell r="AV68">
            <v>1191</v>
          </cell>
          <cell r="AW68">
            <v>0</v>
          </cell>
          <cell r="AX68">
            <v>211.8</v>
          </cell>
          <cell r="AY68">
            <v>0</v>
          </cell>
          <cell r="AZ68">
            <v>1032.5999999999999</v>
          </cell>
          <cell r="BA68">
            <v>139.69999999999999</v>
          </cell>
          <cell r="BB68">
            <v>783.3</v>
          </cell>
          <cell r="BC68">
            <v>62.1</v>
          </cell>
          <cell r="BD68">
            <v>0</v>
          </cell>
          <cell r="BE68">
            <v>1.2</v>
          </cell>
          <cell r="BF68">
            <v>0</v>
          </cell>
          <cell r="BG68">
            <v>1.2</v>
          </cell>
          <cell r="BH68">
            <v>0</v>
          </cell>
          <cell r="BI68">
            <v>0</v>
          </cell>
          <cell r="BJ68">
            <v>0</v>
          </cell>
          <cell r="BK68">
            <v>114</v>
          </cell>
          <cell r="BL68">
            <v>0</v>
          </cell>
          <cell r="BM68">
            <v>0</v>
          </cell>
          <cell r="BN68">
            <v>102.5</v>
          </cell>
          <cell r="BO68">
            <v>23.8</v>
          </cell>
          <cell r="BP68">
            <v>440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89.6</v>
          </cell>
          <cell r="BX68">
            <v>0</v>
          </cell>
          <cell r="BY68">
            <v>64.599999999999994</v>
          </cell>
          <cell r="BZ68">
            <v>0</v>
          </cell>
          <cell r="CA68">
            <v>0</v>
          </cell>
          <cell r="CB68">
            <v>2264.3000000000002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32.200000000000003</v>
          </cell>
          <cell r="CQ68">
            <v>0</v>
          </cell>
          <cell r="CR68">
            <v>0.7</v>
          </cell>
          <cell r="CS68">
            <v>0</v>
          </cell>
          <cell r="CT68">
            <v>0</v>
          </cell>
          <cell r="CU68">
            <v>0</v>
          </cell>
          <cell r="CV68">
            <v>204.2</v>
          </cell>
          <cell r="CW68">
            <v>204.2</v>
          </cell>
          <cell r="CX68">
            <v>253.9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23</v>
          </cell>
          <cell r="DF68">
            <v>0</v>
          </cell>
          <cell r="DG68">
            <v>6.2</v>
          </cell>
          <cell r="DH68">
            <v>138.69999999999999</v>
          </cell>
          <cell r="DI68">
            <v>9.1999999999999993</v>
          </cell>
          <cell r="DJ68">
            <v>7.7</v>
          </cell>
          <cell r="DK68">
            <v>7.7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</row>
        <row r="69">
          <cell r="A69" t="str">
            <v>Customer Accounts Receivable 142</v>
          </cell>
          <cell r="B69" t="str">
            <v>Accounts Receivable - External SUB</v>
          </cell>
          <cell r="C69" t="str">
            <v>Customer Accounts Receivable</v>
          </cell>
          <cell r="D69" t="str">
            <v>1420601</v>
          </cell>
          <cell r="E69" t="str">
            <v>A_1420601</v>
          </cell>
          <cell r="F69" t="str">
            <v>AR Off System Sales - TEC-R (Posting)</v>
          </cell>
          <cell r="G69">
            <v>1151.0970600000001</v>
          </cell>
          <cell r="H69">
            <v>3192</v>
          </cell>
          <cell r="I69">
            <v>2178.4</v>
          </cell>
          <cell r="J69">
            <v>2270.4</v>
          </cell>
          <cell r="K69">
            <v>5253.4</v>
          </cell>
          <cell r="L69">
            <v>1883.6</v>
          </cell>
          <cell r="M69">
            <v>1176.0999999999999</v>
          </cell>
          <cell r="N69">
            <v>3709.3</v>
          </cell>
          <cell r="O69">
            <v>5925</v>
          </cell>
          <cell r="P69">
            <v>1170.9000000000001</v>
          </cell>
          <cell r="Q69">
            <v>3017.3</v>
          </cell>
          <cell r="R69">
            <v>3081</v>
          </cell>
          <cell r="S69">
            <v>2067.6999999999998</v>
          </cell>
          <cell r="T69">
            <v>3053.7</v>
          </cell>
          <cell r="U69">
            <v>2975.7</v>
          </cell>
          <cell r="V69">
            <v>1869.7</v>
          </cell>
          <cell r="W69">
            <v>6082.7</v>
          </cell>
          <cell r="X69">
            <v>3525.7</v>
          </cell>
          <cell r="Y69">
            <v>4279.8</v>
          </cell>
          <cell r="Z69">
            <v>2402.3000000000002</v>
          </cell>
          <cell r="AA69">
            <v>5125.8</v>
          </cell>
          <cell r="AB69">
            <v>4191.6000000000004</v>
          </cell>
          <cell r="AC69">
            <v>4335.5</v>
          </cell>
          <cell r="AD69">
            <v>6513</v>
          </cell>
          <cell r="AE69">
            <v>2253.8000000000002</v>
          </cell>
          <cell r="AF69">
            <v>3069.5</v>
          </cell>
          <cell r="AG69">
            <v>2905</v>
          </cell>
          <cell r="AH69">
            <v>3803.7</v>
          </cell>
          <cell r="AI69">
            <v>5018.3999999999996</v>
          </cell>
          <cell r="AJ69">
            <v>5177.7</v>
          </cell>
          <cell r="AK69">
            <v>6653</v>
          </cell>
          <cell r="AL69">
            <v>10779.8</v>
          </cell>
          <cell r="AM69">
            <v>9260.6</v>
          </cell>
          <cell r="AN69">
            <v>6999.3</v>
          </cell>
          <cell r="AO69">
            <v>8029.3</v>
          </cell>
          <cell r="AP69">
            <v>2717.9</v>
          </cell>
          <cell r="AQ69">
            <v>3363.2</v>
          </cell>
          <cell r="AR69">
            <v>3796.6</v>
          </cell>
          <cell r="AS69">
            <v>3614.4</v>
          </cell>
          <cell r="AT69">
            <v>2568</v>
          </cell>
          <cell r="AU69">
            <v>5098.7</v>
          </cell>
          <cell r="AV69">
            <v>4819.3</v>
          </cell>
          <cell r="AW69">
            <v>4569.3</v>
          </cell>
          <cell r="AX69">
            <v>6004.3</v>
          </cell>
          <cell r="AY69">
            <v>4221.8</v>
          </cell>
          <cell r="AZ69">
            <v>4422.1000000000004</v>
          </cell>
          <cell r="BA69">
            <v>3687.1</v>
          </cell>
          <cell r="BB69">
            <v>2594.8000000000002</v>
          </cell>
          <cell r="BC69">
            <v>4082.9</v>
          </cell>
          <cell r="BD69">
            <v>5099.8</v>
          </cell>
          <cell r="BE69">
            <v>2401</v>
          </cell>
          <cell r="BF69">
            <v>1803.7</v>
          </cell>
          <cell r="BG69">
            <v>3154.3</v>
          </cell>
          <cell r="BH69">
            <v>3785.1</v>
          </cell>
          <cell r="BI69">
            <v>4761.8</v>
          </cell>
          <cell r="BJ69">
            <v>7597.5</v>
          </cell>
          <cell r="BK69">
            <v>5356.7</v>
          </cell>
          <cell r="BL69">
            <v>4923.3</v>
          </cell>
          <cell r="BM69">
            <v>5710.1</v>
          </cell>
          <cell r="BN69">
            <v>2508.5</v>
          </cell>
          <cell r="BO69">
            <v>3443.7</v>
          </cell>
          <cell r="BP69">
            <v>3847.4</v>
          </cell>
          <cell r="BQ69">
            <v>2323.6999999999998</v>
          </cell>
          <cell r="BR69">
            <v>1599.1</v>
          </cell>
          <cell r="BS69">
            <v>3040.7</v>
          </cell>
          <cell r="BT69">
            <v>4606.6000000000004</v>
          </cell>
          <cell r="BU69">
            <v>3379.7</v>
          </cell>
          <cell r="BV69">
            <v>2900.8</v>
          </cell>
          <cell r="BW69">
            <v>2902.5</v>
          </cell>
          <cell r="BX69">
            <v>4184.1000000000004</v>
          </cell>
          <cell r="BY69">
            <v>3514.8</v>
          </cell>
          <cell r="BZ69">
            <v>3159.6</v>
          </cell>
          <cell r="CA69">
            <v>2264.3000000000002</v>
          </cell>
          <cell r="CB69">
            <v>2611.8000000000002</v>
          </cell>
          <cell r="CC69">
            <v>2002.3</v>
          </cell>
          <cell r="CD69">
            <v>2072.1</v>
          </cell>
          <cell r="CE69">
            <v>2060</v>
          </cell>
          <cell r="CF69">
            <v>1911</v>
          </cell>
          <cell r="CG69">
            <v>2786.8</v>
          </cell>
          <cell r="CH69">
            <v>2718.4</v>
          </cell>
          <cell r="CI69">
            <v>1214.8</v>
          </cell>
          <cell r="CJ69">
            <v>1991.2</v>
          </cell>
          <cell r="CK69">
            <v>1323.1</v>
          </cell>
          <cell r="CL69">
            <v>1522.2</v>
          </cell>
          <cell r="CM69">
            <v>1877.4</v>
          </cell>
          <cell r="CN69">
            <v>1686.4</v>
          </cell>
          <cell r="CO69">
            <v>2827.2</v>
          </cell>
          <cell r="CP69">
            <v>3401.6</v>
          </cell>
          <cell r="CQ69">
            <v>403.7</v>
          </cell>
          <cell r="CR69">
            <v>1632.8</v>
          </cell>
          <cell r="CS69">
            <v>1449.6</v>
          </cell>
          <cell r="CT69">
            <v>1372</v>
          </cell>
          <cell r="CU69">
            <v>3080.5</v>
          </cell>
          <cell r="CV69">
            <v>2487.6999999999998</v>
          </cell>
          <cell r="CW69">
            <v>4343.3999999999996</v>
          </cell>
          <cell r="CX69">
            <v>266.8</v>
          </cell>
          <cell r="CY69">
            <v>63.1</v>
          </cell>
          <cell r="CZ69">
            <v>4376.5</v>
          </cell>
          <cell r="DA69">
            <v>3857.6</v>
          </cell>
          <cell r="DB69">
            <v>4477</v>
          </cell>
          <cell r="DC69">
            <v>4003</v>
          </cell>
          <cell r="DD69">
            <v>7434.3</v>
          </cell>
          <cell r="DE69">
            <v>7346.3</v>
          </cell>
          <cell r="DF69">
            <v>11065.2</v>
          </cell>
          <cell r="DG69">
            <v>9587.1</v>
          </cell>
          <cell r="DH69">
            <v>5609.1</v>
          </cell>
          <cell r="DI69">
            <v>3526.3</v>
          </cell>
          <cell r="DJ69">
            <v>3451.9</v>
          </cell>
          <cell r="DK69">
            <v>4168.3999999999996</v>
          </cell>
          <cell r="DL69">
            <v>3000</v>
          </cell>
          <cell r="DM69">
            <v>3300</v>
          </cell>
          <cell r="DN69">
            <v>3900</v>
          </cell>
          <cell r="DO69">
            <v>2200</v>
          </cell>
          <cell r="DP69">
            <v>4500</v>
          </cell>
          <cell r="DQ69">
            <v>4400</v>
          </cell>
          <cell r="DR69">
            <v>6200</v>
          </cell>
          <cell r="DS69">
            <v>6300</v>
          </cell>
          <cell r="DT69">
            <v>4000</v>
          </cell>
          <cell r="DU69">
            <v>3900</v>
          </cell>
          <cell r="DV69">
            <v>1900</v>
          </cell>
          <cell r="DW69">
            <v>2100</v>
          </cell>
        </row>
        <row r="70">
          <cell r="A70" t="str">
            <v>Customer Accounts Receivable 142</v>
          </cell>
          <cell r="B70" t="str">
            <v>Accounts Receivable - External SUB</v>
          </cell>
          <cell r="C70" t="str">
            <v>Customer Accounts Receivable</v>
          </cell>
          <cell r="D70" t="str">
            <v>1420800</v>
          </cell>
          <cell r="E70" t="str">
            <v>A_1420800</v>
          </cell>
          <cell r="F70" t="str">
            <v>AR Customer - Other (RECON)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14.1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EK70" t="str">
            <v>3 yr Avg (2020 to 2022 8+4F)</v>
          </cell>
          <cell r="EL70" t="str">
            <v>A_1420800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</row>
        <row r="71">
          <cell r="A71" t="str">
            <v>Customer Accounts Receivable 142</v>
          </cell>
          <cell r="B71" t="str">
            <v>Accounts Receivable - External SUB</v>
          </cell>
          <cell r="C71" t="str">
            <v>Customer Accounts Receivable</v>
          </cell>
          <cell r="D71" t="str">
            <v>1420801</v>
          </cell>
          <cell r="E71" t="str">
            <v>A_1420801</v>
          </cell>
          <cell r="F71" t="str">
            <v>AR Customer - Other (Posting)</v>
          </cell>
          <cell r="G71">
            <v>267.74786</v>
          </cell>
          <cell r="H71">
            <v>1115.5</v>
          </cell>
          <cell r="I71">
            <v>476.2</v>
          </cell>
          <cell r="J71">
            <v>689.1</v>
          </cell>
          <cell r="K71">
            <v>633.79999999999995</v>
          </cell>
          <cell r="L71">
            <v>517</v>
          </cell>
          <cell r="M71">
            <v>707.7</v>
          </cell>
          <cell r="N71">
            <v>709</v>
          </cell>
          <cell r="O71">
            <v>757.6</v>
          </cell>
          <cell r="P71">
            <v>2119</v>
          </cell>
          <cell r="Q71">
            <v>301.10000000000002</v>
          </cell>
          <cell r="R71">
            <v>350.3</v>
          </cell>
          <cell r="S71">
            <v>0</v>
          </cell>
          <cell r="T71">
            <v>254.1</v>
          </cell>
          <cell r="U71">
            <v>194.4</v>
          </cell>
          <cell r="V71">
            <v>41.5</v>
          </cell>
          <cell r="W71">
            <v>8.5</v>
          </cell>
          <cell r="X71">
            <v>-193.9</v>
          </cell>
          <cell r="Y71">
            <v>0</v>
          </cell>
          <cell r="Z71">
            <v>-2306.6999999999998</v>
          </cell>
          <cell r="AA71">
            <v>36</v>
          </cell>
          <cell r="AB71">
            <v>0</v>
          </cell>
          <cell r="AC71">
            <v>42.8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-122.3</v>
          </cell>
          <cell r="AI71">
            <v>69</v>
          </cell>
          <cell r="AJ71">
            <v>0</v>
          </cell>
          <cell r="AK71">
            <v>56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97.8</v>
          </cell>
          <cell r="AQ71">
            <v>-164.8</v>
          </cell>
          <cell r="AR71">
            <v>213.5</v>
          </cell>
          <cell r="AS71">
            <v>0</v>
          </cell>
          <cell r="AT71">
            <v>106.7</v>
          </cell>
          <cell r="AU71">
            <v>128.19999999999999</v>
          </cell>
          <cell r="AV71">
            <v>-125.1</v>
          </cell>
          <cell r="AW71">
            <v>0</v>
          </cell>
          <cell r="AX71">
            <v>0</v>
          </cell>
          <cell r="AY71">
            <v>216.7</v>
          </cell>
          <cell r="AZ71">
            <v>1151.3</v>
          </cell>
          <cell r="BA71">
            <v>0</v>
          </cell>
          <cell r="BB71">
            <v>-1289.5</v>
          </cell>
          <cell r="BC71">
            <v>166.9</v>
          </cell>
          <cell r="BD71">
            <v>0</v>
          </cell>
          <cell r="BE71">
            <v>37.200000000000003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566</v>
          </cell>
          <cell r="BP71">
            <v>153.6</v>
          </cell>
          <cell r="BQ71">
            <v>0</v>
          </cell>
          <cell r="BR71">
            <v>288.2</v>
          </cell>
          <cell r="BS71">
            <v>27.3</v>
          </cell>
          <cell r="BT71">
            <v>0</v>
          </cell>
          <cell r="BU71">
            <v>0</v>
          </cell>
          <cell r="BV71">
            <v>6.6</v>
          </cell>
          <cell r="BW71">
            <v>157.9</v>
          </cell>
          <cell r="BX71">
            <v>0</v>
          </cell>
          <cell r="BY71">
            <v>0</v>
          </cell>
          <cell r="BZ71">
            <v>89.2</v>
          </cell>
          <cell r="CA71">
            <v>0</v>
          </cell>
          <cell r="CB71">
            <v>22.9</v>
          </cell>
          <cell r="CC71">
            <v>0</v>
          </cell>
          <cell r="CD71">
            <v>191.1</v>
          </cell>
          <cell r="CE71">
            <v>-621.4</v>
          </cell>
          <cell r="CF71">
            <v>-778.5</v>
          </cell>
          <cell r="CG71">
            <v>-303</v>
          </cell>
          <cell r="CH71">
            <v>-125.1</v>
          </cell>
          <cell r="CI71">
            <v>239.4</v>
          </cell>
          <cell r="CJ71">
            <v>270.8</v>
          </cell>
          <cell r="CK71">
            <v>160.80000000000001</v>
          </cell>
          <cell r="CL71">
            <v>-125.1</v>
          </cell>
          <cell r="CM71">
            <v>-125.1</v>
          </cell>
          <cell r="CN71">
            <v>74.400000000000006</v>
          </cell>
          <cell r="CO71">
            <v>-125.1</v>
          </cell>
          <cell r="CP71">
            <v>-254.3</v>
          </cell>
          <cell r="CQ71">
            <v>-468.5</v>
          </cell>
          <cell r="CR71">
            <v>-87.3</v>
          </cell>
          <cell r="CS71">
            <v>143.80000000000001</v>
          </cell>
          <cell r="CT71">
            <v>55.2</v>
          </cell>
          <cell r="CU71">
            <v>-125.1</v>
          </cell>
          <cell r="CV71">
            <v>71.8</v>
          </cell>
          <cell r="CW71">
            <v>-125.1</v>
          </cell>
          <cell r="CX71">
            <v>-207.5</v>
          </cell>
          <cell r="CY71">
            <v>-86.1</v>
          </cell>
          <cell r="CZ71">
            <v>-245.3</v>
          </cell>
          <cell r="DA71">
            <v>-168.4</v>
          </cell>
          <cell r="DB71">
            <v>37.1</v>
          </cell>
          <cell r="DC71">
            <v>-245.3</v>
          </cell>
          <cell r="DD71">
            <v>-289.8</v>
          </cell>
          <cell r="DE71">
            <v>-149.1</v>
          </cell>
          <cell r="DF71">
            <v>-289.8</v>
          </cell>
          <cell r="DG71">
            <v>-282.2</v>
          </cell>
          <cell r="DH71">
            <v>-289.8</v>
          </cell>
          <cell r="DI71">
            <v>-650.9</v>
          </cell>
          <cell r="DJ71">
            <v>-655.8</v>
          </cell>
          <cell r="DK71">
            <v>-839.9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EK71" t="str">
            <v>Assume Zero</v>
          </cell>
          <cell r="EL71" t="str">
            <v>A_1420801</v>
          </cell>
        </row>
        <row r="72">
          <cell r="D72" t="str">
            <v>142</v>
          </cell>
          <cell r="E72">
            <v>142</v>
          </cell>
          <cell r="F72" t="str">
            <v>AR CIS</v>
          </cell>
          <cell r="G72">
            <v>22917.004769999996</v>
          </cell>
          <cell r="H72">
            <v>33888.100000000006</v>
          </cell>
          <cell r="I72">
            <v>34564.199999999997</v>
          </cell>
          <cell r="J72">
            <v>30784.000000000004</v>
          </cell>
          <cell r="K72">
            <v>29663.899999999998</v>
          </cell>
          <cell r="L72">
            <v>22479.699999999997</v>
          </cell>
          <cell r="M72">
            <v>22504.1</v>
          </cell>
          <cell r="N72">
            <v>23241.199999999997</v>
          </cell>
          <cell r="O72">
            <v>23878.399999999998</v>
          </cell>
          <cell r="P72">
            <v>22321.100000000002</v>
          </cell>
          <cell r="Q72">
            <v>22099.899999999998</v>
          </cell>
          <cell r="R72">
            <v>26323.5</v>
          </cell>
          <cell r="S72">
            <v>26034.799999999999</v>
          </cell>
          <cell r="T72">
            <v>32187.4</v>
          </cell>
          <cell r="U72">
            <v>34039.899999999994</v>
          </cell>
          <cell r="V72">
            <v>29541.399999999998</v>
          </cell>
          <cell r="W72">
            <v>28240.400000000001</v>
          </cell>
          <cell r="X72">
            <v>23565.399999999998</v>
          </cell>
          <cell r="Y72">
            <v>24075.499999999996</v>
          </cell>
          <cell r="Z72">
            <v>21417.4</v>
          </cell>
          <cell r="AA72">
            <v>24299.000000000004</v>
          </cell>
          <cell r="AB72">
            <v>23816.300000000003</v>
          </cell>
          <cell r="AC72">
            <v>23772</v>
          </cell>
          <cell r="AD72">
            <v>26518.700000000004</v>
          </cell>
          <cell r="AE72">
            <v>23370.2</v>
          </cell>
          <cell r="AF72">
            <v>31850.500000000004</v>
          </cell>
          <cell r="AG72">
            <v>33660.199999999997</v>
          </cell>
          <cell r="AH72">
            <v>27396.800000000003</v>
          </cell>
          <cell r="AI72">
            <v>26991.5</v>
          </cell>
          <cell r="AJ72">
            <v>25680.400000000001</v>
          </cell>
          <cell r="AK72">
            <v>25214.200000000004</v>
          </cell>
          <cell r="AL72">
            <v>27415.1</v>
          </cell>
          <cell r="AM72">
            <v>23394.9</v>
          </cell>
          <cell r="AN72">
            <v>21229.7</v>
          </cell>
          <cell r="AO72">
            <v>22666.7</v>
          </cell>
          <cell r="AP72">
            <v>17869.5</v>
          </cell>
          <cell r="AQ72">
            <v>20407.099999999999</v>
          </cell>
          <cell r="AR72">
            <v>29988.899999999998</v>
          </cell>
          <cell r="AS72">
            <v>30496.2</v>
          </cell>
          <cell r="AT72">
            <v>25425.4</v>
          </cell>
          <cell r="AU72">
            <v>29266.2</v>
          </cell>
          <cell r="AV72">
            <v>26764</v>
          </cell>
          <cell r="AW72">
            <v>23778.399999999998</v>
          </cell>
          <cell r="AX72">
            <v>24866.799999999999</v>
          </cell>
          <cell r="AY72">
            <v>19382.8</v>
          </cell>
          <cell r="AZ72">
            <v>26222.099999999995</v>
          </cell>
          <cell r="BA72">
            <v>21363.1</v>
          </cell>
          <cell r="BB72">
            <v>23526.699999999997</v>
          </cell>
          <cell r="BC72">
            <v>29589.7</v>
          </cell>
          <cell r="BD72">
            <v>39142.700000000004</v>
          </cell>
          <cell r="BE72">
            <v>33520.199999999997</v>
          </cell>
          <cell r="BF72">
            <v>28370</v>
          </cell>
          <cell r="BG72">
            <v>30347.5</v>
          </cell>
          <cell r="BH72">
            <v>26461.499999999996</v>
          </cell>
          <cell r="BI72">
            <v>26322.999999999996</v>
          </cell>
          <cell r="BJ72">
            <v>27677.8</v>
          </cell>
          <cell r="BK72">
            <v>22422.799999999999</v>
          </cell>
          <cell r="BL72">
            <v>26981.1</v>
          </cell>
          <cell r="BM72">
            <v>25315.799999999996</v>
          </cell>
          <cell r="BN72">
            <v>24158.699999999997</v>
          </cell>
          <cell r="BO72">
            <v>29542.6</v>
          </cell>
          <cell r="BP72">
            <v>32582.100000000002</v>
          </cell>
          <cell r="BQ72">
            <v>32195.8</v>
          </cell>
          <cell r="BR72">
            <v>29074.5</v>
          </cell>
          <cell r="BS72">
            <v>27185.5</v>
          </cell>
          <cell r="BT72">
            <v>25642.400000000001</v>
          </cell>
          <cell r="BU72">
            <v>23881.200000000001</v>
          </cell>
          <cell r="BV72">
            <v>21407.299999999996</v>
          </cell>
          <cell r="BW72">
            <v>20163.199999999997</v>
          </cell>
          <cell r="BX72">
            <v>23570.199999999997</v>
          </cell>
          <cell r="BY72">
            <v>20921.8</v>
          </cell>
          <cell r="BZ72">
            <v>25051.1</v>
          </cell>
          <cell r="CA72">
            <v>28445.699999999997</v>
          </cell>
          <cell r="CB72">
            <v>33691</v>
          </cell>
          <cell r="CC72">
            <v>31434.999999999996</v>
          </cell>
          <cell r="CD72">
            <v>28960.399999999998</v>
          </cell>
          <cell r="CE72">
            <v>25442.499999999996</v>
          </cell>
          <cell r="CF72">
            <v>24859.599999999999</v>
          </cell>
          <cell r="CG72">
            <v>24328.6</v>
          </cell>
          <cell r="CH72">
            <v>22554.300000000003</v>
          </cell>
          <cell r="CI72">
            <v>22331.699999999997</v>
          </cell>
          <cell r="CJ72">
            <v>23076.699999999997</v>
          </cell>
          <cell r="CK72">
            <v>21627.899999999998</v>
          </cell>
          <cell r="CL72">
            <v>25437.300000000003</v>
          </cell>
          <cell r="CM72">
            <v>29061.3</v>
          </cell>
          <cell r="CN72">
            <v>41434.80000000001</v>
          </cell>
          <cell r="CO72">
            <v>43191.8</v>
          </cell>
          <cell r="CP72">
            <v>37311.099999999991</v>
          </cell>
          <cell r="CQ72">
            <v>33050</v>
          </cell>
          <cell r="CR72">
            <v>31383.9</v>
          </cell>
          <cell r="CS72">
            <v>28707.699999999997</v>
          </cell>
          <cell r="CT72">
            <v>28842.400000000001</v>
          </cell>
          <cell r="CU72">
            <v>27207.300000000003</v>
          </cell>
          <cell r="CV72">
            <v>28836.799999999999</v>
          </cell>
          <cell r="CW72">
            <v>30680.700000000004</v>
          </cell>
          <cell r="CX72">
            <v>29358.9</v>
          </cell>
          <cell r="CY72">
            <v>34889.5</v>
          </cell>
          <cell r="CZ72">
            <v>46803.1</v>
          </cell>
          <cell r="DA72">
            <v>51862.2</v>
          </cell>
          <cell r="DB72">
            <v>42269</v>
          </cell>
          <cell r="DC72">
            <v>40632.799999999996</v>
          </cell>
          <cell r="DD72">
            <v>41650</v>
          </cell>
          <cell r="DE72">
            <v>37929.9</v>
          </cell>
          <cell r="DF72">
            <v>40669.5</v>
          </cell>
          <cell r="DG72">
            <v>36887.600000000006</v>
          </cell>
          <cell r="DH72">
            <v>36611.199999999997</v>
          </cell>
          <cell r="DI72">
            <v>34676.199999999997</v>
          </cell>
          <cell r="DJ72">
            <v>32838.699999999997</v>
          </cell>
          <cell r="DK72">
            <v>37678.300000000003</v>
          </cell>
          <cell r="DL72">
            <v>45420</v>
          </cell>
          <cell r="DM72">
            <v>49020</v>
          </cell>
          <cell r="DN72">
            <v>41020</v>
          </cell>
          <cell r="DO72">
            <v>38320</v>
          </cell>
          <cell r="DP72">
            <v>37720</v>
          </cell>
          <cell r="DQ72">
            <v>34220</v>
          </cell>
          <cell r="DR72">
            <v>35720</v>
          </cell>
          <cell r="DS72">
            <v>33020</v>
          </cell>
          <cell r="DT72">
            <v>33520</v>
          </cell>
          <cell r="DU72">
            <v>33820</v>
          </cell>
          <cell r="DV72">
            <v>32320</v>
          </cell>
          <cell r="DW72">
            <v>37820</v>
          </cell>
        </row>
        <row r="73">
          <cell r="A73" t="str">
            <v>Other Accounts Receivable 143/1720101</v>
          </cell>
          <cell r="B73" t="str">
            <v>Accounts Receivable - External SUB</v>
          </cell>
          <cell r="C73" t="str">
            <v>Other Accounts Receivable</v>
          </cell>
          <cell r="D73" t="str">
            <v>1430000</v>
          </cell>
          <cell r="E73" t="str">
            <v>A_1430000</v>
          </cell>
          <cell r="F73" t="str">
            <v>AR Misc Other (RECON)</v>
          </cell>
          <cell r="G73">
            <v>7.9392299999999993</v>
          </cell>
          <cell r="H73">
            <v>8.1999999999999993</v>
          </cell>
          <cell r="I73">
            <v>16.100000000000001</v>
          </cell>
          <cell r="J73">
            <v>10.9</v>
          </cell>
          <cell r="K73">
            <v>81.900000000000006</v>
          </cell>
          <cell r="L73">
            <v>61.5</v>
          </cell>
          <cell r="M73">
            <v>111.7</v>
          </cell>
          <cell r="N73">
            <v>206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225.9</v>
          </cell>
          <cell r="T73">
            <v>0.3</v>
          </cell>
          <cell r="U73">
            <v>82.4</v>
          </cell>
          <cell r="V73">
            <v>82.4</v>
          </cell>
          <cell r="W73">
            <v>106.8</v>
          </cell>
          <cell r="X73">
            <v>523.29999999999995</v>
          </cell>
          <cell r="Y73">
            <v>289.7</v>
          </cell>
          <cell r="Z73">
            <v>1034.5999999999999</v>
          </cell>
          <cell r="AA73">
            <v>57</v>
          </cell>
          <cell r="AB73">
            <v>57</v>
          </cell>
          <cell r="AC73">
            <v>0</v>
          </cell>
          <cell r="AD73">
            <v>26.3</v>
          </cell>
          <cell r="AE73">
            <v>207.5</v>
          </cell>
          <cell r="AF73">
            <v>3</v>
          </cell>
          <cell r="AG73">
            <v>377.4</v>
          </cell>
          <cell r="AH73">
            <v>9.5</v>
          </cell>
          <cell r="AI73">
            <v>25.3</v>
          </cell>
          <cell r="AJ73">
            <v>25.9</v>
          </cell>
          <cell r="AK73">
            <v>25.5</v>
          </cell>
          <cell r="AL73">
            <v>25.7</v>
          </cell>
          <cell r="AM73">
            <v>50</v>
          </cell>
          <cell r="AN73">
            <v>812.8</v>
          </cell>
          <cell r="AO73">
            <v>0</v>
          </cell>
          <cell r="AP73">
            <v>3.4</v>
          </cell>
          <cell r="AQ73">
            <v>551.29999999999995</v>
          </cell>
          <cell r="AR73">
            <v>374.4</v>
          </cell>
          <cell r="AS73">
            <v>389.2</v>
          </cell>
          <cell r="AT73">
            <v>593.79999999999995</v>
          </cell>
          <cell r="AU73">
            <v>393.5</v>
          </cell>
          <cell r="AV73">
            <v>843.1</v>
          </cell>
          <cell r="AW73">
            <v>710.7</v>
          </cell>
          <cell r="AX73">
            <v>375.1</v>
          </cell>
          <cell r="AY73">
            <v>209.1</v>
          </cell>
          <cell r="AZ73">
            <v>273</v>
          </cell>
          <cell r="BA73">
            <v>292.89999999999998</v>
          </cell>
          <cell r="BB73">
            <v>271.7</v>
          </cell>
          <cell r="BC73">
            <v>477</v>
          </cell>
          <cell r="BD73">
            <v>516.9</v>
          </cell>
          <cell r="BE73">
            <v>504.3</v>
          </cell>
          <cell r="BF73">
            <v>501.2</v>
          </cell>
          <cell r="BG73">
            <v>463.8</v>
          </cell>
          <cell r="BH73">
            <v>904.1</v>
          </cell>
          <cell r="BI73">
            <v>714.7</v>
          </cell>
          <cell r="BJ73">
            <v>494.4</v>
          </cell>
          <cell r="BK73">
            <v>675.4</v>
          </cell>
          <cell r="BL73">
            <v>558.79999999999995</v>
          </cell>
          <cell r="BM73">
            <v>527.5</v>
          </cell>
          <cell r="BN73">
            <v>320.5</v>
          </cell>
          <cell r="BO73">
            <v>492</v>
          </cell>
          <cell r="BP73">
            <v>425.5</v>
          </cell>
          <cell r="BQ73">
            <v>433.3</v>
          </cell>
          <cell r="BR73">
            <v>290.10000000000002</v>
          </cell>
          <cell r="BS73">
            <v>203.4</v>
          </cell>
          <cell r="BT73">
            <v>248.1</v>
          </cell>
          <cell r="BU73">
            <v>256.3</v>
          </cell>
          <cell r="BV73">
            <v>369.5</v>
          </cell>
          <cell r="BW73">
            <v>427.7</v>
          </cell>
          <cell r="BX73">
            <v>418.2</v>
          </cell>
          <cell r="BY73">
            <v>315.60000000000002</v>
          </cell>
          <cell r="BZ73">
            <v>336.1</v>
          </cell>
          <cell r="CA73">
            <v>443.1</v>
          </cell>
          <cell r="CB73">
            <v>357.1</v>
          </cell>
          <cell r="CC73">
            <v>452.1</v>
          </cell>
          <cell r="CD73">
            <v>540.4</v>
          </cell>
          <cell r="CE73">
            <v>900</v>
          </cell>
          <cell r="CF73">
            <v>1112.7</v>
          </cell>
          <cell r="CG73">
            <v>1321.4</v>
          </cell>
          <cell r="CH73">
            <v>1390.3</v>
          </cell>
          <cell r="CI73">
            <v>1091.5</v>
          </cell>
          <cell r="CJ73">
            <v>961</v>
          </cell>
          <cell r="CK73">
            <v>404.9</v>
          </cell>
          <cell r="CL73">
            <v>1294.5999999999999</v>
          </cell>
          <cell r="CM73">
            <v>554.9</v>
          </cell>
          <cell r="CN73">
            <v>248.3</v>
          </cell>
          <cell r="CO73">
            <v>361.3</v>
          </cell>
          <cell r="CP73">
            <v>301.7</v>
          </cell>
          <cell r="CQ73">
            <v>458.9</v>
          </cell>
          <cell r="CR73">
            <v>467.3</v>
          </cell>
          <cell r="CS73">
            <v>433</v>
          </cell>
          <cell r="CT73">
            <v>555.5</v>
          </cell>
          <cell r="CU73">
            <v>648.70000000000005</v>
          </cell>
          <cell r="CV73">
            <v>791.3</v>
          </cell>
          <cell r="CW73">
            <v>581.4</v>
          </cell>
          <cell r="CX73">
            <v>602.5</v>
          </cell>
          <cell r="CY73">
            <v>699.4</v>
          </cell>
          <cell r="CZ73">
            <v>519</v>
          </cell>
          <cell r="DA73">
            <v>828.7</v>
          </cell>
          <cell r="DB73">
            <v>636.5</v>
          </cell>
          <cell r="DC73">
            <v>657.9</v>
          </cell>
          <cell r="DD73">
            <v>738.2</v>
          </cell>
          <cell r="DE73">
            <v>819</v>
          </cell>
          <cell r="DF73">
            <v>3209.5</v>
          </cell>
          <cell r="DG73">
            <v>895.3</v>
          </cell>
          <cell r="DH73">
            <v>1025.5</v>
          </cell>
          <cell r="DI73">
            <v>1654</v>
          </cell>
          <cell r="DJ73">
            <v>1594</v>
          </cell>
          <cell r="DK73">
            <v>839.1</v>
          </cell>
          <cell r="DL73">
            <v>405.4</v>
          </cell>
          <cell r="DM73">
            <v>613.20000000000005</v>
          </cell>
          <cell r="DN73">
            <v>516.79999999999995</v>
          </cell>
          <cell r="DO73">
            <v>646.6</v>
          </cell>
          <cell r="DP73">
            <v>731.8</v>
          </cell>
          <cell r="DQ73">
            <v>803.7</v>
          </cell>
          <cell r="DR73">
            <v>2049.5</v>
          </cell>
          <cell r="DS73">
            <v>739.9</v>
          </cell>
          <cell r="DT73">
            <v>726.9</v>
          </cell>
          <cell r="DU73">
            <v>445.1</v>
          </cell>
          <cell r="DV73">
            <v>747.4</v>
          </cell>
          <cell r="DW73">
            <v>565</v>
          </cell>
          <cell r="EK73" t="str">
            <v>3 yr Avg (2020 to 2022 8+4F)</v>
          </cell>
          <cell r="EL73" t="str">
            <v>A_1430000</v>
          </cell>
          <cell r="EM73">
            <v>405410</v>
          </cell>
          <cell r="EN73">
            <v>613160.00000000012</v>
          </cell>
          <cell r="EO73">
            <v>516839.99999999994</v>
          </cell>
          <cell r="EP73">
            <v>646620</v>
          </cell>
          <cell r="EQ73">
            <v>731830</v>
          </cell>
          <cell r="ER73">
            <v>803680.00000000012</v>
          </cell>
          <cell r="ES73">
            <v>2049460</v>
          </cell>
          <cell r="ET73">
            <v>860560.00000000012</v>
          </cell>
          <cell r="EU73">
            <v>942339.99999999988</v>
          </cell>
          <cell r="EV73">
            <v>1082400</v>
          </cell>
          <cell r="EW73">
            <v>1236670</v>
          </cell>
          <cell r="EX73">
            <v>740350</v>
          </cell>
        </row>
        <row r="74">
          <cell r="A74" t="str">
            <v>Other Accounts Receivable 143/1720101</v>
          </cell>
          <cell r="B74" t="str">
            <v>Accounts Receivable - External SUB</v>
          </cell>
          <cell r="C74" t="str">
            <v>Other Accounts Receivable</v>
          </cell>
          <cell r="D74" t="str">
            <v>1430001</v>
          </cell>
          <cell r="E74" t="str">
            <v>A_1430001</v>
          </cell>
          <cell r="F74" t="str">
            <v>AR Misc Other (Posting)</v>
          </cell>
          <cell r="G74">
            <v>0</v>
          </cell>
          <cell r="H74">
            <v>0</v>
          </cell>
          <cell r="I74">
            <v>0</v>
          </cell>
          <cell r="J74">
            <v>19.399999999999999</v>
          </cell>
          <cell r="K74">
            <v>0</v>
          </cell>
          <cell r="L74">
            <v>0</v>
          </cell>
          <cell r="M74">
            <v>-95.5</v>
          </cell>
          <cell r="N74">
            <v>0</v>
          </cell>
          <cell r="O74">
            <v>0</v>
          </cell>
          <cell r="P74">
            <v>30.9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-34.1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60</v>
          </cell>
          <cell r="AL74">
            <v>60</v>
          </cell>
          <cell r="AM74">
            <v>60</v>
          </cell>
          <cell r="AN74">
            <v>60</v>
          </cell>
          <cell r="AO74">
            <v>60</v>
          </cell>
          <cell r="AP74">
            <v>60</v>
          </cell>
          <cell r="AQ74">
            <v>60</v>
          </cell>
          <cell r="AR74">
            <v>-268.60000000000002</v>
          </cell>
          <cell r="AS74">
            <v>-1.8</v>
          </cell>
          <cell r="AT74">
            <v>60</v>
          </cell>
          <cell r="AU74">
            <v>60</v>
          </cell>
          <cell r="AV74">
            <v>60</v>
          </cell>
          <cell r="AW74">
            <v>60</v>
          </cell>
          <cell r="AX74">
            <v>60</v>
          </cell>
          <cell r="AY74">
            <v>60</v>
          </cell>
          <cell r="AZ74">
            <v>52.9</v>
          </cell>
          <cell r="BA74">
            <v>52.9</v>
          </cell>
          <cell r="BB74">
            <v>32.9</v>
          </cell>
          <cell r="BC74">
            <v>122.1</v>
          </cell>
          <cell r="BD74">
            <v>32.9</v>
          </cell>
          <cell r="BE74">
            <v>19.5</v>
          </cell>
          <cell r="BF74">
            <v>12.9</v>
          </cell>
          <cell r="BG74">
            <v>12.9</v>
          </cell>
          <cell r="BH74">
            <v>12.9</v>
          </cell>
          <cell r="BI74">
            <v>12.9</v>
          </cell>
          <cell r="BJ74">
            <v>12.9</v>
          </cell>
          <cell r="BK74">
            <v>12.9</v>
          </cell>
          <cell r="BL74">
            <v>12.9</v>
          </cell>
          <cell r="BM74">
            <v>12.9</v>
          </cell>
          <cell r="BN74">
            <v>-7.1</v>
          </cell>
          <cell r="BO74">
            <v>-130</v>
          </cell>
          <cell r="BP74">
            <v>14.8</v>
          </cell>
          <cell r="BQ74">
            <v>14.8</v>
          </cell>
          <cell r="BR74">
            <v>-7.1</v>
          </cell>
          <cell r="BS74">
            <v>-7.1</v>
          </cell>
          <cell r="BT74">
            <v>30.7</v>
          </cell>
          <cell r="BU74">
            <v>130</v>
          </cell>
          <cell r="BV74">
            <v>92.2</v>
          </cell>
          <cell r="BW74">
            <v>-7.1</v>
          </cell>
          <cell r="BX74">
            <v>-7.1</v>
          </cell>
          <cell r="BY74">
            <v>-7.1</v>
          </cell>
          <cell r="BZ74">
            <v>30.7</v>
          </cell>
          <cell r="CA74">
            <v>25.7</v>
          </cell>
          <cell r="CB74">
            <v>-11.1</v>
          </cell>
          <cell r="CC74">
            <v>-42</v>
          </cell>
          <cell r="CD74">
            <v>197.1</v>
          </cell>
          <cell r="CE74">
            <v>24.3</v>
          </cell>
          <cell r="CF74">
            <v>-11.4</v>
          </cell>
          <cell r="CG74">
            <v>-11.4</v>
          </cell>
          <cell r="CH74">
            <v>-11.4</v>
          </cell>
          <cell r="CI74">
            <v>-11.4</v>
          </cell>
          <cell r="CJ74">
            <v>-11.4</v>
          </cell>
          <cell r="CK74">
            <v>-24.2</v>
          </cell>
          <cell r="CL74">
            <v>13.6</v>
          </cell>
          <cell r="CM74">
            <v>13.6</v>
          </cell>
          <cell r="CN74">
            <v>-7.5</v>
          </cell>
          <cell r="CO74">
            <v>-7.1</v>
          </cell>
          <cell r="CP74">
            <v>-7.1</v>
          </cell>
          <cell r="CQ74">
            <v>-7.1</v>
          </cell>
          <cell r="CR74">
            <v>-7.1</v>
          </cell>
          <cell r="CS74">
            <v>-7.1</v>
          </cell>
          <cell r="CT74">
            <v>-7.1</v>
          </cell>
          <cell r="CU74">
            <v>-7.1</v>
          </cell>
          <cell r="CV74">
            <v>-7.1</v>
          </cell>
          <cell r="CW74">
            <v>-7.1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973.1</v>
          </cell>
          <cell r="DF74">
            <v>580.79999999999995</v>
          </cell>
          <cell r="DG74">
            <v>-0.2</v>
          </cell>
          <cell r="DH74">
            <v>1295.5</v>
          </cell>
          <cell r="DI74">
            <v>-3.6</v>
          </cell>
          <cell r="DJ74">
            <v>1021.7</v>
          </cell>
          <cell r="DK74">
            <v>552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</row>
        <row r="75">
          <cell r="A75" t="str">
            <v>Other Accounts Receivable 143/1720101</v>
          </cell>
          <cell r="B75" t="str">
            <v>Accounts Receivable - External SUB</v>
          </cell>
          <cell r="C75" t="str">
            <v>Other Accounts Receivable</v>
          </cell>
          <cell r="D75" t="str">
            <v>1430005</v>
          </cell>
          <cell r="E75" t="str">
            <v>A_1430005</v>
          </cell>
          <cell r="F75" t="str">
            <v>AR - Vendor Advance Payments (RECON)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122.9</v>
          </cell>
          <cell r="DK75">
            <v>122.9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</row>
        <row r="76">
          <cell r="A76" t="str">
            <v>Other Accounts Receivable 143/1720101</v>
          </cell>
          <cell r="B76" t="str">
            <v>Accounts Receivable - External SUB</v>
          </cell>
          <cell r="C76" t="str">
            <v>Other Accounts Receivable</v>
          </cell>
          <cell r="D76" t="str">
            <v>1430030</v>
          </cell>
          <cell r="E76" t="str">
            <v>A_1430030</v>
          </cell>
          <cell r="F76" t="str">
            <v xml:space="preserve">AR - Employee Advances </v>
          </cell>
          <cell r="G76">
            <v>0</v>
          </cell>
          <cell r="H76">
            <v>0</v>
          </cell>
          <cell r="I76">
            <v>0</v>
          </cell>
          <cell r="J76">
            <v>0.3</v>
          </cell>
          <cell r="K76">
            <v>0.3</v>
          </cell>
          <cell r="L76">
            <v>0.3</v>
          </cell>
          <cell r="M76">
            <v>0.3</v>
          </cell>
          <cell r="N76">
            <v>0.3</v>
          </cell>
          <cell r="O76">
            <v>0.3</v>
          </cell>
          <cell r="P76">
            <v>0.3</v>
          </cell>
          <cell r="Q76">
            <v>0.3</v>
          </cell>
          <cell r="R76">
            <v>0.3</v>
          </cell>
          <cell r="S76">
            <v>0.3</v>
          </cell>
          <cell r="T76">
            <v>0.3</v>
          </cell>
          <cell r="U76">
            <v>0.3</v>
          </cell>
          <cell r="V76">
            <v>0.3</v>
          </cell>
          <cell r="W76">
            <v>0.3</v>
          </cell>
          <cell r="X76">
            <v>0.3</v>
          </cell>
          <cell r="Y76">
            <v>0.3</v>
          </cell>
          <cell r="Z76">
            <v>0.3</v>
          </cell>
          <cell r="AA76">
            <v>0.3</v>
          </cell>
          <cell r="AB76">
            <v>0.3</v>
          </cell>
          <cell r="AC76">
            <v>0.3</v>
          </cell>
          <cell r="AD76">
            <v>0.3</v>
          </cell>
          <cell r="AE76">
            <v>0.3</v>
          </cell>
          <cell r="AF76">
            <v>0.3</v>
          </cell>
          <cell r="AG76">
            <v>0.3</v>
          </cell>
          <cell r="AH76">
            <v>0.3</v>
          </cell>
          <cell r="AI76">
            <v>0.3</v>
          </cell>
          <cell r="AJ76">
            <v>0.3</v>
          </cell>
          <cell r="AK76">
            <v>0.3</v>
          </cell>
          <cell r="AL76">
            <v>0.3</v>
          </cell>
          <cell r="AM76">
            <v>0.3</v>
          </cell>
          <cell r="AN76">
            <v>0.3</v>
          </cell>
          <cell r="AO76">
            <v>0.3</v>
          </cell>
          <cell r="AP76">
            <v>0.3</v>
          </cell>
          <cell r="AQ76">
            <v>0.3</v>
          </cell>
          <cell r="AR76">
            <v>0.3</v>
          </cell>
          <cell r="AS76">
            <v>0.3</v>
          </cell>
          <cell r="AT76">
            <v>0.3</v>
          </cell>
          <cell r="AU76">
            <v>0.3</v>
          </cell>
          <cell r="AV76">
            <v>0.3</v>
          </cell>
          <cell r="AW76">
            <v>0.6</v>
          </cell>
          <cell r="AX76">
            <v>0.3</v>
          </cell>
          <cell r="AY76">
            <v>0.3</v>
          </cell>
          <cell r="AZ76">
            <v>0.3</v>
          </cell>
          <cell r="BA76">
            <v>0.3</v>
          </cell>
          <cell r="BB76">
            <v>0</v>
          </cell>
          <cell r="BC76">
            <v>1.7</v>
          </cell>
          <cell r="BD76">
            <v>1.4</v>
          </cell>
          <cell r="BE76">
            <v>1.1000000000000001</v>
          </cell>
          <cell r="BF76">
            <v>0.6</v>
          </cell>
          <cell r="BG76">
            <v>0.3</v>
          </cell>
          <cell r="BH76">
            <v>0.3</v>
          </cell>
          <cell r="BI76">
            <v>0.3</v>
          </cell>
          <cell r="BJ76">
            <v>0.3</v>
          </cell>
          <cell r="BK76">
            <v>0.3</v>
          </cell>
          <cell r="BL76">
            <v>0.3</v>
          </cell>
          <cell r="BM76">
            <v>0.3</v>
          </cell>
          <cell r="BN76">
            <v>0.3</v>
          </cell>
          <cell r="BO76">
            <v>0.3</v>
          </cell>
          <cell r="BP76">
            <v>0.3</v>
          </cell>
          <cell r="BQ76">
            <v>0.3</v>
          </cell>
          <cell r="BR76">
            <v>0.3</v>
          </cell>
          <cell r="BS76">
            <v>0.3</v>
          </cell>
          <cell r="BT76">
            <v>0.3</v>
          </cell>
          <cell r="BU76">
            <v>0.7</v>
          </cell>
          <cell r="BV76">
            <v>0.7</v>
          </cell>
          <cell r="BW76">
            <v>0.7</v>
          </cell>
          <cell r="BX76">
            <v>0.7</v>
          </cell>
          <cell r="BY76">
            <v>0.7</v>
          </cell>
          <cell r="BZ76">
            <v>0.7</v>
          </cell>
          <cell r="CA76">
            <v>0.7</v>
          </cell>
          <cell r="CB76">
            <v>0.7</v>
          </cell>
          <cell r="CC76">
            <v>0.7</v>
          </cell>
          <cell r="CD76">
            <v>0.7</v>
          </cell>
          <cell r="CE76">
            <v>0.7</v>
          </cell>
          <cell r="CF76">
            <v>0.7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4.9000000000000004</v>
          </cell>
          <cell r="CN76">
            <v>4.9000000000000004</v>
          </cell>
          <cell r="CO76">
            <v>4.9000000000000004</v>
          </cell>
          <cell r="CP76">
            <v>4.9000000000000004</v>
          </cell>
          <cell r="CQ76">
            <v>4.9000000000000004</v>
          </cell>
          <cell r="CR76">
            <v>4.9000000000000004</v>
          </cell>
          <cell r="CS76">
            <v>4.9000000000000004</v>
          </cell>
          <cell r="CT76">
            <v>4.9000000000000004</v>
          </cell>
          <cell r="CU76">
            <v>5.2</v>
          </cell>
          <cell r="CV76">
            <v>5.2</v>
          </cell>
          <cell r="CW76">
            <v>5.2</v>
          </cell>
          <cell r="CX76">
            <v>5.2</v>
          </cell>
          <cell r="CY76">
            <v>5.2</v>
          </cell>
          <cell r="CZ76">
            <v>5.2</v>
          </cell>
          <cell r="DA76">
            <v>5.2</v>
          </cell>
          <cell r="DB76">
            <v>5.2</v>
          </cell>
          <cell r="DC76">
            <v>5.2</v>
          </cell>
          <cell r="DD76">
            <v>5.2</v>
          </cell>
          <cell r="DE76">
            <v>5.2</v>
          </cell>
          <cell r="DF76">
            <v>5.2</v>
          </cell>
          <cell r="DG76">
            <v>5.2</v>
          </cell>
          <cell r="DH76">
            <v>5.2</v>
          </cell>
          <cell r="DI76">
            <v>5.2</v>
          </cell>
          <cell r="DJ76">
            <v>5.2</v>
          </cell>
          <cell r="DK76">
            <v>5.2</v>
          </cell>
          <cell r="DL76">
            <v>4.2</v>
          </cell>
          <cell r="DM76">
            <v>4.2</v>
          </cell>
          <cell r="DN76">
            <v>4.2</v>
          </cell>
          <cell r="DO76">
            <v>4.2</v>
          </cell>
          <cell r="DP76">
            <v>4.2</v>
          </cell>
          <cell r="DQ76">
            <v>4.0999999999999996</v>
          </cell>
          <cell r="DR76">
            <v>4.0999999999999996</v>
          </cell>
          <cell r="DS76">
            <v>1.7</v>
          </cell>
          <cell r="DT76">
            <v>1.7</v>
          </cell>
          <cell r="DU76">
            <v>1.7</v>
          </cell>
          <cell r="DV76">
            <v>1.7</v>
          </cell>
          <cell r="DW76">
            <v>3.5</v>
          </cell>
          <cell r="EK76" t="str">
            <v>3 yr Avg (2020 to 2022 8+4F)</v>
          </cell>
          <cell r="EL76" t="str">
            <v>A_1430030</v>
          </cell>
          <cell r="EM76">
            <v>4210</v>
          </cell>
          <cell r="EN76">
            <v>4210</v>
          </cell>
          <cell r="EO76">
            <v>4210</v>
          </cell>
          <cell r="EP76">
            <v>4210</v>
          </cell>
          <cell r="EQ76">
            <v>4210</v>
          </cell>
          <cell r="ER76">
            <v>4070.0000000000005</v>
          </cell>
          <cell r="ES76">
            <v>4070.0000000000005</v>
          </cell>
          <cell r="ET76">
            <v>4160</v>
          </cell>
          <cell r="EU76">
            <v>4160</v>
          </cell>
          <cell r="EV76">
            <v>4160</v>
          </cell>
          <cell r="EW76">
            <v>4160</v>
          </cell>
          <cell r="EX76">
            <v>5140.0000000000009</v>
          </cell>
        </row>
        <row r="77">
          <cell r="A77" t="str">
            <v>Other Accounts Receivable 143/1720101</v>
          </cell>
          <cell r="B77" t="str">
            <v>Accounts Receivable - External SUB</v>
          </cell>
          <cell r="C77" t="str">
            <v>Other Accounts Receivable</v>
          </cell>
          <cell r="D77" t="str">
            <v>1430036</v>
          </cell>
          <cell r="E77" t="str">
            <v>A_1430036</v>
          </cell>
          <cell r="F77" t="str">
            <v>AR - Employee Personal Reimbursement Pcard Charge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0.1</v>
          </cell>
          <cell r="CN77">
            <v>0.1</v>
          </cell>
          <cell r="CO77">
            <v>0.1</v>
          </cell>
          <cell r="CP77">
            <v>0.2</v>
          </cell>
          <cell r="CQ77">
            <v>0.2</v>
          </cell>
          <cell r="CR77">
            <v>0.2</v>
          </cell>
          <cell r="CS77">
            <v>0.2</v>
          </cell>
          <cell r="CT77">
            <v>0.2</v>
          </cell>
          <cell r="CU77">
            <v>0.2</v>
          </cell>
          <cell r="CV77">
            <v>0.2</v>
          </cell>
          <cell r="CW77">
            <v>0.2</v>
          </cell>
          <cell r="CX77">
            <v>0.2</v>
          </cell>
          <cell r="CY77">
            <v>0.2</v>
          </cell>
          <cell r="CZ77">
            <v>0.2</v>
          </cell>
          <cell r="DA77">
            <v>0.2</v>
          </cell>
          <cell r="DB77">
            <v>0.2</v>
          </cell>
          <cell r="DC77">
            <v>0.2</v>
          </cell>
          <cell r="DD77">
            <v>0.2</v>
          </cell>
          <cell r="DE77">
            <v>0.2</v>
          </cell>
          <cell r="DF77">
            <v>0.2</v>
          </cell>
          <cell r="DG77">
            <v>0.2</v>
          </cell>
          <cell r="DH77">
            <v>0.2</v>
          </cell>
          <cell r="DI77">
            <v>0.2</v>
          </cell>
          <cell r="DJ77">
            <v>0.2</v>
          </cell>
          <cell r="DK77">
            <v>0.2</v>
          </cell>
          <cell r="DL77">
            <v>0.1</v>
          </cell>
          <cell r="DM77">
            <v>0.1</v>
          </cell>
          <cell r="DN77">
            <v>0.2</v>
          </cell>
          <cell r="DO77">
            <v>0.2</v>
          </cell>
          <cell r="DP77">
            <v>0.2</v>
          </cell>
          <cell r="DQ77">
            <v>0.2</v>
          </cell>
          <cell r="DR77">
            <v>0.2</v>
          </cell>
          <cell r="DS77">
            <v>0.1</v>
          </cell>
          <cell r="DT77">
            <v>0.1</v>
          </cell>
          <cell r="DU77">
            <v>0.1</v>
          </cell>
          <cell r="DV77">
            <v>0.1</v>
          </cell>
          <cell r="DW77">
            <v>0.1</v>
          </cell>
          <cell r="EK77" t="str">
            <v>3 yr Avg (2020 to 2022 8+4F)</v>
          </cell>
          <cell r="EL77" t="str">
            <v>A_1430036</v>
          </cell>
          <cell r="EM77">
            <v>130</v>
          </cell>
          <cell r="EN77">
            <v>130</v>
          </cell>
          <cell r="EO77">
            <v>160</v>
          </cell>
          <cell r="EP77">
            <v>160</v>
          </cell>
          <cell r="EQ77">
            <v>160</v>
          </cell>
          <cell r="ER77">
            <v>160</v>
          </cell>
          <cell r="ES77">
            <v>160</v>
          </cell>
          <cell r="ET77">
            <v>160</v>
          </cell>
          <cell r="EU77">
            <v>160</v>
          </cell>
          <cell r="EV77">
            <v>160</v>
          </cell>
          <cell r="EW77">
            <v>160</v>
          </cell>
          <cell r="EX77">
            <v>180</v>
          </cell>
        </row>
        <row r="78">
          <cell r="A78" t="str">
            <v>Other Accounts Receivable 143/1720101</v>
          </cell>
          <cell r="B78" t="str">
            <v>Accounts Receivable - External SUB</v>
          </cell>
          <cell r="C78" t="str">
            <v>Other Accounts Receivable</v>
          </cell>
          <cell r="D78" t="str">
            <v>1430040</v>
          </cell>
          <cell r="E78" t="str">
            <v>A_1430040</v>
          </cell>
          <cell r="F78" t="str">
            <v>AR - Employee Purchases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6281.5</v>
          </cell>
          <cell r="AS78">
            <v>6084.4</v>
          </cell>
          <cell r="AT78">
            <v>5842.4</v>
          </cell>
          <cell r="AU78">
            <v>5641.9</v>
          </cell>
          <cell r="AV78">
            <v>5415.3</v>
          </cell>
          <cell r="AW78">
            <v>5198.3</v>
          </cell>
          <cell r="AX78">
            <v>4989.8</v>
          </cell>
          <cell r="AY78">
            <v>4769.7</v>
          </cell>
          <cell r="AZ78">
            <v>4605.7</v>
          </cell>
          <cell r="BA78">
            <v>4411.5</v>
          </cell>
          <cell r="BB78">
            <v>4240.2</v>
          </cell>
          <cell r="BC78">
            <v>4082.8</v>
          </cell>
          <cell r="BD78">
            <v>3910.3</v>
          </cell>
          <cell r="BE78">
            <v>3754.4</v>
          </cell>
          <cell r="BF78">
            <v>3591.4</v>
          </cell>
          <cell r="BG78">
            <v>3436.9</v>
          </cell>
          <cell r="BH78">
            <v>3278.9</v>
          </cell>
          <cell r="BI78">
            <v>3129.3</v>
          </cell>
          <cell r="BJ78">
            <v>2978.7</v>
          </cell>
          <cell r="BK78">
            <v>2822.3</v>
          </cell>
          <cell r="BL78">
            <v>2708.1</v>
          </cell>
          <cell r="BM78">
            <v>2566.1999999999998</v>
          </cell>
          <cell r="BN78">
            <v>2437.1999999999998</v>
          </cell>
          <cell r="BO78">
            <v>2314.1</v>
          </cell>
          <cell r="BP78">
            <v>2191.1999999999998</v>
          </cell>
          <cell r="BQ78">
            <v>2079.1</v>
          </cell>
          <cell r="BR78">
            <v>1960</v>
          </cell>
          <cell r="BS78">
            <v>1840.5</v>
          </cell>
          <cell r="BT78">
            <v>1725.7</v>
          </cell>
          <cell r="BU78">
            <v>1624.3</v>
          </cell>
          <cell r="BV78">
            <v>1461.8</v>
          </cell>
          <cell r="BW78">
            <v>1349.9</v>
          </cell>
          <cell r="BX78">
            <v>1257.5</v>
          </cell>
          <cell r="BY78">
            <v>1157.8</v>
          </cell>
          <cell r="BZ78">
            <v>1073.8</v>
          </cell>
          <cell r="CA78">
            <v>982.7</v>
          </cell>
          <cell r="CB78">
            <v>900.5</v>
          </cell>
          <cell r="CC78">
            <v>824.1</v>
          </cell>
          <cell r="CD78">
            <v>747.3</v>
          </cell>
          <cell r="CE78">
            <v>678.7</v>
          </cell>
          <cell r="CF78">
            <v>616</v>
          </cell>
          <cell r="CG78">
            <v>551.9</v>
          </cell>
          <cell r="CH78">
            <v>492.1</v>
          </cell>
          <cell r="CI78">
            <v>439.6</v>
          </cell>
          <cell r="CJ78">
            <v>389</v>
          </cell>
          <cell r="CK78">
            <v>337</v>
          </cell>
          <cell r="CL78">
            <v>294.5</v>
          </cell>
          <cell r="CM78">
            <v>252.4</v>
          </cell>
          <cell r="CN78">
            <v>217.6</v>
          </cell>
          <cell r="CO78">
            <v>185</v>
          </cell>
          <cell r="CP78">
            <v>153.4</v>
          </cell>
          <cell r="CQ78">
            <v>127.6</v>
          </cell>
          <cell r="CR78">
            <v>107</v>
          </cell>
          <cell r="CS78">
            <v>84.5</v>
          </cell>
          <cell r="CT78">
            <v>64.400000000000006</v>
          </cell>
          <cell r="CU78">
            <v>48.3</v>
          </cell>
          <cell r="CV78">
            <v>36.200000000000003</v>
          </cell>
          <cell r="CW78">
            <v>27.8</v>
          </cell>
          <cell r="CX78">
            <v>21.7</v>
          </cell>
          <cell r="CY78">
            <v>18.399999999999999</v>
          </cell>
          <cell r="CZ78">
            <v>14.8</v>
          </cell>
          <cell r="DA78">
            <v>9.5</v>
          </cell>
          <cell r="DB78">
            <v>9</v>
          </cell>
          <cell r="DC78">
            <v>8.8000000000000007</v>
          </cell>
          <cell r="DD78">
            <v>10.1</v>
          </cell>
          <cell r="DE78">
            <v>9.8000000000000007</v>
          </cell>
          <cell r="DF78">
            <v>10.199999999999999</v>
          </cell>
          <cell r="DG78">
            <v>10</v>
          </cell>
          <cell r="DH78">
            <v>9.6</v>
          </cell>
          <cell r="DI78">
            <v>9.4</v>
          </cell>
          <cell r="DJ78">
            <v>9.1999999999999993</v>
          </cell>
          <cell r="DK78">
            <v>9.1</v>
          </cell>
          <cell r="DL78">
            <v>10</v>
          </cell>
          <cell r="DM78">
            <v>10</v>
          </cell>
          <cell r="DN78">
            <v>10</v>
          </cell>
          <cell r="DO78">
            <v>10</v>
          </cell>
          <cell r="DP78">
            <v>10</v>
          </cell>
          <cell r="DQ78">
            <v>10</v>
          </cell>
          <cell r="DR78">
            <v>10</v>
          </cell>
          <cell r="DS78">
            <v>10</v>
          </cell>
          <cell r="DT78">
            <v>10</v>
          </cell>
          <cell r="DU78">
            <v>10</v>
          </cell>
          <cell r="DV78">
            <v>10</v>
          </cell>
          <cell r="DW78">
            <v>10</v>
          </cell>
          <cell r="EL78" t="str">
            <v>A_1430040</v>
          </cell>
          <cell r="EM78">
            <v>10000</v>
          </cell>
          <cell r="EN78">
            <v>10000</v>
          </cell>
          <cell r="EO78">
            <v>10000</v>
          </cell>
          <cell r="EP78">
            <v>10000</v>
          </cell>
          <cell r="EQ78">
            <v>10000</v>
          </cell>
          <cell r="ER78">
            <v>10000</v>
          </cell>
          <cell r="ES78">
            <v>10000</v>
          </cell>
          <cell r="ET78">
            <v>10000</v>
          </cell>
          <cell r="EU78">
            <v>10000</v>
          </cell>
          <cell r="EV78">
            <v>10000</v>
          </cell>
          <cell r="EW78">
            <v>10000</v>
          </cell>
          <cell r="EX78">
            <v>10000</v>
          </cell>
        </row>
        <row r="79">
          <cell r="A79" t="str">
            <v>Other Accounts Receivable 143/1720101</v>
          </cell>
          <cell r="B79" t="str">
            <v>Accounts Receivable - External SUB</v>
          </cell>
          <cell r="C79" t="str">
            <v>Other Accounts Receivable</v>
          </cell>
          <cell r="D79" t="str">
            <v>1430300</v>
          </cell>
          <cell r="E79" t="str">
            <v>A_1430300</v>
          </cell>
          <cell r="F79" t="str">
            <v xml:space="preserve">AR - Income Taxes Receivable - Federal  </v>
          </cell>
          <cell r="G79">
            <v>964.32518000000005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9712.2999999999993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13507.1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964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208</v>
          </cell>
          <cell r="CB79">
            <v>208</v>
          </cell>
          <cell r="CC79">
            <v>208</v>
          </cell>
          <cell r="CD79">
            <v>208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3163.3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EK79" t="str">
            <v>Tax</v>
          </cell>
        </row>
        <row r="80">
          <cell r="A80" t="str">
            <v>Other Accounts Receivable 143/1720101</v>
          </cell>
          <cell r="B80" t="str">
            <v>Accounts Receivable - External SUB</v>
          </cell>
          <cell r="C80" t="str">
            <v>Other Accounts Receivable</v>
          </cell>
          <cell r="D80" t="str">
            <v>1430400</v>
          </cell>
          <cell r="E80" t="str">
            <v>A_1430400</v>
          </cell>
          <cell r="F80" t="str">
            <v>AR Income Tax Receivable - State</v>
          </cell>
          <cell r="G80">
            <v>56.521039999999999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314.60000000000002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215.9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277.60000000000002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34.299999999999997</v>
          </cell>
          <cell r="CB80">
            <v>34.299999999999997</v>
          </cell>
          <cell r="CC80">
            <v>34.299999999999997</v>
          </cell>
          <cell r="CD80">
            <v>34.299999999999997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791.6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EK80" t="str">
            <v>Tax</v>
          </cell>
        </row>
        <row r="81">
          <cell r="A81" t="str">
            <v>Other Accounts Receivable 143/1720101</v>
          </cell>
          <cell r="B81" t="str">
            <v>Accounts Receivable - External SUB</v>
          </cell>
          <cell r="C81" t="str">
            <v>Other Accounts Receivable</v>
          </cell>
          <cell r="D81" t="str">
            <v>1430500</v>
          </cell>
          <cell r="E81" t="str">
            <v>A_1430500</v>
          </cell>
          <cell r="F81" t="str">
            <v>AR - CIS Incremental Billing - Non-Gas</v>
          </cell>
          <cell r="G81">
            <v>5905.0803900000001</v>
          </cell>
          <cell r="H81">
            <v>5863.5</v>
          </cell>
          <cell r="I81">
            <v>5810.2</v>
          </cell>
          <cell r="J81">
            <v>5753.3</v>
          </cell>
          <cell r="K81">
            <v>5690.2</v>
          </cell>
          <cell r="L81">
            <v>5565</v>
          </cell>
          <cell r="M81">
            <v>5487.9</v>
          </cell>
          <cell r="N81">
            <v>5436.7</v>
          </cell>
          <cell r="O81">
            <v>5366.4</v>
          </cell>
          <cell r="P81">
            <v>5359.1</v>
          </cell>
          <cell r="Q81">
            <v>5342.1</v>
          </cell>
          <cell r="R81">
            <v>5406.2</v>
          </cell>
          <cell r="S81">
            <v>5477.7</v>
          </cell>
          <cell r="T81">
            <v>5815.7</v>
          </cell>
          <cell r="U81">
            <v>5844.9</v>
          </cell>
          <cell r="V81">
            <v>5910.7</v>
          </cell>
          <cell r="W81">
            <v>5859.8</v>
          </cell>
          <cell r="X81">
            <v>5852.7</v>
          </cell>
          <cell r="Y81">
            <v>5892.3</v>
          </cell>
          <cell r="Z81">
            <v>5963.4</v>
          </cell>
          <cell r="AA81">
            <v>6061.5</v>
          </cell>
          <cell r="AB81">
            <v>6194.1</v>
          </cell>
          <cell r="AC81">
            <v>6264.4</v>
          </cell>
          <cell r="AD81">
            <v>6198.2</v>
          </cell>
          <cell r="AE81">
            <v>6283.1</v>
          </cell>
          <cell r="AF81">
            <v>6356.6</v>
          </cell>
          <cell r="AG81">
            <v>6427.9</v>
          </cell>
          <cell r="AH81">
            <v>6466.3</v>
          </cell>
          <cell r="AI81">
            <v>6474.1</v>
          </cell>
          <cell r="AJ81">
            <v>6510</v>
          </cell>
          <cell r="AK81">
            <v>6528</v>
          </cell>
          <cell r="AL81">
            <v>6538.3</v>
          </cell>
          <cell r="AM81">
            <v>6543</v>
          </cell>
          <cell r="AN81">
            <v>6539.2</v>
          </cell>
          <cell r="AO81">
            <v>6576.7</v>
          </cell>
          <cell r="AP81">
            <v>6600.4</v>
          </cell>
          <cell r="AQ81">
            <v>6367.8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EK81" t="str">
            <v>No longer using account (now 1430040)</v>
          </cell>
          <cell r="EL81" t="str">
            <v>A_1430500</v>
          </cell>
        </row>
        <row r="82">
          <cell r="A82" t="str">
            <v>Other Accounts Receivable 143/1720101</v>
          </cell>
          <cell r="B82" t="str">
            <v>Accounts Receivable - External SUB</v>
          </cell>
          <cell r="C82" t="str">
            <v>Other Accounts Receivable</v>
          </cell>
          <cell r="D82" t="str">
            <v>1430510</v>
          </cell>
          <cell r="E82" t="str">
            <v>A_1430510</v>
          </cell>
          <cell r="F82" t="str">
            <v>AR - CIS Jobbing Reclass</v>
          </cell>
          <cell r="G82">
            <v>299.54482000000002</v>
          </cell>
          <cell r="H82">
            <v>311.8</v>
          </cell>
          <cell r="I82">
            <v>298.2</v>
          </cell>
          <cell r="J82">
            <v>293.89999999999998</v>
          </cell>
          <cell r="K82">
            <v>300.5</v>
          </cell>
          <cell r="L82">
            <v>319.7</v>
          </cell>
          <cell r="M82">
            <v>328.4</v>
          </cell>
          <cell r="N82">
            <v>309.10000000000002</v>
          </cell>
          <cell r="O82">
            <v>258.10000000000002</v>
          </cell>
          <cell r="P82">
            <v>244.4</v>
          </cell>
          <cell r="Q82">
            <v>269.39999999999998</v>
          </cell>
          <cell r="R82">
            <v>269.60000000000002</v>
          </cell>
          <cell r="S82">
            <v>275.7</v>
          </cell>
          <cell r="T82">
            <v>284.60000000000002</v>
          </cell>
          <cell r="U82">
            <v>273</v>
          </cell>
          <cell r="V82">
            <v>255</v>
          </cell>
          <cell r="W82">
            <v>292.3</v>
          </cell>
          <cell r="X82">
            <v>284.7</v>
          </cell>
          <cell r="Y82">
            <v>294.60000000000002</v>
          </cell>
          <cell r="Z82">
            <v>288.5</v>
          </cell>
          <cell r="AA82">
            <v>261.89999999999998</v>
          </cell>
          <cell r="AB82">
            <v>281.10000000000002</v>
          </cell>
          <cell r="AC82">
            <v>306.39999999999998</v>
          </cell>
          <cell r="AD82">
            <v>280.89999999999998</v>
          </cell>
          <cell r="AE82">
            <v>260</v>
          </cell>
          <cell r="AF82">
            <v>300.5</v>
          </cell>
          <cell r="AG82">
            <v>312.2</v>
          </cell>
          <cell r="AH82">
            <v>328.7</v>
          </cell>
          <cell r="AI82">
            <v>390.2</v>
          </cell>
          <cell r="AJ82">
            <v>329.4</v>
          </cell>
          <cell r="AK82">
            <v>-10.7</v>
          </cell>
          <cell r="AL82">
            <v>311.3</v>
          </cell>
          <cell r="AM82">
            <v>272.5</v>
          </cell>
          <cell r="AN82">
            <v>256.8</v>
          </cell>
          <cell r="AO82">
            <v>110.7</v>
          </cell>
          <cell r="AP82">
            <v>208</v>
          </cell>
          <cell r="AQ82">
            <v>243.2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EK82" t="str">
            <v>No longer using account (now 1430040)</v>
          </cell>
          <cell r="EL82" t="str">
            <v>A_1430510</v>
          </cell>
        </row>
        <row r="83">
          <cell r="A83" t="str">
            <v>Other Accounts Receivable 143/1720101</v>
          </cell>
          <cell r="B83" t="str">
            <v>Accounts Receivable - External SUB</v>
          </cell>
          <cell r="C83" t="str">
            <v>Other Accounts Receivable</v>
          </cell>
          <cell r="D83" t="str">
            <v>1430520</v>
          </cell>
          <cell r="E83" t="str">
            <v>A_1430520</v>
          </cell>
          <cell r="F83" t="str">
            <v>AR - Misc Receivables Unapplied Cash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-3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EK83" t="str">
            <v>3 yr Avg (2020 to 2022 8+4F)</v>
          </cell>
          <cell r="EL83" t="str">
            <v>A_1430520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</row>
        <row r="84">
          <cell r="D84" t="str">
            <v>143</v>
          </cell>
          <cell r="E84">
            <v>143</v>
          </cell>
          <cell r="F84" t="str">
            <v>AR MISCELLANEOUS</v>
          </cell>
          <cell r="G84">
            <v>7233.4106600000005</v>
          </cell>
          <cell r="H84">
            <v>6183.5</v>
          </cell>
          <cell r="I84">
            <v>6124.5</v>
          </cell>
          <cell r="J84">
            <v>6077.8</v>
          </cell>
          <cell r="K84">
            <v>6072.9</v>
          </cell>
          <cell r="L84">
            <v>5946.5</v>
          </cell>
          <cell r="M84">
            <v>5832.7999999999993</v>
          </cell>
          <cell r="N84">
            <v>5952.1</v>
          </cell>
          <cell r="O84">
            <v>5624.8</v>
          </cell>
          <cell r="P84">
            <v>5634.7</v>
          </cell>
          <cell r="Q84">
            <v>5611.8</v>
          </cell>
          <cell r="R84">
            <v>5676.1</v>
          </cell>
          <cell r="S84">
            <v>16006.5</v>
          </cell>
          <cell r="T84">
            <v>6100.9000000000005</v>
          </cell>
          <cell r="U84">
            <v>6200.5999999999995</v>
          </cell>
          <cell r="V84">
            <v>6214.3</v>
          </cell>
          <cell r="W84">
            <v>6259.2000000000007</v>
          </cell>
          <cell r="X84">
            <v>6660.9999999999991</v>
          </cell>
          <cell r="Y84">
            <v>6476.9000000000005</v>
          </cell>
          <cell r="Z84">
            <v>7286.7999999999993</v>
          </cell>
          <cell r="AA84">
            <v>6380.7</v>
          </cell>
          <cell r="AB84">
            <v>6532.5000000000009</v>
          </cell>
          <cell r="AC84">
            <v>6571.0999999999995</v>
          </cell>
          <cell r="AD84">
            <v>6505.7</v>
          </cell>
          <cell r="AE84">
            <v>20473.900000000001</v>
          </cell>
          <cell r="AF84">
            <v>6657.4000000000005</v>
          </cell>
          <cell r="AG84">
            <v>7117.7999999999993</v>
          </cell>
          <cell r="AH84">
            <v>6804.8</v>
          </cell>
          <cell r="AI84">
            <v>6889.9000000000005</v>
          </cell>
          <cell r="AJ84">
            <v>6865.5999999999995</v>
          </cell>
          <cell r="AK84">
            <v>6603.1</v>
          </cell>
          <cell r="AL84">
            <v>6935.6</v>
          </cell>
          <cell r="AM84">
            <v>6925.8</v>
          </cell>
          <cell r="AN84">
            <v>7669.0999999999995</v>
          </cell>
          <cell r="AO84">
            <v>6747.7</v>
          </cell>
          <cell r="AP84">
            <v>6872.0999999999995</v>
          </cell>
          <cell r="AQ84">
            <v>8186.5999999999995</v>
          </cell>
          <cell r="AR84">
            <v>6387.6</v>
          </cell>
          <cell r="AS84">
            <v>6472.0999999999995</v>
          </cell>
          <cell r="AT84">
            <v>6496.5</v>
          </cell>
          <cell r="AU84">
            <v>6095.7</v>
          </cell>
          <cell r="AV84">
            <v>6318.7</v>
          </cell>
          <cell r="AW84">
            <v>5969.6</v>
          </cell>
          <cell r="AX84">
            <v>5425.2</v>
          </cell>
          <cell r="AY84">
            <v>5039.0999999999995</v>
          </cell>
          <cell r="AZ84">
            <v>4931.8999999999996</v>
          </cell>
          <cell r="BA84">
            <v>4757.6000000000004</v>
          </cell>
          <cell r="BB84">
            <v>4544.8</v>
          </cell>
          <cell r="BC84">
            <v>4683.6000000000004</v>
          </cell>
          <cell r="BD84">
            <v>4461.5</v>
          </cell>
          <cell r="BE84">
            <v>4279.3</v>
          </cell>
          <cell r="BF84">
            <v>4106.1000000000004</v>
          </cell>
          <cell r="BG84">
            <v>3913.9</v>
          </cell>
          <cell r="BH84">
            <v>4196.2</v>
          </cell>
          <cell r="BI84">
            <v>3857.2000000000003</v>
          </cell>
          <cell r="BJ84">
            <v>3486.2999999999997</v>
          </cell>
          <cell r="BK84">
            <v>3510.9</v>
          </cell>
          <cell r="BL84">
            <v>3280.1</v>
          </cell>
          <cell r="BM84">
            <v>3106.8999999999996</v>
          </cell>
          <cell r="BN84">
            <v>2750.8999999999996</v>
          </cell>
          <cell r="BO84">
            <v>2954</v>
          </cell>
          <cell r="BP84">
            <v>2631.7999999999997</v>
          </cell>
          <cell r="BQ84">
            <v>2527.5</v>
          </cell>
          <cell r="BR84">
            <v>2243.3000000000002</v>
          </cell>
          <cell r="BS84">
            <v>2037.1</v>
          </cell>
          <cell r="BT84">
            <v>2004.8000000000002</v>
          </cell>
          <cell r="BU84">
            <v>2011.3</v>
          </cell>
          <cell r="BV84">
            <v>1924.1999999999998</v>
          </cell>
          <cell r="BW84">
            <v>1771.2</v>
          </cell>
          <cell r="BX84">
            <v>1669.3</v>
          </cell>
          <cell r="BY84">
            <v>1467</v>
          </cell>
          <cell r="BZ84">
            <v>1441.3</v>
          </cell>
          <cell r="CA84">
            <v>1694.5</v>
          </cell>
          <cell r="CB84">
            <v>1489.5</v>
          </cell>
          <cell r="CC84">
            <v>1477.2</v>
          </cell>
          <cell r="CD84">
            <v>1727.8</v>
          </cell>
          <cell r="CE84">
            <v>1603.7</v>
          </cell>
          <cell r="CF84">
            <v>1718</v>
          </cell>
          <cell r="CG84">
            <v>1861.9</v>
          </cell>
          <cell r="CH84">
            <v>1871</v>
          </cell>
          <cell r="CI84">
            <v>1519.6999999999998</v>
          </cell>
          <cell r="CJ84">
            <v>1338.6</v>
          </cell>
          <cell r="CK84">
            <v>717.7</v>
          </cell>
          <cell r="CL84">
            <v>1602.6999999999998</v>
          </cell>
          <cell r="CM84">
            <v>825.9</v>
          </cell>
          <cell r="CN84">
            <v>463.4</v>
          </cell>
          <cell r="CO84">
            <v>544.20000000000005</v>
          </cell>
          <cell r="CP84">
            <v>453.09999999999991</v>
          </cell>
          <cell r="CQ84">
            <v>584.49999999999989</v>
          </cell>
          <cell r="CR84">
            <v>572.29999999999995</v>
          </cell>
          <cell r="CS84">
            <v>515.5</v>
          </cell>
          <cell r="CT84">
            <v>617.9</v>
          </cell>
          <cell r="CU84">
            <v>695.30000000000007</v>
          </cell>
          <cell r="CV84">
            <v>825.80000000000007</v>
          </cell>
          <cell r="CW84">
            <v>607.5</v>
          </cell>
          <cell r="CX84">
            <v>629.60000000000014</v>
          </cell>
          <cell r="CY84">
            <v>4678.1000000000004</v>
          </cell>
          <cell r="CZ84">
            <v>539.20000000000005</v>
          </cell>
          <cell r="DA84">
            <v>843.60000000000014</v>
          </cell>
          <cell r="DB84">
            <v>650.90000000000009</v>
          </cell>
          <cell r="DC84">
            <v>672.1</v>
          </cell>
          <cell r="DD84">
            <v>753.70000000000016</v>
          </cell>
          <cell r="DE84">
            <v>1807.3</v>
          </cell>
          <cell r="DF84">
            <v>3805.8999999999996</v>
          </cell>
          <cell r="DG84">
            <v>910.5</v>
          </cell>
          <cell r="DH84">
            <v>2335.9999999999995</v>
          </cell>
          <cell r="DI84">
            <v>1665.2000000000003</v>
          </cell>
          <cell r="DJ84">
            <v>2753.1999999999994</v>
          </cell>
          <cell r="DK84">
            <v>1528.5</v>
          </cell>
          <cell r="DL84">
            <v>419.7</v>
          </cell>
          <cell r="DM84">
            <v>627.50000000000011</v>
          </cell>
          <cell r="DN84">
            <v>531.20000000000005</v>
          </cell>
          <cell r="DO84">
            <v>661.00000000000011</v>
          </cell>
          <cell r="DP84">
            <v>746.2</v>
          </cell>
          <cell r="DQ84">
            <v>818.00000000000011</v>
          </cell>
          <cell r="DR84">
            <v>2063.7999999999997</v>
          </cell>
          <cell r="DS84">
            <v>751.7</v>
          </cell>
          <cell r="DT84">
            <v>738.7</v>
          </cell>
          <cell r="DU84">
            <v>456.90000000000003</v>
          </cell>
          <cell r="DV84">
            <v>759.2</v>
          </cell>
          <cell r="DW84">
            <v>578.6</v>
          </cell>
        </row>
        <row r="85">
          <cell r="A85" t="str">
            <v>Accum Provision Uncoll Accounts 144</v>
          </cell>
          <cell r="B85" t="str">
            <v>Accounts Receivable - External SUB</v>
          </cell>
          <cell r="C85" t="str">
            <v>Accum. Provision Uncoll. Accounts</v>
          </cell>
          <cell r="D85" t="str">
            <v>1440000</v>
          </cell>
          <cell r="E85" t="str">
            <v>A_1440000</v>
          </cell>
          <cell r="F85" t="str">
            <v>Accumulated Provision for Uncollectible Accounts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-157</v>
          </cell>
          <cell r="AS85">
            <v>-239</v>
          </cell>
          <cell r="AT85">
            <v>-403.1</v>
          </cell>
          <cell r="AU85">
            <v>-242.1</v>
          </cell>
          <cell r="AV85">
            <v>-265.39999999999998</v>
          </cell>
          <cell r="AW85">
            <v>-183.9</v>
          </cell>
          <cell r="AX85">
            <v>-249</v>
          </cell>
          <cell r="AY85">
            <v>-246.1</v>
          </cell>
          <cell r="AZ85">
            <v>-246.1</v>
          </cell>
          <cell r="BA85">
            <v>-255.2</v>
          </cell>
          <cell r="BB85">
            <v>-275.60000000000002</v>
          </cell>
          <cell r="BC85">
            <v>-303.7</v>
          </cell>
          <cell r="BD85">
            <v>-389.2</v>
          </cell>
          <cell r="BE85">
            <v>-291.10000000000002</v>
          </cell>
          <cell r="BF85">
            <v>-266.2</v>
          </cell>
          <cell r="BG85">
            <v>-237.5</v>
          </cell>
          <cell r="BH85">
            <v>-233.2</v>
          </cell>
          <cell r="BI85">
            <v>-232.2</v>
          </cell>
          <cell r="BJ85">
            <v>-245.6</v>
          </cell>
          <cell r="BK85">
            <v>-269.60000000000002</v>
          </cell>
          <cell r="BL85">
            <v>-274.60000000000002</v>
          </cell>
          <cell r="BM85">
            <v>-264.89999999999998</v>
          </cell>
          <cell r="BN85">
            <v>-274.89999999999998</v>
          </cell>
          <cell r="BO85">
            <v>-326.7</v>
          </cell>
          <cell r="BP85">
            <v>-352.9</v>
          </cell>
          <cell r="BQ85">
            <v>-351.7</v>
          </cell>
          <cell r="BR85">
            <v>-359.6</v>
          </cell>
          <cell r="BS85">
            <v>-372.2</v>
          </cell>
          <cell r="BT85">
            <v>-369.1</v>
          </cell>
          <cell r="BU85">
            <v>-351.9</v>
          </cell>
          <cell r="BV85">
            <v>-342.6</v>
          </cell>
          <cell r="BW85">
            <v>-337.5</v>
          </cell>
          <cell r="BX85">
            <v>-315.5</v>
          </cell>
          <cell r="BY85">
            <v>-305.89999999999998</v>
          </cell>
          <cell r="BZ85">
            <v>-327.60000000000002</v>
          </cell>
          <cell r="CA85">
            <v>-335.6</v>
          </cell>
          <cell r="CB85">
            <v>-363.3</v>
          </cell>
          <cell r="CC85">
            <v>-332.8</v>
          </cell>
          <cell r="CD85">
            <v>-515.6</v>
          </cell>
          <cell r="CE85">
            <v>-760</v>
          </cell>
          <cell r="CF85">
            <v>-1016.9</v>
          </cell>
          <cell r="CG85">
            <v>-1314.3</v>
          </cell>
          <cell r="CH85">
            <v>-1525.2</v>
          </cell>
          <cell r="CI85">
            <v>-1763.3</v>
          </cell>
          <cell r="CJ85">
            <v>-1944.1</v>
          </cell>
          <cell r="CK85">
            <v>-1758.1</v>
          </cell>
          <cell r="CL85">
            <v>-1893.7</v>
          </cell>
          <cell r="CM85">
            <v>-1306.2</v>
          </cell>
          <cell r="CN85">
            <v>-1503.3</v>
          </cell>
          <cell r="CO85">
            <v>-1676.9</v>
          </cell>
          <cell r="CP85">
            <v>-1356.2</v>
          </cell>
          <cell r="CQ85">
            <v>-1450.5</v>
          </cell>
          <cell r="CR85">
            <v>-1529.2</v>
          </cell>
          <cell r="CS85">
            <v>-1511.5</v>
          </cell>
          <cell r="CT85">
            <v>-1550.4</v>
          </cell>
          <cell r="CU85">
            <v>-1604.7</v>
          </cell>
          <cell r="CV85">
            <v>-1657.8</v>
          </cell>
          <cell r="CW85">
            <v>-1730.4</v>
          </cell>
          <cell r="CX85">
            <v>-1705.6</v>
          </cell>
          <cell r="CY85">
            <v>-1717.7</v>
          </cell>
          <cell r="CZ85">
            <v>-1776.4</v>
          </cell>
          <cell r="DA85">
            <v>-1776.4</v>
          </cell>
          <cell r="DB85">
            <v>-1796.8</v>
          </cell>
          <cell r="DC85">
            <v>-1718.3</v>
          </cell>
          <cell r="DD85">
            <v>-1737.7</v>
          </cell>
          <cell r="DE85">
            <v>-1765.9</v>
          </cell>
          <cell r="DF85">
            <v>-1768.5</v>
          </cell>
          <cell r="DG85">
            <v>-1854.9</v>
          </cell>
          <cell r="DH85">
            <v>-1860.3</v>
          </cell>
          <cell r="DI85">
            <v>-1864.3</v>
          </cell>
          <cell r="DJ85">
            <v>-1773.6</v>
          </cell>
          <cell r="DK85">
            <v>-1263</v>
          </cell>
          <cell r="DL85">
            <v>-1473.1</v>
          </cell>
          <cell r="DM85">
            <v>-1428.9</v>
          </cell>
          <cell r="DN85">
            <v>-1386.1</v>
          </cell>
          <cell r="DO85">
            <v>-1344.5</v>
          </cell>
          <cell r="DP85">
            <v>-1304.2</v>
          </cell>
          <cell r="DQ85">
            <v>-1265</v>
          </cell>
          <cell r="DR85">
            <v>-1227.0999999999999</v>
          </cell>
          <cell r="DS85">
            <v>-1190.3</v>
          </cell>
          <cell r="DT85">
            <v>-1154.5999999999999</v>
          </cell>
          <cell r="DU85">
            <v>-1119.9000000000001</v>
          </cell>
          <cell r="DV85">
            <v>-1086.3</v>
          </cell>
          <cell r="DW85">
            <v>-1053.7</v>
          </cell>
        </row>
        <row r="86">
          <cell r="A86" t="str">
            <v>Accum Provision Uncoll Accounts 144</v>
          </cell>
          <cell r="B86" t="str">
            <v>Accounts Receivable - External SUB</v>
          </cell>
          <cell r="C86" t="str">
            <v>Accum. Provision Uncoll. Accounts</v>
          </cell>
          <cell r="D86" t="str">
            <v>1440001</v>
          </cell>
          <cell r="E86" t="str">
            <v>A_1440001</v>
          </cell>
          <cell r="F86" t="str">
            <v>Accum Provision for Uncollectible Accts - CRM FF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2.1</v>
          </cell>
          <cell r="AV86">
            <v>2.9</v>
          </cell>
          <cell r="AW86">
            <v>7.4</v>
          </cell>
          <cell r="AX86">
            <v>10</v>
          </cell>
          <cell r="AY86">
            <v>15.9</v>
          </cell>
          <cell r="AZ86">
            <v>23.7</v>
          </cell>
          <cell r="BA86">
            <v>31</v>
          </cell>
          <cell r="BB86">
            <v>34</v>
          </cell>
          <cell r="BC86">
            <v>35.1</v>
          </cell>
          <cell r="BD86">
            <v>38.6</v>
          </cell>
          <cell r="BE86">
            <v>41</v>
          </cell>
          <cell r="BF86">
            <v>44</v>
          </cell>
          <cell r="BG86">
            <v>50</v>
          </cell>
          <cell r="BH86">
            <v>55.5</v>
          </cell>
          <cell r="BI86">
            <v>59.4</v>
          </cell>
          <cell r="BJ86">
            <v>64.2</v>
          </cell>
          <cell r="BK86">
            <v>67.599999999999994</v>
          </cell>
          <cell r="BL86">
            <v>71.599999999999994</v>
          </cell>
          <cell r="BM86">
            <v>75.900000000000006</v>
          </cell>
          <cell r="BN86">
            <v>80.7</v>
          </cell>
          <cell r="BO86">
            <v>88.6</v>
          </cell>
          <cell r="BP86">
            <v>94.1</v>
          </cell>
          <cell r="BQ86">
            <v>97.3</v>
          </cell>
          <cell r="BR86">
            <v>104</v>
          </cell>
          <cell r="BS86">
            <v>113</v>
          </cell>
          <cell r="BT86">
            <v>116.9</v>
          </cell>
          <cell r="BU86">
            <v>120.2</v>
          </cell>
          <cell r="BV86">
            <v>123</v>
          </cell>
          <cell r="BW86">
            <v>125.9</v>
          </cell>
          <cell r="BX86">
            <v>131.9</v>
          </cell>
          <cell r="BY86">
            <v>134.9</v>
          </cell>
          <cell r="BZ86">
            <v>137.30000000000001</v>
          </cell>
          <cell r="CA86">
            <v>140.19999999999999</v>
          </cell>
          <cell r="CB86">
            <v>143.5</v>
          </cell>
          <cell r="CC86">
            <v>145.4</v>
          </cell>
          <cell r="CD86">
            <v>145.6</v>
          </cell>
          <cell r="CE86">
            <v>145.30000000000001</v>
          </cell>
          <cell r="CF86">
            <v>145.30000000000001</v>
          </cell>
          <cell r="CG86">
            <v>144.9</v>
          </cell>
          <cell r="CH86">
            <v>145.30000000000001</v>
          </cell>
          <cell r="CI86">
            <v>145.19999999999999</v>
          </cell>
          <cell r="CJ86">
            <v>148.9</v>
          </cell>
          <cell r="CK86">
            <v>163.19999999999999</v>
          </cell>
          <cell r="CL86">
            <v>166.1</v>
          </cell>
          <cell r="CM86">
            <v>173</v>
          </cell>
          <cell r="CN86">
            <v>175.1</v>
          </cell>
          <cell r="CO86">
            <v>178</v>
          </cell>
          <cell r="CP86">
            <v>180.3</v>
          </cell>
          <cell r="CQ86">
            <v>184.9</v>
          </cell>
          <cell r="CR86">
            <v>187.6</v>
          </cell>
          <cell r="CS86">
            <v>192.7</v>
          </cell>
          <cell r="CT86">
            <v>198.2</v>
          </cell>
          <cell r="CU86">
            <v>202.2</v>
          </cell>
          <cell r="CV86">
            <v>205.9</v>
          </cell>
          <cell r="CW86">
            <v>209.7</v>
          </cell>
          <cell r="CX86">
            <v>212.6</v>
          </cell>
          <cell r="CY86">
            <v>216.2</v>
          </cell>
          <cell r="CZ86">
            <v>219.4</v>
          </cell>
          <cell r="DA86">
            <v>220.6</v>
          </cell>
          <cell r="DB86">
            <v>223.7</v>
          </cell>
          <cell r="DC86">
            <v>226.9</v>
          </cell>
          <cell r="DD86">
            <v>230.2</v>
          </cell>
          <cell r="DE86">
            <v>235.3</v>
          </cell>
          <cell r="DF86">
            <v>239</v>
          </cell>
          <cell r="DG86">
            <v>242.9</v>
          </cell>
          <cell r="DH86">
            <v>246.5</v>
          </cell>
          <cell r="DI86">
            <v>249.5</v>
          </cell>
          <cell r="DJ86">
            <v>253.7</v>
          </cell>
          <cell r="DK86">
            <v>256.8</v>
          </cell>
          <cell r="DL86">
            <v>254.2</v>
          </cell>
          <cell r="DM86">
            <v>257.2</v>
          </cell>
          <cell r="DN86">
            <v>260.2</v>
          </cell>
          <cell r="DO86">
            <v>263.2</v>
          </cell>
          <cell r="DP86">
            <v>266.2</v>
          </cell>
          <cell r="DQ86">
            <v>269.2</v>
          </cell>
          <cell r="DR86">
            <v>272.2</v>
          </cell>
          <cell r="DS86">
            <v>275.2</v>
          </cell>
          <cell r="DT86">
            <v>278.2</v>
          </cell>
          <cell r="DU86">
            <v>281.2</v>
          </cell>
          <cell r="DV86">
            <v>284.2</v>
          </cell>
          <cell r="DW86">
            <v>287.2</v>
          </cell>
        </row>
        <row r="87">
          <cell r="A87" t="str">
            <v>Accum Provision Uncoll Accounts 144</v>
          </cell>
          <cell r="B87" t="str">
            <v>Accounts Receivable - External SUB</v>
          </cell>
          <cell r="C87" t="str">
            <v>Accum. Provision Uncoll. Accounts</v>
          </cell>
          <cell r="D87" t="str">
            <v>1440002</v>
          </cell>
          <cell r="E87" t="str">
            <v>A_1440002</v>
          </cell>
          <cell r="F87" t="str">
            <v>Accum Provision for Uncollectible Accts - CRM GRT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1.2</v>
          </cell>
          <cell r="AV87">
            <v>1.7</v>
          </cell>
          <cell r="AW87">
            <v>4.2</v>
          </cell>
          <cell r="AX87">
            <v>5.5</v>
          </cell>
          <cell r="AY87">
            <v>8.6999999999999993</v>
          </cell>
          <cell r="AZ87">
            <v>11.6</v>
          </cell>
          <cell r="BA87">
            <v>14.6</v>
          </cell>
          <cell r="BB87">
            <v>15.9</v>
          </cell>
          <cell r="BC87">
            <v>16.399999999999999</v>
          </cell>
          <cell r="BD87">
            <v>18</v>
          </cell>
          <cell r="BE87">
            <v>19</v>
          </cell>
          <cell r="BF87">
            <v>20.5</v>
          </cell>
          <cell r="BG87">
            <v>23.7</v>
          </cell>
          <cell r="BH87">
            <v>25.7</v>
          </cell>
          <cell r="BI87">
            <v>27.3</v>
          </cell>
          <cell r="BJ87">
            <v>29.4</v>
          </cell>
          <cell r="BK87">
            <v>30.8</v>
          </cell>
          <cell r="BL87">
            <v>32.4</v>
          </cell>
          <cell r="BM87">
            <v>34</v>
          </cell>
          <cell r="BN87">
            <v>36</v>
          </cell>
          <cell r="BO87">
            <v>39.299999999999997</v>
          </cell>
          <cell r="BP87">
            <v>40.799999999999997</v>
          </cell>
          <cell r="BQ87">
            <v>42.5</v>
          </cell>
          <cell r="BR87">
            <v>44.9</v>
          </cell>
          <cell r="BS87">
            <v>48.2</v>
          </cell>
          <cell r="BT87">
            <v>49.7</v>
          </cell>
          <cell r="BU87">
            <v>51.5</v>
          </cell>
          <cell r="BV87">
            <v>53</v>
          </cell>
          <cell r="BW87">
            <v>54.3</v>
          </cell>
          <cell r="BX87">
            <v>59.8</v>
          </cell>
          <cell r="BY87">
            <v>61.1</v>
          </cell>
          <cell r="BZ87">
            <v>61.9</v>
          </cell>
          <cell r="CA87">
            <v>63.1</v>
          </cell>
          <cell r="CB87">
            <v>65.3</v>
          </cell>
          <cell r="CC87">
            <v>66.2</v>
          </cell>
          <cell r="CD87">
            <v>66.599999999999994</v>
          </cell>
          <cell r="CE87">
            <v>66.400000000000006</v>
          </cell>
          <cell r="CF87">
            <v>67</v>
          </cell>
          <cell r="CG87">
            <v>66.8</v>
          </cell>
          <cell r="CH87">
            <v>68.3</v>
          </cell>
          <cell r="CI87">
            <v>68.3</v>
          </cell>
          <cell r="CJ87">
            <v>70.2</v>
          </cell>
          <cell r="CK87">
            <v>78.2</v>
          </cell>
          <cell r="CL87">
            <v>79.599999999999994</v>
          </cell>
          <cell r="CM87">
            <v>86</v>
          </cell>
          <cell r="CN87">
            <v>87.9</v>
          </cell>
          <cell r="CO87">
            <v>88.4</v>
          </cell>
          <cell r="CP87">
            <v>87.7</v>
          </cell>
          <cell r="CQ87">
            <v>89.6</v>
          </cell>
          <cell r="CR87">
            <v>91.1</v>
          </cell>
          <cell r="CS87">
            <v>93.4</v>
          </cell>
          <cell r="CT87">
            <v>95.2</v>
          </cell>
          <cell r="CU87">
            <v>96.9</v>
          </cell>
          <cell r="CV87">
            <v>98</v>
          </cell>
          <cell r="CW87">
            <v>101</v>
          </cell>
          <cell r="CX87">
            <v>100.5</v>
          </cell>
          <cell r="CY87">
            <v>102</v>
          </cell>
          <cell r="CZ87">
            <v>102.7</v>
          </cell>
          <cell r="DA87">
            <v>103.2</v>
          </cell>
          <cell r="DB87">
            <v>104.4</v>
          </cell>
          <cell r="DC87">
            <v>105.8</v>
          </cell>
          <cell r="DD87">
            <v>107.4</v>
          </cell>
          <cell r="DE87">
            <v>109.3</v>
          </cell>
          <cell r="DF87">
            <v>111.1</v>
          </cell>
          <cell r="DG87">
            <v>112.6</v>
          </cell>
          <cell r="DH87">
            <v>114</v>
          </cell>
          <cell r="DI87">
            <v>115.1</v>
          </cell>
          <cell r="DJ87">
            <v>116.4</v>
          </cell>
          <cell r="DK87">
            <v>117.5</v>
          </cell>
          <cell r="DL87">
            <v>118.2</v>
          </cell>
          <cell r="DM87">
            <v>119.7</v>
          </cell>
          <cell r="DN87">
            <v>121.2</v>
          </cell>
          <cell r="DO87">
            <v>122.7</v>
          </cell>
          <cell r="DP87">
            <v>124.2</v>
          </cell>
          <cell r="DQ87">
            <v>125.7</v>
          </cell>
          <cell r="DR87">
            <v>127.2</v>
          </cell>
          <cell r="DS87">
            <v>128.69999999999999</v>
          </cell>
          <cell r="DT87">
            <v>130.19999999999999</v>
          </cell>
          <cell r="DU87">
            <v>131.69999999999999</v>
          </cell>
          <cell r="DV87">
            <v>133.19999999999999</v>
          </cell>
          <cell r="DW87">
            <v>134.69999999999999</v>
          </cell>
        </row>
        <row r="88">
          <cell r="A88" t="str">
            <v>Accum Provision Uncoll Accounts 144</v>
          </cell>
          <cell r="B88" t="str">
            <v>Accounts Receivable - External SUB</v>
          </cell>
          <cell r="C88" t="str">
            <v>Accum. Provision Uncoll. Accounts</v>
          </cell>
          <cell r="D88" t="str">
            <v>1440010</v>
          </cell>
          <cell r="E88" t="str">
            <v>A_1440010</v>
          </cell>
          <cell r="F88" t="str">
            <v>Accum Provision for Uncollectible - Regular</v>
          </cell>
          <cell r="G88">
            <v>-731.32908999999995</v>
          </cell>
          <cell r="H88">
            <v>-782.7</v>
          </cell>
          <cell r="I88">
            <v>-917.7</v>
          </cell>
          <cell r="J88">
            <v>-957.3</v>
          </cell>
          <cell r="K88">
            <v>-935.2</v>
          </cell>
          <cell r="L88">
            <v>-856.8</v>
          </cell>
          <cell r="M88">
            <v>-816.5</v>
          </cell>
          <cell r="N88">
            <v>-794.1</v>
          </cell>
          <cell r="O88">
            <v>-747.6</v>
          </cell>
          <cell r="P88">
            <v>-725.4</v>
          </cell>
          <cell r="Q88">
            <v>-695.5</v>
          </cell>
          <cell r="R88">
            <v>-707.4</v>
          </cell>
          <cell r="S88">
            <v>-716.2</v>
          </cell>
          <cell r="T88">
            <v>-764.6</v>
          </cell>
          <cell r="U88">
            <v>-833.7</v>
          </cell>
          <cell r="V88">
            <v>-867</v>
          </cell>
          <cell r="W88">
            <v>-866.9</v>
          </cell>
          <cell r="X88">
            <v>-848.6</v>
          </cell>
          <cell r="Y88">
            <v>-848.5</v>
          </cell>
          <cell r="Z88">
            <v>-838.9</v>
          </cell>
          <cell r="AA88">
            <v>-842.8</v>
          </cell>
          <cell r="AB88">
            <v>-837.6</v>
          </cell>
          <cell r="AC88">
            <v>-838.1</v>
          </cell>
          <cell r="AD88">
            <v>-847.2</v>
          </cell>
          <cell r="AE88">
            <v>-849.7</v>
          </cell>
          <cell r="AF88">
            <v>-887.5</v>
          </cell>
          <cell r="AG88">
            <v>-944.5</v>
          </cell>
          <cell r="AH88">
            <v>-956.8</v>
          </cell>
          <cell r="AI88">
            <v>-942</v>
          </cell>
          <cell r="AJ88">
            <v>-940.3</v>
          </cell>
          <cell r="AK88">
            <v>-903.5</v>
          </cell>
          <cell r="AL88">
            <v>-849.5</v>
          </cell>
          <cell r="AM88">
            <v>-845.1</v>
          </cell>
          <cell r="AN88">
            <v>-801.4</v>
          </cell>
          <cell r="AO88">
            <v>-783.7</v>
          </cell>
          <cell r="AP88">
            <v>-787.9</v>
          </cell>
          <cell r="AQ88">
            <v>-63.4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</row>
        <row r="89">
          <cell r="A89" t="str">
            <v>Accum Provision Uncoll Accounts 144</v>
          </cell>
          <cell r="B89" t="str">
            <v>Accounts Receivable - External SUB</v>
          </cell>
          <cell r="C89" t="str">
            <v>Accum. Provision Uncoll. Accounts</v>
          </cell>
          <cell r="D89" t="str">
            <v>1440020</v>
          </cell>
          <cell r="E89" t="str">
            <v>A_1440020</v>
          </cell>
          <cell r="F89" t="str">
            <v>Accum Provision for Uncollectible - Misc Billing</v>
          </cell>
          <cell r="G89">
            <v>-300</v>
          </cell>
          <cell r="H89">
            <v>-300</v>
          </cell>
          <cell r="I89">
            <v>-300</v>
          </cell>
          <cell r="J89">
            <v>-300</v>
          </cell>
          <cell r="K89">
            <v>-300</v>
          </cell>
          <cell r="L89">
            <v>-300</v>
          </cell>
          <cell r="M89">
            <v>-300</v>
          </cell>
          <cell r="N89">
            <v>-300</v>
          </cell>
          <cell r="O89">
            <v>-300</v>
          </cell>
          <cell r="P89">
            <v>-300</v>
          </cell>
          <cell r="Q89">
            <v>-300</v>
          </cell>
          <cell r="R89">
            <v>-300</v>
          </cell>
          <cell r="S89">
            <v>-300</v>
          </cell>
          <cell r="T89">
            <v>-300</v>
          </cell>
          <cell r="U89">
            <v>-300</v>
          </cell>
          <cell r="V89">
            <v>-300</v>
          </cell>
          <cell r="W89">
            <v>-300</v>
          </cell>
          <cell r="X89">
            <v>-300</v>
          </cell>
          <cell r="Y89">
            <v>-300</v>
          </cell>
          <cell r="Z89">
            <v>-300</v>
          </cell>
          <cell r="AA89">
            <v>-300</v>
          </cell>
          <cell r="AB89">
            <v>-300</v>
          </cell>
          <cell r="AC89">
            <v>-300</v>
          </cell>
          <cell r="AD89">
            <v>-300</v>
          </cell>
          <cell r="AE89">
            <v>-300</v>
          </cell>
          <cell r="AF89">
            <v>-300</v>
          </cell>
          <cell r="AG89">
            <v>-300</v>
          </cell>
          <cell r="AH89">
            <v>-300</v>
          </cell>
          <cell r="AI89">
            <v>-300</v>
          </cell>
          <cell r="AJ89">
            <v>-300</v>
          </cell>
          <cell r="AK89">
            <v>-300</v>
          </cell>
          <cell r="AL89">
            <v>-300</v>
          </cell>
          <cell r="AM89">
            <v>-300</v>
          </cell>
          <cell r="AN89">
            <v>-300</v>
          </cell>
          <cell r="AO89">
            <v>-300</v>
          </cell>
          <cell r="AP89">
            <v>-300</v>
          </cell>
          <cell r="AQ89">
            <v>-350</v>
          </cell>
          <cell r="AR89">
            <v>-350</v>
          </cell>
          <cell r="AS89">
            <v>-350</v>
          </cell>
          <cell r="AT89">
            <v>-350</v>
          </cell>
          <cell r="AU89">
            <v>-350</v>
          </cell>
          <cell r="AV89">
            <v>-350</v>
          </cell>
          <cell r="AW89">
            <v>-350</v>
          </cell>
          <cell r="AX89">
            <v>-350</v>
          </cell>
          <cell r="AY89">
            <v>-350</v>
          </cell>
          <cell r="AZ89">
            <v>-350</v>
          </cell>
          <cell r="BA89">
            <v>-350</v>
          </cell>
          <cell r="BB89">
            <v>-350</v>
          </cell>
          <cell r="BC89">
            <v>-350</v>
          </cell>
          <cell r="BD89">
            <v>-350</v>
          </cell>
          <cell r="BE89">
            <v>-350</v>
          </cell>
          <cell r="BF89">
            <v>-350</v>
          </cell>
          <cell r="BG89">
            <v>-350</v>
          </cell>
          <cell r="BH89">
            <v>-350</v>
          </cell>
          <cell r="BI89">
            <v>-350</v>
          </cell>
          <cell r="BJ89">
            <v>-350</v>
          </cell>
          <cell r="BK89">
            <v>-350</v>
          </cell>
          <cell r="BL89">
            <v>-350</v>
          </cell>
          <cell r="BM89">
            <v>-350</v>
          </cell>
          <cell r="BN89">
            <v>-350</v>
          </cell>
          <cell r="BO89">
            <v>-350</v>
          </cell>
          <cell r="BP89">
            <v>-350</v>
          </cell>
          <cell r="BQ89">
            <v>-350</v>
          </cell>
          <cell r="BR89">
            <v>-350</v>
          </cell>
          <cell r="BS89">
            <v>-350</v>
          </cell>
          <cell r="BT89">
            <v>-350</v>
          </cell>
          <cell r="BU89">
            <v>-350</v>
          </cell>
          <cell r="BV89">
            <v>-175</v>
          </cell>
          <cell r="BW89">
            <v>-175</v>
          </cell>
          <cell r="BX89">
            <v>-175</v>
          </cell>
          <cell r="BY89">
            <v>-204.5</v>
          </cell>
          <cell r="BZ89">
            <v>-204.5</v>
          </cell>
          <cell r="CA89">
            <v>-204.5</v>
          </cell>
          <cell r="CB89">
            <v>-204.5</v>
          </cell>
          <cell r="CC89">
            <v>-204.5</v>
          </cell>
          <cell r="CD89">
            <v>-204.5</v>
          </cell>
          <cell r="CE89">
            <v>-204.5</v>
          </cell>
          <cell r="CF89">
            <v>-204.5</v>
          </cell>
          <cell r="CG89">
            <v>-204.5</v>
          </cell>
          <cell r="CH89">
            <v>-204.5</v>
          </cell>
          <cell r="CI89">
            <v>-204.5</v>
          </cell>
          <cell r="CJ89">
            <v>-204.5</v>
          </cell>
          <cell r="CK89">
            <v>-204.5</v>
          </cell>
          <cell r="CL89">
            <v>-204.5</v>
          </cell>
          <cell r="CM89">
            <v>-204.5</v>
          </cell>
          <cell r="CN89">
            <v>-204.5</v>
          </cell>
          <cell r="CO89">
            <v>-204.5</v>
          </cell>
          <cell r="CP89">
            <v>-204.5</v>
          </cell>
          <cell r="CQ89">
            <v>-204.5</v>
          </cell>
          <cell r="CR89">
            <v>-204.5</v>
          </cell>
          <cell r="CS89">
            <v>-204.5</v>
          </cell>
          <cell r="CT89">
            <v>-204.5</v>
          </cell>
          <cell r="CU89">
            <v>-204.5</v>
          </cell>
          <cell r="CV89">
            <v>-204.5</v>
          </cell>
          <cell r="CW89">
            <v>-204.5</v>
          </cell>
          <cell r="CX89">
            <v>-204.5</v>
          </cell>
          <cell r="CY89">
            <v>-204.5</v>
          </cell>
          <cell r="CZ89">
            <v>-204.5</v>
          </cell>
          <cell r="DA89">
            <v>-204.5</v>
          </cell>
          <cell r="DB89">
            <v>-204.5</v>
          </cell>
          <cell r="DC89">
            <v>-204.5</v>
          </cell>
          <cell r="DD89">
            <v>-204.5</v>
          </cell>
          <cell r="DE89">
            <v>-204.5</v>
          </cell>
          <cell r="DF89">
            <v>-204.5</v>
          </cell>
          <cell r="DG89">
            <v>-204.5</v>
          </cell>
          <cell r="DH89">
            <v>-204.5</v>
          </cell>
          <cell r="DI89">
            <v>-204.5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</row>
        <row r="90">
          <cell r="D90" t="str">
            <v>144</v>
          </cell>
          <cell r="E90">
            <v>144</v>
          </cell>
          <cell r="G90">
            <v>-1031.32909</v>
          </cell>
          <cell r="H90">
            <v>-1082.7</v>
          </cell>
          <cell r="I90">
            <v>-1217.7</v>
          </cell>
          <cell r="J90">
            <v>-1257.3</v>
          </cell>
          <cell r="K90">
            <v>-1235.2</v>
          </cell>
          <cell r="L90">
            <v>-1156.8</v>
          </cell>
          <cell r="M90">
            <v>-1116.5</v>
          </cell>
          <cell r="N90">
            <v>-1094.0999999999999</v>
          </cell>
          <cell r="O90">
            <v>-1047.5999999999999</v>
          </cell>
          <cell r="P90">
            <v>-1025.4000000000001</v>
          </cell>
          <cell r="Q90">
            <v>-995.5</v>
          </cell>
          <cell r="R90">
            <v>-1007.4</v>
          </cell>
          <cell r="S90">
            <v>-1016.2</v>
          </cell>
          <cell r="T90">
            <v>-1064.5999999999999</v>
          </cell>
          <cell r="U90">
            <v>-1133.7</v>
          </cell>
          <cell r="V90">
            <v>-1167</v>
          </cell>
          <cell r="W90">
            <v>-1166.9000000000001</v>
          </cell>
          <cell r="X90">
            <v>-1148.5999999999999</v>
          </cell>
          <cell r="Y90">
            <v>-1148.5</v>
          </cell>
          <cell r="Z90">
            <v>-1138.9000000000001</v>
          </cell>
          <cell r="AA90">
            <v>-1142.8</v>
          </cell>
          <cell r="AB90">
            <v>-1137.5999999999999</v>
          </cell>
          <cell r="AC90">
            <v>-1138.0999999999999</v>
          </cell>
          <cell r="AD90">
            <v>-1147.2</v>
          </cell>
          <cell r="AE90">
            <v>-1149.7</v>
          </cell>
          <cell r="AF90">
            <v>-1187.5</v>
          </cell>
          <cell r="AG90">
            <v>-1244.5</v>
          </cell>
          <cell r="AH90">
            <v>-1256.8</v>
          </cell>
          <cell r="AI90">
            <v>-1242</v>
          </cell>
          <cell r="AJ90">
            <v>-1240.3</v>
          </cell>
          <cell r="AK90">
            <v>-1203.5</v>
          </cell>
          <cell r="AL90">
            <v>-1149.5</v>
          </cell>
          <cell r="AM90">
            <v>-1145.0999999999999</v>
          </cell>
          <cell r="AN90">
            <v>-1101.4000000000001</v>
          </cell>
          <cell r="AO90">
            <v>-1083.7</v>
          </cell>
          <cell r="AP90">
            <v>-1087.9000000000001</v>
          </cell>
          <cell r="AQ90">
            <v>-413.4</v>
          </cell>
          <cell r="AR90">
            <v>-507</v>
          </cell>
          <cell r="AS90">
            <v>-589</v>
          </cell>
          <cell r="AT90">
            <v>-753.1</v>
          </cell>
          <cell r="AU90">
            <v>-588.79999999999995</v>
          </cell>
          <cell r="AV90">
            <v>-610.79999999999995</v>
          </cell>
          <cell r="AW90">
            <v>-522.29999999999995</v>
          </cell>
          <cell r="AX90">
            <v>-583.5</v>
          </cell>
          <cell r="AY90">
            <v>-571.5</v>
          </cell>
          <cell r="AZ90">
            <v>-560.79999999999995</v>
          </cell>
          <cell r="BA90">
            <v>-559.6</v>
          </cell>
          <cell r="BB90">
            <v>-575.70000000000005</v>
          </cell>
          <cell r="BC90">
            <v>-602.19999999999993</v>
          </cell>
          <cell r="BD90">
            <v>-682.59999999999991</v>
          </cell>
          <cell r="BE90">
            <v>-581.1</v>
          </cell>
          <cell r="BF90">
            <v>-551.70000000000005</v>
          </cell>
          <cell r="BG90">
            <v>-513.79999999999995</v>
          </cell>
          <cell r="BH90">
            <v>-502</v>
          </cell>
          <cell r="BI90">
            <v>-495.5</v>
          </cell>
          <cell r="BJ90">
            <v>-502</v>
          </cell>
          <cell r="BK90">
            <v>-521.20000000000005</v>
          </cell>
          <cell r="BL90">
            <v>-520.6</v>
          </cell>
          <cell r="BM90">
            <v>-505</v>
          </cell>
          <cell r="BN90">
            <v>-508.2</v>
          </cell>
          <cell r="BO90">
            <v>-548.79999999999995</v>
          </cell>
          <cell r="BP90">
            <v>-568</v>
          </cell>
          <cell r="BQ90">
            <v>-561.9</v>
          </cell>
          <cell r="BR90">
            <v>-560.70000000000005</v>
          </cell>
          <cell r="BS90">
            <v>-561</v>
          </cell>
          <cell r="BT90">
            <v>-552.5</v>
          </cell>
          <cell r="BU90">
            <v>-530.20000000000005</v>
          </cell>
          <cell r="BV90">
            <v>-341.6</v>
          </cell>
          <cell r="BW90">
            <v>-332.3</v>
          </cell>
          <cell r="BX90">
            <v>-298.8</v>
          </cell>
          <cell r="BY90">
            <v>-314.39999999999998</v>
          </cell>
          <cell r="BZ90">
            <v>-332.9</v>
          </cell>
          <cell r="CA90">
            <v>-336.80000000000007</v>
          </cell>
          <cell r="CB90">
            <v>-359</v>
          </cell>
          <cell r="CC90">
            <v>-325.7</v>
          </cell>
          <cell r="CD90">
            <v>-507.9</v>
          </cell>
          <cell r="CE90">
            <v>-752.80000000000007</v>
          </cell>
          <cell r="CF90">
            <v>-1009.0999999999999</v>
          </cell>
          <cell r="CG90">
            <v>-1307.0999999999999</v>
          </cell>
          <cell r="CH90">
            <v>-1516.1000000000001</v>
          </cell>
          <cell r="CI90">
            <v>-1754.3</v>
          </cell>
          <cell r="CJ90">
            <v>-1929.4999999999998</v>
          </cell>
          <cell r="CK90">
            <v>-1721.1999999999998</v>
          </cell>
          <cell r="CL90">
            <v>-1852.5000000000002</v>
          </cell>
          <cell r="CM90">
            <v>-1251.7</v>
          </cell>
          <cell r="CN90">
            <v>-1444.8</v>
          </cell>
          <cell r="CO90">
            <v>-1615</v>
          </cell>
          <cell r="CP90">
            <v>-1292.7</v>
          </cell>
          <cell r="CQ90">
            <v>-1380.5</v>
          </cell>
          <cell r="CR90">
            <v>-1455.0000000000002</v>
          </cell>
          <cell r="CS90">
            <v>-1429.8999999999999</v>
          </cell>
          <cell r="CT90">
            <v>-1461.5</v>
          </cell>
          <cell r="CU90">
            <v>-1510.1</v>
          </cell>
          <cell r="CV90">
            <v>-1558.3999999999999</v>
          </cell>
          <cell r="CW90">
            <v>-1624.2</v>
          </cell>
          <cell r="CX90">
            <v>-1597</v>
          </cell>
          <cell r="CY90">
            <v>-1604</v>
          </cell>
          <cell r="CZ90">
            <v>-1658.8</v>
          </cell>
          <cell r="DA90">
            <v>-1657.1000000000001</v>
          </cell>
          <cell r="DB90">
            <v>-1673.1999999999998</v>
          </cell>
          <cell r="DC90">
            <v>-1590.1</v>
          </cell>
          <cell r="DD90">
            <v>-1604.6</v>
          </cell>
          <cell r="DE90">
            <v>-1625.8000000000002</v>
          </cell>
          <cell r="DF90">
            <v>-1622.9</v>
          </cell>
          <cell r="DG90">
            <v>-1703.9</v>
          </cell>
          <cell r="DH90">
            <v>-1704.3</v>
          </cell>
          <cell r="DI90">
            <v>-1704.2</v>
          </cell>
          <cell r="DJ90">
            <v>-1403.4999999999998</v>
          </cell>
          <cell r="DK90">
            <v>-888.7</v>
          </cell>
          <cell r="DL90">
            <v>-1100.6999999999998</v>
          </cell>
          <cell r="DM90">
            <v>-1052</v>
          </cell>
          <cell r="DN90">
            <v>-1004.6999999999998</v>
          </cell>
          <cell r="DO90">
            <v>-958.59999999999991</v>
          </cell>
          <cell r="DP90">
            <v>-913.8</v>
          </cell>
          <cell r="DQ90">
            <v>-870.09999999999991</v>
          </cell>
          <cell r="DR90">
            <v>-827.69999999999982</v>
          </cell>
          <cell r="DS90">
            <v>-786.39999999999986</v>
          </cell>
          <cell r="DT90">
            <v>-746.19999999999982</v>
          </cell>
          <cell r="DU90">
            <v>-707</v>
          </cell>
          <cell r="DV90">
            <v>-668.89999999999986</v>
          </cell>
          <cell r="DW90">
            <v>-631.79999999999995</v>
          </cell>
          <cell r="EJ90" t="str">
            <v>.</v>
          </cell>
        </row>
        <row r="91">
          <cell r="A91" t="str">
            <v>Receivable Assoc. Companies</v>
          </cell>
          <cell r="B91" t="str">
            <v>InterCo Financing SUB</v>
          </cell>
          <cell r="C91" t="str">
            <v>Receivable Assoc. Companies</v>
          </cell>
          <cell r="D91" t="str">
            <v>1450711</v>
          </cell>
          <cell r="E91" t="str">
            <v>A_1450711</v>
          </cell>
          <cell r="F91" t="str">
            <v>Notes Receivable - Intercompany - Current</v>
          </cell>
          <cell r="G91">
            <v>0</v>
          </cell>
          <cell r="H91">
            <v>0</v>
          </cell>
          <cell r="I91">
            <v>0</v>
          </cell>
          <cell r="J91">
            <v>1500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4600</v>
          </cell>
          <cell r="W91">
            <v>10450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12000</v>
          </cell>
          <cell r="AE91">
            <v>4500</v>
          </cell>
          <cell r="AF91">
            <v>3000</v>
          </cell>
          <cell r="AG91">
            <v>0</v>
          </cell>
          <cell r="AH91">
            <v>0</v>
          </cell>
          <cell r="AI91">
            <v>23200</v>
          </cell>
          <cell r="AJ91">
            <v>5650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9532.7999999999993</v>
          </cell>
          <cell r="CM91">
            <v>9933.7000000000007</v>
          </cell>
          <cell r="CN91">
            <v>10459.200000000001</v>
          </cell>
          <cell r="CO91">
            <v>9618.2999999999993</v>
          </cell>
          <cell r="CP91">
            <v>10315.799999999999</v>
          </cell>
          <cell r="CQ91">
            <v>9943.2999999999993</v>
          </cell>
          <cell r="CR91">
            <v>10267.4</v>
          </cell>
          <cell r="CS91">
            <v>9828.7999999999993</v>
          </cell>
          <cell r="CT91">
            <v>9719.9</v>
          </cell>
          <cell r="CU91">
            <v>10043.799999999999</v>
          </cell>
          <cell r="CV91">
            <v>9672.4</v>
          </cell>
          <cell r="CW91">
            <v>9146.7999999999993</v>
          </cell>
          <cell r="CX91">
            <v>9368.7999999999993</v>
          </cell>
          <cell r="CY91">
            <v>9985.2000000000007</v>
          </cell>
          <cell r="CZ91">
            <v>8952</v>
          </cell>
          <cell r="DA91">
            <v>10205.4</v>
          </cell>
          <cell r="DB91">
            <v>10528.1</v>
          </cell>
          <cell r="DC91">
            <v>9956.7000000000007</v>
          </cell>
          <cell r="DD91">
            <v>10337.6</v>
          </cell>
          <cell r="DE91">
            <v>9979.2000000000007</v>
          </cell>
          <cell r="DF91">
            <v>9678.9</v>
          </cell>
          <cell r="DG91">
            <v>10135.299999999999</v>
          </cell>
          <cell r="DH91">
            <v>9639</v>
          </cell>
          <cell r="DI91">
            <v>9123.4</v>
          </cell>
          <cell r="DJ91">
            <v>9579.1</v>
          </cell>
          <cell r="DK91">
            <v>9393.7000000000007</v>
          </cell>
          <cell r="DL91">
            <v>10135.299999999999</v>
          </cell>
          <cell r="DM91">
            <v>10135.299999999999</v>
          </cell>
          <cell r="DN91">
            <v>10135.299999999999</v>
          </cell>
          <cell r="DO91">
            <v>10135.299999999999</v>
          </cell>
          <cell r="DP91">
            <v>10135.299999999999</v>
          </cell>
          <cell r="DQ91">
            <v>10135.299999999999</v>
          </cell>
          <cell r="DR91">
            <v>10135.299999999999</v>
          </cell>
          <cell r="DS91">
            <v>10135.299999999999</v>
          </cell>
          <cell r="DT91">
            <v>10135.299999999999</v>
          </cell>
          <cell r="DU91">
            <v>10135.299999999999</v>
          </cell>
          <cell r="DV91">
            <v>10135.299999999999</v>
          </cell>
          <cell r="DW91">
            <v>10135.299999999999</v>
          </cell>
          <cell r="EK91" t="str">
            <v>2020 8&amp;4 Dec Balance</v>
          </cell>
          <cell r="EL91" t="str">
            <v>A_1450711</v>
          </cell>
        </row>
        <row r="92">
          <cell r="D92" t="str">
            <v>145</v>
          </cell>
          <cell r="E92">
            <v>145</v>
          </cell>
          <cell r="G92">
            <v>0</v>
          </cell>
          <cell r="H92">
            <v>0</v>
          </cell>
          <cell r="I92">
            <v>0</v>
          </cell>
          <cell r="J92">
            <v>1500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4600</v>
          </cell>
          <cell r="W92">
            <v>10450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12000</v>
          </cell>
          <cell r="AE92">
            <v>4500</v>
          </cell>
          <cell r="AF92">
            <v>3000</v>
          </cell>
          <cell r="AG92">
            <v>0</v>
          </cell>
          <cell r="AH92">
            <v>0</v>
          </cell>
          <cell r="AI92">
            <v>23200</v>
          </cell>
          <cell r="AJ92">
            <v>5650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9532.7999999999993</v>
          </cell>
          <cell r="CM92">
            <v>9933.7000000000007</v>
          </cell>
          <cell r="CN92">
            <v>10459.200000000001</v>
          </cell>
          <cell r="CO92">
            <v>9618.2999999999993</v>
          </cell>
          <cell r="CP92">
            <v>10315.799999999999</v>
          </cell>
          <cell r="CQ92">
            <v>9943.2999999999993</v>
          </cell>
          <cell r="CR92">
            <v>10267.4</v>
          </cell>
          <cell r="CS92">
            <v>9828.7999999999993</v>
          </cell>
          <cell r="CT92">
            <v>9719.9</v>
          </cell>
          <cell r="CU92">
            <v>10043.799999999999</v>
          </cell>
          <cell r="CV92">
            <v>9672.4</v>
          </cell>
          <cell r="CW92">
            <v>9146.7999999999993</v>
          </cell>
          <cell r="CX92">
            <v>9368.7999999999993</v>
          </cell>
          <cell r="CY92">
            <v>9985.2000000000007</v>
          </cell>
          <cell r="CZ92">
            <v>8952</v>
          </cell>
          <cell r="DA92">
            <v>10205.4</v>
          </cell>
          <cell r="DB92">
            <v>10528.1</v>
          </cell>
          <cell r="DC92">
            <v>9956.7000000000007</v>
          </cell>
          <cell r="DD92">
            <v>10337.6</v>
          </cell>
          <cell r="DE92">
            <v>9979.2000000000007</v>
          </cell>
          <cell r="DF92">
            <v>9678.9</v>
          </cell>
          <cell r="DG92">
            <v>10135.299999999999</v>
          </cell>
          <cell r="DH92">
            <v>9639</v>
          </cell>
          <cell r="DI92">
            <v>9123.4</v>
          </cell>
          <cell r="DJ92">
            <v>9579.1</v>
          </cell>
          <cell r="DK92">
            <v>9393.7000000000007</v>
          </cell>
          <cell r="DL92">
            <v>10135.299999999999</v>
          </cell>
          <cell r="DM92">
            <v>10135.299999999999</v>
          </cell>
          <cell r="DN92">
            <v>10135.299999999999</v>
          </cell>
          <cell r="DO92">
            <v>10135.299999999999</v>
          </cell>
          <cell r="DP92">
            <v>10135.299999999999</v>
          </cell>
          <cell r="DQ92">
            <v>10135.299999999999</v>
          </cell>
          <cell r="DR92">
            <v>10135.299999999999</v>
          </cell>
          <cell r="DS92">
            <v>10135.299999999999</v>
          </cell>
          <cell r="DT92">
            <v>10135.299999999999</v>
          </cell>
          <cell r="DU92">
            <v>10135.299999999999</v>
          </cell>
          <cell r="DV92">
            <v>10135.299999999999</v>
          </cell>
          <cell r="DW92">
            <v>10135.299999999999</v>
          </cell>
          <cell r="EJ92" t="str">
            <v>.</v>
          </cell>
        </row>
        <row r="93">
          <cell r="A93" t="str">
            <v>Receivable Assoc. Co. Services</v>
          </cell>
          <cell r="B93" t="str">
            <v>Account Receivable - Affiliates</v>
          </cell>
          <cell r="C93" t="str">
            <v>Receivable Assoc. Co. Services</v>
          </cell>
          <cell r="D93" t="str">
            <v>1460700</v>
          </cell>
          <cell r="E93" t="str">
            <v>A_1460700</v>
          </cell>
          <cell r="F93" t="str">
            <v>Trade Receivable-Intercompany (RECON)</v>
          </cell>
          <cell r="G93">
            <v>1679.9459099999999</v>
          </cell>
          <cell r="H93">
            <v>644</v>
          </cell>
          <cell r="I93">
            <v>724.9</v>
          </cell>
          <cell r="J93">
            <v>975.1</v>
          </cell>
          <cell r="K93">
            <v>1409.6</v>
          </cell>
          <cell r="L93">
            <v>10647.7</v>
          </cell>
          <cell r="M93">
            <v>1483.9</v>
          </cell>
          <cell r="N93">
            <v>1347.1</v>
          </cell>
          <cell r="O93">
            <v>2411</v>
          </cell>
          <cell r="P93">
            <v>1880.1</v>
          </cell>
          <cell r="Q93">
            <v>2761.3</v>
          </cell>
          <cell r="R93">
            <v>1070.2</v>
          </cell>
          <cell r="S93">
            <v>3697.8</v>
          </cell>
          <cell r="T93">
            <v>892.9</v>
          </cell>
          <cell r="U93">
            <v>989.6</v>
          </cell>
          <cell r="V93">
            <v>1591.2</v>
          </cell>
          <cell r="W93">
            <v>1113</v>
          </cell>
          <cell r="X93">
            <v>1534.3</v>
          </cell>
          <cell r="Y93">
            <v>1047.9000000000001</v>
          </cell>
          <cell r="Z93">
            <v>1295.2</v>
          </cell>
          <cell r="AA93">
            <v>1499.8</v>
          </cell>
          <cell r="AB93">
            <v>534.6</v>
          </cell>
          <cell r="AC93">
            <v>1231.0999999999999</v>
          </cell>
          <cell r="AD93">
            <v>1175.3</v>
          </cell>
          <cell r="AE93">
            <v>1439.6</v>
          </cell>
          <cell r="AF93">
            <v>1251.8</v>
          </cell>
          <cell r="AG93">
            <v>983</v>
          </cell>
          <cell r="AH93">
            <v>1466.2</v>
          </cell>
          <cell r="AI93">
            <v>5.3</v>
          </cell>
          <cell r="AJ93">
            <v>49.4</v>
          </cell>
          <cell r="AK93">
            <v>54.6</v>
          </cell>
          <cell r="AL93">
            <v>239</v>
          </cell>
          <cell r="AM93">
            <v>33.6</v>
          </cell>
          <cell r="AN93">
            <v>42.4</v>
          </cell>
          <cell r="AO93">
            <v>73.3</v>
          </cell>
          <cell r="AP93">
            <v>52</v>
          </cell>
          <cell r="AQ93">
            <v>480.5</v>
          </cell>
          <cell r="AR93">
            <v>614.4</v>
          </cell>
          <cell r="AS93">
            <v>572.1</v>
          </cell>
          <cell r="AT93">
            <v>104.7</v>
          </cell>
          <cell r="AU93">
            <v>-95.1</v>
          </cell>
          <cell r="AV93">
            <v>-39.5</v>
          </cell>
          <cell r="AW93">
            <v>1276.5</v>
          </cell>
          <cell r="AX93">
            <v>59.5</v>
          </cell>
          <cell r="AY93">
            <v>12957.8</v>
          </cell>
          <cell r="AZ93">
            <v>67.8</v>
          </cell>
          <cell r="BA93">
            <v>68</v>
          </cell>
          <cell r="BB93">
            <v>92.6</v>
          </cell>
          <cell r="BC93">
            <v>199.5</v>
          </cell>
          <cell r="BD93">
            <v>46.7</v>
          </cell>
          <cell r="BE93">
            <v>664.1</v>
          </cell>
          <cell r="BF93">
            <v>75.900000000000006</v>
          </cell>
          <cell r="BG93">
            <v>94</v>
          </cell>
          <cell r="BH93">
            <v>81.599999999999994</v>
          </cell>
          <cell r="BI93">
            <v>80.5</v>
          </cell>
          <cell r="BJ93">
            <v>75.2</v>
          </cell>
          <cell r="BK93">
            <v>109.6</v>
          </cell>
          <cell r="BL93">
            <v>156.6</v>
          </cell>
          <cell r="BM93">
            <v>84.4</v>
          </cell>
          <cell r="BN93">
            <v>84.7</v>
          </cell>
          <cell r="BO93">
            <v>206.6</v>
          </cell>
          <cell r="BP93">
            <v>1544.3</v>
          </cell>
          <cell r="BQ93">
            <v>223.8</v>
          </cell>
          <cell r="BR93">
            <v>84.6</v>
          </cell>
          <cell r="BS93">
            <v>89.5</v>
          </cell>
          <cell r="BT93">
            <v>87.4</v>
          </cell>
          <cell r="BU93">
            <v>73.7</v>
          </cell>
          <cell r="BV93">
            <v>93.7</v>
          </cell>
          <cell r="BW93">
            <v>103.7</v>
          </cell>
          <cell r="BX93">
            <v>90.4</v>
          </cell>
          <cell r="BY93">
            <v>205.3</v>
          </cell>
          <cell r="BZ93">
            <v>184.7</v>
          </cell>
          <cell r="CA93">
            <v>139</v>
          </cell>
          <cell r="CB93">
            <v>276.5</v>
          </cell>
          <cell r="CC93">
            <v>95.3</v>
          </cell>
          <cell r="CD93">
            <v>164.7</v>
          </cell>
          <cell r="CE93">
            <v>122.1</v>
          </cell>
          <cell r="CF93">
            <v>518.9</v>
          </cell>
          <cell r="CG93">
            <v>107.9</v>
          </cell>
          <cell r="CH93">
            <v>103.6</v>
          </cell>
          <cell r="CI93">
            <v>244.6</v>
          </cell>
          <cell r="CJ93">
            <v>47.7</v>
          </cell>
          <cell r="CK93">
            <v>235.8</v>
          </cell>
          <cell r="CL93">
            <v>86.1</v>
          </cell>
          <cell r="CM93">
            <v>116.6</v>
          </cell>
          <cell r="CN93">
            <v>87.2</v>
          </cell>
          <cell r="CO93">
            <v>71.2</v>
          </cell>
          <cell r="CP93">
            <v>873.3</v>
          </cell>
          <cell r="CQ93">
            <v>67.5</v>
          </cell>
          <cell r="CR93">
            <v>75.3</v>
          </cell>
          <cell r="CS93">
            <v>353.3</v>
          </cell>
          <cell r="CT93">
            <v>138.6</v>
          </cell>
          <cell r="CU93">
            <v>102.3</v>
          </cell>
          <cell r="CV93">
            <v>133.19999999999999</v>
          </cell>
          <cell r="CW93">
            <v>207.1</v>
          </cell>
          <cell r="CX93">
            <v>177.5</v>
          </cell>
          <cell r="CY93">
            <v>187.6</v>
          </cell>
          <cell r="CZ93">
            <v>463</v>
          </cell>
          <cell r="DA93">
            <v>163.1</v>
          </cell>
          <cell r="DB93">
            <v>282.89999999999998</v>
          </cell>
          <cell r="DC93">
            <v>188</v>
          </cell>
          <cell r="DD93">
            <v>204.5</v>
          </cell>
          <cell r="DE93">
            <v>162.30000000000001</v>
          </cell>
          <cell r="DF93">
            <v>178.8</v>
          </cell>
          <cell r="DG93">
            <v>181.3</v>
          </cell>
          <cell r="DH93">
            <v>167.1</v>
          </cell>
          <cell r="DI93">
            <v>38.700000000000003</v>
          </cell>
          <cell r="DJ93">
            <v>750</v>
          </cell>
          <cell r="DK93">
            <v>226.7</v>
          </cell>
          <cell r="DL93">
            <v>226.7</v>
          </cell>
          <cell r="DM93">
            <v>226.7</v>
          </cell>
          <cell r="DN93">
            <v>226.7</v>
          </cell>
          <cell r="DO93">
            <v>226.7</v>
          </cell>
          <cell r="DP93">
            <v>226.7</v>
          </cell>
          <cell r="DQ93">
            <v>226.7</v>
          </cell>
          <cell r="DR93">
            <v>226.7</v>
          </cell>
          <cell r="DS93">
            <v>226.7</v>
          </cell>
          <cell r="DT93">
            <v>226.7</v>
          </cell>
          <cell r="DU93">
            <v>226.7</v>
          </cell>
          <cell r="DV93">
            <v>226.7</v>
          </cell>
          <cell r="DW93">
            <v>226.7</v>
          </cell>
          <cell r="EK93" t="str">
            <v>2020 8&amp;4 Dec Balance</v>
          </cell>
          <cell r="EL93" t="str">
            <v>A_1460700</v>
          </cell>
        </row>
        <row r="94">
          <cell r="A94" t="str">
            <v>Receivable Assoc. Co. Services</v>
          </cell>
          <cell r="B94" t="str">
            <v>Account Receivable - Affiliates</v>
          </cell>
          <cell r="C94" t="str">
            <v>Receivable Assoc. Co. Services</v>
          </cell>
          <cell r="D94" t="str">
            <v>1460701</v>
          </cell>
          <cell r="E94" t="str">
            <v>A_1460701</v>
          </cell>
          <cell r="F94" t="str">
            <v>Trade Receivable-Intercompany (Posting)</v>
          </cell>
          <cell r="G94">
            <v>0.58447000000000005</v>
          </cell>
          <cell r="H94">
            <v>220.7</v>
          </cell>
          <cell r="I94">
            <v>1.3</v>
          </cell>
          <cell r="J94">
            <v>2.7</v>
          </cell>
          <cell r="K94">
            <v>349.1</v>
          </cell>
          <cell r="L94">
            <v>-1</v>
          </cell>
          <cell r="M94">
            <v>2.2999999999999998</v>
          </cell>
          <cell r="N94">
            <v>74.8</v>
          </cell>
          <cell r="O94">
            <v>70</v>
          </cell>
          <cell r="P94">
            <v>0.5</v>
          </cell>
          <cell r="Q94">
            <v>441.2</v>
          </cell>
          <cell r="R94">
            <v>229.2</v>
          </cell>
          <cell r="S94">
            <v>352.6</v>
          </cell>
          <cell r="T94">
            <v>36.200000000000003</v>
          </cell>
          <cell r="U94">
            <v>639.20000000000005</v>
          </cell>
          <cell r="V94">
            <v>660.3</v>
          </cell>
          <cell r="W94">
            <v>102.5</v>
          </cell>
          <cell r="X94">
            <v>76.2</v>
          </cell>
          <cell r="Y94">
            <v>1786.2</v>
          </cell>
          <cell r="Z94">
            <v>975.3</v>
          </cell>
          <cell r="AA94">
            <v>1012.6</v>
          </cell>
          <cell r="AB94">
            <v>390.2</v>
          </cell>
          <cell r="AC94">
            <v>441.1</v>
          </cell>
          <cell r="AD94">
            <v>1170.3</v>
          </cell>
          <cell r="AE94">
            <v>10.3</v>
          </cell>
          <cell r="AF94">
            <v>1574.2</v>
          </cell>
          <cell r="AG94">
            <v>1470.5</v>
          </cell>
          <cell r="AH94">
            <v>1478.6</v>
          </cell>
          <cell r="AI94">
            <v>1626</v>
          </cell>
          <cell r="AJ94">
            <v>33.4</v>
          </cell>
          <cell r="AK94">
            <v>303.7</v>
          </cell>
          <cell r="AL94">
            <v>277.7</v>
          </cell>
          <cell r="AM94">
            <v>255.4</v>
          </cell>
          <cell r="AN94">
            <v>4.3</v>
          </cell>
          <cell r="AO94">
            <v>186.3</v>
          </cell>
          <cell r="AP94">
            <v>104.6</v>
          </cell>
          <cell r="AQ94">
            <v>20.8</v>
          </cell>
          <cell r="AR94">
            <v>3.4</v>
          </cell>
          <cell r="AS94">
            <v>60.5</v>
          </cell>
          <cell r="AT94">
            <v>833.1</v>
          </cell>
          <cell r="AU94">
            <v>501.1</v>
          </cell>
          <cell r="AV94">
            <v>1610.2</v>
          </cell>
          <cell r="AW94">
            <v>125.8</v>
          </cell>
          <cell r="AX94">
            <v>1039.0999999999999</v>
          </cell>
          <cell r="AY94">
            <v>7918.7</v>
          </cell>
          <cell r="AZ94">
            <v>4948.6000000000004</v>
          </cell>
          <cell r="BA94">
            <v>955.2</v>
          </cell>
          <cell r="BB94">
            <v>341</v>
          </cell>
          <cell r="BC94">
            <v>1507.3</v>
          </cell>
          <cell r="BD94">
            <v>3443.7</v>
          </cell>
          <cell r="BE94">
            <v>1575.6</v>
          </cell>
          <cell r="BF94">
            <v>812</v>
          </cell>
          <cell r="BG94">
            <v>222.5</v>
          </cell>
          <cell r="BH94">
            <v>1077.8</v>
          </cell>
          <cell r="BI94">
            <v>3328.6</v>
          </cell>
          <cell r="BJ94">
            <v>2256.5</v>
          </cell>
          <cell r="BK94">
            <v>1653.2</v>
          </cell>
          <cell r="BL94">
            <v>3454</v>
          </cell>
          <cell r="BM94">
            <v>5120.6000000000004</v>
          </cell>
          <cell r="BN94">
            <v>4317.8999999999996</v>
          </cell>
          <cell r="BO94">
            <v>492.5</v>
          </cell>
          <cell r="BP94">
            <v>1484.7</v>
          </cell>
          <cell r="BQ94">
            <v>698.6</v>
          </cell>
          <cell r="BR94">
            <v>2454.3000000000002</v>
          </cell>
          <cell r="BS94">
            <v>857.8</v>
          </cell>
          <cell r="BT94">
            <v>2072.6</v>
          </cell>
          <cell r="BU94">
            <v>720.1</v>
          </cell>
          <cell r="BV94">
            <v>805.9</v>
          </cell>
          <cell r="BW94">
            <v>1019.3</v>
          </cell>
          <cell r="BX94">
            <v>3002.5</v>
          </cell>
          <cell r="BY94">
            <v>2757.3</v>
          </cell>
          <cell r="BZ94">
            <v>606</v>
          </cell>
          <cell r="CA94">
            <v>796.3</v>
          </cell>
          <cell r="CB94">
            <v>1277.9000000000001</v>
          </cell>
          <cell r="CC94">
            <v>451.1</v>
          </cell>
          <cell r="CD94">
            <v>797.8</v>
          </cell>
          <cell r="CE94">
            <v>149.5</v>
          </cell>
          <cell r="CF94">
            <v>332.9</v>
          </cell>
          <cell r="CG94">
            <v>764.7</v>
          </cell>
          <cell r="CH94">
            <v>1014.3</v>
          </cell>
          <cell r="CI94">
            <v>157.9</v>
          </cell>
          <cell r="CJ94">
            <v>178.1</v>
          </cell>
          <cell r="CK94">
            <v>134.1</v>
          </cell>
          <cell r="CL94">
            <v>128.80000000000001</v>
          </cell>
          <cell r="CM94">
            <v>299.89999999999998</v>
          </cell>
          <cell r="CN94">
            <v>131.19999999999999</v>
          </cell>
          <cell r="CO94">
            <v>124.1</v>
          </cell>
          <cell r="CP94">
            <v>133.1</v>
          </cell>
          <cell r="CQ94">
            <v>124.1</v>
          </cell>
          <cell r="CR94">
            <v>204.9</v>
          </cell>
          <cell r="CS94">
            <v>142.4</v>
          </cell>
          <cell r="CT94">
            <v>253.2</v>
          </cell>
          <cell r="CU94">
            <v>124.8</v>
          </cell>
          <cell r="CV94">
            <v>124.1</v>
          </cell>
          <cell r="CW94">
            <v>183.4</v>
          </cell>
          <cell r="CX94">
            <v>461.4</v>
          </cell>
          <cell r="CY94">
            <v>395.7</v>
          </cell>
          <cell r="CZ94">
            <v>289.8</v>
          </cell>
          <cell r="DA94">
            <v>584.29999999999995</v>
          </cell>
          <cell r="DB94">
            <v>457.8</v>
          </cell>
          <cell r="DC94">
            <v>291.60000000000002</v>
          </cell>
          <cell r="DD94">
            <v>671.5</v>
          </cell>
          <cell r="DE94">
            <v>498.2</v>
          </cell>
          <cell r="DF94">
            <v>1025.2</v>
          </cell>
          <cell r="DG94">
            <v>537.4</v>
          </cell>
          <cell r="DH94">
            <v>475.6</v>
          </cell>
          <cell r="DI94">
            <v>931.9</v>
          </cell>
          <cell r="DJ94">
            <v>838.9</v>
          </cell>
          <cell r="DK94">
            <v>1993.6</v>
          </cell>
          <cell r="DL94">
            <v>1993.6</v>
          </cell>
          <cell r="DM94">
            <v>1993.6</v>
          </cell>
          <cell r="DN94">
            <v>1993.6</v>
          </cell>
          <cell r="DO94">
            <v>1993.6</v>
          </cell>
          <cell r="DP94">
            <v>1993.6</v>
          </cell>
          <cell r="DQ94">
            <v>1993.6</v>
          </cell>
          <cell r="DR94">
            <v>1993.6</v>
          </cell>
          <cell r="DS94">
            <v>1993.6</v>
          </cell>
          <cell r="DT94">
            <v>1993.6</v>
          </cell>
          <cell r="DU94">
            <v>1993.6</v>
          </cell>
          <cell r="DV94">
            <v>1993.6</v>
          </cell>
          <cell r="DW94">
            <v>1993.6</v>
          </cell>
          <cell r="EK94" t="str">
            <v>2020 8&amp;4 Dec Balance</v>
          </cell>
          <cell r="EL94" t="str">
            <v>A_1460701</v>
          </cell>
        </row>
        <row r="95">
          <cell r="A95" t="str">
            <v>Receivable Assoc. Co. Services</v>
          </cell>
          <cell r="B95" t="str">
            <v>Account Receivable - Affiliates</v>
          </cell>
          <cell r="C95" t="str">
            <v>Receivable Assoc. Co. Services</v>
          </cell>
          <cell r="D95" t="str">
            <v>1460705</v>
          </cell>
          <cell r="E95" t="str">
            <v>A_1460705</v>
          </cell>
          <cell r="F95" t="str">
            <v>Trade Receivable-Interco-New Mexico Gas Company</v>
          </cell>
          <cell r="G95">
            <v>0.58447000000000005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0.1</v>
          </cell>
          <cell r="S95">
            <v>0.1</v>
          </cell>
          <cell r="T95">
            <v>0.1</v>
          </cell>
          <cell r="U95">
            <v>1.1000000000000001</v>
          </cell>
          <cell r="V95">
            <v>1.1000000000000001</v>
          </cell>
          <cell r="W95">
            <v>1.7</v>
          </cell>
          <cell r="X95">
            <v>1.7</v>
          </cell>
          <cell r="Y95">
            <v>1.7</v>
          </cell>
          <cell r="Z95">
            <v>1.7</v>
          </cell>
          <cell r="AA95">
            <v>1.7</v>
          </cell>
          <cell r="AB95">
            <v>1.7</v>
          </cell>
          <cell r="AC95">
            <v>1.7</v>
          </cell>
          <cell r="AD95">
            <v>2.2999999999999998</v>
          </cell>
          <cell r="AE95">
            <v>5.3</v>
          </cell>
          <cell r="AF95">
            <v>1.7</v>
          </cell>
          <cell r="AG95">
            <v>1.7</v>
          </cell>
          <cell r="AH95">
            <v>1.7</v>
          </cell>
          <cell r="AI95">
            <v>1.7</v>
          </cell>
          <cell r="AJ95">
            <v>1.7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EK95" t="str">
            <v>2020 8&amp;4 Dec Balance</v>
          </cell>
          <cell r="EL95" t="str">
            <v>A_1460705</v>
          </cell>
        </row>
        <row r="96">
          <cell r="A96" t="str">
            <v>Receivable Assoc. Co. Services</v>
          </cell>
          <cell r="B96" t="str">
            <v>Account Receivable - Affiliates</v>
          </cell>
          <cell r="C96" t="str">
            <v>Receivable Assoc. Co. Services</v>
          </cell>
          <cell r="D96" t="str">
            <v>1460706</v>
          </cell>
          <cell r="E96" t="str">
            <v>A_1460706</v>
          </cell>
          <cell r="F96" t="str">
            <v>Trade Receivable-Interco-Emera Inc. E009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0.1</v>
          </cell>
          <cell r="BU96">
            <v>0.1</v>
          </cell>
          <cell r="BV96">
            <v>0.1</v>
          </cell>
          <cell r="BW96">
            <v>0.6</v>
          </cell>
          <cell r="BX96">
            <v>0.6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3.8</v>
          </cell>
          <cell r="CD96">
            <v>3.8</v>
          </cell>
          <cell r="CE96">
            <v>3.8</v>
          </cell>
          <cell r="CF96">
            <v>3.8</v>
          </cell>
          <cell r="CG96">
            <v>3.8</v>
          </cell>
          <cell r="CH96">
            <v>3.8</v>
          </cell>
          <cell r="CI96">
            <v>3.8</v>
          </cell>
          <cell r="CJ96">
            <v>4</v>
          </cell>
          <cell r="CK96">
            <v>4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14.4</v>
          </cell>
          <cell r="CQ96">
            <v>0</v>
          </cell>
          <cell r="CR96">
            <v>18.600000000000001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1.5</v>
          </cell>
          <cell r="DH96">
            <v>1.5</v>
          </cell>
          <cell r="DI96">
            <v>0</v>
          </cell>
          <cell r="DJ96">
            <v>0</v>
          </cell>
          <cell r="DK96">
            <v>10</v>
          </cell>
          <cell r="DL96">
            <v>10</v>
          </cell>
          <cell r="DM96">
            <v>10</v>
          </cell>
          <cell r="DN96">
            <v>10</v>
          </cell>
          <cell r="DO96">
            <v>10</v>
          </cell>
          <cell r="DP96">
            <v>10</v>
          </cell>
          <cell r="DQ96">
            <v>10</v>
          </cell>
          <cell r="DR96">
            <v>10</v>
          </cell>
          <cell r="DS96">
            <v>10</v>
          </cell>
          <cell r="DT96">
            <v>10</v>
          </cell>
          <cell r="DU96">
            <v>10</v>
          </cell>
          <cell r="DV96">
            <v>10</v>
          </cell>
          <cell r="DW96">
            <v>10</v>
          </cell>
          <cell r="EK96" t="str">
            <v>2020 8&amp;4 Dec Balance</v>
          </cell>
          <cell r="EL96" t="str">
            <v>A_1460706</v>
          </cell>
        </row>
        <row r="97">
          <cell r="A97" t="str">
            <v>Receivable Assoc. Co. Services</v>
          </cell>
          <cell r="B97" t="str">
            <v>Account Receivable - Affiliates</v>
          </cell>
          <cell r="C97" t="str">
            <v>Receivable Assoc. Co. Services</v>
          </cell>
          <cell r="D97" t="str">
            <v>1460710</v>
          </cell>
          <cell r="E97" t="str">
            <v>A_1460710</v>
          </cell>
          <cell r="F97" t="str">
            <v>Interest Receivable-Intercompany (RECON)</v>
          </cell>
          <cell r="G97">
            <v>2.0478000000000001</v>
          </cell>
          <cell r="H97">
            <v>2</v>
          </cell>
          <cell r="I97">
            <v>2</v>
          </cell>
          <cell r="J97">
            <v>2</v>
          </cell>
          <cell r="K97">
            <v>2</v>
          </cell>
          <cell r="L97">
            <v>2</v>
          </cell>
          <cell r="M97">
            <v>2</v>
          </cell>
          <cell r="N97">
            <v>2</v>
          </cell>
          <cell r="O97">
            <v>2</v>
          </cell>
          <cell r="P97">
            <v>2</v>
          </cell>
          <cell r="Q97">
            <v>2</v>
          </cell>
          <cell r="R97">
            <v>2</v>
          </cell>
          <cell r="S97">
            <v>2</v>
          </cell>
          <cell r="T97">
            <v>2</v>
          </cell>
          <cell r="U97">
            <v>2</v>
          </cell>
          <cell r="V97">
            <v>2</v>
          </cell>
          <cell r="W97">
            <v>2</v>
          </cell>
          <cell r="X97">
            <v>2</v>
          </cell>
          <cell r="Y97">
            <v>2</v>
          </cell>
          <cell r="Z97">
            <v>2</v>
          </cell>
          <cell r="AA97">
            <v>2</v>
          </cell>
          <cell r="AB97">
            <v>2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2</v>
          </cell>
          <cell r="AI97">
            <v>2</v>
          </cell>
          <cell r="AJ97">
            <v>2</v>
          </cell>
          <cell r="AK97">
            <v>2</v>
          </cell>
          <cell r="AL97">
            <v>2</v>
          </cell>
          <cell r="AM97">
            <v>2</v>
          </cell>
          <cell r="AN97">
            <v>2</v>
          </cell>
          <cell r="AO97">
            <v>2</v>
          </cell>
          <cell r="AP97">
            <v>2</v>
          </cell>
          <cell r="AQ97">
            <v>2</v>
          </cell>
          <cell r="AR97">
            <v>2</v>
          </cell>
          <cell r="AS97">
            <v>2</v>
          </cell>
          <cell r="AT97">
            <v>2</v>
          </cell>
          <cell r="AU97">
            <v>2</v>
          </cell>
          <cell r="AV97">
            <v>2</v>
          </cell>
          <cell r="AW97">
            <v>2</v>
          </cell>
          <cell r="AX97">
            <v>2</v>
          </cell>
          <cell r="AY97">
            <v>2</v>
          </cell>
          <cell r="AZ97">
            <v>2</v>
          </cell>
          <cell r="BA97">
            <v>2</v>
          </cell>
          <cell r="BB97">
            <v>2</v>
          </cell>
          <cell r="BC97">
            <v>2</v>
          </cell>
          <cell r="BD97">
            <v>2</v>
          </cell>
          <cell r="BE97">
            <v>2</v>
          </cell>
          <cell r="BF97">
            <v>2</v>
          </cell>
          <cell r="BG97">
            <v>2</v>
          </cell>
          <cell r="BH97">
            <v>2</v>
          </cell>
          <cell r="BI97">
            <v>2</v>
          </cell>
          <cell r="BJ97">
            <v>2</v>
          </cell>
          <cell r="BK97">
            <v>2</v>
          </cell>
          <cell r="BL97">
            <v>2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9.4</v>
          </cell>
          <cell r="CO97">
            <v>18.899999999999999</v>
          </cell>
          <cell r="CP97">
            <v>28.1</v>
          </cell>
          <cell r="CQ97">
            <v>4.9000000000000004</v>
          </cell>
          <cell r="CR97">
            <v>10.9</v>
          </cell>
          <cell r="CS97">
            <v>4.5999999999999996</v>
          </cell>
          <cell r="CT97">
            <v>2.1</v>
          </cell>
          <cell r="CU97">
            <v>2.1</v>
          </cell>
          <cell r="CV97">
            <v>2</v>
          </cell>
          <cell r="CW97">
            <v>1.9</v>
          </cell>
          <cell r="CX97">
            <v>1.9</v>
          </cell>
          <cell r="CY97">
            <v>2.4</v>
          </cell>
          <cell r="CZ97">
            <v>2.7</v>
          </cell>
          <cell r="DA97">
            <v>2.5</v>
          </cell>
          <cell r="DB97">
            <v>7.6</v>
          </cell>
          <cell r="DC97">
            <v>9.8000000000000007</v>
          </cell>
          <cell r="DD97">
            <v>10.7</v>
          </cell>
          <cell r="DE97">
            <v>13.8</v>
          </cell>
          <cell r="DF97">
            <v>17.8</v>
          </cell>
          <cell r="DG97">
            <v>25.7</v>
          </cell>
          <cell r="DH97">
            <v>29.5</v>
          </cell>
          <cell r="DI97">
            <v>32</v>
          </cell>
          <cell r="DJ97">
            <v>35.4</v>
          </cell>
          <cell r="DK97">
            <v>39.5</v>
          </cell>
          <cell r="DL97">
            <v>39.5</v>
          </cell>
          <cell r="DM97">
            <v>39.5</v>
          </cell>
          <cell r="DN97">
            <v>39.5</v>
          </cell>
          <cell r="DO97">
            <v>39.5</v>
          </cell>
          <cell r="DP97">
            <v>39.5</v>
          </cell>
          <cell r="DQ97">
            <v>39.5</v>
          </cell>
          <cell r="DR97">
            <v>39.5</v>
          </cell>
          <cell r="DS97">
            <v>39.5</v>
          </cell>
          <cell r="DT97">
            <v>39.5</v>
          </cell>
          <cell r="DU97">
            <v>39.5</v>
          </cell>
          <cell r="DV97">
            <v>39.5</v>
          </cell>
          <cell r="DW97">
            <v>39.5</v>
          </cell>
          <cell r="EK97" t="str">
            <v>2020 8&amp;4 Dec Balance</v>
          </cell>
          <cell r="EL97" t="str">
            <v>A_1460710</v>
          </cell>
        </row>
        <row r="98">
          <cell r="A98" t="str">
            <v>Receivable Assoc. Co. Services</v>
          </cell>
          <cell r="B98" t="str">
            <v>Dividends Receivable/Payable</v>
          </cell>
          <cell r="C98" t="str">
            <v>Receivable Assoc. Co. Services</v>
          </cell>
          <cell r="D98" t="str">
            <v>1460720</v>
          </cell>
          <cell r="E98" t="str">
            <v>A_1460720</v>
          </cell>
          <cell r="F98" t="str">
            <v>Dividend Receivable-Intercompany (RECON)</v>
          </cell>
          <cell r="G98">
            <v>0</v>
          </cell>
          <cell r="H98">
            <v>595.79999999999995</v>
          </cell>
          <cell r="I98">
            <v>0</v>
          </cell>
          <cell r="J98">
            <v>0</v>
          </cell>
          <cell r="K98">
            <v>718.9</v>
          </cell>
          <cell r="L98">
            <v>0</v>
          </cell>
          <cell r="M98">
            <v>0</v>
          </cell>
          <cell r="N98">
            <v>665.9</v>
          </cell>
          <cell r="O98">
            <v>0</v>
          </cell>
          <cell r="P98">
            <v>0</v>
          </cell>
          <cell r="Q98">
            <v>700.9</v>
          </cell>
          <cell r="R98">
            <v>0</v>
          </cell>
          <cell r="S98">
            <v>0</v>
          </cell>
          <cell r="T98">
            <v>0</v>
          </cell>
          <cell r="U98">
            <v>531.29999999999995</v>
          </cell>
          <cell r="V98">
            <v>0</v>
          </cell>
          <cell r="W98">
            <v>794.5</v>
          </cell>
          <cell r="X98">
            <v>0</v>
          </cell>
          <cell r="Y98">
            <v>0</v>
          </cell>
          <cell r="Z98">
            <v>492.2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997.4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871.9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1062.2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EK98" t="str">
            <v>2020 8&amp;4 Dec Balance</v>
          </cell>
        </row>
        <row r="99">
          <cell r="A99" t="str">
            <v>Receivable Assoc. Co. Services</v>
          </cell>
          <cell r="B99" t="str">
            <v>Account Receivable - Affiliates</v>
          </cell>
          <cell r="C99" t="str">
            <v>Receivable Assoc. Co. Services</v>
          </cell>
          <cell r="D99" t="str">
            <v>1460740</v>
          </cell>
          <cell r="E99" t="str">
            <v>A_1460740</v>
          </cell>
          <cell r="F99" t="str">
            <v>Interco Receivable - CRM - TECO OneBill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EK99" t="str">
            <v>2020 8&amp;4 Dec Balance</v>
          </cell>
        </row>
        <row r="100">
          <cell r="A100" t="str">
            <v>Receivable Assoc. Co. Services</v>
          </cell>
          <cell r="B100" t="str">
            <v>Account Receivable - Affiliates</v>
          </cell>
          <cell r="C100" t="str">
            <v>Receivable Assoc. Co. Services</v>
          </cell>
          <cell r="D100" t="str">
            <v>1460741</v>
          </cell>
          <cell r="E100" t="str">
            <v>A_1460741</v>
          </cell>
          <cell r="F100" t="str">
            <v>Interco Receivable - CRM - TEC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EK100" t="str">
            <v>2020 8&amp;4 Dec Balance</v>
          </cell>
        </row>
        <row r="101">
          <cell r="A101" t="str">
            <v>Receivable Assoc. Co. Services</v>
          </cell>
          <cell r="B101" t="str">
            <v>Account Receivable - Affiliates</v>
          </cell>
          <cell r="C101" t="str">
            <v>Receivable Assoc. Co. Services</v>
          </cell>
          <cell r="D101" t="str">
            <v>1460743</v>
          </cell>
          <cell r="E101" t="str">
            <v>A_1460743</v>
          </cell>
          <cell r="F101" t="str">
            <v>Interco Receivable - CRM - TPI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EK101" t="str">
            <v>2020 8&amp;4 Dec Balance</v>
          </cell>
        </row>
        <row r="102">
          <cell r="A102" t="str">
            <v>Receivable Assoc. Co. Services</v>
          </cell>
          <cell r="B102" t="str">
            <v>Account Receivable - Affiliates</v>
          </cell>
          <cell r="C102" t="str">
            <v>Receivable Assoc. Co. Services</v>
          </cell>
          <cell r="D102" t="str">
            <v>1460780</v>
          </cell>
          <cell r="E102" t="str">
            <v>A_1460780</v>
          </cell>
          <cell r="F102" t="str">
            <v>Trade Receivable-Emera Interco on SAP  E410 (RECON)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4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EK102" t="str">
            <v>Assume Zero</v>
          </cell>
        </row>
        <row r="103">
          <cell r="A103" t="str">
            <v>Receivable Assoc. Co. Services</v>
          </cell>
          <cell r="B103" t="str">
            <v>Account Receivable - Affiliates</v>
          </cell>
          <cell r="C103" t="str">
            <v>Receivable Assoc. Co. Services</v>
          </cell>
          <cell r="D103" t="str">
            <v>1460790</v>
          </cell>
          <cell r="E103" t="str">
            <v>A_1460790</v>
          </cell>
          <cell r="F103" t="str">
            <v>Trade Receivable-Emera Intercompany (RECON)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1.3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60.5</v>
          </cell>
          <cell r="CL103">
            <v>9.9</v>
          </cell>
          <cell r="CM103">
            <v>10.199999999999999</v>
          </cell>
          <cell r="CN103">
            <v>10.199999999999999</v>
          </cell>
          <cell r="CO103">
            <v>10.199999999999999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EK103" t="str">
            <v>2020 8&amp;4 Dec Balance</v>
          </cell>
        </row>
        <row r="104">
          <cell r="A104" t="str">
            <v>Receivable Assoc. Co. Services</v>
          </cell>
          <cell r="B104" t="str">
            <v>Account Receivable - Affiliates</v>
          </cell>
          <cell r="C104" t="str">
            <v>Receivable Assoc. Co. Services</v>
          </cell>
          <cell r="D104" t="str">
            <v>1460791</v>
          </cell>
          <cell r="E104" t="str">
            <v>A_1460791</v>
          </cell>
          <cell r="F104" t="str">
            <v>Trade Receivable-Emera Intercompany (Posting)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1.3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4.3</v>
          </cell>
          <cell r="BJ104">
            <v>0</v>
          </cell>
          <cell r="BK104">
            <v>0</v>
          </cell>
          <cell r="BL104">
            <v>15.1</v>
          </cell>
          <cell r="BM104">
            <v>0</v>
          </cell>
          <cell r="BN104">
            <v>0</v>
          </cell>
          <cell r="BO104">
            <v>14.2</v>
          </cell>
          <cell r="BP104">
            <v>0</v>
          </cell>
          <cell r="BQ104">
            <v>0</v>
          </cell>
          <cell r="BR104">
            <v>0</v>
          </cell>
          <cell r="BS104">
            <v>38.1</v>
          </cell>
          <cell r="BT104">
            <v>2.5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93.1</v>
          </cell>
          <cell r="CB104">
            <v>62.8</v>
          </cell>
          <cell r="CC104">
            <v>65.400000000000006</v>
          </cell>
          <cell r="CD104">
            <v>85.5</v>
          </cell>
          <cell r="CE104">
            <v>45</v>
          </cell>
          <cell r="CF104">
            <v>69.7</v>
          </cell>
          <cell r="CG104">
            <v>88.3</v>
          </cell>
          <cell r="CH104">
            <v>59.8</v>
          </cell>
          <cell r="CI104">
            <v>535.29999999999995</v>
          </cell>
          <cell r="CJ104">
            <v>255.7</v>
          </cell>
          <cell r="CK104">
            <v>216.8</v>
          </cell>
          <cell r="CL104">
            <v>274</v>
          </cell>
          <cell r="CM104">
            <v>265.60000000000002</v>
          </cell>
          <cell r="CN104">
            <v>207.1</v>
          </cell>
          <cell r="CO104">
            <v>361.1</v>
          </cell>
          <cell r="CP104">
            <v>268.5</v>
          </cell>
          <cell r="CQ104">
            <v>255</v>
          </cell>
          <cell r="CR104">
            <v>487.8</v>
          </cell>
          <cell r="CS104">
            <v>1623.7</v>
          </cell>
          <cell r="CT104">
            <v>2578.6999999999998</v>
          </cell>
          <cell r="CU104">
            <v>2391.3000000000002</v>
          </cell>
          <cell r="CV104">
            <v>1174.8</v>
          </cell>
          <cell r="CW104">
            <v>1478.9</v>
          </cell>
          <cell r="CX104">
            <v>265.5</v>
          </cell>
          <cell r="CY104">
            <v>243</v>
          </cell>
          <cell r="CZ104">
            <v>1168.5</v>
          </cell>
          <cell r="DA104">
            <v>254.5</v>
          </cell>
          <cell r="DB104">
            <v>1619.5</v>
          </cell>
          <cell r="DC104">
            <v>233.1</v>
          </cell>
          <cell r="DD104">
            <v>4503.8999999999996</v>
          </cell>
          <cell r="DE104">
            <v>6456.3</v>
          </cell>
          <cell r="DF104">
            <v>3408.6</v>
          </cell>
          <cell r="DG104">
            <v>4656.6000000000004</v>
          </cell>
          <cell r="DH104">
            <v>3330.6</v>
          </cell>
          <cell r="DI104">
            <v>426.4</v>
          </cell>
          <cell r="DJ104">
            <v>368.9</v>
          </cell>
          <cell r="DK104">
            <v>1547.1</v>
          </cell>
          <cell r="DL104">
            <v>1547.1</v>
          </cell>
          <cell r="DM104">
            <v>1547.1</v>
          </cell>
          <cell r="DN104">
            <v>1547.1</v>
          </cell>
          <cell r="DO104">
            <v>1547.1</v>
          </cell>
          <cell r="DP104">
            <v>1547.1</v>
          </cell>
          <cell r="DQ104">
            <v>1547.1</v>
          </cell>
          <cell r="DR104">
            <v>1547.1</v>
          </cell>
          <cell r="DS104">
            <v>1547.1</v>
          </cell>
          <cell r="DT104">
            <v>1547.1</v>
          </cell>
          <cell r="DU104">
            <v>1547.1</v>
          </cell>
          <cell r="DV104">
            <v>1547.1</v>
          </cell>
          <cell r="DW104">
            <v>1547.1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K104" t="str">
            <v>2020 8&amp;4 Dec Balance</v>
          </cell>
          <cell r="EL104" t="str">
            <v>A_1460791</v>
          </cell>
        </row>
        <row r="105">
          <cell r="D105" t="str">
            <v>146</v>
          </cell>
          <cell r="E105">
            <v>146</v>
          </cell>
          <cell r="G105">
            <v>1682.57818</v>
          </cell>
          <cell r="H105">
            <v>1462.5</v>
          </cell>
          <cell r="I105">
            <v>728.19999999999993</v>
          </cell>
          <cell r="J105">
            <v>979.80000000000007</v>
          </cell>
          <cell r="K105">
            <v>2479.6</v>
          </cell>
          <cell r="L105">
            <v>10648.7</v>
          </cell>
          <cell r="M105">
            <v>1488.2</v>
          </cell>
          <cell r="N105">
            <v>2089.7999999999997</v>
          </cell>
          <cell r="O105">
            <v>2483</v>
          </cell>
          <cell r="P105">
            <v>1882.6</v>
          </cell>
          <cell r="Q105">
            <v>3905.4</v>
          </cell>
          <cell r="R105">
            <v>1301.5</v>
          </cell>
          <cell r="S105">
            <v>4052.5</v>
          </cell>
          <cell r="T105">
            <v>931.2</v>
          </cell>
          <cell r="U105">
            <v>2163.1999999999998</v>
          </cell>
          <cell r="V105">
            <v>2254.6</v>
          </cell>
          <cell r="W105">
            <v>2013.7</v>
          </cell>
          <cell r="X105">
            <v>1614.2</v>
          </cell>
          <cell r="Y105">
            <v>2837.8</v>
          </cell>
          <cell r="Z105">
            <v>2766.3999999999996</v>
          </cell>
          <cell r="AA105">
            <v>2516.1</v>
          </cell>
          <cell r="AB105">
            <v>928.5</v>
          </cell>
          <cell r="AC105">
            <v>1675.8999999999999</v>
          </cell>
          <cell r="AD105">
            <v>2349.9</v>
          </cell>
          <cell r="AE105">
            <v>1457.1999999999998</v>
          </cell>
          <cell r="AF105">
            <v>2829.7</v>
          </cell>
          <cell r="AG105">
            <v>2457.1999999999998</v>
          </cell>
          <cell r="AH105">
            <v>2948.5</v>
          </cell>
          <cell r="AI105">
            <v>1635</v>
          </cell>
          <cell r="AJ105">
            <v>86.5</v>
          </cell>
          <cell r="AK105">
            <v>360.3</v>
          </cell>
          <cell r="AL105">
            <v>518.70000000000005</v>
          </cell>
          <cell r="AM105">
            <v>291</v>
          </cell>
          <cell r="AN105">
            <v>48.699999999999996</v>
          </cell>
          <cell r="AO105">
            <v>261.60000000000002</v>
          </cell>
          <cell r="AP105">
            <v>158.6</v>
          </cell>
          <cell r="AQ105">
            <v>503.3</v>
          </cell>
          <cell r="AR105">
            <v>619.79999999999995</v>
          </cell>
          <cell r="AS105">
            <v>634.6</v>
          </cell>
          <cell r="AT105">
            <v>939.80000000000007</v>
          </cell>
          <cell r="AU105">
            <v>408</v>
          </cell>
          <cell r="AV105">
            <v>1572.7</v>
          </cell>
          <cell r="AW105">
            <v>1404.3</v>
          </cell>
          <cell r="AX105">
            <v>1100.5999999999999</v>
          </cell>
          <cell r="AY105">
            <v>20878.5</v>
          </cell>
          <cell r="AZ105">
            <v>5018.4000000000005</v>
          </cell>
          <cell r="BA105">
            <v>1025.2</v>
          </cell>
          <cell r="BB105">
            <v>435.6</v>
          </cell>
          <cell r="BC105">
            <v>1710.1</v>
          </cell>
          <cell r="BD105">
            <v>3492.3999999999996</v>
          </cell>
          <cell r="BE105">
            <v>2241.6999999999998</v>
          </cell>
          <cell r="BF105">
            <v>889.9</v>
          </cell>
          <cell r="BG105">
            <v>318.5</v>
          </cell>
          <cell r="BH105">
            <v>1161.3999999999999</v>
          </cell>
          <cell r="BI105">
            <v>3415.4</v>
          </cell>
          <cell r="BJ105">
            <v>2333.6999999999998</v>
          </cell>
          <cell r="BK105">
            <v>1768.8</v>
          </cell>
          <cell r="BL105">
            <v>3627.7</v>
          </cell>
          <cell r="BM105">
            <v>5205</v>
          </cell>
          <cell r="BN105">
            <v>4402.5999999999995</v>
          </cell>
          <cell r="BO105">
            <v>713.30000000000007</v>
          </cell>
          <cell r="BP105">
            <v>3029</v>
          </cell>
          <cell r="BQ105">
            <v>922.40000000000009</v>
          </cell>
          <cell r="BR105">
            <v>2538.9</v>
          </cell>
          <cell r="BS105">
            <v>985.4</v>
          </cell>
          <cell r="BT105">
            <v>2162.6</v>
          </cell>
          <cell r="BU105">
            <v>793.90000000000009</v>
          </cell>
          <cell r="BV105">
            <v>899.7</v>
          </cell>
          <cell r="BW105">
            <v>1123.5999999999999</v>
          </cell>
          <cell r="BX105">
            <v>3093.5</v>
          </cell>
          <cell r="BY105">
            <v>2962.6000000000004</v>
          </cell>
          <cell r="BZ105">
            <v>790.7</v>
          </cell>
          <cell r="CA105">
            <v>1028.3999999999999</v>
          </cell>
          <cell r="CB105">
            <v>1617.2</v>
          </cell>
          <cell r="CC105">
            <v>615.59999999999991</v>
          </cell>
          <cell r="CD105">
            <v>1051.8</v>
          </cell>
          <cell r="CE105">
            <v>320.40000000000003</v>
          </cell>
          <cell r="CF105">
            <v>925.3</v>
          </cell>
          <cell r="CG105">
            <v>964.69999999999993</v>
          </cell>
          <cell r="CH105">
            <v>1181.4999999999998</v>
          </cell>
          <cell r="CI105">
            <v>941.59999999999991</v>
          </cell>
          <cell r="CJ105">
            <v>485.5</v>
          </cell>
          <cell r="CK105">
            <v>651.20000000000005</v>
          </cell>
          <cell r="CL105">
            <v>498.8</v>
          </cell>
          <cell r="CM105">
            <v>692.3</v>
          </cell>
          <cell r="CN105">
            <v>445.09999999999997</v>
          </cell>
          <cell r="CO105">
            <v>585.5</v>
          </cell>
          <cell r="CP105">
            <v>1317.3999999999999</v>
          </cell>
          <cell r="CQ105">
            <v>1448.9</v>
          </cell>
          <cell r="CR105">
            <v>797.5</v>
          </cell>
          <cell r="CS105">
            <v>2124</v>
          </cell>
          <cell r="CT105">
            <v>2972.6</v>
          </cell>
          <cell r="CU105">
            <v>2620.5</v>
          </cell>
          <cell r="CV105">
            <v>1434.1</v>
          </cell>
          <cell r="CW105">
            <v>1871.3000000000002</v>
          </cell>
          <cell r="CX105">
            <v>906.3</v>
          </cell>
          <cell r="CY105">
            <v>828.69999999999993</v>
          </cell>
          <cell r="CZ105">
            <v>1924</v>
          </cell>
          <cell r="DA105">
            <v>1004.4</v>
          </cell>
          <cell r="DB105">
            <v>2367.8000000000002</v>
          </cell>
          <cell r="DC105">
            <v>1594.3999999999999</v>
          </cell>
          <cell r="DD105">
            <v>5390.5999999999995</v>
          </cell>
          <cell r="DE105">
            <v>7130.6</v>
          </cell>
          <cell r="DF105">
            <v>4630.3999999999996</v>
          </cell>
          <cell r="DG105">
            <v>5402.5</v>
          </cell>
          <cell r="DH105">
            <v>4004.3</v>
          </cell>
          <cell r="DI105">
            <v>2491.2000000000003</v>
          </cell>
          <cell r="DJ105">
            <v>1993.2000000000003</v>
          </cell>
          <cell r="DK105">
            <v>3816.8999999999996</v>
          </cell>
          <cell r="DL105">
            <v>3816.8999999999996</v>
          </cell>
          <cell r="DM105">
            <v>3816.8999999999996</v>
          </cell>
          <cell r="DN105">
            <v>3816.8999999999996</v>
          </cell>
          <cell r="DO105">
            <v>3816.8999999999996</v>
          </cell>
          <cell r="DP105">
            <v>3816.8999999999996</v>
          </cell>
          <cell r="DQ105">
            <v>3816.8999999999996</v>
          </cell>
          <cell r="DR105">
            <v>3816.8999999999996</v>
          </cell>
          <cell r="DS105">
            <v>3816.8999999999996</v>
          </cell>
          <cell r="DT105">
            <v>3816.8999999999996</v>
          </cell>
          <cell r="DU105">
            <v>3816.8999999999996</v>
          </cell>
          <cell r="DV105">
            <v>3816.8999999999996</v>
          </cell>
          <cell r="DW105">
            <v>3816.8999999999996</v>
          </cell>
          <cell r="EJ105" t="str">
            <v>.</v>
          </cell>
        </row>
        <row r="106">
          <cell r="A106" t="str">
            <v>Material and Supplies 154</v>
          </cell>
          <cell r="B106" t="str">
            <v>Inventory - Material &amp; Supplies</v>
          </cell>
          <cell r="C106" t="str">
            <v>Plant &amp; Other Material and Supplies</v>
          </cell>
          <cell r="D106" t="str">
            <v>1540000</v>
          </cell>
          <cell r="E106" t="str">
            <v>A_1540000</v>
          </cell>
          <cell r="F106" t="str">
            <v>Plant Materials and Operating Supplies (RECON)</v>
          </cell>
          <cell r="G106">
            <v>3062.7828599999998</v>
          </cell>
          <cell r="H106">
            <v>2461.6999999999998</v>
          </cell>
          <cell r="I106">
            <v>2565.5</v>
          </cell>
          <cell r="J106">
            <v>2101.6999999999998</v>
          </cell>
          <cell r="K106">
            <v>2087.1999999999998</v>
          </cell>
          <cell r="L106">
            <v>1960.4</v>
          </cell>
          <cell r="M106">
            <v>1883.6</v>
          </cell>
          <cell r="N106">
            <v>1886.9</v>
          </cell>
          <cell r="O106">
            <v>1975.2</v>
          </cell>
          <cell r="P106">
            <v>1939</v>
          </cell>
          <cell r="Q106">
            <v>1755.2</v>
          </cell>
          <cell r="R106">
            <v>1763.1</v>
          </cell>
          <cell r="S106">
            <v>1799.6</v>
          </cell>
          <cell r="T106">
            <v>1795.3</v>
          </cell>
          <cell r="U106">
            <v>1882.3</v>
          </cell>
          <cell r="V106">
            <v>1995.6</v>
          </cell>
          <cell r="W106">
            <v>1941.4</v>
          </cell>
          <cell r="X106">
            <v>1971.1</v>
          </cell>
          <cell r="Y106">
            <v>2109.9</v>
          </cell>
          <cell r="Z106">
            <v>2392.4</v>
          </cell>
          <cell r="AA106">
            <v>2373.5</v>
          </cell>
          <cell r="AB106">
            <v>2155.6</v>
          </cell>
          <cell r="AC106">
            <v>2415.4</v>
          </cell>
          <cell r="AD106">
            <v>2065.1</v>
          </cell>
          <cell r="AE106">
            <v>1793.1</v>
          </cell>
          <cell r="AF106">
            <v>1876.3</v>
          </cell>
          <cell r="AG106">
            <v>1981.2</v>
          </cell>
          <cell r="AH106">
            <v>1959.6</v>
          </cell>
          <cell r="AI106">
            <v>1899.6</v>
          </cell>
          <cell r="AJ106">
            <v>2257.6</v>
          </cell>
          <cell r="AK106">
            <v>2468</v>
          </cell>
          <cell r="AL106">
            <v>1956.1</v>
          </cell>
          <cell r="AM106">
            <v>1919</v>
          </cell>
          <cell r="AN106">
            <v>2077.1999999999998</v>
          </cell>
          <cell r="AO106">
            <v>1860.6</v>
          </cell>
          <cell r="AP106">
            <v>1623.4</v>
          </cell>
          <cell r="AQ106">
            <v>1653.2</v>
          </cell>
          <cell r="AR106">
            <v>1858.9</v>
          </cell>
          <cell r="AS106">
            <v>1904.8</v>
          </cell>
          <cell r="AT106">
            <v>1988.7</v>
          </cell>
          <cell r="AU106">
            <v>1926.6</v>
          </cell>
          <cell r="AV106">
            <v>2100.6999999999998</v>
          </cell>
          <cell r="AW106">
            <v>2046.7</v>
          </cell>
          <cell r="AX106">
            <v>2071</v>
          </cell>
          <cell r="AY106">
            <v>2016.8</v>
          </cell>
          <cell r="AZ106">
            <v>2131.6</v>
          </cell>
          <cell r="BA106">
            <v>2042.2</v>
          </cell>
          <cell r="BB106">
            <v>1900.6</v>
          </cell>
          <cell r="BC106">
            <v>1887.7</v>
          </cell>
          <cell r="BD106">
            <v>2071</v>
          </cell>
          <cell r="BE106">
            <v>2149.9</v>
          </cell>
          <cell r="BF106">
            <v>2006.7</v>
          </cell>
          <cell r="BG106">
            <v>1972.1</v>
          </cell>
          <cell r="BH106">
            <v>2190.1999999999998</v>
          </cell>
          <cell r="BI106">
            <v>2163.5</v>
          </cell>
          <cell r="BJ106">
            <v>2125.6</v>
          </cell>
          <cell r="BK106">
            <v>2476.4</v>
          </cell>
          <cell r="BL106">
            <v>2741.2</v>
          </cell>
          <cell r="BM106">
            <v>2360.1</v>
          </cell>
          <cell r="BN106">
            <v>2172.1999999999998</v>
          </cell>
          <cell r="BO106">
            <v>2073.1</v>
          </cell>
          <cell r="BP106">
            <v>2183.6</v>
          </cell>
          <cell r="BQ106">
            <v>2363.8000000000002</v>
          </cell>
          <cell r="BR106">
            <v>2385.5</v>
          </cell>
          <cell r="BS106">
            <v>2474.6999999999998</v>
          </cell>
          <cell r="BT106">
            <v>2512.8000000000002</v>
          </cell>
          <cell r="BU106">
            <v>2780.1</v>
          </cell>
          <cell r="BV106">
            <v>2687.2</v>
          </cell>
          <cell r="BW106">
            <v>2783.2</v>
          </cell>
          <cell r="BX106">
            <v>2571.6999999999998</v>
          </cell>
          <cell r="BY106">
            <v>2738.7</v>
          </cell>
          <cell r="BZ106">
            <v>2709.4</v>
          </cell>
          <cell r="CA106">
            <v>2401.1999999999998</v>
          </cell>
          <cell r="CB106">
            <v>2400.8000000000002</v>
          </cell>
          <cell r="CC106">
            <v>2617.8000000000002</v>
          </cell>
          <cell r="CD106">
            <v>2444.4</v>
          </cell>
          <cell r="CE106">
            <v>2661.2</v>
          </cell>
          <cell r="CF106">
            <v>2807.2</v>
          </cell>
          <cell r="CG106">
            <v>2832.1</v>
          </cell>
          <cell r="CH106">
            <v>2649.8</v>
          </cell>
          <cell r="CI106">
            <v>2896</v>
          </cell>
          <cell r="CJ106">
            <v>2763.3</v>
          </cell>
          <cell r="CK106">
            <v>3044.5</v>
          </cell>
          <cell r="CL106">
            <v>2851.2</v>
          </cell>
          <cell r="CM106">
            <v>2998.3</v>
          </cell>
          <cell r="CN106">
            <v>3186</v>
          </cell>
          <cell r="CO106">
            <v>3089.9</v>
          </cell>
          <cell r="CP106">
            <v>3262</v>
          </cell>
          <cell r="CQ106">
            <v>3750.2</v>
          </cell>
          <cell r="CR106">
            <v>3835.3</v>
          </cell>
          <cell r="CS106">
            <v>4186.3</v>
          </cell>
          <cell r="CT106">
            <v>3842.9</v>
          </cell>
          <cell r="CU106">
            <v>4056.2</v>
          </cell>
          <cell r="CV106">
            <v>4544.3</v>
          </cell>
          <cell r="CW106">
            <v>4167</v>
          </cell>
          <cell r="CX106">
            <v>4010.6</v>
          </cell>
          <cell r="CY106">
            <v>2635</v>
          </cell>
          <cell r="CZ106">
            <v>3634.2</v>
          </cell>
          <cell r="DA106">
            <v>3462.8</v>
          </cell>
          <cell r="DB106">
            <v>3847.5</v>
          </cell>
          <cell r="DC106">
            <v>4272.2</v>
          </cell>
          <cell r="DD106">
            <v>4533.3</v>
          </cell>
          <cell r="DE106">
            <v>4553.5</v>
          </cell>
          <cell r="DF106">
            <v>4636.5</v>
          </cell>
          <cell r="DG106">
            <v>4527</v>
          </cell>
          <cell r="DH106">
            <v>5185.7</v>
          </cell>
          <cell r="DI106">
            <v>6167.1</v>
          </cell>
          <cell r="DJ106">
            <v>6268.3</v>
          </cell>
          <cell r="DK106">
            <v>4817.2</v>
          </cell>
          <cell r="DL106">
            <v>4100</v>
          </cell>
          <cell r="DM106">
            <v>4100</v>
          </cell>
          <cell r="DN106">
            <v>4100</v>
          </cell>
          <cell r="DO106">
            <v>4100</v>
          </cell>
          <cell r="DP106">
            <v>4100</v>
          </cell>
          <cell r="DQ106">
            <v>4100</v>
          </cell>
          <cell r="DR106">
            <v>4100</v>
          </cell>
          <cell r="DS106">
            <v>4100</v>
          </cell>
          <cell r="DT106">
            <v>4100</v>
          </cell>
          <cell r="DU106">
            <v>4100</v>
          </cell>
          <cell r="DV106">
            <v>4100</v>
          </cell>
          <cell r="DW106">
            <v>4100</v>
          </cell>
        </row>
        <row r="107">
          <cell r="A107" t="str">
            <v>Material and Supplies 154</v>
          </cell>
          <cell r="B107" t="str">
            <v>Inventory - Material &amp; Supplies</v>
          </cell>
          <cell r="C107" t="str">
            <v>Plant &amp; Other Material and Supplies</v>
          </cell>
          <cell r="D107" t="str">
            <v>1540001</v>
          </cell>
          <cell r="E107" t="str">
            <v>A_1540001</v>
          </cell>
          <cell r="F107" t="str">
            <v>Plant Materials and Operating Supplies (Posting)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121.6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-659.9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47.5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</row>
        <row r="108">
          <cell r="D108" t="str">
            <v>154</v>
          </cell>
          <cell r="E108">
            <v>154</v>
          </cell>
          <cell r="G108">
            <v>3062.7828599999998</v>
          </cell>
          <cell r="H108">
            <v>2461.6999999999998</v>
          </cell>
          <cell r="I108">
            <v>2565.5</v>
          </cell>
          <cell r="J108">
            <v>2101.6999999999998</v>
          </cell>
          <cell r="K108">
            <v>2087.1999999999998</v>
          </cell>
          <cell r="L108">
            <v>1960.4</v>
          </cell>
          <cell r="M108">
            <v>1883.6</v>
          </cell>
          <cell r="N108">
            <v>1886.9</v>
          </cell>
          <cell r="O108">
            <v>1975.2</v>
          </cell>
          <cell r="P108">
            <v>1939</v>
          </cell>
          <cell r="Q108">
            <v>1755.2</v>
          </cell>
          <cell r="R108">
            <v>1763.1</v>
          </cell>
          <cell r="S108">
            <v>1799.6</v>
          </cell>
          <cell r="T108">
            <v>1795.3</v>
          </cell>
          <cell r="U108">
            <v>1882.3</v>
          </cell>
          <cell r="V108">
            <v>1995.6</v>
          </cell>
          <cell r="W108">
            <v>1941.4</v>
          </cell>
          <cell r="X108">
            <v>1971.1</v>
          </cell>
          <cell r="Y108">
            <v>2109.9</v>
          </cell>
          <cell r="Z108">
            <v>2392.4</v>
          </cell>
          <cell r="AA108">
            <v>2373.5</v>
          </cell>
          <cell r="AB108">
            <v>2155.6</v>
          </cell>
          <cell r="AC108">
            <v>2415.4</v>
          </cell>
          <cell r="AD108">
            <v>2065.1</v>
          </cell>
          <cell r="AE108">
            <v>1914.6999999999998</v>
          </cell>
          <cell r="AF108">
            <v>1876.3</v>
          </cell>
          <cell r="AG108">
            <v>1981.2</v>
          </cell>
          <cell r="AH108">
            <v>1959.6</v>
          </cell>
          <cell r="AI108">
            <v>1899.6</v>
          </cell>
          <cell r="AJ108">
            <v>2257.6</v>
          </cell>
          <cell r="AK108">
            <v>1808.1</v>
          </cell>
          <cell r="AL108">
            <v>1956.1</v>
          </cell>
          <cell r="AM108">
            <v>1919</v>
          </cell>
          <cell r="AN108">
            <v>2077.1999999999998</v>
          </cell>
          <cell r="AO108">
            <v>1860.6</v>
          </cell>
          <cell r="AP108">
            <v>1623.4</v>
          </cell>
          <cell r="AQ108">
            <v>1700.7</v>
          </cell>
          <cell r="AR108">
            <v>1858.9</v>
          </cell>
          <cell r="AS108">
            <v>1904.8</v>
          </cell>
          <cell r="AT108">
            <v>1988.7</v>
          </cell>
          <cell r="AU108">
            <v>1926.6</v>
          </cell>
          <cell r="AV108">
            <v>2100.6999999999998</v>
          </cell>
          <cell r="AW108">
            <v>2046.7</v>
          </cell>
          <cell r="AX108">
            <v>2071</v>
          </cell>
          <cell r="AY108">
            <v>2016.8</v>
          </cell>
          <cell r="AZ108">
            <v>2131.6</v>
          </cell>
          <cell r="BA108">
            <v>2042.2</v>
          </cell>
          <cell r="BB108">
            <v>1900.6</v>
          </cell>
          <cell r="BC108">
            <v>1887.7</v>
          </cell>
          <cell r="BD108">
            <v>2071</v>
          </cell>
          <cell r="BE108">
            <v>2149.9</v>
          </cell>
          <cell r="BF108">
            <v>2006.7</v>
          </cell>
          <cell r="BG108">
            <v>1972.1</v>
          </cell>
          <cell r="BH108">
            <v>2190.1999999999998</v>
          </cell>
          <cell r="BI108">
            <v>2163.5</v>
          </cell>
          <cell r="BJ108">
            <v>2125.6</v>
          </cell>
          <cell r="BK108">
            <v>2476.4</v>
          </cell>
          <cell r="BL108">
            <v>2741.2</v>
          </cell>
          <cell r="BM108">
            <v>2360.1</v>
          </cell>
          <cell r="BN108">
            <v>2172.1999999999998</v>
          </cell>
          <cell r="BO108">
            <v>2073.1</v>
          </cell>
          <cell r="BP108">
            <v>2183.6</v>
          </cell>
          <cell r="BQ108">
            <v>2363.8000000000002</v>
          </cell>
          <cell r="BR108">
            <v>2385.5</v>
          </cell>
          <cell r="BS108">
            <v>2474.6999999999998</v>
          </cell>
          <cell r="BT108">
            <v>2512.8000000000002</v>
          </cell>
          <cell r="BU108">
            <v>2780.1</v>
          </cell>
          <cell r="BV108">
            <v>2687.2</v>
          </cell>
          <cell r="BW108">
            <v>2783.2</v>
          </cell>
          <cell r="BX108">
            <v>2571.6999999999998</v>
          </cell>
          <cell r="BY108">
            <v>2738.7</v>
          </cell>
          <cell r="BZ108">
            <v>2709.4</v>
          </cell>
          <cell r="CA108">
            <v>2401.1999999999998</v>
          </cell>
          <cell r="CB108">
            <v>2400.8000000000002</v>
          </cell>
          <cell r="CC108">
            <v>2617.8000000000002</v>
          </cell>
          <cell r="CD108">
            <v>2444.4</v>
          </cell>
          <cell r="CE108">
            <v>2661.2</v>
          </cell>
          <cell r="CF108">
            <v>2807.2</v>
          </cell>
          <cell r="CG108">
            <v>2832.1</v>
          </cell>
          <cell r="CH108">
            <v>2649.8</v>
          </cell>
          <cell r="CI108">
            <v>2896</v>
          </cell>
          <cell r="CJ108">
            <v>2763.3</v>
          </cell>
          <cell r="CK108">
            <v>3044.5</v>
          </cell>
          <cell r="CL108">
            <v>2851.2</v>
          </cell>
          <cell r="CM108">
            <v>2998.3</v>
          </cell>
          <cell r="CN108">
            <v>3186</v>
          </cell>
          <cell r="CO108">
            <v>3089.9</v>
          </cell>
          <cell r="CP108">
            <v>3262</v>
          </cell>
          <cell r="CQ108">
            <v>3750.2</v>
          </cell>
          <cell r="CR108">
            <v>3835.3</v>
          </cell>
          <cell r="CS108">
            <v>4186.3</v>
          </cell>
          <cell r="CT108">
            <v>3842.9</v>
          </cell>
          <cell r="CU108">
            <v>4056.2</v>
          </cell>
          <cell r="CV108">
            <v>4544.3</v>
          </cell>
          <cell r="CW108">
            <v>4167</v>
          </cell>
          <cell r="CX108">
            <v>4010.6</v>
          </cell>
          <cell r="CY108">
            <v>2635</v>
          </cell>
          <cell r="CZ108">
            <v>3634.2</v>
          </cell>
          <cell r="DA108">
            <v>3462.8</v>
          </cell>
          <cell r="DB108">
            <v>3847.5</v>
          </cell>
          <cell r="DC108">
            <v>4272.2</v>
          </cell>
          <cell r="DD108">
            <v>4533.3</v>
          </cell>
          <cell r="DE108">
            <v>4553.5</v>
          </cell>
          <cell r="DF108">
            <v>4636.5</v>
          </cell>
          <cell r="DG108">
            <v>4527</v>
          </cell>
          <cell r="DH108">
            <v>5185.7</v>
          </cell>
          <cell r="DI108">
            <v>6167.1</v>
          </cell>
          <cell r="DJ108">
            <v>6268.3</v>
          </cell>
          <cell r="DK108">
            <v>4817.2</v>
          </cell>
          <cell r="DL108">
            <v>4100</v>
          </cell>
          <cell r="DM108">
            <v>4100</v>
          </cell>
          <cell r="DN108">
            <v>4100</v>
          </cell>
          <cell r="DO108">
            <v>4100</v>
          </cell>
          <cell r="DP108">
            <v>4100</v>
          </cell>
          <cell r="DQ108">
            <v>4100</v>
          </cell>
          <cell r="DR108">
            <v>4100</v>
          </cell>
          <cell r="DS108">
            <v>4100</v>
          </cell>
          <cell r="DT108">
            <v>4100</v>
          </cell>
          <cell r="DU108">
            <v>4100</v>
          </cell>
          <cell r="DV108">
            <v>4100</v>
          </cell>
          <cell r="DW108">
            <v>4100</v>
          </cell>
          <cell r="EJ108" t="str">
            <v>.</v>
          </cell>
        </row>
        <row r="109">
          <cell r="B109" t="str">
            <v>Inventory - Material &amp; Supplies</v>
          </cell>
          <cell r="D109" t="str">
            <v>1550000</v>
          </cell>
          <cell r="E109" t="str">
            <v>A_1550000</v>
          </cell>
          <cell r="F109" t="str">
            <v>Merchandise (RECON)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</row>
        <row r="110">
          <cell r="A110" t="str">
            <v>Merchandise</v>
          </cell>
          <cell r="B110" t="str">
            <v>Inventory - Material &amp; Supplies</v>
          </cell>
          <cell r="C110" t="str">
            <v>Merchandise</v>
          </cell>
          <cell r="D110" t="str">
            <v>1550001</v>
          </cell>
          <cell r="E110" t="str">
            <v>A_1550001</v>
          </cell>
          <cell r="F110" t="str">
            <v>Merchandise (Posting)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</row>
        <row r="111">
          <cell r="D111" t="str">
            <v>155</v>
          </cell>
          <cell r="E111">
            <v>155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EJ111" t="str">
            <v>.</v>
          </cell>
        </row>
        <row r="112">
          <cell r="A112" t="str">
            <v>Stores Expense</v>
          </cell>
          <cell r="B112" t="str">
            <v>Inventory - Material &amp; Supplies</v>
          </cell>
          <cell r="C112" t="str">
            <v>Stores Expense</v>
          </cell>
          <cell r="D112" t="str">
            <v>1630000</v>
          </cell>
          <cell r="E112" t="str">
            <v>A_1630000</v>
          </cell>
          <cell r="F112" t="str">
            <v>Stores Expense Undistributed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</row>
        <row r="113">
          <cell r="D113" t="str">
            <v>163</v>
          </cell>
          <cell r="E113">
            <v>163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EJ113" t="str">
            <v>.</v>
          </cell>
        </row>
        <row r="114">
          <cell r="A114" t="str">
            <v>Fuel Stock</v>
          </cell>
          <cell r="B114" t="str">
            <v>Inventory - Fuel</v>
          </cell>
          <cell r="C114" t="str">
            <v>Fuel Stock</v>
          </cell>
          <cell r="D114" t="str">
            <v>1641000</v>
          </cell>
          <cell r="E114" t="str">
            <v>A_1641000</v>
          </cell>
          <cell r="F114" t="str">
            <v>Gas Stored - Current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674.2</v>
          </cell>
          <cell r="M114">
            <v>915.6</v>
          </cell>
          <cell r="N114">
            <v>566.4</v>
          </cell>
          <cell r="O114">
            <v>526.9</v>
          </cell>
          <cell r="P114">
            <v>526.9</v>
          </cell>
          <cell r="Q114">
            <v>371.5</v>
          </cell>
          <cell r="R114">
            <v>371.5</v>
          </cell>
          <cell r="S114">
            <v>0</v>
          </cell>
          <cell r="T114">
            <v>0</v>
          </cell>
          <cell r="U114">
            <v>126.4</v>
          </cell>
          <cell r="V114">
            <v>126.5</v>
          </cell>
          <cell r="W114">
            <v>303.39999999999998</v>
          </cell>
          <cell r="X114">
            <v>328.2</v>
          </cell>
          <cell r="Y114">
            <v>152.30000000000001</v>
          </cell>
          <cell r="Z114">
            <v>275.3</v>
          </cell>
          <cell r="AA114">
            <v>188.1</v>
          </cell>
          <cell r="AB114">
            <v>274.7</v>
          </cell>
          <cell r="AC114">
            <v>274.7</v>
          </cell>
          <cell r="AD114">
            <v>235</v>
          </cell>
          <cell r="AE114">
            <v>158.6</v>
          </cell>
          <cell r="AF114">
            <v>117</v>
          </cell>
          <cell r="AG114">
            <v>141.30000000000001</v>
          </cell>
          <cell r="AH114">
            <v>180.8</v>
          </cell>
          <cell r="AI114">
            <v>128.6</v>
          </cell>
          <cell r="AJ114">
            <v>175.1</v>
          </cell>
          <cell r="AK114">
            <v>175.8</v>
          </cell>
          <cell r="AL114">
            <v>159.19999999999999</v>
          </cell>
          <cell r="AM114">
            <v>610.20000000000005</v>
          </cell>
          <cell r="AN114">
            <v>610.20000000000005</v>
          </cell>
          <cell r="AO114">
            <v>537</v>
          </cell>
          <cell r="AP114">
            <v>537</v>
          </cell>
          <cell r="AQ114">
            <v>376.4</v>
          </cell>
          <cell r="AR114">
            <v>332.8</v>
          </cell>
          <cell r="AS114">
            <v>441.1</v>
          </cell>
          <cell r="AT114">
            <v>276.60000000000002</v>
          </cell>
          <cell r="AU114">
            <v>326.2</v>
          </cell>
          <cell r="AV114">
            <v>326.2</v>
          </cell>
          <cell r="AW114">
            <v>467.1</v>
          </cell>
          <cell r="AX114">
            <v>345</v>
          </cell>
          <cell r="AY114">
            <v>354.5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995.8</v>
          </cell>
          <cell r="CY114">
            <v>864.7</v>
          </cell>
          <cell r="CZ114">
            <v>891.6</v>
          </cell>
          <cell r="DA114">
            <v>785.9</v>
          </cell>
          <cell r="DB114">
            <v>566.4</v>
          </cell>
          <cell r="DC114">
            <v>566.4</v>
          </cell>
          <cell r="DD114">
            <v>566.4</v>
          </cell>
          <cell r="DE114">
            <v>708.4</v>
          </cell>
          <cell r="DF114">
            <v>708.4</v>
          </cell>
          <cell r="DG114">
            <v>703.6</v>
          </cell>
          <cell r="DH114">
            <v>769.7</v>
          </cell>
          <cell r="DI114">
            <v>933.8</v>
          </cell>
          <cell r="DJ114">
            <v>959.4</v>
          </cell>
          <cell r="DK114">
            <v>413.7</v>
          </cell>
          <cell r="DL114">
            <v>413.7</v>
          </cell>
          <cell r="DM114">
            <v>413.7</v>
          </cell>
          <cell r="DN114">
            <v>413.7</v>
          </cell>
          <cell r="DO114">
            <v>413.7</v>
          </cell>
          <cell r="DP114">
            <v>413.7</v>
          </cell>
          <cell r="DQ114">
            <v>413.7</v>
          </cell>
          <cell r="DR114">
            <v>413.7</v>
          </cell>
          <cell r="DS114">
            <v>413.7</v>
          </cell>
          <cell r="DT114">
            <v>413.7</v>
          </cell>
          <cell r="DU114">
            <v>413.7</v>
          </cell>
          <cell r="DV114">
            <v>413.7</v>
          </cell>
          <cell r="DW114">
            <v>413.7</v>
          </cell>
          <cell r="EK114" t="str">
            <v>Been zero since Sep 2017</v>
          </cell>
        </row>
        <row r="115">
          <cell r="D115" t="str">
            <v>164</v>
          </cell>
          <cell r="E115">
            <v>164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674.2</v>
          </cell>
          <cell r="M115">
            <v>915.6</v>
          </cell>
          <cell r="N115">
            <v>566.4</v>
          </cell>
          <cell r="O115">
            <v>526.9</v>
          </cell>
          <cell r="P115">
            <v>526.9</v>
          </cell>
          <cell r="Q115">
            <v>371.5</v>
          </cell>
          <cell r="R115">
            <v>371.5</v>
          </cell>
          <cell r="S115">
            <v>0</v>
          </cell>
          <cell r="T115">
            <v>0</v>
          </cell>
          <cell r="U115">
            <v>126.4</v>
          </cell>
          <cell r="V115">
            <v>126.5</v>
          </cell>
          <cell r="W115">
            <v>303.39999999999998</v>
          </cell>
          <cell r="X115">
            <v>328.2</v>
          </cell>
          <cell r="Y115">
            <v>152.30000000000001</v>
          </cell>
          <cell r="Z115">
            <v>275.3</v>
          </cell>
          <cell r="AA115">
            <v>188.1</v>
          </cell>
          <cell r="AB115">
            <v>274.7</v>
          </cell>
          <cell r="AC115">
            <v>274.7</v>
          </cell>
          <cell r="AD115">
            <v>235</v>
          </cell>
          <cell r="AE115">
            <v>158.6</v>
          </cell>
          <cell r="AF115">
            <v>117</v>
          </cell>
          <cell r="AG115">
            <v>141.30000000000001</v>
          </cell>
          <cell r="AH115">
            <v>180.8</v>
          </cell>
          <cell r="AI115">
            <v>128.6</v>
          </cell>
          <cell r="AJ115">
            <v>175.1</v>
          </cell>
          <cell r="AK115">
            <v>175.8</v>
          </cell>
          <cell r="AL115">
            <v>159.19999999999999</v>
          </cell>
          <cell r="AM115">
            <v>610.20000000000005</v>
          </cell>
          <cell r="AN115">
            <v>610.20000000000005</v>
          </cell>
          <cell r="AO115">
            <v>537</v>
          </cell>
          <cell r="AP115">
            <v>537</v>
          </cell>
          <cell r="AQ115">
            <v>376.4</v>
          </cell>
          <cell r="AR115">
            <v>332.8</v>
          </cell>
          <cell r="AS115">
            <v>441.1</v>
          </cell>
          <cell r="AT115">
            <v>276.60000000000002</v>
          </cell>
          <cell r="AU115">
            <v>326.2</v>
          </cell>
          <cell r="AV115">
            <v>326.2</v>
          </cell>
          <cell r="AW115">
            <v>467.1</v>
          </cell>
          <cell r="AX115">
            <v>345</v>
          </cell>
          <cell r="AY115">
            <v>354.5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995.8</v>
          </cell>
          <cell r="CY115">
            <v>864.7</v>
          </cell>
          <cell r="CZ115">
            <v>891.6</v>
          </cell>
          <cell r="DA115">
            <v>785.9</v>
          </cell>
          <cell r="DB115">
            <v>566.4</v>
          </cell>
          <cell r="DC115">
            <v>566.4</v>
          </cell>
          <cell r="DD115">
            <v>566.4</v>
          </cell>
          <cell r="DE115">
            <v>708.4</v>
          </cell>
          <cell r="DF115">
            <v>708.4</v>
          </cell>
          <cell r="DG115">
            <v>703.6</v>
          </cell>
          <cell r="DH115">
            <v>769.7</v>
          </cell>
          <cell r="DI115">
            <v>933.8</v>
          </cell>
          <cell r="DJ115">
            <v>959.4</v>
          </cell>
          <cell r="DK115">
            <v>413.7</v>
          </cell>
          <cell r="DL115">
            <v>413.7</v>
          </cell>
          <cell r="DM115">
            <v>413.7</v>
          </cell>
          <cell r="DN115">
            <v>413.7</v>
          </cell>
          <cell r="DO115">
            <v>413.7</v>
          </cell>
          <cell r="DP115">
            <v>413.7</v>
          </cell>
          <cell r="DQ115">
            <v>413.7</v>
          </cell>
          <cell r="DR115">
            <v>413.7</v>
          </cell>
          <cell r="DS115">
            <v>413.7</v>
          </cell>
          <cell r="DT115">
            <v>413.7</v>
          </cell>
          <cell r="DU115">
            <v>413.7</v>
          </cell>
          <cell r="DV115">
            <v>413.7</v>
          </cell>
          <cell r="DW115">
            <v>413.7</v>
          </cell>
          <cell r="EJ115" t="str">
            <v>.</v>
          </cell>
        </row>
        <row r="116">
          <cell r="A116" t="str">
            <v>Prepayments</v>
          </cell>
          <cell r="B116" t="str">
            <v>Prepayments</v>
          </cell>
          <cell r="C116" t="str">
            <v>Prepayments  165</v>
          </cell>
          <cell r="D116" t="str">
            <v>1650040</v>
          </cell>
          <cell r="E116" t="str">
            <v>A_1650040</v>
          </cell>
          <cell r="F116" t="str">
            <v>Prepaid Permits</v>
          </cell>
          <cell r="G116">
            <v>82</v>
          </cell>
          <cell r="H116">
            <v>82</v>
          </cell>
          <cell r="I116">
            <v>82</v>
          </cell>
          <cell r="J116">
            <v>82</v>
          </cell>
          <cell r="K116">
            <v>82</v>
          </cell>
          <cell r="L116">
            <v>82</v>
          </cell>
          <cell r="M116">
            <v>82</v>
          </cell>
          <cell r="N116">
            <v>82</v>
          </cell>
          <cell r="O116">
            <v>82</v>
          </cell>
          <cell r="P116">
            <v>82</v>
          </cell>
          <cell r="Q116">
            <v>82</v>
          </cell>
          <cell r="R116">
            <v>82</v>
          </cell>
          <cell r="S116">
            <v>82</v>
          </cell>
          <cell r="T116">
            <v>82</v>
          </cell>
          <cell r="U116">
            <v>82</v>
          </cell>
          <cell r="V116">
            <v>82</v>
          </cell>
          <cell r="W116">
            <v>82</v>
          </cell>
          <cell r="X116">
            <v>82</v>
          </cell>
          <cell r="Y116">
            <v>82</v>
          </cell>
          <cell r="Z116">
            <v>82</v>
          </cell>
          <cell r="AA116">
            <v>82</v>
          </cell>
          <cell r="AB116">
            <v>82</v>
          </cell>
          <cell r="AC116">
            <v>82</v>
          </cell>
          <cell r="AD116">
            <v>82</v>
          </cell>
          <cell r="AE116">
            <v>0</v>
          </cell>
          <cell r="AF116">
            <v>82</v>
          </cell>
          <cell r="AG116">
            <v>82</v>
          </cell>
          <cell r="AH116">
            <v>82</v>
          </cell>
          <cell r="AI116">
            <v>82</v>
          </cell>
          <cell r="AJ116">
            <v>82</v>
          </cell>
          <cell r="AK116">
            <v>82</v>
          </cell>
          <cell r="AL116">
            <v>82</v>
          </cell>
          <cell r="AM116">
            <v>82</v>
          </cell>
          <cell r="AN116">
            <v>82</v>
          </cell>
          <cell r="AO116">
            <v>82</v>
          </cell>
          <cell r="AP116">
            <v>82</v>
          </cell>
          <cell r="AQ116">
            <v>82</v>
          </cell>
          <cell r="AR116">
            <v>82</v>
          </cell>
          <cell r="AS116">
            <v>82</v>
          </cell>
          <cell r="AT116">
            <v>82</v>
          </cell>
          <cell r="AU116">
            <v>82</v>
          </cell>
          <cell r="AV116">
            <v>82</v>
          </cell>
          <cell r="AW116">
            <v>82</v>
          </cell>
          <cell r="AX116">
            <v>82</v>
          </cell>
          <cell r="AY116">
            <v>82</v>
          </cell>
          <cell r="AZ116">
            <v>82</v>
          </cell>
          <cell r="BA116">
            <v>82</v>
          </cell>
          <cell r="BB116">
            <v>82</v>
          </cell>
          <cell r="BC116">
            <v>0</v>
          </cell>
          <cell r="BD116">
            <v>82</v>
          </cell>
          <cell r="BE116">
            <v>82</v>
          </cell>
          <cell r="BF116">
            <v>82</v>
          </cell>
          <cell r="BG116">
            <v>82</v>
          </cell>
          <cell r="BH116">
            <v>82</v>
          </cell>
          <cell r="BI116">
            <v>82</v>
          </cell>
          <cell r="BJ116">
            <v>82</v>
          </cell>
          <cell r="BK116">
            <v>82</v>
          </cell>
          <cell r="BL116">
            <v>82</v>
          </cell>
          <cell r="BM116">
            <v>82</v>
          </cell>
          <cell r="BN116">
            <v>82</v>
          </cell>
          <cell r="BO116">
            <v>0</v>
          </cell>
          <cell r="BP116">
            <v>0</v>
          </cell>
          <cell r="BQ116">
            <v>82</v>
          </cell>
          <cell r="BR116">
            <v>82</v>
          </cell>
          <cell r="BS116">
            <v>82</v>
          </cell>
          <cell r="BT116">
            <v>82</v>
          </cell>
          <cell r="BU116">
            <v>82</v>
          </cell>
          <cell r="BV116">
            <v>82</v>
          </cell>
          <cell r="BW116">
            <v>82</v>
          </cell>
          <cell r="BX116">
            <v>82</v>
          </cell>
          <cell r="BY116">
            <v>82</v>
          </cell>
          <cell r="BZ116">
            <v>82</v>
          </cell>
          <cell r="CA116">
            <v>82</v>
          </cell>
          <cell r="CB116">
            <v>82</v>
          </cell>
          <cell r="CC116">
            <v>82</v>
          </cell>
          <cell r="CD116">
            <v>82</v>
          </cell>
          <cell r="CE116">
            <v>82</v>
          </cell>
          <cell r="CF116">
            <v>82</v>
          </cell>
          <cell r="CG116">
            <v>82</v>
          </cell>
          <cell r="CH116">
            <v>82</v>
          </cell>
          <cell r="CI116">
            <v>82</v>
          </cell>
          <cell r="CJ116">
            <v>82</v>
          </cell>
          <cell r="CK116">
            <v>82</v>
          </cell>
          <cell r="CL116">
            <v>82</v>
          </cell>
          <cell r="CM116">
            <v>0</v>
          </cell>
          <cell r="CN116">
            <v>82</v>
          </cell>
          <cell r="CO116">
            <v>82</v>
          </cell>
          <cell r="CP116">
            <v>82</v>
          </cell>
          <cell r="CQ116">
            <v>82</v>
          </cell>
          <cell r="CR116">
            <v>82</v>
          </cell>
          <cell r="CS116">
            <v>82</v>
          </cell>
          <cell r="CT116">
            <v>82</v>
          </cell>
          <cell r="CU116">
            <v>82</v>
          </cell>
          <cell r="CV116">
            <v>82</v>
          </cell>
          <cell r="CW116">
            <v>82</v>
          </cell>
          <cell r="CX116">
            <v>82</v>
          </cell>
          <cell r="CY116">
            <v>0</v>
          </cell>
          <cell r="CZ116">
            <v>82</v>
          </cell>
          <cell r="DA116">
            <v>82</v>
          </cell>
          <cell r="DB116">
            <v>82</v>
          </cell>
          <cell r="DC116">
            <v>82</v>
          </cell>
          <cell r="DD116">
            <v>82</v>
          </cell>
          <cell r="DE116">
            <v>82</v>
          </cell>
          <cell r="DF116">
            <v>82</v>
          </cell>
          <cell r="DG116">
            <v>82</v>
          </cell>
          <cell r="DH116">
            <v>82</v>
          </cell>
          <cell r="DI116">
            <v>82</v>
          </cell>
          <cell r="DJ116">
            <v>82</v>
          </cell>
          <cell r="DK116">
            <v>82</v>
          </cell>
          <cell r="DL116">
            <v>82</v>
          </cell>
          <cell r="DM116">
            <v>82</v>
          </cell>
          <cell r="DN116">
            <v>82</v>
          </cell>
          <cell r="DO116">
            <v>82</v>
          </cell>
          <cell r="DP116">
            <v>82</v>
          </cell>
          <cell r="DQ116">
            <v>82</v>
          </cell>
          <cell r="DR116">
            <v>82</v>
          </cell>
          <cell r="DS116">
            <v>82</v>
          </cell>
          <cell r="DT116">
            <v>82</v>
          </cell>
          <cell r="DU116">
            <v>82</v>
          </cell>
          <cell r="DV116">
            <v>82</v>
          </cell>
          <cell r="DW116">
            <v>28.7</v>
          </cell>
          <cell r="EK116" t="str">
            <v>3 yr Avg (2020 to 2022 8+4F)</v>
          </cell>
          <cell r="EL116" t="str">
            <v>A_1650040</v>
          </cell>
          <cell r="EM116">
            <v>82000</v>
          </cell>
          <cell r="EN116">
            <v>82000</v>
          </cell>
          <cell r="EO116">
            <v>82000</v>
          </cell>
          <cell r="EP116">
            <v>82000</v>
          </cell>
          <cell r="EQ116">
            <v>82000</v>
          </cell>
          <cell r="ER116">
            <v>82000</v>
          </cell>
          <cell r="ES116">
            <v>82000</v>
          </cell>
          <cell r="ET116">
            <v>82000</v>
          </cell>
          <cell r="EU116">
            <v>82000</v>
          </cell>
          <cell r="EV116">
            <v>82000</v>
          </cell>
          <cell r="EW116">
            <v>82000</v>
          </cell>
          <cell r="EX116">
            <v>41000</v>
          </cell>
        </row>
        <row r="117">
          <cell r="A117" t="str">
            <v>Prepayments</v>
          </cell>
          <cell r="B117" t="str">
            <v>Prepayments</v>
          </cell>
          <cell r="C117" t="str">
            <v>Prepayments  165</v>
          </cell>
          <cell r="D117" t="str">
            <v>1650050</v>
          </cell>
          <cell r="E117" t="str">
            <v>A_1650050</v>
          </cell>
          <cell r="F117" t="str">
            <v>Prepaid Line Of Credit Fees</v>
          </cell>
          <cell r="G117">
            <v>347.59603999999996</v>
          </cell>
          <cell r="H117">
            <v>342.3</v>
          </cell>
          <cell r="I117">
            <v>337.7</v>
          </cell>
          <cell r="J117">
            <v>331.7</v>
          </cell>
          <cell r="K117">
            <v>325.8</v>
          </cell>
          <cell r="L117">
            <v>319.89999999999998</v>
          </cell>
          <cell r="M117">
            <v>314</v>
          </cell>
          <cell r="N117">
            <v>308</v>
          </cell>
          <cell r="O117">
            <v>302.10000000000002</v>
          </cell>
          <cell r="P117">
            <v>302.3</v>
          </cell>
          <cell r="Q117">
            <v>300.10000000000002</v>
          </cell>
          <cell r="R117">
            <v>294.10000000000002</v>
          </cell>
          <cell r="S117">
            <v>288.2</v>
          </cell>
          <cell r="T117">
            <v>282.3</v>
          </cell>
          <cell r="U117">
            <v>276.39999999999998</v>
          </cell>
          <cell r="V117">
            <v>317.3</v>
          </cell>
          <cell r="W117">
            <v>311.39999999999998</v>
          </cell>
          <cell r="X117">
            <v>305.5</v>
          </cell>
          <cell r="Y117">
            <v>299.5</v>
          </cell>
          <cell r="Z117">
            <v>293.60000000000002</v>
          </cell>
          <cell r="AA117">
            <v>287.7</v>
          </cell>
          <cell r="AB117">
            <v>281.8</v>
          </cell>
          <cell r="AC117">
            <v>275.8</v>
          </cell>
          <cell r="AD117">
            <v>269.89999999999998</v>
          </cell>
          <cell r="AE117">
            <v>264</v>
          </cell>
          <cell r="AF117">
            <v>258.10000000000002</v>
          </cell>
          <cell r="AG117">
            <v>252.2</v>
          </cell>
          <cell r="AH117">
            <v>246.2</v>
          </cell>
          <cell r="AI117">
            <v>240.3</v>
          </cell>
          <cell r="AJ117">
            <v>234.4</v>
          </cell>
          <cell r="AK117">
            <v>228.5</v>
          </cell>
          <cell r="AL117">
            <v>222.5</v>
          </cell>
          <cell r="AM117">
            <v>216.6</v>
          </cell>
          <cell r="AN117">
            <v>210.7</v>
          </cell>
          <cell r="AO117">
            <v>204.8</v>
          </cell>
          <cell r="AP117">
            <v>198.8</v>
          </cell>
          <cell r="AQ117">
            <v>192.9</v>
          </cell>
          <cell r="AR117">
            <v>187</v>
          </cell>
          <cell r="AS117">
            <v>181.1</v>
          </cell>
          <cell r="AT117">
            <v>411.4</v>
          </cell>
          <cell r="AU117">
            <v>360.7</v>
          </cell>
          <cell r="AV117">
            <v>353.6</v>
          </cell>
          <cell r="AW117">
            <v>346.5</v>
          </cell>
          <cell r="AX117">
            <v>339.3</v>
          </cell>
          <cell r="AY117">
            <v>332.3</v>
          </cell>
          <cell r="AZ117">
            <v>325.10000000000002</v>
          </cell>
          <cell r="BA117">
            <v>317.89999999999998</v>
          </cell>
          <cell r="BB117">
            <v>310.8</v>
          </cell>
          <cell r="BC117">
            <v>303.60000000000002</v>
          </cell>
          <cell r="BD117">
            <v>296.39999999999998</v>
          </cell>
          <cell r="BE117">
            <v>289.2</v>
          </cell>
          <cell r="BF117">
            <v>329.1</v>
          </cell>
          <cell r="BG117">
            <v>322.5</v>
          </cell>
          <cell r="BH117">
            <v>316.39999999999998</v>
          </cell>
          <cell r="BI117">
            <v>309.10000000000002</v>
          </cell>
          <cell r="BJ117">
            <v>301.89999999999998</v>
          </cell>
          <cell r="BK117">
            <v>294.60000000000002</v>
          </cell>
          <cell r="BL117">
            <v>287.39999999999998</v>
          </cell>
          <cell r="BM117">
            <v>280.2</v>
          </cell>
          <cell r="BN117">
            <v>272.89999999999998</v>
          </cell>
          <cell r="BO117">
            <v>265.7</v>
          </cell>
          <cell r="BP117">
            <v>258.5</v>
          </cell>
          <cell r="BQ117">
            <v>251.3</v>
          </cell>
          <cell r="BR117">
            <v>244</v>
          </cell>
          <cell r="BS117">
            <v>236.8</v>
          </cell>
          <cell r="BT117">
            <v>229.6</v>
          </cell>
          <cell r="BU117">
            <v>222.3</v>
          </cell>
          <cell r="BV117">
            <v>215.1</v>
          </cell>
          <cell r="BW117">
            <v>207.9</v>
          </cell>
          <cell r="BX117">
            <v>200.6</v>
          </cell>
          <cell r="BY117">
            <v>193.4</v>
          </cell>
          <cell r="BZ117">
            <v>186.2</v>
          </cell>
          <cell r="CA117">
            <v>179</v>
          </cell>
          <cell r="CB117">
            <v>171.7</v>
          </cell>
          <cell r="CC117">
            <v>206.7</v>
          </cell>
          <cell r="CD117">
            <v>197.8</v>
          </cell>
          <cell r="CE117">
            <v>188.8</v>
          </cell>
          <cell r="CF117">
            <v>179.9</v>
          </cell>
          <cell r="CG117">
            <v>171</v>
          </cell>
          <cell r="CH117">
            <v>162.1</v>
          </cell>
          <cell r="CI117">
            <v>153.19999999999999</v>
          </cell>
          <cell r="CJ117">
            <v>144.30000000000001</v>
          </cell>
          <cell r="CK117">
            <v>135.30000000000001</v>
          </cell>
          <cell r="CL117">
            <v>127.1</v>
          </cell>
          <cell r="CM117">
            <v>546.1</v>
          </cell>
          <cell r="CN117">
            <v>523.29999999999995</v>
          </cell>
          <cell r="CO117">
            <v>501.9</v>
          </cell>
          <cell r="CP117">
            <v>492.5</v>
          </cell>
          <cell r="CQ117">
            <v>481.7</v>
          </cell>
          <cell r="CR117">
            <v>461.7</v>
          </cell>
          <cell r="CS117">
            <v>469.9</v>
          </cell>
          <cell r="CT117">
            <v>447.5</v>
          </cell>
          <cell r="CU117">
            <v>434.7</v>
          </cell>
          <cell r="CV117">
            <v>411.9</v>
          </cell>
          <cell r="CW117">
            <v>389.5</v>
          </cell>
          <cell r="CX117">
            <v>366.8</v>
          </cell>
          <cell r="CY117">
            <v>922</v>
          </cell>
          <cell r="CZ117">
            <v>904.2</v>
          </cell>
          <cell r="DA117">
            <v>886.8</v>
          </cell>
          <cell r="DB117">
            <v>869.2</v>
          </cell>
          <cell r="DC117">
            <v>854.1</v>
          </cell>
          <cell r="DD117">
            <v>836.6</v>
          </cell>
          <cell r="DE117">
            <v>832.3</v>
          </cell>
          <cell r="DF117">
            <v>813.3</v>
          </cell>
          <cell r="DG117">
            <v>794.3</v>
          </cell>
          <cell r="DH117">
            <v>775.2</v>
          </cell>
          <cell r="DI117">
            <v>756.2</v>
          </cell>
          <cell r="DJ117">
            <v>737.3</v>
          </cell>
          <cell r="DK117">
            <v>718.3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EK117" t="str">
            <v>Emme Books</v>
          </cell>
        </row>
        <row r="118">
          <cell r="A118" t="str">
            <v>Prepayments</v>
          </cell>
          <cell r="B118" t="str">
            <v>Prepayments</v>
          </cell>
          <cell r="C118" t="str">
            <v>Prepayments  165</v>
          </cell>
          <cell r="D118" t="str">
            <v>1650500</v>
          </cell>
          <cell r="E118" t="str">
            <v>A_1650500</v>
          </cell>
          <cell r="F118" t="str">
            <v>Prepaid Insurance - Automobile</v>
          </cell>
          <cell r="G118">
            <v>-5.9999999999999995E-5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</row>
        <row r="119">
          <cell r="A119" t="str">
            <v>Prepayments</v>
          </cell>
          <cell r="B119" t="str">
            <v>Prepayments</v>
          </cell>
          <cell r="C119" t="str">
            <v>Prepayments  165</v>
          </cell>
          <cell r="D119" t="str">
            <v>1650502</v>
          </cell>
          <cell r="E119" t="str">
            <v>A_1650502</v>
          </cell>
          <cell r="F119" t="str">
            <v>Prepaid Insurance - Brokerage Fees</v>
          </cell>
          <cell r="G119">
            <v>4.0000000000000003E-5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</row>
        <row r="120">
          <cell r="A120" t="str">
            <v>Prepayments</v>
          </cell>
          <cell r="B120" t="str">
            <v>Prepayments</v>
          </cell>
          <cell r="C120" t="str">
            <v>Prepayments  165</v>
          </cell>
          <cell r="D120" t="str">
            <v>1650503</v>
          </cell>
          <cell r="E120" t="str">
            <v>A_1650503</v>
          </cell>
          <cell r="F120" t="str">
            <v>Prepaid Insurance - Crime &amp; Fidelity</v>
          </cell>
          <cell r="G120">
            <v>2.2717899999999998</v>
          </cell>
          <cell r="H120">
            <v>1.9</v>
          </cell>
          <cell r="I120">
            <v>1.5</v>
          </cell>
          <cell r="J120">
            <v>1.1000000000000001</v>
          </cell>
          <cell r="K120">
            <v>0.8</v>
          </cell>
          <cell r="L120">
            <v>0.4</v>
          </cell>
          <cell r="M120">
            <v>4.8</v>
          </cell>
          <cell r="N120">
            <v>4.4000000000000004</v>
          </cell>
          <cell r="O120">
            <v>4</v>
          </cell>
          <cell r="P120">
            <v>3.6</v>
          </cell>
          <cell r="Q120">
            <v>3.2</v>
          </cell>
          <cell r="R120">
            <v>2.8</v>
          </cell>
          <cell r="S120">
            <v>2.4</v>
          </cell>
          <cell r="T120">
            <v>2</v>
          </cell>
          <cell r="U120">
            <v>1.6</v>
          </cell>
          <cell r="V120">
            <v>1.2</v>
          </cell>
          <cell r="W120">
            <v>0.8</v>
          </cell>
          <cell r="X120">
            <v>0.4</v>
          </cell>
          <cell r="Y120">
            <v>4.3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</row>
        <row r="121">
          <cell r="A121" t="str">
            <v>Prepayments</v>
          </cell>
          <cell r="B121" t="str">
            <v>Prepayments</v>
          </cell>
          <cell r="C121" t="str">
            <v>Prepayments  165</v>
          </cell>
          <cell r="D121" t="str">
            <v>1650505</v>
          </cell>
          <cell r="E121" t="str">
            <v>A_1650505</v>
          </cell>
          <cell r="F121" t="str">
            <v>Prepaid Insurance - Errors and Omissions</v>
          </cell>
          <cell r="G121">
            <v>12.72419</v>
          </cell>
          <cell r="H121">
            <v>10.6</v>
          </cell>
          <cell r="I121">
            <v>8.5</v>
          </cell>
          <cell r="J121">
            <v>6.4</v>
          </cell>
          <cell r="K121">
            <v>4.2</v>
          </cell>
          <cell r="L121">
            <v>2.1</v>
          </cell>
          <cell r="M121">
            <v>0</v>
          </cell>
          <cell r="N121">
            <v>24.8</v>
          </cell>
          <cell r="O121">
            <v>22.6</v>
          </cell>
          <cell r="P121">
            <v>20.3</v>
          </cell>
          <cell r="Q121">
            <v>18.100000000000001</v>
          </cell>
          <cell r="R121">
            <v>15.8</v>
          </cell>
          <cell r="S121">
            <v>13.5</v>
          </cell>
          <cell r="T121">
            <v>11.3</v>
          </cell>
          <cell r="U121">
            <v>9</v>
          </cell>
          <cell r="V121">
            <v>6.8</v>
          </cell>
          <cell r="W121">
            <v>4.5</v>
          </cell>
          <cell r="X121">
            <v>2.2999999999999998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</row>
        <row r="122">
          <cell r="A122" t="str">
            <v>Prepayments</v>
          </cell>
          <cell r="B122" t="str">
            <v>Prepayments</v>
          </cell>
          <cell r="C122" t="str">
            <v>Prepayments  165</v>
          </cell>
          <cell r="D122" t="str">
            <v>1650506</v>
          </cell>
          <cell r="E122" t="str">
            <v>A_1650506</v>
          </cell>
          <cell r="F122" t="str">
            <v>Prepaid Insurance - Excess Automobile</v>
          </cell>
          <cell r="G122">
            <v>69.245679999999993</v>
          </cell>
          <cell r="H122">
            <v>57.7</v>
          </cell>
          <cell r="I122">
            <v>46.2</v>
          </cell>
          <cell r="J122">
            <v>34.6</v>
          </cell>
          <cell r="K122">
            <v>23.1</v>
          </cell>
          <cell r="L122">
            <v>11.5</v>
          </cell>
          <cell r="M122">
            <v>0</v>
          </cell>
          <cell r="N122">
            <v>138.69999999999999</v>
          </cell>
          <cell r="O122">
            <v>126.1</v>
          </cell>
          <cell r="P122">
            <v>113.5</v>
          </cell>
          <cell r="Q122">
            <v>100.9</v>
          </cell>
          <cell r="R122">
            <v>88.3</v>
          </cell>
          <cell r="S122">
            <v>75.599999999999994</v>
          </cell>
          <cell r="T122">
            <v>63</v>
          </cell>
          <cell r="U122">
            <v>50.4</v>
          </cell>
          <cell r="V122">
            <v>37.799999999999997</v>
          </cell>
          <cell r="W122">
            <v>25.2</v>
          </cell>
          <cell r="X122">
            <v>12.6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</row>
        <row r="123">
          <cell r="A123" t="str">
            <v>Prepayments</v>
          </cell>
          <cell r="B123" t="str">
            <v>Prepayments</v>
          </cell>
          <cell r="C123" t="str">
            <v>Prepayments  165</v>
          </cell>
          <cell r="D123" t="str">
            <v>1650507</v>
          </cell>
          <cell r="E123" t="str">
            <v>A_1650507</v>
          </cell>
          <cell r="F123" t="str">
            <v>Prepaid Insurance - Excess General Liability</v>
          </cell>
          <cell r="G123">
            <v>534.55914000000007</v>
          </cell>
          <cell r="H123">
            <v>445.5</v>
          </cell>
          <cell r="I123">
            <v>356.4</v>
          </cell>
          <cell r="J123">
            <v>267.3</v>
          </cell>
          <cell r="K123">
            <v>170.5</v>
          </cell>
          <cell r="L123">
            <v>85.2</v>
          </cell>
          <cell r="M123">
            <v>0</v>
          </cell>
          <cell r="N123">
            <v>1014.2</v>
          </cell>
          <cell r="O123">
            <v>927.8</v>
          </cell>
          <cell r="P123">
            <v>835.1</v>
          </cell>
          <cell r="Q123">
            <v>750.1</v>
          </cell>
          <cell r="R123">
            <v>656.3</v>
          </cell>
          <cell r="S123">
            <v>562.5</v>
          </cell>
          <cell r="T123">
            <v>468.8</v>
          </cell>
          <cell r="U123">
            <v>375</v>
          </cell>
          <cell r="V123">
            <v>281.3</v>
          </cell>
          <cell r="W123">
            <v>187.5</v>
          </cell>
          <cell r="X123">
            <v>93.8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</row>
        <row r="124">
          <cell r="A124" t="str">
            <v>Prepayments</v>
          </cell>
          <cell r="B124" t="str">
            <v>Prepayments</v>
          </cell>
          <cell r="C124" t="str">
            <v>Prepayments  165</v>
          </cell>
          <cell r="D124" t="str">
            <v>1650513</v>
          </cell>
          <cell r="E124" t="str">
            <v>A_1650513</v>
          </cell>
          <cell r="F124" t="str">
            <v>Prepaid Insurance - Practices Liability</v>
          </cell>
          <cell r="G124">
            <v>14.411479999999999</v>
          </cell>
          <cell r="H124">
            <v>12</v>
          </cell>
          <cell r="I124">
            <v>9.6</v>
          </cell>
          <cell r="J124">
            <v>7.2</v>
          </cell>
          <cell r="K124">
            <v>4.8</v>
          </cell>
          <cell r="L124">
            <v>2.4</v>
          </cell>
          <cell r="M124">
            <v>0</v>
          </cell>
          <cell r="N124">
            <v>30.7</v>
          </cell>
          <cell r="O124">
            <v>27.9</v>
          </cell>
          <cell r="P124">
            <v>25.1</v>
          </cell>
          <cell r="Q124">
            <v>22.3</v>
          </cell>
          <cell r="R124">
            <v>19.5</v>
          </cell>
          <cell r="S124">
            <v>16.8</v>
          </cell>
          <cell r="T124">
            <v>14</v>
          </cell>
          <cell r="U124">
            <v>11.2</v>
          </cell>
          <cell r="V124">
            <v>8.4</v>
          </cell>
          <cell r="W124">
            <v>5.6</v>
          </cell>
          <cell r="X124">
            <v>2.8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</row>
        <row r="125">
          <cell r="A125" t="str">
            <v>Prepayments</v>
          </cell>
          <cell r="B125" t="str">
            <v>Prepayments</v>
          </cell>
          <cell r="C125" t="str">
            <v>Prepayments  165</v>
          </cell>
          <cell r="D125" t="str">
            <v>1650514</v>
          </cell>
          <cell r="E125" t="str">
            <v>A_1650514</v>
          </cell>
          <cell r="F125" t="str">
            <v>Prepaid Insurance - Property</v>
          </cell>
          <cell r="G125">
            <v>24.031549999999999</v>
          </cell>
          <cell r="H125">
            <v>16</v>
          </cell>
          <cell r="I125">
            <v>7.9</v>
          </cell>
          <cell r="J125">
            <v>-0.1</v>
          </cell>
          <cell r="K125">
            <v>84.1</v>
          </cell>
          <cell r="L125">
            <v>76.400000000000006</v>
          </cell>
          <cell r="M125">
            <v>68.8</v>
          </cell>
          <cell r="N125">
            <v>61.2</v>
          </cell>
          <cell r="O125">
            <v>53.6</v>
          </cell>
          <cell r="P125">
            <v>45.8</v>
          </cell>
          <cell r="Q125">
            <v>41.6</v>
          </cell>
          <cell r="R125">
            <v>34</v>
          </cell>
          <cell r="S125">
            <v>23.8</v>
          </cell>
          <cell r="T125">
            <v>16.100000000000001</v>
          </cell>
          <cell r="U125">
            <v>8.5</v>
          </cell>
          <cell r="V125">
            <v>0.8</v>
          </cell>
          <cell r="W125">
            <v>65.900000000000006</v>
          </cell>
          <cell r="X125">
            <v>60.6</v>
          </cell>
          <cell r="Y125">
            <v>54.5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</row>
        <row r="126">
          <cell r="A126" t="str">
            <v>Prepayments</v>
          </cell>
          <cell r="B126" t="str">
            <v>Prepayments</v>
          </cell>
          <cell r="C126" t="str">
            <v>Prepayments  165</v>
          </cell>
          <cell r="D126" t="str">
            <v>1650515</v>
          </cell>
          <cell r="E126" t="str">
            <v>A_1650515</v>
          </cell>
          <cell r="F126" t="str">
            <v>Prepaid Insurance - Punitive Damages</v>
          </cell>
          <cell r="G126">
            <v>20.971990000000002</v>
          </cell>
          <cell r="H126">
            <v>17.5</v>
          </cell>
          <cell r="I126">
            <v>14</v>
          </cell>
          <cell r="J126">
            <v>10.5</v>
          </cell>
          <cell r="K126">
            <v>7</v>
          </cell>
          <cell r="L126">
            <v>3.5</v>
          </cell>
          <cell r="M126">
            <v>0</v>
          </cell>
          <cell r="N126">
            <v>41.3</v>
          </cell>
          <cell r="O126">
            <v>37.5</v>
          </cell>
          <cell r="P126">
            <v>33.799999999999997</v>
          </cell>
          <cell r="Q126">
            <v>30</v>
          </cell>
          <cell r="R126">
            <v>26.3</v>
          </cell>
          <cell r="S126">
            <v>22.5</v>
          </cell>
          <cell r="T126">
            <v>18.8</v>
          </cell>
          <cell r="U126">
            <v>15</v>
          </cell>
          <cell r="V126">
            <v>11.3</v>
          </cell>
          <cell r="W126">
            <v>7.5</v>
          </cell>
          <cell r="X126">
            <v>3.8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</row>
        <row r="127">
          <cell r="A127" t="str">
            <v>Prepayments</v>
          </cell>
          <cell r="B127" t="str">
            <v>Prepayments</v>
          </cell>
          <cell r="C127" t="str">
            <v>Prepayments  165</v>
          </cell>
          <cell r="D127" t="str">
            <v>1650516</v>
          </cell>
          <cell r="E127" t="str">
            <v>A_1650516</v>
          </cell>
          <cell r="F127" t="str">
            <v>Prepaid Insurance - Special Risk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2.7</v>
          </cell>
          <cell r="R127">
            <v>2.4</v>
          </cell>
          <cell r="S127">
            <v>2.2000000000000002</v>
          </cell>
          <cell r="T127">
            <v>2</v>
          </cell>
          <cell r="U127">
            <v>1.7</v>
          </cell>
          <cell r="V127">
            <v>1.5</v>
          </cell>
          <cell r="W127">
            <v>1.2</v>
          </cell>
          <cell r="X127">
            <v>1</v>
          </cell>
          <cell r="Y127">
            <v>0.7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</row>
        <row r="128">
          <cell r="A128" t="str">
            <v>Prepayments</v>
          </cell>
          <cell r="B128" t="str">
            <v>Prepayments</v>
          </cell>
          <cell r="C128" t="str">
            <v>Prepayments  165</v>
          </cell>
          <cell r="D128" t="str">
            <v>1650517</v>
          </cell>
          <cell r="E128" t="str">
            <v>A_1650517</v>
          </cell>
          <cell r="F128" t="str">
            <v>Prepaid Insurance - Surety Bonds</v>
          </cell>
          <cell r="G128">
            <v>1.0000000000000001E-5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</row>
        <row r="129">
          <cell r="A129" t="str">
            <v>Prepayments</v>
          </cell>
          <cell r="B129" t="str">
            <v>Prepayments</v>
          </cell>
          <cell r="C129" t="str">
            <v>Prepayments  165</v>
          </cell>
          <cell r="D129" t="str">
            <v>1650518</v>
          </cell>
          <cell r="E129" t="str">
            <v>A_1650518</v>
          </cell>
          <cell r="F129" t="str">
            <v>Prepaid Insurance - Travel Accident</v>
          </cell>
          <cell r="G129">
            <v>0</v>
          </cell>
          <cell r="H129">
            <v>0.9</v>
          </cell>
          <cell r="I129">
            <v>0.9</v>
          </cell>
          <cell r="J129">
            <v>0.9</v>
          </cell>
          <cell r="K129">
            <v>0.9</v>
          </cell>
          <cell r="L129">
            <v>0.9</v>
          </cell>
          <cell r="M129">
            <v>0.2</v>
          </cell>
          <cell r="N129">
            <v>0.9</v>
          </cell>
          <cell r="O129">
            <v>0.9</v>
          </cell>
          <cell r="P129">
            <v>0.9</v>
          </cell>
          <cell r="Q129">
            <v>0.9</v>
          </cell>
          <cell r="R129">
            <v>0.9</v>
          </cell>
          <cell r="S129">
            <v>0</v>
          </cell>
          <cell r="T129">
            <v>-0.9</v>
          </cell>
          <cell r="U129">
            <v>1.2</v>
          </cell>
          <cell r="V129">
            <v>0.9</v>
          </cell>
          <cell r="W129">
            <v>1</v>
          </cell>
          <cell r="X129">
            <v>0.6</v>
          </cell>
          <cell r="Y129">
            <v>0.6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</row>
        <row r="130">
          <cell r="A130" t="str">
            <v>Prepayments</v>
          </cell>
          <cell r="B130" t="str">
            <v>Prepayments</v>
          </cell>
          <cell r="C130" t="str">
            <v>Prepayments  165</v>
          </cell>
          <cell r="D130" t="str">
            <v>1650519</v>
          </cell>
          <cell r="E130" t="str">
            <v>A_1650519</v>
          </cell>
          <cell r="F130" t="str">
            <v>Prepaid Insurance - Workers Compensation - Excess</v>
          </cell>
          <cell r="G130">
            <v>63.864319999999999</v>
          </cell>
          <cell r="H130">
            <v>53.2</v>
          </cell>
          <cell r="I130">
            <v>42.6</v>
          </cell>
          <cell r="J130">
            <v>31.9</v>
          </cell>
          <cell r="K130">
            <v>21.3</v>
          </cell>
          <cell r="L130">
            <v>10.6</v>
          </cell>
          <cell r="M130">
            <v>0</v>
          </cell>
          <cell r="N130">
            <v>121.9</v>
          </cell>
          <cell r="O130">
            <v>110.8</v>
          </cell>
          <cell r="P130">
            <v>99.7</v>
          </cell>
          <cell r="Q130">
            <v>88.6</v>
          </cell>
          <cell r="R130">
            <v>77.599999999999994</v>
          </cell>
          <cell r="S130">
            <v>66.5</v>
          </cell>
          <cell r="T130">
            <v>55.4</v>
          </cell>
          <cell r="U130">
            <v>44.3</v>
          </cell>
          <cell r="V130">
            <v>33.200000000000003</v>
          </cell>
          <cell r="W130">
            <v>22.2</v>
          </cell>
          <cell r="X130">
            <v>11.1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</row>
        <row r="131">
          <cell r="A131" t="str">
            <v>Prepayments</v>
          </cell>
          <cell r="B131" t="str">
            <v>Prepayments</v>
          </cell>
          <cell r="C131" t="str">
            <v>Prepayments  165</v>
          </cell>
          <cell r="D131" t="str">
            <v>1650520</v>
          </cell>
          <cell r="E131" t="str">
            <v>A_1650520</v>
          </cell>
          <cell r="F131" t="str">
            <v>Prepaid Insurance - Workers Compensation - States</v>
          </cell>
          <cell r="G131">
            <v>-2.9999999999999997E-5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</row>
        <row r="132">
          <cell r="A132" t="str">
            <v>Prepayments</v>
          </cell>
          <cell r="B132" t="str">
            <v>Prepayments</v>
          </cell>
          <cell r="C132" t="str">
            <v>Prepayments  165</v>
          </cell>
          <cell r="D132" t="str">
            <v>1650599</v>
          </cell>
          <cell r="E132" t="str">
            <v>A_1650599</v>
          </cell>
          <cell r="F132" t="str">
            <v>Prepaid Insurance - Other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3.8</v>
          </cell>
          <cell r="M132">
            <v>3.8</v>
          </cell>
          <cell r="N132">
            <v>2.8</v>
          </cell>
          <cell r="O132">
            <v>2.5</v>
          </cell>
          <cell r="P132">
            <v>2</v>
          </cell>
          <cell r="Q132">
            <v>1.7</v>
          </cell>
          <cell r="R132">
            <v>1.4</v>
          </cell>
          <cell r="S132">
            <v>1.1000000000000001</v>
          </cell>
          <cell r="T132">
            <v>0.8</v>
          </cell>
          <cell r="U132">
            <v>0.4</v>
          </cell>
          <cell r="V132">
            <v>0.1</v>
          </cell>
          <cell r="W132">
            <v>-0.2</v>
          </cell>
          <cell r="X132">
            <v>-0.5</v>
          </cell>
          <cell r="Y132">
            <v>0</v>
          </cell>
          <cell r="Z132">
            <v>1475.5</v>
          </cell>
          <cell r="AA132">
            <v>1339.7</v>
          </cell>
          <cell r="AB132">
            <v>1203.9000000000001</v>
          </cell>
          <cell r="AC132">
            <v>1068.2</v>
          </cell>
          <cell r="AD132">
            <v>932.4</v>
          </cell>
          <cell r="AE132">
            <v>796.7</v>
          </cell>
          <cell r="AF132">
            <v>661.8</v>
          </cell>
          <cell r="AG132">
            <v>526.1</v>
          </cell>
          <cell r="AH132">
            <v>390.3</v>
          </cell>
          <cell r="AI132">
            <v>321.3</v>
          </cell>
          <cell r="AJ132">
            <v>186.1</v>
          </cell>
          <cell r="AK132">
            <v>52.5</v>
          </cell>
          <cell r="AL132">
            <v>1406</v>
          </cell>
          <cell r="AM132">
            <v>1279.3</v>
          </cell>
          <cell r="AN132">
            <v>1148.9000000000001</v>
          </cell>
          <cell r="AO132">
            <v>1019.3</v>
          </cell>
          <cell r="AP132">
            <v>889.7</v>
          </cell>
          <cell r="AQ132">
            <v>1805.8</v>
          </cell>
          <cell r="AR132">
            <v>1604.2</v>
          </cell>
          <cell r="AS132">
            <v>1157.5</v>
          </cell>
          <cell r="AT132">
            <v>1003.4</v>
          </cell>
          <cell r="AU132">
            <v>873.7</v>
          </cell>
          <cell r="AV132">
            <v>744.3</v>
          </cell>
          <cell r="AW132">
            <v>615</v>
          </cell>
          <cell r="AX132">
            <v>523.5</v>
          </cell>
          <cell r="AY132">
            <v>397.1</v>
          </cell>
          <cell r="AZ132">
            <v>268</v>
          </cell>
          <cell r="BA132">
            <v>138.80000000000001</v>
          </cell>
          <cell r="BB132">
            <v>9.6</v>
          </cell>
          <cell r="BC132">
            <v>879.7</v>
          </cell>
          <cell r="BD132">
            <v>1445.3</v>
          </cell>
          <cell r="BE132">
            <v>1302.2</v>
          </cell>
          <cell r="BF132">
            <v>1164.5</v>
          </cell>
          <cell r="BG132">
            <v>1020.1</v>
          </cell>
          <cell r="BH132">
            <v>881.4</v>
          </cell>
          <cell r="BI132">
            <v>735.1</v>
          </cell>
          <cell r="BJ132">
            <v>588.79999999999995</v>
          </cell>
          <cell r="BK132">
            <v>452.5</v>
          </cell>
          <cell r="BL132">
            <v>314.2</v>
          </cell>
          <cell r="BM132">
            <v>166</v>
          </cell>
          <cell r="BN132">
            <v>17.899999999999999</v>
          </cell>
          <cell r="BO132">
            <v>75.400000000000006</v>
          </cell>
          <cell r="BP132">
            <v>1705.4</v>
          </cell>
          <cell r="BQ132">
            <v>1575.4</v>
          </cell>
          <cell r="BR132">
            <v>1399.3</v>
          </cell>
          <cell r="BS132">
            <v>1222.8</v>
          </cell>
          <cell r="BT132">
            <v>1046.0999999999999</v>
          </cell>
          <cell r="BU132">
            <v>875.1</v>
          </cell>
          <cell r="BV132">
            <v>721.2</v>
          </cell>
          <cell r="BW132">
            <v>547.4</v>
          </cell>
          <cell r="BX132">
            <v>370.7</v>
          </cell>
          <cell r="BY132">
            <v>194.3</v>
          </cell>
          <cell r="BZ132">
            <v>21.3</v>
          </cell>
          <cell r="CA132">
            <v>895.6</v>
          </cell>
          <cell r="CB132">
            <v>2464.1999999999998</v>
          </cell>
          <cell r="CC132">
            <v>2359.8000000000002</v>
          </cell>
          <cell r="CD132">
            <v>2133.4</v>
          </cell>
          <cell r="CE132">
            <v>1906.9</v>
          </cell>
          <cell r="CF132">
            <v>1685.2</v>
          </cell>
          <cell r="CG132">
            <v>1395.4</v>
          </cell>
          <cell r="CH132">
            <v>1158.3</v>
          </cell>
          <cell r="CI132">
            <v>918.8</v>
          </cell>
          <cell r="CJ132">
            <v>711.6</v>
          </cell>
          <cell r="CK132">
            <v>469</v>
          </cell>
          <cell r="CL132">
            <v>227.7</v>
          </cell>
          <cell r="CM132">
            <v>88.7</v>
          </cell>
          <cell r="CN132">
            <v>1617.9</v>
          </cell>
          <cell r="CO132">
            <v>1477</v>
          </cell>
          <cell r="CP132">
            <v>1198.5</v>
          </cell>
          <cell r="CQ132">
            <v>920</v>
          </cell>
          <cell r="CR132">
            <v>675.6</v>
          </cell>
          <cell r="CS132">
            <v>571.9</v>
          </cell>
          <cell r="CT132">
            <v>3320.5</v>
          </cell>
          <cell r="CU132">
            <v>2975.9</v>
          </cell>
          <cell r="CV132">
            <v>2575.6999999999998</v>
          </cell>
          <cell r="CW132">
            <v>2175.9</v>
          </cell>
          <cell r="CX132">
            <v>1778.9</v>
          </cell>
          <cell r="CY132">
            <v>1478.7</v>
          </cell>
          <cell r="CZ132">
            <v>3254.3</v>
          </cell>
          <cell r="DA132">
            <v>2836.8</v>
          </cell>
          <cell r="DB132">
            <v>2405.9</v>
          </cell>
          <cell r="DC132">
            <v>1974.5</v>
          </cell>
          <cell r="DD132">
            <v>1544</v>
          </cell>
          <cell r="DE132">
            <v>1436.8</v>
          </cell>
          <cell r="DF132">
            <v>5139.3999999999996</v>
          </cell>
          <cell r="DG132">
            <v>4703.6000000000004</v>
          </cell>
          <cell r="DH132">
            <v>4182.2</v>
          </cell>
          <cell r="DI132">
            <v>3654.2</v>
          </cell>
          <cell r="DJ132">
            <v>3126.2</v>
          </cell>
          <cell r="DK132">
            <v>2603.1</v>
          </cell>
          <cell r="DL132">
            <v>2209.4</v>
          </cell>
          <cell r="DM132">
            <v>1677.2</v>
          </cell>
          <cell r="DN132">
            <v>1242.8</v>
          </cell>
          <cell r="DO132">
            <v>708</v>
          </cell>
          <cell r="DP132">
            <v>184.1</v>
          </cell>
          <cell r="DQ132">
            <v>6443.6</v>
          </cell>
          <cell r="DR132">
            <v>5843.2</v>
          </cell>
          <cell r="DS132">
            <v>5381.4</v>
          </cell>
          <cell r="DT132">
            <v>4776.7</v>
          </cell>
          <cell r="DU132">
            <v>4177</v>
          </cell>
          <cell r="DV132">
            <v>3572.3</v>
          </cell>
          <cell r="DW132">
            <v>2969.3</v>
          </cell>
        </row>
        <row r="133">
          <cell r="A133" t="str">
            <v>Prepayments</v>
          </cell>
          <cell r="B133" t="str">
            <v>Prepayments</v>
          </cell>
          <cell r="C133" t="str">
            <v>Prepayments  165</v>
          </cell>
          <cell r="D133" t="str">
            <v>1650800</v>
          </cell>
          <cell r="E133" t="str">
            <v>A_1650800</v>
          </cell>
          <cell r="F133" t="str">
            <v>Prepaid Miscellaneous</v>
          </cell>
          <cell r="G133">
            <v>197.1</v>
          </cell>
          <cell r="H133">
            <v>0</v>
          </cell>
          <cell r="I133">
            <v>0</v>
          </cell>
          <cell r="J133">
            <v>57.8</v>
          </cell>
          <cell r="K133">
            <v>57.8</v>
          </cell>
          <cell r="L133">
            <v>57.8</v>
          </cell>
          <cell r="M133">
            <v>158.1</v>
          </cell>
          <cell r="N133">
            <v>123.1</v>
          </cell>
          <cell r="O133">
            <v>74.900000000000006</v>
          </cell>
          <cell r="P133">
            <v>64.8</v>
          </cell>
          <cell r="Q133">
            <v>43.2</v>
          </cell>
          <cell r="R133">
            <v>33.200000000000003</v>
          </cell>
          <cell r="S133">
            <v>490.8</v>
          </cell>
          <cell r="T133">
            <v>338.9</v>
          </cell>
          <cell r="U133">
            <v>308.10000000000002</v>
          </cell>
          <cell r="V133">
            <v>277.3</v>
          </cell>
          <cell r="W133">
            <v>342.6</v>
          </cell>
          <cell r="X133">
            <v>381.9</v>
          </cell>
          <cell r="Y133">
            <v>333.1</v>
          </cell>
          <cell r="Z133">
            <v>353.5</v>
          </cell>
          <cell r="AA133">
            <v>298.39999999999998</v>
          </cell>
          <cell r="AB133">
            <v>275.3</v>
          </cell>
          <cell r="AC133">
            <v>217.5</v>
          </cell>
          <cell r="AD133">
            <v>159.69999999999999</v>
          </cell>
          <cell r="AE133">
            <v>825.2</v>
          </cell>
          <cell r="AF133">
            <v>576.5</v>
          </cell>
          <cell r="AG133">
            <v>492.1</v>
          </cell>
          <cell r="AH133">
            <v>607.79999999999995</v>
          </cell>
          <cell r="AI133">
            <v>469.7</v>
          </cell>
          <cell r="AJ133">
            <v>433.5</v>
          </cell>
          <cell r="AK133">
            <v>372</v>
          </cell>
          <cell r="AL133">
            <v>347.6</v>
          </cell>
          <cell r="AM133">
            <v>298.3</v>
          </cell>
          <cell r="AN133">
            <v>280.8</v>
          </cell>
          <cell r="AO133">
            <v>174.6</v>
          </cell>
          <cell r="AP133">
            <v>271.39999999999998</v>
          </cell>
          <cell r="AQ133">
            <v>491.3</v>
          </cell>
          <cell r="AR133">
            <v>763.9</v>
          </cell>
          <cell r="AS133">
            <v>992.1</v>
          </cell>
          <cell r="AT133">
            <v>997</v>
          </cell>
          <cell r="AU133">
            <v>845.1</v>
          </cell>
          <cell r="AV133">
            <v>758.6</v>
          </cell>
          <cell r="AW133">
            <v>667.6</v>
          </cell>
          <cell r="AX133">
            <v>588.79999999999995</v>
          </cell>
          <cell r="AY133">
            <v>491.1</v>
          </cell>
          <cell r="AZ133">
            <v>393.3</v>
          </cell>
          <cell r="BA133">
            <v>276.3</v>
          </cell>
          <cell r="BB133">
            <v>178.1</v>
          </cell>
          <cell r="BC133">
            <v>363.5</v>
          </cell>
          <cell r="BD133">
            <v>787.4</v>
          </cell>
          <cell r="BE133">
            <v>988</v>
          </cell>
          <cell r="BF133">
            <v>1172</v>
          </cell>
          <cell r="BG133">
            <v>972.9</v>
          </cell>
          <cell r="BH133">
            <v>888.1</v>
          </cell>
          <cell r="BI133">
            <v>710.8</v>
          </cell>
          <cell r="BJ133">
            <v>508.6</v>
          </cell>
          <cell r="BK133">
            <v>449.3</v>
          </cell>
          <cell r="BL133">
            <v>347.4</v>
          </cell>
          <cell r="BM133">
            <v>277.7</v>
          </cell>
          <cell r="BN133">
            <v>175.8</v>
          </cell>
          <cell r="BO133">
            <v>278.2</v>
          </cell>
          <cell r="BP133">
            <v>136.4</v>
          </cell>
          <cell r="BQ133">
            <v>896.1</v>
          </cell>
          <cell r="BR133">
            <v>830.4</v>
          </cell>
          <cell r="BS133">
            <v>694.4</v>
          </cell>
          <cell r="BT133">
            <v>615.9</v>
          </cell>
          <cell r="BU133">
            <v>537.4</v>
          </cell>
          <cell r="BV133">
            <v>552.29999999999995</v>
          </cell>
          <cell r="BW133">
            <v>707.8</v>
          </cell>
          <cell r="BX133">
            <v>897.3</v>
          </cell>
          <cell r="BY133">
            <v>758.8</v>
          </cell>
          <cell r="BZ133">
            <v>677.8</v>
          </cell>
          <cell r="CA133">
            <v>253.2</v>
          </cell>
          <cell r="CB133">
            <v>839.5</v>
          </cell>
          <cell r="CC133">
            <v>841.4</v>
          </cell>
          <cell r="CD133">
            <v>950.9</v>
          </cell>
          <cell r="CE133">
            <v>792.2</v>
          </cell>
          <cell r="CF133">
            <v>692.2</v>
          </cell>
          <cell r="CG133">
            <v>884.5</v>
          </cell>
          <cell r="CH133">
            <v>677.8</v>
          </cell>
          <cell r="CI133">
            <v>668.1</v>
          </cell>
          <cell r="CJ133">
            <v>565.4</v>
          </cell>
          <cell r="CK133">
            <v>357.7</v>
          </cell>
          <cell r="CL133">
            <v>266.60000000000002</v>
          </cell>
          <cell r="CM133">
            <v>522.20000000000005</v>
          </cell>
          <cell r="CN133">
            <v>911.5</v>
          </cell>
          <cell r="CO133">
            <v>1174.4000000000001</v>
          </cell>
          <cell r="CP133">
            <v>1284.4000000000001</v>
          </cell>
          <cell r="CQ133">
            <v>1303.2</v>
          </cell>
          <cell r="CR133">
            <v>1150.4000000000001</v>
          </cell>
          <cell r="CS133">
            <v>1086.5999999999999</v>
          </cell>
          <cell r="CT133">
            <v>909.8</v>
          </cell>
          <cell r="CU133">
            <v>884.9</v>
          </cell>
          <cell r="CV133">
            <v>757.2</v>
          </cell>
          <cell r="CW133">
            <v>546.79999999999995</v>
          </cell>
          <cell r="CX133">
            <v>515.29999999999995</v>
          </cell>
          <cell r="CY133">
            <v>1012.3</v>
          </cell>
          <cell r="CZ133">
            <v>1952.7</v>
          </cell>
          <cell r="DA133">
            <v>2421.9</v>
          </cell>
          <cell r="DB133">
            <v>1665.4</v>
          </cell>
          <cell r="DC133">
            <v>1772.1</v>
          </cell>
          <cell r="DD133">
            <v>1444.6</v>
          </cell>
          <cell r="DE133">
            <v>1236.7</v>
          </cell>
          <cell r="DF133">
            <v>1458.2</v>
          </cell>
          <cell r="DG133">
            <v>1592.6</v>
          </cell>
          <cell r="DH133">
            <v>941.9</v>
          </cell>
          <cell r="DI133">
            <v>693.6</v>
          </cell>
          <cell r="DJ133">
            <v>484.4</v>
          </cell>
          <cell r="DK133">
            <v>552.20000000000005</v>
          </cell>
          <cell r="DL133">
            <v>1900</v>
          </cell>
          <cell r="DM133">
            <v>2400</v>
          </cell>
          <cell r="DN133">
            <v>1600</v>
          </cell>
          <cell r="DO133">
            <v>1800</v>
          </cell>
          <cell r="DP133">
            <v>1400</v>
          </cell>
          <cell r="DQ133">
            <v>1200</v>
          </cell>
          <cell r="DR133">
            <v>1500</v>
          </cell>
          <cell r="DS133">
            <v>1300</v>
          </cell>
          <cell r="DT133">
            <v>1200</v>
          </cell>
          <cell r="DU133">
            <v>1100</v>
          </cell>
          <cell r="DV133">
            <v>1050</v>
          </cell>
          <cell r="DW133">
            <v>1000</v>
          </cell>
        </row>
        <row r="134">
          <cell r="D134" t="str">
            <v>165</v>
          </cell>
          <cell r="E134">
            <v>165</v>
          </cell>
          <cell r="G134">
            <v>1368.7761399999997</v>
          </cell>
          <cell r="H134">
            <v>1039.5999999999999</v>
          </cell>
          <cell r="I134">
            <v>907.3</v>
          </cell>
          <cell r="J134">
            <v>831.3</v>
          </cell>
          <cell r="K134">
            <v>782.3</v>
          </cell>
          <cell r="L134">
            <v>656.49999999999989</v>
          </cell>
          <cell r="M134">
            <v>631.70000000000005</v>
          </cell>
          <cell r="N134">
            <v>1954</v>
          </cell>
          <cell r="O134">
            <v>1772.7</v>
          </cell>
          <cell r="P134">
            <v>1628.9</v>
          </cell>
          <cell r="Q134">
            <v>1485.4</v>
          </cell>
          <cell r="R134">
            <v>1334.6000000000001</v>
          </cell>
          <cell r="S134">
            <v>1647.8999999999996</v>
          </cell>
          <cell r="T134">
            <v>1354.5</v>
          </cell>
          <cell r="U134">
            <v>1184.8000000000002</v>
          </cell>
          <cell r="V134">
            <v>1059.9000000000001</v>
          </cell>
          <cell r="W134">
            <v>1057.2</v>
          </cell>
          <cell r="X134">
            <v>957.9</v>
          </cell>
          <cell r="Y134">
            <v>774.7</v>
          </cell>
          <cell r="Z134">
            <v>2204.6</v>
          </cell>
          <cell r="AA134">
            <v>2007.8000000000002</v>
          </cell>
          <cell r="AB134">
            <v>1843</v>
          </cell>
          <cell r="AC134">
            <v>1643.5</v>
          </cell>
          <cell r="AD134">
            <v>1444</v>
          </cell>
          <cell r="AE134">
            <v>1885.9</v>
          </cell>
          <cell r="AF134">
            <v>1578.4</v>
          </cell>
          <cell r="AG134">
            <v>1352.4</v>
          </cell>
          <cell r="AH134">
            <v>1326.3</v>
          </cell>
          <cell r="AI134">
            <v>1113.3</v>
          </cell>
          <cell r="AJ134">
            <v>936</v>
          </cell>
          <cell r="AK134">
            <v>735</v>
          </cell>
          <cell r="AL134">
            <v>2058.1</v>
          </cell>
          <cell r="AM134">
            <v>1876.2</v>
          </cell>
          <cell r="AN134">
            <v>1722.4</v>
          </cell>
          <cell r="AO134">
            <v>1480.6999999999998</v>
          </cell>
          <cell r="AP134">
            <v>1441.9</v>
          </cell>
          <cell r="AQ134">
            <v>2572</v>
          </cell>
          <cell r="AR134">
            <v>2637.1</v>
          </cell>
          <cell r="AS134">
            <v>2412.6999999999998</v>
          </cell>
          <cell r="AT134">
            <v>2493.8000000000002</v>
          </cell>
          <cell r="AU134">
            <v>2161.5</v>
          </cell>
          <cell r="AV134">
            <v>1938.5</v>
          </cell>
          <cell r="AW134">
            <v>1711.1</v>
          </cell>
          <cell r="AX134">
            <v>1533.6</v>
          </cell>
          <cell r="AY134">
            <v>1302.5</v>
          </cell>
          <cell r="AZ134">
            <v>1068.4000000000001</v>
          </cell>
          <cell r="BA134">
            <v>815</v>
          </cell>
          <cell r="BB134">
            <v>580.5</v>
          </cell>
          <cell r="BC134">
            <v>1546.8000000000002</v>
          </cell>
          <cell r="BD134">
            <v>2611.1</v>
          </cell>
          <cell r="BE134">
            <v>2661.4</v>
          </cell>
          <cell r="BF134">
            <v>2747.6</v>
          </cell>
          <cell r="BG134">
            <v>2397.5</v>
          </cell>
          <cell r="BH134">
            <v>2167.9</v>
          </cell>
          <cell r="BI134">
            <v>1837</v>
          </cell>
          <cell r="BJ134">
            <v>1481.3</v>
          </cell>
          <cell r="BK134">
            <v>1278.4000000000001</v>
          </cell>
          <cell r="BL134">
            <v>1031</v>
          </cell>
          <cell r="BM134">
            <v>805.90000000000009</v>
          </cell>
          <cell r="BN134">
            <v>548.59999999999991</v>
          </cell>
          <cell r="BO134">
            <v>619.29999999999995</v>
          </cell>
          <cell r="BP134">
            <v>2100.3000000000002</v>
          </cell>
          <cell r="BQ134">
            <v>2804.8</v>
          </cell>
          <cell r="BR134">
            <v>2555.6999999999998</v>
          </cell>
          <cell r="BS134">
            <v>2236</v>
          </cell>
          <cell r="BT134">
            <v>1973.6</v>
          </cell>
          <cell r="BU134">
            <v>1716.8000000000002</v>
          </cell>
          <cell r="BV134">
            <v>1570.6</v>
          </cell>
          <cell r="BW134">
            <v>1545.1</v>
          </cell>
          <cell r="BX134">
            <v>1550.6</v>
          </cell>
          <cell r="BY134">
            <v>1228.5</v>
          </cell>
          <cell r="BZ134">
            <v>967.3</v>
          </cell>
          <cell r="CA134">
            <v>1409.8</v>
          </cell>
          <cell r="CB134">
            <v>3557.3999999999996</v>
          </cell>
          <cell r="CC134">
            <v>3489.9</v>
          </cell>
          <cell r="CD134">
            <v>3364.1000000000004</v>
          </cell>
          <cell r="CE134">
            <v>2969.9000000000005</v>
          </cell>
          <cell r="CF134">
            <v>2639.3</v>
          </cell>
          <cell r="CG134">
            <v>2532.9</v>
          </cell>
          <cell r="CH134">
            <v>2080.1999999999998</v>
          </cell>
          <cell r="CI134">
            <v>1822.1</v>
          </cell>
          <cell r="CJ134">
            <v>1503.3000000000002</v>
          </cell>
          <cell r="CK134">
            <v>1044</v>
          </cell>
          <cell r="CL134">
            <v>703.4</v>
          </cell>
          <cell r="CM134">
            <v>1157</v>
          </cell>
          <cell r="CN134">
            <v>3134.7</v>
          </cell>
          <cell r="CO134">
            <v>3235.3</v>
          </cell>
          <cell r="CP134">
            <v>3057.4</v>
          </cell>
          <cell r="CQ134">
            <v>2786.9</v>
          </cell>
          <cell r="CR134">
            <v>2369.7000000000003</v>
          </cell>
          <cell r="CS134">
            <v>2210.3999999999996</v>
          </cell>
          <cell r="CT134">
            <v>4759.8</v>
          </cell>
          <cell r="CU134">
            <v>4377.5</v>
          </cell>
          <cell r="CV134">
            <v>3826.8</v>
          </cell>
          <cell r="CW134">
            <v>3194.2</v>
          </cell>
          <cell r="CX134">
            <v>2743</v>
          </cell>
          <cell r="CY134">
            <v>3413</v>
          </cell>
          <cell r="CZ134">
            <v>6193.2</v>
          </cell>
          <cell r="DA134">
            <v>6227.5</v>
          </cell>
          <cell r="DB134">
            <v>5022.5</v>
          </cell>
          <cell r="DC134">
            <v>4682.7</v>
          </cell>
          <cell r="DD134">
            <v>3907.2</v>
          </cell>
          <cell r="DE134">
            <v>3587.8</v>
          </cell>
          <cell r="DF134">
            <v>7492.9</v>
          </cell>
          <cell r="DG134">
            <v>7172.5</v>
          </cell>
          <cell r="DH134">
            <v>5981.2999999999993</v>
          </cell>
          <cell r="DI134">
            <v>5186</v>
          </cell>
          <cell r="DJ134">
            <v>4429.8999999999996</v>
          </cell>
          <cell r="DK134">
            <v>3955.5999999999995</v>
          </cell>
          <cell r="DL134">
            <v>4191.3999999999996</v>
          </cell>
          <cell r="DM134">
            <v>4159.2</v>
          </cell>
          <cell r="DN134">
            <v>2924.8</v>
          </cell>
          <cell r="DO134">
            <v>2590</v>
          </cell>
          <cell r="DP134">
            <v>1666.1</v>
          </cell>
          <cell r="DQ134">
            <v>7725.6</v>
          </cell>
          <cell r="DR134">
            <v>7425.2</v>
          </cell>
          <cell r="DS134">
            <v>6763.4</v>
          </cell>
          <cell r="DT134">
            <v>6058.7</v>
          </cell>
          <cell r="DU134">
            <v>5359</v>
          </cell>
          <cell r="DV134">
            <v>4704.3</v>
          </cell>
          <cell r="DW134">
            <v>3998</v>
          </cell>
          <cell r="EJ134" t="str">
            <v>.</v>
          </cell>
        </row>
        <row r="135">
          <cell r="A135" t="str">
            <v>Other Accounts Receivable 143/1720101</v>
          </cell>
          <cell r="B135" t="str">
            <v>Accounts Receivable - External SUB</v>
          </cell>
          <cell r="C135" t="str">
            <v>Other Accounts Receivable SUB</v>
          </cell>
          <cell r="D135" t="str">
            <v>1720101</v>
          </cell>
          <cell r="E135" t="str">
            <v>A_1720101</v>
          </cell>
          <cell r="F135" t="str">
            <v>Minimum Lease Payments Receivable Current-GAAP adj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454.5</v>
          </cell>
          <cell r="AL135">
            <v>480.3</v>
          </cell>
          <cell r="AM135">
            <v>506.2</v>
          </cell>
          <cell r="AN135">
            <v>719.9</v>
          </cell>
          <cell r="AO135">
            <v>777.1</v>
          </cell>
          <cell r="AP135">
            <v>984</v>
          </cell>
          <cell r="AQ135">
            <v>1050.0999999999999</v>
          </cell>
          <cell r="AR135">
            <v>1160.3</v>
          </cell>
          <cell r="AS135">
            <v>1237.7</v>
          </cell>
          <cell r="AT135">
            <v>1315</v>
          </cell>
          <cell r="AU135">
            <v>1335.5</v>
          </cell>
          <cell r="AV135">
            <v>1356.1</v>
          </cell>
          <cell r="AW135">
            <v>1376.6</v>
          </cell>
          <cell r="AX135">
            <v>1397.1</v>
          </cell>
          <cell r="AY135">
            <v>1417.7</v>
          </cell>
          <cell r="AZ135">
            <v>1438.2</v>
          </cell>
          <cell r="BA135">
            <v>1438.9</v>
          </cell>
          <cell r="BB135">
            <v>1439.5</v>
          </cell>
          <cell r="BC135">
            <v>1440.2</v>
          </cell>
          <cell r="BD135">
            <v>1440.8</v>
          </cell>
          <cell r="BE135">
            <v>1441.5</v>
          </cell>
          <cell r="BF135">
            <v>1442.2</v>
          </cell>
          <cell r="BG135">
            <v>1442.8</v>
          </cell>
          <cell r="BH135">
            <v>1443.5</v>
          </cell>
          <cell r="BI135">
            <v>1444.2</v>
          </cell>
          <cell r="BJ135">
            <v>1444.8</v>
          </cell>
          <cell r="BK135">
            <v>1445.5</v>
          </cell>
          <cell r="BL135">
            <v>1446.1</v>
          </cell>
          <cell r="BM135">
            <v>1446.8</v>
          </cell>
          <cell r="BN135">
            <v>1447.5</v>
          </cell>
          <cell r="BO135">
            <v>1448.1</v>
          </cell>
          <cell r="BP135">
            <v>1448.8</v>
          </cell>
          <cell r="BQ135">
            <v>1449.5</v>
          </cell>
          <cell r="BR135">
            <v>1450.1</v>
          </cell>
          <cell r="BS135">
            <v>1435.1</v>
          </cell>
          <cell r="BT135">
            <v>1420.1</v>
          </cell>
          <cell r="BU135">
            <v>1405.1</v>
          </cell>
          <cell r="BV135">
            <v>1390.1</v>
          </cell>
          <cell r="BW135">
            <v>1375</v>
          </cell>
          <cell r="BX135">
            <v>1360</v>
          </cell>
          <cell r="BY135">
            <v>1339.5</v>
          </cell>
          <cell r="BZ135">
            <v>1319</v>
          </cell>
          <cell r="CA135">
            <v>1298.5</v>
          </cell>
          <cell r="CB135">
            <v>1278</v>
          </cell>
          <cell r="CC135">
            <v>425.1</v>
          </cell>
          <cell r="CD135">
            <v>1237</v>
          </cell>
          <cell r="CE135">
            <v>1232.2</v>
          </cell>
          <cell r="CF135">
            <v>1227.4000000000001</v>
          </cell>
          <cell r="CG135">
            <v>1222.5999999999999</v>
          </cell>
          <cell r="CH135">
            <v>1217.7</v>
          </cell>
          <cell r="CI135">
            <v>1212.9000000000001</v>
          </cell>
          <cell r="CJ135">
            <v>1208.0999999999999</v>
          </cell>
          <cell r="CK135">
            <v>1208.8</v>
          </cell>
          <cell r="CL135">
            <v>1209.4000000000001</v>
          </cell>
          <cell r="CM135">
            <v>1210.0999999999999</v>
          </cell>
          <cell r="CN135">
            <v>1210.8</v>
          </cell>
          <cell r="CO135">
            <v>1211.4000000000001</v>
          </cell>
          <cell r="CP135">
            <v>1212.0999999999999</v>
          </cell>
          <cell r="CQ135">
            <v>1212.7</v>
          </cell>
          <cell r="CR135">
            <v>1213.4000000000001</v>
          </cell>
          <cell r="CS135">
            <v>1214.0999999999999</v>
          </cell>
          <cell r="CT135">
            <v>1214.7</v>
          </cell>
          <cell r="CU135">
            <v>1215.4000000000001</v>
          </cell>
          <cell r="CV135">
            <v>1216.0999999999999</v>
          </cell>
          <cell r="CW135">
            <v>1216.7</v>
          </cell>
          <cell r="CX135">
            <v>1217.4000000000001</v>
          </cell>
          <cell r="CY135">
            <v>1218</v>
          </cell>
          <cell r="CZ135">
            <v>1218.7</v>
          </cell>
          <cell r="DA135">
            <v>1219.4000000000001</v>
          </cell>
          <cell r="DB135">
            <v>904.7</v>
          </cell>
          <cell r="DC135">
            <v>905.2</v>
          </cell>
          <cell r="DD135">
            <v>905.6</v>
          </cell>
          <cell r="DE135">
            <v>906.1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4017.8</v>
          </cell>
          <cell r="DN135">
            <v>4017.8</v>
          </cell>
          <cell r="DO135">
            <v>4017.8</v>
          </cell>
          <cell r="DP135">
            <v>4017.8</v>
          </cell>
          <cell r="DQ135">
            <v>4017.8</v>
          </cell>
          <cell r="DR135">
            <v>4017.8</v>
          </cell>
          <cell r="DS135">
            <v>4017.8</v>
          </cell>
          <cell r="DT135">
            <v>4017.8</v>
          </cell>
          <cell r="DU135">
            <v>4017.8</v>
          </cell>
          <cell r="DV135">
            <v>4017.8</v>
          </cell>
          <cell r="DW135">
            <v>4017.8</v>
          </cell>
        </row>
        <row r="136">
          <cell r="A136" t="str">
            <v>Other Deferred Debits 186/1720201/1720202</v>
          </cell>
          <cell r="B136" t="str">
            <v>Other Assets</v>
          </cell>
          <cell r="C136" t="str">
            <v>Other WIP &amp; (1720201/1720202) SUB</v>
          </cell>
          <cell r="D136" t="str">
            <v>1720201</v>
          </cell>
          <cell r="E136" t="str">
            <v>A_1720201</v>
          </cell>
          <cell r="F136" t="str">
            <v>Minimum Lease Payments Receivable NonCurr-GAAP adj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18029</v>
          </cell>
          <cell r="AL136">
            <v>17971.8</v>
          </cell>
          <cell r="AM136">
            <v>17914.599999999999</v>
          </cell>
          <cell r="AN136">
            <v>17669.599999999999</v>
          </cell>
          <cell r="AO136">
            <v>17581.099999999999</v>
          </cell>
          <cell r="AP136">
            <v>23818.1</v>
          </cell>
          <cell r="AQ136">
            <v>23709.7</v>
          </cell>
          <cell r="AR136">
            <v>23556.799999999999</v>
          </cell>
          <cell r="AS136">
            <v>23436.799999999999</v>
          </cell>
          <cell r="AT136">
            <v>23316.799999999999</v>
          </cell>
          <cell r="AU136">
            <v>23196.799999999999</v>
          </cell>
          <cell r="AV136">
            <v>23076.799999999999</v>
          </cell>
          <cell r="AW136">
            <v>22956.7</v>
          </cell>
          <cell r="AX136">
            <v>22836.7</v>
          </cell>
          <cell r="AY136">
            <v>22716.7</v>
          </cell>
          <cell r="AZ136">
            <v>22596.7</v>
          </cell>
          <cell r="BA136">
            <v>22476.7</v>
          </cell>
          <cell r="BB136">
            <v>22356.7</v>
          </cell>
          <cell r="BC136">
            <v>22236.7</v>
          </cell>
          <cell r="BD136">
            <v>22116</v>
          </cell>
          <cell r="BE136">
            <v>21995.3</v>
          </cell>
          <cell r="BF136">
            <v>21874.6</v>
          </cell>
          <cell r="BG136">
            <v>21753.9</v>
          </cell>
          <cell r="BH136">
            <v>21633.3</v>
          </cell>
          <cell r="BI136">
            <v>21512.6</v>
          </cell>
          <cell r="BJ136">
            <v>21391.9</v>
          </cell>
          <cell r="BK136">
            <v>21271.200000000001</v>
          </cell>
          <cell r="BL136">
            <v>21150.6</v>
          </cell>
          <cell r="BM136">
            <v>21029.9</v>
          </cell>
          <cell r="BN136">
            <v>20909.2</v>
          </cell>
          <cell r="BO136">
            <v>20788.5</v>
          </cell>
          <cell r="BP136">
            <v>20667.2</v>
          </cell>
          <cell r="BQ136">
            <v>20545.8</v>
          </cell>
          <cell r="BR136">
            <v>20424.5</v>
          </cell>
          <cell r="BS136">
            <v>20318.8</v>
          </cell>
          <cell r="BT136">
            <v>20213.2</v>
          </cell>
          <cell r="BU136">
            <v>20107.5</v>
          </cell>
          <cell r="BV136">
            <v>20001.900000000001</v>
          </cell>
          <cell r="BW136">
            <v>19896.2</v>
          </cell>
          <cell r="BX136">
            <v>19790.5</v>
          </cell>
          <cell r="BY136">
            <v>19690.400000000001</v>
          </cell>
          <cell r="BZ136">
            <v>19590.2</v>
          </cell>
          <cell r="CA136">
            <v>19490</v>
          </cell>
          <cell r="CB136">
            <v>19389.099999999999</v>
          </cell>
          <cell r="CC136">
            <v>20120.7</v>
          </cell>
          <cell r="CD136">
            <v>19187.5</v>
          </cell>
          <cell r="CE136">
            <v>19086.599999999999</v>
          </cell>
          <cell r="CF136">
            <v>18985.8</v>
          </cell>
          <cell r="CG136">
            <v>18884.900000000001</v>
          </cell>
          <cell r="CH136">
            <v>18784.099999999999</v>
          </cell>
          <cell r="CI136">
            <v>18683.3</v>
          </cell>
          <cell r="CJ136">
            <v>18582.400000000001</v>
          </cell>
          <cell r="CK136">
            <v>18481.599999999999</v>
          </cell>
          <cell r="CL136">
            <v>18380.7</v>
          </cell>
          <cell r="CM136">
            <v>18279.900000000001</v>
          </cell>
          <cell r="CN136">
            <v>18178.400000000001</v>
          </cell>
          <cell r="CO136">
            <v>18076.900000000001</v>
          </cell>
          <cell r="CP136">
            <v>17975.400000000001</v>
          </cell>
          <cell r="CQ136">
            <v>17873.900000000001</v>
          </cell>
          <cell r="CR136">
            <v>17772.400000000001</v>
          </cell>
          <cell r="CS136">
            <v>17670.900000000001</v>
          </cell>
          <cell r="CT136">
            <v>17569.400000000001</v>
          </cell>
          <cell r="CU136">
            <v>17467.900000000001</v>
          </cell>
          <cell r="CV136">
            <v>17366.400000000001</v>
          </cell>
          <cell r="CW136">
            <v>17264.900000000001</v>
          </cell>
          <cell r="CX136">
            <v>17163.400000000001</v>
          </cell>
          <cell r="CY136">
            <v>17061.8</v>
          </cell>
          <cell r="CZ136">
            <v>16959.7</v>
          </cell>
          <cell r="DA136">
            <v>16857.5</v>
          </cell>
          <cell r="DB136">
            <v>12296.5</v>
          </cell>
          <cell r="DC136">
            <v>12220.7</v>
          </cell>
          <cell r="DD136">
            <v>12144.9</v>
          </cell>
          <cell r="DE136">
            <v>12069.2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56249.4</v>
          </cell>
          <cell r="DN136">
            <v>55914.6</v>
          </cell>
          <cell r="DO136">
            <v>55579.8</v>
          </cell>
          <cell r="DP136">
            <v>55245</v>
          </cell>
          <cell r="DQ136">
            <v>54910.2</v>
          </cell>
          <cell r="DR136">
            <v>54575.3</v>
          </cell>
          <cell r="DS136">
            <v>54240.5</v>
          </cell>
          <cell r="DT136">
            <v>53905.7</v>
          </cell>
          <cell r="DU136">
            <v>53570.9</v>
          </cell>
          <cell r="DV136">
            <v>53236.1</v>
          </cell>
          <cell r="DW136">
            <v>52901.2</v>
          </cell>
        </row>
        <row r="137">
          <cell r="A137" t="str">
            <v>Other Deferred Debits 186/1720201/1720202</v>
          </cell>
          <cell r="B137" t="str">
            <v>Other Assets</v>
          </cell>
          <cell r="C137" t="str">
            <v>Other WIP &amp; (1720201/1720202) SUB</v>
          </cell>
          <cell r="D137" t="str">
            <v>1720202</v>
          </cell>
          <cell r="E137" t="str">
            <v>A_1720202</v>
          </cell>
          <cell r="F137" t="str">
            <v>Lease contra-Unearned Interest Rev-GAAP adj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-10529.9</v>
          </cell>
          <cell r="AL137">
            <v>-10464.200000000001</v>
          </cell>
          <cell r="AM137">
            <v>-10398.200000000001</v>
          </cell>
          <cell r="AN137">
            <v>-10331.9</v>
          </cell>
          <cell r="AO137">
            <v>-10265.299999999999</v>
          </cell>
          <cell r="AP137">
            <v>-13905.1</v>
          </cell>
          <cell r="AQ137">
            <v>-13815.1</v>
          </cell>
          <cell r="AR137">
            <v>-13724.6</v>
          </cell>
          <cell r="AS137">
            <v>-13633.8</v>
          </cell>
          <cell r="AT137">
            <v>-13542.5</v>
          </cell>
          <cell r="AU137">
            <v>-13450.9</v>
          </cell>
          <cell r="AV137">
            <v>-13359.3</v>
          </cell>
          <cell r="AW137">
            <v>-13267.8</v>
          </cell>
          <cell r="AX137">
            <v>-13176.4</v>
          </cell>
          <cell r="AY137">
            <v>-13085</v>
          </cell>
          <cell r="AZ137">
            <v>-12993.7</v>
          </cell>
          <cell r="BA137">
            <v>-12902.4</v>
          </cell>
          <cell r="BB137">
            <v>-12811.4</v>
          </cell>
          <cell r="BC137">
            <v>-12720.6</v>
          </cell>
          <cell r="BD137">
            <v>-12630.1</v>
          </cell>
          <cell r="BE137">
            <v>-12539.8</v>
          </cell>
          <cell r="BF137">
            <v>-12449.7</v>
          </cell>
          <cell r="BG137">
            <v>-12359.9</v>
          </cell>
          <cell r="BH137">
            <v>-12270.4</v>
          </cell>
          <cell r="BI137">
            <v>-12181</v>
          </cell>
          <cell r="BJ137">
            <v>-12092</v>
          </cell>
          <cell r="BK137">
            <v>-12003.2</v>
          </cell>
          <cell r="BL137">
            <v>-11914.7</v>
          </cell>
          <cell r="BM137">
            <v>-11826.4</v>
          </cell>
          <cell r="BN137">
            <v>-11738.4</v>
          </cell>
          <cell r="BO137">
            <v>-11650.6</v>
          </cell>
          <cell r="BP137">
            <v>-11563.1</v>
          </cell>
          <cell r="BQ137">
            <v>-11475.9</v>
          </cell>
          <cell r="BR137">
            <v>-11389</v>
          </cell>
          <cell r="BS137">
            <v>-11302.3</v>
          </cell>
          <cell r="BT137">
            <v>-11215.9</v>
          </cell>
          <cell r="BU137">
            <v>-11129.9</v>
          </cell>
          <cell r="BV137">
            <v>-11044.1</v>
          </cell>
          <cell r="BW137">
            <v>-10958.5</v>
          </cell>
          <cell r="BX137">
            <v>-10873.3</v>
          </cell>
          <cell r="BY137">
            <v>-10788.4</v>
          </cell>
          <cell r="BZ137">
            <v>-10703.7</v>
          </cell>
          <cell r="CA137">
            <v>-10619.4</v>
          </cell>
          <cell r="CB137">
            <v>-10535.4</v>
          </cell>
          <cell r="CC137">
            <v>-10451.6</v>
          </cell>
          <cell r="CD137">
            <v>-10368.200000000001</v>
          </cell>
          <cell r="CE137">
            <v>-10285.1</v>
          </cell>
          <cell r="CF137">
            <v>-10202.200000000001</v>
          </cell>
          <cell r="CG137">
            <v>-10119.4</v>
          </cell>
          <cell r="CH137">
            <v>-10036.9</v>
          </cell>
          <cell r="CI137">
            <v>-9954.5</v>
          </cell>
          <cell r="CJ137">
            <v>-9872.4</v>
          </cell>
          <cell r="CK137">
            <v>-9790.4</v>
          </cell>
          <cell r="CL137">
            <v>-9708.6</v>
          </cell>
          <cell r="CM137">
            <v>-9626.7999999999993</v>
          </cell>
          <cell r="CN137">
            <v>-9545.4</v>
          </cell>
          <cell r="CO137">
            <v>-9464.1</v>
          </cell>
          <cell r="CP137">
            <v>-9382.9</v>
          </cell>
          <cell r="CQ137">
            <v>-9301.9</v>
          </cell>
          <cell r="CR137">
            <v>-9221</v>
          </cell>
          <cell r="CS137">
            <v>-9140.2999999999993</v>
          </cell>
          <cell r="CT137">
            <v>-9059.7999999999993</v>
          </cell>
          <cell r="CU137">
            <v>-8979.4</v>
          </cell>
          <cell r="CV137">
            <v>-8899.2000000000007</v>
          </cell>
          <cell r="CW137">
            <v>-8819.2000000000007</v>
          </cell>
          <cell r="CX137">
            <v>-8739.2999999999993</v>
          </cell>
          <cell r="CY137">
            <v>-8659.7000000000007</v>
          </cell>
          <cell r="CZ137">
            <v>-8580.2000000000007</v>
          </cell>
          <cell r="DA137">
            <v>-8500.7999999999993</v>
          </cell>
          <cell r="DB137">
            <v>-6147.6</v>
          </cell>
          <cell r="DC137">
            <v>-6089.3</v>
          </cell>
          <cell r="DD137">
            <v>-6031.2</v>
          </cell>
          <cell r="DE137">
            <v>-5973.2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-24608.5</v>
          </cell>
          <cell r="DN137">
            <v>-24379.4</v>
          </cell>
          <cell r="DO137">
            <v>-24151</v>
          </cell>
          <cell r="DP137">
            <v>-23923.3</v>
          </cell>
          <cell r="DQ137">
            <v>-23696.3</v>
          </cell>
          <cell r="DR137">
            <v>-23469.9</v>
          </cell>
          <cell r="DS137">
            <v>-23244.3</v>
          </cell>
          <cell r="DT137">
            <v>-23019.3</v>
          </cell>
          <cell r="DU137">
            <v>-22795.1</v>
          </cell>
          <cell r="DV137">
            <v>-22571.5</v>
          </cell>
          <cell r="DW137">
            <v>-22348.7</v>
          </cell>
        </row>
        <row r="138">
          <cell r="D138" t="str">
            <v>172</v>
          </cell>
          <cell r="E138">
            <v>172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7953.6</v>
          </cell>
          <cell r="AL138">
            <v>7987.8999999999978</v>
          </cell>
          <cell r="AM138">
            <v>8022.5999999999985</v>
          </cell>
          <cell r="AN138">
            <v>8057.6</v>
          </cell>
          <cell r="AO138">
            <v>8092.8999999999978</v>
          </cell>
          <cell r="AP138">
            <v>10896.999999999998</v>
          </cell>
          <cell r="AQ138">
            <v>10944.699999999999</v>
          </cell>
          <cell r="AR138">
            <v>10992.499999999998</v>
          </cell>
          <cell r="AS138">
            <v>11040.7</v>
          </cell>
          <cell r="AT138">
            <v>11089.3</v>
          </cell>
          <cell r="AU138">
            <v>11081.4</v>
          </cell>
          <cell r="AV138">
            <v>11073.599999999999</v>
          </cell>
          <cell r="AW138">
            <v>11065.5</v>
          </cell>
          <cell r="AX138">
            <v>11057.4</v>
          </cell>
          <cell r="AY138">
            <v>11049.400000000001</v>
          </cell>
          <cell r="AZ138">
            <v>11041.2</v>
          </cell>
          <cell r="BA138">
            <v>11013.200000000003</v>
          </cell>
          <cell r="BB138">
            <v>10984.800000000001</v>
          </cell>
          <cell r="BC138">
            <v>10956.300000000001</v>
          </cell>
          <cell r="BD138">
            <v>10926.699999999999</v>
          </cell>
          <cell r="BE138">
            <v>10897</v>
          </cell>
          <cell r="BF138">
            <v>10867.099999999999</v>
          </cell>
          <cell r="BG138">
            <v>10836.800000000001</v>
          </cell>
          <cell r="BH138">
            <v>10806.4</v>
          </cell>
          <cell r="BI138">
            <v>10775.8</v>
          </cell>
          <cell r="BJ138">
            <v>10744.7</v>
          </cell>
          <cell r="BK138">
            <v>10713.5</v>
          </cell>
          <cell r="BL138">
            <v>10681.999999999996</v>
          </cell>
          <cell r="BM138">
            <v>10650.300000000001</v>
          </cell>
          <cell r="BN138">
            <v>10618.300000000001</v>
          </cell>
          <cell r="BO138">
            <v>10585.999999999998</v>
          </cell>
          <cell r="BP138">
            <v>10552.9</v>
          </cell>
          <cell r="BQ138">
            <v>10519.4</v>
          </cell>
          <cell r="BR138">
            <v>10485.599999999999</v>
          </cell>
          <cell r="BS138">
            <v>10451.599999999999</v>
          </cell>
          <cell r="BT138">
            <v>10417.4</v>
          </cell>
          <cell r="BU138">
            <v>10382.699999999999</v>
          </cell>
          <cell r="BV138">
            <v>10347.9</v>
          </cell>
          <cell r="BW138">
            <v>10312.700000000001</v>
          </cell>
          <cell r="BX138">
            <v>10277.200000000001</v>
          </cell>
          <cell r="BY138">
            <v>10241.500000000002</v>
          </cell>
          <cell r="BZ138">
            <v>10205.5</v>
          </cell>
          <cell r="CA138">
            <v>10169.1</v>
          </cell>
          <cell r="CB138">
            <v>10131.699999999999</v>
          </cell>
          <cell r="CC138">
            <v>10094.199999999999</v>
          </cell>
          <cell r="CD138">
            <v>10056.299999999999</v>
          </cell>
          <cell r="CE138">
            <v>10033.699999999999</v>
          </cell>
          <cell r="CF138">
            <v>10011</v>
          </cell>
          <cell r="CG138">
            <v>9988.1</v>
          </cell>
          <cell r="CH138">
            <v>9964.9</v>
          </cell>
          <cell r="CI138">
            <v>9941.7000000000007</v>
          </cell>
          <cell r="CJ138">
            <v>9918.1</v>
          </cell>
          <cell r="CK138">
            <v>9899.9999999999982</v>
          </cell>
          <cell r="CL138">
            <v>9881.5000000000018</v>
          </cell>
          <cell r="CM138">
            <v>9863.2000000000007</v>
          </cell>
          <cell r="CN138">
            <v>9843.8000000000011</v>
          </cell>
          <cell r="CO138">
            <v>9824.2000000000025</v>
          </cell>
          <cell r="CP138">
            <v>9804.6</v>
          </cell>
          <cell r="CQ138">
            <v>9784.7000000000025</v>
          </cell>
          <cell r="CR138">
            <v>9764.8000000000029</v>
          </cell>
          <cell r="CS138">
            <v>9744.7000000000007</v>
          </cell>
          <cell r="CT138">
            <v>9724.3000000000029</v>
          </cell>
          <cell r="CU138">
            <v>9703.9000000000033</v>
          </cell>
          <cell r="CV138">
            <v>9683.2999999999993</v>
          </cell>
          <cell r="CW138">
            <v>9662.4000000000015</v>
          </cell>
          <cell r="CX138">
            <v>9641.5000000000036</v>
          </cell>
          <cell r="CY138">
            <v>9620.0999999999985</v>
          </cell>
          <cell r="CZ138">
            <v>9598.2000000000007</v>
          </cell>
          <cell r="DA138">
            <v>9576.1000000000022</v>
          </cell>
          <cell r="DB138">
            <v>7053.6</v>
          </cell>
          <cell r="DC138">
            <v>7036.6000000000013</v>
          </cell>
          <cell r="DD138">
            <v>7019.3</v>
          </cell>
          <cell r="DE138">
            <v>7002.1000000000013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35658.700000000004</v>
          </cell>
          <cell r="DN138">
            <v>35553</v>
          </cell>
          <cell r="DO138">
            <v>35446.600000000006</v>
          </cell>
          <cell r="DP138">
            <v>35339.5</v>
          </cell>
          <cell r="DQ138">
            <v>35231.699999999997</v>
          </cell>
          <cell r="DR138">
            <v>35123.200000000004</v>
          </cell>
          <cell r="DS138">
            <v>35014</v>
          </cell>
          <cell r="DT138">
            <v>34904.199999999997</v>
          </cell>
          <cell r="DU138">
            <v>34793.600000000006</v>
          </cell>
          <cell r="DV138">
            <v>34682.400000000001</v>
          </cell>
          <cell r="DW138">
            <v>34570.300000000003</v>
          </cell>
          <cell r="EJ138" t="str">
            <v>.</v>
          </cell>
        </row>
        <row r="139">
          <cell r="A139" t="str">
            <v>Accounts Rec. - Unbilled Revenues 173</v>
          </cell>
          <cell r="B139" t="str">
            <v>Accounts Receivable - External SUB</v>
          </cell>
          <cell r="C139" t="str">
            <v>Accounts Rec. - Unbilled Revenues 173</v>
          </cell>
          <cell r="D139" t="str">
            <v>1730100</v>
          </cell>
          <cell r="E139" t="str">
            <v>A_1730100</v>
          </cell>
          <cell r="F139" t="str">
            <v>Accrued Utility Revenues - Current</v>
          </cell>
          <cell r="G139">
            <v>10453.804</v>
          </cell>
          <cell r="H139">
            <v>14121.4</v>
          </cell>
          <cell r="I139">
            <v>14501.3</v>
          </cell>
          <cell r="J139">
            <v>12210.4</v>
          </cell>
          <cell r="K139">
            <v>11264.4</v>
          </cell>
          <cell r="L139">
            <v>9588</v>
          </cell>
          <cell r="M139">
            <v>9309.6</v>
          </cell>
          <cell r="N139">
            <v>8690</v>
          </cell>
          <cell r="O139">
            <v>8265.6</v>
          </cell>
          <cell r="P139">
            <v>8573.1</v>
          </cell>
          <cell r="Q139">
            <v>8758</v>
          </cell>
          <cell r="R139">
            <v>9690.1</v>
          </cell>
          <cell r="S139">
            <v>12160.5</v>
          </cell>
          <cell r="T139">
            <v>13773.7</v>
          </cell>
          <cell r="U139">
            <v>13842.2</v>
          </cell>
          <cell r="V139">
            <v>13153.5</v>
          </cell>
          <cell r="W139">
            <v>10396.4</v>
          </cell>
          <cell r="X139">
            <v>8997.7000000000007</v>
          </cell>
          <cell r="Y139">
            <v>9318.4</v>
          </cell>
          <cell r="Z139">
            <v>8578.6</v>
          </cell>
          <cell r="AA139">
            <v>8605.7000000000007</v>
          </cell>
          <cell r="AB139">
            <v>8467</v>
          </cell>
          <cell r="AC139">
            <v>8631.1</v>
          </cell>
          <cell r="AD139">
            <v>9332.7999999999993</v>
          </cell>
          <cell r="AE139">
            <v>10568.5</v>
          </cell>
          <cell r="AF139">
            <v>13194.1</v>
          </cell>
          <cell r="AG139">
            <v>14606.1</v>
          </cell>
          <cell r="AH139">
            <v>12771.3</v>
          </cell>
          <cell r="AI139">
            <v>11268.4</v>
          </cell>
          <cell r="AJ139">
            <v>9955.7999999999993</v>
          </cell>
          <cell r="AK139">
            <v>9011.7999999999993</v>
          </cell>
          <cell r="AL139">
            <v>8305.5</v>
          </cell>
          <cell r="AM139">
            <v>8236.9</v>
          </cell>
          <cell r="AN139">
            <v>8329.2999999999993</v>
          </cell>
          <cell r="AO139">
            <v>8273</v>
          </cell>
          <cell r="AP139">
            <v>9246.5</v>
          </cell>
          <cell r="AQ139">
            <v>10736.6</v>
          </cell>
          <cell r="AR139">
            <v>12078.8</v>
          </cell>
          <cell r="AS139">
            <v>11961.2</v>
          </cell>
          <cell r="AT139">
            <v>11195.5</v>
          </cell>
          <cell r="AU139">
            <v>10986</v>
          </cell>
          <cell r="AV139">
            <v>9783.9</v>
          </cell>
          <cell r="AW139">
            <v>8921</v>
          </cell>
          <cell r="AX139">
            <v>8405.2999999999993</v>
          </cell>
          <cell r="AY139">
            <v>8345.9</v>
          </cell>
          <cell r="AZ139">
            <v>8880.4</v>
          </cell>
          <cell r="BA139">
            <v>9055.7999999999993</v>
          </cell>
          <cell r="BB139">
            <v>10184.200000000001</v>
          </cell>
          <cell r="BC139">
            <v>12037.8</v>
          </cell>
          <cell r="BD139">
            <v>16903.5</v>
          </cell>
          <cell r="BE139">
            <v>15075.9</v>
          </cell>
          <cell r="BF139">
            <v>12324.8</v>
          </cell>
          <cell r="BG139">
            <v>12712.9</v>
          </cell>
          <cell r="BH139">
            <v>10609.7</v>
          </cell>
          <cell r="BI139">
            <v>9391.2000000000007</v>
          </cell>
          <cell r="BJ139">
            <v>9182.2000000000007</v>
          </cell>
          <cell r="BK139">
            <v>8937.7999999999993</v>
          </cell>
          <cell r="BL139">
            <v>8976.9</v>
          </cell>
          <cell r="BM139">
            <v>8940.4</v>
          </cell>
          <cell r="BN139">
            <v>10330.4</v>
          </cell>
          <cell r="BO139">
            <v>12353.3</v>
          </cell>
          <cell r="BP139">
            <v>13959.7</v>
          </cell>
          <cell r="BQ139">
            <v>11843.9</v>
          </cell>
          <cell r="BR139">
            <v>12411.8</v>
          </cell>
          <cell r="BS139">
            <v>12154.1</v>
          </cell>
          <cell r="BT139">
            <v>10937</v>
          </cell>
          <cell r="BU139">
            <v>9590.7000000000007</v>
          </cell>
          <cell r="BV139">
            <v>9249.5</v>
          </cell>
          <cell r="BW139">
            <v>8624.7000000000007</v>
          </cell>
          <cell r="BX139">
            <v>8918.2999999999993</v>
          </cell>
          <cell r="BY139">
            <v>8868.7000000000007</v>
          </cell>
          <cell r="BZ139">
            <v>11408.2</v>
          </cell>
          <cell r="CA139">
            <v>12585.3</v>
          </cell>
          <cell r="CB139">
            <v>13948.6</v>
          </cell>
          <cell r="CC139">
            <v>13340.3</v>
          </cell>
          <cell r="CD139">
            <v>11488.3</v>
          </cell>
          <cell r="CE139">
            <v>10090.799999999999</v>
          </cell>
          <cell r="CF139">
            <v>9202.9</v>
          </cell>
          <cell r="CG139">
            <v>9178.5</v>
          </cell>
          <cell r="CH139">
            <v>8547.6</v>
          </cell>
          <cell r="CI139">
            <v>8576.1</v>
          </cell>
          <cell r="CJ139">
            <v>8525.6</v>
          </cell>
          <cell r="CK139">
            <v>9004.2000000000007</v>
          </cell>
          <cell r="CL139">
            <v>10300.799999999999</v>
          </cell>
          <cell r="CM139">
            <v>15058.3</v>
          </cell>
          <cell r="CN139">
            <v>18903.7</v>
          </cell>
          <cell r="CO139">
            <v>15409.6</v>
          </cell>
          <cell r="CP139">
            <v>16257.3</v>
          </cell>
          <cell r="CQ139">
            <v>16067.6</v>
          </cell>
          <cell r="CR139">
            <v>13825</v>
          </cell>
          <cell r="CS139">
            <v>12980.5</v>
          </cell>
          <cell r="CT139">
            <v>12554.1</v>
          </cell>
          <cell r="CU139">
            <v>11932.8</v>
          </cell>
          <cell r="CV139">
            <v>12452.2</v>
          </cell>
          <cell r="CW139">
            <v>12150.8</v>
          </cell>
          <cell r="CX139">
            <v>13785.7</v>
          </cell>
          <cell r="CY139">
            <v>17180.5</v>
          </cell>
          <cell r="CZ139">
            <v>22714.3</v>
          </cell>
          <cell r="DA139">
            <v>21544</v>
          </cell>
          <cell r="DB139">
            <v>18374.8</v>
          </cell>
          <cell r="DC139">
            <v>16853.400000000001</v>
          </cell>
          <cell r="DD139">
            <v>15553.7</v>
          </cell>
          <cell r="DE139">
            <v>13680.8</v>
          </cell>
          <cell r="DF139">
            <v>12783.7</v>
          </cell>
          <cell r="DG139">
            <v>14256.3</v>
          </cell>
          <cell r="DH139">
            <v>13334.9</v>
          </cell>
          <cell r="DI139">
            <v>15910.9</v>
          </cell>
          <cell r="DJ139">
            <v>14071.1</v>
          </cell>
          <cell r="DK139">
            <v>16226</v>
          </cell>
          <cell r="DL139">
            <v>21400</v>
          </cell>
          <cell r="DM139">
            <v>19000</v>
          </cell>
          <cell r="DN139">
            <v>17800</v>
          </cell>
          <cell r="DO139">
            <v>17000</v>
          </cell>
          <cell r="DP139">
            <v>15100</v>
          </cell>
          <cell r="DQ139">
            <v>13700</v>
          </cell>
          <cell r="DR139">
            <v>13000</v>
          </cell>
          <cell r="DS139">
            <v>13500</v>
          </cell>
          <cell r="DT139">
            <v>13300</v>
          </cell>
          <cell r="DU139">
            <v>14500</v>
          </cell>
          <cell r="DV139">
            <v>14300</v>
          </cell>
          <cell r="DW139">
            <v>17200</v>
          </cell>
        </row>
        <row r="140">
          <cell r="D140" t="str">
            <v>173</v>
          </cell>
          <cell r="E140">
            <v>173</v>
          </cell>
          <cell r="G140">
            <v>10453.804</v>
          </cell>
          <cell r="H140">
            <v>14121.4</v>
          </cell>
          <cell r="I140">
            <v>14501.3</v>
          </cell>
          <cell r="J140">
            <v>12210.4</v>
          </cell>
          <cell r="K140">
            <v>11264.4</v>
          </cell>
          <cell r="L140">
            <v>9588</v>
          </cell>
          <cell r="M140">
            <v>9309.6</v>
          </cell>
          <cell r="N140">
            <v>8690</v>
          </cell>
          <cell r="O140">
            <v>8265.6</v>
          </cell>
          <cell r="P140">
            <v>8573.1</v>
          </cell>
          <cell r="Q140">
            <v>8758</v>
          </cell>
          <cell r="R140">
            <v>9690.1</v>
          </cell>
          <cell r="S140">
            <v>12160.5</v>
          </cell>
          <cell r="T140">
            <v>13773.7</v>
          </cell>
          <cell r="U140">
            <v>13842.2</v>
          </cell>
          <cell r="V140">
            <v>13153.5</v>
          </cell>
          <cell r="W140">
            <v>10396.4</v>
          </cell>
          <cell r="X140">
            <v>8997.7000000000007</v>
          </cell>
          <cell r="Y140">
            <v>9318.4</v>
          </cell>
          <cell r="Z140">
            <v>8578.6</v>
          </cell>
          <cell r="AA140">
            <v>8605.7000000000007</v>
          </cell>
          <cell r="AB140">
            <v>8467</v>
          </cell>
          <cell r="AC140">
            <v>8631.1</v>
          </cell>
          <cell r="AD140">
            <v>9332.7999999999993</v>
          </cell>
          <cell r="AE140">
            <v>10568.5</v>
          </cell>
          <cell r="AF140">
            <v>13194.1</v>
          </cell>
          <cell r="AG140">
            <v>14606.1</v>
          </cell>
          <cell r="AH140">
            <v>12771.3</v>
          </cell>
          <cell r="AI140">
            <v>11268.4</v>
          </cell>
          <cell r="AJ140">
            <v>9955.7999999999993</v>
          </cell>
          <cell r="AK140">
            <v>9011.7999999999993</v>
          </cell>
          <cell r="AL140">
            <v>8305.5</v>
          </cell>
          <cell r="AM140">
            <v>8236.9</v>
          </cell>
          <cell r="AN140">
            <v>8329.2999999999993</v>
          </cell>
          <cell r="AO140">
            <v>8273</v>
          </cell>
          <cell r="AP140">
            <v>9246.5</v>
          </cell>
          <cell r="AQ140">
            <v>10736.6</v>
          </cell>
          <cell r="AR140">
            <v>12078.8</v>
          </cell>
          <cell r="AS140">
            <v>11961.2</v>
          </cell>
          <cell r="AT140">
            <v>11195.5</v>
          </cell>
          <cell r="AU140">
            <v>10986</v>
          </cell>
          <cell r="AV140">
            <v>9783.9</v>
          </cell>
          <cell r="AW140">
            <v>8921</v>
          </cell>
          <cell r="AX140">
            <v>8405.2999999999993</v>
          </cell>
          <cell r="AY140">
            <v>8345.9</v>
          </cell>
          <cell r="AZ140">
            <v>8880.4</v>
          </cell>
          <cell r="BA140">
            <v>9055.7999999999993</v>
          </cell>
          <cell r="BB140">
            <v>10184.200000000001</v>
          </cell>
          <cell r="BC140">
            <v>12037.8</v>
          </cell>
          <cell r="BD140">
            <v>16903.5</v>
          </cell>
          <cell r="BE140">
            <v>15075.9</v>
          </cell>
          <cell r="BF140">
            <v>12324.8</v>
          </cell>
          <cell r="BG140">
            <v>12712.9</v>
          </cell>
          <cell r="BH140">
            <v>10609.7</v>
          </cell>
          <cell r="BI140">
            <v>9391.2000000000007</v>
          </cell>
          <cell r="BJ140">
            <v>9182.2000000000007</v>
          </cell>
          <cell r="BK140">
            <v>8937.7999999999993</v>
          </cell>
          <cell r="BL140">
            <v>8976.9</v>
          </cell>
          <cell r="BM140">
            <v>8940.4</v>
          </cell>
          <cell r="BN140">
            <v>10330.4</v>
          </cell>
          <cell r="BO140">
            <v>12353.3</v>
          </cell>
          <cell r="BP140">
            <v>13959.7</v>
          </cell>
          <cell r="BQ140">
            <v>11843.9</v>
          </cell>
          <cell r="BR140">
            <v>12411.8</v>
          </cell>
          <cell r="BS140">
            <v>12154.1</v>
          </cell>
          <cell r="BT140">
            <v>10937</v>
          </cell>
          <cell r="BU140">
            <v>9590.7000000000007</v>
          </cell>
          <cell r="BV140">
            <v>9249.5</v>
          </cell>
          <cell r="BW140">
            <v>8624.7000000000007</v>
          </cell>
          <cell r="BX140">
            <v>8918.2999999999993</v>
          </cell>
          <cell r="BY140">
            <v>8868.7000000000007</v>
          </cell>
          <cell r="BZ140">
            <v>11408.2</v>
          </cell>
          <cell r="CA140">
            <v>12585.3</v>
          </cell>
          <cell r="CB140">
            <v>13948.6</v>
          </cell>
          <cell r="CC140">
            <v>13340.3</v>
          </cell>
          <cell r="CD140">
            <v>11488.3</v>
          </cell>
          <cell r="CE140">
            <v>10090.799999999999</v>
          </cell>
          <cell r="CF140">
            <v>9202.9</v>
          </cell>
          <cell r="CG140">
            <v>9178.5</v>
          </cell>
          <cell r="CH140">
            <v>8547.6</v>
          </cell>
          <cell r="CI140">
            <v>8576.1</v>
          </cell>
          <cell r="CJ140">
            <v>8525.6</v>
          </cell>
          <cell r="CK140">
            <v>9004.2000000000007</v>
          </cell>
          <cell r="CL140">
            <v>10300.799999999999</v>
          </cell>
          <cell r="CM140">
            <v>15058.3</v>
          </cell>
          <cell r="CN140">
            <v>18903.7</v>
          </cell>
          <cell r="CO140">
            <v>15409.6</v>
          </cell>
          <cell r="CP140">
            <v>16257.3</v>
          </cell>
          <cell r="CQ140">
            <v>16067.6</v>
          </cell>
          <cell r="CR140">
            <v>13825</v>
          </cell>
          <cell r="CS140">
            <v>12980.5</v>
          </cell>
          <cell r="CT140">
            <v>12554.1</v>
          </cell>
          <cell r="CU140">
            <v>11932.8</v>
          </cell>
          <cell r="CV140">
            <v>12452.2</v>
          </cell>
          <cell r="CW140">
            <v>12150.8</v>
          </cell>
          <cell r="CX140">
            <v>13785.7</v>
          </cell>
          <cell r="CY140">
            <v>17180.5</v>
          </cell>
          <cell r="CZ140">
            <v>22714.3</v>
          </cell>
          <cell r="DA140">
            <v>21544</v>
          </cell>
          <cell r="DB140">
            <v>18374.8</v>
          </cell>
          <cell r="DC140">
            <v>16853.400000000001</v>
          </cell>
          <cell r="DD140">
            <v>15553.7</v>
          </cell>
          <cell r="DE140">
            <v>13680.8</v>
          </cell>
          <cell r="DF140">
            <v>12783.7</v>
          </cell>
          <cell r="DG140">
            <v>14256.3</v>
          </cell>
          <cell r="DH140">
            <v>13334.9</v>
          </cell>
          <cell r="DI140">
            <v>15910.9</v>
          </cell>
          <cell r="DJ140">
            <v>14071.1</v>
          </cell>
          <cell r="DK140">
            <v>16226</v>
          </cell>
          <cell r="DL140">
            <v>21400</v>
          </cell>
          <cell r="DM140">
            <v>19000</v>
          </cell>
          <cell r="DN140">
            <v>17800</v>
          </cell>
          <cell r="DO140">
            <v>17000</v>
          </cell>
          <cell r="DP140">
            <v>15100</v>
          </cell>
          <cell r="DQ140">
            <v>13700</v>
          </cell>
          <cell r="DR140">
            <v>13000</v>
          </cell>
          <cell r="DS140">
            <v>13500</v>
          </cell>
          <cell r="DT140">
            <v>13300</v>
          </cell>
          <cell r="DU140">
            <v>14500</v>
          </cell>
          <cell r="DV140">
            <v>14300</v>
          </cell>
          <cell r="DW140">
            <v>17200</v>
          </cell>
          <cell r="EJ140" t="str">
            <v>.</v>
          </cell>
        </row>
        <row r="141">
          <cell r="A141" t="str">
            <v>Regulatory Assets 182 &amp; Derivatives 176</v>
          </cell>
          <cell r="B141" t="str">
            <v>Derivative &amp; Reg Assts/Liabl SUB</v>
          </cell>
          <cell r="C141" t="str">
            <v>Derivatives Assets 176****</v>
          </cell>
          <cell r="D141" t="str">
            <v>1760100</v>
          </cell>
          <cell r="E141" t="str">
            <v>A_1760100</v>
          </cell>
          <cell r="F141" t="str">
            <v>Current Derivative Asset</v>
          </cell>
          <cell r="G141">
            <v>1083.9100000000001</v>
          </cell>
          <cell r="H141">
            <v>3450.7</v>
          </cell>
          <cell r="I141">
            <v>2417.9</v>
          </cell>
          <cell r="J141">
            <v>1479.8</v>
          </cell>
          <cell r="K141">
            <v>2610.6999999999998</v>
          </cell>
          <cell r="L141">
            <v>1045.5999999999999</v>
          </cell>
          <cell r="M141">
            <v>579.5</v>
          </cell>
          <cell r="N141">
            <v>0</v>
          </cell>
          <cell r="O141">
            <v>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27.5</v>
          </cell>
          <cell r="W141">
            <v>187.8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2.5</v>
          </cell>
          <cell r="AG141">
            <v>0</v>
          </cell>
          <cell r="AH141">
            <v>0</v>
          </cell>
          <cell r="AI141">
            <v>0</v>
          </cell>
          <cell r="AJ141">
            <v>3.7</v>
          </cell>
          <cell r="AK141">
            <v>235.3</v>
          </cell>
          <cell r="AL141">
            <v>215.6</v>
          </cell>
          <cell r="AM141">
            <v>103.7</v>
          </cell>
          <cell r="AN141">
            <v>63.2</v>
          </cell>
          <cell r="AO141">
            <v>24.5</v>
          </cell>
          <cell r="AP141">
            <v>383</v>
          </cell>
          <cell r="AQ141">
            <v>1721.8</v>
          </cell>
          <cell r="AR141">
            <v>428.6</v>
          </cell>
          <cell r="AS141">
            <v>31.5</v>
          </cell>
          <cell r="AT141">
            <v>481</v>
          </cell>
          <cell r="AU141">
            <v>504.4</v>
          </cell>
          <cell r="AV141">
            <v>161.80000000000001</v>
          </cell>
          <cell r="AW141">
            <v>86.8</v>
          </cell>
          <cell r="AX141">
            <v>8.5</v>
          </cell>
          <cell r="AY141">
            <v>94.1</v>
          </cell>
          <cell r="AZ141">
            <v>72.2</v>
          </cell>
          <cell r="BA141">
            <v>0</v>
          </cell>
          <cell r="BB141">
            <v>7.2</v>
          </cell>
          <cell r="BC141">
            <v>0</v>
          </cell>
          <cell r="BD141">
            <v>77.900000000000006</v>
          </cell>
          <cell r="BE141">
            <v>0</v>
          </cell>
          <cell r="BF141">
            <v>0</v>
          </cell>
          <cell r="BG141">
            <v>2</v>
          </cell>
          <cell r="BH141">
            <v>20</v>
          </cell>
          <cell r="BI141">
            <v>15.3</v>
          </cell>
          <cell r="BJ141">
            <v>0</v>
          </cell>
          <cell r="BK141">
            <v>3.5</v>
          </cell>
          <cell r="BL141">
            <v>10</v>
          </cell>
          <cell r="BM141">
            <v>14.7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EK141" t="str">
            <v>2021 8&amp;4 Dec Balance</v>
          </cell>
          <cell r="EL141" t="str">
            <v>A_1760100</v>
          </cell>
        </row>
        <row r="142">
          <cell r="A142" t="str">
            <v>Regulatory Assets 182 &amp; Derivatives 176</v>
          </cell>
          <cell r="B142" t="str">
            <v>Derivative &amp; Reg Assts/Liabl SUB</v>
          </cell>
          <cell r="C142" t="str">
            <v>Derivatives Assets 176****</v>
          </cell>
          <cell r="D142" t="str">
            <v>1760200</v>
          </cell>
          <cell r="E142" t="str">
            <v>A_1760200</v>
          </cell>
          <cell r="F142" t="str">
            <v>Long-Term Derivative Asset</v>
          </cell>
          <cell r="G142">
            <v>51.234999999999999</v>
          </cell>
          <cell r="H142">
            <v>113.8</v>
          </cell>
          <cell r="I142">
            <v>71.599999999999994</v>
          </cell>
          <cell r="J142">
            <v>25.2</v>
          </cell>
          <cell r="K142">
            <v>481.9</v>
          </cell>
          <cell r="L142">
            <v>135</v>
          </cell>
          <cell r="M142">
            <v>98.2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0.4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2.8</v>
          </cell>
          <cell r="AI142">
            <v>56.3</v>
          </cell>
          <cell r="AJ142">
            <v>75</v>
          </cell>
          <cell r="AK142">
            <v>123.3</v>
          </cell>
          <cell r="AL142">
            <v>136.1</v>
          </cell>
          <cell r="AM142">
            <v>97.9</v>
          </cell>
          <cell r="AN142">
            <v>55.1</v>
          </cell>
          <cell r="AO142">
            <v>128.9</v>
          </cell>
          <cell r="AP142">
            <v>149.19999999999999</v>
          </cell>
          <cell r="AQ142">
            <v>267.39999999999998</v>
          </cell>
          <cell r="AR142">
            <v>106.8</v>
          </cell>
          <cell r="AS142">
            <v>0</v>
          </cell>
          <cell r="AT142">
            <v>1.9</v>
          </cell>
          <cell r="AU142">
            <v>34.4</v>
          </cell>
          <cell r="AV142">
            <v>7.7</v>
          </cell>
          <cell r="AW142">
            <v>1.5</v>
          </cell>
          <cell r="AX142">
            <v>0</v>
          </cell>
          <cell r="AY142">
            <v>7.1</v>
          </cell>
          <cell r="AZ142">
            <v>7.6</v>
          </cell>
          <cell r="BA142">
            <v>4.8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EK142" t="str">
            <v>2021 8&amp;4 Dec Balance</v>
          </cell>
          <cell r="EL142" t="str">
            <v>A_1760200</v>
          </cell>
        </row>
        <row r="143">
          <cell r="D143" t="str">
            <v>176</v>
          </cell>
          <cell r="E143">
            <v>176</v>
          </cell>
          <cell r="G143">
            <v>1135.145</v>
          </cell>
          <cell r="H143">
            <v>3564.5</v>
          </cell>
          <cell r="I143">
            <v>2489.5</v>
          </cell>
          <cell r="J143">
            <v>1505</v>
          </cell>
          <cell r="K143">
            <v>3092.6</v>
          </cell>
          <cell r="L143">
            <v>1180.5999999999999</v>
          </cell>
          <cell r="M143">
            <v>677.7</v>
          </cell>
          <cell r="N143">
            <v>0</v>
          </cell>
          <cell r="O143">
            <v>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27.5</v>
          </cell>
          <cell r="W143">
            <v>187.8</v>
          </cell>
          <cell r="X143">
            <v>0</v>
          </cell>
          <cell r="Y143">
            <v>0.4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2.5</v>
          </cell>
          <cell r="AG143">
            <v>0</v>
          </cell>
          <cell r="AH143">
            <v>2.8</v>
          </cell>
          <cell r="AI143">
            <v>56.3</v>
          </cell>
          <cell r="AJ143">
            <v>78.7</v>
          </cell>
          <cell r="AK143">
            <v>358.6</v>
          </cell>
          <cell r="AL143">
            <v>351.7</v>
          </cell>
          <cell r="AM143">
            <v>201.60000000000002</v>
          </cell>
          <cell r="AN143">
            <v>118.30000000000001</v>
          </cell>
          <cell r="AO143">
            <v>153.4</v>
          </cell>
          <cell r="AP143">
            <v>532.20000000000005</v>
          </cell>
          <cell r="AQ143">
            <v>1989.1999999999998</v>
          </cell>
          <cell r="AR143">
            <v>535.4</v>
          </cell>
          <cell r="AS143">
            <v>31.5</v>
          </cell>
          <cell r="AT143">
            <v>482.9</v>
          </cell>
          <cell r="AU143">
            <v>538.79999999999995</v>
          </cell>
          <cell r="AV143">
            <v>169.5</v>
          </cell>
          <cell r="AW143">
            <v>88.3</v>
          </cell>
          <cell r="AX143">
            <v>8.5</v>
          </cell>
          <cell r="AY143">
            <v>101.19999999999999</v>
          </cell>
          <cell r="AZ143">
            <v>79.8</v>
          </cell>
          <cell r="BA143">
            <v>4.8</v>
          </cell>
          <cell r="BB143">
            <v>7.2</v>
          </cell>
          <cell r="BC143">
            <v>0</v>
          </cell>
          <cell r="BD143">
            <v>77.900000000000006</v>
          </cell>
          <cell r="BE143">
            <v>0</v>
          </cell>
          <cell r="BF143">
            <v>0</v>
          </cell>
          <cell r="BG143">
            <v>2</v>
          </cell>
          <cell r="BH143">
            <v>20</v>
          </cell>
          <cell r="BI143">
            <v>15.3</v>
          </cell>
          <cell r="BJ143">
            <v>0</v>
          </cell>
          <cell r="BK143">
            <v>3.5</v>
          </cell>
          <cell r="BL143">
            <v>10</v>
          </cell>
          <cell r="BM143">
            <v>14.7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EJ143" t="str">
            <v>.</v>
          </cell>
        </row>
        <row r="144">
          <cell r="A144" t="str">
            <v>Unamortized DD&amp;E</v>
          </cell>
          <cell r="B144" t="str">
            <v>Other Assets</v>
          </cell>
          <cell r="C144" t="str">
            <v>Unamortized DD&amp;E</v>
          </cell>
          <cell r="D144" t="str">
            <v>1810100</v>
          </cell>
          <cell r="E144" t="str">
            <v>A_1810100</v>
          </cell>
          <cell r="F144" t="str">
            <v>Unamortized Debt Expense - Short-term Loan</v>
          </cell>
          <cell r="BD144">
            <v>0</v>
          </cell>
          <cell r="BE144">
            <v>0</v>
          </cell>
          <cell r="BF144">
            <v>45.9</v>
          </cell>
          <cell r="BG144">
            <v>39.299999999999997</v>
          </cell>
          <cell r="BH144">
            <v>32.799999999999997</v>
          </cell>
          <cell r="BI144">
            <v>26.2</v>
          </cell>
          <cell r="BJ144">
            <v>19.7</v>
          </cell>
          <cell r="BK144">
            <v>13.1</v>
          </cell>
          <cell r="BL144">
            <v>6.6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11.3</v>
          </cell>
          <cell r="CD144">
            <v>14.7</v>
          </cell>
          <cell r="CE144">
            <v>13.2</v>
          </cell>
          <cell r="CF144">
            <v>11.7</v>
          </cell>
          <cell r="CG144">
            <v>10.3</v>
          </cell>
          <cell r="CH144">
            <v>8.8000000000000007</v>
          </cell>
          <cell r="CI144">
            <v>7.3</v>
          </cell>
          <cell r="CJ144">
            <v>5.9</v>
          </cell>
          <cell r="CK144">
            <v>4.4000000000000004</v>
          </cell>
          <cell r="CL144">
            <v>2.9</v>
          </cell>
          <cell r="CM144">
            <v>1.5</v>
          </cell>
          <cell r="CN144">
            <v>6.6</v>
          </cell>
          <cell r="CO144">
            <v>4.4000000000000004</v>
          </cell>
          <cell r="CP144">
            <v>2.5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14.5</v>
          </cell>
          <cell r="CZ144">
            <v>13.1</v>
          </cell>
          <cell r="DA144">
            <v>11.9</v>
          </cell>
          <cell r="DB144">
            <v>10.7</v>
          </cell>
          <cell r="DC144">
            <v>10.5</v>
          </cell>
          <cell r="DD144">
            <v>9.1999999999999993</v>
          </cell>
          <cell r="DE144">
            <v>7.9</v>
          </cell>
          <cell r="DF144">
            <v>6.5</v>
          </cell>
          <cell r="DG144">
            <v>5.2</v>
          </cell>
          <cell r="DH144">
            <v>3.9</v>
          </cell>
          <cell r="DI144">
            <v>2.6</v>
          </cell>
          <cell r="DJ144">
            <v>1.3</v>
          </cell>
          <cell r="DK144">
            <v>38.299999999999997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</row>
        <row r="145">
          <cell r="A145" t="str">
            <v>Unamortized DD&amp;E</v>
          </cell>
          <cell r="B145" t="str">
            <v>Other Assets</v>
          </cell>
          <cell r="C145" t="str">
            <v>Unamortized DD&amp;E</v>
          </cell>
          <cell r="D145" t="str">
            <v>1810200</v>
          </cell>
          <cell r="E145" t="str">
            <v>A_1810200</v>
          </cell>
          <cell r="F145" t="str">
            <v>Unamortized Debt Expense - Recourse</v>
          </cell>
          <cell r="G145">
            <v>1094.5765800000001</v>
          </cell>
          <cell r="H145">
            <v>1087.4000000000001</v>
          </cell>
          <cell r="I145">
            <v>1080.2</v>
          </cell>
          <cell r="J145">
            <v>1073</v>
          </cell>
          <cell r="K145">
            <v>1065.9000000000001</v>
          </cell>
          <cell r="L145">
            <v>1151.5</v>
          </cell>
          <cell r="M145">
            <v>1146.3</v>
          </cell>
          <cell r="N145">
            <v>1141.4000000000001</v>
          </cell>
          <cell r="O145">
            <v>1134.0999999999999</v>
          </cell>
          <cell r="P145">
            <v>1136.9000000000001</v>
          </cell>
          <cell r="Q145">
            <v>1129.5999999999999</v>
          </cell>
          <cell r="R145">
            <v>1122.0999999999999</v>
          </cell>
          <cell r="S145">
            <v>1114.5999999999999</v>
          </cell>
          <cell r="T145">
            <v>1107.0999999999999</v>
          </cell>
          <cell r="U145">
            <v>1099.5999999999999</v>
          </cell>
          <cell r="V145">
            <v>1092.2</v>
          </cell>
          <cell r="W145">
            <v>1084.7</v>
          </cell>
          <cell r="X145">
            <v>1266.2</v>
          </cell>
          <cell r="Y145">
            <v>1278</v>
          </cell>
          <cell r="Z145">
            <v>1271.0999999999999</v>
          </cell>
          <cell r="AA145">
            <v>1263</v>
          </cell>
          <cell r="AB145">
            <v>1264.8</v>
          </cell>
          <cell r="AC145">
            <v>1256.7</v>
          </cell>
          <cell r="AD145">
            <v>1248.5999999999999</v>
          </cell>
          <cell r="AE145">
            <v>1240.5999999999999</v>
          </cell>
          <cell r="AF145">
            <v>1232.5</v>
          </cell>
          <cell r="AG145">
            <v>1224.4000000000001</v>
          </cell>
          <cell r="AH145">
            <v>1216.3</v>
          </cell>
          <cell r="AI145">
            <v>1208.2</v>
          </cell>
          <cell r="AJ145">
            <v>1200.0999999999999</v>
          </cell>
          <cell r="AK145">
            <v>1192</v>
          </cell>
          <cell r="AL145">
            <v>1183.9000000000001</v>
          </cell>
          <cell r="AM145">
            <v>1175.8</v>
          </cell>
          <cell r="AN145">
            <v>1167.7</v>
          </cell>
          <cell r="AO145">
            <v>1159.5999999999999</v>
          </cell>
          <cell r="AP145">
            <v>1151.5</v>
          </cell>
          <cell r="AQ145">
            <v>1143.4000000000001</v>
          </cell>
          <cell r="AR145">
            <v>1135.3</v>
          </cell>
          <cell r="AS145">
            <v>1127.2</v>
          </cell>
          <cell r="AT145">
            <v>1119.0999999999999</v>
          </cell>
          <cell r="AU145">
            <v>1111.0999999999999</v>
          </cell>
          <cell r="AV145">
            <v>1103</v>
          </cell>
          <cell r="AW145">
            <v>1094.9000000000001</v>
          </cell>
          <cell r="AX145">
            <v>1086.8</v>
          </cell>
          <cell r="AY145">
            <v>1078.7</v>
          </cell>
          <cell r="AZ145">
            <v>1070.5999999999999</v>
          </cell>
          <cell r="BA145">
            <v>1062.5</v>
          </cell>
          <cell r="BB145">
            <v>1054.4000000000001</v>
          </cell>
          <cell r="BC145">
            <v>1046.3</v>
          </cell>
          <cell r="BD145">
            <v>1038.2</v>
          </cell>
          <cell r="BE145">
            <v>1030.0999999999999</v>
          </cell>
          <cell r="BF145">
            <v>1022</v>
          </cell>
          <cell r="BG145">
            <v>1013.9</v>
          </cell>
          <cell r="BH145">
            <v>1007.4</v>
          </cell>
          <cell r="BI145">
            <v>1758.9</v>
          </cell>
          <cell r="BJ145">
            <v>1768</v>
          </cell>
          <cell r="BK145">
            <v>1766</v>
          </cell>
          <cell r="BL145">
            <v>1800.5</v>
          </cell>
          <cell r="BM145">
            <v>2037.1</v>
          </cell>
          <cell r="BN145">
            <v>2030.6</v>
          </cell>
          <cell r="BO145">
            <v>2028</v>
          </cell>
          <cell r="BP145">
            <v>2020.1</v>
          </cell>
          <cell r="BQ145">
            <v>2012.2</v>
          </cell>
          <cell r="BR145">
            <v>2018</v>
          </cell>
          <cell r="BS145">
            <v>2010.1</v>
          </cell>
          <cell r="BT145">
            <v>2002.2</v>
          </cell>
          <cell r="BU145">
            <v>1994.2</v>
          </cell>
          <cell r="BV145">
            <v>2205.6</v>
          </cell>
          <cell r="BW145">
            <v>2242.1999999999998</v>
          </cell>
          <cell r="BX145">
            <v>2244.4</v>
          </cell>
          <cell r="BY145">
            <v>2235.8000000000002</v>
          </cell>
          <cell r="BZ145">
            <v>2227.1</v>
          </cell>
          <cell r="CA145">
            <v>2233.1</v>
          </cell>
          <cell r="CB145">
            <v>2224.3000000000002</v>
          </cell>
          <cell r="CC145">
            <v>2215.6</v>
          </cell>
          <cell r="CD145">
            <v>2207.3000000000002</v>
          </cell>
          <cell r="CE145">
            <v>2198.6</v>
          </cell>
          <cell r="CF145">
            <v>2189.9</v>
          </cell>
          <cell r="CG145">
            <v>2181.1999999999998</v>
          </cell>
          <cell r="CH145">
            <v>2172.4</v>
          </cell>
          <cell r="CI145">
            <v>2163.6999999999998</v>
          </cell>
          <cell r="CJ145">
            <v>2155</v>
          </cell>
          <cell r="CK145">
            <v>2146.3000000000002</v>
          </cell>
          <cell r="CL145">
            <v>2137.5</v>
          </cell>
          <cell r="CM145">
            <v>2128.8000000000002</v>
          </cell>
          <cell r="CN145">
            <v>2120.1</v>
          </cell>
          <cell r="CO145">
            <v>2111.3000000000002</v>
          </cell>
          <cell r="CP145">
            <v>3960.4</v>
          </cell>
          <cell r="CQ145">
            <v>4083.4</v>
          </cell>
          <cell r="CR145">
            <v>4215</v>
          </cell>
          <cell r="CS145">
            <v>4360.2</v>
          </cell>
          <cell r="CT145">
            <v>4339.3</v>
          </cell>
          <cell r="CU145">
            <v>4318.3</v>
          </cell>
          <cell r="CV145">
            <v>4297.3</v>
          </cell>
          <cell r="CW145">
            <v>4276.3999999999996</v>
          </cell>
          <cell r="CX145">
            <v>4255.3999999999996</v>
          </cell>
          <cell r="CY145">
            <v>4234.3999999999996</v>
          </cell>
          <cell r="CZ145">
            <v>4213.5</v>
          </cell>
          <cell r="DA145">
            <v>4192.5</v>
          </cell>
          <cell r="DB145">
            <v>4171.5</v>
          </cell>
          <cell r="DC145">
            <v>4150.6000000000004</v>
          </cell>
          <cell r="DD145">
            <v>4129.6000000000004</v>
          </cell>
          <cell r="DE145">
            <v>4108.6000000000004</v>
          </cell>
          <cell r="DF145">
            <v>4561.7</v>
          </cell>
          <cell r="DG145">
            <v>4601.8</v>
          </cell>
          <cell r="DH145">
            <v>4573.8999999999996</v>
          </cell>
          <cell r="DI145">
            <v>4559.6000000000004</v>
          </cell>
          <cell r="DJ145">
            <v>4532.3</v>
          </cell>
          <cell r="DK145">
            <v>4505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</row>
        <row r="146">
          <cell r="D146" t="str">
            <v>181</v>
          </cell>
          <cell r="E146">
            <v>181</v>
          </cell>
          <cell r="G146">
            <v>1094.5765800000001</v>
          </cell>
          <cell r="H146">
            <v>1087.4000000000001</v>
          </cell>
          <cell r="I146">
            <v>1080.2</v>
          </cell>
          <cell r="J146">
            <v>1073</v>
          </cell>
          <cell r="K146">
            <v>1065.9000000000001</v>
          </cell>
          <cell r="L146">
            <v>1151.5</v>
          </cell>
          <cell r="M146">
            <v>1146.3</v>
          </cell>
          <cell r="N146">
            <v>1141.4000000000001</v>
          </cell>
          <cell r="O146">
            <v>1134.0999999999999</v>
          </cell>
          <cell r="P146">
            <v>1136.9000000000001</v>
          </cell>
          <cell r="Q146">
            <v>1129.5999999999999</v>
          </cell>
          <cell r="R146">
            <v>1122.0999999999999</v>
          </cell>
          <cell r="S146">
            <v>1114.5999999999999</v>
          </cell>
          <cell r="T146">
            <v>1107.0999999999999</v>
          </cell>
          <cell r="U146">
            <v>1099.5999999999999</v>
          </cell>
          <cell r="V146">
            <v>1092.2</v>
          </cell>
          <cell r="W146">
            <v>1084.7</v>
          </cell>
          <cell r="X146">
            <v>1266.2</v>
          </cell>
          <cell r="Y146">
            <v>1278</v>
          </cell>
          <cell r="Z146">
            <v>1271.0999999999999</v>
          </cell>
          <cell r="AA146">
            <v>1263</v>
          </cell>
          <cell r="AB146">
            <v>1264.8</v>
          </cell>
          <cell r="AC146">
            <v>1256.7</v>
          </cell>
          <cell r="AD146">
            <v>1248.5999999999999</v>
          </cell>
          <cell r="AE146">
            <v>1240.5999999999999</v>
          </cell>
          <cell r="AF146">
            <v>1232.5</v>
          </cell>
          <cell r="AG146">
            <v>1224.4000000000001</v>
          </cell>
          <cell r="AH146">
            <v>1216.3</v>
          </cell>
          <cell r="AI146">
            <v>1208.2</v>
          </cell>
          <cell r="AJ146">
            <v>1200.0999999999999</v>
          </cell>
          <cell r="AK146">
            <v>1192</v>
          </cell>
          <cell r="AL146">
            <v>1183.9000000000001</v>
          </cell>
          <cell r="AM146">
            <v>1175.8</v>
          </cell>
          <cell r="AN146">
            <v>1167.7</v>
          </cell>
          <cell r="AO146">
            <v>1159.5999999999999</v>
          </cell>
          <cell r="AP146">
            <v>1151.5</v>
          </cell>
          <cell r="AQ146">
            <v>1143.4000000000001</v>
          </cell>
          <cell r="AR146">
            <v>1135.3</v>
          </cell>
          <cell r="AS146">
            <v>1127.2</v>
          </cell>
          <cell r="AT146">
            <v>1119.0999999999999</v>
          </cell>
          <cell r="AU146">
            <v>1111.0999999999999</v>
          </cell>
          <cell r="AV146">
            <v>1103</v>
          </cell>
          <cell r="AW146">
            <v>1094.9000000000001</v>
          </cell>
          <cell r="AX146">
            <v>1086.8</v>
          </cell>
          <cell r="AY146">
            <v>1078.7</v>
          </cell>
          <cell r="AZ146">
            <v>1070.5999999999999</v>
          </cell>
          <cell r="BA146">
            <v>1062.5</v>
          </cell>
          <cell r="BB146">
            <v>1054.4000000000001</v>
          </cell>
          <cell r="BC146">
            <v>1046.3</v>
          </cell>
          <cell r="BD146">
            <v>1038.2</v>
          </cell>
          <cell r="BE146">
            <v>1030.0999999999999</v>
          </cell>
          <cell r="BF146">
            <v>1067.9000000000001</v>
          </cell>
          <cell r="BG146">
            <v>1053.2</v>
          </cell>
          <cell r="BH146">
            <v>1040.2</v>
          </cell>
          <cell r="BI146">
            <v>1785.1000000000001</v>
          </cell>
          <cell r="BJ146">
            <v>1787.7</v>
          </cell>
          <cell r="BK146">
            <v>1779.1</v>
          </cell>
          <cell r="BL146">
            <v>1807.1</v>
          </cell>
          <cell r="BM146">
            <v>2037.1</v>
          </cell>
          <cell r="BN146">
            <v>2030.6</v>
          </cell>
          <cell r="BO146">
            <v>2028</v>
          </cell>
          <cell r="BP146">
            <v>2020.1</v>
          </cell>
          <cell r="BQ146">
            <v>2012.2</v>
          </cell>
          <cell r="BR146">
            <v>2018</v>
          </cell>
          <cell r="BS146">
            <v>2010.1</v>
          </cell>
          <cell r="BT146">
            <v>2002.2</v>
          </cell>
          <cell r="BU146">
            <v>1994.2</v>
          </cell>
          <cell r="BV146">
            <v>2205.6</v>
          </cell>
          <cell r="BW146">
            <v>2242.1999999999998</v>
          </cell>
          <cell r="BX146">
            <v>2244.4</v>
          </cell>
          <cell r="BY146">
            <v>2235.8000000000002</v>
          </cell>
          <cell r="BZ146">
            <v>2227.1</v>
          </cell>
          <cell r="CA146">
            <v>2233.1</v>
          </cell>
          <cell r="CB146">
            <v>2224.3000000000002</v>
          </cell>
          <cell r="CC146">
            <v>2226.9</v>
          </cell>
          <cell r="CD146">
            <v>2222</v>
          </cell>
          <cell r="CE146">
            <v>2211.7999999999997</v>
          </cell>
          <cell r="CF146">
            <v>2201.6</v>
          </cell>
          <cell r="CG146">
            <v>2191.5</v>
          </cell>
          <cell r="CH146">
            <v>2181.2000000000003</v>
          </cell>
          <cell r="CI146">
            <v>2171</v>
          </cell>
          <cell r="CJ146">
            <v>2160.9</v>
          </cell>
          <cell r="CK146">
            <v>2150.7000000000003</v>
          </cell>
          <cell r="CL146">
            <v>2140.4</v>
          </cell>
          <cell r="CM146">
            <v>2130.3000000000002</v>
          </cell>
          <cell r="CN146">
            <v>2126.6999999999998</v>
          </cell>
          <cell r="CO146">
            <v>2115.7000000000003</v>
          </cell>
          <cell r="CP146">
            <v>3962.9</v>
          </cell>
          <cell r="CQ146">
            <v>4083.4</v>
          </cell>
          <cell r="CR146">
            <v>4215</v>
          </cell>
          <cell r="CS146">
            <v>4360.2</v>
          </cell>
          <cell r="CT146">
            <v>4339.3</v>
          </cell>
          <cell r="CU146">
            <v>4318.3</v>
          </cell>
          <cell r="CV146">
            <v>4297.3</v>
          </cell>
          <cell r="CW146">
            <v>4276.3999999999996</v>
          </cell>
          <cell r="CX146">
            <v>4255.3999999999996</v>
          </cell>
          <cell r="CY146">
            <v>4248.8999999999996</v>
          </cell>
          <cell r="CZ146">
            <v>4226.6000000000004</v>
          </cell>
          <cell r="DA146">
            <v>4204.3999999999996</v>
          </cell>
          <cell r="DB146">
            <v>4182.2</v>
          </cell>
          <cell r="DC146">
            <v>4161.1000000000004</v>
          </cell>
          <cell r="DD146">
            <v>4138.8</v>
          </cell>
          <cell r="DE146">
            <v>4116.5</v>
          </cell>
          <cell r="DF146">
            <v>4568.2</v>
          </cell>
          <cell r="DG146">
            <v>4607</v>
          </cell>
          <cell r="DH146">
            <v>4577.7999999999993</v>
          </cell>
          <cell r="DI146">
            <v>4562.2000000000007</v>
          </cell>
          <cell r="DJ146">
            <v>4533.6000000000004</v>
          </cell>
          <cell r="DK146">
            <v>4543.3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EJ146" t="str">
            <v>.</v>
          </cell>
        </row>
        <row r="147">
          <cell r="A147" t="str">
            <v>Deferred Clause Exp. 1823040</v>
          </cell>
          <cell r="B147" t="str">
            <v>Deferred Clause Revenues (Expenses) SUB</v>
          </cell>
          <cell r="C147" t="str">
            <v>Conservation Cost True Up (1823040)</v>
          </cell>
          <cell r="D147" t="str">
            <v>1823040</v>
          </cell>
          <cell r="E147" t="str">
            <v>A_1823040</v>
          </cell>
          <cell r="F147" t="str">
            <v>Oth Reg Asset-Conservation Clause</v>
          </cell>
          <cell r="G147">
            <v>1701.76</v>
          </cell>
          <cell r="H147">
            <v>1197.7</v>
          </cell>
          <cell r="I147">
            <v>372.9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165</v>
          </cell>
          <cell r="Q147">
            <v>273.3</v>
          </cell>
          <cell r="R147">
            <v>243.3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189.6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644.20000000000005</v>
          </cell>
          <cell r="AZ147">
            <v>1043.8</v>
          </cell>
          <cell r="BA147">
            <v>2243.1</v>
          </cell>
          <cell r="BB147">
            <v>2637.6</v>
          </cell>
          <cell r="BC147">
            <v>2498.4</v>
          </cell>
          <cell r="BD147">
            <v>1599.3</v>
          </cell>
          <cell r="BE147">
            <v>1232.5</v>
          </cell>
          <cell r="BF147">
            <v>1526.3</v>
          </cell>
          <cell r="BG147">
            <v>2526.6</v>
          </cell>
          <cell r="BH147">
            <v>2276</v>
          </cell>
          <cell r="BI147">
            <v>2209.5</v>
          </cell>
          <cell r="BJ147">
            <v>3301.3</v>
          </cell>
          <cell r="BK147">
            <v>3838.5</v>
          </cell>
          <cell r="BL147">
            <v>3615.2</v>
          </cell>
          <cell r="BM147">
            <v>4659.6000000000004</v>
          </cell>
          <cell r="BN147">
            <v>4538.8</v>
          </cell>
          <cell r="BO147">
            <v>4327.5</v>
          </cell>
          <cell r="BP147">
            <v>3929</v>
          </cell>
          <cell r="BQ147">
            <v>2604.1999999999998</v>
          </cell>
          <cell r="BR147">
            <v>1941.4</v>
          </cell>
          <cell r="BS147">
            <v>1695.6</v>
          </cell>
          <cell r="BT147">
            <v>1332.8</v>
          </cell>
          <cell r="BU147">
            <v>1894.2</v>
          </cell>
          <cell r="BV147">
            <v>2877.2</v>
          </cell>
          <cell r="BW147">
            <v>3119</v>
          </cell>
          <cell r="BX147">
            <v>2922.4</v>
          </cell>
          <cell r="BY147">
            <v>3370.7</v>
          </cell>
          <cell r="BZ147">
            <v>3465.7</v>
          </cell>
          <cell r="CA147">
            <v>3036.8</v>
          </cell>
          <cell r="CB147">
            <v>2633.7</v>
          </cell>
          <cell r="CC147">
            <v>1715.6</v>
          </cell>
          <cell r="CD147">
            <v>691.8</v>
          </cell>
          <cell r="CE147">
            <v>723.6</v>
          </cell>
          <cell r="CF147">
            <v>748</v>
          </cell>
          <cell r="CG147">
            <v>833.6</v>
          </cell>
          <cell r="CH147">
            <v>867.7</v>
          </cell>
          <cell r="CI147">
            <v>1134.4000000000001</v>
          </cell>
          <cell r="CJ147">
            <v>1694.8</v>
          </cell>
          <cell r="CK147">
            <v>2368.9</v>
          </cell>
          <cell r="CL147">
            <v>2272.6999999999998</v>
          </cell>
          <cell r="CM147">
            <v>1885.1</v>
          </cell>
          <cell r="CN147">
            <v>889.7</v>
          </cell>
          <cell r="CO147">
            <v>650.5</v>
          </cell>
          <cell r="CP147">
            <v>483.1</v>
          </cell>
          <cell r="CQ147">
            <v>194.7</v>
          </cell>
          <cell r="CR147">
            <v>88.8</v>
          </cell>
          <cell r="CS147">
            <v>5.0999999999999996</v>
          </cell>
          <cell r="CT147">
            <v>209.4</v>
          </cell>
          <cell r="CU147">
            <v>59.9</v>
          </cell>
          <cell r="CV147">
            <v>468.4</v>
          </cell>
          <cell r="CW147">
            <v>764.1</v>
          </cell>
          <cell r="CX147">
            <v>808.8</v>
          </cell>
          <cell r="CY147">
            <v>601.79999999999995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177.1</v>
          </cell>
          <cell r="DT147">
            <v>816.6</v>
          </cell>
          <cell r="DU147">
            <v>1482.2</v>
          </cell>
          <cell r="DV147">
            <v>1950.8</v>
          </cell>
          <cell r="DW147">
            <v>1968.1</v>
          </cell>
        </row>
        <row r="148">
          <cell r="A148" t="str">
            <v>Regulatory Assets 182 &amp; Derivatives 176</v>
          </cell>
          <cell r="B148" t="str">
            <v>Derivative &amp; Reg Assts/Liabl SUB</v>
          </cell>
          <cell r="C148" t="str">
            <v>Accounts Rec. - Unbilled Revenues 173</v>
          </cell>
          <cell r="D148" t="str">
            <v>1823070</v>
          </cell>
          <cell r="E148" t="str">
            <v>A_1823070</v>
          </cell>
          <cell r="F148" t="str">
            <v>Oth Reg Asset-Competitive Rate Adjustment Clause</v>
          </cell>
          <cell r="G148">
            <v>4149.2188399999995</v>
          </cell>
          <cell r="H148">
            <v>3881.6</v>
          </cell>
          <cell r="I148">
            <v>3596</v>
          </cell>
          <cell r="J148">
            <v>3356.2</v>
          </cell>
          <cell r="K148">
            <v>3153.8</v>
          </cell>
          <cell r="L148">
            <v>2998.6</v>
          </cell>
          <cell r="M148">
            <v>2846.1</v>
          </cell>
          <cell r="N148">
            <v>2754</v>
          </cell>
          <cell r="O148">
            <v>2695.4</v>
          </cell>
          <cell r="P148">
            <v>2593.5</v>
          </cell>
          <cell r="Q148">
            <v>2832.3</v>
          </cell>
          <cell r="R148">
            <v>2822.6</v>
          </cell>
          <cell r="S148">
            <v>2791.3</v>
          </cell>
          <cell r="T148">
            <v>2733.3</v>
          </cell>
          <cell r="U148">
            <v>2656.8</v>
          </cell>
          <cell r="V148">
            <v>2587.1</v>
          </cell>
          <cell r="W148">
            <v>2549.1999999999998</v>
          </cell>
          <cell r="X148">
            <v>2538.8000000000002</v>
          </cell>
          <cell r="Y148">
            <v>2506</v>
          </cell>
          <cell r="Z148">
            <v>2480.6</v>
          </cell>
          <cell r="AA148">
            <v>2461.1</v>
          </cell>
          <cell r="AB148">
            <v>2444.3000000000002</v>
          </cell>
          <cell r="AC148">
            <v>2630.6</v>
          </cell>
          <cell r="AD148">
            <v>2626.7</v>
          </cell>
          <cell r="AE148">
            <v>2616.4</v>
          </cell>
          <cell r="AF148">
            <v>2600.4</v>
          </cell>
          <cell r="AG148">
            <v>2555.1</v>
          </cell>
          <cell r="AH148">
            <v>2543.9</v>
          </cell>
          <cell r="AI148">
            <v>2534.9</v>
          </cell>
          <cell r="AJ148">
            <v>2528.3000000000002</v>
          </cell>
          <cell r="AK148">
            <v>2532.6</v>
          </cell>
          <cell r="AL148">
            <v>2517.9</v>
          </cell>
          <cell r="AM148">
            <v>2537.9</v>
          </cell>
          <cell r="AN148">
            <v>2543.1999999999998</v>
          </cell>
          <cell r="AO148">
            <v>2725.6</v>
          </cell>
          <cell r="AP148">
            <v>2731.8</v>
          </cell>
          <cell r="AQ148">
            <v>2726.8</v>
          </cell>
          <cell r="AR148">
            <v>2715.1</v>
          </cell>
          <cell r="AS148">
            <v>2685.8</v>
          </cell>
          <cell r="AT148">
            <v>2695.7</v>
          </cell>
          <cell r="AU148">
            <v>2688.2</v>
          </cell>
          <cell r="AV148">
            <v>2698.4</v>
          </cell>
          <cell r="AW148">
            <v>2695.5</v>
          </cell>
          <cell r="AX148">
            <v>2698.5</v>
          </cell>
          <cell r="AY148">
            <v>2712.9</v>
          </cell>
          <cell r="AZ148">
            <v>2679</v>
          </cell>
          <cell r="BA148">
            <v>2881.1</v>
          </cell>
          <cell r="BB148">
            <v>2884.2</v>
          </cell>
          <cell r="BC148">
            <v>2885.5</v>
          </cell>
          <cell r="BD148">
            <v>2806.3</v>
          </cell>
          <cell r="BE148">
            <v>2706.4</v>
          </cell>
          <cell r="BF148">
            <v>2727.1</v>
          </cell>
          <cell r="BG148">
            <v>2707.6</v>
          </cell>
          <cell r="BH148">
            <v>2709.1</v>
          </cell>
          <cell r="BI148">
            <v>2702.7</v>
          </cell>
          <cell r="BJ148">
            <v>2704.5</v>
          </cell>
          <cell r="BK148">
            <v>2702.4</v>
          </cell>
          <cell r="BL148">
            <v>2685.7</v>
          </cell>
          <cell r="BM148">
            <v>2884.7</v>
          </cell>
          <cell r="BN148">
            <v>2871.5</v>
          </cell>
          <cell r="BO148">
            <v>3047.4</v>
          </cell>
          <cell r="BP148">
            <v>2968.8</v>
          </cell>
          <cell r="BQ148">
            <v>2931.4</v>
          </cell>
          <cell r="BR148">
            <v>2908</v>
          </cell>
          <cell r="BS148">
            <v>2863.3</v>
          </cell>
          <cell r="BT148">
            <v>2868.7</v>
          </cell>
          <cell r="BU148">
            <v>2846.8</v>
          </cell>
          <cell r="BV148">
            <v>2853.6</v>
          </cell>
          <cell r="BW148">
            <v>2785.2</v>
          </cell>
          <cell r="BX148">
            <v>2856.5</v>
          </cell>
          <cell r="BY148">
            <v>3074.7</v>
          </cell>
          <cell r="BZ148">
            <v>3065.9</v>
          </cell>
          <cell r="CA148">
            <v>3035.6</v>
          </cell>
          <cell r="CB148">
            <v>2981.6</v>
          </cell>
          <cell r="CC148">
            <v>2949.5</v>
          </cell>
          <cell r="CD148">
            <v>2914.4</v>
          </cell>
          <cell r="CE148">
            <v>2955.1</v>
          </cell>
          <cell r="CF148">
            <v>3017.1</v>
          </cell>
          <cell r="CG148">
            <v>3017.7</v>
          </cell>
          <cell r="CH148">
            <v>3007.1</v>
          </cell>
          <cell r="CI148">
            <v>3039.4</v>
          </cell>
          <cell r="CJ148">
            <v>3065.7</v>
          </cell>
          <cell r="CK148">
            <v>3290.2</v>
          </cell>
          <cell r="CL148">
            <v>3277.8</v>
          </cell>
          <cell r="CM148">
            <v>3237.9</v>
          </cell>
          <cell r="CN148">
            <v>3208.9</v>
          </cell>
          <cell r="CO148">
            <v>3177.9</v>
          </cell>
          <cell r="CP148">
            <v>3265.2</v>
          </cell>
          <cell r="CQ148">
            <v>3289.7</v>
          </cell>
          <cell r="CR148">
            <v>3370.2</v>
          </cell>
          <cell r="CS148">
            <v>3449.9</v>
          </cell>
          <cell r="CT148">
            <v>3507.8</v>
          </cell>
          <cell r="CU148">
            <v>3572.6</v>
          </cell>
          <cell r="CV148">
            <v>3613</v>
          </cell>
          <cell r="CW148">
            <v>3939.3</v>
          </cell>
          <cell r="CX148">
            <v>3921.5</v>
          </cell>
          <cell r="CY148">
            <v>3752.8</v>
          </cell>
          <cell r="CZ148">
            <v>3769.6</v>
          </cell>
          <cell r="DA148">
            <v>3708.8</v>
          </cell>
          <cell r="DB148">
            <v>3657.5</v>
          </cell>
          <cell r="DC148">
            <v>3633.4</v>
          </cell>
          <cell r="DD148">
            <v>3480.5</v>
          </cell>
          <cell r="DE148">
            <v>3438.2</v>
          </cell>
          <cell r="DF148">
            <v>3436.6</v>
          </cell>
          <cell r="DG148">
            <v>3485.9</v>
          </cell>
          <cell r="DH148">
            <v>3445.2</v>
          </cell>
          <cell r="DI148">
            <v>3874</v>
          </cell>
          <cell r="DJ148">
            <v>3845.2</v>
          </cell>
          <cell r="DK148">
            <v>3792.8</v>
          </cell>
          <cell r="DL148">
            <v>3500</v>
          </cell>
          <cell r="DM148">
            <v>3300</v>
          </cell>
          <cell r="DN148">
            <v>3200</v>
          </cell>
          <cell r="DO148">
            <v>3250</v>
          </cell>
          <cell r="DP148">
            <v>3300</v>
          </cell>
          <cell r="DQ148">
            <v>3350</v>
          </cell>
          <cell r="DR148">
            <v>3375</v>
          </cell>
          <cell r="DS148">
            <v>3375</v>
          </cell>
          <cell r="DT148">
            <v>3375</v>
          </cell>
          <cell r="DU148">
            <v>3675</v>
          </cell>
          <cell r="DV148">
            <v>3600</v>
          </cell>
          <cell r="DW148">
            <v>3550</v>
          </cell>
        </row>
        <row r="149">
          <cell r="A149" t="str">
            <v>Regulatory Assets 182 &amp; Derivatives 176</v>
          </cell>
          <cell r="B149" t="str">
            <v>Deferred Clause Revenues (Expenses) SUB</v>
          </cell>
          <cell r="C149" t="str">
            <v>CIBSR Cost True Up (1823071)</v>
          </cell>
          <cell r="D149" t="str">
            <v>1823071</v>
          </cell>
          <cell r="E149" t="str">
            <v>A_1823071</v>
          </cell>
          <cell r="F149" t="str">
            <v>Oth Reg Asset-Cast Iron Bare Steel Replacem Rider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37.299999999999997</v>
          </cell>
          <cell r="AE149">
            <v>98.3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20.9</v>
          </cell>
          <cell r="BA149">
            <v>375</v>
          </cell>
          <cell r="BB149">
            <v>691.2</v>
          </cell>
          <cell r="BC149">
            <v>1030.5999999999999</v>
          </cell>
          <cell r="BD149">
            <v>409.5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296.89999999999998</v>
          </cell>
          <cell r="BV149">
            <v>764.4</v>
          </cell>
          <cell r="BW149">
            <v>1275.0999999999999</v>
          </cell>
          <cell r="BX149">
            <v>1795.6</v>
          </cell>
          <cell r="BY149">
            <v>2279.6</v>
          </cell>
          <cell r="BZ149">
            <v>2772.8</v>
          </cell>
          <cell r="CA149">
            <v>3382.5</v>
          </cell>
          <cell r="CB149">
            <v>2748.2</v>
          </cell>
          <cell r="CC149">
            <v>2185.6999999999998</v>
          </cell>
          <cell r="CD149">
            <v>1786.2</v>
          </cell>
          <cell r="CE149">
            <v>1888.7</v>
          </cell>
          <cell r="CF149">
            <v>2168.6</v>
          </cell>
          <cell r="CG149">
            <v>2473.6999999999998</v>
          </cell>
          <cell r="CH149">
            <v>2911.1</v>
          </cell>
          <cell r="CI149">
            <v>3383.5</v>
          </cell>
          <cell r="CJ149">
            <v>3892.5</v>
          </cell>
          <cell r="CK149">
            <v>4349.7</v>
          </cell>
          <cell r="CL149">
            <v>4644.3</v>
          </cell>
          <cell r="CM149">
            <v>4581.2</v>
          </cell>
          <cell r="CN149">
            <v>3927.9</v>
          </cell>
          <cell r="CO149">
            <v>3358.1</v>
          </cell>
          <cell r="CP149">
            <v>2896</v>
          </cell>
          <cell r="CQ149">
            <v>2471.1</v>
          </cell>
          <cell r="CR149">
            <v>2144</v>
          </cell>
          <cell r="CS149">
            <v>1861.8</v>
          </cell>
          <cell r="CT149">
            <v>1609.8</v>
          </cell>
          <cell r="CU149">
            <v>1407.8</v>
          </cell>
          <cell r="CV149">
            <v>1200.8</v>
          </cell>
          <cell r="CW149">
            <v>1033.5</v>
          </cell>
          <cell r="CX149">
            <v>837.2</v>
          </cell>
          <cell r="CY149">
            <v>563.79999999999995</v>
          </cell>
          <cell r="CZ149">
            <v>359.1</v>
          </cell>
          <cell r="DA149">
            <v>131.69999999999999</v>
          </cell>
          <cell r="DB149">
            <v>4.7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318.89999999999998</v>
          </cell>
          <cell r="DI149">
            <v>426.8</v>
          </cell>
          <cell r="DJ149">
            <v>525.70000000000005</v>
          </cell>
          <cell r="DK149">
            <v>845</v>
          </cell>
          <cell r="DL149">
            <v>361.8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</row>
        <row r="150">
          <cell r="A150" t="str">
            <v>Regulatory Assets 182 &amp; Derivatives 176</v>
          </cell>
          <cell r="B150" t="str">
            <v>Derivative &amp; Reg Assts/Liabl SUB</v>
          </cell>
          <cell r="C150" t="str">
            <v>Other WIP &amp; (1720201/1720202)</v>
          </cell>
          <cell r="D150" t="str">
            <v>1823100</v>
          </cell>
          <cell r="E150" t="str">
            <v>A_1823100</v>
          </cell>
          <cell r="F150" t="str">
            <v>Oth Reg Asset-FAS 158 Benefit Current</v>
          </cell>
          <cell r="G150">
            <v>1383.953</v>
          </cell>
          <cell r="H150">
            <v>1384</v>
          </cell>
          <cell r="I150">
            <v>1384</v>
          </cell>
          <cell r="J150">
            <v>1384</v>
          </cell>
          <cell r="K150">
            <v>1384</v>
          </cell>
          <cell r="L150">
            <v>1384</v>
          </cell>
          <cell r="M150">
            <v>1384</v>
          </cell>
          <cell r="N150">
            <v>1384</v>
          </cell>
          <cell r="O150">
            <v>1384</v>
          </cell>
          <cell r="P150">
            <v>1384</v>
          </cell>
          <cell r="Q150">
            <v>1384</v>
          </cell>
          <cell r="R150">
            <v>1384</v>
          </cell>
          <cell r="S150">
            <v>1110.9000000000001</v>
          </cell>
          <cell r="T150">
            <v>1110.9000000000001</v>
          </cell>
          <cell r="U150">
            <v>1110.9000000000001</v>
          </cell>
          <cell r="V150">
            <v>1110.9000000000001</v>
          </cell>
          <cell r="W150">
            <v>1110.9000000000001</v>
          </cell>
          <cell r="X150">
            <v>1110.9000000000001</v>
          </cell>
          <cell r="Y150">
            <v>1110.9000000000001</v>
          </cell>
          <cell r="Z150">
            <v>1110.9000000000001</v>
          </cell>
          <cell r="AA150">
            <v>1110.9000000000001</v>
          </cell>
          <cell r="AB150">
            <v>1110.9000000000001</v>
          </cell>
          <cell r="AC150">
            <v>1110.9000000000001</v>
          </cell>
          <cell r="AD150">
            <v>1110.9000000000001</v>
          </cell>
          <cell r="AE150">
            <v>1110.9000000000001</v>
          </cell>
          <cell r="AF150">
            <v>1087</v>
          </cell>
          <cell r="AG150">
            <v>1087</v>
          </cell>
          <cell r="AH150">
            <v>1087</v>
          </cell>
          <cell r="AI150">
            <v>1087</v>
          </cell>
          <cell r="AJ150">
            <v>1087</v>
          </cell>
          <cell r="AK150">
            <v>1087</v>
          </cell>
          <cell r="AL150">
            <v>1087</v>
          </cell>
          <cell r="AM150">
            <v>1087</v>
          </cell>
          <cell r="AN150">
            <v>1087</v>
          </cell>
          <cell r="AO150">
            <v>1087</v>
          </cell>
          <cell r="AP150">
            <v>1087</v>
          </cell>
          <cell r="AQ150">
            <v>1087</v>
          </cell>
          <cell r="AR150">
            <v>1087</v>
          </cell>
          <cell r="AS150">
            <v>1087</v>
          </cell>
          <cell r="AT150">
            <v>1087</v>
          </cell>
          <cell r="AU150">
            <v>1087</v>
          </cell>
          <cell r="AV150">
            <v>1087</v>
          </cell>
          <cell r="AW150">
            <v>1087</v>
          </cell>
          <cell r="AX150">
            <v>1087</v>
          </cell>
          <cell r="AY150">
            <v>1087</v>
          </cell>
          <cell r="AZ150">
            <v>1087</v>
          </cell>
          <cell r="BA150">
            <v>1087</v>
          </cell>
          <cell r="BB150">
            <v>1087</v>
          </cell>
          <cell r="BC150">
            <v>1087</v>
          </cell>
          <cell r="BD150">
            <v>1087</v>
          </cell>
          <cell r="BE150">
            <v>1087</v>
          </cell>
          <cell r="BF150">
            <v>1087</v>
          </cell>
          <cell r="BG150">
            <v>1087</v>
          </cell>
          <cell r="BH150">
            <v>1087</v>
          </cell>
          <cell r="BI150">
            <v>1064.5</v>
          </cell>
          <cell r="BJ150">
            <v>1064.5</v>
          </cell>
          <cell r="BK150">
            <v>1064.5</v>
          </cell>
          <cell r="BL150">
            <v>1064.5</v>
          </cell>
          <cell r="BM150">
            <v>1064.5</v>
          </cell>
          <cell r="BN150">
            <v>1064.5</v>
          </cell>
          <cell r="BO150">
            <v>1064.5</v>
          </cell>
          <cell r="BP150">
            <v>1064.5</v>
          </cell>
          <cell r="BQ150">
            <v>1064.5</v>
          </cell>
          <cell r="BR150">
            <v>1132.3</v>
          </cell>
          <cell r="BS150">
            <v>1132.3</v>
          </cell>
          <cell r="BT150">
            <v>1132.3</v>
          </cell>
          <cell r="BU150">
            <v>1132.3</v>
          </cell>
          <cell r="BV150">
            <v>1132.3</v>
          </cell>
          <cell r="BW150">
            <v>1132.3</v>
          </cell>
          <cell r="BX150">
            <v>1132.3</v>
          </cell>
          <cell r="BY150">
            <v>1132.3</v>
          </cell>
          <cell r="BZ150">
            <v>1132.3</v>
          </cell>
          <cell r="CA150">
            <v>1097.4000000000001</v>
          </cell>
          <cell r="CB150">
            <v>1097.4000000000001</v>
          </cell>
          <cell r="CC150">
            <v>1097.4000000000001</v>
          </cell>
          <cell r="CD150">
            <v>1167.2</v>
          </cell>
          <cell r="CE150">
            <v>1167.2</v>
          </cell>
          <cell r="CF150">
            <v>1167.2</v>
          </cell>
          <cell r="CG150">
            <v>1167.2</v>
          </cell>
          <cell r="CH150">
            <v>1167.2</v>
          </cell>
          <cell r="CI150">
            <v>1167.2</v>
          </cell>
          <cell r="CJ150">
            <v>1167.2</v>
          </cell>
          <cell r="CK150">
            <v>1167.2</v>
          </cell>
          <cell r="CL150">
            <v>1167.2</v>
          </cell>
          <cell r="CM150">
            <v>924.7</v>
          </cell>
          <cell r="CN150">
            <v>924.7</v>
          </cell>
          <cell r="CO150">
            <v>924.7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-1143.4000000000001</v>
          </cell>
          <cell r="DF150">
            <v>-1143.4000000000001</v>
          </cell>
          <cell r="DG150">
            <v>-1143.4000000000001</v>
          </cell>
          <cell r="DH150">
            <v>-1143.4000000000001</v>
          </cell>
          <cell r="DI150">
            <v>-1143.4000000000001</v>
          </cell>
          <cell r="DJ150">
            <v>-1143.4000000000001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-1143.4000000000001</v>
          </cell>
          <cell r="DR150">
            <v>-1143.4000000000001</v>
          </cell>
          <cell r="DS150">
            <v>-1143.4000000000001</v>
          </cell>
          <cell r="DT150">
            <v>-1143.4000000000001</v>
          </cell>
          <cell r="DU150">
            <v>-1143.4000000000001</v>
          </cell>
          <cell r="DV150">
            <v>-1143.4000000000001</v>
          </cell>
          <cell r="DW150">
            <v>0</v>
          </cell>
          <cell r="EK150" t="str">
            <v>2021 8&amp;4 Dec Balance</v>
          </cell>
          <cell r="EL150" t="str">
            <v>A_1823100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</row>
        <row r="151">
          <cell r="A151" t="str">
            <v>Unamortized Rate Case 1823102</v>
          </cell>
          <cell r="B151" t="str">
            <v>Derivative &amp; Reg Assts/Liabl SUB</v>
          </cell>
          <cell r="C151" t="str">
            <v>Unamortized Rate Case</v>
          </cell>
          <cell r="D151" t="str">
            <v>1823102</v>
          </cell>
          <cell r="E151" t="str">
            <v>A_1823102</v>
          </cell>
          <cell r="F151" t="str">
            <v>Oth Reg Asset-Rate Case Expense Current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410.1</v>
          </cell>
          <cell r="CN151">
            <v>419.7</v>
          </cell>
          <cell r="CO151">
            <v>420.1</v>
          </cell>
          <cell r="CP151">
            <v>420.1</v>
          </cell>
          <cell r="CQ151">
            <v>420.1</v>
          </cell>
          <cell r="CR151">
            <v>423.5</v>
          </cell>
          <cell r="CS151">
            <v>423.5</v>
          </cell>
          <cell r="CT151">
            <v>423.5</v>
          </cell>
          <cell r="CU151">
            <v>423.5</v>
          </cell>
          <cell r="CV151">
            <v>423.5</v>
          </cell>
          <cell r="CW151">
            <v>423.5</v>
          </cell>
          <cell r="CX151">
            <v>423.5</v>
          </cell>
          <cell r="CY151">
            <v>423.5</v>
          </cell>
          <cell r="CZ151">
            <v>423.5</v>
          </cell>
          <cell r="DA151">
            <v>423.5</v>
          </cell>
          <cell r="DB151">
            <v>423.5</v>
          </cell>
          <cell r="DC151">
            <v>423.5</v>
          </cell>
          <cell r="DD151">
            <v>423.5</v>
          </cell>
          <cell r="DE151">
            <v>423.5</v>
          </cell>
          <cell r="DF151">
            <v>423.5</v>
          </cell>
          <cell r="DG151">
            <v>423.5</v>
          </cell>
          <cell r="DH151">
            <v>423.5</v>
          </cell>
          <cell r="DI151">
            <v>423.5</v>
          </cell>
          <cell r="DJ151">
            <v>423.5</v>
          </cell>
          <cell r="DK151">
            <v>423.5</v>
          </cell>
          <cell r="DL151">
            <v>388.2</v>
          </cell>
          <cell r="DM151">
            <v>352.9</v>
          </cell>
          <cell r="DN151">
            <v>317.60000000000002</v>
          </cell>
          <cell r="DO151">
            <v>282.3</v>
          </cell>
          <cell r="DP151">
            <v>247</v>
          </cell>
          <cell r="DQ151">
            <v>211.7</v>
          </cell>
          <cell r="DR151">
            <v>176.4</v>
          </cell>
          <cell r="DS151">
            <v>141.1</v>
          </cell>
          <cell r="DT151">
            <v>105.8</v>
          </cell>
          <cell r="DU151">
            <v>70.5</v>
          </cell>
          <cell r="DV151">
            <v>35.200000000000003</v>
          </cell>
          <cell r="DW151">
            <v>523.5</v>
          </cell>
          <cell r="EK151" t="str">
            <v>Reference Regulartory Assets File</v>
          </cell>
          <cell r="EL151" t="str">
            <v>A_1823102</v>
          </cell>
          <cell r="EM151">
            <v>424000</v>
          </cell>
          <cell r="EN151">
            <v>424000</v>
          </cell>
          <cell r="EO151">
            <v>424000</v>
          </cell>
          <cell r="EP151">
            <v>424000</v>
          </cell>
          <cell r="EQ151">
            <v>424000</v>
          </cell>
          <cell r="ER151">
            <v>424000</v>
          </cell>
          <cell r="ES151">
            <v>424000</v>
          </cell>
          <cell r="ET151">
            <v>424000</v>
          </cell>
          <cell r="EU151">
            <v>424000</v>
          </cell>
          <cell r="EV151">
            <v>424000</v>
          </cell>
          <cell r="EW151">
            <v>424000</v>
          </cell>
          <cell r="EX151">
            <v>424000</v>
          </cell>
          <cell r="EY151" t="str">
            <v>Regulatory Assets\Reg Assets WAM_TIMP_RC 2022 7+5F_2023 Budget_V2.xlsx</v>
          </cell>
        </row>
        <row r="152">
          <cell r="A152" t="str">
            <v>Regulatory Assets 182 &amp; Derivatives 176</v>
          </cell>
          <cell r="B152" t="str">
            <v>Derivative &amp; Reg Assts/Liabl SUB</v>
          </cell>
          <cell r="C152" t="str">
            <v xml:space="preserve">Regulatory Derivative (Curr &amp; LT) </v>
          </cell>
          <cell r="D152" t="str">
            <v>1823105</v>
          </cell>
          <cell r="E152" t="str">
            <v>A_1823105</v>
          </cell>
          <cell r="F152" t="str">
            <v>Current Derivative Asset - Regulatory</v>
          </cell>
          <cell r="G152">
            <v>7.12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38.700000000000003</v>
          </cell>
          <cell r="M152">
            <v>128.9</v>
          </cell>
          <cell r="N152">
            <v>2468.6</v>
          </cell>
          <cell r="O152">
            <v>1173.4000000000001</v>
          </cell>
          <cell r="P152">
            <v>1223.0999999999999</v>
          </cell>
          <cell r="Q152">
            <v>2881.7</v>
          </cell>
          <cell r="R152">
            <v>2014.4</v>
          </cell>
          <cell r="S152">
            <v>7392.2</v>
          </cell>
          <cell r="T152">
            <v>7790.1</v>
          </cell>
          <cell r="U152">
            <v>6393.7</v>
          </cell>
          <cell r="V152">
            <v>6342.5</v>
          </cell>
          <cell r="W152">
            <v>5637.3</v>
          </cell>
          <cell r="X152">
            <v>5755.9</v>
          </cell>
          <cell r="Y152">
            <v>4880.2</v>
          </cell>
          <cell r="Z152">
            <v>4858.7</v>
          </cell>
          <cell r="AA152">
            <v>5110.6000000000004</v>
          </cell>
          <cell r="AB152">
            <v>5737.9</v>
          </cell>
          <cell r="AC152">
            <v>7190.7</v>
          </cell>
          <cell r="AD152">
            <v>7185.1</v>
          </cell>
          <cell r="AE152">
            <v>5677.1</v>
          </cell>
          <cell r="AF152">
            <v>4421.2</v>
          </cell>
          <cell r="AG152">
            <v>5029.2</v>
          </cell>
          <cell r="AH152">
            <v>3317.6</v>
          </cell>
          <cell r="AI152">
            <v>1955.5</v>
          </cell>
          <cell r="AJ152">
            <v>1672.8</v>
          </cell>
          <cell r="AK152">
            <v>343.6</v>
          </cell>
          <cell r="AL152">
            <v>335</v>
          </cell>
          <cell r="AM152">
            <v>322.89999999999998</v>
          </cell>
          <cell r="AN152">
            <v>385.9</v>
          </cell>
          <cell r="AO152">
            <v>408</v>
          </cell>
          <cell r="AP152">
            <v>74</v>
          </cell>
          <cell r="AQ152">
            <v>0</v>
          </cell>
          <cell r="AR152">
            <v>55.5</v>
          </cell>
          <cell r="AS152">
            <v>358.4</v>
          </cell>
          <cell r="AT152">
            <v>0</v>
          </cell>
          <cell r="AU152">
            <v>0</v>
          </cell>
          <cell r="AV152">
            <v>3.4</v>
          </cell>
          <cell r="AW152">
            <v>20.3</v>
          </cell>
          <cell r="AX152">
            <v>132.1</v>
          </cell>
          <cell r="AY152">
            <v>4.7</v>
          </cell>
          <cell r="AZ152">
            <v>9.1999999999999993</v>
          </cell>
          <cell r="BA152">
            <v>138.19999999999999</v>
          </cell>
          <cell r="BB152">
            <v>60.6</v>
          </cell>
          <cell r="BC152">
            <v>181.1</v>
          </cell>
          <cell r="BD152">
            <v>1.8</v>
          </cell>
          <cell r="BE152">
            <v>113.1</v>
          </cell>
          <cell r="BF152">
            <v>32.6</v>
          </cell>
          <cell r="BG152">
            <v>25.7</v>
          </cell>
          <cell r="BH152">
            <v>0</v>
          </cell>
          <cell r="BI152">
            <v>0.3</v>
          </cell>
          <cell r="BJ152">
            <v>11.7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EK152" t="str">
            <v>2021 8&amp;4 Dec Balance</v>
          </cell>
          <cell r="EL152" t="str">
            <v>A_1823105</v>
          </cell>
        </row>
        <row r="153">
          <cell r="A153" t="str">
            <v>Other LT Regulatory Assets 182</v>
          </cell>
          <cell r="B153" t="str">
            <v>Derivative &amp; Reg Assts/Liabl SUB</v>
          </cell>
          <cell r="C153" t="str">
            <v>Other WIP &amp; (1720201/1720202)</v>
          </cell>
          <cell r="D153" t="str">
            <v>1823200</v>
          </cell>
          <cell r="E153" t="str">
            <v>A_1823200</v>
          </cell>
          <cell r="F153" t="str">
            <v>Oth Reg Asset-FAS 158 Benefit Non-Current</v>
          </cell>
          <cell r="G153">
            <v>15895.212</v>
          </cell>
          <cell r="H153">
            <v>15895.2</v>
          </cell>
          <cell r="I153">
            <v>15895.2</v>
          </cell>
          <cell r="J153">
            <v>15515.1</v>
          </cell>
          <cell r="K153">
            <v>15515.1</v>
          </cell>
          <cell r="L153">
            <v>15515.1</v>
          </cell>
          <cell r="M153">
            <v>15123.9</v>
          </cell>
          <cell r="N153">
            <v>15123.9</v>
          </cell>
          <cell r="O153">
            <v>15123.9</v>
          </cell>
          <cell r="P153">
            <v>14917.7</v>
          </cell>
          <cell r="Q153">
            <v>14917.7</v>
          </cell>
          <cell r="R153">
            <v>14917.7</v>
          </cell>
          <cell r="S153">
            <v>18221.2</v>
          </cell>
          <cell r="T153">
            <v>18221.2</v>
          </cell>
          <cell r="U153">
            <v>18221.2</v>
          </cell>
          <cell r="V153">
            <v>18583.8</v>
          </cell>
          <cell r="W153">
            <v>18583.8</v>
          </cell>
          <cell r="X153">
            <v>18583.8</v>
          </cell>
          <cell r="Y153">
            <v>17393</v>
          </cell>
          <cell r="Z153">
            <v>17393</v>
          </cell>
          <cell r="AA153">
            <v>17086.5</v>
          </cell>
          <cell r="AB153">
            <v>16672.400000000001</v>
          </cell>
          <cell r="AC153">
            <v>16672.400000000001</v>
          </cell>
          <cell r="AD153">
            <v>16672.400000000001</v>
          </cell>
          <cell r="AE153">
            <v>23999.4</v>
          </cell>
          <cell r="AF153">
            <v>24023.3</v>
          </cell>
          <cell r="AG153">
            <v>24023.3</v>
          </cell>
          <cell r="AH153">
            <v>23669.5</v>
          </cell>
          <cell r="AI153">
            <v>23669.5</v>
          </cell>
          <cell r="AJ153">
            <v>23678.799999999999</v>
          </cell>
          <cell r="AK153">
            <v>23206.9</v>
          </cell>
          <cell r="AL153">
            <v>23206.9</v>
          </cell>
          <cell r="AM153">
            <v>23206.9</v>
          </cell>
          <cell r="AN153">
            <v>31647.8</v>
          </cell>
          <cell r="AO153">
            <v>31647.8</v>
          </cell>
          <cell r="AP153">
            <v>31647.8</v>
          </cell>
          <cell r="AQ153">
            <v>27242.799999999999</v>
          </cell>
          <cell r="AR153">
            <v>27242.799999999999</v>
          </cell>
          <cell r="AS153">
            <v>27242.799999999999</v>
          </cell>
          <cell r="AT153">
            <v>26819.200000000001</v>
          </cell>
          <cell r="AU153">
            <v>26819.200000000001</v>
          </cell>
          <cell r="AV153">
            <v>26819.200000000001</v>
          </cell>
          <cell r="AW153">
            <v>27584.6</v>
          </cell>
          <cell r="AX153">
            <v>27584.6</v>
          </cell>
          <cell r="AY153">
            <v>27584.6</v>
          </cell>
          <cell r="AZ153">
            <v>27125</v>
          </cell>
          <cell r="BA153">
            <v>27125</v>
          </cell>
          <cell r="BB153">
            <v>27125</v>
          </cell>
          <cell r="BC153">
            <v>25198.9</v>
          </cell>
          <cell r="BD153">
            <v>25198.9</v>
          </cell>
          <cell r="BE153">
            <v>25198.9</v>
          </cell>
          <cell r="BF153">
            <v>24715.7</v>
          </cell>
          <cell r="BG153">
            <v>24715.7</v>
          </cell>
          <cell r="BH153">
            <v>24715.7</v>
          </cell>
          <cell r="BI153">
            <v>24200.3</v>
          </cell>
          <cell r="BJ153">
            <v>24200.3</v>
          </cell>
          <cell r="BK153">
            <v>24200.3</v>
          </cell>
          <cell r="BL153">
            <v>23713</v>
          </cell>
          <cell r="BM153">
            <v>23713</v>
          </cell>
          <cell r="BN153">
            <v>23713</v>
          </cell>
          <cell r="BO153">
            <v>29672.9</v>
          </cell>
          <cell r="BP153">
            <v>29672.9</v>
          </cell>
          <cell r="BQ153">
            <v>29672.9</v>
          </cell>
          <cell r="BR153">
            <v>29208.6</v>
          </cell>
          <cell r="BS153">
            <v>29208.6</v>
          </cell>
          <cell r="BT153">
            <v>29208.6</v>
          </cell>
          <cell r="BU153">
            <v>28773.599999999999</v>
          </cell>
          <cell r="BV153">
            <v>28773.599999999999</v>
          </cell>
          <cell r="BW153">
            <v>28773.599999999999</v>
          </cell>
          <cell r="BX153">
            <v>28357.9</v>
          </cell>
          <cell r="BY153">
            <v>28357.9</v>
          </cell>
          <cell r="BZ153">
            <v>28357.9</v>
          </cell>
          <cell r="CA153">
            <v>28607.8</v>
          </cell>
          <cell r="CB153">
            <v>28607.8</v>
          </cell>
          <cell r="CC153">
            <v>28607.8</v>
          </cell>
          <cell r="CD153">
            <v>28018.1</v>
          </cell>
          <cell r="CE153">
            <v>28018.1</v>
          </cell>
          <cell r="CF153">
            <v>28018.1</v>
          </cell>
          <cell r="CG153">
            <v>27469.3</v>
          </cell>
          <cell r="CH153">
            <v>27469.3</v>
          </cell>
          <cell r="CI153">
            <v>27469.3</v>
          </cell>
          <cell r="CJ153">
            <v>26934.9</v>
          </cell>
          <cell r="CK153">
            <v>26934.9</v>
          </cell>
          <cell r="CL153">
            <v>26934.9</v>
          </cell>
          <cell r="CM153">
            <v>33407.300000000003</v>
          </cell>
          <cell r="CN153">
            <v>33407.300000000003</v>
          </cell>
          <cell r="CO153">
            <v>33407.300000000003</v>
          </cell>
          <cell r="CP153">
            <v>33636</v>
          </cell>
          <cell r="CQ153">
            <v>33636</v>
          </cell>
          <cell r="CR153">
            <v>33636</v>
          </cell>
          <cell r="CS153">
            <v>32940.1</v>
          </cell>
          <cell r="CT153">
            <v>32940.1</v>
          </cell>
          <cell r="CU153">
            <v>32940.1</v>
          </cell>
          <cell r="CV153">
            <v>31860.400000000001</v>
          </cell>
          <cell r="CW153">
            <v>31860.400000000001</v>
          </cell>
          <cell r="CX153">
            <v>31860.400000000001</v>
          </cell>
          <cell r="CY153">
            <v>25456.9</v>
          </cell>
          <cell r="CZ153">
            <v>25456.9</v>
          </cell>
          <cell r="DA153">
            <v>25456.9</v>
          </cell>
          <cell r="DB153">
            <v>24902.6</v>
          </cell>
          <cell r="DC153">
            <v>24902.6</v>
          </cell>
          <cell r="DD153">
            <v>24902.6</v>
          </cell>
          <cell r="DE153">
            <v>24338</v>
          </cell>
          <cell r="DF153">
            <v>24338</v>
          </cell>
          <cell r="DG153">
            <v>24338</v>
          </cell>
          <cell r="DH153">
            <v>23778.6</v>
          </cell>
          <cell r="DI153">
            <v>23778.6</v>
          </cell>
          <cell r="DJ153">
            <v>23778.6</v>
          </cell>
          <cell r="DK153">
            <v>30211.3</v>
          </cell>
          <cell r="DL153">
            <v>25456.9</v>
          </cell>
          <cell r="DM153">
            <v>25456.9</v>
          </cell>
          <cell r="DN153">
            <v>24902.6</v>
          </cell>
          <cell r="DO153">
            <v>24902.6</v>
          </cell>
          <cell r="DP153">
            <v>24902.6</v>
          </cell>
          <cell r="DQ153">
            <v>24338</v>
          </cell>
          <cell r="DR153">
            <v>24338</v>
          </cell>
          <cell r="DS153">
            <v>24338</v>
          </cell>
          <cell r="DT153">
            <v>23778.6</v>
          </cell>
          <cell r="DU153">
            <v>23778.6</v>
          </cell>
          <cell r="DV153">
            <v>23778.6</v>
          </cell>
          <cell r="DW153">
            <v>30211.3</v>
          </cell>
          <cell r="EK153" t="str">
            <v>2021 8&amp;4 Dec Balance</v>
          </cell>
          <cell r="EL153" t="str">
            <v>A_1823200</v>
          </cell>
          <cell r="EM153">
            <v>32940100</v>
          </cell>
          <cell r="EN153">
            <v>32940100</v>
          </cell>
          <cell r="EO153">
            <v>32940100</v>
          </cell>
          <cell r="EP153">
            <v>32940100</v>
          </cell>
          <cell r="EQ153">
            <v>32940100</v>
          </cell>
          <cell r="ER153">
            <v>32940100</v>
          </cell>
          <cell r="ES153">
            <v>32940100</v>
          </cell>
          <cell r="ET153">
            <v>32940100</v>
          </cell>
          <cell r="EU153">
            <v>32940100</v>
          </cell>
          <cell r="EV153">
            <v>32940100</v>
          </cell>
          <cell r="EW153">
            <v>32940100</v>
          </cell>
          <cell r="EX153">
            <v>32940100</v>
          </cell>
        </row>
        <row r="154">
          <cell r="A154" t="str">
            <v>Unamortized Rate Case 1823102</v>
          </cell>
          <cell r="B154" t="str">
            <v>Derivative &amp; Reg Assts/Liabl SUB</v>
          </cell>
          <cell r="C154" t="str">
            <v>Unamortized Rate Case</v>
          </cell>
          <cell r="D154" t="str">
            <v>1823202</v>
          </cell>
          <cell r="E154" t="str">
            <v>A_1823202</v>
          </cell>
          <cell r="F154" t="str">
            <v>Oth Reg Asset-Rate Case Expense Non-Current</v>
          </cell>
          <cell r="G154">
            <v>28.565000000000001</v>
          </cell>
          <cell r="H154">
            <v>16.8</v>
          </cell>
          <cell r="I154">
            <v>11.2</v>
          </cell>
          <cell r="J154">
            <v>18.5</v>
          </cell>
          <cell r="K154">
            <v>0.8</v>
          </cell>
          <cell r="L154">
            <v>49</v>
          </cell>
          <cell r="M154">
            <v>58.8</v>
          </cell>
          <cell r="N154">
            <v>780</v>
          </cell>
          <cell r="O154">
            <v>352.4</v>
          </cell>
          <cell r="P154">
            <v>394.8</v>
          </cell>
          <cell r="Q154">
            <v>777.3</v>
          </cell>
          <cell r="R154">
            <v>688.8</v>
          </cell>
          <cell r="S154">
            <v>1593.3</v>
          </cell>
          <cell r="T154">
            <v>1274.9000000000001</v>
          </cell>
          <cell r="U154">
            <v>1033.9000000000001</v>
          </cell>
          <cell r="V154">
            <v>879.6</v>
          </cell>
          <cell r="W154">
            <v>655.20000000000005</v>
          </cell>
          <cell r="X154">
            <v>552.1</v>
          </cell>
          <cell r="Y154">
            <v>314.10000000000002</v>
          </cell>
          <cell r="Z154">
            <v>359.7</v>
          </cell>
          <cell r="AA154">
            <v>439.1</v>
          </cell>
          <cell r="AB154">
            <v>594.5</v>
          </cell>
          <cell r="AC154">
            <v>853.4</v>
          </cell>
          <cell r="AD154">
            <v>880.5</v>
          </cell>
          <cell r="AE154">
            <v>668.8</v>
          </cell>
          <cell r="AF154">
            <v>461.9</v>
          </cell>
          <cell r="AG154">
            <v>401.9</v>
          </cell>
          <cell r="AH154">
            <v>134.9</v>
          </cell>
          <cell r="AI154">
            <v>16.3</v>
          </cell>
          <cell r="AJ154">
            <v>15.8</v>
          </cell>
          <cell r="AK154">
            <v>0</v>
          </cell>
          <cell r="AL154">
            <v>0</v>
          </cell>
          <cell r="AM154">
            <v>0.5</v>
          </cell>
          <cell r="AN154">
            <v>18.3</v>
          </cell>
          <cell r="AO154">
            <v>0.5</v>
          </cell>
          <cell r="AP154">
            <v>2.8</v>
          </cell>
          <cell r="AQ154">
            <v>0</v>
          </cell>
          <cell r="AR154">
            <v>0.6</v>
          </cell>
          <cell r="AS154">
            <v>31.1</v>
          </cell>
          <cell r="AT154">
            <v>4.2</v>
          </cell>
          <cell r="AU154">
            <v>0</v>
          </cell>
          <cell r="AV154">
            <v>0.5</v>
          </cell>
          <cell r="AW154">
            <v>2</v>
          </cell>
          <cell r="AX154">
            <v>8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820.3</v>
          </cell>
          <cell r="CN154">
            <v>805.2</v>
          </cell>
          <cell r="CO154">
            <v>770.2</v>
          </cell>
          <cell r="CP154">
            <v>735.2</v>
          </cell>
          <cell r="CQ154">
            <v>700.2</v>
          </cell>
          <cell r="CR154">
            <v>670.5</v>
          </cell>
          <cell r="CS154">
            <v>635.20000000000005</v>
          </cell>
          <cell r="CT154">
            <v>599.9</v>
          </cell>
          <cell r="CU154">
            <v>564.6</v>
          </cell>
          <cell r="CV154">
            <v>529.29999999999995</v>
          </cell>
          <cell r="CW154">
            <v>494.1</v>
          </cell>
          <cell r="CX154">
            <v>458.8</v>
          </cell>
          <cell r="CY154">
            <v>423.5</v>
          </cell>
          <cell r="CZ154">
            <v>388.2</v>
          </cell>
          <cell r="DA154">
            <v>352.9</v>
          </cell>
          <cell r="DB154">
            <v>317.60000000000002</v>
          </cell>
          <cell r="DC154">
            <v>282.3</v>
          </cell>
          <cell r="DD154">
            <v>247</v>
          </cell>
          <cell r="DE154">
            <v>211.7</v>
          </cell>
          <cell r="DF154">
            <v>176.4</v>
          </cell>
          <cell r="DG154">
            <v>141.19999999999999</v>
          </cell>
          <cell r="DH154">
            <v>105.9</v>
          </cell>
          <cell r="DI154">
            <v>70.599999999999994</v>
          </cell>
          <cell r="DJ154">
            <v>35.299999999999997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1047</v>
          </cell>
          <cell r="EK154" t="str">
            <v>Reference Regulartory Assets File</v>
          </cell>
          <cell r="EL154" t="str">
            <v>A_1823202</v>
          </cell>
          <cell r="EM154">
            <v>390000</v>
          </cell>
          <cell r="EN154">
            <v>355000</v>
          </cell>
          <cell r="EO154">
            <v>320000</v>
          </cell>
          <cell r="EP154">
            <v>285000</v>
          </cell>
          <cell r="EQ154">
            <v>250000</v>
          </cell>
          <cell r="ER154">
            <v>215000</v>
          </cell>
          <cell r="ES154">
            <v>180000</v>
          </cell>
          <cell r="ET154">
            <v>145000</v>
          </cell>
          <cell r="EU154">
            <v>110000</v>
          </cell>
          <cell r="EV154">
            <v>75000</v>
          </cell>
          <cell r="EW154">
            <v>40000</v>
          </cell>
          <cell r="EX154">
            <v>0</v>
          </cell>
          <cell r="EY154" t="str">
            <v>Regulatory Assets\Reg Assets WAM_TIMP_RC 2022 7+5F_2023 Budget_V2.xlsx</v>
          </cell>
        </row>
        <row r="155">
          <cell r="A155" t="str">
            <v>Other LT Regulatory Assets 182</v>
          </cell>
          <cell r="B155" t="str">
            <v>Derivative &amp; Reg Assts/Liabl SUB</v>
          </cell>
          <cell r="C155" t="str">
            <v xml:space="preserve">Regulatory Derivative (Curr &amp; LT) </v>
          </cell>
          <cell r="D155" t="str">
            <v>1823205</v>
          </cell>
          <cell r="E155" t="str">
            <v>A_1823205</v>
          </cell>
          <cell r="F155" t="str">
            <v>Long-Term Derivative Asset - Regulatory</v>
          </cell>
          <cell r="G155">
            <v>28.565000000000001</v>
          </cell>
          <cell r="H155">
            <v>16.8</v>
          </cell>
          <cell r="I155">
            <v>11.2</v>
          </cell>
          <cell r="J155">
            <v>18.5</v>
          </cell>
          <cell r="K155">
            <v>0.8</v>
          </cell>
          <cell r="L155">
            <v>49</v>
          </cell>
          <cell r="M155">
            <v>58.8</v>
          </cell>
          <cell r="N155">
            <v>780</v>
          </cell>
          <cell r="O155">
            <v>352.4</v>
          </cell>
          <cell r="P155">
            <v>394.8</v>
          </cell>
          <cell r="Q155">
            <v>777.3</v>
          </cell>
          <cell r="R155">
            <v>688.8</v>
          </cell>
          <cell r="S155">
            <v>1593.3</v>
          </cell>
          <cell r="T155">
            <v>1274.9000000000001</v>
          </cell>
          <cell r="U155">
            <v>1033.9000000000001</v>
          </cell>
          <cell r="V155">
            <v>879.6</v>
          </cell>
          <cell r="W155">
            <v>655.20000000000005</v>
          </cell>
          <cell r="X155">
            <v>552.1</v>
          </cell>
          <cell r="Y155">
            <v>314.10000000000002</v>
          </cell>
          <cell r="Z155">
            <v>359.7</v>
          </cell>
          <cell r="AA155">
            <v>439.1</v>
          </cell>
          <cell r="AB155">
            <v>594.5</v>
          </cell>
          <cell r="AC155">
            <v>853.4</v>
          </cell>
          <cell r="AD155">
            <v>880.5</v>
          </cell>
          <cell r="AE155">
            <v>668.8</v>
          </cell>
          <cell r="AF155">
            <v>461.9</v>
          </cell>
          <cell r="AG155">
            <v>401.9</v>
          </cell>
          <cell r="AH155">
            <v>134.9</v>
          </cell>
          <cell r="AI155">
            <v>16.3</v>
          </cell>
          <cell r="AJ155">
            <v>15.8</v>
          </cell>
          <cell r="AK155">
            <v>0</v>
          </cell>
          <cell r="AL155">
            <v>0</v>
          </cell>
          <cell r="AM155">
            <v>0.5</v>
          </cell>
          <cell r="AN155">
            <v>18.3</v>
          </cell>
          <cell r="AO155">
            <v>0.5</v>
          </cell>
          <cell r="AP155">
            <v>2.8</v>
          </cell>
          <cell r="AQ155">
            <v>0</v>
          </cell>
          <cell r="AR155">
            <v>0.6</v>
          </cell>
          <cell r="AS155">
            <v>31.1</v>
          </cell>
          <cell r="AT155">
            <v>4.2</v>
          </cell>
          <cell r="AU155">
            <v>0</v>
          </cell>
          <cell r="AV155">
            <v>0.5</v>
          </cell>
          <cell r="AW155">
            <v>2</v>
          </cell>
          <cell r="AX155">
            <v>8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EK155" t="str">
            <v>2021 8&amp;4 Dec Balance</v>
          </cell>
          <cell r="EL155" t="str">
            <v>A_1823205</v>
          </cell>
        </row>
        <row r="156">
          <cell r="A156" t="str">
            <v>Other LT Regulatory Assets 182</v>
          </cell>
          <cell r="B156" t="str">
            <v>Derivative &amp; Reg Assts/Liabl SUB</v>
          </cell>
          <cell r="C156" t="str">
            <v>Other WIP &amp; (1720201/1720202)</v>
          </cell>
          <cell r="D156" t="str">
            <v>1823208</v>
          </cell>
          <cell r="E156" t="str">
            <v>A_1823208</v>
          </cell>
          <cell r="F156" t="str">
            <v>Oth Reg Asset-Deft Loss Prop Sales Non-Current</v>
          </cell>
          <cell r="G156">
            <v>28.565000000000001</v>
          </cell>
          <cell r="H156">
            <v>16.8</v>
          </cell>
          <cell r="I156">
            <v>11.2</v>
          </cell>
          <cell r="J156">
            <v>18.5</v>
          </cell>
          <cell r="K156">
            <v>0.8</v>
          </cell>
          <cell r="L156">
            <v>49</v>
          </cell>
          <cell r="M156">
            <v>58.8</v>
          </cell>
          <cell r="N156">
            <v>780</v>
          </cell>
          <cell r="O156">
            <v>352.4</v>
          </cell>
          <cell r="P156">
            <v>394.8</v>
          </cell>
          <cell r="Q156">
            <v>777.3</v>
          </cell>
          <cell r="R156">
            <v>688.8</v>
          </cell>
          <cell r="S156">
            <v>1593.3</v>
          </cell>
          <cell r="T156">
            <v>1274.9000000000001</v>
          </cell>
          <cell r="U156">
            <v>1033.9000000000001</v>
          </cell>
          <cell r="V156">
            <v>879.6</v>
          </cell>
          <cell r="W156">
            <v>655.20000000000005</v>
          </cell>
          <cell r="X156">
            <v>552.1</v>
          </cell>
          <cell r="Y156">
            <v>314.10000000000002</v>
          </cell>
          <cell r="Z156">
            <v>359.7</v>
          </cell>
          <cell r="AA156">
            <v>439.1</v>
          </cell>
          <cell r="AB156">
            <v>594.5</v>
          </cell>
          <cell r="AC156">
            <v>853.4</v>
          </cell>
          <cell r="AD156">
            <v>880.5</v>
          </cell>
          <cell r="AE156">
            <v>668.8</v>
          </cell>
          <cell r="AF156">
            <v>461.9</v>
          </cell>
          <cell r="AG156">
            <v>401.9</v>
          </cell>
          <cell r="AH156">
            <v>134.9</v>
          </cell>
          <cell r="AI156">
            <v>16.3</v>
          </cell>
          <cell r="AJ156">
            <v>15.8</v>
          </cell>
          <cell r="AK156">
            <v>0</v>
          </cell>
          <cell r="AL156">
            <v>0</v>
          </cell>
          <cell r="AM156">
            <v>0.5</v>
          </cell>
          <cell r="AN156">
            <v>18.3</v>
          </cell>
          <cell r="AO156">
            <v>0.5</v>
          </cell>
          <cell r="AP156">
            <v>2.8</v>
          </cell>
          <cell r="AQ156">
            <v>0</v>
          </cell>
          <cell r="AR156">
            <v>0.6</v>
          </cell>
          <cell r="AS156">
            <v>31.1</v>
          </cell>
          <cell r="AT156">
            <v>4.2</v>
          </cell>
          <cell r="AU156">
            <v>0</v>
          </cell>
          <cell r="AV156">
            <v>0.5</v>
          </cell>
          <cell r="AW156">
            <v>2</v>
          </cell>
          <cell r="AX156">
            <v>8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242.5</v>
          </cell>
          <cell r="CD156">
            <v>242.8</v>
          </cell>
          <cell r="CE156">
            <v>237.6</v>
          </cell>
          <cell r="CF156">
            <v>232.4</v>
          </cell>
          <cell r="CG156">
            <v>227.3</v>
          </cell>
          <cell r="CH156">
            <v>222.1</v>
          </cell>
          <cell r="CI156">
            <v>216.9</v>
          </cell>
          <cell r="CJ156">
            <v>211.8</v>
          </cell>
          <cell r="CK156">
            <v>206.6</v>
          </cell>
          <cell r="CL156">
            <v>201.4</v>
          </cell>
          <cell r="CM156">
            <v>196.3</v>
          </cell>
          <cell r="CN156">
            <v>191.1</v>
          </cell>
          <cell r="CO156">
            <v>186</v>
          </cell>
          <cell r="CP156">
            <v>180.8</v>
          </cell>
          <cell r="CQ156">
            <v>175.6</v>
          </cell>
          <cell r="CR156">
            <v>170.5</v>
          </cell>
          <cell r="CS156">
            <v>165.3</v>
          </cell>
          <cell r="CT156">
            <v>160.1</v>
          </cell>
          <cell r="CU156">
            <v>155</v>
          </cell>
          <cell r="CV156">
            <v>149.80000000000001</v>
          </cell>
          <cell r="CW156">
            <v>144.6</v>
          </cell>
          <cell r="CX156">
            <v>139.5</v>
          </cell>
          <cell r="CY156">
            <v>134.30000000000001</v>
          </cell>
          <cell r="CZ156">
            <v>129.1</v>
          </cell>
          <cell r="DA156">
            <v>124</v>
          </cell>
          <cell r="DB156">
            <v>118.8</v>
          </cell>
          <cell r="DC156">
            <v>113.6</v>
          </cell>
          <cell r="DD156">
            <v>108.5</v>
          </cell>
          <cell r="DE156">
            <v>103.3</v>
          </cell>
          <cell r="DF156">
            <v>98.1</v>
          </cell>
          <cell r="DG156">
            <v>93</v>
          </cell>
          <cell r="DH156">
            <v>87.8</v>
          </cell>
          <cell r="DI156">
            <v>82.6</v>
          </cell>
          <cell r="DJ156">
            <v>77.5</v>
          </cell>
          <cell r="DK156">
            <v>72.3</v>
          </cell>
          <cell r="DL156">
            <v>67.099999999999994</v>
          </cell>
          <cell r="DM156">
            <v>62</v>
          </cell>
          <cell r="DN156">
            <v>56.8</v>
          </cell>
          <cell r="DO156">
            <v>51.6</v>
          </cell>
          <cell r="DP156">
            <v>46.5</v>
          </cell>
          <cell r="DQ156">
            <v>41.3</v>
          </cell>
          <cell r="DR156">
            <v>36.1</v>
          </cell>
          <cell r="DS156">
            <v>31</v>
          </cell>
          <cell r="DT156">
            <v>25.8</v>
          </cell>
          <cell r="DU156">
            <v>20.6</v>
          </cell>
          <cell r="DV156">
            <v>15.5</v>
          </cell>
          <cell r="DW156">
            <v>10.3</v>
          </cell>
          <cell r="EK156" t="str">
            <v>Amortize ending 2021 balance, keep subtracting 5k a month</v>
          </cell>
          <cell r="EL156" t="str">
            <v>A_1823208</v>
          </cell>
          <cell r="EM156">
            <v>129132.34000000001</v>
          </cell>
          <cell r="EN156">
            <v>123967.05000000002</v>
          </cell>
          <cell r="EO156">
            <v>118801.76000000002</v>
          </cell>
          <cell r="EP156">
            <v>113636.47000000003</v>
          </cell>
          <cell r="EQ156">
            <v>108471.18000000004</v>
          </cell>
          <cell r="ER156">
            <v>103305.89000000004</v>
          </cell>
          <cell r="ES156">
            <v>98140.600000000049</v>
          </cell>
          <cell r="ET156">
            <v>92975.310000000056</v>
          </cell>
          <cell r="EU156">
            <v>87810.020000000062</v>
          </cell>
          <cell r="EV156">
            <v>82644.730000000069</v>
          </cell>
          <cell r="EW156">
            <v>77479.440000000075</v>
          </cell>
          <cell r="EX156">
            <v>72314.150000000081</v>
          </cell>
        </row>
        <row r="157">
          <cell r="A157" t="str">
            <v>Other LT Regulatory Assets 182</v>
          </cell>
          <cell r="B157" t="str">
            <v>Derivative &amp; Reg Assts/Liabl SUB</v>
          </cell>
          <cell r="C157" t="str">
            <v>Other WIP &amp; (1720201/1720202)</v>
          </cell>
          <cell r="D157" t="str">
            <v>1823210</v>
          </cell>
          <cell r="E157" t="str">
            <v>A_1823210</v>
          </cell>
          <cell r="F157" t="str">
            <v>Oth Reg Asset-Non-Capital SW Project Costs NC</v>
          </cell>
          <cell r="G157">
            <v>28.565000000000001</v>
          </cell>
          <cell r="H157">
            <v>16.8</v>
          </cell>
          <cell r="I157">
            <v>11.2</v>
          </cell>
          <cell r="J157">
            <v>18.5</v>
          </cell>
          <cell r="K157">
            <v>0.8</v>
          </cell>
          <cell r="L157">
            <v>49</v>
          </cell>
          <cell r="M157">
            <v>58.8</v>
          </cell>
          <cell r="N157">
            <v>780</v>
          </cell>
          <cell r="O157">
            <v>352.4</v>
          </cell>
          <cell r="P157">
            <v>394.8</v>
          </cell>
          <cell r="Q157">
            <v>777.3</v>
          </cell>
          <cell r="R157">
            <v>688.8</v>
          </cell>
          <cell r="S157">
            <v>1593.3</v>
          </cell>
          <cell r="T157">
            <v>1274.9000000000001</v>
          </cell>
          <cell r="U157">
            <v>1033.9000000000001</v>
          </cell>
          <cell r="V157">
            <v>879.6</v>
          </cell>
          <cell r="W157">
            <v>655.20000000000005</v>
          </cell>
          <cell r="X157">
            <v>552.1</v>
          </cell>
          <cell r="Y157">
            <v>314.10000000000002</v>
          </cell>
          <cell r="Z157">
            <v>359.7</v>
          </cell>
          <cell r="AA157">
            <v>439.1</v>
          </cell>
          <cell r="AB157">
            <v>594.5</v>
          </cell>
          <cell r="AC157">
            <v>853.4</v>
          </cell>
          <cell r="AD157">
            <v>880.5</v>
          </cell>
          <cell r="AE157">
            <v>668.8</v>
          </cell>
          <cell r="AF157">
            <v>461.9</v>
          </cell>
          <cell r="AG157">
            <v>401.9</v>
          </cell>
          <cell r="AH157">
            <v>134.9</v>
          </cell>
          <cell r="AI157">
            <v>16.3</v>
          </cell>
          <cell r="AJ157">
            <v>15.8</v>
          </cell>
          <cell r="AK157">
            <v>0</v>
          </cell>
          <cell r="AL157">
            <v>0</v>
          </cell>
          <cell r="AM157">
            <v>0.5</v>
          </cell>
          <cell r="AN157">
            <v>18.3</v>
          </cell>
          <cell r="AO157">
            <v>0.5</v>
          </cell>
          <cell r="AP157">
            <v>2.8</v>
          </cell>
          <cell r="AQ157">
            <v>0</v>
          </cell>
          <cell r="AR157">
            <v>0.6</v>
          </cell>
          <cell r="AS157">
            <v>31.1</v>
          </cell>
          <cell r="AT157">
            <v>4.2</v>
          </cell>
          <cell r="AU157">
            <v>0</v>
          </cell>
          <cell r="AV157">
            <v>0.5</v>
          </cell>
          <cell r="AW157">
            <v>2</v>
          </cell>
          <cell r="AX157">
            <v>8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52.5</v>
          </cell>
          <cell r="CN157">
            <v>15.5</v>
          </cell>
          <cell r="CO157">
            <v>281.39999999999998</v>
          </cell>
          <cell r="CP157">
            <v>289.8</v>
          </cell>
          <cell r="CQ157">
            <v>289.8</v>
          </cell>
          <cell r="CR157">
            <v>309.10000000000002</v>
          </cell>
          <cell r="CS157">
            <v>318.89999999999998</v>
          </cell>
          <cell r="CT157">
            <v>327.10000000000002</v>
          </cell>
          <cell r="CU157">
            <v>335.4</v>
          </cell>
          <cell r="CV157">
            <v>349.8</v>
          </cell>
          <cell r="CW157">
            <v>366.5</v>
          </cell>
          <cell r="CX157">
            <v>378.5</v>
          </cell>
          <cell r="CY157">
            <v>384.9</v>
          </cell>
          <cell r="CZ157">
            <v>407.6</v>
          </cell>
          <cell r="DA157">
            <v>407.6</v>
          </cell>
          <cell r="DB157">
            <v>428.4</v>
          </cell>
          <cell r="DC157">
            <v>428.4</v>
          </cell>
          <cell r="DD157">
            <v>449.6</v>
          </cell>
          <cell r="DE157">
            <v>455.1</v>
          </cell>
          <cell r="DF157">
            <v>457</v>
          </cell>
          <cell r="DG157">
            <v>458.4</v>
          </cell>
          <cell r="DH157">
            <v>463.4</v>
          </cell>
          <cell r="DI157">
            <v>463.4</v>
          </cell>
          <cell r="DJ157">
            <v>465.5</v>
          </cell>
          <cell r="DK157">
            <v>468.3</v>
          </cell>
          <cell r="DL157">
            <v>723</v>
          </cell>
          <cell r="DM157">
            <v>723</v>
          </cell>
          <cell r="DN157">
            <v>711</v>
          </cell>
          <cell r="DO157">
            <v>698.9</v>
          </cell>
          <cell r="DP157">
            <v>686.9</v>
          </cell>
          <cell r="DQ157">
            <v>674.8</v>
          </cell>
          <cell r="DR157">
            <v>662.8</v>
          </cell>
          <cell r="DS157">
            <v>650.70000000000005</v>
          </cell>
          <cell r="DT157">
            <v>638.70000000000005</v>
          </cell>
          <cell r="DU157">
            <v>626.6</v>
          </cell>
          <cell r="DV157">
            <v>614.6</v>
          </cell>
          <cell r="DW157">
            <v>602.5</v>
          </cell>
          <cell r="EK157" t="str">
            <v>Needed to get to 848k at the end of 2022</v>
          </cell>
          <cell r="EL157" t="str">
            <v>A_1823210</v>
          </cell>
          <cell r="EM157">
            <v>579000</v>
          </cell>
          <cell r="EN157">
            <v>604000</v>
          </cell>
          <cell r="EO157">
            <v>629000</v>
          </cell>
          <cell r="EP157">
            <v>654000</v>
          </cell>
          <cell r="EQ157">
            <v>679000</v>
          </cell>
          <cell r="ER157">
            <v>704000</v>
          </cell>
          <cell r="ES157">
            <v>729000</v>
          </cell>
          <cell r="ET157">
            <v>754000</v>
          </cell>
          <cell r="EU157">
            <v>779000</v>
          </cell>
          <cell r="EV157">
            <v>804000</v>
          </cell>
          <cell r="EW157">
            <v>829000</v>
          </cell>
          <cell r="EX157">
            <v>848000</v>
          </cell>
        </row>
        <row r="158">
          <cell r="A158" t="str">
            <v>Other LT Regulatory Assets 182</v>
          </cell>
          <cell r="B158" t="str">
            <v>Derivative &amp; Reg Assts/Liabl SUB</v>
          </cell>
          <cell r="C158" t="str">
            <v>Other WIP &amp; (1720201/1720202)</v>
          </cell>
          <cell r="D158" t="str">
            <v>1823245</v>
          </cell>
          <cell r="E158" t="str">
            <v>A_1823245</v>
          </cell>
          <cell r="F158" t="str">
            <v>Oth Reg Assest-Evniromental Remediation cost NC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18363.900000000001</v>
          </cell>
          <cell r="Q158">
            <v>18398.7</v>
          </cell>
          <cell r="R158">
            <v>18714.7</v>
          </cell>
          <cell r="S158">
            <v>19130.900000000001</v>
          </cell>
          <cell r="T158">
            <v>19251.7</v>
          </cell>
          <cell r="U158">
            <v>19262.400000000001</v>
          </cell>
          <cell r="V158">
            <v>19451.599999999999</v>
          </cell>
          <cell r="W158">
            <v>17884.8</v>
          </cell>
          <cell r="X158">
            <v>18061.3</v>
          </cell>
          <cell r="Y158">
            <v>18529.900000000001</v>
          </cell>
          <cell r="Z158">
            <v>18717.900000000001</v>
          </cell>
          <cell r="AA158">
            <v>18579.7</v>
          </cell>
          <cell r="AB158">
            <v>18707.900000000001</v>
          </cell>
          <cell r="AC158">
            <v>18783.099999999999</v>
          </cell>
          <cell r="AD158">
            <v>19275.599999999999</v>
          </cell>
          <cell r="AE158">
            <v>19352</v>
          </cell>
          <cell r="AF158">
            <v>19491.8</v>
          </cell>
          <cell r="AG158">
            <v>19532.2</v>
          </cell>
          <cell r="AH158">
            <v>19717.099999999999</v>
          </cell>
          <cell r="AI158">
            <v>19704.2</v>
          </cell>
          <cell r="AJ158">
            <v>19746.900000000001</v>
          </cell>
          <cell r="AK158">
            <v>20157.7</v>
          </cell>
          <cell r="AL158">
            <v>20153.7</v>
          </cell>
          <cell r="AM158">
            <v>20268.599999999999</v>
          </cell>
          <cell r="AN158">
            <v>20253.2</v>
          </cell>
          <cell r="AO158">
            <v>20268.599999999999</v>
          </cell>
          <cell r="AP158">
            <v>20414.3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-5792.4</v>
          </cell>
          <cell r="BM158">
            <v>-6058.4</v>
          </cell>
          <cell r="BN158">
            <v>-5508.7</v>
          </cell>
          <cell r="BO158">
            <v>-5357.4</v>
          </cell>
          <cell r="BP158">
            <v>-5328.9</v>
          </cell>
          <cell r="BQ158">
            <v>-4528.6000000000004</v>
          </cell>
          <cell r="BR158">
            <v>-4422.1000000000004</v>
          </cell>
          <cell r="BS158">
            <v>-3869.8</v>
          </cell>
          <cell r="BT158">
            <v>-3204.3</v>
          </cell>
          <cell r="BU158">
            <v>-2531.8000000000002</v>
          </cell>
          <cell r="BV158">
            <v>-2449.5</v>
          </cell>
          <cell r="BW158">
            <v>-2315.4</v>
          </cell>
          <cell r="BX158">
            <v>-1380.7</v>
          </cell>
          <cell r="BY158">
            <v>-1310.0999999999999</v>
          </cell>
          <cell r="BZ158">
            <v>-621</v>
          </cell>
          <cell r="CA158">
            <v>-844.5</v>
          </cell>
          <cell r="CB158">
            <v>-869.9</v>
          </cell>
          <cell r="CC158">
            <v>-770</v>
          </cell>
          <cell r="CD158">
            <v>-482.2</v>
          </cell>
          <cell r="CE158">
            <v>-447</v>
          </cell>
          <cell r="CF158">
            <v>-40</v>
          </cell>
          <cell r="CG158">
            <v>180.2</v>
          </cell>
          <cell r="CH158">
            <v>464.3</v>
          </cell>
          <cell r="CI158">
            <v>760.9</v>
          </cell>
          <cell r="CJ158">
            <v>1217</v>
          </cell>
          <cell r="CK158">
            <v>1968.5</v>
          </cell>
          <cell r="CL158">
            <v>3632.2</v>
          </cell>
          <cell r="CM158">
            <v>3601</v>
          </cell>
          <cell r="CN158">
            <v>3490.7</v>
          </cell>
          <cell r="CO158">
            <v>4316.7</v>
          </cell>
          <cell r="CP158">
            <v>4851.3999999999996</v>
          </cell>
          <cell r="CQ158">
            <v>4845.8</v>
          </cell>
          <cell r="CR158">
            <v>6315.8</v>
          </cell>
          <cell r="CS158">
            <v>6336.3</v>
          </cell>
          <cell r="CT158">
            <v>7145.6</v>
          </cell>
          <cell r="CU158">
            <v>7108.2</v>
          </cell>
          <cell r="CV158">
            <v>5678.7</v>
          </cell>
          <cell r="CW158">
            <v>5844</v>
          </cell>
          <cell r="CX158">
            <v>6782.7</v>
          </cell>
          <cell r="CY158">
            <v>6887.5</v>
          </cell>
          <cell r="CZ158">
            <v>7030</v>
          </cell>
          <cell r="DA158">
            <v>7050.1</v>
          </cell>
          <cell r="DB158">
            <v>7027</v>
          </cell>
          <cell r="DC158">
            <v>7040.4</v>
          </cell>
          <cell r="DD158">
            <v>7219.7</v>
          </cell>
          <cell r="DE158">
            <v>7229.8</v>
          </cell>
          <cell r="DF158">
            <v>7180.9</v>
          </cell>
          <cell r="DG158">
            <v>7178.9</v>
          </cell>
          <cell r="DH158">
            <v>7237.8</v>
          </cell>
          <cell r="DI158">
            <v>6522.8</v>
          </cell>
          <cell r="DJ158">
            <v>6494.6</v>
          </cell>
          <cell r="DK158">
            <v>6592.5</v>
          </cell>
          <cell r="DL158">
            <v>6567.5</v>
          </cell>
          <cell r="DM158">
            <v>6542.5</v>
          </cell>
          <cell r="DN158">
            <v>6517.5</v>
          </cell>
          <cell r="DO158">
            <v>6492.5</v>
          </cell>
          <cell r="DP158">
            <v>6467.5</v>
          </cell>
          <cell r="DQ158">
            <v>6442.5</v>
          </cell>
          <cell r="DR158">
            <v>6417.5</v>
          </cell>
          <cell r="DS158">
            <v>6392.5</v>
          </cell>
          <cell r="DT158">
            <v>6367.5</v>
          </cell>
          <cell r="DU158">
            <v>6342.5</v>
          </cell>
          <cell r="DV158">
            <v>6317.5</v>
          </cell>
          <cell r="DW158">
            <v>6292.5</v>
          </cell>
        </row>
        <row r="159">
          <cell r="A159" t="str">
            <v>Other LT Regulatory Assets 182</v>
          </cell>
          <cell r="B159" t="str">
            <v>Derivative &amp; Reg Assts/Liabl SUB</v>
          </cell>
          <cell r="C159" t="str">
            <v>Other WIP &amp; (1720201/1720202)</v>
          </cell>
          <cell r="D159" t="str">
            <v>1823113</v>
          </cell>
          <cell r="E159" t="str">
            <v>A_1823113</v>
          </cell>
          <cell r="F159" t="str">
            <v>Accum Provision for Property Insurance-Debit-Curr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746.6</v>
          </cell>
          <cell r="DL159">
            <v>715</v>
          </cell>
          <cell r="DM159">
            <v>683.3</v>
          </cell>
          <cell r="DN159">
            <v>651.6</v>
          </cell>
          <cell r="DO159">
            <v>620</v>
          </cell>
          <cell r="DP159">
            <v>588.29999999999995</v>
          </cell>
          <cell r="DQ159">
            <v>556.6</v>
          </cell>
          <cell r="DR159">
            <v>525</v>
          </cell>
          <cell r="DS159">
            <v>493.3</v>
          </cell>
          <cell r="DT159">
            <v>461.6</v>
          </cell>
          <cell r="DU159">
            <v>430</v>
          </cell>
          <cell r="DV159">
            <v>398.3</v>
          </cell>
          <cell r="DW159">
            <v>366.6</v>
          </cell>
        </row>
        <row r="160">
          <cell r="A160" t="str">
            <v>Other LT Regulatory Assets 182</v>
          </cell>
          <cell r="B160" t="str">
            <v>Derivative &amp; Reg Assts/Liabl SUB</v>
          </cell>
          <cell r="C160" t="str">
            <v>Other WIP &amp; (1720201/1720202)</v>
          </cell>
          <cell r="D160" t="str">
            <v>1823325</v>
          </cell>
          <cell r="E160" t="str">
            <v>A_1823325</v>
          </cell>
          <cell r="F160" t="str">
            <v xml:space="preserve">Oth Reg Asset-Emergency Conditions - COVID-19 (Excess bad debt due to COVID 19) 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550.9</v>
          </cell>
          <cell r="CJ160">
            <v>1385.7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</row>
        <row r="161">
          <cell r="A161" t="str">
            <v>Other LT Regulatory Assets 182</v>
          </cell>
          <cell r="B161" t="str">
            <v>Derivative &amp; Reg Assts/Liabl SUB</v>
          </cell>
          <cell r="C161" t="str">
            <v>Other WIP &amp; (1720201/1720202)</v>
          </cell>
          <cell r="D161" t="str">
            <v>1823331</v>
          </cell>
          <cell r="E161" t="str">
            <v>A_1823331</v>
          </cell>
          <cell r="F161" t="str">
            <v>Oth Reg Asset-TIMP Accrual - Current</v>
          </cell>
          <cell r="CN161">
            <v>-119.8</v>
          </cell>
          <cell r="CO161">
            <v>-239.6</v>
          </cell>
          <cell r="CP161">
            <v>175.7</v>
          </cell>
          <cell r="CQ161">
            <v>56.7</v>
          </cell>
          <cell r="CR161">
            <v>-52.4</v>
          </cell>
          <cell r="CS161">
            <v>441.3</v>
          </cell>
          <cell r="CT161">
            <v>835.3</v>
          </cell>
          <cell r="CU161">
            <v>863.6</v>
          </cell>
          <cell r="CV161">
            <v>913.8</v>
          </cell>
          <cell r="CW161">
            <v>878.2</v>
          </cell>
          <cell r="CX161">
            <v>758.5</v>
          </cell>
          <cell r="CY161">
            <v>638.70000000000005</v>
          </cell>
          <cell r="CZ161">
            <v>518.9</v>
          </cell>
          <cell r="DA161">
            <v>399.1</v>
          </cell>
          <cell r="DB161">
            <v>279.3</v>
          </cell>
          <cell r="DC161">
            <v>234.7</v>
          </cell>
          <cell r="DD161">
            <v>114.9</v>
          </cell>
          <cell r="DE161">
            <v>6.2</v>
          </cell>
          <cell r="DF161">
            <v>-29</v>
          </cell>
          <cell r="DG161">
            <v>-66.5</v>
          </cell>
          <cell r="DH161">
            <v>0</v>
          </cell>
          <cell r="DI161">
            <v>0</v>
          </cell>
          <cell r="DJ161">
            <v>35.6</v>
          </cell>
          <cell r="DK161">
            <v>425.2</v>
          </cell>
          <cell r="DL161">
            <v>305.60000000000002</v>
          </cell>
          <cell r="DM161">
            <v>318.8</v>
          </cell>
          <cell r="DN161">
            <v>332</v>
          </cell>
          <cell r="DO161">
            <v>345.2</v>
          </cell>
          <cell r="DP161">
            <v>358.4</v>
          </cell>
          <cell r="DQ161">
            <v>371.7</v>
          </cell>
          <cell r="DR161">
            <v>384.9</v>
          </cell>
          <cell r="DS161">
            <v>398.1</v>
          </cell>
          <cell r="DT161">
            <v>411.3</v>
          </cell>
          <cell r="DU161">
            <v>424.5</v>
          </cell>
          <cell r="DV161">
            <v>437.7</v>
          </cell>
          <cell r="DW161">
            <v>450.9</v>
          </cell>
        </row>
        <row r="162">
          <cell r="A162" t="str">
            <v>Other LT Regulatory Assets 182</v>
          </cell>
          <cell r="B162" t="str">
            <v>Derivative &amp; Reg Assts/Liabl SUB</v>
          </cell>
          <cell r="C162" t="str">
            <v>Other WIP &amp; (1720201/1720202)</v>
          </cell>
          <cell r="D162" t="str">
            <v>1823612</v>
          </cell>
          <cell r="E162" t="str">
            <v>A_1823612</v>
          </cell>
          <cell r="F162" t="str">
            <v>Oth Reg Asset-Deferred Tax Reform Impact Current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457</v>
          </cell>
          <cell r="DE162">
            <v>0</v>
          </cell>
          <cell r="DF162">
            <v>91.4</v>
          </cell>
          <cell r="DG162">
            <v>182.8</v>
          </cell>
          <cell r="DH162">
            <v>0</v>
          </cell>
          <cell r="DI162">
            <v>91.4</v>
          </cell>
          <cell r="DJ162">
            <v>182.8</v>
          </cell>
          <cell r="DK162">
            <v>0</v>
          </cell>
          <cell r="DL162">
            <v>97.2</v>
          </cell>
          <cell r="DM162">
            <v>194.5</v>
          </cell>
          <cell r="DN162">
            <v>291.7</v>
          </cell>
          <cell r="DO162">
            <v>388.9</v>
          </cell>
          <cell r="DP162">
            <v>486.2</v>
          </cell>
          <cell r="DQ162">
            <v>583.4</v>
          </cell>
          <cell r="DR162">
            <v>680.6</v>
          </cell>
          <cell r="DS162">
            <v>777.9</v>
          </cell>
          <cell r="DT162">
            <v>875.1</v>
          </cell>
          <cell r="DU162">
            <v>972.3</v>
          </cell>
          <cell r="DV162">
            <v>1069.5999999999999</v>
          </cell>
          <cell r="DW162">
            <v>1166.8</v>
          </cell>
        </row>
        <row r="163">
          <cell r="A163" t="str">
            <v>Other LT Regulatory Assets 182</v>
          </cell>
          <cell r="B163" t="str">
            <v>Derivative &amp; Reg Assts/Liabl SUB</v>
          </cell>
          <cell r="C163" t="str">
            <v>Other WIP &amp; (1720201/1720202)</v>
          </cell>
          <cell r="D163" t="str">
            <v>1823340</v>
          </cell>
          <cell r="E163" t="str">
            <v>A_1823340</v>
          </cell>
          <cell r="F163" t="str">
            <v>Oth Reg Asset-Environmental Remediation</v>
          </cell>
          <cell r="G163">
            <v>40439.944000000003</v>
          </cell>
          <cell r="H163">
            <v>40439.9</v>
          </cell>
          <cell r="I163">
            <v>40439.9</v>
          </cell>
          <cell r="J163">
            <v>38439.9</v>
          </cell>
          <cell r="K163">
            <v>38439.9</v>
          </cell>
          <cell r="L163">
            <v>38439.9</v>
          </cell>
          <cell r="M163">
            <v>35939.9</v>
          </cell>
          <cell r="N163">
            <v>35939.9</v>
          </cell>
          <cell r="O163">
            <v>35939.9</v>
          </cell>
          <cell r="P163">
            <v>33284.400000000001</v>
          </cell>
          <cell r="Q163">
            <v>33284.400000000001</v>
          </cell>
          <cell r="R163">
            <v>33284.400000000001</v>
          </cell>
          <cell r="S163">
            <v>33295.599999999999</v>
          </cell>
          <cell r="T163">
            <v>33295.599999999999</v>
          </cell>
          <cell r="U163">
            <v>33295.599999999999</v>
          </cell>
          <cell r="V163">
            <v>33295.599999999999</v>
          </cell>
          <cell r="W163">
            <v>33295.599999999999</v>
          </cell>
          <cell r="X163">
            <v>33295.599999999999</v>
          </cell>
          <cell r="Y163">
            <v>33295.599999999999</v>
          </cell>
          <cell r="Z163">
            <v>33295.599999999999</v>
          </cell>
          <cell r="AA163">
            <v>33295.599999999999</v>
          </cell>
          <cell r="AB163">
            <v>33295.599999999999</v>
          </cell>
          <cell r="AC163">
            <v>33295.599999999999</v>
          </cell>
          <cell r="AD163">
            <v>33295.599999999999</v>
          </cell>
          <cell r="AE163">
            <v>33938.1</v>
          </cell>
          <cell r="AF163">
            <v>33938.1</v>
          </cell>
          <cell r="AG163">
            <v>33938.1</v>
          </cell>
          <cell r="AH163">
            <v>33938.1</v>
          </cell>
          <cell r="AI163">
            <v>33938.1</v>
          </cell>
          <cell r="AJ163">
            <v>33938.1</v>
          </cell>
          <cell r="AK163">
            <v>33938.1</v>
          </cell>
          <cell r="AL163">
            <v>33938.1</v>
          </cell>
          <cell r="AM163">
            <v>33938.1</v>
          </cell>
          <cell r="AN163">
            <v>33938.1</v>
          </cell>
          <cell r="AO163">
            <v>33938.1</v>
          </cell>
          <cell r="AP163">
            <v>33938.1</v>
          </cell>
          <cell r="AQ163">
            <v>31563.3</v>
          </cell>
          <cell r="AR163">
            <v>31563.3</v>
          </cell>
          <cell r="AS163">
            <v>31563.3</v>
          </cell>
          <cell r="AT163">
            <v>30390.799999999999</v>
          </cell>
          <cell r="AU163">
            <v>30390.799999999999</v>
          </cell>
          <cell r="AV163">
            <v>30390.799999999999</v>
          </cell>
          <cell r="AW163">
            <v>30390.799999999999</v>
          </cell>
          <cell r="AX163">
            <v>30390.799999999999</v>
          </cell>
          <cell r="AY163">
            <v>30390.799999999999</v>
          </cell>
          <cell r="AZ163">
            <v>30390.799999999999</v>
          </cell>
          <cell r="BA163">
            <v>30390.799999999999</v>
          </cell>
          <cell r="BB163">
            <v>30390.799999999999</v>
          </cell>
          <cell r="BC163">
            <v>30039.3</v>
          </cell>
          <cell r="BD163">
            <v>30039.3</v>
          </cell>
          <cell r="BE163">
            <v>30039.3</v>
          </cell>
          <cell r="BF163">
            <v>27963.7</v>
          </cell>
          <cell r="BG163">
            <v>27963.7</v>
          </cell>
          <cell r="BH163">
            <v>27963.7</v>
          </cell>
          <cell r="BI163">
            <v>27963.7</v>
          </cell>
          <cell r="BJ163">
            <v>27963.7</v>
          </cell>
          <cell r="BK163">
            <v>27963.7</v>
          </cell>
          <cell r="BL163">
            <v>27963.7</v>
          </cell>
          <cell r="BM163">
            <v>27963.7</v>
          </cell>
          <cell r="BN163">
            <v>27963.7</v>
          </cell>
          <cell r="BO163">
            <v>27962.1</v>
          </cell>
          <cell r="BP163">
            <v>27962.1</v>
          </cell>
          <cell r="BQ163">
            <v>27962.1</v>
          </cell>
          <cell r="BR163">
            <v>27962.1</v>
          </cell>
          <cell r="BS163">
            <v>27962.1</v>
          </cell>
          <cell r="BT163">
            <v>27962.1</v>
          </cell>
          <cell r="BU163">
            <v>27962.1</v>
          </cell>
          <cell r="BV163">
            <v>27962.1</v>
          </cell>
          <cell r="BW163">
            <v>27962.1</v>
          </cell>
          <cell r="BX163">
            <v>27962.1</v>
          </cell>
          <cell r="BY163">
            <v>27962.1</v>
          </cell>
          <cell r="BZ163">
            <v>27962.1</v>
          </cell>
          <cell r="CA163">
            <v>20805.099999999999</v>
          </cell>
          <cell r="CB163">
            <v>20805.099999999999</v>
          </cell>
          <cell r="CC163">
            <v>20805.099999999999</v>
          </cell>
          <cell r="CD163">
            <v>20805.099999999999</v>
          </cell>
          <cell r="CE163">
            <v>20805.099999999999</v>
          </cell>
          <cell r="CF163">
            <v>20805.099999999999</v>
          </cell>
          <cell r="CG163">
            <v>20805.099999999999</v>
          </cell>
          <cell r="CH163">
            <v>20805.099999999999</v>
          </cell>
          <cell r="CI163">
            <v>20805.099999999999</v>
          </cell>
          <cell r="CJ163">
            <v>20805.099999999999</v>
          </cell>
          <cell r="CK163">
            <v>20805.099999999999</v>
          </cell>
          <cell r="CL163">
            <v>20805.099999999999</v>
          </cell>
          <cell r="CM163">
            <v>17404.099999999999</v>
          </cell>
          <cell r="CN163">
            <v>17404.099999999999</v>
          </cell>
          <cell r="CO163">
            <v>17404.099999999999</v>
          </cell>
          <cell r="CP163">
            <v>17404.099999999999</v>
          </cell>
          <cell r="CQ163">
            <v>17404.099999999999</v>
          </cell>
          <cell r="CR163">
            <v>17404.099999999999</v>
          </cell>
          <cell r="CS163">
            <v>17404.099999999999</v>
          </cell>
          <cell r="CT163">
            <v>17404.099999999999</v>
          </cell>
          <cell r="CU163">
            <v>17404.099999999999</v>
          </cell>
          <cell r="CV163">
            <v>17404.099999999999</v>
          </cell>
          <cell r="CW163">
            <v>17404.099999999999</v>
          </cell>
          <cell r="CX163">
            <v>17404.099999999999</v>
          </cell>
          <cell r="CY163">
            <v>13903.9</v>
          </cell>
          <cell r="CZ163">
            <v>13903.9</v>
          </cell>
          <cell r="DA163">
            <v>13903.9</v>
          </cell>
          <cell r="DB163">
            <v>13903.9</v>
          </cell>
          <cell r="DC163">
            <v>13903.9</v>
          </cell>
          <cell r="DD163">
            <v>13903.9</v>
          </cell>
          <cell r="DE163">
            <v>13903.9</v>
          </cell>
          <cell r="DF163">
            <v>13903.9</v>
          </cell>
          <cell r="DG163">
            <v>13903.9</v>
          </cell>
          <cell r="DH163">
            <v>13903.9</v>
          </cell>
          <cell r="DI163">
            <v>13903.9</v>
          </cell>
          <cell r="DJ163">
            <v>13903.9</v>
          </cell>
          <cell r="DK163">
            <v>12618.6</v>
          </cell>
          <cell r="DL163">
            <v>12618.6</v>
          </cell>
          <cell r="DM163">
            <v>12618.6</v>
          </cell>
          <cell r="DN163">
            <v>12618.6</v>
          </cell>
          <cell r="DO163">
            <v>12618.6</v>
          </cell>
          <cell r="DP163">
            <v>12618.6</v>
          </cell>
          <cell r="DQ163">
            <v>12618.6</v>
          </cell>
          <cell r="DR163">
            <v>12618.6</v>
          </cell>
          <cell r="DS163">
            <v>12618.6</v>
          </cell>
          <cell r="DT163">
            <v>12618.6</v>
          </cell>
          <cell r="DU163">
            <v>12618.6</v>
          </cell>
          <cell r="DV163">
            <v>12618.6</v>
          </cell>
          <cell r="DW163">
            <v>11000</v>
          </cell>
        </row>
        <row r="164">
          <cell r="A164" t="str">
            <v>Regulatory Assets 182 &amp; Derivatives 176</v>
          </cell>
          <cell r="B164" t="str">
            <v>Derivative &amp; Reg Assts/Liabl SUB</v>
          </cell>
          <cell r="C164" t="str">
            <v>Other WIP &amp; (1720201/1720202)</v>
          </cell>
          <cell r="D164" t="str">
            <v>1823345</v>
          </cell>
          <cell r="E164" t="str">
            <v>A_1823345</v>
          </cell>
          <cell r="F164" t="str">
            <v>Oth Reg Asset-Environmental Remediation Costs</v>
          </cell>
          <cell r="G164">
            <v>10963.627550000001</v>
          </cell>
          <cell r="H164">
            <v>10991.8</v>
          </cell>
          <cell r="I164">
            <v>12906.3</v>
          </cell>
          <cell r="J164">
            <v>12938.5</v>
          </cell>
          <cell r="K164">
            <v>14172.7</v>
          </cell>
          <cell r="L164">
            <v>15034</v>
          </cell>
          <cell r="M164">
            <v>16051.4</v>
          </cell>
          <cell r="N164">
            <v>17339.5</v>
          </cell>
          <cell r="O164">
            <v>18912.8</v>
          </cell>
          <cell r="P164">
            <v>640.79999999999995</v>
          </cell>
          <cell r="Q164">
            <v>640</v>
          </cell>
          <cell r="R164">
            <v>640</v>
          </cell>
          <cell r="S164">
            <v>640</v>
          </cell>
          <cell r="T164">
            <v>640</v>
          </cell>
          <cell r="U164">
            <v>640</v>
          </cell>
          <cell r="V164">
            <v>640</v>
          </cell>
          <cell r="W164">
            <v>640</v>
          </cell>
          <cell r="X164">
            <v>640</v>
          </cell>
          <cell r="Y164">
            <v>640</v>
          </cell>
          <cell r="Z164">
            <v>651.4</v>
          </cell>
          <cell r="AA164">
            <v>640</v>
          </cell>
          <cell r="AB164">
            <v>640</v>
          </cell>
          <cell r="AC164">
            <v>640</v>
          </cell>
          <cell r="AD164">
            <v>640</v>
          </cell>
          <cell r="AE164">
            <v>640</v>
          </cell>
          <cell r="AF164">
            <v>651.5</v>
          </cell>
          <cell r="AG164">
            <v>651.20000000000005</v>
          </cell>
          <cell r="AH164">
            <v>640</v>
          </cell>
          <cell r="AI164">
            <v>640</v>
          </cell>
          <cell r="AJ164">
            <v>640</v>
          </cell>
          <cell r="AK164">
            <v>640</v>
          </cell>
          <cell r="AL164">
            <v>640</v>
          </cell>
          <cell r="AM164">
            <v>640</v>
          </cell>
          <cell r="AN164">
            <v>640</v>
          </cell>
          <cell r="AO164">
            <v>650.1</v>
          </cell>
          <cell r="AP164">
            <v>640</v>
          </cell>
          <cell r="AQ164">
            <v>5386.3</v>
          </cell>
          <cell r="AR164">
            <v>5489.7</v>
          </cell>
          <cell r="AS164">
            <v>4791.8</v>
          </cell>
          <cell r="AT164">
            <v>4420.5</v>
          </cell>
          <cell r="AU164">
            <v>4092</v>
          </cell>
          <cell r="AV164">
            <v>3912.2</v>
          </cell>
          <cell r="AW164">
            <v>3515.1</v>
          </cell>
          <cell r="AX164">
            <v>3149.4</v>
          </cell>
          <cell r="AY164">
            <v>3302.8</v>
          </cell>
          <cell r="AZ164">
            <v>2483.4</v>
          </cell>
          <cell r="BA164">
            <v>2167.9</v>
          </cell>
          <cell r="BB164">
            <v>1787.1</v>
          </cell>
          <cell r="BC164">
            <v>2643</v>
          </cell>
          <cell r="BD164">
            <v>2921.7</v>
          </cell>
          <cell r="BE164">
            <v>3413.3</v>
          </cell>
          <cell r="BF164">
            <v>572</v>
          </cell>
          <cell r="BG164">
            <v>781.3</v>
          </cell>
          <cell r="BH164">
            <v>861.2</v>
          </cell>
          <cell r="BI164">
            <v>932.6</v>
          </cell>
          <cell r="BJ164">
            <v>1299.5999999999999</v>
          </cell>
          <cell r="BK164">
            <v>1540.6</v>
          </cell>
          <cell r="BL164">
            <v>927.8</v>
          </cell>
          <cell r="BM164">
            <v>927.8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1000</v>
          </cell>
          <cell r="CN164">
            <v>1000</v>
          </cell>
          <cell r="CO164">
            <v>1000</v>
          </cell>
          <cell r="CP164">
            <v>1000</v>
          </cell>
          <cell r="CQ164">
            <v>1000</v>
          </cell>
          <cell r="CR164">
            <v>1000</v>
          </cell>
          <cell r="CS164">
            <v>1000</v>
          </cell>
          <cell r="CT164">
            <v>1000</v>
          </cell>
          <cell r="CU164">
            <v>1000</v>
          </cell>
          <cell r="CV164">
            <v>1000</v>
          </cell>
          <cell r="CW164">
            <v>1000</v>
          </cell>
          <cell r="CX164">
            <v>1000</v>
          </cell>
          <cell r="CY164">
            <v>1000</v>
          </cell>
          <cell r="CZ164">
            <v>1000</v>
          </cell>
          <cell r="DA164">
            <v>1000</v>
          </cell>
          <cell r="DB164">
            <v>1000</v>
          </cell>
          <cell r="DC164">
            <v>1000</v>
          </cell>
          <cell r="DD164">
            <v>1000</v>
          </cell>
          <cell r="DE164">
            <v>1000</v>
          </cell>
          <cell r="DF164">
            <v>999</v>
          </cell>
          <cell r="DG164">
            <v>1000</v>
          </cell>
          <cell r="DH164">
            <v>1000</v>
          </cell>
          <cell r="DI164">
            <v>1000</v>
          </cell>
          <cell r="DJ164">
            <v>1000</v>
          </cell>
          <cell r="DK164">
            <v>1000</v>
          </cell>
          <cell r="DL164">
            <v>1000</v>
          </cell>
          <cell r="DM164">
            <v>1000</v>
          </cell>
          <cell r="DN164">
            <v>1000</v>
          </cell>
          <cell r="DO164">
            <v>1000</v>
          </cell>
          <cell r="DP164">
            <v>1000</v>
          </cell>
          <cell r="DQ164">
            <v>1000</v>
          </cell>
          <cell r="DR164">
            <v>1000</v>
          </cell>
          <cell r="DS164">
            <v>1000</v>
          </cell>
          <cell r="DT164">
            <v>1000</v>
          </cell>
          <cell r="DU164">
            <v>1000</v>
          </cell>
          <cell r="DV164">
            <v>1000</v>
          </cell>
          <cell r="DW164">
            <v>1000</v>
          </cell>
        </row>
        <row r="165">
          <cell r="A165" t="str">
            <v>Other LT Regulatory Assets 182</v>
          </cell>
          <cell r="B165" t="str">
            <v>Derivative &amp; Reg Assts/Liabl SUB</v>
          </cell>
          <cell r="C165" t="str">
            <v>Other WIP &amp; (1720201/1720202)</v>
          </cell>
          <cell r="D165" t="str">
            <v>1823610</v>
          </cell>
          <cell r="E165" t="str">
            <v>A_1823610</v>
          </cell>
          <cell r="F165" t="str">
            <v>Oth Reg Asset-FAS 109 Income Tax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45.6</v>
          </cell>
          <cell r="BX165">
            <v>75.2</v>
          </cell>
          <cell r="BY165">
            <v>98.6</v>
          </cell>
          <cell r="BZ165">
            <v>124.8</v>
          </cell>
          <cell r="CA165">
            <v>158.4</v>
          </cell>
          <cell r="CB165">
            <v>200.7</v>
          </cell>
          <cell r="CC165">
            <v>254.4</v>
          </cell>
          <cell r="CD165">
            <v>317</v>
          </cell>
          <cell r="CE165">
            <v>388.3</v>
          </cell>
          <cell r="CF165">
            <v>475</v>
          </cell>
          <cell r="CG165">
            <v>574.29999999999995</v>
          </cell>
          <cell r="CH165">
            <v>681.1</v>
          </cell>
          <cell r="CI165">
            <v>800.3</v>
          </cell>
          <cell r="CJ165">
            <v>934.1</v>
          </cell>
          <cell r="CK165">
            <v>1039.5999999999999</v>
          </cell>
          <cell r="CL165">
            <v>1116.9000000000001</v>
          </cell>
          <cell r="CM165">
            <v>1206.7</v>
          </cell>
          <cell r="CN165">
            <v>1308</v>
          </cell>
          <cell r="CO165">
            <v>1431.4</v>
          </cell>
          <cell r="CP165">
            <v>1562</v>
          </cell>
          <cell r="CQ165">
            <v>1670.6</v>
          </cell>
          <cell r="CR165">
            <v>1743.8</v>
          </cell>
          <cell r="CS165">
            <v>1819.7</v>
          </cell>
          <cell r="CT165">
            <v>1902.1</v>
          </cell>
          <cell r="CU165">
            <v>1995</v>
          </cell>
          <cell r="CV165">
            <v>2096.6</v>
          </cell>
          <cell r="CW165">
            <v>2205.9</v>
          </cell>
          <cell r="CX165">
            <v>2242.8000000000002</v>
          </cell>
          <cell r="CY165">
            <v>2294.9</v>
          </cell>
          <cell r="CZ165">
            <v>2353.5</v>
          </cell>
          <cell r="DA165">
            <v>2417.4</v>
          </cell>
          <cell r="DB165">
            <v>2487.5</v>
          </cell>
          <cell r="DC165">
            <v>2564.8000000000002</v>
          </cell>
          <cell r="DD165">
            <v>2650.6</v>
          </cell>
          <cell r="DE165">
            <v>2746.8</v>
          </cell>
          <cell r="DF165">
            <v>2854.5</v>
          </cell>
          <cell r="DG165">
            <v>2971.1</v>
          </cell>
          <cell r="DH165">
            <v>3094.2</v>
          </cell>
          <cell r="DI165">
            <v>3148.5</v>
          </cell>
          <cell r="DJ165">
            <v>3229.1</v>
          </cell>
          <cell r="DK165">
            <v>3313.1</v>
          </cell>
          <cell r="DL165">
            <v>3983</v>
          </cell>
          <cell r="DM165">
            <v>4092.6</v>
          </cell>
          <cell r="DN165">
            <v>4208.7</v>
          </cell>
          <cell r="DO165">
            <v>4348.3</v>
          </cell>
          <cell r="DP165">
            <v>4482.3999999999996</v>
          </cell>
          <cell r="DQ165">
            <v>4597.3999999999996</v>
          </cell>
          <cell r="DR165">
            <v>4722.8</v>
          </cell>
          <cell r="DS165">
            <v>4859.6000000000004</v>
          </cell>
          <cell r="DT165">
            <v>5007.2</v>
          </cell>
          <cell r="DU165">
            <v>5164.2</v>
          </cell>
          <cell r="DV165">
            <v>5282.5</v>
          </cell>
          <cell r="DW165">
            <v>5359.8</v>
          </cell>
        </row>
        <row r="166">
          <cell r="D166" t="str">
            <v>182</v>
          </cell>
          <cell r="E166" t="str">
            <v>182</v>
          </cell>
          <cell r="G166">
            <v>74569.40039000001</v>
          </cell>
          <cell r="H166">
            <v>73807</v>
          </cell>
          <cell r="I166">
            <v>74605.5</v>
          </cell>
          <cell r="J166">
            <v>71652.2</v>
          </cell>
          <cell r="K166">
            <v>72666.3</v>
          </cell>
          <cell r="L166">
            <v>73459.3</v>
          </cell>
          <cell r="M166">
            <v>71533</v>
          </cell>
          <cell r="N166">
            <v>75789.899999999994</v>
          </cell>
          <cell r="O166">
            <v>75581.8</v>
          </cell>
          <cell r="P166">
            <v>72967.199999999997</v>
          </cell>
          <cell r="Q166">
            <v>75389.399999999994</v>
          </cell>
          <cell r="R166">
            <v>74709.899999999994</v>
          </cell>
          <cell r="S166">
            <v>84175.4</v>
          </cell>
          <cell r="T166">
            <v>84317.700000000012</v>
          </cell>
          <cell r="U166">
            <v>82614.5</v>
          </cell>
          <cell r="V166">
            <v>82891.100000000006</v>
          </cell>
          <cell r="W166">
            <v>80356.799999999988</v>
          </cell>
          <cell r="X166">
            <v>80538.399999999994</v>
          </cell>
          <cell r="Y166">
            <v>78669.7</v>
          </cell>
          <cell r="Z166">
            <v>78867.799999999988</v>
          </cell>
          <cell r="AA166">
            <v>78723.5</v>
          </cell>
          <cell r="AB166">
            <v>79203.5</v>
          </cell>
          <cell r="AC166">
            <v>81176.700000000012</v>
          </cell>
          <cell r="AD166">
            <v>81724.100000000006</v>
          </cell>
          <cell r="AE166">
            <v>88101</v>
          </cell>
          <cell r="AF166">
            <v>86675.200000000012</v>
          </cell>
          <cell r="AG166">
            <v>87217.999999999985</v>
          </cell>
          <cell r="AH166">
            <v>85048.1</v>
          </cell>
          <cell r="AI166">
            <v>83545.5</v>
          </cell>
          <cell r="AJ166">
            <v>83307.700000000012</v>
          </cell>
          <cell r="AK166">
            <v>81905.899999999994</v>
          </cell>
          <cell r="AL166">
            <v>81878.600000000006</v>
          </cell>
          <cell r="AM166">
            <v>82001.899999999994</v>
          </cell>
          <cell r="AN166">
            <v>90513.5</v>
          </cell>
          <cell r="AO166">
            <v>90725.700000000012</v>
          </cell>
          <cell r="AP166">
            <v>90535.799999999988</v>
          </cell>
          <cell r="AQ166">
            <v>68195.8</v>
          </cell>
          <cell r="AR166">
            <v>68154</v>
          </cell>
          <cell r="AS166">
            <v>67760.2</v>
          </cell>
          <cell r="AT166">
            <v>65417.4</v>
          </cell>
          <cell r="AU166">
            <v>65077.2</v>
          </cell>
          <cell r="AV166">
            <v>64911.5</v>
          </cell>
          <cell r="AW166">
            <v>65295.299999999996</v>
          </cell>
          <cell r="AX166">
            <v>65050.400000000001</v>
          </cell>
          <cell r="AY166">
            <v>65727</v>
          </cell>
          <cell r="AZ166">
            <v>64839.1</v>
          </cell>
          <cell r="BA166">
            <v>66408.099999999991</v>
          </cell>
          <cell r="BB166">
            <v>66663.5</v>
          </cell>
          <cell r="BC166">
            <v>65563.8</v>
          </cell>
          <cell r="BD166">
            <v>64063.8</v>
          </cell>
          <cell r="BE166">
            <v>63790.5</v>
          </cell>
          <cell r="BF166">
            <v>58624.4</v>
          </cell>
          <cell r="BG166">
            <v>59807.600000000006</v>
          </cell>
          <cell r="BH166">
            <v>59612.7</v>
          </cell>
          <cell r="BI166">
            <v>59073.599999999999</v>
          </cell>
          <cell r="BJ166">
            <v>60545.599999999999</v>
          </cell>
          <cell r="BK166">
            <v>61309.999999999993</v>
          </cell>
          <cell r="BL166">
            <v>54177.5</v>
          </cell>
          <cell r="BM166">
            <v>55154.900000000009</v>
          </cell>
          <cell r="BN166">
            <v>54642.8</v>
          </cell>
          <cell r="BO166">
            <v>60717</v>
          </cell>
          <cell r="BP166">
            <v>60268.4</v>
          </cell>
          <cell r="BQ166">
            <v>59706.5</v>
          </cell>
          <cell r="BR166">
            <v>58730.299999999996</v>
          </cell>
          <cell r="BS166">
            <v>58992.099999999991</v>
          </cell>
          <cell r="BT166">
            <v>59300.2</v>
          </cell>
          <cell r="BU166">
            <v>60374.099999999991</v>
          </cell>
          <cell r="BV166">
            <v>61913.7</v>
          </cell>
          <cell r="BW166">
            <v>62777.499999999993</v>
          </cell>
          <cell r="BX166">
            <v>63721.299999999996</v>
          </cell>
          <cell r="BY166">
            <v>64965.799999999996</v>
          </cell>
          <cell r="BZ166">
            <v>66260.500000000015</v>
          </cell>
          <cell r="CA166">
            <v>59279.1</v>
          </cell>
          <cell r="CB166">
            <v>58204.599999999991</v>
          </cell>
          <cell r="CC166">
            <v>57088</v>
          </cell>
          <cell r="CD166">
            <v>55460.4</v>
          </cell>
          <cell r="CE166">
            <v>55736.7</v>
          </cell>
          <cell r="CF166">
            <v>56591.5</v>
          </cell>
          <cell r="CG166">
            <v>56748.4</v>
          </cell>
          <cell r="CH166">
            <v>57595</v>
          </cell>
          <cell r="CI166">
            <v>59327.900000000009</v>
          </cell>
          <cell r="CJ166">
            <v>61308.800000000003</v>
          </cell>
          <cell r="CK166">
            <v>62130.7</v>
          </cell>
          <cell r="CL166">
            <v>64052.5</v>
          </cell>
          <cell r="CM166">
            <v>68727.199999999997</v>
          </cell>
          <cell r="CN166">
            <v>66873</v>
          </cell>
          <cell r="CO166">
            <v>67088.799999999988</v>
          </cell>
          <cell r="CP166">
            <v>66899.399999999994</v>
          </cell>
          <cell r="CQ166">
            <v>66154.399999999994</v>
          </cell>
          <cell r="CR166">
            <v>67223.899999999994</v>
          </cell>
          <cell r="CS166">
            <v>66801.200000000012</v>
          </cell>
          <cell r="CT166">
            <v>68064.800000000003</v>
          </cell>
          <cell r="CU166">
            <v>67829.799999999988</v>
          </cell>
          <cell r="CV166">
            <v>65688.200000000012</v>
          </cell>
          <cell r="CW166">
            <v>66358.2</v>
          </cell>
          <cell r="CX166">
            <v>67016.3</v>
          </cell>
          <cell r="CY166">
            <v>56466.5</v>
          </cell>
          <cell r="CZ166">
            <v>55740.3</v>
          </cell>
          <cell r="DA166">
            <v>55375.9</v>
          </cell>
          <cell r="DB166">
            <v>54550.8</v>
          </cell>
          <cell r="DC166">
            <v>54527.6</v>
          </cell>
          <cell r="DD166">
            <v>54957.799999999996</v>
          </cell>
          <cell r="DE166">
            <v>52713.1</v>
          </cell>
          <cell r="DF166">
            <v>52786.9</v>
          </cell>
          <cell r="DG166">
            <v>52966.8</v>
          </cell>
          <cell r="DH166">
            <v>52715.8</v>
          </cell>
          <cell r="DI166">
            <v>52642.700000000004</v>
          </cell>
          <cell r="DJ166">
            <v>52853.9</v>
          </cell>
          <cell r="DK166">
            <v>60509.2</v>
          </cell>
          <cell r="DL166">
            <v>55783.899999999994</v>
          </cell>
          <cell r="DM166">
            <v>55345.100000000006</v>
          </cell>
          <cell r="DN166">
            <v>54808.099999999991</v>
          </cell>
          <cell r="DO166">
            <v>54998.899999999994</v>
          </cell>
          <cell r="DP166">
            <v>55184.4</v>
          </cell>
          <cell r="DQ166">
            <v>53642.599999999991</v>
          </cell>
          <cell r="DR166">
            <v>53794.299999999996</v>
          </cell>
          <cell r="DS166">
            <v>54109.5</v>
          </cell>
          <cell r="DT166">
            <v>54338.399999999994</v>
          </cell>
          <cell r="DU166">
            <v>55462.19999999999</v>
          </cell>
          <cell r="DV166">
            <v>55975.499999999993</v>
          </cell>
          <cell r="DW166">
            <v>63549.30000000001</v>
          </cell>
          <cell r="EJ166" t="str">
            <v>.</v>
          </cell>
        </row>
        <row r="167">
          <cell r="A167" t="str">
            <v>Clearing Accounts</v>
          </cell>
          <cell r="B167" t="str">
            <v>Other Assets</v>
          </cell>
          <cell r="C167" t="str">
            <v>Clearing Accounts</v>
          </cell>
          <cell r="D167" t="str">
            <v>1840000</v>
          </cell>
          <cell r="E167" t="str">
            <v>A_1840000</v>
          </cell>
          <cell r="F167" t="str">
            <v>Clearing Account - General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</row>
        <row r="168">
          <cell r="A168" t="str">
            <v>Clearing Accounts</v>
          </cell>
          <cell r="B168" t="str">
            <v>Other Assets</v>
          </cell>
          <cell r="C168" t="str">
            <v>Clearing Accounts</v>
          </cell>
          <cell r="D168" t="str">
            <v>1840500</v>
          </cell>
          <cell r="E168" t="str">
            <v>A_1840500</v>
          </cell>
          <cell r="F168" t="str">
            <v>CIS Interface Suspense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</row>
        <row r="169">
          <cell r="A169" t="str">
            <v>Clearing Accounts</v>
          </cell>
          <cell r="B169" t="str">
            <v>Other Assets</v>
          </cell>
          <cell r="C169" t="str">
            <v>Clearing Accounts</v>
          </cell>
          <cell r="D169" t="str">
            <v>1840510</v>
          </cell>
          <cell r="E169" t="str">
            <v>A_1840510</v>
          </cell>
          <cell r="F169" t="str">
            <v xml:space="preserve"> PowerPlant Interface Suspense Account 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</row>
        <row r="170">
          <cell r="A170" t="str">
            <v>Clearing Accounts</v>
          </cell>
          <cell r="B170" t="str">
            <v>Other Assets</v>
          </cell>
          <cell r="C170" t="str">
            <v>Clearing Accounts</v>
          </cell>
          <cell r="D170" t="str">
            <v>1840590</v>
          </cell>
          <cell r="E170" t="str">
            <v>A_1840590</v>
          </cell>
          <cell r="F170" t="str">
            <v>Interface Document Balancing Account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41.8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</row>
        <row r="171">
          <cell r="A171" t="str">
            <v>Clearing Accounts</v>
          </cell>
          <cell r="B171" t="str">
            <v>Other Assets</v>
          </cell>
          <cell r="C171" t="str">
            <v>Clearing Accounts</v>
          </cell>
          <cell r="D171" t="str">
            <v>1840591</v>
          </cell>
          <cell r="E171" t="str">
            <v>A_1840591</v>
          </cell>
          <cell r="F171" t="str">
            <v>HR Document Balancing Account</v>
          </cell>
          <cell r="G171">
            <v>5.5027600000000003</v>
          </cell>
          <cell r="H171">
            <v>5.6</v>
          </cell>
          <cell r="I171">
            <v>5.6</v>
          </cell>
          <cell r="J171">
            <v>5.7</v>
          </cell>
          <cell r="K171">
            <v>5.7</v>
          </cell>
          <cell r="L171">
            <v>5.8</v>
          </cell>
          <cell r="M171">
            <v>5.9</v>
          </cell>
          <cell r="N171">
            <v>5.9</v>
          </cell>
          <cell r="O171">
            <v>6</v>
          </cell>
          <cell r="P171">
            <v>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0.1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EK171" t="str">
            <v>Assume Zero</v>
          </cell>
        </row>
        <row r="172">
          <cell r="D172" t="str">
            <v>184</v>
          </cell>
          <cell r="E172">
            <v>184</v>
          </cell>
          <cell r="G172">
            <v>5.5027600000000003</v>
          </cell>
          <cell r="H172">
            <v>5.6</v>
          </cell>
          <cell r="I172">
            <v>5.6</v>
          </cell>
          <cell r="J172">
            <v>5.7</v>
          </cell>
          <cell r="K172">
            <v>5.7</v>
          </cell>
          <cell r="L172">
            <v>5.8</v>
          </cell>
          <cell r="M172">
            <v>5.9</v>
          </cell>
          <cell r="N172">
            <v>5.9</v>
          </cell>
          <cell r="O172">
            <v>6</v>
          </cell>
          <cell r="P172">
            <v>6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41.8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0.1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EJ172" t="str">
            <v>.</v>
          </cell>
        </row>
        <row r="173">
          <cell r="A173" t="str">
            <v>Other Deferred Debits 186/1720201/1720202</v>
          </cell>
          <cell r="B173" t="str">
            <v>Other Assets</v>
          </cell>
          <cell r="C173" t="str">
            <v>Other WIP &amp; (1720201/1720202)</v>
          </cell>
          <cell r="D173" t="str">
            <v>1860020</v>
          </cell>
          <cell r="E173" t="str">
            <v>A_1860020</v>
          </cell>
          <cell r="F173" t="str">
            <v xml:space="preserve"> Deferred Debits - SERP Trust 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2935.2</v>
          </cell>
          <cell r="AD173">
            <v>2935.2</v>
          </cell>
          <cell r="AE173">
            <v>2935.2</v>
          </cell>
          <cell r="AF173">
            <v>2950.9</v>
          </cell>
          <cell r="AG173">
            <v>2950.9</v>
          </cell>
          <cell r="AH173">
            <v>2950.9</v>
          </cell>
          <cell r="AI173">
            <v>2950.9</v>
          </cell>
          <cell r="AJ173">
            <v>2950.9</v>
          </cell>
          <cell r="AK173">
            <v>2950.9</v>
          </cell>
          <cell r="AL173">
            <v>2950.9</v>
          </cell>
          <cell r="AM173">
            <v>2950.9</v>
          </cell>
          <cell r="AN173">
            <v>2950.9</v>
          </cell>
          <cell r="AO173">
            <v>2950.9</v>
          </cell>
          <cell r="AP173">
            <v>2950.9</v>
          </cell>
          <cell r="AQ173">
            <v>2950.9</v>
          </cell>
          <cell r="AR173">
            <v>2950.9</v>
          </cell>
          <cell r="AS173">
            <v>2366.6</v>
          </cell>
          <cell r="AT173">
            <v>2366.6</v>
          </cell>
          <cell r="AU173">
            <v>2366.6</v>
          </cell>
          <cell r="AV173">
            <v>2366.6</v>
          </cell>
          <cell r="AW173">
            <v>2366.6</v>
          </cell>
          <cell r="AX173">
            <v>2366.6</v>
          </cell>
          <cell r="AY173">
            <v>2366.6</v>
          </cell>
          <cell r="AZ173">
            <v>2366.6</v>
          </cell>
          <cell r="BA173">
            <v>2366.6</v>
          </cell>
          <cell r="BB173">
            <v>2366.6</v>
          </cell>
          <cell r="BC173">
            <v>2366.6</v>
          </cell>
          <cell r="BD173">
            <v>2366.6</v>
          </cell>
          <cell r="BE173">
            <v>2083.3000000000002</v>
          </cell>
          <cell r="BF173">
            <v>2083.3000000000002</v>
          </cell>
          <cell r="BG173">
            <v>2083.3000000000002</v>
          </cell>
          <cell r="BH173">
            <v>2083.3000000000002</v>
          </cell>
          <cell r="BI173">
            <v>2083.3000000000002</v>
          </cell>
          <cell r="BJ173">
            <v>2083.3000000000002</v>
          </cell>
          <cell r="BK173">
            <v>2083.3000000000002</v>
          </cell>
          <cell r="BL173">
            <v>2083.3000000000002</v>
          </cell>
          <cell r="BM173">
            <v>2083.3000000000002</v>
          </cell>
          <cell r="BN173">
            <v>2083.3000000000002</v>
          </cell>
          <cell r="BO173">
            <v>2083.3000000000002</v>
          </cell>
          <cell r="BP173">
            <v>1876.5</v>
          </cell>
          <cell r="BQ173">
            <v>1876.5</v>
          </cell>
          <cell r="BR173">
            <v>1876.5</v>
          </cell>
          <cell r="BS173">
            <v>1876.5</v>
          </cell>
          <cell r="BT173">
            <v>1876.5</v>
          </cell>
          <cell r="BU173">
            <v>1876.5</v>
          </cell>
          <cell r="BV173">
            <v>1876.5</v>
          </cell>
          <cell r="BW173">
            <v>1876.5</v>
          </cell>
          <cell r="BX173">
            <v>1876.5</v>
          </cell>
          <cell r="BY173">
            <v>1876.5</v>
          </cell>
          <cell r="BZ173">
            <v>1876.5</v>
          </cell>
          <cell r="CA173">
            <v>1876.5</v>
          </cell>
          <cell r="CB173">
            <v>1876.5</v>
          </cell>
          <cell r="CC173">
            <v>1876.5</v>
          </cell>
          <cell r="CD173">
            <v>1876.5</v>
          </cell>
          <cell r="CE173">
            <v>1876.5</v>
          </cell>
          <cell r="CF173">
            <v>1876.5</v>
          </cell>
          <cell r="CG173">
            <v>1876.5</v>
          </cell>
          <cell r="CH173">
            <v>1876.5</v>
          </cell>
          <cell r="CI173">
            <v>1876.5</v>
          </cell>
          <cell r="CJ173">
            <v>1876.5</v>
          </cell>
          <cell r="CK173">
            <v>1876.5</v>
          </cell>
          <cell r="CL173">
            <v>1876.5</v>
          </cell>
          <cell r="CM173">
            <v>1876.5</v>
          </cell>
          <cell r="CN173">
            <v>1652</v>
          </cell>
          <cell r="CO173">
            <v>1652</v>
          </cell>
          <cell r="CP173">
            <v>1652</v>
          </cell>
          <cell r="CQ173">
            <v>1652</v>
          </cell>
          <cell r="CR173">
            <v>1652</v>
          </cell>
          <cell r="CS173">
            <v>1652</v>
          </cell>
          <cell r="CT173">
            <v>1652</v>
          </cell>
          <cell r="CU173">
            <v>1652</v>
          </cell>
          <cell r="CV173">
            <v>1652</v>
          </cell>
          <cell r="CW173">
            <v>1652</v>
          </cell>
          <cell r="CX173">
            <v>1652</v>
          </cell>
          <cell r="CY173">
            <v>1652</v>
          </cell>
          <cell r="CZ173">
            <v>1652</v>
          </cell>
          <cell r="DA173">
            <v>1474.9</v>
          </cell>
          <cell r="DB173">
            <v>1474.9</v>
          </cell>
          <cell r="DC173">
            <v>1474.9</v>
          </cell>
          <cell r="DD173">
            <v>1474.9</v>
          </cell>
          <cell r="DE173">
            <v>1474.9</v>
          </cell>
          <cell r="DF173">
            <v>1474.9</v>
          </cell>
          <cell r="DG173">
            <v>1474.9</v>
          </cell>
          <cell r="DH173">
            <v>1474.9</v>
          </cell>
          <cell r="DI173">
            <v>1474.9</v>
          </cell>
          <cell r="DJ173">
            <v>1474.9</v>
          </cell>
          <cell r="DK173">
            <v>1474.9</v>
          </cell>
          <cell r="DL173">
            <v>1474.9</v>
          </cell>
          <cell r="DM173">
            <v>1274.9000000000001</v>
          </cell>
          <cell r="DN173">
            <v>1274.9000000000001</v>
          </cell>
          <cell r="DO173">
            <v>1274.9000000000001</v>
          </cell>
          <cell r="DP173">
            <v>1274.9000000000001</v>
          </cell>
          <cell r="DQ173">
            <v>1274.9000000000001</v>
          </cell>
          <cell r="DR173">
            <v>1274.9000000000001</v>
          </cell>
          <cell r="DS173">
            <v>1274.9000000000001</v>
          </cell>
          <cell r="DT173">
            <v>1274.9000000000001</v>
          </cell>
          <cell r="DU173">
            <v>1274.9000000000001</v>
          </cell>
          <cell r="DV173">
            <v>1274.9000000000001</v>
          </cell>
          <cell r="DW173">
            <v>1274.9000000000001</v>
          </cell>
        </row>
        <row r="174">
          <cell r="A174" t="str">
            <v>Other Deferred Debits 186/1720201/1720202</v>
          </cell>
          <cell r="B174" t="str">
            <v>Other Assets</v>
          </cell>
          <cell r="C174" t="str">
            <v>Other WIP &amp; (1720201/1720202)</v>
          </cell>
          <cell r="D174" t="str">
            <v>1860800</v>
          </cell>
          <cell r="E174" t="str">
            <v>A_1860800</v>
          </cell>
          <cell r="F174" t="str">
            <v>Deferred Debits - Other</v>
          </cell>
          <cell r="G174">
            <v>86.795960000000008</v>
          </cell>
          <cell r="H174">
            <v>88.4</v>
          </cell>
          <cell r="I174">
            <v>90</v>
          </cell>
          <cell r="J174">
            <v>90.8</v>
          </cell>
          <cell r="K174">
            <v>99.3</v>
          </cell>
          <cell r="L174">
            <v>110.2</v>
          </cell>
          <cell r="M174">
            <v>76.900000000000006</v>
          </cell>
          <cell r="N174">
            <v>60</v>
          </cell>
          <cell r="O174">
            <v>58.5</v>
          </cell>
          <cell r="P174">
            <v>62.9</v>
          </cell>
          <cell r="Q174">
            <v>65.400000000000006</v>
          </cell>
          <cell r="R174">
            <v>65.599999999999994</v>
          </cell>
          <cell r="S174">
            <v>68.900000000000006</v>
          </cell>
          <cell r="T174">
            <v>72.900000000000006</v>
          </cell>
          <cell r="U174">
            <v>72.900000000000006</v>
          </cell>
          <cell r="V174">
            <v>76.900000000000006</v>
          </cell>
          <cell r="W174">
            <v>56.5</v>
          </cell>
          <cell r="X174">
            <v>114.1</v>
          </cell>
          <cell r="Y174">
            <v>139.19999999999999</v>
          </cell>
          <cell r="Z174">
            <v>79.7</v>
          </cell>
          <cell r="AA174">
            <v>407.4</v>
          </cell>
          <cell r="AB174">
            <v>86.4</v>
          </cell>
          <cell r="AC174">
            <v>88.2</v>
          </cell>
          <cell r="AD174">
            <v>107.6</v>
          </cell>
          <cell r="AE174">
            <v>159.1</v>
          </cell>
          <cell r="AF174">
            <v>161.4</v>
          </cell>
          <cell r="AG174">
            <v>114.7</v>
          </cell>
          <cell r="AH174">
            <v>117</v>
          </cell>
          <cell r="AI174">
            <v>96.8</v>
          </cell>
          <cell r="AJ174">
            <v>104.6</v>
          </cell>
          <cell r="AK174">
            <v>168.4</v>
          </cell>
          <cell r="AL174">
            <v>171.1</v>
          </cell>
          <cell r="AM174">
            <v>155.19999999999999</v>
          </cell>
          <cell r="AN174">
            <v>192.4</v>
          </cell>
          <cell r="AO174">
            <v>323.8</v>
          </cell>
          <cell r="AP174">
            <v>332.7</v>
          </cell>
          <cell r="AQ174">
            <v>231.6</v>
          </cell>
          <cell r="AR174">
            <v>2496.6</v>
          </cell>
          <cell r="AS174">
            <v>3203.4</v>
          </cell>
          <cell r="AT174">
            <v>3451.7</v>
          </cell>
          <cell r="AU174">
            <v>3357.3</v>
          </cell>
          <cell r="AV174">
            <v>3112.9</v>
          </cell>
          <cell r="AW174">
            <v>3171.3</v>
          </cell>
          <cell r="AX174">
            <v>3153.3</v>
          </cell>
          <cell r="AY174">
            <v>3158.7</v>
          </cell>
          <cell r="AZ174">
            <v>3509.2</v>
          </cell>
          <cell r="BA174">
            <v>3482.2</v>
          </cell>
          <cell r="BB174">
            <v>3507.7</v>
          </cell>
          <cell r="BC174">
            <v>3500.8</v>
          </cell>
          <cell r="BD174">
            <v>3319.9</v>
          </cell>
          <cell r="BE174">
            <v>3422.7</v>
          </cell>
          <cell r="BF174">
            <v>3406.3</v>
          </cell>
          <cell r="BG174">
            <v>3475</v>
          </cell>
          <cell r="BH174">
            <v>3375.5</v>
          </cell>
          <cell r="BI174">
            <v>3378.1</v>
          </cell>
          <cell r="BJ174">
            <v>3362.5</v>
          </cell>
          <cell r="BK174">
            <v>3780.1</v>
          </cell>
          <cell r="BL174">
            <v>3416.1</v>
          </cell>
          <cell r="BM174">
            <v>4589.2</v>
          </cell>
          <cell r="BN174">
            <v>6514.3</v>
          </cell>
          <cell r="BO174">
            <v>2851.7</v>
          </cell>
          <cell r="BP174">
            <v>2833.1</v>
          </cell>
          <cell r="BQ174">
            <v>2817.1</v>
          </cell>
          <cell r="BR174">
            <v>2867.1</v>
          </cell>
          <cell r="BS174">
            <v>2824</v>
          </cell>
          <cell r="BT174">
            <v>2814.9</v>
          </cell>
          <cell r="BU174">
            <v>2775.8</v>
          </cell>
          <cell r="BV174">
            <v>2724.9</v>
          </cell>
          <cell r="BW174">
            <v>2949.9</v>
          </cell>
          <cell r="BX174">
            <v>3083.4</v>
          </cell>
          <cell r="BY174">
            <v>3240</v>
          </cell>
          <cell r="BZ174">
            <v>3353.5</v>
          </cell>
          <cell r="CA174">
            <v>2931.9</v>
          </cell>
          <cell r="CB174">
            <v>2907</v>
          </cell>
          <cell r="CC174">
            <v>2734.4</v>
          </cell>
          <cell r="CD174">
            <v>2949.8</v>
          </cell>
          <cell r="CE174">
            <v>3160.7</v>
          </cell>
          <cell r="CF174">
            <v>3420</v>
          </cell>
          <cell r="CG174">
            <v>3432.7</v>
          </cell>
          <cell r="CH174">
            <v>3478.5</v>
          </cell>
          <cell r="CI174">
            <v>3792.1</v>
          </cell>
          <cell r="CJ174">
            <v>3985.3</v>
          </cell>
          <cell r="CK174">
            <v>4106.8</v>
          </cell>
          <cell r="CL174">
            <v>3557.2</v>
          </cell>
          <cell r="CM174">
            <v>2179.5</v>
          </cell>
          <cell r="CN174">
            <v>2158.4</v>
          </cell>
          <cell r="CO174">
            <v>2143.1999999999998</v>
          </cell>
          <cell r="CP174">
            <v>2133.8000000000002</v>
          </cell>
          <cell r="CQ174">
            <v>2122.5</v>
          </cell>
          <cell r="CR174">
            <v>2109.8000000000002</v>
          </cell>
          <cell r="CS174">
            <v>2094.3000000000002</v>
          </cell>
          <cell r="CT174">
            <v>2090.6999999999998</v>
          </cell>
          <cell r="CU174">
            <v>2072.9</v>
          </cell>
          <cell r="CV174">
            <v>2054.8000000000002</v>
          </cell>
          <cell r="CW174">
            <v>2131.6</v>
          </cell>
          <cell r="CX174">
            <v>2086.4</v>
          </cell>
          <cell r="CY174">
            <v>2430.5</v>
          </cell>
          <cell r="CZ174">
            <v>2350.6999999999998</v>
          </cell>
          <cell r="DA174">
            <v>2243</v>
          </cell>
          <cell r="DB174">
            <v>2033.8</v>
          </cell>
          <cell r="DC174">
            <v>2230.1999999999998</v>
          </cell>
          <cell r="DD174">
            <v>2276.1</v>
          </cell>
          <cell r="DE174">
            <v>2307.1999999999998</v>
          </cell>
          <cell r="DF174">
            <v>2270.8000000000002</v>
          </cell>
          <cell r="DG174">
            <v>2303.5</v>
          </cell>
          <cell r="DH174">
            <v>2319.4</v>
          </cell>
          <cell r="DI174">
            <v>2373.9</v>
          </cell>
          <cell r="DJ174">
            <v>2388.8000000000002</v>
          </cell>
          <cell r="DK174">
            <v>2868.2</v>
          </cell>
          <cell r="DL174">
            <v>1877.6</v>
          </cell>
          <cell r="DM174">
            <v>1885.6</v>
          </cell>
          <cell r="DN174">
            <v>1893.5</v>
          </cell>
          <cell r="DO174">
            <v>1932.9</v>
          </cell>
          <cell r="DP174">
            <v>1972.2</v>
          </cell>
          <cell r="DQ174">
            <v>2011.6</v>
          </cell>
          <cell r="DR174">
            <v>2071.8000000000002</v>
          </cell>
          <cell r="DS174">
            <v>2163.5</v>
          </cell>
          <cell r="DT174">
            <v>2359.9</v>
          </cell>
          <cell r="DU174">
            <v>2556.3000000000002</v>
          </cell>
          <cell r="DV174">
            <v>2669</v>
          </cell>
          <cell r="DW174">
            <v>1713.7</v>
          </cell>
          <cell r="EK174" t="str">
            <v>Took  yr ending 7&amp;5 bal of $2,025 and subtr 13k/mo</v>
          </cell>
          <cell r="EL174" t="str">
            <v>A_1860800</v>
          </cell>
          <cell r="EM174">
            <v>2012700</v>
          </cell>
          <cell r="EN174">
            <v>1999700</v>
          </cell>
          <cell r="EO174">
            <v>1986700</v>
          </cell>
          <cell r="EP174">
            <v>1973700</v>
          </cell>
          <cell r="EQ174">
            <v>1960700</v>
          </cell>
          <cell r="ER174">
            <v>1947700</v>
          </cell>
          <cell r="ES174">
            <v>1934700</v>
          </cell>
          <cell r="ET174">
            <v>1921700</v>
          </cell>
          <cell r="EU174">
            <v>1908700</v>
          </cell>
          <cell r="EV174">
            <v>1895700</v>
          </cell>
          <cell r="EW174">
            <v>1882700</v>
          </cell>
          <cell r="EX174">
            <v>1869700</v>
          </cell>
        </row>
        <row r="175">
          <cell r="D175" t="str">
            <v>186</v>
          </cell>
          <cell r="E175">
            <v>186</v>
          </cell>
          <cell r="G175">
            <v>86.795959999999994</v>
          </cell>
          <cell r="H175">
            <v>88.4</v>
          </cell>
          <cell r="I175">
            <v>90</v>
          </cell>
          <cell r="J175">
            <v>90.8</v>
          </cell>
          <cell r="K175">
            <v>99.3</v>
          </cell>
          <cell r="L175">
            <v>110.2</v>
          </cell>
          <cell r="M175">
            <v>76.900000000000006</v>
          </cell>
          <cell r="N175">
            <v>60</v>
          </cell>
          <cell r="O175">
            <v>58.5</v>
          </cell>
          <cell r="P175">
            <v>62.9</v>
          </cell>
          <cell r="Q175">
            <v>65.400000000000006</v>
          </cell>
          <cell r="R175">
            <v>65.599999999999994</v>
          </cell>
          <cell r="S175">
            <v>68.900000000000006</v>
          </cell>
          <cell r="T175">
            <v>72.900000000000006</v>
          </cell>
          <cell r="U175">
            <v>72.900000000000006</v>
          </cell>
          <cell r="V175">
            <v>76.900000000000006</v>
          </cell>
          <cell r="W175">
            <v>56.5</v>
          </cell>
          <cell r="X175">
            <v>114.1</v>
          </cell>
          <cell r="Y175">
            <v>139.19999999999999</v>
          </cell>
          <cell r="Z175">
            <v>79.7</v>
          </cell>
          <cell r="AA175">
            <v>407.4</v>
          </cell>
          <cell r="AB175">
            <v>86.4</v>
          </cell>
          <cell r="AC175">
            <v>3023.3999999999996</v>
          </cell>
          <cell r="AD175">
            <v>3042.7999999999997</v>
          </cell>
          <cell r="AE175">
            <v>3094.2999999999997</v>
          </cell>
          <cell r="AF175">
            <v>3112.3</v>
          </cell>
          <cell r="AG175">
            <v>3065.6</v>
          </cell>
          <cell r="AH175">
            <v>3067.9</v>
          </cell>
          <cell r="AI175">
            <v>3047.7000000000003</v>
          </cell>
          <cell r="AJ175">
            <v>3055.5</v>
          </cell>
          <cell r="AK175">
            <v>3119.3</v>
          </cell>
          <cell r="AL175">
            <v>3122</v>
          </cell>
          <cell r="AM175">
            <v>3106.1</v>
          </cell>
          <cell r="AN175">
            <v>3143.3</v>
          </cell>
          <cell r="AO175">
            <v>3274.7000000000003</v>
          </cell>
          <cell r="AP175">
            <v>3283.6</v>
          </cell>
          <cell r="AQ175">
            <v>3182.5</v>
          </cell>
          <cell r="AR175">
            <v>5447.5</v>
          </cell>
          <cell r="AS175">
            <v>5570</v>
          </cell>
          <cell r="AT175">
            <v>5818.2999999999993</v>
          </cell>
          <cell r="AU175">
            <v>5723.9</v>
          </cell>
          <cell r="AV175">
            <v>5479.5</v>
          </cell>
          <cell r="AW175">
            <v>5537.9</v>
          </cell>
          <cell r="AX175">
            <v>5519.9</v>
          </cell>
          <cell r="AY175">
            <v>5525.2999999999993</v>
          </cell>
          <cell r="AZ175">
            <v>5875.7999999999993</v>
          </cell>
          <cell r="BA175">
            <v>5848.7999999999993</v>
          </cell>
          <cell r="BB175">
            <v>5874.2999999999993</v>
          </cell>
          <cell r="BC175">
            <v>5867.4</v>
          </cell>
          <cell r="BD175">
            <v>5686.5</v>
          </cell>
          <cell r="BE175">
            <v>5506</v>
          </cell>
          <cell r="BF175">
            <v>5489.6</v>
          </cell>
          <cell r="BG175">
            <v>5558.3</v>
          </cell>
          <cell r="BH175">
            <v>5458.8</v>
          </cell>
          <cell r="BI175">
            <v>5461.4</v>
          </cell>
          <cell r="BJ175">
            <v>5445.8</v>
          </cell>
          <cell r="BK175">
            <v>5863.4</v>
          </cell>
          <cell r="BL175">
            <v>5499.4</v>
          </cell>
          <cell r="BM175">
            <v>6672.5</v>
          </cell>
          <cell r="BN175">
            <v>8597.6</v>
          </cell>
          <cell r="BO175">
            <v>4935</v>
          </cell>
          <cell r="BP175">
            <v>4709.6000000000004</v>
          </cell>
          <cell r="BQ175">
            <v>4693.6000000000004</v>
          </cell>
          <cell r="BR175">
            <v>4743.6000000000004</v>
          </cell>
          <cell r="BS175">
            <v>4700.5</v>
          </cell>
          <cell r="BT175">
            <v>4691.3999999999996</v>
          </cell>
          <cell r="BU175">
            <v>4652.3</v>
          </cell>
          <cell r="BV175">
            <v>4601.3999999999996</v>
          </cell>
          <cell r="BW175">
            <v>4826.3999999999996</v>
          </cell>
          <cell r="BX175">
            <v>4959.8999999999996</v>
          </cell>
          <cell r="BY175">
            <v>5116.5</v>
          </cell>
          <cell r="BZ175">
            <v>5230</v>
          </cell>
          <cell r="CA175">
            <v>4808.3999999999996</v>
          </cell>
          <cell r="CB175">
            <v>4783.5</v>
          </cell>
          <cell r="CC175">
            <v>4610.8999999999996</v>
          </cell>
          <cell r="CD175">
            <v>4826.3</v>
          </cell>
          <cell r="CE175">
            <v>5037.2</v>
          </cell>
          <cell r="CF175">
            <v>5296.5</v>
          </cell>
          <cell r="CG175">
            <v>5309.2</v>
          </cell>
          <cell r="CH175">
            <v>5355</v>
          </cell>
          <cell r="CI175">
            <v>5668.6</v>
          </cell>
          <cell r="CJ175">
            <v>5861.8</v>
          </cell>
          <cell r="CK175">
            <v>5983.3</v>
          </cell>
          <cell r="CL175">
            <v>5433.7</v>
          </cell>
          <cell r="CM175">
            <v>4056</v>
          </cell>
          <cell r="CN175">
            <v>3810.4</v>
          </cell>
          <cell r="CO175">
            <v>3795.2</v>
          </cell>
          <cell r="CP175">
            <v>3785.8</v>
          </cell>
          <cell r="CQ175">
            <v>3774.5</v>
          </cell>
          <cell r="CR175">
            <v>3761.8</v>
          </cell>
          <cell r="CS175">
            <v>3746.3</v>
          </cell>
          <cell r="CT175">
            <v>3742.7</v>
          </cell>
          <cell r="CU175">
            <v>3724.9</v>
          </cell>
          <cell r="CV175">
            <v>3706.8</v>
          </cell>
          <cell r="CW175">
            <v>3783.6</v>
          </cell>
          <cell r="CX175">
            <v>3738.4</v>
          </cell>
          <cell r="CY175">
            <v>4082.5</v>
          </cell>
          <cell r="CZ175">
            <v>4002.7</v>
          </cell>
          <cell r="DA175">
            <v>3717.9</v>
          </cell>
          <cell r="DB175">
            <v>3508.7</v>
          </cell>
          <cell r="DC175">
            <v>3705.1</v>
          </cell>
          <cell r="DD175">
            <v>3751</v>
          </cell>
          <cell r="DE175">
            <v>3782.1</v>
          </cell>
          <cell r="DF175">
            <v>3745.7000000000003</v>
          </cell>
          <cell r="DG175">
            <v>3778.4</v>
          </cell>
          <cell r="DH175">
            <v>3794.3</v>
          </cell>
          <cell r="DI175">
            <v>3848.8</v>
          </cell>
          <cell r="DJ175">
            <v>3863.7000000000003</v>
          </cell>
          <cell r="DK175">
            <v>4343.1000000000004</v>
          </cell>
          <cell r="DL175">
            <v>3352.5</v>
          </cell>
          <cell r="DM175">
            <v>3160.5</v>
          </cell>
          <cell r="DN175">
            <v>3168.4</v>
          </cell>
          <cell r="DO175">
            <v>3207.8</v>
          </cell>
          <cell r="DP175">
            <v>3247.1000000000004</v>
          </cell>
          <cell r="DQ175">
            <v>3286.5</v>
          </cell>
          <cell r="DR175">
            <v>3346.7000000000003</v>
          </cell>
          <cell r="DS175">
            <v>3438.4</v>
          </cell>
          <cell r="DT175">
            <v>3634.8</v>
          </cell>
          <cell r="DU175">
            <v>3831.2000000000003</v>
          </cell>
          <cell r="DV175">
            <v>3943.9</v>
          </cell>
          <cell r="DW175">
            <v>2988.6000000000004</v>
          </cell>
          <cell r="EJ175" t="str">
            <v>.</v>
          </cell>
        </row>
        <row r="176">
          <cell r="A176" t="str">
            <v>Unamortized DD&amp;E</v>
          </cell>
          <cell r="B176" t="str">
            <v>Derivative &amp; Reg Assts/Liabl SUB</v>
          </cell>
          <cell r="C176" t="str">
            <v>Unamortized DD&amp;E</v>
          </cell>
          <cell r="D176" t="str">
            <v>1890200</v>
          </cell>
          <cell r="E176" t="str">
            <v>A_1890200</v>
          </cell>
          <cell r="F176" t="str">
            <v>Unamortized Loss on Reacquired Debt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</row>
        <row r="177">
          <cell r="D177" t="str">
            <v>189</v>
          </cell>
          <cell r="E177" t="str">
            <v>189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EJ177" t="str">
            <v>.</v>
          </cell>
        </row>
        <row r="178">
          <cell r="A178" t="str">
            <v>Deferred Tax Assets</v>
          </cell>
          <cell r="B178" t="str">
            <v>T_190</v>
          </cell>
          <cell r="C178" t="str">
            <v>Deferred Tax Assets</v>
          </cell>
          <cell r="D178" t="str">
            <v>1900300</v>
          </cell>
          <cell r="E178" t="str">
            <v>A_1900300</v>
          </cell>
          <cell r="F178" t="str">
            <v>Deferred Tax Asset - Federal</v>
          </cell>
          <cell r="G178">
            <v>21628.00188</v>
          </cell>
          <cell r="H178">
            <v>21257.200000000001</v>
          </cell>
          <cell r="I178">
            <v>21078.400000000001</v>
          </cell>
          <cell r="J178">
            <v>21506.6</v>
          </cell>
          <cell r="K178">
            <v>21627.599999999999</v>
          </cell>
          <cell r="L178">
            <v>21756.799999999999</v>
          </cell>
          <cell r="M178">
            <v>21684.7</v>
          </cell>
          <cell r="N178">
            <v>21598.3</v>
          </cell>
          <cell r="O178">
            <v>21307.3</v>
          </cell>
          <cell r="P178">
            <v>21850</v>
          </cell>
          <cell r="Q178">
            <v>22200.6</v>
          </cell>
          <cell r="R178">
            <v>20151.400000000001</v>
          </cell>
          <cell r="S178">
            <v>20385.2</v>
          </cell>
          <cell r="T178">
            <v>20788.7</v>
          </cell>
          <cell r="U178">
            <v>20106.5</v>
          </cell>
          <cell r="V178">
            <v>20561.599999999999</v>
          </cell>
          <cell r="W178">
            <v>20849.2</v>
          </cell>
          <cell r="X178">
            <v>20841</v>
          </cell>
          <cell r="Y178">
            <v>20797.7</v>
          </cell>
          <cell r="Z178">
            <v>20825.8</v>
          </cell>
          <cell r="AA178">
            <v>20862.3</v>
          </cell>
          <cell r="AB178">
            <v>20857</v>
          </cell>
          <cell r="AC178">
            <v>20873.8</v>
          </cell>
          <cell r="AD178">
            <v>21019.8</v>
          </cell>
          <cell r="AE178">
            <v>21158.400000000001</v>
          </cell>
          <cell r="AF178">
            <v>21417.8</v>
          </cell>
          <cell r="AG178">
            <v>21071.599999999999</v>
          </cell>
          <cell r="AH178">
            <v>21388.5</v>
          </cell>
          <cell r="AI178">
            <v>21532.9</v>
          </cell>
          <cell r="AJ178">
            <v>21621.3</v>
          </cell>
          <cell r="AK178">
            <v>21618.5</v>
          </cell>
          <cell r="AL178">
            <v>21727.4</v>
          </cell>
          <cell r="AM178">
            <v>21869</v>
          </cell>
          <cell r="AN178">
            <v>22072.3</v>
          </cell>
          <cell r="AO178">
            <v>22031</v>
          </cell>
          <cell r="AP178">
            <v>21862.5</v>
          </cell>
          <cell r="AQ178">
            <v>27089.3</v>
          </cell>
          <cell r="AR178">
            <v>27867.599999999999</v>
          </cell>
          <cell r="AS178">
            <v>27024.9</v>
          </cell>
          <cell r="AT178">
            <v>27485.7</v>
          </cell>
          <cell r="AU178">
            <v>27752.400000000001</v>
          </cell>
          <cell r="AV178">
            <v>27906.9</v>
          </cell>
          <cell r="AW178">
            <v>28134.6</v>
          </cell>
          <cell r="AX178">
            <v>28295.5</v>
          </cell>
          <cell r="AY178">
            <v>28284.7</v>
          </cell>
          <cell r="AZ178">
            <v>28880.2</v>
          </cell>
          <cell r="BA178">
            <v>28810</v>
          </cell>
          <cell r="BB178">
            <v>28935.8</v>
          </cell>
          <cell r="BC178">
            <v>28470.9</v>
          </cell>
          <cell r="BD178">
            <v>28952.7</v>
          </cell>
          <cell r="BE178">
            <v>28723.599999999999</v>
          </cell>
          <cell r="BF178">
            <v>29590.799999999999</v>
          </cell>
          <cell r="BG178">
            <v>29837.5</v>
          </cell>
          <cell r="BH178">
            <v>30042.6</v>
          </cell>
          <cell r="BI178">
            <v>30184</v>
          </cell>
          <cell r="BJ178">
            <v>30238.5</v>
          </cell>
          <cell r="BK178">
            <v>30268.799999999999</v>
          </cell>
          <cell r="BL178">
            <v>31645.200000000001</v>
          </cell>
          <cell r="BM178">
            <v>31702</v>
          </cell>
          <cell r="BN178">
            <v>31735.599999999999</v>
          </cell>
          <cell r="BO178">
            <v>31216.1</v>
          </cell>
          <cell r="BP178">
            <v>31397.9</v>
          </cell>
          <cell r="BQ178">
            <v>30783.8</v>
          </cell>
          <cell r="BR178">
            <v>31277.4</v>
          </cell>
          <cell r="BS178">
            <v>31372</v>
          </cell>
          <cell r="BT178">
            <v>31401.3</v>
          </cell>
          <cell r="BU178">
            <v>31505.5</v>
          </cell>
          <cell r="BV178">
            <v>31733.9</v>
          </cell>
          <cell r="BW178">
            <v>31809.5</v>
          </cell>
          <cell r="BX178">
            <v>31797.200000000001</v>
          </cell>
          <cell r="BY178">
            <v>31897</v>
          </cell>
          <cell r="BZ178">
            <v>32129.9</v>
          </cell>
          <cell r="CA178">
            <v>32387.5</v>
          </cell>
          <cell r="CB178">
            <v>32844.6</v>
          </cell>
          <cell r="CC178">
            <v>32082.1</v>
          </cell>
          <cell r="CD178">
            <v>32342.1</v>
          </cell>
          <cell r="CE178">
            <v>32546.3</v>
          </cell>
          <cell r="CF178">
            <v>32657.5</v>
          </cell>
          <cell r="CG178">
            <v>33002.699999999997</v>
          </cell>
          <cell r="CH178">
            <v>33075.800000000003</v>
          </cell>
          <cell r="CI178">
            <v>33031</v>
          </cell>
          <cell r="CJ178">
            <v>33295.599999999999</v>
          </cell>
          <cell r="CK178">
            <v>33349.699999999997</v>
          </cell>
          <cell r="CL178">
            <v>33167.699999999997</v>
          </cell>
          <cell r="CM178">
            <v>33742.300000000003</v>
          </cell>
          <cell r="CN178">
            <v>34280.9</v>
          </cell>
          <cell r="CO178">
            <v>34560</v>
          </cell>
          <cell r="CP178">
            <v>33215.300000000003</v>
          </cell>
          <cell r="CQ178">
            <v>33568.6</v>
          </cell>
          <cell r="CR178">
            <v>33524.400000000001</v>
          </cell>
          <cell r="CS178">
            <v>33843.800000000003</v>
          </cell>
          <cell r="CT178">
            <v>33936.1</v>
          </cell>
          <cell r="CU178">
            <v>34166.6</v>
          </cell>
          <cell r="CV178">
            <v>34873.699999999997</v>
          </cell>
          <cell r="CW178">
            <v>34335.1</v>
          </cell>
          <cell r="CX178">
            <v>34918.400000000001</v>
          </cell>
          <cell r="CY178">
            <v>35600.5</v>
          </cell>
          <cell r="CZ178">
            <v>35881.800000000003</v>
          </cell>
          <cell r="DA178">
            <v>36844.699999999997</v>
          </cell>
          <cell r="DB178">
            <v>35487.9</v>
          </cell>
          <cell r="DC178">
            <v>35758.9</v>
          </cell>
          <cell r="DD178">
            <v>35947.9</v>
          </cell>
          <cell r="DE178">
            <v>36315</v>
          </cell>
          <cell r="DF178">
            <v>36320.9</v>
          </cell>
          <cell r="DG178">
            <v>36071.800000000003</v>
          </cell>
          <cell r="DH178">
            <v>36595.4</v>
          </cell>
          <cell r="DI178">
            <v>36721.5</v>
          </cell>
          <cell r="DJ178">
            <v>37032.800000000003</v>
          </cell>
          <cell r="DK178">
            <v>36962.699999999997</v>
          </cell>
          <cell r="DL178">
            <v>37501.9</v>
          </cell>
          <cell r="DM178">
            <v>37887.1</v>
          </cell>
          <cell r="DN178">
            <v>36524.6</v>
          </cell>
          <cell r="DO178">
            <v>36794.6</v>
          </cell>
          <cell r="DP178">
            <v>36972.400000000001</v>
          </cell>
          <cell r="DQ178">
            <v>37204.1</v>
          </cell>
          <cell r="DR178">
            <v>37331.9</v>
          </cell>
          <cell r="DS178">
            <v>37419.5</v>
          </cell>
          <cell r="DT178">
            <v>37608.800000000003</v>
          </cell>
          <cell r="DU178">
            <v>37688</v>
          </cell>
          <cell r="DV178">
            <v>37837.800000000003</v>
          </cell>
          <cell r="DW178">
            <v>38190.300000000003</v>
          </cell>
          <cell r="EK178" t="str">
            <v>Tax</v>
          </cell>
        </row>
        <row r="179">
          <cell r="A179" t="str">
            <v>Deferred Tax Assets</v>
          </cell>
          <cell r="B179" t="str">
            <v>T_190</v>
          </cell>
          <cell r="C179" t="str">
            <v>Deferred Tax Assets</v>
          </cell>
          <cell r="D179" t="str">
            <v>1900303</v>
          </cell>
          <cell r="E179" t="str">
            <v>A_1900303</v>
          </cell>
          <cell r="F179" t="str">
            <v>DTA Separate Company - Federal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2950.5</v>
          </cell>
          <cell r="AR179">
            <v>2950.5</v>
          </cell>
          <cell r="AS179">
            <v>2950.5</v>
          </cell>
          <cell r="AT179">
            <v>2950.5</v>
          </cell>
          <cell r="AU179">
            <v>2950.5</v>
          </cell>
          <cell r="AV179">
            <v>2950.5</v>
          </cell>
          <cell r="AW179">
            <v>2950.5</v>
          </cell>
          <cell r="AX179">
            <v>2950.5</v>
          </cell>
          <cell r="AY179">
            <v>2950.5</v>
          </cell>
          <cell r="AZ179">
            <v>4432.8999999999996</v>
          </cell>
          <cell r="BA179">
            <v>4432.8999999999996</v>
          </cell>
          <cell r="BB179">
            <v>4432.8999999999996</v>
          </cell>
          <cell r="BC179">
            <v>3236.1</v>
          </cell>
          <cell r="BD179">
            <v>3236.1</v>
          </cell>
          <cell r="BE179">
            <v>3236.1</v>
          </cell>
          <cell r="BF179">
            <v>3236.1</v>
          </cell>
          <cell r="BG179">
            <v>3236.1</v>
          </cell>
          <cell r="BH179">
            <v>3236.1</v>
          </cell>
          <cell r="BI179">
            <v>3236.1</v>
          </cell>
          <cell r="BJ179">
            <v>3236.1</v>
          </cell>
          <cell r="BK179">
            <v>3236.1</v>
          </cell>
          <cell r="BL179">
            <v>3236.1</v>
          </cell>
          <cell r="BM179">
            <v>3236.1</v>
          </cell>
          <cell r="BN179">
            <v>3685.5</v>
          </cell>
          <cell r="BO179">
            <v>3685.5</v>
          </cell>
          <cell r="BP179">
            <v>3685.5</v>
          </cell>
          <cell r="BQ179">
            <v>3685.5</v>
          </cell>
          <cell r="BR179">
            <v>3685.5</v>
          </cell>
          <cell r="BS179">
            <v>3685.5</v>
          </cell>
          <cell r="BT179">
            <v>3685.5</v>
          </cell>
          <cell r="BU179">
            <v>3685.5</v>
          </cell>
          <cell r="BV179">
            <v>3685.5</v>
          </cell>
          <cell r="BW179">
            <v>3685.5</v>
          </cell>
          <cell r="BX179">
            <v>3685.5</v>
          </cell>
          <cell r="BY179">
            <v>3685.5</v>
          </cell>
          <cell r="BZ179">
            <v>3685.5</v>
          </cell>
          <cell r="CA179">
            <v>3685.5</v>
          </cell>
          <cell r="CB179">
            <v>3685.5</v>
          </cell>
          <cell r="CC179">
            <v>3685.5</v>
          </cell>
          <cell r="CD179">
            <v>3685.5</v>
          </cell>
          <cell r="CE179">
            <v>3685.5</v>
          </cell>
          <cell r="CF179">
            <v>3685.5</v>
          </cell>
          <cell r="CG179">
            <v>3685.5</v>
          </cell>
          <cell r="CH179">
            <v>3685.5</v>
          </cell>
          <cell r="CI179">
            <v>3685.5</v>
          </cell>
          <cell r="CJ179">
            <v>3685.5</v>
          </cell>
          <cell r="CK179">
            <v>3685.5</v>
          </cell>
          <cell r="CL179">
            <v>3685.5</v>
          </cell>
          <cell r="CM179">
            <v>3685.5</v>
          </cell>
          <cell r="CN179">
            <v>3685.5</v>
          </cell>
          <cell r="CO179">
            <v>3685.5</v>
          </cell>
          <cell r="CP179">
            <v>3685.5</v>
          </cell>
          <cell r="CQ179">
            <v>3685.5</v>
          </cell>
          <cell r="CR179">
            <v>3685.5</v>
          </cell>
          <cell r="CS179">
            <v>3685.5</v>
          </cell>
          <cell r="CT179">
            <v>3685.5</v>
          </cell>
          <cell r="CU179">
            <v>3685.5</v>
          </cell>
          <cell r="CV179">
            <v>3685.5</v>
          </cell>
          <cell r="CW179">
            <v>3685.5</v>
          </cell>
          <cell r="CX179">
            <v>3685.5</v>
          </cell>
          <cell r="CY179">
            <v>3685.5</v>
          </cell>
          <cell r="CZ179">
            <v>3685.5</v>
          </cell>
          <cell r="DA179">
            <v>3685.5</v>
          </cell>
          <cell r="DB179">
            <v>3685.5</v>
          </cell>
          <cell r="DC179">
            <v>3685.5</v>
          </cell>
          <cell r="DD179">
            <v>3685.5</v>
          </cell>
          <cell r="DE179">
            <v>3685.5</v>
          </cell>
          <cell r="DF179">
            <v>3685.5</v>
          </cell>
          <cell r="DG179">
            <v>3685.5</v>
          </cell>
          <cell r="DH179">
            <v>3685.5</v>
          </cell>
          <cell r="DI179">
            <v>3685.5</v>
          </cell>
          <cell r="DJ179">
            <v>3685.5</v>
          </cell>
          <cell r="DK179">
            <v>3685.5</v>
          </cell>
          <cell r="DL179">
            <v>3685.5</v>
          </cell>
          <cell r="DM179">
            <v>3685.5</v>
          </cell>
          <cell r="DN179">
            <v>3685.5</v>
          </cell>
          <cell r="DO179">
            <v>3685.5</v>
          </cell>
          <cell r="DP179">
            <v>3685.5</v>
          </cell>
          <cell r="DQ179">
            <v>3685.5</v>
          </cell>
          <cell r="DR179">
            <v>3685.5</v>
          </cell>
          <cell r="DS179">
            <v>3685.5</v>
          </cell>
          <cell r="DT179">
            <v>3685.5</v>
          </cell>
          <cell r="DU179">
            <v>3685.5</v>
          </cell>
          <cell r="DV179">
            <v>3685.5</v>
          </cell>
          <cell r="DW179">
            <v>3685.5</v>
          </cell>
          <cell r="EK179" t="str">
            <v>Tax</v>
          </cell>
        </row>
        <row r="180">
          <cell r="A180" t="str">
            <v>Deferred Tax Assets</v>
          </cell>
          <cell r="B180" t="str">
            <v>T_190</v>
          </cell>
          <cell r="C180" t="str">
            <v>Deferred Tax Assets</v>
          </cell>
          <cell r="D180" t="str">
            <v>1900305</v>
          </cell>
          <cell r="E180" t="str">
            <v>A_1900305</v>
          </cell>
          <cell r="F180" t="str">
            <v>Deferred Tax Asset - Federal Non Utility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-0.3</v>
          </cell>
          <cell r="BK180">
            <v>-0.3</v>
          </cell>
          <cell r="BL180">
            <v>-0.6</v>
          </cell>
          <cell r="BM180">
            <v>-0.1</v>
          </cell>
          <cell r="BN180">
            <v>0.2</v>
          </cell>
          <cell r="BO180">
            <v>0.8</v>
          </cell>
          <cell r="BP180">
            <v>0</v>
          </cell>
          <cell r="BQ180">
            <v>0</v>
          </cell>
          <cell r="BR180">
            <v>0</v>
          </cell>
          <cell r="BS180">
            <v>1.3</v>
          </cell>
          <cell r="BT180">
            <v>1.7</v>
          </cell>
          <cell r="BU180">
            <v>0.3</v>
          </cell>
          <cell r="BV180">
            <v>-0.9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EK180" t="str">
            <v>Tax</v>
          </cell>
        </row>
        <row r="181">
          <cell r="A181" t="str">
            <v>Deferred Tax Assets</v>
          </cell>
          <cell r="B181" t="str">
            <v>T_190</v>
          </cell>
          <cell r="C181" t="str">
            <v>Deferred Tax Assets</v>
          </cell>
          <cell r="D181" t="str">
            <v>1900306</v>
          </cell>
          <cell r="E181" t="str">
            <v>A_1900306</v>
          </cell>
          <cell r="F181" t="str">
            <v>Deferred Tax FIT - FAS 133</v>
          </cell>
          <cell r="G181">
            <v>387.25205999999997</v>
          </cell>
          <cell r="H181">
            <v>1184.5</v>
          </cell>
          <cell r="I181">
            <v>827.1</v>
          </cell>
          <cell r="J181">
            <v>503.9</v>
          </cell>
          <cell r="K181">
            <v>1022.3</v>
          </cell>
          <cell r="L181">
            <v>419.5</v>
          </cell>
          <cell r="M181">
            <v>286.2</v>
          </cell>
          <cell r="N181">
            <v>1074.5</v>
          </cell>
          <cell r="O181">
            <v>506.3</v>
          </cell>
          <cell r="P181">
            <v>535.1</v>
          </cell>
          <cell r="Q181">
            <v>1210.2</v>
          </cell>
          <cell r="R181">
            <v>894.1</v>
          </cell>
          <cell r="S181">
            <v>2972</v>
          </cell>
          <cell r="T181">
            <v>2998.2</v>
          </cell>
          <cell r="U181">
            <v>2456.6999999999998</v>
          </cell>
          <cell r="V181">
            <v>2388.6999999999998</v>
          </cell>
          <cell r="W181">
            <v>2081.1999999999998</v>
          </cell>
          <cell r="X181">
            <v>2086.4</v>
          </cell>
          <cell r="Y181">
            <v>1718.1</v>
          </cell>
          <cell r="Z181">
            <v>1726</v>
          </cell>
          <cell r="AA181">
            <v>1835.6</v>
          </cell>
          <cell r="AB181">
            <v>2094.4</v>
          </cell>
          <cell r="AC181">
            <v>2660.6</v>
          </cell>
          <cell r="AD181">
            <v>2667.7</v>
          </cell>
          <cell r="AE181">
            <v>2098.9</v>
          </cell>
          <cell r="AF181">
            <v>1615.9</v>
          </cell>
          <cell r="AG181">
            <v>1796.3</v>
          </cell>
          <cell r="AH181">
            <v>1142.9000000000001</v>
          </cell>
          <cell r="AI181">
            <v>670.8</v>
          </cell>
          <cell r="AJ181">
            <v>584.5</v>
          </cell>
          <cell r="AK181">
            <v>232.3</v>
          </cell>
          <cell r="AL181">
            <v>227.1</v>
          </cell>
          <cell r="AM181">
            <v>173.7</v>
          </cell>
          <cell r="AN181">
            <v>172.8</v>
          </cell>
          <cell r="AO181">
            <v>185.9</v>
          </cell>
          <cell r="AP181">
            <v>201.4</v>
          </cell>
          <cell r="AQ181">
            <v>657.9</v>
          </cell>
          <cell r="AR181">
            <v>195.6</v>
          </cell>
          <cell r="AS181">
            <v>139.30000000000001</v>
          </cell>
          <cell r="AT181">
            <v>161.1</v>
          </cell>
          <cell r="AU181">
            <v>178.2</v>
          </cell>
          <cell r="AV181">
            <v>57.4</v>
          </cell>
          <cell r="AW181">
            <v>36.6</v>
          </cell>
          <cell r="AX181">
            <v>49.1</v>
          </cell>
          <cell r="AY181">
            <v>35</v>
          </cell>
          <cell r="AZ181">
            <v>29.4</v>
          </cell>
          <cell r="BA181">
            <v>47.3</v>
          </cell>
          <cell r="BB181">
            <v>22.4</v>
          </cell>
          <cell r="BC181">
            <v>299.10000000000002</v>
          </cell>
          <cell r="BD181">
            <v>279</v>
          </cell>
          <cell r="BE181">
            <v>285.60000000000002</v>
          </cell>
          <cell r="BF181">
            <v>269.7</v>
          </cell>
          <cell r="BG181">
            <v>268.7</v>
          </cell>
          <cell r="BH181">
            <v>267.10000000000002</v>
          </cell>
          <cell r="BI181">
            <v>266.3</v>
          </cell>
          <cell r="BJ181">
            <v>265.5</v>
          </cell>
          <cell r="BK181">
            <v>263.89999999999998</v>
          </cell>
          <cell r="BL181">
            <v>265.2</v>
          </cell>
          <cell r="BM181">
            <v>266.10000000000002</v>
          </cell>
          <cell r="BN181">
            <v>263.2</v>
          </cell>
          <cell r="BO181">
            <v>263.2</v>
          </cell>
          <cell r="BP181">
            <v>263.2</v>
          </cell>
          <cell r="BQ181">
            <v>263.2</v>
          </cell>
          <cell r="BR181">
            <v>263.2</v>
          </cell>
          <cell r="BS181">
            <v>263.2</v>
          </cell>
          <cell r="BT181">
            <v>263.2</v>
          </cell>
          <cell r="BU181">
            <v>263.2</v>
          </cell>
          <cell r="BV181">
            <v>263.2</v>
          </cell>
          <cell r="BW181">
            <v>263.2</v>
          </cell>
          <cell r="BX181">
            <v>263.2</v>
          </cell>
          <cell r="BY181">
            <v>263.2</v>
          </cell>
          <cell r="BZ181">
            <v>263.2</v>
          </cell>
          <cell r="CA181">
            <v>263.2</v>
          </cell>
          <cell r="CB181">
            <v>263.2</v>
          </cell>
          <cell r="CC181">
            <v>263.2</v>
          </cell>
          <cell r="CD181">
            <v>263.2</v>
          </cell>
          <cell r="CE181">
            <v>263.2</v>
          </cell>
          <cell r="CF181">
            <v>263.2</v>
          </cell>
          <cell r="CG181">
            <v>263.2</v>
          </cell>
          <cell r="CH181">
            <v>263.2</v>
          </cell>
          <cell r="CI181">
            <v>263.2</v>
          </cell>
          <cell r="CJ181">
            <v>263.2</v>
          </cell>
          <cell r="CK181">
            <v>263.2</v>
          </cell>
          <cell r="CL181">
            <v>263.2</v>
          </cell>
          <cell r="CM181">
            <v>263.2</v>
          </cell>
          <cell r="CN181">
            <v>263.2</v>
          </cell>
          <cell r="CO181">
            <v>263.2</v>
          </cell>
          <cell r="CP181">
            <v>263.2</v>
          </cell>
          <cell r="CQ181">
            <v>263.2</v>
          </cell>
          <cell r="CR181">
            <v>263.2</v>
          </cell>
          <cell r="CS181">
            <v>263.2</v>
          </cell>
          <cell r="CT181">
            <v>263.2</v>
          </cell>
          <cell r="CU181">
            <v>263.2</v>
          </cell>
          <cell r="CV181">
            <v>263.2</v>
          </cell>
          <cell r="CW181">
            <v>263.2</v>
          </cell>
          <cell r="CX181">
            <v>263.2</v>
          </cell>
          <cell r="CY181">
            <v>263.2</v>
          </cell>
          <cell r="CZ181">
            <v>263.2</v>
          </cell>
          <cell r="DA181">
            <v>263.2</v>
          </cell>
          <cell r="DB181">
            <v>263.2</v>
          </cell>
          <cell r="DC181">
            <v>263.2</v>
          </cell>
          <cell r="DD181">
            <v>263.2</v>
          </cell>
          <cell r="DE181">
            <v>263.2</v>
          </cell>
          <cell r="DF181">
            <v>263.2</v>
          </cell>
          <cell r="DG181">
            <v>263.2</v>
          </cell>
          <cell r="DH181">
            <v>263.2</v>
          </cell>
          <cell r="DI181">
            <v>263.2</v>
          </cell>
          <cell r="DJ181">
            <v>263.2</v>
          </cell>
          <cell r="DK181">
            <v>263.2</v>
          </cell>
          <cell r="DL181">
            <v>263.2</v>
          </cell>
          <cell r="DM181">
            <v>263.2</v>
          </cell>
          <cell r="DN181">
            <v>263.2</v>
          </cell>
          <cell r="DO181">
            <v>263.2</v>
          </cell>
          <cell r="DP181">
            <v>263.2</v>
          </cell>
          <cell r="DQ181">
            <v>263.2</v>
          </cell>
          <cell r="DR181">
            <v>263.2</v>
          </cell>
          <cell r="DS181">
            <v>263.2</v>
          </cell>
          <cell r="DT181">
            <v>263.2</v>
          </cell>
          <cell r="DU181">
            <v>263.2</v>
          </cell>
          <cell r="DV181">
            <v>263.2</v>
          </cell>
          <cell r="DW181">
            <v>263.2</v>
          </cell>
          <cell r="EK181" t="str">
            <v>Tax</v>
          </cell>
        </row>
        <row r="182">
          <cell r="A182" t="str">
            <v>Deferred Tax Assets</v>
          </cell>
          <cell r="B182" t="str">
            <v>T_190</v>
          </cell>
          <cell r="C182" t="str">
            <v>Deferred Tax Assets</v>
          </cell>
          <cell r="D182" t="str">
            <v>1900307</v>
          </cell>
          <cell r="E182" t="str">
            <v>A_1900307</v>
          </cell>
          <cell r="F182" t="str">
            <v>Deferred Tax FIT - FAS 133 Interest</v>
          </cell>
          <cell r="G182">
            <v>985.03478000000007</v>
          </cell>
          <cell r="H182">
            <v>973</v>
          </cell>
          <cell r="I182">
            <v>960.9</v>
          </cell>
          <cell r="J182">
            <v>948.8</v>
          </cell>
          <cell r="K182">
            <v>936</v>
          </cell>
          <cell r="L182">
            <v>928.1</v>
          </cell>
          <cell r="M182">
            <v>916</v>
          </cell>
          <cell r="N182">
            <v>904</v>
          </cell>
          <cell r="O182">
            <v>891.9</v>
          </cell>
          <cell r="P182">
            <v>879.8</v>
          </cell>
          <cell r="Q182">
            <v>867.7</v>
          </cell>
          <cell r="R182">
            <v>855.7</v>
          </cell>
          <cell r="S182">
            <v>843.6</v>
          </cell>
          <cell r="T182">
            <v>831.5</v>
          </cell>
          <cell r="U182">
            <v>819.4</v>
          </cell>
          <cell r="V182">
            <v>798.3</v>
          </cell>
          <cell r="W182">
            <v>733.2</v>
          </cell>
          <cell r="X182">
            <v>668.4</v>
          </cell>
          <cell r="Y182">
            <v>656.7</v>
          </cell>
          <cell r="Z182">
            <v>644.9</v>
          </cell>
          <cell r="AA182">
            <v>633.20000000000005</v>
          </cell>
          <cell r="AB182">
            <v>621.4</v>
          </cell>
          <cell r="AC182">
            <v>609.6</v>
          </cell>
          <cell r="AD182">
            <v>597.9</v>
          </cell>
          <cell r="AE182">
            <v>586.1</v>
          </cell>
          <cell r="AF182">
            <v>574.4</v>
          </cell>
          <cell r="AG182">
            <v>562.6</v>
          </cell>
          <cell r="AH182">
            <v>550.9</v>
          </cell>
          <cell r="AI182">
            <v>539.1</v>
          </cell>
          <cell r="AJ182">
            <v>527.29999999999995</v>
          </cell>
          <cell r="AK182">
            <v>515.6</v>
          </cell>
          <cell r="AL182">
            <v>503.8</v>
          </cell>
          <cell r="AM182">
            <v>492.1</v>
          </cell>
          <cell r="AN182">
            <v>480.3</v>
          </cell>
          <cell r="AO182">
            <v>468.6</v>
          </cell>
          <cell r="AP182">
            <v>456.8</v>
          </cell>
          <cell r="AQ182">
            <v>445</v>
          </cell>
          <cell r="AR182">
            <v>433.3</v>
          </cell>
          <cell r="AS182">
            <v>421.5</v>
          </cell>
          <cell r="AT182">
            <v>409.8</v>
          </cell>
          <cell r="AU182">
            <v>398</v>
          </cell>
          <cell r="AV182">
            <v>386.3</v>
          </cell>
          <cell r="AW182">
            <v>374.5</v>
          </cell>
          <cell r="AX182">
            <v>362.7</v>
          </cell>
          <cell r="AY182">
            <v>351</v>
          </cell>
          <cell r="AZ182">
            <v>339.2</v>
          </cell>
          <cell r="BA182">
            <v>327.5</v>
          </cell>
          <cell r="BB182">
            <v>315.7</v>
          </cell>
          <cell r="BC182">
            <v>360.4</v>
          </cell>
          <cell r="BD182">
            <v>353.3</v>
          </cell>
          <cell r="BE182">
            <v>346.3</v>
          </cell>
          <cell r="BF182">
            <v>339.2</v>
          </cell>
          <cell r="BG182">
            <v>332.2</v>
          </cell>
          <cell r="BH182">
            <v>328.4</v>
          </cell>
          <cell r="BI182">
            <v>327.8</v>
          </cell>
          <cell r="BJ182">
            <v>327.3</v>
          </cell>
          <cell r="BK182">
            <v>326.7</v>
          </cell>
          <cell r="BL182">
            <v>326.2</v>
          </cell>
          <cell r="BM182">
            <v>325.60000000000002</v>
          </cell>
          <cell r="BN182">
            <v>325.10000000000002</v>
          </cell>
          <cell r="BO182">
            <v>324.60000000000002</v>
          </cell>
          <cell r="BP182">
            <v>324</v>
          </cell>
          <cell r="BQ182">
            <v>323.5</v>
          </cell>
          <cell r="BR182">
            <v>322.89999999999998</v>
          </cell>
          <cell r="BS182">
            <v>322.39999999999998</v>
          </cell>
          <cell r="BT182">
            <v>321.8</v>
          </cell>
          <cell r="BU182">
            <v>321.3</v>
          </cell>
          <cell r="BV182">
            <v>320.7</v>
          </cell>
          <cell r="BW182">
            <v>320.2</v>
          </cell>
          <cell r="BX182">
            <v>319.60000000000002</v>
          </cell>
          <cell r="BY182">
            <v>319.10000000000002</v>
          </cell>
          <cell r="BZ182">
            <v>318.60000000000002</v>
          </cell>
          <cell r="CA182">
            <v>318</v>
          </cell>
          <cell r="CB182">
            <v>317.5</v>
          </cell>
          <cell r="CC182">
            <v>316.89999999999998</v>
          </cell>
          <cell r="CD182">
            <v>316.39999999999998</v>
          </cell>
          <cell r="CE182">
            <v>315.8</v>
          </cell>
          <cell r="CF182">
            <v>315.3</v>
          </cell>
          <cell r="CG182">
            <v>314.7</v>
          </cell>
          <cell r="CH182">
            <v>314.2</v>
          </cell>
          <cell r="CI182">
            <v>313.60000000000002</v>
          </cell>
          <cell r="CJ182">
            <v>313.10000000000002</v>
          </cell>
          <cell r="CK182">
            <v>312.60000000000002</v>
          </cell>
          <cell r="CL182">
            <v>312</v>
          </cell>
          <cell r="CM182">
            <v>311.5</v>
          </cell>
          <cell r="CN182">
            <v>310.89999999999998</v>
          </cell>
          <cell r="CO182">
            <v>310.39999999999998</v>
          </cell>
          <cell r="CP182">
            <v>309.8</v>
          </cell>
          <cell r="CQ182">
            <v>309.3</v>
          </cell>
          <cell r="CR182">
            <v>308.7</v>
          </cell>
          <cell r="CS182">
            <v>308.2</v>
          </cell>
          <cell r="CT182">
            <v>307.60000000000002</v>
          </cell>
          <cell r="CU182">
            <v>307.10000000000002</v>
          </cell>
          <cell r="CV182">
            <v>306.60000000000002</v>
          </cell>
          <cell r="CW182">
            <v>306</v>
          </cell>
          <cell r="CX182">
            <v>305.5</v>
          </cell>
          <cell r="CY182">
            <v>304.89999999999998</v>
          </cell>
          <cell r="CZ182">
            <v>304.39999999999998</v>
          </cell>
          <cell r="DA182">
            <v>303.8</v>
          </cell>
          <cell r="DB182">
            <v>303.3</v>
          </cell>
          <cell r="DC182">
            <v>302.7</v>
          </cell>
          <cell r="DD182">
            <v>302.2</v>
          </cell>
          <cell r="DE182">
            <v>301.60000000000002</v>
          </cell>
          <cell r="DF182">
            <v>301.10000000000002</v>
          </cell>
          <cell r="DG182">
            <v>300.60000000000002</v>
          </cell>
          <cell r="DH182">
            <v>300</v>
          </cell>
          <cell r="DI182">
            <v>299.5</v>
          </cell>
          <cell r="DJ182">
            <v>298.89999999999998</v>
          </cell>
          <cell r="DK182">
            <v>298.39999999999998</v>
          </cell>
          <cell r="DL182">
            <v>178</v>
          </cell>
          <cell r="DM182">
            <v>178</v>
          </cell>
          <cell r="DN182">
            <v>178</v>
          </cell>
          <cell r="DO182">
            <v>178</v>
          </cell>
          <cell r="DP182">
            <v>178</v>
          </cell>
          <cell r="DQ182">
            <v>178</v>
          </cell>
          <cell r="DR182">
            <v>178</v>
          </cell>
          <cell r="DS182">
            <v>178</v>
          </cell>
          <cell r="DT182">
            <v>178</v>
          </cell>
          <cell r="DU182">
            <v>178</v>
          </cell>
          <cell r="DV182">
            <v>178</v>
          </cell>
          <cell r="DW182">
            <v>178</v>
          </cell>
          <cell r="EK182" t="str">
            <v>Tax</v>
          </cell>
        </row>
        <row r="183">
          <cell r="A183" t="str">
            <v>Deferred Tax Assets</v>
          </cell>
          <cell r="B183" t="str">
            <v>T_190</v>
          </cell>
          <cell r="C183" t="str">
            <v>Deferred Tax Assets</v>
          </cell>
          <cell r="D183" t="str">
            <v>1900308</v>
          </cell>
          <cell r="E183" t="str">
            <v>A_1900308</v>
          </cell>
          <cell r="F183" t="str">
            <v>Deferred Tax FIT - FAS 158</v>
          </cell>
          <cell r="G183">
            <v>5715.07906</v>
          </cell>
          <cell r="H183">
            <v>5715.1</v>
          </cell>
          <cell r="I183">
            <v>5715.1</v>
          </cell>
          <cell r="J183">
            <v>5589.4</v>
          </cell>
          <cell r="K183">
            <v>5589.4</v>
          </cell>
          <cell r="L183">
            <v>5589.4</v>
          </cell>
          <cell r="M183">
            <v>5460</v>
          </cell>
          <cell r="N183">
            <v>5460</v>
          </cell>
          <cell r="O183">
            <v>5460</v>
          </cell>
          <cell r="P183">
            <v>5391.8</v>
          </cell>
          <cell r="Q183">
            <v>5391.8</v>
          </cell>
          <cell r="R183">
            <v>5391.8</v>
          </cell>
          <cell r="S183">
            <v>6394.1</v>
          </cell>
          <cell r="T183">
            <v>6394.1</v>
          </cell>
          <cell r="U183">
            <v>6394.1</v>
          </cell>
          <cell r="V183">
            <v>6514</v>
          </cell>
          <cell r="W183">
            <v>6514</v>
          </cell>
          <cell r="X183">
            <v>6514</v>
          </cell>
          <cell r="Y183">
            <v>6120.2</v>
          </cell>
          <cell r="Z183">
            <v>6120.2</v>
          </cell>
          <cell r="AA183">
            <v>6018.8</v>
          </cell>
          <cell r="AB183">
            <v>5881.8</v>
          </cell>
          <cell r="AC183">
            <v>5881.8</v>
          </cell>
          <cell r="AD183">
            <v>5881.8</v>
          </cell>
          <cell r="AE183">
            <v>8305.2000000000007</v>
          </cell>
          <cell r="AF183">
            <v>8305.2000000000007</v>
          </cell>
          <cell r="AG183">
            <v>8305.2000000000007</v>
          </cell>
          <cell r="AH183">
            <v>8188.2</v>
          </cell>
          <cell r="AI183">
            <v>8188.2</v>
          </cell>
          <cell r="AJ183">
            <v>8191.3</v>
          </cell>
          <cell r="AK183">
            <v>8035.2</v>
          </cell>
          <cell r="AL183">
            <v>8035.2</v>
          </cell>
          <cell r="AM183">
            <v>8035.2</v>
          </cell>
          <cell r="AN183">
            <v>10827</v>
          </cell>
          <cell r="AO183">
            <v>10827</v>
          </cell>
          <cell r="AP183">
            <v>10827</v>
          </cell>
          <cell r="AQ183">
            <v>9370.1</v>
          </cell>
          <cell r="AR183">
            <v>9370.1</v>
          </cell>
          <cell r="AS183">
            <v>9370.1</v>
          </cell>
          <cell r="AT183">
            <v>9230</v>
          </cell>
          <cell r="AU183">
            <v>9230</v>
          </cell>
          <cell r="AV183">
            <v>9230</v>
          </cell>
          <cell r="AW183">
            <v>9483.1</v>
          </cell>
          <cell r="AX183">
            <v>9483.1</v>
          </cell>
          <cell r="AY183">
            <v>9483.1</v>
          </cell>
          <cell r="AZ183">
            <v>9331.1</v>
          </cell>
          <cell r="BA183">
            <v>9331.1</v>
          </cell>
          <cell r="BB183">
            <v>9331.1</v>
          </cell>
          <cell r="BC183">
            <v>8964.5</v>
          </cell>
          <cell r="BD183">
            <v>8964.5</v>
          </cell>
          <cell r="BE183">
            <v>8964.5</v>
          </cell>
          <cell r="BF183">
            <v>8868.6</v>
          </cell>
          <cell r="BG183">
            <v>8868.6</v>
          </cell>
          <cell r="BH183">
            <v>8868.6</v>
          </cell>
          <cell r="BI183">
            <v>8761.7999999999993</v>
          </cell>
          <cell r="BJ183">
            <v>8761.7999999999993</v>
          </cell>
          <cell r="BK183">
            <v>8761.7999999999993</v>
          </cell>
          <cell r="BL183">
            <v>8665.1</v>
          </cell>
          <cell r="BM183">
            <v>8665.1</v>
          </cell>
          <cell r="BN183">
            <v>8665.1</v>
          </cell>
          <cell r="BO183">
            <v>9847.9</v>
          </cell>
          <cell r="BP183">
            <v>9847.9</v>
          </cell>
          <cell r="BQ183">
            <v>9847.9</v>
          </cell>
          <cell r="BR183">
            <v>9769.2000000000007</v>
          </cell>
          <cell r="BS183">
            <v>9769.2000000000007</v>
          </cell>
          <cell r="BT183">
            <v>9769.2000000000007</v>
          </cell>
          <cell r="BU183">
            <v>9682.9</v>
          </cell>
          <cell r="BV183">
            <v>9682.9</v>
          </cell>
          <cell r="BW183">
            <v>9682.9</v>
          </cell>
          <cell r="BX183">
            <v>9600.2999999999993</v>
          </cell>
          <cell r="BY183">
            <v>9600.2999999999993</v>
          </cell>
          <cell r="BZ183">
            <v>9600.2999999999993</v>
          </cell>
          <cell r="CA183">
            <v>9643</v>
          </cell>
          <cell r="CB183">
            <v>9643</v>
          </cell>
          <cell r="CC183">
            <v>9643</v>
          </cell>
          <cell r="CD183">
            <v>9539.7999999999993</v>
          </cell>
          <cell r="CE183">
            <v>9539.7999999999993</v>
          </cell>
          <cell r="CF183">
            <v>9539.7999999999993</v>
          </cell>
          <cell r="CG183">
            <v>9430.9</v>
          </cell>
          <cell r="CH183">
            <v>9430.9</v>
          </cell>
          <cell r="CI183">
            <v>9430.9</v>
          </cell>
          <cell r="CJ183">
            <v>9324.9</v>
          </cell>
          <cell r="CK183">
            <v>9324.9</v>
          </cell>
          <cell r="CL183">
            <v>9324.9</v>
          </cell>
          <cell r="CM183">
            <v>10561.2</v>
          </cell>
          <cell r="CN183">
            <v>10561.2</v>
          </cell>
          <cell r="CO183">
            <v>10561.2</v>
          </cell>
          <cell r="CP183">
            <v>10423.1</v>
          </cell>
          <cell r="CQ183">
            <v>10423.1</v>
          </cell>
          <cell r="CR183">
            <v>10423.1</v>
          </cell>
          <cell r="CS183">
            <v>10285</v>
          </cell>
          <cell r="CT183">
            <v>10285</v>
          </cell>
          <cell r="CU183">
            <v>10285</v>
          </cell>
          <cell r="CV183">
            <v>10070.700000000001</v>
          </cell>
          <cell r="CW183">
            <v>10070.700000000001</v>
          </cell>
          <cell r="CX183">
            <v>10070.700000000001</v>
          </cell>
          <cell r="CY183">
            <v>8799.9</v>
          </cell>
          <cell r="CZ183">
            <v>8799.9</v>
          </cell>
          <cell r="DA183">
            <v>8799.9</v>
          </cell>
          <cell r="DB183">
            <v>8689.9</v>
          </cell>
          <cell r="DC183">
            <v>8689.9</v>
          </cell>
          <cell r="DD183">
            <v>8689.9</v>
          </cell>
          <cell r="DE183">
            <v>8351</v>
          </cell>
          <cell r="DF183">
            <v>8351</v>
          </cell>
          <cell r="DG183">
            <v>8351</v>
          </cell>
          <cell r="DH183">
            <v>8240</v>
          </cell>
          <cell r="DI183">
            <v>8240</v>
          </cell>
          <cell r="DJ183">
            <v>8240</v>
          </cell>
          <cell r="DK183">
            <v>9743.5</v>
          </cell>
          <cell r="DL183">
            <v>9743.5</v>
          </cell>
          <cell r="DM183">
            <v>9743.5</v>
          </cell>
          <cell r="DN183">
            <v>9743.5</v>
          </cell>
          <cell r="DO183">
            <v>9743.5</v>
          </cell>
          <cell r="DP183">
            <v>9743.5</v>
          </cell>
          <cell r="DQ183">
            <v>9743.5</v>
          </cell>
          <cell r="DR183">
            <v>9743.5</v>
          </cell>
          <cell r="DS183">
            <v>9743.5</v>
          </cell>
          <cell r="DT183">
            <v>9743.5</v>
          </cell>
          <cell r="DU183">
            <v>9743.5</v>
          </cell>
          <cell r="DV183">
            <v>9743.5</v>
          </cell>
          <cell r="DW183">
            <v>9743.5</v>
          </cell>
          <cell r="EK183" t="str">
            <v>Tax</v>
          </cell>
        </row>
        <row r="184">
          <cell r="A184" t="str">
            <v>Deferred Tax Assets</v>
          </cell>
          <cell r="B184" t="str">
            <v>T_190</v>
          </cell>
          <cell r="C184" t="str">
            <v>Deferred Tax Assets</v>
          </cell>
          <cell r="D184" t="str">
            <v>1900309</v>
          </cell>
          <cell r="E184" t="str">
            <v>A_1900309</v>
          </cell>
          <cell r="F184" t="str">
            <v>Deferred Tax FIT - FAS 158 - Medicare Part D</v>
          </cell>
          <cell r="G184">
            <v>31.991</v>
          </cell>
          <cell r="H184">
            <v>32</v>
          </cell>
          <cell r="I184">
            <v>32</v>
          </cell>
          <cell r="J184">
            <v>32</v>
          </cell>
          <cell r="K184">
            <v>32</v>
          </cell>
          <cell r="L184">
            <v>32</v>
          </cell>
          <cell r="M184">
            <v>32</v>
          </cell>
          <cell r="N184">
            <v>32</v>
          </cell>
          <cell r="O184">
            <v>32</v>
          </cell>
          <cell r="P184">
            <v>32</v>
          </cell>
          <cell r="Q184">
            <v>32</v>
          </cell>
          <cell r="R184">
            <v>32</v>
          </cell>
          <cell r="S184">
            <v>32</v>
          </cell>
          <cell r="T184">
            <v>32</v>
          </cell>
          <cell r="U184">
            <v>32</v>
          </cell>
          <cell r="V184">
            <v>32</v>
          </cell>
          <cell r="W184">
            <v>32</v>
          </cell>
          <cell r="X184">
            <v>32</v>
          </cell>
          <cell r="Y184">
            <v>32</v>
          </cell>
          <cell r="Z184">
            <v>32</v>
          </cell>
          <cell r="AA184">
            <v>32</v>
          </cell>
          <cell r="AB184">
            <v>32</v>
          </cell>
          <cell r="AC184">
            <v>32</v>
          </cell>
          <cell r="AD184">
            <v>32</v>
          </cell>
          <cell r="AE184">
            <v>32</v>
          </cell>
          <cell r="AF184">
            <v>32</v>
          </cell>
          <cell r="AG184">
            <v>32</v>
          </cell>
          <cell r="AH184">
            <v>32</v>
          </cell>
          <cell r="AI184">
            <v>32</v>
          </cell>
          <cell r="AJ184">
            <v>32</v>
          </cell>
          <cell r="AK184">
            <v>32</v>
          </cell>
          <cell r="AL184">
            <v>32</v>
          </cell>
          <cell r="AM184">
            <v>32</v>
          </cell>
          <cell r="AN184">
            <v>32</v>
          </cell>
          <cell r="AO184">
            <v>32</v>
          </cell>
          <cell r="AP184">
            <v>32</v>
          </cell>
          <cell r="AQ184">
            <v>32</v>
          </cell>
          <cell r="AR184">
            <v>32</v>
          </cell>
          <cell r="AS184">
            <v>32</v>
          </cell>
          <cell r="AT184">
            <v>32</v>
          </cell>
          <cell r="AU184">
            <v>32</v>
          </cell>
          <cell r="AV184">
            <v>32</v>
          </cell>
          <cell r="AW184">
            <v>32</v>
          </cell>
          <cell r="AX184">
            <v>32</v>
          </cell>
          <cell r="AY184">
            <v>32</v>
          </cell>
          <cell r="AZ184">
            <v>32</v>
          </cell>
          <cell r="BA184">
            <v>32</v>
          </cell>
          <cell r="BB184">
            <v>32</v>
          </cell>
          <cell r="BC184">
            <v>32</v>
          </cell>
          <cell r="BD184">
            <v>32</v>
          </cell>
          <cell r="BE184">
            <v>32</v>
          </cell>
          <cell r="BF184">
            <v>32</v>
          </cell>
          <cell r="BG184">
            <v>32</v>
          </cell>
          <cell r="BH184">
            <v>32</v>
          </cell>
          <cell r="BI184">
            <v>32</v>
          </cell>
          <cell r="BJ184">
            <v>32</v>
          </cell>
          <cell r="BK184">
            <v>32</v>
          </cell>
          <cell r="BL184">
            <v>32</v>
          </cell>
          <cell r="BM184">
            <v>32</v>
          </cell>
          <cell r="BN184">
            <v>32</v>
          </cell>
          <cell r="BO184">
            <v>32</v>
          </cell>
          <cell r="BP184">
            <v>32</v>
          </cell>
          <cell r="BQ184">
            <v>32</v>
          </cell>
          <cell r="BR184">
            <v>32</v>
          </cell>
          <cell r="BS184">
            <v>32</v>
          </cell>
          <cell r="BT184">
            <v>32</v>
          </cell>
          <cell r="BU184">
            <v>32</v>
          </cell>
          <cell r="BV184">
            <v>32</v>
          </cell>
          <cell r="BW184">
            <v>32</v>
          </cell>
          <cell r="BX184">
            <v>32</v>
          </cell>
          <cell r="BY184">
            <v>32</v>
          </cell>
          <cell r="BZ184">
            <v>32</v>
          </cell>
          <cell r="CA184">
            <v>32</v>
          </cell>
          <cell r="CB184">
            <v>32</v>
          </cell>
          <cell r="CC184">
            <v>32</v>
          </cell>
          <cell r="CD184">
            <v>32</v>
          </cell>
          <cell r="CE184">
            <v>32</v>
          </cell>
          <cell r="CF184">
            <v>32</v>
          </cell>
          <cell r="CG184">
            <v>32</v>
          </cell>
          <cell r="CH184">
            <v>32</v>
          </cell>
          <cell r="CI184">
            <v>32</v>
          </cell>
          <cell r="CJ184">
            <v>32</v>
          </cell>
          <cell r="CK184">
            <v>32</v>
          </cell>
          <cell r="CL184">
            <v>32</v>
          </cell>
          <cell r="CM184">
            <v>32</v>
          </cell>
          <cell r="CN184">
            <v>32</v>
          </cell>
          <cell r="CO184">
            <v>32</v>
          </cell>
          <cell r="CP184">
            <v>32</v>
          </cell>
          <cell r="CQ184">
            <v>32</v>
          </cell>
          <cell r="CR184">
            <v>32</v>
          </cell>
          <cell r="CS184">
            <v>32</v>
          </cell>
          <cell r="CT184">
            <v>32</v>
          </cell>
          <cell r="CU184">
            <v>32</v>
          </cell>
          <cell r="CV184">
            <v>32</v>
          </cell>
          <cell r="CW184">
            <v>32</v>
          </cell>
          <cell r="CX184">
            <v>32</v>
          </cell>
          <cell r="CY184">
            <v>32</v>
          </cell>
          <cell r="CZ184">
            <v>32</v>
          </cell>
          <cell r="DA184">
            <v>32</v>
          </cell>
          <cell r="DB184">
            <v>32</v>
          </cell>
          <cell r="DC184">
            <v>32</v>
          </cell>
          <cell r="DD184">
            <v>32</v>
          </cell>
          <cell r="DE184">
            <v>32</v>
          </cell>
          <cell r="DF184">
            <v>32</v>
          </cell>
          <cell r="DG184">
            <v>32</v>
          </cell>
          <cell r="DH184">
            <v>32</v>
          </cell>
          <cell r="DI184">
            <v>32</v>
          </cell>
          <cell r="DJ184">
            <v>32</v>
          </cell>
          <cell r="DK184">
            <v>32</v>
          </cell>
          <cell r="DL184">
            <v>32</v>
          </cell>
          <cell r="DM184">
            <v>32</v>
          </cell>
          <cell r="DN184">
            <v>32</v>
          </cell>
          <cell r="DO184">
            <v>32</v>
          </cell>
          <cell r="DP184">
            <v>32</v>
          </cell>
          <cell r="DQ184">
            <v>32</v>
          </cell>
          <cell r="DR184">
            <v>32</v>
          </cell>
          <cell r="DS184">
            <v>32</v>
          </cell>
          <cell r="DT184">
            <v>32</v>
          </cell>
          <cell r="DU184">
            <v>32</v>
          </cell>
          <cell r="DV184">
            <v>32</v>
          </cell>
          <cell r="DW184">
            <v>32</v>
          </cell>
          <cell r="EK184" t="str">
            <v>Tax</v>
          </cell>
        </row>
        <row r="185">
          <cell r="A185" t="str">
            <v>Deferred Tax Assets</v>
          </cell>
          <cell r="B185" t="str">
            <v>T_190</v>
          </cell>
          <cell r="C185" t="str">
            <v>Deferred Tax Assets</v>
          </cell>
          <cell r="D185" t="str">
            <v>1900310</v>
          </cell>
          <cell r="E185" t="str">
            <v>A_1900310</v>
          </cell>
          <cell r="F185" t="str">
            <v>Deferred Tax FIT - Credits</v>
          </cell>
          <cell r="G185">
            <v>104.848</v>
          </cell>
          <cell r="H185">
            <v>104.8</v>
          </cell>
          <cell r="I185">
            <v>104.8</v>
          </cell>
          <cell r="J185">
            <v>104.8</v>
          </cell>
          <cell r="K185">
            <v>104.8</v>
          </cell>
          <cell r="L185">
            <v>104.8</v>
          </cell>
          <cell r="M185">
            <v>104.8</v>
          </cell>
          <cell r="N185">
            <v>104.8</v>
          </cell>
          <cell r="O185">
            <v>104.8</v>
          </cell>
          <cell r="P185">
            <v>104.8</v>
          </cell>
          <cell r="Q185">
            <v>104.8</v>
          </cell>
          <cell r="R185">
            <v>104.8</v>
          </cell>
          <cell r="S185">
            <v>104.8</v>
          </cell>
          <cell r="T185">
            <v>104.8</v>
          </cell>
          <cell r="U185">
            <v>104.8</v>
          </cell>
          <cell r="V185">
            <v>104.8</v>
          </cell>
          <cell r="W185">
            <v>104.8</v>
          </cell>
          <cell r="X185">
            <v>104.8</v>
          </cell>
          <cell r="Y185">
            <v>104.8</v>
          </cell>
          <cell r="Z185">
            <v>104.8</v>
          </cell>
          <cell r="AA185">
            <v>104.8</v>
          </cell>
          <cell r="AB185">
            <v>104.8</v>
          </cell>
          <cell r="AC185">
            <v>104.8</v>
          </cell>
          <cell r="AD185">
            <v>104.8</v>
          </cell>
          <cell r="AE185">
            <v>104.8</v>
          </cell>
          <cell r="AF185">
            <v>104.8</v>
          </cell>
          <cell r="AG185">
            <v>104.8</v>
          </cell>
          <cell r="AH185">
            <v>104.8</v>
          </cell>
          <cell r="AI185">
            <v>104.8</v>
          </cell>
          <cell r="AJ185">
            <v>104.8</v>
          </cell>
          <cell r="AK185">
            <v>104.8</v>
          </cell>
          <cell r="AL185">
            <v>104.8</v>
          </cell>
          <cell r="AM185">
            <v>462.2</v>
          </cell>
          <cell r="AN185">
            <v>394.3</v>
          </cell>
          <cell r="AO185">
            <v>394.3</v>
          </cell>
          <cell r="AP185">
            <v>394.3</v>
          </cell>
          <cell r="AQ185">
            <v>394.3</v>
          </cell>
          <cell r="AR185">
            <v>394.3</v>
          </cell>
          <cell r="AS185">
            <v>394.3</v>
          </cell>
          <cell r="AT185">
            <v>394.3</v>
          </cell>
          <cell r="AU185">
            <v>394.3</v>
          </cell>
          <cell r="AV185">
            <v>394.3</v>
          </cell>
          <cell r="AW185">
            <v>394.3</v>
          </cell>
          <cell r="AX185">
            <v>394.3</v>
          </cell>
          <cell r="AY185">
            <v>394.3</v>
          </cell>
          <cell r="AZ185">
            <v>394.3</v>
          </cell>
          <cell r="BA185">
            <v>394.3</v>
          </cell>
          <cell r="BB185">
            <v>394.3</v>
          </cell>
          <cell r="BC185">
            <v>394.3</v>
          </cell>
          <cell r="BD185">
            <v>394.3</v>
          </cell>
          <cell r="BE185">
            <v>394.3</v>
          </cell>
          <cell r="BF185">
            <v>394.3</v>
          </cell>
          <cell r="BG185">
            <v>394.3</v>
          </cell>
          <cell r="BH185">
            <v>394.3</v>
          </cell>
          <cell r="BI185">
            <v>394.3</v>
          </cell>
          <cell r="BJ185">
            <v>394.3</v>
          </cell>
          <cell r="BK185">
            <v>394.3</v>
          </cell>
          <cell r="BL185">
            <v>394.3</v>
          </cell>
          <cell r="BM185">
            <v>394.3</v>
          </cell>
          <cell r="BN185">
            <v>394.3</v>
          </cell>
          <cell r="BO185">
            <v>683.6</v>
          </cell>
          <cell r="BP185">
            <v>683.6</v>
          </cell>
          <cell r="BQ185">
            <v>683.6</v>
          </cell>
          <cell r="BR185">
            <v>683.6</v>
          </cell>
          <cell r="BS185">
            <v>683.6</v>
          </cell>
          <cell r="BT185">
            <v>683.6</v>
          </cell>
          <cell r="BU185">
            <v>683.6</v>
          </cell>
          <cell r="BV185">
            <v>683.6</v>
          </cell>
          <cell r="BW185">
            <v>683.6</v>
          </cell>
          <cell r="BX185">
            <v>683.6</v>
          </cell>
          <cell r="BY185">
            <v>683.6</v>
          </cell>
          <cell r="BZ185">
            <v>683.6</v>
          </cell>
          <cell r="CA185">
            <v>925.3</v>
          </cell>
          <cell r="CB185">
            <v>925.3</v>
          </cell>
          <cell r="CC185">
            <v>925.3</v>
          </cell>
          <cell r="CD185">
            <v>925.3</v>
          </cell>
          <cell r="CE185">
            <v>925.3</v>
          </cell>
          <cell r="CF185">
            <v>925.3</v>
          </cell>
          <cell r="CG185">
            <v>925.3</v>
          </cell>
          <cell r="CH185">
            <v>925.3</v>
          </cell>
          <cell r="CI185">
            <v>925.3</v>
          </cell>
          <cell r="CJ185">
            <v>925.3</v>
          </cell>
          <cell r="CK185">
            <v>1263.7</v>
          </cell>
          <cell r="CL185">
            <v>1263.7</v>
          </cell>
          <cell r="CM185">
            <v>1821.9</v>
          </cell>
          <cell r="CN185">
            <v>1821.9</v>
          </cell>
          <cell r="CO185">
            <v>1821.9</v>
          </cell>
          <cell r="CP185">
            <v>1821.9</v>
          </cell>
          <cell r="CQ185">
            <v>1821.9</v>
          </cell>
          <cell r="CR185">
            <v>1821.9</v>
          </cell>
          <cell r="CS185">
            <v>1821.9</v>
          </cell>
          <cell r="CT185">
            <v>1821.9</v>
          </cell>
          <cell r="CU185">
            <v>1821.9</v>
          </cell>
          <cell r="CV185">
            <v>1821.9</v>
          </cell>
          <cell r="CW185">
            <v>1821.9</v>
          </cell>
          <cell r="CX185">
            <v>1821.9</v>
          </cell>
          <cell r="CY185">
            <v>2028.7</v>
          </cell>
          <cell r="CZ185">
            <v>2028.7</v>
          </cell>
          <cell r="DA185">
            <v>2028.7</v>
          </cell>
          <cell r="DB185">
            <v>2028.7</v>
          </cell>
          <cell r="DC185">
            <v>2028.7</v>
          </cell>
          <cell r="DD185">
            <v>2028.7</v>
          </cell>
          <cell r="DE185">
            <v>2028.7</v>
          </cell>
          <cell r="DF185">
            <v>2028.7</v>
          </cell>
          <cell r="DG185">
            <v>2028.7</v>
          </cell>
          <cell r="DH185">
            <v>2028.7</v>
          </cell>
          <cell r="DI185">
            <v>2028.7</v>
          </cell>
          <cell r="DJ185">
            <v>2028.7</v>
          </cell>
          <cell r="DK185">
            <v>2269.9</v>
          </cell>
          <cell r="DL185">
            <v>5583.2</v>
          </cell>
          <cell r="DM185">
            <v>5583.2</v>
          </cell>
          <cell r="DN185">
            <v>5583.2</v>
          </cell>
          <cell r="DO185">
            <v>5583.2</v>
          </cell>
          <cell r="DP185">
            <v>5583.2</v>
          </cell>
          <cell r="DQ185">
            <v>5583.2</v>
          </cell>
          <cell r="DR185">
            <v>5583.2</v>
          </cell>
          <cell r="DS185">
            <v>5583.2</v>
          </cell>
          <cell r="DT185">
            <v>5583.2</v>
          </cell>
          <cell r="DU185">
            <v>5583.2</v>
          </cell>
          <cell r="DV185">
            <v>5583.2</v>
          </cell>
          <cell r="DW185">
            <v>5583.2</v>
          </cell>
          <cell r="EK185" t="str">
            <v>Tax</v>
          </cell>
        </row>
        <row r="186">
          <cell r="A186" t="str">
            <v>Deferred Tax Assets</v>
          </cell>
          <cell r="B186" t="str">
            <v>T_190</v>
          </cell>
          <cell r="C186" t="str">
            <v>Deferred Tax Assets</v>
          </cell>
          <cell r="D186" t="str">
            <v>1900400</v>
          </cell>
          <cell r="E186" t="str">
            <v>A_1900400</v>
          </cell>
          <cell r="F186" t="str">
            <v>Deferred Tax Asset - State</v>
          </cell>
          <cell r="G186">
            <v>3596.4969799999999</v>
          </cell>
          <cell r="H186">
            <v>3534.8</v>
          </cell>
          <cell r="I186">
            <v>3505.1</v>
          </cell>
          <cell r="J186">
            <v>3576.3</v>
          </cell>
          <cell r="K186">
            <v>3596.4</v>
          </cell>
          <cell r="L186">
            <v>3617.9</v>
          </cell>
          <cell r="M186">
            <v>3605.9</v>
          </cell>
          <cell r="N186">
            <v>3591.6</v>
          </cell>
          <cell r="O186">
            <v>3543.2</v>
          </cell>
          <cell r="P186">
            <v>3633.4</v>
          </cell>
          <cell r="Q186">
            <v>3691.7</v>
          </cell>
          <cell r="R186">
            <v>3351</v>
          </cell>
          <cell r="S186">
            <v>3389.8</v>
          </cell>
          <cell r="T186">
            <v>3456.9</v>
          </cell>
          <cell r="U186">
            <v>3343.5</v>
          </cell>
          <cell r="V186">
            <v>3419.2</v>
          </cell>
          <cell r="W186">
            <v>3467</v>
          </cell>
          <cell r="X186">
            <v>3465.6</v>
          </cell>
          <cell r="Y186">
            <v>3458.4</v>
          </cell>
          <cell r="Z186">
            <v>3463.1</v>
          </cell>
          <cell r="AA186">
            <v>3469.2</v>
          </cell>
          <cell r="AB186">
            <v>3468.3</v>
          </cell>
          <cell r="AC186">
            <v>3471.1</v>
          </cell>
          <cell r="AD186">
            <v>3495.4</v>
          </cell>
          <cell r="AE186">
            <v>3518.4</v>
          </cell>
          <cell r="AF186">
            <v>3561.5</v>
          </cell>
          <cell r="AG186">
            <v>3504</v>
          </cell>
          <cell r="AH186">
            <v>3556.7</v>
          </cell>
          <cell r="AI186">
            <v>3580.7</v>
          </cell>
          <cell r="AJ186">
            <v>3595.4</v>
          </cell>
          <cell r="AK186">
            <v>3594.9</v>
          </cell>
          <cell r="AL186">
            <v>3613</v>
          </cell>
          <cell r="AM186">
            <v>3636.6</v>
          </cell>
          <cell r="AN186">
            <v>3670.4</v>
          </cell>
          <cell r="AO186">
            <v>3663.5</v>
          </cell>
          <cell r="AP186">
            <v>3635.5</v>
          </cell>
          <cell r="AQ186">
            <v>4504.7</v>
          </cell>
          <cell r="AR186">
            <v>4634.1000000000004</v>
          </cell>
          <cell r="AS186">
            <v>4493.8999999999996</v>
          </cell>
          <cell r="AT186">
            <v>4570.6000000000004</v>
          </cell>
          <cell r="AU186">
            <v>4614.8999999999996</v>
          </cell>
          <cell r="AV186">
            <v>4640.6000000000004</v>
          </cell>
          <cell r="AW186">
            <v>4678.5</v>
          </cell>
          <cell r="AX186">
            <v>4705.2</v>
          </cell>
          <cell r="AY186">
            <v>4703.3999999999996</v>
          </cell>
          <cell r="AZ186">
            <v>4802.5</v>
          </cell>
          <cell r="BA186">
            <v>4790.8</v>
          </cell>
          <cell r="BB186">
            <v>4811.7</v>
          </cell>
          <cell r="BC186">
            <v>4734.3999999999996</v>
          </cell>
          <cell r="BD186">
            <v>4867.8999999999996</v>
          </cell>
          <cell r="BE186">
            <v>4804.3999999999996</v>
          </cell>
          <cell r="BF186">
            <v>5044.8</v>
          </cell>
          <cell r="BG186">
            <v>5113.1000000000004</v>
          </cell>
          <cell r="BH186">
            <v>5170</v>
          </cell>
          <cell r="BI186">
            <v>5209.2</v>
          </cell>
          <cell r="BJ186">
            <v>5224.3</v>
          </cell>
          <cell r="BK186">
            <v>5232.7</v>
          </cell>
          <cell r="BL186">
            <v>5614.2</v>
          </cell>
          <cell r="BM186">
            <v>5629.9</v>
          </cell>
          <cell r="BN186">
            <v>5655.2</v>
          </cell>
          <cell r="BO186">
            <v>5511.2</v>
          </cell>
          <cell r="BP186">
            <v>5561.6</v>
          </cell>
          <cell r="BQ186">
            <v>5391.4</v>
          </cell>
          <cell r="BR186">
            <v>5528.2</v>
          </cell>
          <cell r="BS186">
            <v>5554.4</v>
          </cell>
          <cell r="BT186">
            <v>5562.5</v>
          </cell>
          <cell r="BU186">
            <v>5591.4</v>
          </cell>
          <cell r="BV186">
            <v>5654.7</v>
          </cell>
          <cell r="BW186">
            <v>5675.6</v>
          </cell>
          <cell r="BX186">
            <v>5640.3</v>
          </cell>
          <cell r="BY186">
            <v>5662.5</v>
          </cell>
          <cell r="BZ186">
            <v>5714.3</v>
          </cell>
          <cell r="CA186">
            <v>5755.8</v>
          </cell>
          <cell r="CB186">
            <v>5857.3</v>
          </cell>
          <cell r="CC186">
            <v>5688.7</v>
          </cell>
          <cell r="CD186">
            <v>5746.6</v>
          </cell>
          <cell r="CE186">
            <v>5791.9</v>
          </cell>
          <cell r="CF186">
            <v>5816.6</v>
          </cell>
          <cell r="CG186">
            <v>5895.5</v>
          </cell>
          <cell r="CH186">
            <v>5911.7</v>
          </cell>
          <cell r="CI186">
            <v>5901.7</v>
          </cell>
          <cell r="CJ186">
            <v>5964.3</v>
          </cell>
          <cell r="CK186">
            <v>5976.3</v>
          </cell>
          <cell r="CL186">
            <v>5935.9</v>
          </cell>
          <cell r="CM186">
            <v>6067.3</v>
          </cell>
          <cell r="CN186">
            <v>6187</v>
          </cell>
          <cell r="CO186">
            <v>6249</v>
          </cell>
          <cell r="CP186">
            <v>5986.3</v>
          </cell>
          <cell r="CQ186">
            <v>6064.8</v>
          </cell>
          <cell r="CR186">
            <v>6055</v>
          </cell>
          <cell r="CS186">
            <v>6165.5</v>
          </cell>
          <cell r="CT186">
            <v>6190.2</v>
          </cell>
          <cell r="CU186">
            <v>6241.7</v>
          </cell>
          <cell r="CV186">
            <v>6372</v>
          </cell>
          <cell r="CW186">
            <v>6278</v>
          </cell>
          <cell r="CX186">
            <v>6379.8</v>
          </cell>
          <cell r="CY186">
            <v>6390.7</v>
          </cell>
          <cell r="CZ186">
            <v>6468.6</v>
          </cell>
          <cell r="DA186">
            <v>6735.5</v>
          </cell>
          <cell r="DB186">
            <v>6359.5</v>
          </cell>
          <cell r="DC186">
            <v>6434.6</v>
          </cell>
          <cell r="DD186">
            <v>6487</v>
          </cell>
          <cell r="DE186">
            <v>6657.3</v>
          </cell>
          <cell r="DF186">
            <v>6659</v>
          </cell>
          <cell r="DG186">
            <v>6589.9</v>
          </cell>
          <cell r="DH186">
            <v>6735</v>
          </cell>
          <cell r="DI186">
            <v>6770</v>
          </cell>
          <cell r="DJ186">
            <v>6856.3</v>
          </cell>
          <cell r="DK186">
            <v>6913</v>
          </cell>
          <cell r="DL186">
            <v>7062.4</v>
          </cell>
          <cell r="DM186">
            <v>7169.2</v>
          </cell>
          <cell r="DN186">
            <v>6791.6</v>
          </cell>
          <cell r="DO186">
            <v>6866.4</v>
          </cell>
          <cell r="DP186">
            <v>6915.7</v>
          </cell>
          <cell r="DQ186">
            <v>7048.5</v>
          </cell>
          <cell r="DR186">
            <v>7084</v>
          </cell>
          <cell r="DS186">
            <v>7108.2</v>
          </cell>
          <cell r="DT186">
            <v>7160.7</v>
          </cell>
          <cell r="DU186">
            <v>7182.6</v>
          </cell>
          <cell r="DV186">
            <v>7224.2</v>
          </cell>
          <cell r="DW186">
            <v>7390.5</v>
          </cell>
          <cell r="EK186" t="str">
            <v>Tax</v>
          </cell>
        </row>
        <row r="187">
          <cell r="A187" t="str">
            <v>Deferred Tax Assets</v>
          </cell>
          <cell r="B187" t="str">
            <v>T_190</v>
          </cell>
          <cell r="C187" t="str">
            <v>Deferred Tax Assets</v>
          </cell>
          <cell r="D187" t="str">
            <v>1900403</v>
          </cell>
          <cell r="E187" t="str">
            <v>A_1900403</v>
          </cell>
          <cell r="F187" t="str">
            <v>DTA Separate Company - State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221.3</v>
          </cell>
          <cell r="AR187">
            <v>221.3</v>
          </cell>
          <cell r="AS187">
            <v>221.3</v>
          </cell>
          <cell r="AT187">
            <v>221.3</v>
          </cell>
          <cell r="AU187">
            <v>221.3</v>
          </cell>
          <cell r="AV187">
            <v>221.3</v>
          </cell>
          <cell r="AW187">
            <v>221.3</v>
          </cell>
          <cell r="AX187">
            <v>221.3</v>
          </cell>
          <cell r="AY187">
            <v>221.3</v>
          </cell>
          <cell r="AZ187">
            <v>221.3</v>
          </cell>
          <cell r="BA187">
            <v>221.3</v>
          </cell>
          <cell r="BB187">
            <v>221.3</v>
          </cell>
          <cell r="BC187">
            <v>254.4</v>
          </cell>
          <cell r="BD187">
            <v>254.4</v>
          </cell>
          <cell r="BE187">
            <v>254.4</v>
          </cell>
          <cell r="BF187">
            <v>254.4</v>
          </cell>
          <cell r="BG187">
            <v>254.4</v>
          </cell>
          <cell r="BH187">
            <v>254.4</v>
          </cell>
          <cell r="BI187">
            <v>254.4</v>
          </cell>
          <cell r="BJ187">
            <v>254.4</v>
          </cell>
          <cell r="BK187">
            <v>254.4</v>
          </cell>
          <cell r="BL187">
            <v>254.4</v>
          </cell>
          <cell r="BM187">
            <v>254.4</v>
          </cell>
          <cell r="BN187">
            <v>278.2</v>
          </cell>
          <cell r="BO187">
            <v>278.2</v>
          </cell>
          <cell r="BP187">
            <v>278.2</v>
          </cell>
          <cell r="BQ187">
            <v>278.2</v>
          </cell>
          <cell r="BR187">
            <v>278.2</v>
          </cell>
          <cell r="BS187">
            <v>278.2</v>
          </cell>
          <cell r="BT187">
            <v>278.2</v>
          </cell>
          <cell r="BU187">
            <v>278.2</v>
          </cell>
          <cell r="BV187">
            <v>278.2</v>
          </cell>
          <cell r="BW187">
            <v>278.2</v>
          </cell>
          <cell r="BX187">
            <v>278.2</v>
          </cell>
          <cell r="BY187">
            <v>278.2</v>
          </cell>
          <cell r="BZ187">
            <v>278.2</v>
          </cell>
          <cell r="CA187">
            <v>278.2</v>
          </cell>
          <cell r="CB187">
            <v>278.2</v>
          </cell>
          <cell r="CC187">
            <v>278.2</v>
          </cell>
          <cell r="CD187">
            <v>278.2</v>
          </cell>
          <cell r="CE187">
            <v>278.2</v>
          </cell>
          <cell r="CF187">
            <v>278.2</v>
          </cell>
          <cell r="CG187">
            <v>278.2</v>
          </cell>
          <cell r="CH187">
            <v>278.2</v>
          </cell>
          <cell r="CI187">
            <v>278.2</v>
          </cell>
          <cell r="CJ187">
            <v>278.2</v>
          </cell>
          <cell r="CK187">
            <v>278.2</v>
          </cell>
          <cell r="CL187">
            <v>278.2</v>
          </cell>
          <cell r="CM187">
            <v>278.2</v>
          </cell>
          <cell r="CN187">
            <v>278.2</v>
          </cell>
          <cell r="CO187">
            <v>278.2</v>
          </cell>
          <cell r="CP187">
            <v>278.2</v>
          </cell>
          <cell r="CQ187">
            <v>278.2</v>
          </cell>
          <cell r="CR187">
            <v>278.2</v>
          </cell>
          <cell r="CS187">
            <v>278.2</v>
          </cell>
          <cell r="CT187">
            <v>278.2</v>
          </cell>
          <cell r="CU187">
            <v>278.2</v>
          </cell>
          <cell r="CV187">
            <v>278.2</v>
          </cell>
          <cell r="CW187">
            <v>278.2</v>
          </cell>
          <cell r="CX187">
            <v>278.2</v>
          </cell>
          <cell r="CY187">
            <v>278.2</v>
          </cell>
          <cell r="CZ187">
            <v>278.2</v>
          </cell>
          <cell r="DA187">
            <v>278.2</v>
          </cell>
          <cell r="DB187">
            <v>278.2</v>
          </cell>
          <cell r="DC187">
            <v>278.2</v>
          </cell>
          <cell r="DD187">
            <v>278.2</v>
          </cell>
          <cell r="DE187">
            <v>278.2</v>
          </cell>
          <cell r="DF187">
            <v>278.2</v>
          </cell>
          <cell r="DG187">
            <v>278.2</v>
          </cell>
          <cell r="DH187">
            <v>278.2</v>
          </cell>
          <cell r="DI187">
            <v>278.2</v>
          </cell>
          <cell r="DJ187">
            <v>278.2</v>
          </cell>
          <cell r="DK187">
            <v>278.2</v>
          </cell>
          <cell r="DL187">
            <v>278.2</v>
          </cell>
          <cell r="DM187">
            <v>278.2</v>
          </cell>
          <cell r="DN187">
            <v>278.2</v>
          </cell>
          <cell r="DO187">
            <v>278.2</v>
          </cell>
          <cell r="DP187">
            <v>278.2</v>
          </cell>
          <cell r="DQ187">
            <v>278.2</v>
          </cell>
          <cell r="DR187">
            <v>278.2</v>
          </cell>
          <cell r="DS187">
            <v>278.2</v>
          </cell>
          <cell r="DT187">
            <v>278.2</v>
          </cell>
          <cell r="DU187">
            <v>278.2</v>
          </cell>
          <cell r="DV187">
            <v>278.2</v>
          </cell>
          <cell r="DW187">
            <v>278.2</v>
          </cell>
          <cell r="EK187" t="str">
            <v>Tax</v>
          </cell>
        </row>
        <row r="188">
          <cell r="A188" t="str">
            <v>Deferred Tax Assets</v>
          </cell>
          <cell r="B188" t="str">
            <v>T_190</v>
          </cell>
          <cell r="C188" t="str">
            <v>Deferred Tax Assets</v>
          </cell>
          <cell r="D188" t="str">
            <v>1900405</v>
          </cell>
          <cell r="E188" t="str">
            <v>A_1900405</v>
          </cell>
          <cell r="F188" t="str">
            <v>Deferred Tax Asset - State Non Utility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EK188" t="str">
            <v>Tax</v>
          </cell>
        </row>
        <row r="189">
          <cell r="A189" t="str">
            <v>Deferred Tax Assets</v>
          </cell>
          <cell r="B189" t="str">
            <v>T_190</v>
          </cell>
          <cell r="C189" t="str">
            <v>Deferred Tax Assets</v>
          </cell>
          <cell r="D189" t="str">
            <v>1900406</v>
          </cell>
          <cell r="E189" t="str">
            <v>A_1900406</v>
          </cell>
          <cell r="F189" t="str">
            <v>Deferred Tax SIT - FAS 133</v>
          </cell>
          <cell r="G189">
            <v>64.395260000000007</v>
          </cell>
          <cell r="H189">
            <v>197</v>
          </cell>
          <cell r="I189">
            <v>137.5</v>
          </cell>
          <cell r="J189">
            <v>83.8</v>
          </cell>
          <cell r="K189">
            <v>170</v>
          </cell>
          <cell r="L189">
            <v>69.8</v>
          </cell>
          <cell r="M189">
            <v>47.6</v>
          </cell>
          <cell r="N189">
            <v>178.7</v>
          </cell>
          <cell r="O189">
            <v>84.2</v>
          </cell>
          <cell r="P189">
            <v>89</v>
          </cell>
          <cell r="Q189">
            <v>201.2</v>
          </cell>
          <cell r="R189">
            <v>148.69999999999999</v>
          </cell>
          <cell r="S189">
            <v>494.2</v>
          </cell>
          <cell r="T189">
            <v>498.6</v>
          </cell>
          <cell r="U189">
            <v>408.5</v>
          </cell>
          <cell r="V189">
            <v>397.2</v>
          </cell>
          <cell r="W189">
            <v>346.1</v>
          </cell>
          <cell r="X189">
            <v>346.9</v>
          </cell>
          <cell r="Y189">
            <v>285.7</v>
          </cell>
          <cell r="Z189">
            <v>287</v>
          </cell>
          <cell r="AA189">
            <v>305.2</v>
          </cell>
          <cell r="AB189">
            <v>348.3</v>
          </cell>
          <cell r="AC189">
            <v>442.4</v>
          </cell>
          <cell r="AD189">
            <v>443.6</v>
          </cell>
          <cell r="AE189">
            <v>349</v>
          </cell>
          <cell r="AF189">
            <v>268.7</v>
          </cell>
          <cell r="AG189">
            <v>298.7</v>
          </cell>
          <cell r="AH189">
            <v>190</v>
          </cell>
          <cell r="AI189">
            <v>111.5</v>
          </cell>
          <cell r="AJ189">
            <v>97.2</v>
          </cell>
          <cell r="AK189">
            <v>38.6</v>
          </cell>
          <cell r="AL189">
            <v>37.799999999999997</v>
          </cell>
          <cell r="AM189">
            <v>28.9</v>
          </cell>
          <cell r="AN189">
            <v>28.7</v>
          </cell>
          <cell r="AO189">
            <v>30.9</v>
          </cell>
          <cell r="AP189">
            <v>33.5</v>
          </cell>
          <cell r="AQ189">
            <v>109.4</v>
          </cell>
          <cell r="AR189">
            <v>32.5</v>
          </cell>
          <cell r="AS189">
            <v>23.2</v>
          </cell>
          <cell r="AT189">
            <v>26.8</v>
          </cell>
          <cell r="AU189">
            <v>29.6</v>
          </cell>
          <cell r="AV189">
            <v>9.5</v>
          </cell>
          <cell r="AW189">
            <v>6.1</v>
          </cell>
          <cell r="AX189">
            <v>8.1999999999999993</v>
          </cell>
          <cell r="AY189">
            <v>5.8</v>
          </cell>
          <cell r="AZ189">
            <v>4.9000000000000004</v>
          </cell>
          <cell r="BA189">
            <v>7.9</v>
          </cell>
          <cell r="BB189">
            <v>3.7</v>
          </cell>
          <cell r="BC189">
            <v>10</v>
          </cell>
          <cell r="BD189">
            <v>4.4000000000000004</v>
          </cell>
          <cell r="BE189">
            <v>6.2</v>
          </cell>
          <cell r="BF189">
            <v>1.8</v>
          </cell>
          <cell r="BG189">
            <v>1.5</v>
          </cell>
          <cell r="BH189">
            <v>1.1000000000000001</v>
          </cell>
          <cell r="BI189">
            <v>0.9</v>
          </cell>
          <cell r="BJ189">
            <v>0.6</v>
          </cell>
          <cell r="BK189">
            <v>0.2</v>
          </cell>
          <cell r="BL189">
            <v>0.6</v>
          </cell>
          <cell r="BM189">
            <v>0.8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EK189" t="str">
            <v>Tax</v>
          </cell>
        </row>
        <row r="190">
          <cell r="A190" t="str">
            <v>Deferred Tax Assets</v>
          </cell>
          <cell r="B190" t="str">
            <v>T_190</v>
          </cell>
          <cell r="C190" t="str">
            <v>Deferred Tax Assets</v>
          </cell>
          <cell r="D190" t="str">
            <v>1900407</v>
          </cell>
          <cell r="E190" t="str">
            <v>A_1900407</v>
          </cell>
          <cell r="F190" t="str">
            <v>Deferred Tax SIT - FAS 133 Interest</v>
          </cell>
          <cell r="G190">
            <v>163.80000000000001</v>
          </cell>
          <cell r="H190">
            <v>161.80000000000001</v>
          </cell>
          <cell r="I190">
            <v>159.80000000000001</v>
          </cell>
          <cell r="J190">
            <v>157.80000000000001</v>
          </cell>
          <cell r="K190">
            <v>155.6</v>
          </cell>
          <cell r="L190">
            <v>154.30000000000001</v>
          </cell>
          <cell r="M190">
            <v>152.30000000000001</v>
          </cell>
          <cell r="N190">
            <v>150.30000000000001</v>
          </cell>
          <cell r="O190">
            <v>148.30000000000001</v>
          </cell>
          <cell r="P190">
            <v>146.30000000000001</v>
          </cell>
          <cell r="Q190">
            <v>144.30000000000001</v>
          </cell>
          <cell r="R190">
            <v>142.30000000000001</v>
          </cell>
          <cell r="S190">
            <v>140.30000000000001</v>
          </cell>
          <cell r="T190">
            <v>138.30000000000001</v>
          </cell>
          <cell r="U190">
            <v>136.30000000000001</v>
          </cell>
          <cell r="V190">
            <v>132.69999999999999</v>
          </cell>
          <cell r="W190">
            <v>121.9</v>
          </cell>
          <cell r="X190">
            <v>111.2</v>
          </cell>
          <cell r="Y190">
            <v>109.2</v>
          </cell>
          <cell r="Z190">
            <v>107.2</v>
          </cell>
          <cell r="AA190">
            <v>105.3</v>
          </cell>
          <cell r="AB190">
            <v>103.3</v>
          </cell>
          <cell r="AC190">
            <v>101.4</v>
          </cell>
          <cell r="AD190">
            <v>99.4</v>
          </cell>
          <cell r="AE190">
            <v>97.5</v>
          </cell>
          <cell r="AF190">
            <v>95.5</v>
          </cell>
          <cell r="AG190">
            <v>93.6</v>
          </cell>
          <cell r="AH190">
            <v>91.6</v>
          </cell>
          <cell r="AI190">
            <v>89.6</v>
          </cell>
          <cell r="AJ190">
            <v>87.7</v>
          </cell>
          <cell r="AK190">
            <v>85.7</v>
          </cell>
          <cell r="AL190">
            <v>83.8</v>
          </cell>
          <cell r="AM190">
            <v>81.8</v>
          </cell>
          <cell r="AN190">
            <v>79.900000000000006</v>
          </cell>
          <cell r="AO190">
            <v>77.900000000000006</v>
          </cell>
          <cell r="AP190">
            <v>76</v>
          </cell>
          <cell r="AQ190">
            <v>74</v>
          </cell>
          <cell r="AR190">
            <v>72.099999999999994</v>
          </cell>
          <cell r="AS190">
            <v>70.099999999999994</v>
          </cell>
          <cell r="AT190">
            <v>68.099999999999994</v>
          </cell>
          <cell r="AU190">
            <v>66.2</v>
          </cell>
          <cell r="AV190">
            <v>64.2</v>
          </cell>
          <cell r="AW190">
            <v>62.3</v>
          </cell>
          <cell r="AX190">
            <v>60.3</v>
          </cell>
          <cell r="AY190">
            <v>58.4</v>
          </cell>
          <cell r="AZ190">
            <v>56.4</v>
          </cell>
          <cell r="BA190">
            <v>54.5</v>
          </cell>
          <cell r="BB190">
            <v>52.5</v>
          </cell>
          <cell r="BC190">
            <v>50.5</v>
          </cell>
          <cell r="BD190">
            <v>48.6</v>
          </cell>
          <cell r="BE190">
            <v>46.6</v>
          </cell>
          <cell r="BF190">
            <v>44.7</v>
          </cell>
          <cell r="BG190">
            <v>42.7</v>
          </cell>
          <cell r="BH190">
            <v>41.7</v>
          </cell>
          <cell r="BI190">
            <v>41.5</v>
          </cell>
          <cell r="BJ190">
            <v>41.4</v>
          </cell>
          <cell r="BK190">
            <v>41.2</v>
          </cell>
          <cell r="BL190">
            <v>41.1</v>
          </cell>
          <cell r="BM190">
            <v>40.9</v>
          </cell>
          <cell r="BN190">
            <v>40.799999999999997</v>
          </cell>
          <cell r="BO190">
            <v>40.6</v>
          </cell>
          <cell r="BP190">
            <v>40.5</v>
          </cell>
          <cell r="BQ190">
            <v>40.299999999999997</v>
          </cell>
          <cell r="BR190">
            <v>40.200000000000003</v>
          </cell>
          <cell r="BS190">
            <v>40</v>
          </cell>
          <cell r="BT190">
            <v>39.9</v>
          </cell>
          <cell r="BU190">
            <v>39.700000000000003</v>
          </cell>
          <cell r="BV190">
            <v>39.6</v>
          </cell>
          <cell r="BW190">
            <v>39.4</v>
          </cell>
          <cell r="BX190">
            <v>39.299999999999997</v>
          </cell>
          <cell r="BY190">
            <v>39.1</v>
          </cell>
          <cell r="BZ190">
            <v>38.9</v>
          </cell>
          <cell r="CA190">
            <v>38.799999999999997</v>
          </cell>
          <cell r="CB190">
            <v>38.6</v>
          </cell>
          <cell r="CC190">
            <v>38.5</v>
          </cell>
          <cell r="CD190">
            <v>38.299999999999997</v>
          </cell>
          <cell r="CE190">
            <v>38.200000000000003</v>
          </cell>
          <cell r="CF190">
            <v>38</v>
          </cell>
          <cell r="CG190">
            <v>37.9</v>
          </cell>
          <cell r="CH190">
            <v>37.700000000000003</v>
          </cell>
          <cell r="CI190">
            <v>37.6</v>
          </cell>
          <cell r="CJ190">
            <v>37.4</v>
          </cell>
          <cell r="CK190">
            <v>37.299999999999997</v>
          </cell>
          <cell r="CL190">
            <v>37.1</v>
          </cell>
          <cell r="CM190">
            <v>37</v>
          </cell>
          <cell r="CN190">
            <v>36.799999999999997</v>
          </cell>
          <cell r="CO190">
            <v>36.700000000000003</v>
          </cell>
          <cell r="CP190">
            <v>36.5</v>
          </cell>
          <cell r="CQ190">
            <v>36.4</v>
          </cell>
          <cell r="CR190">
            <v>36.200000000000003</v>
          </cell>
          <cell r="CS190">
            <v>36.1</v>
          </cell>
          <cell r="CT190">
            <v>35.9</v>
          </cell>
          <cell r="CU190">
            <v>35.799999999999997</v>
          </cell>
          <cell r="CV190">
            <v>35.6</v>
          </cell>
          <cell r="CW190">
            <v>35.5</v>
          </cell>
          <cell r="CX190">
            <v>35.299999999999997</v>
          </cell>
          <cell r="CY190">
            <v>35.200000000000003</v>
          </cell>
          <cell r="CZ190">
            <v>35</v>
          </cell>
          <cell r="DA190">
            <v>34.9</v>
          </cell>
          <cell r="DB190">
            <v>34.700000000000003</v>
          </cell>
          <cell r="DC190">
            <v>34.6</v>
          </cell>
          <cell r="DD190">
            <v>34.4</v>
          </cell>
          <cell r="DE190">
            <v>34.299999999999997</v>
          </cell>
          <cell r="DF190">
            <v>34.1</v>
          </cell>
          <cell r="DG190">
            <v>34</v>
          </cell>
          <cell r="DH190">
            <v>33.799999999999997</v>
          </cell>
          <cell r="DI190">
            <v>33.700000000000003</v>
          </cell>
          <cell r="DJ190">
            <v>33.5</v>
          </cell>
          <cell r="DK190">
            <v>33.4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EK190" t="str">
            <v>Tax</v>
          </cell>
        </row>
        <row r="191">
          <cell r="A191" t="str">
            <v>Deferred Tax Assets</v>
          </cell>
          <cell r="B191" t="str">
            <v>T_190</v>
          </cell>
          <cell r="C191" t="str">
            <v>Deferred Tax Assets</v>
          </cell>
          <cell r="D191" t="str">
            <v>1900408</v>
          </cell>
          <cell r="E191" t="str">
            <v>A_1900408</v>
          </cell>
          <cell r="F191" t="str">
            <v>Deferred Tax SIT - FAS 158</v>
          </cell>
          <cell r="G191">
            <v>950.35037999999997</v>
          </cell>
          <cell r="H191">
            <v>950.4</v>
          </cell>
          <cell r="I191">
            <v>950.4</v>
          </cell>
          <cell r="J191">
            <v>929.4</v>
          </cell>
          <cell r="K191">
            <v>929.4</v>
          </cell>
          <cell r="L191">
            <v>929.4</v>
          </cell>
          <cell r="M191">
            <v>907.9</v>
          </cell>
          <cell r="N191">
            <v>907.9</v>
          </cell>
          <cell r="O191">
            <v>907.9</v>
          </cell>
          <cell r="P191">
            <v>896.6</v>
          </cell>
          <cell r="Q191">
            <v>896.6</v>
          </cell>
          <cell r="R191">
            <v>896.6</v>
          </cell>
          <cell r="S191">
            <v>1063.3</v>
          </cell>
          <cell r="T191">
            <v>1063.3</v>
          </cell>
          <cell r="U191">
            <v>1063.3</v>
          </cell>
          <cell r="V191">
            <v>1083.2</v>
          </cell>
          <cell r="W191">
            <v>1083.2</v>
          </cell>
          <cell r="X191">
            <v>1083.2</v>
          </cell>
          <cell r="Y191">
            <v>1017.7</v>
          </cell>
          <cell r="Z191">
            <v>1017.7</v>
          </cell>
          <cell r="AA191">
            <v>1000.9</v>
          </cell>
          <cell r="AB191">
            <v>978.1</v>
          </cell>
          <cell r="AC191">
            <v>978.1</v>
          </cell>
          <cell r="AD191">
            <v>978.1</v>
          </cell>
          <cell r="AE191">
            <v>1381.1</v>
          </cell>
          <cell r="AF191">
            <v>1381.1</v>
          </cell>
          <cell r="AG191">
            <v>1381.1</v>
          </cell>
          <cell r="AH191">
            <v>1361.6</v>
          </cell>
          <cell r="AI191">
            <v>1361.6</v>
          </cell>
          <cell r="AJ191">
            <v>1362.1</v>
          </cell>
          <cell r="AK191">
            <v>1336.2</v>
          </cell>
          <cell r="AL191">
            <v>1336.2</v>
          </cell>
          <cell r="AM191">
            <v>1336.2</v>
          </cell>
          <cell r="AN191">
            <v>1800.4</v>
          </cell>
          <cell r="AO191">
            <v>1800.4</v>
          </cell>
          <cell r="AP191">
            <v>1800.4</v>
          </cell>
          <cell r="AQ191">
            <v>1558.1</v>
          </cell>
          <cell r="AR191">
            <v>1558.1</v>
          </cell>
          <cell r="AS191">
            <v>1558.1</v>
          </cell>
          <cell r="AT191">
            <v>1534.8</v>
          </cell>
          <cell r="AU191">
            <v>1534.8</v>
          </cell>
          <cell r="AV191">
            <v>1534.8</v>
          </cell>
          <cell r="AW191">
            <v>1576.9</v>
          </cell>
          <cell r="AX191">
            <v>1576.9</v>
          </cell>
          <cell r="AY191">
            <v>1576.9</v>
          </cell>
          <cell r="AZ191">
            <v>1551.7</v>
          </cell>
          <cell r="BA191">
            <v>1551.7</v>
          </cell>
          <cell r="BB191">
            <v>1551.7</v>
          </cell>
          <cell r="BC191">
            <v>1445.7</v>
          </cell>
          <cell r="BD191">
            <v>1445.7</v>
          </cell>
          <cell r="BE191">
            <v>1445.7</v>
          </cell>
          <cell r="BF191">
            <v>1419.1</v>
          </cell>
          <cell r="BG191">
            <v>1419.1</v>
          </cell>
          <cell r="BH191">
            <v>1419.1</v>
          </cell>
          <cell r="BI191">
            <v>1389.6</v>
          </cell>
          <cell r="BJ191">
            <v>1389.6</v>
          </cell>
          <cell r="BK191">
            <v>1389.6</v>
          </cell>
          <cell r="BL191">
            <v>1362.8</v>
          </cell>
          <cell r="BM191">
            <v>1362.8</v>
          </cell>
          <cell r="BN191">
            <v>1362.8</v>
          </cell>
          <cell r="BO191">
            <v>1690.6</v>
          </cell>
          <cell r="BP191">
            <v>1690.6</v>
          </cell>
          <cell r="BQ191">
            <v>1690.6</v>
          </cell>
          <cell r="BR191">
            <v>1668.7</v>
          </cell>
          <cell r="BS191">
            <v>1668.7</v>
          </cell>
          <cell r="BT191">
            <v>1668.7</v>
          </cell>
          <cell r="BU191">
            <v>1644.8</v>
          </cell>
          <cell r="BV191">
            <v>1644.8</v>
          </cell>
          <cell r="BW191">
            <v>1644.8</v>
          </cell>
          <cell r="BX191">
            <v>1622</v>
          </cell>
          <cell r="BY191">
            <v>1622</v>
          </cell>
          <cell r="BZ191">
            <v>1622</v>
          </cell>
          <cell r="CA191">
            <v>1633.8</v>
          </cell>
          <cell r="CB191">
            <v>1633.8</v>
          </cell>
          <cell r="CC191">
            <v>1633.8</v>
          </cell>
          <cell r="CD191">
            <v>1605.2</v>
          </cell>
          <cell r="CE191">
            <v>1605.2</v>
          </cell>
          <cell r="CF191">
            <v>1605.2</v>
          </cell>
          <cell r="CG191">
            <v>1575</v>
          </cell>
          <cell r="CH191">
            <v>1575</v>
          </cell>
          <cell r="CI191">
            <v>1575</v>
          </cell>
          <cell r="CJ191">
            <v>1545.6</v>
          </cell>
          <cell r="CK191">
            <v>1545.6</v>
          </cell>
          <cell r="CL191">
            <v>1545.6</v>
          </cell>
          <cell r="CM191">
            <v>1888.3</v>
          </cell>
          <cell r="CN191">
            <v>1888.3</v>
          </cell>
          <cell r="CO191">
            <v>1888.3</v>
          </cell>
          <cell r="CP191">
            <v>1850</v>
          </cell>
          <cell r="CQ191">
            <v>1850</v>
          </cell>
          <cell r="CR191">
            <v>1850</v>
          </cell>
          <cell r="CS191">
            <v>1811.7</v>
          </cell>
          <cell r="CT191">
            <v>1811.7</v>
          </cell>
          <cell r="CU191">
            <v>1811.7</v>
          </cell>
          <cell r="CV191">
            <v>1752.3</v>
          </cell>
          <cell r="CW191">
            <v>1752.3</v>
          </cell>
          <cell r="CX191">
            <v>1752.3</v>
          </cell>
          <cell r="CY191">
            <v>1400.1</v>
          </cell>
          <cell r="CZ191">
            <v>1400.1</v>
          </cell>
          <cell r="DA191">
            <v>1400.1</v>
          </cell>
          <cell r="DB191">
            <v>1369.6</v>
          </cell>
          <cell r="DC191">
            <v>1369.6</v>
          </cell>
          <cell r="DD191">
            <v>1369.6</v>
          </cell>
          <cell r="DE191">
            <v>1275.7</v>
          </cell>
          <cell r="DF191">
            <v>1275.7</v>
          </cell>
          <cell r="DG191">
            <v>1275.7</v>
          </cell>
          <cell r="DH191">
            <v>1244.9000000000001</v>
          </cell>
          <cell r="DI191">
            <v>1244.9000000000001</v>
          </cell>
          <cell r="DJ191">
            <v>1244.9000000000001</v>
          </cell>
          <cell r="DK191">
            <v>1661.6</v>
          </cell>
          <cell r="DL191">
            <v>1661.6</v>
          </cell>
          <cell r="DM191">
            <v>1661.6</v>
          </cell>
          <cell r="DN191">
            <v>1661.6</v>
          </cell>
          <cell r="DO191">
            <v>1661.6</v>
          </cell>
          <cell r="DP191">
            <v>1661.6</v>
          </cell>
          <cell r="DQ191">
            <v>1661.6</v>
          </cell>
          <cell r="DR191">
            <v>1661.6</v>
          </cell>
          <cell r="DS191">
            <v>1661.6</v>
          </cell>
          <cell r="DT191">
            <v>1661.6</v>
          </cell>
          <cell r="DU191">
            <v>1661.6</v>
          </cell>
          <cell r="DV191">
            <v>1661.6</v>
          </cell>
          <cell r="DW191">
            <v>1661.6</v>
          </cell>
          <cell r="EK191" t="str">
            <v>Tax</v>
          </cell>
        </row>
        <row r="192">
          <cell r="A192" t="str">
            <v>Deferred Tax Assets</v>
          </cell>
          <cell r="B192" t="str">
            <v>T_190</v>
          </cell>
          <cell r="C192" t="str">
            <v>Deferred Tax Assets</v>
          </cell>
          <cell r="D192" t="str">
            <v>1900409</v>
          </cell>
          <cell r="E192" t="str">
            <v>A_1900409</v>
          </cell>
          <cell r="F192" t="str">
            <v>Deferred Tax SIT - FAS 158 - Medicare Part D</v>
          </cell>
          <cell r="G192">
            <v>5.32</v>
          </cell>
          <cell r="H192">
            <v>5.3</v>
          </cell>
          <cell r="I192">
            <v>5.3</v>
          </cell>
          <cell r="J192">
            <v>5.3</v>
          </cell>
          <cell r="K192">
            <v>5.3</v>
          </cell>
          <cell r="L192">
            <v>5.3</v>
          </cell>
          <cell r="M192">
            <v>5.3</v>
          </cell>
          <cell r="N192">
            <v>5.3</v>
          </cell>
          <cell r="O192">
            <v>5.3</v>
          </cell>
          <cell r="P192">
            <v>5.3</v>
          </cell>
          <cell r="Q192">
            <v>5.3</v>
          </cell>
          <cell r="R192">
            <v>5.3</v>
          </cell>
          <cell r="S192">
            <v>5.3</v>
          </cell>
          <cell r="T192">
            <v>5.3</v>
          </cell>
          <cell r="U192">
            <v>5.3</v>
          </cell>
          <cell r="V192">
            <v>5.3</v>
          </cell>
          <cell r="W192">
            <v>5.3</v>
          </cell>
          <cell r="X192">
            <v>5.3</v>
          </cell>
          <cell r="Y192">
            <v>5.3</v>
          </cell>
          <cell r="Z192">
            <v>5.3</v>
          </cell>
          <cell r="AA192">
            <v>5.3</v>
          </cell>
          <cell r="AB192">
            <v>5.3</v>
          </cell>
          <cell r="AC192">
            <v>5.3</v>
          </cell>
          <cell r="AD192">
            <v>5.3</v>
          </cell>
          <cell r="AE192">
            <v>5.3</v>
          </cell>
          <cell r="AF192">
            <v>5.3</v>
          </cell>
          <cell r="AG192">
            <v>5.3</v>
          </cell>
          <cell r="AH192">
            <v>5.3</v>
          </cell>
          <cell r="AI192">
            <v>5.3</v>
          </cell>
          <cell r="AJ192">
            <v>5.3</v>
          </cell>
          <cell r="AK192">
            <v>5.3</v>
          </cell>
          <cell r="AL192">
            <v>5.3</v>
          </cell>
          <cell r="AM192">
            <v>5.3</v>
          </cell>
          <cell r="AN192">
            <v>5.3</v>
          </cell>
          <cell r="AO192">
            <v>5.3</v>
          </cell>
          <cell r="AP192">
            <v>5.3</v>
          </cell>
          <cell r="AQ192">
            <v>5.3</v>
          </cell>
          <cell r="AR192">
            <v>5.3</v>
          </cell>
          <cell r="AS192">
            <v>5.3</v>
          </cell>
          <cell r="AT192">
            <v>5.3</v>
          </cell>
          <cell r="AU192">
            <v>5.3</v>
          </cell>
          <cell r="AV192">
            <v>5.3</v>
          </cell>
          <cell r="AW192">
            <v>5.3</v>
          </cell>
          <cell r="AX192">
            <v>5.3</v>
          </cell>
          <cell r="AY192">
            <v>5.3</v>
          </cell>
          <cell r="AZ192">
            <v>5.3</v>
          </cell>
          <cell r="BA192">
            <v>5.3</v>
          </cell>
          <cell r="BB192">
            <v>5.3</v>
          </cell>
          <cell r="BC192">
            <v>5.3</v>
          </cell>
          <cell r="BD192">
            <v>5.3</v>
          </cell>
          <cell r="BE192">
            <v>5.3</v>
          </cell>
          <cell r="BF192">
            <v>5.3</v>
          </cell>
          <cell r="BG192">
            <v>5.3</v>
          </cell>
          <cell r="BH192">
            <v>5.3</v>
          </cell>
          <cell r="BI192">
            <v>5.3</v>
          </cell>
          <cell r="BJ192">
            <v>5.3</v>
          </cell>
          <cell r="BK192">
            <v>5.3</v>
          </cell>
          <cell r="BL192">
            <v>5.3</v>
          </cell>
          <cell r="BM192">
            <v>5.3</v>
          </cell>
          <cell r="BN192">
            <v>5.3</v>
          </cell>
          <cell r="BO192">
            <v>5.3</v>
          </cell>
          <cell r="BP192">
            <v>5.3</v>
          </cell>
          <cell r="BQ192">
            <v>5.3</v>
          </cell>
          <cell r="BR192">
            <v>5.3</v>
          </cell>
          <cell r="BS192">
            <v>5.3</v>
          </cell>
          <cell r="BT192">
            <v>5.3</v>
          </cell>
          <cell r="BU192">
            <v>5.3</v>
          </cell>
          <cell r="BV192">
            <v>5.3</v>
          </cell>
          <cell r="BW192">
            <v>5.3</v>
          </cell>
          <cell r="BX192">
            <v>5.3</v>
          </cell>
          <cell r="BY192">
            <v>5.3</v>
          </cell>
          <cell r="BZ192">
            <v>5.3</v>
          </cell>
          <cell r="CA192">
            <v>5.3</v>
          </cell>
          <cell r="CB192">
            <v>5.3</v>
          </cell>
          <cell r="CC192">
            <v>5.3</v>
          </cell>
          <cell r="CD192">
            <v>5.3</v>
          </cell>
          <cell r="CE192">
            <v>5.3</v>
          </cell>
          <cell r="CF192">
            <v>5.3</v>
          </cell>
          <cell r="CG192">
            <v>5.3</v>
          </cell>
          <cell r="CH192">
            <v>5.3</v>
          </cell>
          <cell r="CI192">
            <v>5.3</v>
          </cell>
          <cell r="CJ192">
            <v>5.3</v>
          </cell>
          <cell r="CK192">
            <v>5.3</v>
          </cell>
          <cell r="CL192">
            <v>5.3</v>
          </cell>
          <cell r="CM192">
            <v>5.3</v>
          </cell>
          <cell r="CN192">
            <v>5.3</v>
          </cell>
          <cell r="CO192">
            <v>5.3</v>
          </cell>
          <cell r="CP192">
            <v>5.3</v>
          </cell>
          <cell r="CQ192">
            <v>5.3</v>
          </cell>
          <cell r="CR192">
            <v>5.3</v>
          </cell>
          <cell r="CS192">
            <v>5.3</v>
          </cell>
          <cell r="CT192">
            <v>5.3</v>
          </cell>
          <cell r="CU192">
            <v>5.3</v>
          </cell>
          <cell r="CV192">
            <v>5.3</v>
          </cell>
          <cell r="CW192">
            <v>5.3</v>
          </cell>
          <cell r="CX192">
            <v>5.3</v>
          </cell>
          <cell r="CY192">
            <v>5.3</v>
          </cell>
          <cell r="CZ192">
            <v>5.3</v>
          </cell>
          <cell r="DA192">
            <v>5.3</v>
          </cell>
          <cell r="DB192">
            <v>5.3</v>
          </cell>
          <cell r="DC192">
            <v>5.3</v>
          </cell>
          <cell r="DD192">
            <v>5.3</v>
          </cell>
          <cell r="DE192">
            <v>5.3</v>
          </cell>
          <cell r="DF192">
            <v>5.3</v>
          </cell>
          <cell r="DG192">
            <v>5.3</v>
          </cell>
          <cell r="DH192">
            <v>5.3</v>
          </cell>
          <cell r="DI192">
            <v>5.3</v>
          </cell>
          <cell r="DJ192">
            <v>5.3</v>
          </cell>
          <cell r="DK192">
            <v>5.3</v>
          </cell>
          <cell r="DL192">
            <v>5.3</v>
          </cell>
          <cell r="DM192">
            <v>5.3</v>
          </cell>
          <cell r="DN192">
            <v>5.3</v>
          </cell>
          <cell r="DO192">
            <v>5.3</v>
          </cell>
          <cell r="DP192">
            <v>5.3</v>
          </cell>
          <cell r="DQ192">
            <v>5.3</v>
          </cell>
          <cell r="DR192">
            <v>5.3</v>
          </cell>
          <cell r="DS192">
            <v>5.3</v>
          </cell>
          <cell r="DT192">
            <v>5.3</v>
          </cell>
          <cell r="DU192">
            <v>5.3</v>
          </cell>
          <cell r="DV192">
            <v>5.3</v>
          </cell>
          <cell r="DW192">
            <v>5.3</v>
          </cell>
          <cell r="EK192" t="str">
            <v>Tax</v>
          </cell>
        </row>
        <row r="193">
          <cell r="A193" t="str">
            <v>Deferred Tax Assets</v>
          </cell>
          <cell r="B193" t="str">
            <v>T_190</v>
          </cell>
          <cell r="C193" t="str">
            <v>Deferred Tax Assets</v>
          </cell>
          <cell r="D193" t="str">
            <v>1900410</v>
          </cell>
          <cell r="E193" t="str">
            <v>A_1900410</v>
          </cell>
          <cell r="F193" t="str">
            <v xml:space="preserve">Deferred Tax SIT - Credits  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786.5</v>
          </cell>
          <cell r="AB193">
            <v>786.5</v>
          </cell>
          <cell r="AC193">
            <v>786.5</v>
          </cell>
          <cell r="AD193">
            <v>786.5</v>
          </cell>
          <cell r="AE193">
            <v>786.5</v>
          </cell>
          <cell r="AF193">
            <v>786.5</v>
          </cell>
          <cell r="AG193">
            <v>786.5</v>
          </cell>
          <cell r="AH193">
            <v>786.5</v>
          </cell>
          <cell r="AI193">
            <v>786.5</v>
          </cell>
          <cell r="AJ193">
            <v>786.5</v>
          </cell>
          <cell r="AK193">
            <v>511.2</v>
          </cell>
          <cell r="AL193">
            <v>511.2</v>
          </cell>
          <cell r="AM193">
            <v>511.2</v>
          </cell>
          <cell r="AN193">
            <v>511.2</v>
          </cell>
          <cell r="AO193">
            <v>511.2</v>
          </cell>
          <cell r="AP193">
            <v>511.2</v>
          </cell>
          <cell r="AQ193">
            <v>511.2</v>
          </cell>
          <cell r="AR193">
            <v>511.2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EK193" t="str">
            <v>Tax</v>
          </cell>
        </row>
        <row r="194">
          <cell r="A194" t="str">
            <v>Deferred Tax Assets</v>
          </cell>
          <cell r="B194" t="str">
            <v>T_190</v>
          </cell>
          <cell r="C194" t="str">
            <v>Deferred Tax Assets</v>
          </cell>
          <cell r="D194" t="str">
            <v>1900600</v>
          </cell>
          <cell r="E194" t="str">
            <v>A_1900600</v>
          </cell>
          <cell r="F194" t="str">
            <v>Deferred Tax-Valuation Allow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-61.3</v>
          </cell>
          <cell r="AL194">
            <v>-61.3</v>
          </cell>
          <cell r="AM194">
            <v>-61.3</v>
          </cell>
          <cell r="AN194">
            <v>-61.3</v>
          </cell>
          <cell r="AO194">
            <v>-61.3</v>
          </cell>
          <cell r="AP194">
            <v>-61.3</v>
          </cell>
          <cell r="AQ194">
            <v>-61.3</v>
          </cell>
          <cell r="AR194">
            <v>-61.3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EK194" t="str">
            <v>Tax</v>
          </cell>
        </row>
        <row r="195">
          <cell r="A195" t="str">
            <v>Deferred Tax Assets</v>
          </cell>
          <cell r="B195" t="str">
            <v>T_190</v>
          </cell>
          <cell r="C195" t="str">
            <v>Deferred Tax Assets</v>
          </cell>
          <cell r="D195" t="str">
            <v>1900610</v>
          </cell>
          <cell r="E195" t="str">
            <v>A_1900610</v>
          </cell>
          <cell r="F195" t="str">
            <v>Deferred Tax Fd ITC - FAS109 Inc Tax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-61.3</v>
          </cell>
          <cell r="AL195">
            <v>-61.3</v>
          </cell>
          <cell r="AM195">
            <v>-61.3</v>
          </cell>
          <cell r="AN195">
            <v>-61.3</v>
          </cell>
          <cell r="AO195">
            <v>-61.3</v>
          </cell>
          <cell r="AP195">
            <v>-61.3</v>
          </cell>
          <cell r="AQ195">
            <v>-61.3</v>
          </cell>
          <cell r="AR195">
            <v>-61.3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932</v>
          </cell>
          <cell r="DM195">
            <v>932</v>
          </cell>
          <cell r="DN195">
            <v>932</v>
          </cell>
          <cell r="DO195">
            <v>932</v>
          </cell>
          <cell r="DP195">
            <v>932</v>
          </cell>
          <cell r="DQ195">
            <v>932</v>
          </cell>
          <cell r="DR195">
            <v>932</v>
          </cell>
          <cell r="DS195">
            <v>932</v>
          </cell>
          <cell r="DT195">
            <v>932</v>
          </cell>
          <cell r="DU195">
            <v>932</v>
          </cell>
          <cell r="DV195">
            <v>932</v>
          </cell>
          <cell r="DW195">
            <v>932</v>
          </cell>
          <cell r="EK195" t="str">
            <v>Tax</v>
          </cell>
        </row>
        <row r="196">
          <cell r="D196" t="str">
            <v>190</v>
          </cell>
          <cell r="E196">
            <v>190</v>
          </cell>
          <cell r="G196">
            <v>33632.5694</v>
          </cell>
          <cell r="H196">
            <v>34115.9</v>
          </cell>
          <cell r="I196">
            <v>33476.400000000001</v>
          </cell>
          <cell r="J196">
            <v>33438.1</v>
          </cell>
          <cell r="K196">
            <v>34168.799999999996</v>
          </cell>
          <cell r="L196">
            <v>33607.299999999996</v>
          </cell>
          <cell r="M196">
            <v>33202.700000000004</v>
          </cell>
          <cell r="N196">
            <v>34007.4</v>
          </cell>
          <cell r="O196">
            <v>32991.200000000004</v>
          </cell>
          <cell r="P196">
            <v>33564.1</v>
          </cell>
          <cell r="Q196">
            <v>34746.199999999997</v>
          </cell>
          <cell r="R196">
            <v>31973.699999999997</v>
          </cell>
          <cell r="S196">
            <v>35824.600000000006</v>
          </cell>
          <cell r="T196">
            <v>36311.700000000004</v>
          </cell>
          <cell r="U196">
            <v>34870.400000000009</v>
          </cell>
          <cell r="V196">
            <v>35436.999999999993</v>
          </cell>
          <cell r="W196">
            <v>35337.9</v>
          </cell>
          <cell r="X196">
            <v>35258.800000000003</v>
          </cell>
          <cell r="Y196">
            <v>34305.799999999996</v>
          </cell>
          <cell r="Z196">
            <v>34334</v>
          </cell>
          <cell r="AA196">
            <v>35159.1</v>
          </cell>
          <cell r="AB196">
            <v>35281.200000000012</v>
          </cell>
          <cell r="AC196">
            <v>35947.4</v>
          </cell>
          <cell r="AD196">
            <v>36112.300000000003</v>
          </cell>
          <cell r="AE196">
            <v>38423.200000000004</v>
          </cell>
          <cell r="AF196">
            <v>38148.700000000004</v>
          </cell>
          <cell r="AG196">
            <v>37941.699999999997</v>
          </cell>
          <cell r="AH196">
            <v>37399</v>
          </cell>
          <cell r="AI196">
            <v>37003</v>
          </cell>
          <cell r="AJ196">
            <v>36995.399999999994</v>
          </cell>
          <cell r="AK196">
            <v>36048.999999999985</v>
          </cell>
          <cell r="AL196">
            <v>36156.300000000003</v>
          </cell>
          <cell r="AM196">
            <v>36602.9</v>
          </cell>
          <cell r="AN196">
            <v>40013.299999999996</v>
          </cell>
          <cell r="AO196">
            <v>39966.700000000004</v>
          </cell>
          <cell r="AP196">
            <v>39774.6</v>
          </cell>
          <cell r="AQ196">
            <v>47861.8</v>
          </cell>
          <cell r="AR196">
            <v>48216.7</v>
          </cell>
          <cell r="AS196">
            <v>46704.500000000007</v>
          </cell>
          <cell r="AT196">
            <v>47090.30000000001</v>
          </cell>
          <cell r="AU196">
            <v>47407.500000000015</v>
          </cell>
          <cell r="AV196">
            <v>47433.100000000013</v>
          </cell>
          <cell r="AW196">
            <v>47956.000000000007</v>
          </cell>
          <cell r="AX196">
            <v>48144.400000000009</v>
          </cell>
          <cell r="AY196">
            <v>48101.700000000019</v>
          </cell>
          <cell r="AZ196">
            <v>50081.200000000004</v>
          </cell>
          <cell r="BA196">
            <v>50006.600000000013</v>
          </cell>
          <cell r="BB196">
            <v>50110.399999999994</v>
          </cell>
          <cell r="BC196">
            <v>48257.600000000006</v>
          </cell>
          <cell r="BD196">
            <v>48838.200000000004</v>
          </cell>
          <cell r="BE196">
            <v>48544.999999999993</v>
          </cell>
          <cell r="BF196">
            <v>49500.800000000003</v>
          </cell>
          <cell r="BG196">
            <v>49805.499999999993</v>
          </cell>
          <cell r="BH196">
            <v>50060.7</v>
          </cell>
          <cell r="BI196">
            <v>50103.200000000004</v>
          </cell>
          <cell r="BJ196">
            <v>50170.8</v>
          </cell>
          <cell r="BK196">
            <v>50206.7</v>
          </cell>
          <cell r="BL196">
            <v>51841.9</v>
          </cell>
          <cell r="BM196">
            <v>51915.200000000012</v>
          </cell>
          <cell r="BN196">
            <v>52443.299999999996</v>
          </cell>
          <cell r="BO196">
            <v>53579.599999999991</v>
          </cell>
          <cell r="BP196">
            <v>53810.299999999996</v>
          </cell>
          <cell r="BQ196">
            <v>53025.3</v>
          </cell>
          <cell r="BR196">
            <v>53554.399999999987</v>
          </cell>
          <cell r="BS196">
            <v>53675.8</v>
          </cell>
          <cell r="BT196">
            <v>53712.899999999994</v>
          </cell>
          <cell r="BU196">
            <v>53733.700000000004</v>
          </cell>
          <cell r="BV196">
            <v>54023.499999999993</v>
          </cell>
          <cell r="BW196">
            <v>54120.2</v>
          </cell>
          <cell r="BX196">
            <v>53966.499999999993</v>
          </cell>
          <cell r="BY196">
            <v>54087.799999999988</v>
          </cell>
          <cell r="BZ196">
            <v>54371.8</v>
          </cell>
          <cell r="CA196">
            <v>54966.400000000009</v>
          </cell>
          <cell r="CB196">
            <v>55524.3</v>
          </cell>
          <cell r="CC196">
            <v>54592.5</v>
          </cell>
          <cell r="CD196">
            <v>54777.9</v>
          </cell>
          <cell r="CE196">
            <v>55026.700000000004</v>
          </cell>
          <cell r="CF196">
            <v>55161.9</v>
          </cell>
          <cell r="CG196">
            <v>55446.2</v>
          </cell>
          <cell r="CH196">
            <v>55534.799999999996</v>
          </cell>
          <cell r="CI196">
            <v>55479.299999999996</v>
          </cell>
          <cell r="CJ196">
            <v>55670.400000000001</v>
          </cell>
          <cell r="CK196">
            <v>56074.299999999996</v>
          </cell>
          <cell r="CL196">
            <v>55851.099999999991</v>
          </cell>
          <cell r="CM196">
            <v>58693.700000000004</v>
          </cell>
          <cell r="CN196">
            <v>59351.200000000004</v>
          </cell>
          <cell r="CO196">
            <v>59691.700000000004</v>
          </cell>
          <cell r="CP196">
            <v>57907.100000000006</v>
          </cell>
          <cell r="CQ196">
            <v>58338.3</v>
          </cell>
          <cell r="CR196">
            <v>58283.499999999993</v>
          </cell>
          <cell r="CS196">
            <v>58536.399999999994</v>
          </cell>
          <cell r="CT196">
            <v>58652.599999999991</v>
          </cell>
          <cell r="CU196">
            <v>58933.999999999993</v>
          </cell>
          <cell r="CV196">
            <v>59497</v>
          </cell>
          <cell r="CW196">
            <v>58863.700000000004</v>
          </cell>
          <cell r="CX196">
            <v>59548.100000000013</v>
          </cell>
          <cell r="CY196">
            <v>58824.19999999999</v>
          </cell>
          <cell r="CZ196">
            <v>59182.7</v>
          </cell>
          <cell r="DA196">
            <v>60411.799999999996</v>
          </cell>
          <cell r="DB196">
            <v>58537.799999999996</v>
          </cell>
          <cell r="DC196">
            <v>58883.19999999999</v>
          </cell>
          <cell r="DD196">
            <v>59123.899999999994</v>
          </cell>
          <cell r="DE196">
            <v>59227.799999999996</v>
          </cell>
          <cell r="DF196">
            <v>59234.69999999999</v>
          </cell>
          <cell r="DG196">
            <v>58915.899999999994</v>
          </cell>
          <cell r="DH196">
            <v>59442</v>
          </cell>
          <cell r="DI196">
            <v>59602.499999999993</v>
          </cell>
          <cell r="DJ196">
            <v>59999.3</v>
          </cell>
          <cell r="DK196">
            <v>62146.7</v>
          </cell>
          <cell r="DL196">
            <v>66926.8</v>
          </cell>
          <cell r="DM196">
            <v>67418.799999999988</v>
          </cell>
          <cell r="DN196">
            <v>65678.699999999983</v>
          </cell>
          <cell r="DO196">
            <v>66023.5</v>
          </cell>
          <cell r="DP196">
            <v>66250.599999999991</v>
          </cell>
          <cell r="DQ196">
            <v>66615.099999999991</v>
          </cell>
          <cell r="DR196">
            <v>66778.399999999994</v>
          </cell>
          <cell r="DS196">
            <v>66890.2</v>
          </cell>
          <cell r="DT196">
            <v>67132</v>
          </cell>
          <cell r="DU196">
            <v>67233.099999999991</v>
          </cell>
          <cell r="DV196">
            <v>67424.5</v>
          </cell>
          <cell r="DW196">
            <v>67943.3</v>
          </cell>
          <cell r="EJ196" t="str">
            <v>.</v>
          </cell>
        </row>
        <row r="197">
          <cell r="A197" t="str">
            <v>Unrecovered Gas Costs 191</v>
          </cell>
          <cell r="B197" t="str">
            <v>Deferred Clause Revenues (Expenses) SUB</v>
          </cell>
          <cell r="C197" t="str">
            <v>Unrecovered Gas Costs 191****</v>
          </cell>
          <cell r="D197" t="str">
            <v>1910100</v>
          </cell>
          <cell r="E197" t="str">
            <v>A_1910100</v>
          </cell>
          <cell r="F197" t="str">
            <v>Unrecovered Purchased Gas Costs - Current</v>
          </cell>
          <cell r="G197">
            <v>-96106.223920000004</v>
          </cell>
          <cell r="H197">
            <v>-96394.5</v>
          </cell>
          <cell r="I197">
            <v>-99828.3</v>
          </cell>
          <cell r="J197">
            <v>-98512.6</v>
          </cell>
          <cell r="K197">
            <v>-100061.2</v>
          </cell>
          <cell r="L197">
            <v>-97764.800000000003</v>
          </cell>
          <cell r="M197">
            <v>-99400.1</v>
          </cell>
          <cell r="N197">
            <v>-100056.8</v>
          </cell>
          <cell r="O197">
            <v>-100443.9</v>
          </cell>
          <cell r="P197">
            <v>-100322.5</v>
          </cell>
          <cell r="Q197">
            <v>-98457.4</v>
          </cell>
          <cell r="R197">
            <v>-93170.3</v>
          </cell>
          <cell r="S197">
            <v>-95671.7</v>
          </cell>
          <cell r="T197">
            <v>-97819</v>
          </cell>
          <cell r="U197">
            <v>-98769.600000000006</v>
          </cell>
          <cell r="V197">
            <v>-101256.5</v>
          </cell>
          <cell r="W197">
            <v>-100332.1</v>
          </cell>
          <cell r="X197">
            <v>-100412.5</v>
          </cell>
          <cell r="Y197">
            <v>-103136.5</v>
          </cell>
          <cell r="Z197">
            <v>-102453.7</v>
          </cell>
          <cell r="AA197">
            <v>-103265.2</v>
          </cell>
          <cell r="AB197">
            <v>-103307.1</v>
          </cell>
          <cell r="AC197">
            <v>-101491.7</v>
          </cell>
          <cell r="AD197">
            <v>-100274.7</v>
          </cell>
          <cell r="AE197">
            <v>-101425.8</v>
          </cell>
          <cell r="AF197">
            <v>-104183</v>
          </cell>
          <cell r="AG197">
            <v>-110531.5</v>
          </cell>
          <cell r="AH197">
            <v>-113125.8</v>
          </cell>
          <cell r="AI197">
            <v>-114438.3</v>
          </cell>
          <cell r="AJ197">
            <v>-116374.3</v>
          </cell>
          <cell r="AK197">
            <v>-118691.7</v>
          </cell>
          <cell r="AL197">
            <v>-119986</v>
          </cell>
          <cell r="AM197">
            <v>-120887</v>
          </cell>
          <cell r="AN197">
            <v>-120415.7</v>
          </cell>
          <cell r="AO197">
            <v>-117749.4</v>
          </cell>
          <cell r="AP197">
            <v>-115012.9</v>
          </cell>
          <cell r="AQ197">
            <v>-114552.6</v>
          </cell>
          <cell r="AR197">
            <v>-114567.8</v>
          </cell>
          <cell r="AS197">
            <v>-117692.5</v>
          </cell>
          <cell r="AT197">
            <v>-114430.39999999999</v>
          </cell>
          <cell r="AU197">
            <v>-115334</v>
          </cell>
          <cell r="AV197">
            <v>-115302.9</v>
          </cell>
          <cell r="AW197">
            <v>-114351.3</v>
          </cell>
          <cell r="AX197">
            <v>-113167.9</v>
          </cell>
          <cell r="AY197">
            <v>-111984</v>
          </cell>
          <cell r="AZ197">
            <v>-113177.3</v>
          </cell>
          <cell r="BA197">
            <v>-109761.2</v>
          </cell>
          <cell r="BB197">
            <v>-108607.5</v>
          </cell>
          <cell r="BC197">
            <v>-109278.9</v>
          </cell>
          <cell r="BD197">
            <v>-114575.8</v>
          </cell>
          <cell r="BE197">
            <v>-120659.5</v>
          </cell>
          <cell r="BF197">
            <v>-118040.9</v>
          </cell>
          <cell r="BG197">
            <v>-121708.9</v>
          </cell>
          <cell r="BH197">
            <v>-121584.1</v>
          </cell>
          <cell r="BI197">
            <v>-122137.1</v>
          </cell>
          <cell r="BJ197">
            <v>-122272</v>
          </cell>
          <cell r="BK197">
            <v>-121868.2</v>
          </cell>
          <cell r="BL197">
            <v>-122380.9</v>
          </cell>
          <cell r="BM197">
            <v>-119323.9</v>
          </cell>
          <cell r="BN197">
            <v>-112994.8</v>
          </cell>
          <cell r="BO197">
            <v>-109747.7</v>
          </cell>
          <cell r="BP197">
            <v>-111530.1</v>
          </cell>
          <cell r="BQ197">
            <v>-114924.2</v>
          </cell>
          <cell r="BR197">
            <v>-115966.39999999999</v>
          </cell>
          <cell r="BS197">
            <v>-118894.2</v>
          </cell>
          <cell r="BT197">
            <v>-121312.9</v>
          </cell>
          <cell r="BU197">
            <v>-122461.3</v>
          </cell>
          <cell r="BV197">
            <v>-122621.5</v>
          </cell>
          <cell r="BW197">
            <v>-121061.9</v>
          </cell>
          <cell r="BX197">
            <v>-121615.7</v>
          </cell>
          <cell r="BY197">
            <v>-118995.4</v>
          </cell>
          <cell r="BZ197">
            <v>-116667.5</v>
          </cell>
          <cell r="CA197">
            <v>-117770.4</v>
          </cell>
          <cell r="CB197">
            <v>-121160.5</v>
          </cell>
          <cell r="CC197">
            <v>-124245.1</v>
          </cell>
          <cell r="CD197">
            <v>-125475.1</v>
          </cell>
          <cell r="CE197">
            <v>-126115.8</v>
          </cell>
          <cell r="CF197">
            <v>-125579.7</v>
          </cell>
          <cell r="CG197">
            <v>-126229.8</v>
          </cell>
          <cell r="CH197">
            <v>-125646.2</v>
          </cell>
          <cell r="CI197">
            <v>-123137.8</v>
          </cell>
          <cell r="CJ197">
            <v>-122343.8</v>
          </cell>
          <cell r="CK197">
            <v>-118328</v>
          </cell>
          <cell r="CL197">
            <v>-114832.2</v>
          </cell>
          <cell r="CM197">
            <v>-114047.2</v>
          </cell>
          <cell r="CN197">
            <v>-117674.2</v>
          </cell>
          <cell r="CO197">
            <v>-115144</v>
          </cell>
          <cell r="CP197">
            <v>-113837.5</v>
          </cell>
          <cell r="CQ197">
            <v>-117659.3</v>
          </cell>
          <cell r="CR197">
            <v>-118055.3</v>
          </cell>
          <cell r="CS197">
            <v>-117314.8</v>
          </cell>
          <cell r="CT197">
            <v>-117625.8</v>
          </cell>
          <cell r="CU197">
            <v>-116615.2</v>
          </cell>
          <cell r="CV197">
            <v>-115139.1</v>
          </cell>
          <cell r="CW197">
            <v>-107422.5</v>
          </cell>
          <cell r="CX197">
            <v>-99629.7</v>
          </cell>
          <cell r="CY197">
            <v>-100110.9</v>
          </cell>
          <cell r="CZ197">
            <v>-104672.6</v>
          </cell>
          <cell r="DA197">
            <v>-110039.1</v>
          </cell>
          <cell r="DB197">
            <v>-109475.9</v>
          </cell>
          <cell r="DC197">
            <v>-114118.5</v>
          </cell>
          <cell r="DD197">
            <v>-112536.1</v>
          </cell>
          <cell r="DE197">
            <v>-112835.9</v>
          </cell>
          <cell r="DF197">
            <v>-113597.6</v>
          </cell>
          <cell r="DG197">
            <v>-117167.8</v>
          </cell>
          <cell r="DH197">
            <v>-122367.9</v>
          </cell>
          <cell r="DI197">
            <v>-125506.8</v>
          </cell>
          <cell r="DJ197">
            <v>-115559.9</v>
          </cell>
          <cell r="DK197">
            <v>-110078</v>
          </cell>
          <cell r="DL197">
            <v>-110070.39999999999</v>
          </cell>
          <cell r="DM197">
            <v>-110062.7</v>
          </cell>
          <cell r="DN197">
            <v>-110806.39999999999</v>
          </cell>
          <cell r="DO197">
            <v>-111543.8</v>
          </cell>
          <cell r="DP197">
            <v>-111862.1</v>
          </cell>
          <cell r="DQ197">
            <v>-112159.9</v>
          </cell>
          <cell r="DR197">
            <v>-112159.8</v>
          </cell>
          <cell r="DS197">
            <v>-112159.8</v>
          </cell>
          <cell r="DT197">
            <v>-112159.8</v>
          </cell>
          <cell r="DU197">
            <v>-112159.8</v>
          </cell>
          <cell r="DV197">
            <v>-112159.7</v>
          </cell>
          <cell r="DW197">
            <v>-112159.7</v>
          </cell>
        </row>
        <row r="198">
          <cell r="A198" t="str">
            <v>Unrecovered Gas Costs 191</v>
          </cell>
          <cell r="B198" t="str">
            <v>Deferred Clause Revenues (Expenses) SUB</v>
          </cell>
          <cell r="C198" t="str">
            <v>Unrecovered Gas Costs 191****</v>
          </cell>
          <cell r="D198" t="str">
            <v>1910110</v>
          </cell>
          <cell r="E198" t="str">
            <v>A_1910110</v>
          </cell>
          <cell r="F198" t="str">
            <v>Unrecov Purch Gas Cost-Deriv Settled - Current</v>
          </cell>
          <cell r="G198">
            <v>99135.200140000001</v>
          </cell>
          <cell r="H198">
            <v>98722.9</v>
          </cell>
          <cell r="I198">
            <v>97137.9</v>
          </cell>
          <cell r="J198">
            <v>96641.5</v>
          </cell>
          <cell r="K198">
            <v>96235.7</v>
          </cell>
          <cell r="L198">
            <v>95893.5</v>
          </cell>
          <cell r="M198">
            <v>95668.5</v>
          </cell>
          <cell r="N198">
            <v>95561.1</v>
          </cell>
          <cell r="O198">
            <v>95758.6</v>
          </cell>
          <cell r="P198">
            <v>95906.9</v>
          </cell>
          <cell r="Q198">
            <v>96030.9</v>
          </cell>
          <cell r="R198">
            <v>96432.4</v>
          </cell>
          <cell r="S198">
            <v>96494.5</v>
          </cell>
          <cell r="T198">
            <v>97819.4</v>
          </cell>
          <cell r="U198">
            <v>99294.2</v>
          </cell>
          <cell r="V198">
            <v>100140.4</v>
          </cell>
          <cell r="W198">
            <v>100888.4</v>
          </cell>
          <cell r="X198">
            <v>101465.1</v>
          </cell>
          <cell r="Y198">
            <v>101895</v>
          </cell>
          <cell r="Z198">
            <v>102347.5</v>
          </cell>
          <cell r="AA198">
            <v>102678.2</v>
          </cell>
          <cell r="AB198">
            <v>103142</v>
          </cell>
          <cell r="AC198">
            <v>103742.9</v>
          </cell>
          <cell r="AD198">
            <v>104841.2</v>
          </cell>
          <cell r="AE198">
            <v>106243.3</v>
          </cell>
          <cell r="AF198">
            <v>108059.7</v>
          </cell>
          <cell r="AG198">
            <v>109407.1</v>
          </cell>
          <cell r="AH198">
            <v>110445.1</v>
          </cell>
          <cell r="AI198">
            <v>111046.6</v>
          </cell>
          <cell r="AJ198">
            <v>111456.1</v>
          </cell>
          <cell r="AK198">
            <v>111866.7</v>
          </cell>
          <cell r="AL198">
            <v>111934.3</v>
          </cell>
          <cell r="AM198">
            <v>112065</v>
          </cell>
          <cell r="AN198">
            <v>112131.8</v>
          </cell>
          <cell r="AO198">
            <v>112203.7</v>
          </cell>
          <cell r="AP198">
            <v>112354.9</v>
          </cell>
          <cell r="AQ198">
            <v>112375.9</v>
          </cell>
          <cell r="AR198">
            <v>111925.5</v>
          </cell>
          <cell r="AS198">
            <v>111887.5</v>
          </cell>
          <cell r="AT198">
            <v>112135.6</v>
          </cell>
          <cell r="AU198">
            <v>112082.6</v>
          </cell>
          <cell r="AV198">
            <v>112043.5</v>
          </cell>
          <cell r="AW198">
            <v>112017.5</v>
          </cell>
          <cell r="AX198">
            <v>112027.6</v>
          </cell>
          <cell r="AY198">
            <v>112046.8</v>
          </cell>
          <cell r="AZ198">
            <v>112052</v>
          </cell>
          <cell r="BA198">
            <v>112054.7</v>
          </cell>
          <cell r="BB198">
            <v>112113.3</v>
          </cell>
          <cell r="BC198">
            <v>112113.60000000001</v>
          </cell>
          <cell r="BD198">
            <v>112191.7</v>
          </cell>
          <cell r="BE198">
            <v>112114</v>
          </cell>
          <cell r="BF198">
            <v>112172.8</v>
          </cell>
          <cell r="BG198">
            <v>112186</v>
          </cell>
          <cell r="BH198">
            <v>112183.9</v>
          </cell>
          <cell r="BI198">
            <v>112183.9</v>
          </cell>
          <cell r="BJ198">
            <v>112177.60000000001</v>
          </cell>
          <cell r="BK198">
            <v>112179.9</v>
          </cell>
          <cell r="BL198">
            <v>112178.8</v>
          </cell>
          <cell r="BM198">
            <v>112174.5</v>
          </cell>
          <cell r="BN198">
            <v>112159.9</v>
          </cell>
          <cell r="BO198">
            <v>112159.9</v>
          </cell>
          <cell r="BP198">
            <v>112159.9</v>
          </cell>
          <cell r="BQ198">
            <v>112159.9</v>
          </cell>
          <cell r="BR198">
            <v>112159.9</v>
          </cell>
          <cell r="BS198">
            <v>112159.9</v>
          </cell>
          <cell r="BT198">
            <v>112159.9</v>
          </cell>
          <cell r="BU198">
            <v>112159.9</v>
          </cell>
          <cell r="BV198">
            <v>112159.9</v>
          </cell>
          <cell r="BW198">
            <v>112159.9</v>
          </cell>
          <cell r="BX198">
            <v>112159.9</v>
          </cell>
          <cell r="BY198">
            <v>112159.9</v>
          </cell>
          <cell r="BZ198">
            <v>112159.9</v>
          </cell>
          <cell r="CA198">
            <v>112159.9</v>
          </cell>
          <cell r="CB198">
            <v>112159.9</v>
          </cell>
          <cell r="CC198">
            <v>112159.9</v>
          </cell>
          <cell r="CD198">
            <v>112159.9</v>
          </cell>
          <cell r="CE198">
            <v>112159.9</v>
          </cell>
          <cell r="CF198">
            <v>112159.9</v>
          </cell>
          <cell r="CG198">
            <v>112159.9</v>
          </cell>
          <cell r="CH198">
            <v>112159.9</v>
          </cell>
          <cell r="CI198">
            <v>112159.9</v>
          </cell>
          <cell r="CJ198">
            <v>112159.9</v>
          </cell>
          <cell r="CK198">
            <v>112159.9</v>
          </cell>
          <cell r="CL198">
            <v>112159.9</v>
          </cell>
          <cell r="CM198">
            <v>112159.9</v>
          </cell>
          <cell r="CN198">
            <v>112159.9</v>
          </cell>
          <cell r="CO198">
            <v>112159.9</v>
          </cell>
          <cell r="CP198">
            <v>112159.9</v>
          </cell>
          <cell r="CQ198">
            <v>112159.9</v>
          </cell>
          <cell r="CR198">
            <v>112159.9</v>
          </cell>
          <cell r="CS198">
            <v>112159.9</v>
          </cell>
          <cell r="CT198">
            <v>112159.9</v>
          </cell>
          <cell r="CU198">
            <v>112159.9</v>
          </cell>
          <cell r="CV198">
            <v>112159.9</v>
          </cell>
          <cell r="CW198">
            <v>112159.9</v>
          </cell>
          <cell r="CX198">
            <v>112159.9</v>
          </cell>
          <cell r="CY198">
            <v>112159.9</v>
          </cell>
          <cell r="CZ198">
            <v>112159.9</v>
          </cell>
          <cell r="DA198">
            <v>112159.9</v>
          </cell>
          <cell r="DB198">
            <v>112159.9</v>
          </cell>
          <cell r="DC198">
            <v>112159.9</v>
          </cell>
          <cell r="DD198">
            <v>112159.9</v>
          </cell>
          <cell r="DE198">
            <v>112159.9</v>
          </cell>
          <cell r="DF198">
            <v>112159.9</v>
          </cell>
          <cell r="DG198">
            <v>112159.9</v>
          </cell>
          <cell r="DH198">
            <v>112159.9</v>
          </cell>
          <cell r="DI198">
            <v>112159.9</v>
          </cell>
          <cell r="DJ198">
            <v>112159.9</v>
          </cell>
          <cell r="DK198">
            <v>112159.9</v>
          </cell>
          <cell r="DL198">
            <v>112159.9</v>
          </cell>
          <cell r="DM198">
            <v>112159.9</v>
          </cell>
          <cell r="DN198">
            <v>112159.9</v>
          </cell>
          <cell r="DO198">
            <v>112159.9</v>
          </cell>
          <cell r="DP198">
            <v>112159.9</v>
          </cell>
          <cell r="DQ198">
            <v>112159.9</v>
          </cell>
          <cell r="DR198">
            <v>112159.9</v>
          </cell>
          <cell r="DS198">
            <v>112159.9</v>
          </cell>
          <cell r="DT198">
            <v>112159.9</v>
          </cell>
          <cell r="DU198">
            <v>112159.9</v>
          </cell>
          <cell r="DV198">
            <v>112159.9</v>
          </cell>
          <cell r="DW198">
            <v>112159.9</v>
          </cell>
        </row>
        <row r="199">
          <cell r="A199" t="str">
            <v>Unrecovered Gas Costs 191</v>
          </cell>
          <cell r="B199" t="str">
            <v>Deferred Clause Revenues (Expenses) SUB</v>
          </cell>
          <cell r="C199" t="str">
            <v>Unrecovered Gas Costs 191****</v>
          </cell>
          <cell r="D199" t="str">
            <v>1910160</v>
          </cell>
          <cell r="E199" t="str">
            <v>A_1910160</v>
          </cell>
          <cell r="F199" t="str">
            <v xml:space="preserve"> Unrecov Purch Gas Adj Contra - Current </v>
          </cell>
          <cell r="G199">
            <v>0</v>
          </cell>
          <cell r="H199">
            <v>0</v>
          </cell>
          <cell r="I199">
            <v>2690.4</v>
          </cell>
          <cell r="J199">
            <v>1871.2</v>
          </cell>
          <cell r="K199">
            <v>3825.5</v>
          </cell>
          <cell r="L199">
            <v>1871.4</v>
          </cell>
          <cell r="M199">
            <v>3731.6</v>
          </cell>
          <cell r="N199">
            <v>4495.7</v>
          </cell>
          <cell r="O199">
            <v>4685.3</v>
          </cell>
          <cell r="P199">
            <v>4415.6000000000004</v>
          </cell>
          <cell r="Q199">
            <v>2426.5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1116.0999999999999</v>
          </cell>
          <cell r="W199">
            <v>0</v>
          </cell>
          <cell r="X199">
            <v>0</v>
          </cell>
          <cell r="Y199">
            <v>1241.5</v>
          </cell>
          <cell r="Z199">
            <v>106.1</v>
          </cell>
          <cell r="AA199">
            <v>587</v>
          </cell>
          <cell r="AB199">
            <v>165.1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1124.5</v>
          </cell>
          <cell r="AH199">
            <v>2680.7</v>
          </cell>
          <cell r="AI199">
            <v>3391.8</v>
          </cell>
          <cell r="AJ199">
            <v>4918.2</v>
          </cell>
          <cell r="AK199">
            <v>6825</v>
          </cell>
          <cell r="AL199">
            <v>8051.7</v>
          </cell>
          <cell r="AM199">
            <v>8822</v>
          </cell>
          <cell r="AN199">
            <v>8283.9</v>
          </cell>
          <cell r="AO199">
            <v>5545.7</v>
          </cell>
          <cell r="AP199">
            <v>2658</v>
          </cell>
          <cell r="AQ199">
            <v>2176.6999999999998</v>
          </cell>
          <cell r="AR199">
            <v>2642.3</v>
          </cell>
          <cell r="AS199">
            <v>5805</v>
          </cell>
          <cell r="AT199">
            <v>2294.9</v>
          </cell>
          <cell r="AU199">
            <v>3251.3</v>
          </cell>
          <cell r="AV199">
            <v>3259.4</v>
          </cell>
          <cell r="AW199">
            <v>2333.8000000000002</v>
          </cell>
          <cell r="AX199">
            <v>1140.4000000000001</v>
          </cell>
          <cell r="AY199">
            <v>0</v>
          </cell>
          <cell r="AZ199">
            <v>1125.3</v>
          </cell>
          <cell r="BA199">
            <v>0</v>
          </cell>
          <cell r="BB199">
            <v>0</v>
          </cell>
          <cell r="BC199">
            <v>0</v>
          </cell>
          <cell r="BD199">
            <v>2384.1</v>
          </cell>
          <cell r="BE199">
            <v>8545.6</v>
          </cell>
          <cell r="BF199">
            <v>5868.1</v>
          </cell>
          <cell r="BG199">
            <v>9523</v>
          </cell>
          <cell r="BH199">
            <v>9400.2000000000007</v>
          </cell>
          <cell r="BI199">
            <v>9953.2000000000007</v>
          </cell>
          <cell r="BJ199">
            <v>10094.4</v>
          </cell>
          <cell r="BK199">
            <v>9688.2999999999993</v>
          </cell>
          <cell r="BL199">
            <v>10202.200000000001</v>
          </cell>
          <cell r="BM199">
            <v>7149.4</v>
          </cell>
          <cell r="BN199">
            <v>835</v>
          </cell>
          <cell r="BO199">
            <v>0</v>
          </cell>
          <cell r="BP199">
            <v>0</v>
          </cell>
          <cell r="BQ199">
            <v>2764.3</v>
          </cell>
          <cell r="BR199">
            <v>3806.5</v>
          </cell>
          <cell r="BS199">
            <v>6734.3</v>
          </cell>
          <cell r="BT199">
            <v>9153.1</v>
          </cell>
          <cell r="BU199">
            <v>10301.4</v>
          </cell>
          <cell r="BV199">
            <v>10461.700000000001</v>
          </cell>
          <cell r="BW199">
            <v>8902.1</v>
          </cell>
          <cell r="BX199">
            <v>9455.7999999999993</v>
          </cell>
          <cell r="BY199">
            <v>6835.5</v>
          </cell>
          <cell r="BZ199">
            <v>4507.6000000000004</v>
          </cell>
          <cell r="CA199">
            <v>5610.5</v>
          </cell>
          <cell r="CB199">
            <v>9000.6</v>
          </cell>
          <cell r="CC199">
            <v>12085.3</v>
          </cell>
          <cell r="CD199">
            <v>13315.3</v>
          </cell>
          <cell r="CE199">
            <v>13955.9</v>
          </cell>
          <cell r="CF199">
            <v>13419.8</v>
          </cell>
          <cell r="CG199">
            <v>14069.9</v>
          </cell>
          <cell r="CH199">
            <v>13486.4</v>
          </cell>
          <cell r="CI199">
            <v>10977.9</v>
          </cell>
          <cell r="CJ199">
            <v>10183.9</v>
          </cell>
          <cell r="CK199">
            <v>6168.1</v>
          </cell>
          <cell r="CL199">
            <v>2672.3</v>
          </cell>
          <cell r="CM199">
            <v>1887.4</v>
          </cell>
          <cell r="CN199">
            <v>5514.4</v>
          </cell>
          <cell r="CO199">
            <v>2984.2</v>
          </cell>
          <cell r="CP199">
            <v>1677.6</v>
          </cell>
          <cell r="CQ199">
            <v>5499.5</v>
          </cell>
          <cell r="CR199">
            <v>5895.5</v>
          </cell>
          <cell r="CS199">
            <v>5155</v>
          </cell>
          <cell r="CT199">
            <v>5465.9</v>
          </cell>
          <cell r="CU199">
            <v>4455.3</v>
          </cell>
          <cell r="CV199">
            <v>2979.2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1958.6</v>
          </cell>
          <cell r="DD199">
            <v>376.2</v>
          </cell>
          <cell r="DE199">
            <v>676</v>
          </cell>
          <cell r="DF199">
            <v>1437.7</v>
          </cell>
          <cell r="DG199">
            <v>5007.8999999999996</v>
          </cell>
          <cell r="DH199">
            <v>10208.1</v>
          </cell>
          <cell r="DI199">
            <v>13346.9</v>
          </cell>
          <cell r="DJ199">
            <v>3400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</row>
        <row r="200">
          <cell r="A200" t="str">
            <v>Unrecovered Gas Costs 191</v>
          </cell>
          <cell r="B200" t="str">
            <v>Deferred Clause Revenues (Expenses) SUB</v>
          </cell>
          <cell r="C200" t="str">
            <v>Unrecovered Gas Costs 191****</v>
          </cell>
          <cell r="D200" t="str">
            <v>1910165</v>
          </cell>
          <cell r="E200" t="str">
            <v>A_1910165</v>
          </cell>
          <cell r="F200" t="str">
            <v xml:space="preserve"> Other Reg Liab Pur Gas Adj Reclass - Current </v>
          </cell>
          <cell r="G200">
            <v>0</v>
          </cell>
          <cell r="H200">
            <v>0</v>
          </cell>
          <cell r="I200">
            <v>-2690.4</v>
          </cell>
          <cell r="J200">
            <v>-1871.2</v>
          </cell>
          <cell r="K200">
            <v>-3825.5</v>
          </cell>
          <cell r="L200">
            <v>-1871.4</v>
          </cell>
          <cell r="M200">
            <v>-3731.6</v>
          </cell>
          <cell r="N200">
            <v>-4495.7</v>
          </cell>
          <cell r="O200">
            <v>-4685.3</v>
          </cell>
          <cell r="P200">
            <v>-4415.6000000000004</v>
          </cell>
          <cell r="Q200">
            <v>-2426.5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-1116.0999999999999</v>
          </cell>
          <cell r="W200">
            <v>0</v>
          </cell>
          <cell r="X200">
            <v>0</v>
          </cell>
          <cell r="Y200">
            <v>-1241.5</v>
          </cell>
          <cell r="Z200">
            <v>-106.1</v>
          </cell>
          <cell r="AA200">
            <v>-587</v>
          </cell>
          <cell r="AB200">
            <v>-165.1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-1124.5</v>
          </cell>
          <cell r="AH200">
            <v>-2680.7</v>
          </cell>
          <cell r="AI200">
            <v>-3391.8</v>
          </cell>
          <cell r="AJ200">
            <v>-4918.2</v>
          </cell>
          <cell r="AK200">
            <v>-6825</v>
          </cell>
          <cell r="AL200">
            <v>-8051.7</v>
          </cell>
          <cell r="AM200">
            <v>-8822</v>
          </cell>
          <cell r="AN200">
            <v>-8283.9</v>
          </cell>
          <cell r="AO200">
            <v>-5545.7</v>
          </cell>
          <cell r="AP200">
            <v>-2658</v>
          </cell>
          <cell r="AQ200">
            <v>-2176.6999999999998</v>
          </cell>
          <cell r="AR200">
            <v>-2642.3</v>
          </cell>
          <cell r="AS200">
            <v>-5805</v>
          </cell>
          <cell r="AT200">
            <v>-2294.9</v>
          </cell>
          <cell r="AU200">
            <v>-3251.3</v>
          </cell>
          <cell r="AV200">
            <v>-3259.4</v>
          </cell>
          <cell r="AW200">
            <v>-2333.8000000000002</v>
          </cell>
          <cell r="AX200">
            <v>-1140.4000000000001</v>
          </cell>
          <cell r="AY200">
            <v>0</v>
          </cell>
          <cell r="AZ200">
            <v>-1125.3</v>
          </cell>
          <cell r="BA200">
            <v>0</v>
          </cell>
          <cell r="BB200">
            <v>0</v>
          </cell>
          <cell r="BC200">
            <v>0</v>
          </cell>
          <cell r="BD200">
            <v>-2384.1</v>
          </cell>
          <cell r="BE200">
            <v>-8545.6</v>
          </cell>
          <cell r="BF200">
            <v>-5868.1</v>
          </cell>
          <cell r="BG200">
            <v>-9523</v>
          </cell>
          <cell r="BH200">
            <v>-9400.2000000000007</v>
          </cell>
          <cell r="BI200">
            <v>-9953.2000000000007</v>
          </cell>
          <cell r="BJ200">
            <v>-10094.4</v>
          </cell>
          <cell r="BK200">
            <v>-9688.2999999999993</v>
          </cell>
          <cell r="BL200">
            <v>-10202.200000000001</v>
          </cell>
          <cell r="BM200">
            <v>-7149.4</v>
          </cell>
          <cell r="BN200">
            <v>-835</v>
          </cell>
          <cell r="BO200">
            <v>0</v>
          </cell>
          <cell r="BP200">
            <v>0</v>
          </cell>
          <cell r="BQ200">
            <v>-2764.3</v>
          </cell>
          <cell r="BR200">
            <v>-3806.5</v>
          </cell>
          <cell r="BS200">
            <v>-6734.3</v>
          </cell>
          <cell r="BT200">
            <v>-9153.1</v>
          </cell>
          <cell r="BU200">
            <v>-10301.4</v>
          </cell>
          <cell r="BV200">
            <v>-10461.700000000001</v>
          </cell>
          <cell r="BW200">
            <v>-8902.1</v>
          </cell>
          <cell r="BX200">
            <v>-9455.7999999999993</v>
          </cell>
          <cell r="BY200">
            <v>-6835.5</v>
          </cell>
          <cell r="BZ200">
            <v>-4507.6000000000004</v>
          </cell>
          <cell r="CA200">
            <v>-5610.5</v>
          </cell>
          <cell r="CB200">
            <v>-9000.6</v>
          </cell>
          <cell r="CC200">
            <v>-12085.3</v>
          </cell>
          <cell r="CD200">
            <v>-13315.3</v>
          </cell>
          <cell r="CE200">
            <v>-13955.9</v>
          </cell>
          <cell r="CF200">
            <v>-13419.8</v>
          </cell>
          <cell r="CG200">
            <v>-14069.9</v>
          </cell>
          <cell r="CH200">
            <v>-13486.4</v>
          </cell>
          <cell r="CI200">
            <v>-10977.9</v>
          </cell>
          <cell r="CJ200">
            <v>-10183.9</v>
          </cell>
          <cell r="CK200">
            <v>-6168.1</v>
          </cell>
          <cell r="CL200">
            <v>-2672.3</v>
          </cell>
          <cell r="CM200">
            <v>-1887.4</v>
          </cell>
          <cell r="CN200">
            <v>-5514.4</v>
          </cell>
          <cell r="CO200">
            <v>-2984.2</v>
          </cell>
          <cell r="CP200">
            <v>-1677.6</v>
          </cell>
          <cell r="CQ200">
            <v>-5499.5</v>
          </cell>
          <cell r="CR200">
            <v>-5895.5</v>
          </cell>
          <cell r="CS200">
            <v>-5155</v>
          </cell>
          <cell r="CT200">
            <v>-5465.9</v>
          </cell>
          <cell r="CU200">
            <v>-4455.3</v>
          </cell>
          <cell r="CV200">
            <v>-2979.2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-1958.6</v>
          </cell>
          <cell r="DD200">
            <v>-376.2</v>
          </cell>
          <cell r="DE200">
            <v>-676</v>
          </cell>
          <cell r="DF200">
            <v>-1437.7</v>
          </cell>
          <cell r="DG200">
            <v>-5007.8999999999996</v>
          </cell>
          <cell r="DH200">
            <v>-10208.1</v>
          </cell>
          <cell r="DI200">
            <v>-13346.9</v>
          </cell>
          <cell r="DJ200">
            <v>-3400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</row>
        <row r="201">
          <cell r="D201" t="str">
            <v>191</v>
          </cell>
          <cell r="E201">
            <v>191</v>
          </cell>
          <cell r="G201">
            <v>3028.9762199999968</v>
          </cell>
          <cell r="H201">
            <v>2328.3999999999942</v>
          </cell>
          <cell r="I201">
            <v>-2690.4000000000087</v>
          </cell>
          <cell r="J201">
            <v>-1871.1000000000058</v>
          </cell>
          <cell r="K201">
            <v>-3825.5</v>
          </cell>
          <cell r="L201">
            <v>-1871.3000000000029</v>
          </cell>
          <cell r="M201">
            <v>-3731.6000000000058</v>
          </cell>
          <cell r="N201">
            <v>-4495.6999999999971</v>
          </cell>
          <cell r="O201">
            <v>-4685.2999999999884</v>
          </cell>
          <cell r="P201">
            <v>-4415.6000000000058</v>
          </cell>
          <cell r="Q201">
            <v>-2426.5</v>
          </cell>
          <cell r="R201">
            <v>3262.0999999999913</v>
          </cell>
          <cell r="S201">
            <v>822.80000000000291</v>
          </cell>
          <cell r="T201">
            <v>0.39999999999417923</v>
          </cell>
          <cell r="U201">
            <v>524.59999999999127</v>
          </cell>
          <cell r="V201">
            <v>-1116.1000000000058</v>
          </cell>
          <cell r="W201">
            <v>556.29999999998836</v>
          </cell>
          <cell r="X201">
            <v>1052.6000000000058</v>
          </cell>
          <cell r="Y201">
            <v>-1241.5</v>
          </cell>
          <cell r="Z201">
            <v>-106.19999999999709</v>
          </cell>
          <cell r="AA201">
            <v>-587</v>
          </cell>
          <cell r="AB201">
            <v>-165.10000000000582</v>
          </cell>
          <cell r="AC201">
            <v>2251.1999999999971</v>
          </cell>
          <cell r="AD201">
            <v>4566.5</v>
          </cell>
          <cell r="AE201">
            <v>4817.5</v>
          </cell>
          <cell r="AF201">
            <v>3876.6999999999971</v>
          </cell>
          <cell r="AG201">
            <v>-1124.3999999999942</v>
          </cell>
          <cell r="AH201">
            <v>-2680.6999999999971</v>
          </cell>
          <cell r="AI201">
            <v>-3391.6999999999971</v>
          </cell>
          <cell r="AJ201">
            <v>-4918.1999999999971</v>
          </cell>
          <cell r="AK201">
            <v>-6825</v>
          </cell>
          <cell r="AL201">
            <v>-8051.6999999999971</v>
          </cell>
          <cell r="AM201">
            <v>-8822</v>
          </cell>
          <cell r="AN201">
            <v>-8283.8999999999942</v>
          </cell>
          <cell r="AO201">
            <v>-5545.6999999999971</v>
          </cell>
          <cell r="AP201">
            <v>-2658</v>
          </cell>
          <cell r="AQ201">
            <v>-2176.7000000000116</v>
          </cell>
          <cell r="AR201">
            <v>-2642.3000000000029</v>
          </cell>
          <cell r="AS201">
            <v>-5805</v>
          </cell>
          <cell r="AT201">
            <v>-2294.7999999999884</v>
          </cell>
          <cell r="AU201">
            <v>-3251.3999999999942</v>
          </cell>
          <cell r="AV201">
            <v>-3259.3999999999942</v>
          </cell>
          <cell r="AW201">
            <v>-2333.8000000000029</v>
          </cell>
          <cell r="AX201">
            <v>-1140.2999999999884</v>
          </cell>
          <cell r="AY201">
            <v>62.80000000000291</v>
          </cell>
          <cell r="AZ201">
            <v>-1125.3000000000029</v>
          </cell>
          <cell r="BA201">
            <v>2293.5</v>
          </cell>
          <cell r="BB201">
            <v>3505.8000000000029</v>
          </cell>
          <cell r="BC201">
            <v>2834.7000000000116</v>
          </cell>
          <cell r="BD201">
            <v>-2384.1000000000058</v>
          </cell>
          <cell r="BE201">
            <v>-8545.5</v>
          </cell>
          <cell r="BF201">
            <v>-5868.0999999999913</v>
          </cell>
          <cell r="BG201">
            <v>-9522.8999999999942</v>
          </cell>
          <cell r="BH201">
            <v>-9400.2000000000116</v>
          </cell>
          <cell r="BI201">
            <v>-9953.2000000000116</v>
          </cell>
          <cell r="BJ201">
            <v>-10094.399999999994</v>
          </cell>
          <cell r="BK201">
            <v>-9688.3000000000029</v>
          </cell>
          <cell r="BL201">
            <v>-10202.099999999991</v>
          </cell>
          <cell r="BM201">
            <v>-7149.3999999999942</v>
          </cell>
          <cell r="BN201">
            <v>-834.90000000000873</v>
          </cell>
          <cell r="BO201">
            <v>2412.1999999999971</v>
          </cell>
          <cell r="BP201">
            <v>629.79999999998836</v>
          </cell>
          <cell r="BQ201">
            <v>-2764.3000000000029</v>
          </cell>
          <cell r="BR201">
            <v>-3806.5</v>
          </cell>
          <cell r="BS201">
            <v>-6734.3000000000029</v>
          </cell>
          <cell r="BT201">
            <v>-9153</v>
          </cell>
          <cell r="BU201">
            <v>-10301.400000000009</v>
          </cell>
          <cell r="BV201">
            <v>-10461.600000000006</v>
          </cell>
          <cell r="BW201">
            <v>-8902</v>
          </cell>
          <cell r="BX201">
            <v>-9455.8000000000029</v>
          </cell>
          <cell r="BY201">
            <v>-6835.5</v>
          </cell>
          <cell r="BZ201">
            <v>-4507.6000000000058</v>
          </cell>
          <cell r="CA201">
            <v>-5610.5</v>
          </cell>
          <cell r="CB201">
            <v>-9000.6000000000058</v>
          </cell>
          <cell r="CC201">
            <v>-12085.200000000012</v>
          </cell>
          <cell r="CD201">
            <v>-13315.200000000012</v>
          </cell>
          <cell r="CE201">
            <v>-13955.900000000009</v>
          </cell>
          <cell r="CF201">
            <v>-13419.800000000003</v>
          </cell>
          <cell r="CG201">
            <v>-14069.900000000009</v>
          </cell>
          <cell r="CH201">
            <v>-13486.300000000003</v>
          </cell>
          <cell r="CI201">
            <v>-10977.900000000009</v>
          </cell>
          <cell r="CJ201">
            <v>-10183.900000000009</v>
          </cell>
          <cell r="CK201">
            <v>-6168.1000000000058</v>
          </cell>
          <cell r="CL201">
            <v>-2672.3000000000029</v>
          </cell>
          <cell r="CM201">
            <v>-1887.3000000000029</v>
          </cell>
          <cell r="CN201">
            <v>-5514.3000000000029</v>
          </cell>
          <cell r="CO201">
            <v>-2984.1000000000058</v>
          </cell>
          <cell r="CP201">
            <v>-1677.6000000000058</v>
          </cell>
          <cell r="CQ201">
            <v>-5499.4000000000087</v>
          </cell>
          <cell r="CR201">
            <v>-5895.4000000000087</v>
          </cell>
          <cell r="CS201">
            <v>-5154.9000000000087</v>
          </cell>
          <cell r="CT201">
            <v>-5465.9000000000087</v>
          </cell>
          <cell r="CU201">
            <v>-4455.3000000000029</v>
          </cell>
          <cell r="CV201">
            <v>-2979.2000000000116</v>
          </cell>
          <cell r="CW201">
            <v>4737.3999999999942</v>
          </cell>
          <cell r="CX201">
            <v>12530.199999999997</v>
          </cell>
          <cell r="CY201">
            <v>12049</v>
          </cell>
          <cell r="CZ201">
            <v>7487.2999999999884</v>
          </cell>
          <cell r="DA201">
            <v>2120.7999999999884</v>
          </cell>
          <cell r="DB201">
            <v>2684</v>
          </cell>
          <cell r="DC201">
            <v>-1958.6000000000058</v>
          </cell>
          <cell r="DD201">
            <v>-376.20000000001164</v>
          </cell>
          <cell r="DE201">
            <v>-676</v>
          </cell>
          <cell r="DF201">
            <v>-1437.7000000000116</v>
          </cell>
          <cell r="DG201">
            <v>-5007.9000000000087</v>
          </cell>
          <cell r="DH201">
            <v>-10208</v>
          </cell>
          <cell r="DI201">
            <v>-13346.900000000009</v>
          </cell>
          <cell r="DJ201">
            <v>-3400</v>
          </cell>
          <cell r="DK201">
            <v>2081.8999999999942</v>
          </cell>
          <cell r="DL201">
            <v>2089.5</v>
          </cell>
          <cell r="DM201">
            <v>2097.1999999999971</v>
          </cell>
          <cell r="DN201">
            <v>1353.5</v>
          </cell>
          <cell r="DO201">
            <v>616.09999999999127</v>
          </cell>
          <cell r="DP201">
            <v>297.79999999998836</v>
          </cell>
          <cell r="DQ201">
            <v>0</v>
          </cell>
          <cell r="DR201">
            <v>9.9999999991268851E-2</v>
          </cell>
          <cell r="DS201">
            <v>9.9999999991268851E-2</v>
          </cell>
          <cell r="DT201">
            <v>9.9999999991268851E-2</v>
          </cell>
          <cell r="DU201">
            <v>9.9999999991268851E-2</v>
          </cell>
          <cell r="DV201">
            <v>0.19999999999708962</v>
          </cell>
          <cell r="DW201">
            <v>0.19999999999708962</v>
          </cell>
          <cell r="EJ201" t="str">
            <v>.</v>
          </cell>
        </row>
        <row r="202">
          <cell r="B202" t="str">
            <v>Other Assets</v>
          </cell>
          <cell r="D202" t="str">
            <v>1990900</v>
          </cell>
          <cell r="E202" t="str">
            <v>A_1990900</v>
          </cell>
          <cell r="F202" t="str">
            <v>G/L Data Takeover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</row>
        <row r="203">
          <cell r="D203" t="str">
            <v>199</v>
          </cell>
          <cell r="E203">
            <v>199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EJ203" t="str">
            <v>.</v>
          </cell>
        </row>
        <row r="204">
          <cell r="A204" t="str">
            <v>Additional Capital</v>
          </cell>
          <cell r="C204" t="str">
            <v>Additional Capital</v>
          </cell>
          <cell r="D204" t="str">
            <v>2070000</v>
          </cell>
          <cell r="E204" t="str">
            <v>A_2070000</v>
          </cell>
          <cell r="F204" t="str">
            <v>Premium on Capital Stock</v>
          </cell>
          <cell r="G204">
            <v>5575.3333300000004</v>
          </cell>
          <cell r="H204">
            <v>5575.3</v>
          </cell>
          <cell r="I204">
            <v>5575.3</v>
          </cell>
          <cell r="J204">
            <v>5575.3</v>
          </cell>
          <cell r="K204">
            <v>5575.3</v>
          </cell>
          <cell r="L204">
            <v>5575.3</v>
          </cell>
          <cell r="M204">
            <v>5575.3</v>
          </cell>
          <cell r="N204">
            <v>5575.3</v>
          </cell>
          <cell r="O204">
            <v>5575.3</v>
          </cell>
          <cell r="P204">
            <v>5575.3</v>
          </cell>
          <cell r="Q204">
            <v>5575.3</v>
          </cell>
          <cell r="R204">
            <v>5575.3</v>
          </cell>
          <cell r="S204">
            <v>5575.3</v>
          </cell>
          <cell r="T204">
            <v>5575.3</v>
          </cell>
          <cell r="U204">
            <v>5575.3</v>
          </cell>
          <cell r="V204">
            <v>5575.3</v>
          </cell>
          <cell r="W204">
            <v>5575.3</v>
          </cell>
          <cell r="X204">
            <v>5575.3</v>
          </cell>
          <cell r="Y204">
            <v>5575.3</v>
          </cell>
          <cell r="Z204">
            <v>5575.3</v>
          </cell>
          <cell r="AA204">
            <v>5575.3</v>
          </cell>
          <cell r="AB204">
            <v>5575.3</v>
          </cell>
          <cell r="AC204">
            <v>5575.3</v>
          </cell>
          <cell r="AD204">
            <v>5575.3</v>
          </cell>
          <cell r="AE204">
            <v>5575.3</v>
          </cell>
          <cell r="AF204">
            <v>5575.3</v>
          </cell>
          <cell r="AG204">
            <v>5575.3</v>
          </cell>
          <cell r="AH204">
            <v>5575.3</v>
          </cell>
          <cell r="AI204">
            <v>5575.3</v>
          </cell>
          <cell r="AJ204">
            <v>5575.3</v>
          </cell>
          <cell r="AK204">
            <v>5575.3</v>
          </cell>
          <cell r="AL204">
            <v>5575.3</v>
          </cell>
          <cell r="AM204">
            <v>5575.3</v>
          </cell>
          <cell r="AN204">
            <v>5575.3</v>
          </cell>
          <cell r="AO204">
            <v>5575.3</v>
          </cell>
          <cell r="AP204">
            <v>5575.3</v>
          </cell>
          <cell r="AQ204">
            <v>5575.3</v>
          </cell>
          <cell r="AR204">
            <v>5575.3</v>
          </cell>
          <cell r="AS204">
            <v>5575.3</v>
          </cell>
          <cell r="AT204">
            <v>5575.3</v>
          </cell>
          <cell r="AU204">
            <v>5575.3</v>
          </cell>
          <cell r="AV204">
            <v>5575.3</v>
          </cell>
          <cell r="AW204">
            <v>5575.3</v>
          </cell>
          <cell r="AX204">
            <v>5575.3</v>
          </cell>
          <cell r="AY204">
            <v>5575.3</v>
          </cell>
          <cell r="AZ204">
            <v>5575.3</v>
          </cell>
          <cell r="BA204">
            <v>5575.3</v>
          </cell>
          <cell r="BB204">
            <v>5575.3</v>
          </cell>
          <cell r="BC204">
            <v>5575.3</v>
          </cell>
          <cell r="BD204">
            <v>5575.3</v>
          </cell>
          <cell r="BE204">
            <v>5575.3</v>
          </cell>
          <cell r="BF204">
            <v>5575.3</v>
          </cell>
          <cell r="BG204">
            <v>5575.3</v>
          </cell>
          <cell r="BH204">
            <v>5575.3</v>
          </cell>
          <cell r="BI204">
            <v>5575.3</v>
          </cell>
          <cell r="BJ204">
            <v>5575.3</v>
          </cell>
          <cell r="BK204">
            <v>5575.3</v>
          </cell>
          <cell r="BL204">
            <v>5575.3</v>
          </cell>
          <cell r="BM204">
            <v>5575.3</v>
          </cell>
          <cell r="BN204">
            <v>5575.3</v>
          </cell>
          <cell r="BO204">
            <v>5575.3</v>
          </cell>
          <cell r="BP204">
            <v>5575.3</v>
          </cell>
          <cell r="BQ204">
            <v>5575.3</v>
          </cell>
          <cell r="BR204">
            <v>5575.3</v>
          </cell>
          <cell r="BS204">
            <v>5575.3</v>
          </cell>
          <cell r="BT204">
            <v>5575.3</v>
          </cell>
          <cell r="BU204">
            <v>5575.3</v>
          </cell>
          <cell r="BV204">
            <v>5575.3</v>
          </cell>
          <cell r="BW204">
            <v>5575.3</v>
          </cell>
          <cell r="BX204">
            <v>5575.3</v>
          </cell>
          <cell r="BY204">
            <v>5575.3</v>
          </cell>
          <cell r="BZ204">
            <v>5575.3</v>
          </cell>
          <cell r="CA204">
            <v>5575.3</v>
          </cell>
          <cell r="CB204">
            <v>5575.3</v>
          </cell>
          <cell r="CC204">
            <v>5575.3</v>
          </cell>
          <cell r="CD204">
            <v>5575.3</v>
          </cell>
          <cell r="CE204">
            <v>5575.3</v>
          </cell>
          <cell r="CF204">
            <v>5575.3</v>
          </cell>
          <cell r="CG204">
            <v>5575.3</v>
          </cell>
          <cell r="CH204">
            <v>5575.3</v>
          </cell>
          <cell r="CI204">
            <v>5575.3</v>
          </cell>
          <cell r="CJ204">
            <v>5575.3</v>
          </cell>
          <cell r="CK204">
            <v>5575.3</v>
          </cell>
          <cell r="CL204">
            <v>5575.3</v>
          </cell>
          <cell r="CM204">
            <v>5575.3</v>
          </cell>
          <cell r="CN204">
            <v>5575.3</v>
          </cell>
          <cell r="CO204">
            <v>5575.3</v>
          </cell>
          <cell r="CP204">
            <v>5575.3</v>
          </cell>
          <cell r="CQ204">
            <v>5575.3</v>
          </cell>
          <cell r="CR204">
            <v>5575.3</v>
          </cell>
          <cell r="CS204">
            <v>5575.3</v>
          </cell>
          <cell r="CT204">
            <v>5575.3</v>
          </cell>
          <cell r="CU204">
            <v>5575.3</v>
          </cell>
          <cell r="CV204">
            <v>5575.3</v>
          </cell>
          <cell r="CW204">
            <v>5575.3</v>
          </cell>
          <cell r="CX204">
            <v>5575.3</v>
          </cell>
          <cell r="CY204">
            <v>5575.3</v>
          </cell>
          <cell r="CZ204">
            <v>5575.3</v>
          </cell>
          <cell r="DA204">
            <v>5575.3</v>
          </cell>
          <cell r="DB204">
            <v>5575.3</v>
          </cell>
          <cell r="DC204">
            <v>5575.3</v>
          </cell>
          <cell r="DD204">
            <v>5575.3</v>
          </cell>
          <cell r="DE204">
            <v>5575.3</v>
          </cell>
          <cell r="DF204">
            <v>5575.3</v>
          </cell>
          <cell r="DG204">
            <v>5575.3</v>
          </cell>
          <cell r="DH204">
            <v>5575.3</v>
          </cell>
          <cell r="DI204">
            <v>5575.3</v>
          </cell>
          <cell r="DJ204">
            <v>5575.3</v>
          </cell>
          <cell r="DK204">
            <v>5575.3</v>
          </cell>
          <cell r="DL204">
            <v>5575.3</v>
          </cell>
          <cell r="DM204">
            <v>5575.3</v>
          </cell>
          <cell r="DN204">
            <v>5575.3</v>
          </cell>
          <cell r="DO204">
            <v>5575.3</v>
          </cell>
          <cell r="DP204">
            <v>5575.3</v>
          </cell>
          <cell r="DQ204">
            <v>5575.3</v>
          </cell>
          <cell r="DR204">
            <v>5575.3</v>
          </cell>
          <cell r="DS204">
            <v>5575.3</v>
          </cell>
          <cell r="DT204">
            <v>5575.3</v>
          </cell>
          <cell r="DU204">
            <v>5575.3</v>
          </cell>
          <cell r="DV204">
            <v>5575.3</v>
          </cell>
          <cell r="DW204">
            <v>5575.3</v>
          </cell>
          <cell r="EL204" t="str">
            <v>A_2070000</v>
          </cell>
        </row>
        <row r="205">
          <cell r="D205" t="str">
            <v>207</v>
          </cell>
          <cell r="E205">
            <v>207</v>
          </cell>
          <cell r="G205">
            <v>5575.3333300000004</v>
          </cell>
          <cell r="H205">
            <v>5575.3</v>
          </cell>
          <cell r="I205">
            <v>5575.3</v>
          </cell>
          <cell r="J205">
            <v>5575.3</v>
          </cell>
          <cell r="K205">
            <v>5575.3</v>
          </cell>
          <cell r="L205">
            <v>5575.3</v>
          </cell>
          <cell r="M205">
            <v>5575.3</v>
          </cell>
          <cell r="N205">
            <v>5575.3</v>
          </cell>
          <cell r="O205">
            <v>5575.3</v>
          </cell>
          <cell r="P205">
            <v>5575.3</v>
          </cell>
          <cell r="Q205">
            <v>5575.3</v>
          </cell>
          <cell r="R205">
            <v>5575.3</v>
          </cell>
          <cell r="S205">
            <v>5575.3</v>
          </cell>
          <cell r="T205">
            <v>5575.3</v>
          </cell>
          <cell r="U205">
            <v>5575.3</v>
          </cell>
          <cell r="V205">
            <v>5575.3</v>
          </cell>
          <cell r="W205">
            <v>5575.3</v>
          </cell>
          <cell r="X205">
            <v>5575.3</v>
          </cell>
          <cell r="Y205">
            <v>5575.3</v>
          </cell>
          <cell r="Z205">
            <v>5575.3</v>
          </cell>
          <cell r="AA205">
            <v>5575.3</v>
          </cell>
          <cell r="AB205">
            <v>5575.3</v>
          </cell>
          <cell r="AC205">
            <v>5575.3</v>
          </cell>
          <cell r="AD205">
            <v>5575.3</v>
          </cell>
          <cell r="AE205">
            <v>5575.3</v>
          </cell>
          <cell r="AF205">
            <v>5575.3</v>
          </cell>
          <cell r="AG205">
            <v>5575.3</v>
          </cell>
          <cell r="AH205">
            <v>5575.3</v>
          </cell>
          <cell r="AI205">
            <v>5575.3</v>
          </cell>
          <cell r="AJ205">
            <v>5575.3</v>
          </cell>
          <cell r="AK205">
            <v>5575.3</v>
          </cell>
          <cell r="AL205">
            <v>5575.3</v>
          </cell>
          <cell r="AM205">
            <v>5575.3</v>
          </cell>
          <cell r="AN205">
            <v>5575.3</v>
          </cell>
          <cell r="AO205">
            <v>5575.3</v>
          </cell>
          <cell r="AP205">
            <v>5575.3</v>
          </cell>
          <cell r="AQ205">
            <v>5575.3</v>
          </cell>
          <cell r="AR205">
            <v>5575.3</v>
          </cell>
          <cell r="AS205">
            <v>5575.3</v>
          </cell>
          <cell r="AT205">
            <v>5575.3</v>
          </cell>
          <cell r="AU205">
            <v>5575.3</v>
          </cell>
          <cell r="AV205">
            <v>5575.3</v>
          </cell>
          <cell r="AW205">
            <v>5575.3</v>
          </cell>
          <cell r="AX205">
            <v>5575.3</v>
          </cell>
          <cell r="AY205">
            <v>5575.3</v>
          </cell>
          <cell r="AZ205">
            <v>5575.3</v>
          </cell>
          <cell r="BA205">
            <v>5575.3</v>
          </cell>
          <cell r="BB205">
            <v>5575.3</v>
          </cell>
          <cell r="BC205">
            <v>5575.3</v>
          </cell>
          <cell r="BD205">
            <v>5575.3</v>
          </cell>
          <cell r="BE205">
            <v>5575.3</v>
          </cell>
          <cell r="BF205">
            <v>5575.3</v>
          </cell>
          <cell r="BG205">
            <v>5575.3</v>
          </cell>
          <cell r="BH205">
            <v>5575.3</v>
          </cell>
          <cell r="BI205">
            <v>5575.3</v>
          </cell>
          <cell r="BJ205">
            <v>5575.3</v>
          </cell>
          <cell r="BK205">
            <v>5575.3</v>
          </cell>
          <cell r="BL205">
            <v>5575.3</v>
          </cell>
          <cell r="BM205">
            <v>5575.3</v>
          </cell>
          <cell r="BN205">
            <v>5575.3</v>
          </cell>
          <cell r="BO205">
            <v>5575.3</v>
          </cell>
          <cell r="BP205">
            <v>5575.3</v>
          </cell>
          <cell r="BQ205">
            <v>5575.3</v>
          </cell>
          <cell r="BR205">
            <v>5575.3</v>
          </cell>
          <cell r="BS205">
            <v>5575.3</v>
          </cell>
          <cell r="BT205">
            <v>5575.3</v>
          </cell>
          <cell r="BU205">
            <v>5575.3</v>
          </cell>
          <cell r="BV205">
            <v>5575.3</v>
          </cell>
          <cell r="BW205">
            <v>5575.3</v>
          </cell>
          <cell r="BX205">
            <v>5575.3</v>
          </cell>
          <cell r="BY205">
            <v>5575.3</v>
          </cell>
          <cell r="BZ205">
            <v>5575.3</v>
          </cell>
          <cell r="CA205">
            <v>5575.3</v>
          </cell>
          <cell r="CB205">
            <v>5575.3</v>
          </cell>
          <cell r="CC205">
            <v>5575.3</v>
          </cell>
          <cell r="CD205">
            <v>5575.3</v>
          </cell>
          <cell r="CE205">
            <v>5575.3</v>
          </cell>
          <cell r="CF205">
            <v>5575.3</v>
          </cell>
          <cell r="CG205">
            <v>5575.3</v>
          </cell>
          <cell r="CH205">
            <v>5575.3</v>
          </cell>
          <cell r="CI205">
            <v>5575.3</v>
          </cell>
          <cell r="CJ205">
            <v>5575.3</v>
          </cell>
          <cell r="CK205">
            <v>5575.3</v>
          </cell>
          <cell r="CL205">
            <v>5575.3</v>
          </cell>
          <cell r="CM205">
            <v>5575.3</v>
          </cell>
          <cell r="CN205">
            <v>5575.3</v>
          </cell>
          <cell r="CO205">
            <v>5575.3</v>
          </cell>
          <cell r="CP205">
            <v>5575.3</v>
          </cell>
          <cell r="CQ205">
            <v>5575.3</v>
          </cell>
          <cell r="CR205">
            <v>5575.3</v>
          </cell>
          <cell r="CS205">
            <v>5575.3</v>
          </cell>
          <cell r="CT205">
            <v>5575.3</v>
          </cell>
          <cell r="CU205">
            <v>5575.3</v>
          </cell>
          <cell r="CV205">
            <v>5575.3</v>
          </cell>
          <cell r="CW205">
            <v>5575.3</v>
          </cell>
          <cell r="CX205">
            <v>5575.3</v>
          </cell>
          <cell r="CY205">
            <v>5575.3</v>
          </cell>
          <cell r="CZ205">
            <v>5575.3</v>
          </cell>
          <cell r="DA205">
            <v>5575.3</v>
          </cell>
          <cell r="DB205">
            <v>5575.3</v>
          </cell>
          <cell r="DC205">
            <v>5575.3</v>
          </cell>
          <cell r="DD205">
            <v>5575.3</v>
          </cell>
          <cell r="DE205">
            <v>5575.3</v>
          </cell>
          <cell r="DF205">
            <v>5575.3</v>
          </cell>
          <cell r="DG205">
            <v>5575.3</v>
          </cell>
          <cell r="DH205">
            <v>5575.3</v>
          </cell>
          <cell r="DI205">
            <v>5575.3</v>
          </cell>
          <cell r="DJ205">
            <v>5575.3</v>
          </cell>
          <cell r="DK205">
            <v>5575.3</v>
          </cell>
          <cell r="DL205">
            <v>5575.3</v>
          </cell>
          <cell r="DM205">
            <v>5575.3</v>
          </cell>
          <cell r="DN205">
            <v>5575.3</v>
          </cell>
          <cell r="DO205">
            <v>5575.3</v>
          </cell>
          <cell r="DP205">
            <v>5575.3</v>
          </cell>
          <cell r="DQ205">
            <v>5575.3</v>
          </cell>
          <cell r="DR205">
            <v>5575.3</v>
          </cell>
          <cell r="DS205">
            <v>5575.3</v>
          </cell>
          <cell r="DT205">
            <v>5575.3</v>
          </cell>
          <cell r="DU205">
            <v>5575.3</v>
          </cell>
          <cell r="DV205">
            <v>5575.3</v>
          </cell>
          <cell r="DW205">
            <v>5575.3</v>
          </cell>
          <cell r="EJ205" t="str">
            <v>.</v>
          </cell>
        </row>
        <row r="206">
          <cell r="A206" t="str">
            <v>Additional Capital</v>
          </cell>
          <cell r="B206" t="str">
            <v>Equity Contribution</v>
          </cell>
          <cell r="C206" t="str">
            <v>Additional Capital</v>
          </cell>
          <cell r="D206" t="str">
            <v>2110000</v>
          </cell>
          <cell r="E206" t="str">
            <v>A_2110000</v>
          </cell>
          <cell r="F206" t="str">
            <v>Miscellaneous Paid-in Capital CALCULATION/ACTUAL</v>
          </cell>
          <cell r="G206">
            <v>179974.83586000002</v>
          </cell>
          <cell r="H206">
            <v>179974.8</v>
          </cell>
          <cell r="I206">
            <v>186974.8</v>
          </cell>
          <cell r="J206">
            <v>186974.8</v>
          </cell>
          <cell r="K206">
            <v>186974.8</v>
          </cell>
          <cell r="L206">
            <v>196974.8</v>
          </cell>
          <cell r="M206">
            <v>196974.8</v>
          </cell>
          <cell r="N206">
            <v>196974.8</v>
          </cell>
          <cell r="O206">
            <v>199474.8</v>
          </cell>
          <cell r="P206">
            <v>199474.8</v>
          </cell>
          <cell r="Q206">
            <v>199474.8</v>
          </cell>
          <cell r="R206">
            <v>204974.8</v>
          </cell>
          <cell r="S206">
            <v>204974.8</v>
          </cell>
          <cell r="T206">
            <v>204974.8</v>
          </cell>
          <cell r="U206">
            <v>204974.8</v>
          </cell>
          <cell r="V206">
            <v>204974.8</v>
          </cell>
          <cell r="W206">
            <v>204974.8</v>
          </cell>
          <cell r="X206">
            <v>214974.8</v>
          </cell>
          <cell r="Y206">
            <v>214974.8</v>
          </cell>
          <cell r="Z206">
            <v>214974.8</v>
          </cell>
          <cell r="AA206">
            <v>222974.8</v>
          </cell>
          <cell r="AB206">
            <v>222974.8</v>
          </cell>
          <cell r="AC206">
            <v>222974.8</v>
          </cell>
          <cell r="AD206">
            <v>229974.8</v>
          </cell>
          <cell r="AE206">
            <v>229974.8</v>
          </cell>
          <cell r="AF206">
            <v>229974.8</v>
          </cell>
          <cell r="AG206">
            <v>229974.8</v>
          </cell>
          <cell r="AH206">
            <v>229974.8</v>
          </cell>
          <cell r="AI206">
            <v>229974.8</v>
          </cell>
          <cell r="AJ206">
            <v>229974.8</v>
          </cell>
          <cell r="AK206">
            <v>229974.8</v>
          </cell>
          <cell r="AL206">
            <v>229974.8</v>
          </cell>
          <cell r="AM206">
            <v>229974.8</v>
          </cell>
          <cell r="AN206">
            <v>229974.8</v>
          </cell>
          <cell r="AO206">
            <v>229974.8</v>
          </cell>
          <cell r="AP206">
            <v>229974.8</v>
          </cell>
          <cell r="AQ206">
            <v>229974.8</v>
          </cell>
          <cell r="AR206">
            <v>229974.8</v>
          </cell>
          <cell r="AS206">
            <v>236974.8</v>
          </cell>
          <cell r="AT206">
            <v>236974.8</v>
          </cell>
          <cell r="AU206">
            <v>236974.8</v>
          </cell>
          <cell r="AV206">
            <v>252974.8</v>
          </cell>
          <cell r="AW206">
            <v>252974.8</v>
          </cell>
          <cell r="AX206">
            <v>252974.8</v>
          </cell>
          <cell r="AY206">
            <v>262974.8</v>
          </cell>
          <cell r="AZ206">
            <v>262974.8</v>
          </cell>
          <cell r="BA206">
            <v>262974.8</v>
          </cell>
          <cell r="BB206">
            <v>269974.8</v>
          </cell>
          <cell r="BC206">
            <v>269974.8</v>
          </cell>
          <cell r="BD206">
            <v>269974.8</v>
          </cell>
          <cell r="BE206">
            <v>279974.8</v>
          </cell>
          <cell r="BF206">
            <v>279974.8</v>
          </cell>
          <cell r="BG206">
            <v>279974.8</v>
          </cell>
          <cell r="BH206">
            <v>294974.8</v>
          </cell>
          <cell r="BI206">
            <v>294974.8</v>
          </cell>
          <cell r="BJ206">
            <v>294974.8</v>
          </cell>
          <cell r="BK206">
            <v>304974.8</v>
          </cell>
          <cell r="BL206">
            <v>304974.8</v>
          </cell>
          <cell r="BM206">
            <v>304974.8</v>
          </cell>
          <cell r="BN206">
            <v>314974.8</v>
          </cell>
          <cell r="BO206">
            <v>314974.8</v>
          </cell>
          <cell r="BP206">
            <v>314974.8</v>
          </cell>
          <cell r="BQ206">
            <v>349974.8</v>
          </cell>
          <cell r="BR206">
            <v>349974.8</v>
          </cell>
          <cell r="BS206">
            <v>349974.8</v>
          </cell>
          <cell r="BT206">
            <v>384974.8</v>
          </cell>
          <cell r="BU206">
            <v>384974.8</v>
          </cell>
          <cell r="BV206">
            <v>384974.8</v>
          </cell>
          <cell r="BW206">
            <v>384974.8</v>
          </cell>
          <cell r="BX206">
            <v>409974.8</v>
          </cell>
          <cell r="BY206">
            <v>409974.8</v>
          </cell>
          <cell r="BZ206">
            <v>409974.8</v>
          </cell>
          <cell r="CA206">
            <v>409974.8</v>
          </cell>
          <cell r="CB206">
            <v>409974.8</v>
          </cell>
          <cell r="CC206">
            <v>449974.8</v>
          </cell>
          <cell r="CD206">
            <v>449974.8</v>
          </cell>
          <cell r="CE206">
            <v>449974.8</v>
          </cell>
          <cell r="CF206">
            <v>479974.8</v>
          </cell>
          <cell r="CG206">
            <v>479974.8</v>
          </cell>
          <cell r="CH206">
            <v>479974.8</v>
          </cell>
          <cell r="CI206">
            <v>524974.80000000005</v>
          </cell>
          <cell r="CJ206">
            <v>524974.80000000005</v>
          </cell>
          <cell r="CK206">
            <v>524974.80000000005</v>
          </cell>
          <cell r="CL206">
            <v>539974.80000000005</v>
          </cell>
          <cell r="CM206">
            <v>539974.80000000005</v>
          </cell>
          <cell r="CN206">
            <v>539974.80000000005</v>
          </cell>
          <cell r="CO206">
            <v>579974.80000000005</v>
          </cell>
          <cell r="CP206">
            <v>579974.80000000005</v>
          </cell>
          <cell r="CQ206">
            <v>579974.80000000005</v>
          </cell>
          <cell r="CR206">
            <v>599974.80000000005</v>
          </cell>
          <cell r="CS206">
            <v>599974.80000000005</v>
          </cell>
          <cell r="CT206">
            <v>599974.80000000005</v>
          </cell>
          <cell r="CU206">
            <v>634974.80000000005</v>
          </cell>
          <cell r="CV206">
            <v>634974.80000000005</v>
          </cell>
          <cell r="CW206">
            <v>634974.80000000005</v>
          </cell>
          <cell r="CX206">
            <v>659974.80000000005</v>
          </cell>
          <cell r="CY206">
            <v>659974.80000000005</v>
          </cell>
          <cell r="CZ206">
            <v>659974.80000000005</v>
          </cell>
          <cell r="DA206">
            <v>734974.8</v>
          </cell>
          <cell r="DB206">
            <v>734974.8</v>
          </cell>
          <cell r="DC206">
            <v>734974.8</v>
          </cell>
          <cell r="DD206">
            <v>764974.8</v>
          </cell>
          <cell r="DE206">
            <v>764974.8</v>
          </cell>
          <cell r="DF206">
            <v>764974.8</v>
          </cell>
          <cell r="DG206">
            <v>804974.8</v>
          </cell>
          <cell r="DH206">
            <v>804974.8</v>
          </cell>
          <cell r="DI206">
            <v>804974.8</v>
          </cell>
          <cell r="DJ206">
            <v>829974.8</v>
          </cell>
          <cell r="DK206">
            <v>864974.8</v>
          </cell>
          <cell r="DL206">
            <v>864974.8</v>
          </cell>
          <cell r="DM206">
            <v>864974.8</v>
          </cell>
          <cell r="DN206">
            <v>887474.8</v>
          </cell>
          <cell r="DO206">
            <v>887474.8</v>
          </cell>
          <cell r="DP206">
            <v>887474.8</v>
          </cell>
          <cell r="DQ206">
            <v>912474.8</v>
          </cell>
          <cell r="DR206">
            <v>912474.8</v>
          </cell>
          <cell r="DS206">
            <v>912474.8</v>
          </cell>
          <cell r="DT206">
            <v>942474.8</v>
          </cell>
          <cell r="DU206">
            <v>942474.8</v>
          </cell>
          <cell r="DV206">
            <v>942474.8</v>
          </cell>
          <cell r="DW206">
            <v>999974.8</v>
          </cell>
          <cell r="EL206" t="str">
            <v>A_2110000</v>
          </cell>
        </row>
        <row r="207">
          <cell r="A207" t="str">
            <v>Additional Capital</v>
          </cell>
          <cell r="B207" t="str">
            <v>Equity Contribution</v>
          </cell>
          <cell r="C207" t="str">
            <v>Additional Capital</v>
          </cell>
          <cell r="D207" t="str">
            <v>Eq Cont</v>
          </cell>
          <cell r="E207" t="str">
            <v>Eq Cont</v>
          </cell>
          <cell r="F207" t="str">
            <v>EQUITY CONTRIBUTION  INPUT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DM207">
            <v>22500</v>
          </cell>
          <cell r="DP207">
            <v>25000</v>
          </cell>
          <cell r="DS207">
            <v>30000</v>
          </cell>
          <cell r="DV207">
            <v>57500</v>
          </cell>
        </row>
        <row r="208">
          <cell r="D208" t="str">
            <v>211</v>
          </cell>
          <cell r="E208">
            <v>211</v>
          </cell>
          <cell r="G208">
            <v>179974.83586000002</v>
          </cell>
          <cell r="H208">
            <v>179974.8</v>
          </cell>
          <cell r="I208">
            <v>186974.8</v>
          </cell>
          <cell r="J208">
            <v>186974.8</v>
          </cell>
          <cell r="K208">
            <v>186974.8</v>
          </cell>
          <cell r="L208">
            <v>196974.8</v>
          </cell>
          <cell r="M208">
            <v>196974.8</v>
          </cell>
          <cell r="N208">
            <v>196974.8</v>
          </cell>
          <cell r="O208">
            <v>199474.8</v>
          </cell>
          <cell r="P208">
            <v>199474.8</v>
          </cell>
          <cell r="Q208">
            <v>199474.8</v>
          </cell>
          <cell r="R208">
            <v>204974.8</v>
          </cell>
          <cell r="S208">
            <v>204974.8</v>
          </cell>
          <cell r="T208">
            <v>204974.8</v>
          </cell>
          <cell r="U208">
            <v>204974.8</v>
          </cell>
          <cell r="V208">
            <v>204974.8</v>
          </cell>
          <cell r="W208">
            <v>204974.8</v>
          </cell>
          <cell r="X208">
            <v>214974.8</v>
          </cell>
          <cell r="Y208">
            <v>214974.8</v>
          </cell>
          <cell r="Z208">
            <v>214974.8</v>
          </cell>
          <cell r="AA208">
            <v>222974.8</v>
          </cell>
          <cell r="AB208">
            <v>222974.8</v>
          </cell>
          <cell r="AC208">
            <v>222974.8</v>
          </cell>
          <cell r="AD208">
            <v>229974.8</v>
          </cell>
          <cell r="AE208">
            <v>229974.8</v>
          </cell>
          <cell r="AF208">
            <v>229974.8</v>
          </cell>
          <cell r="AG208">
            <v>229974.8</v>
          </cell>
          <cell r="AH208">
            <v>229974.8</v>
          </cell>
          <cell r="AI208">
            <v>229974.8</v>
          </cell>
          <cell r="AJ208">
            <v>229974.8</v>
          </cell>
          <cell r="AK208">
            <v>229974.8</v>
          </cell>
          <cell r="AL208">
            <v>229974.8</v>
          </cell>
          <cell r="AM208">
            <v>229974.8</v>
          </cell>
          <cell r="AN208">
            <v>229974.8</v>
          </cell>
          <cell r="AO208">
            <v>229974.8</v>
          </cell>
          <cell r="AP208">
            <v>229974.8</v>
          </cell>
          <cell r="AQ208">
            <v>229974.8</v>
          </cell>
          <cell r="AR208">
            <v>229974.8</v>
          </cell>
          <cell r="AS208">
            <v>236974.8</v>
          </cell>
          <cell r="AT208">
            <v>236974.8</v>
          </cell>
          <cell r="AU208">
            <v>236974.8</v>
          </cell>
          <cell r="AV208">
            <v>252974.8</v>
          </cell>
          <cell r="AW208">
            <v>252974.8</v>
          </cell>
          <cell r="AX208">
            <v>252974.8</v>
          </cell>
          <cell r="AY208">
            <v>262974.8</v>
          </cell>
          <cell r="AZ208">
            <v>262974.8</v>
          </cell>
          <cell r="BA208">
            <v>262974.8</v>
          </cell>
          <cell r="BB208">
            <v>269974.8</v>
          </cell>
          <cell r="BC208">
            <v>269974.8</v>
          </cell>
          <cell r="BD208">
            <v>269974.8</v>
          </cell>
          <cell r="BE208">
            <v>279974.8</v>
          </cell>
          <cell r="BF208">
            <v>279974.8</v>
          </cell>
          <cell r="BG208">
            <v>279974.8</v>
          </cell>
          <cell r="BH208">
            <v>294974.8</v>
          </cell>
          <cell r="BI208">
            <v>294974.8</v>
          </cell>
          <cell r="BJ208">
            <v>294974.8</v>
          </cell>
          <cell r="BK208">
            <v>304974.8</v>
          </cell>
          <cell r="BL208">
            <v>304974.8</v>
          </cell>
          <cell r="BM208">
            <v>304974.8</v>
          </cell>
          <cell r="BN208">
            <v>314974.8</v>
          </cell>
          <cell r="BO208">
            <v>314974.8</v>
          </cell>
          <cell r="BP208">
            <v>314974.8</v>
          </cell>
          <cell r="BQ208">
            <v>349974.8</v>
          </cell>
          <cell r="BR208">
            <v>349974.8</v>
          </cell>
          <cell r="BS208">
            <v>349974.8</v>
          </cell>
          <cell r="BT208">
            <v>384974.8</v>
          </cell>
          <cell r="BU208">
            <v>384974.8</v>
          </cell>
          <cell r="BV208">
            <v>384974.8</v>
          </cell>
          <cell r="BW208">
            <v>384974.8</v>
          </cell>
          <cell r="BX208">
            <v>409974.8</v>
          </cell>
          <cell r="BY208">
            <v>409974.8</v>
          </cell>
          <cell r="BZ208">
            <v>409974.8</v>
          </cell>
          <cell r="CA208">
            <v>409974.8</v>
          </cell>
          <cell r="CB208">
            <v>409974.8</v>
          </cell>
          <cell r="CC208">
            <v>449974.8</v>
          </cell>
          <cell r="CD208">
            <v>449974.8</v>
          </cell>
          <cell r="CE208">
            <v>449974.8</v>
          </cell>
          <cell r="CF208">
            <v>479974.8</v>
          </cell>
          <cell r="CG208">
            <v>479974.8</v>
          </cell>
          <cell r="CH208">
            <v>479974.8</v>
          </cell>
          <cell r="CI208">
            <v>524974.80000000005</v>
          </cell>
          <cell r="CJ208">
            <v>524974.80000000005</v>
          </cell>
          <cell r="CK208">
            <v>524974.80000000005</v>
          </cell>
          <cell r="CL208">
            <v>539974.80000000005</v>
          </cell>
          <cell r="CM208">
            <v>539974.80000000005</v>
          </cell>
          <cell r="CN208">
            <v>539974.80000000005</v>
          </cell>
          <cell r="CO208">
            <v>579974.80000000005</v>
          </cell>
          <cell r="CP208">
            <v>579974.80000000005</v>
          </cell>
          <cell r="CQ208">
            <v>579974.80000000005</v>
          </cell>
          <cell r="CR208">
            <v>599974.80000000005</v>
          </cell>
          <cell r="CS208">
            <v>599974.80000000005</v>
          </cell>
          <cell r="CT208">
            <v>599974.80000000005</v>
          </cell>
          <cell r="CU208">
            <v>634974.80000000005</v>
          </cell>
          <cell r="CV208">
            <v>634974.80000000005</v>
          </cell>
          <cell r="CW208">
            <v>634974.80000000005</v>
          </cell>
          <cell r="CX208">
            <v>659974.80000000005</v>
          </cell>
          <cell r="CY208">
            <v>659974.80000000005</v>
          </cell>
          <cell r="CZ208">
            <v>659974.80000000005</v>
          </cell>
          <cell r="DA208">
            <v>734974.8</v>
          </cell>
          <cell r="DB208">
            <v>734974.8</v>
          </cell>
          <cell r="DC208">
            <v>734974.8</v>
          </cell>
          <cell r="DD208">
            <v>764974.8</v>
          </cell>
          <cell r="DE208">
            <v>764974.8</v>
          </cell>
          <cell r="DF208">
            <v>764974.8</v>
          </cell>
          <cell r="DG208">
            <v>804974.8</v>
          </cell>
          <cell r="DH208">
            <v>804974.8</v>
          </cell>
          <cell r="DI208">
            <v>804974.8</v>
          </cell>
          <cell r="DJ208">
            <v>829974.8</v>
          </cell>
          <cell r="DK208">
            <v>864974.8</v>
          </cell>
          <cell r="DL208">
            <v>864974.8</v>
          </cell>
          <cell r="DM208">
            <v>887474.8</v>
          </cell>
          <cell r="DN208">
            <v>887474.8</v>
          </cell>
          <cell r="DO208">
            <v>887474.8</v>
          </cell>
          <cell r="DP208">
            <v>912474.8</v>
          </cell>
          <cell r="DQ208">
            <v>912474.8</v>
          </cell>
          <cell r="DR208">
            <v>912474.8</v>
          </cell>
          <cell r="DS208">
            <v>942474.8</v>
          </cell>
          <cell r="DT208">
            <v>942474.8</v>
          </cell>
          <cell r="DU208">
            <v>942474.8</v>
          </cell>
          <cell r="DV208">
            <v>999974.8</v>
          </cell>
          <cell r="DW208">
            <v>999974.8</v>
          </cell>
          <cell r="EJ208" t="str">
            <v>.</v>
          </cell>
        </row>
        <row r="209">
          <cell r="A209" t="str">
            <v>Unappropriated Retained Earnings</v>
          </cell>
          <cell r="C209" t="str">
            <v>Unappropriated Retained Earnings</v>
          </cell>
          <cell r="D209" t="str">
            <v>2160000</v>
          </cell>
          <cell r="E209" t="str">
            <v>A_2160000</v>
          </cell>
          <cell r="F209" t="str">
            <v>Retained Earnings CALCULATION/ACTUAL</v>
          </cell>
          <cell r="G209">
            <v>112751.74677</v>
          </cell>
          <cell r="H209">
            <v>110952.2</v>
          </cell>
          <cell r="I209">
            <v>115124.2</v>
          </cell>
          <cell r="J209">
            <v>119799.6</v>
          </cell>
          <cell r="K209">
            <v>111564.9</v>
          </cell>
          <cell r="L209">
            <v>113200.5</v>
          </cell>
          <cell r="M209">
            <v>115416.6</v>
          </cell>
          <cell r="N209">
            <v>107554.6</v>
          </cell>
          <cell r="O209">
            <v>109067.8</v>
          </cell>
          <cell r="P209">
            <v>110333.7</v>
          </cell>
          <cell r="Q209">
            <v>107285.8</v>
          </cell>
          <cell r="R209">
            <v>110110.9</v>
          </cell>
          <cell r="S209">
            <v>113647.9</v>
          </cell>
          <cell r="T209">
            <v>118802.8</v>
          </cell>
          <cell r="U209">
            <v>117504.5</v>
          </cell>
          <cell r="V209">
            <v>121475.2</v>
          </cell>
          <cell r="W209">
            <v>110287.6</v>
          </cell>
          <cell r="X209">
            <v>112407</v>
          </cell>
          <cell r="Y209">
            <v>114986.6</v>
          </cell>
          <cell r="Z209">
            <v>108323.1</v>
          </cell>
          <cell r="AA209">
            <v>110663.7</v>
          </cell>
          <cell r="AB209">
            <v>112300.8</v>
          </cell>
          <cell r="AC209">
            <v>114335.6</v>
          </cell>
          <cell r="AD209">
            <v>109351.5</v>
          </cell>
          <cell r="AE209">
            <v>111596.7</v>
          </cell>
          <cell r="AF209">
            <v>116597.8</v>
          </cell>
          <cell r="AG209">
            <v>116398.3</v>
          </cell>
          <cell r="AH209">
            <v>118668.9</v>
          </cell>
          <cell r="AI209">
            <v>121492.8</v>
          </cell>
          <cell r="AJ209">
            <v>111639.9</v>
          </cell>
          <cell r="AK209">
            <v>105236.4</v>
          </cell>
          <cell r="AL209">
            <v>107637.6</v>
          </cell>
          <cell r="AM209">
            <v>109379.7</v>
          </cell>
          <cell r="AN209">
            <v>111158.39999999999</v>
          </cell>
          <cell r="AO209">
            <v>113333</v>
          </cell>
          <cell r="AP209">
            <v>110917.5</v>
          </cell>
          <cell r="AQ209">
            <v>112749.5</v>
          </cell>
          <cell r="AR209">
            <v>117760.4</v>
          </cell>
          <cell r="AS209">
            <v>114776.9</v>
          </cell>
          <cell r="AT209">
            <v>119026.5</v>
          </cell>
          <cell r="AU209">
            <v>122710.5</v>
          </cell>
          <cell r="AV209">
            <v>115691</v>
          </cell>
          <cell r="AW209">
            <v>117926</v>
          </cell>
          <cell r="AX209">
            <v>120083.5</v>
          </cell>
          <cell r="AY209">
            <v>111138.6</v>
          </cell>
          <cell r="AZ209">
            <v>113846.5</v>
          </cell>
          <cell r="BA209">
            <v>116231</v>
          </cell>
          <cell r="BB209">
            <v>112278.1</v>
          </cell>
          <cell r="BC209">
            <v>117313.1</v>
          </cell>
          <cell r="BD209">
            <v>126188</v>
          </cell>
          <cell r="BE209">
            <v>117345.60000000001</v>
          </cell>
          <cell r="BF209">
            <v>118883.5</v>
          </cell>
          <cell r="BG209">
            <v>123682.2</v>
          </cell>
          <cell r="BH209">
            <v>111606.5</v>
          </cell>
          <cell r="BI209">
            <v>114480.3</v>
          </cell>
          <cell r="BJ209">
            <v>117296</v>
          </cell>
          <cell r="BK209">
            <v>109540</v>
          </cell>
          <cell r="BL209">
            <v>113063.5</v>
          </cell>
          <cell r="BM209">
            <v>115613.1</v>
          </cell>
          <cell r="BN209">
            <v>110210.5</v>
          </cell>
          <cell r="BO209">
            <v>115286.6</v>
          </cell>
          <cell r="BP209">
            <v>121647.9</v>
          </cell>
          <cell r="BQ209">
            <v>116324.2</v>
          </cell>
          <cell r="BR209">
            <v>121359.2</v>
          </cell>
          <cell r="BS209">
            <v>126169</v>
          </cell>
          <cell r="BT209">
            <v>113451</v>
          </cell>
          <cell r="BU209">
            <v>116981.6</v>
          </cell>
          <cell r="BV209">
            <v>119701.5</v>
          </cell>
          <cell r="BW209">
            <v>110484.1</v>
          </cell>
          <cell r="BX209">
            <v>113948.8</v>
          </cell>
          <cell r="BY209">
            <v>117176.8</v>
          </cell>
          <cell r="BZ209">
            <v>111817.3</v>
          </cell>
          <cell r="CA209">
            <v>115649.9</v>
          </cell>
          <cell r="CB209">
            <v>123199.2</v>
          </cell>
          <cell r="CC209">
            <v>117446.7</v>
          </cell>
          <cell r="CD209">
            <v>122197.6</v>
          </cell>
          <cell r="CE209">
            <v>125573.9</v>
          </cell>
          <cell r="CF209">
            <v>110956.1</v>
          </cell>
          <cell r="CG209">
            <v>113941.6</v>
          </cell>
          <cell r="CH209">
            <v>116849.3</v>
          </cell>
          <cell r="CI209">
            <v>110736</v>
          </cell>
          <cell r="CJ209">
            <v>113912.1</v>
          </cell>
          <cell r="CK209">
            <v>116508.2</v>
          </cell>
          <cell r="CL209">
            <v>111858.8</v>
          </cell>
          <cell r="CM209">
            <v>116111.3</v>
          </cell>
          <cell r="CN209">
            <v>127172.6</v>
          </cell>
          <cell r="CO209">
            <v>123064.9</v>
          </cell>
          <cell r="CP209">
            <v>130480.4</v>
          </cell>
          <cell r="CQ209">
            <v>111744.1</v>
          </cell>
          <cell r="CR209">
            <v>116877</v>
          </cell>
          <cell r="CS209">
            <v>122048.1</v>
          </cell>
          <cell r="CT209">
            <v>126208.6</v>
          </cell>
          <cell r="CU209">
            <v>112972.8</v>
          </cell>
          <cell r="CV209">
            <v>118232.9</v>
          </cell>
          <cell r="CW209">
            <v>123024.8</v>
          </cell>
          <cell r="CX209">
            <v>114701.5</v>
          </cell>
          <cell r="CY209">
            <v>120404.7</v>
          </cell>
          <cell r="CZ209">
            <v>130047.6</v>
          </cell>
          <cell r="DA209">
            <v>122619.9</v>
          </cell>
          <cell r="DB209">
            <v>133052.9</v>
          </cell>
          <cell r="DC209">
            <v>110833.60000000001</v>
          </cell>
          <cell r="DD209">
            <v>116812.9</v>
          </cell>
          <cell r="DE209">
            <v>123248.5</v>
          </cell>
          <cell r="DF209">
            <v>127207.1</v>
          </cell>
          <cell r="DG209">
            <v>112614.6</v>
          </cell>
          <cell r="DH209">
            <v>119547</v>
          </cell>
          <cell r="DI209">
            <v>108934.39999999999</v>
          </cell>
          <cell r="DJ209">
            <v>114567.3</v>
          </cell>
          <cell r="DK209">
            <v>120661.3</v>
          </cell>
          <cell r="DL209">
            <v>121058.8</v>
          </cell>
          <cell r="DM209">
            <v>130628.49999999997</v>
          </cell>
          <cell r="DN209">
            <v>122444.69999999998</v>
          </cell>
          <cell r="DO209">
            <v>133245.09999999998</v>
          </cell>
          <cell r="DP209">
            <v>140249.19999999995</v>
          </cell>
          <cell r="DQ209">
            <v>116529.29999999999</v>
          </cell>
          <cell r="DR209">
            <v>123407.19999999998</v>
          </cell>
          <cell r="DS209">
            <v>127830.19999999997</v>
          </cell>
          <cell r="DT209">
            <v>112854.50000000001</v>
          </cell>
          <cell r="DU209">
            <v>119116.79999999999</v>
          </cell>
          <cell r="DV209">
            <v>122310.39169154299</v>
          </cell>
          <cell r="DW209">
            <v>113209.22813335656</v>
          </cell>
          <cell r="EL209" t="str">
            <v>A_2160000</v>
          </cell>
        </row>
        <row r="210">
          <cell r="A210" t="str">
            <v>Unappropriated Retained Earnings</v>
          </cell>
          <cell r="C210" t="str">
            <v>Unappropriated Retained Earnings</v>
          </cell>
          <cell r="D210" t="str">
            <v>2161000</v>
          </cell>
          <cell r="E210" t="str">
            <v>A_2161000</v>
          </cell>
          <cell r="F210" t="str">
            <v>Unappropriated Undistributed Subsidiary Earnings</v>
          </cell>
          <cell r="G210">
            <v>1089.9145800000001</v>
          </cell>
          <cell r="H210">
            <v>708.4</v>
          </cell>
          <cell r="I210">
            <v>1039</v>
          </cell>
          <cell r="J210">
            <v>1245.4000000000001</v>
          </cell>
          <cell r="K210">
            <v>807.4</v>
          </cell>
          <cell r="L210">
            <v>985.9</v>
          </cell>
          <cell r="M210">
            <v>1248.4000000000001</v>
          </cell>
          <cell r="N210">
            <v>823.1</v>
          </cell>
          <cell r="O210">
            <v>1020.9</v>
          </cell>
          <cell r="P210">
            <v>1089.7</v>
          </cell>
          <cell r="Q210">
            <v>683.1</v>
          </cell>
          <cell r="R210">
            <v>683.1</v>
          </cell>
          <cell r="S210">
            <v>875.9</v>
          </cell>
          <cell r="T210">
            <v>1266.7</v>
          </cell>
          <cell r="U210">
            <v>946.3</v>
          </cell>
          <cell r="V210">
            <v>1097</v>
          </cell>
          <cell r="W210">
            <v>419.6</v>
          </cell>
          <cell r="X210">
            <v>643.9</v>
          </cell>
          <cell r="Y210">
            <v>860.2</v>
          </cell>
          <cell r="Z210">
            <v>520.9</v>
          </cell>
          <cell r="AA210">
            <v>692</v>
          </cell>
          <cell r="AB210">
            <v>915.3</v>
          </cell>
          <cell r="AC210">
            <v>1045.5</v>
          </cell>
          <cell r="AD210">
            <v>695.6</v>
          </cell>
          <cell r="AE210">
            <v>1399.5</v>
          </cell>
          <cell r="AF210">
            <v>1695.8</v>
          </cell>
          <cell r="AG210">
            <v>1514.8</v>
          </cell>
          <cell r="AH210">
            <v>1617.4</v>
          </cell>
          <cell r="AI210">
            <v>1739.5</v>
          </cell>
          <cell r="AJ210">
            <v>667</v>
          </cell>
          <cell r="AK210">
            <v>300.60000000000002</v>
          </cell>
          <cell r="AL210">
            <v>515.4</v>
          </cell>
          <cell r="AM210">
            <v>793.2</v>
          </cell>
          <cell r="AN210">
            <v>973.5</v>
          </cell>
          <cell r="AO210">
            <v>1742.9</v>
          </cell>
          <cell r="AP210">
            <v>1304.4000000000001</v>
          </cell>
          <cell r="AQ210">
            <v>1525.7</v>
          </cell>
          <cell r="AR210">
            <v>1879.6</v>
          </cell>
          <cell r="AS210">
            <v>727</v>
          </cell>
          <cell r="AT210">
            <v>1014.1</v>
          </cell>
          <cell r="AU210">
            <v>1161.0999999999999</v>
          </cell>
          <cell r="AV210">
            <v>609.70000000000005</v>
          </cell>
          <cell r="AW210">
            <v>456.3</v>
          </cell>
          <cell r="AX210">
            <v>1057.7</v>
          </cell>
          <cell r="AY210">
            <v>413.4</v>
          </cell>
          <cell r="AZ210">
            <v>413.4</v>
          </cell>
          <cell r="BA210">
            <v>659</v>
          </cell>
          <cell r="BB210">
            <v>717.9</v>
          </cell>
          <cell r="BC210">
            <v>1267</v>
          </cell>
          <cell r="BD210">
            <v>1694.3</v>
          </cell>
          <cell r="BE210">
            <v>674.6</v>
          </cell>
          <cell r="BF210">
            <v>787.2</v>
          </cell>
          <cell r="BG210">
            <v>1293.5</v>
          </cell>
          <cell r="BH210">
            <v>601.1</v>
          </cell>
          <cell r="BI210">
            <v>823.8</v>
          </cell>
          <cell r="BJ210">
            <v>1113.3</v>
          </cell>
          <cell r="BK210">
            <v>311.89999999999998</v>
          </cell>
          <cell r="BL210">
            <v>486.4</v>
          </cell>
          <cell r="BM210">
            <v>740.1</v>
          </cell>
          <cell r="BN210">
            <v>329.2</v>
          </cell>
          <cell r="BO210">
            <v>746.5</v>
          </cell>
          <cell r="BP210">
            <v>1003.2</v>
          </cell>
          <cell r="BQ210">
            <v>375</v>
          </cell>
          <cell r="BR210">
            <v>836.1</v>
          </cell>
          <cell r="BS210">
            <v>1253.2</v>
          </cell>
          <cell r="BT210">
            <v>573.70000000000005</v>
          </cell>
          <cell r="BU210">
            <v>808.2</v>
          </cell>
          <cell r="BV210">
            <v>1147.2</v>
          </cell>
          <cell r="BW210">
            <v>631.20000000000005</v>
          </cell>
          <cell r="BX210">
            <v>850.3</v>
          </cell>
          <cell r="BY210">
            <v>1047.9000000000001</v>
          </cell>
          <cell r="BZ210">
            <v>224.6</v>
          </cell>
          <cell r="CA210">
            <v>453.4</v>
          </cell>
          <cell r="CB210">
            <v>579.6</v>
          </cell>
          <cell r="CC210">
            <v>384</v>
          </cell>
          <cell r="CD210">
            <v>477.9</v>
          </cell>
          <cell r="CE210">
            <v>812.3</v>
          </cell>
          <cell r="CF210">
            <v>577.6</v>
          </cell>
          <cell r="CG210">
            <v>801.9</v>
          </cell>
          <cell r="CH210">
            <v>990.3</v>
          </cell>
          <cell r="CI210">
            <v>332.6</v>
          </cell>
          <cell r="CJ210">
            <v>571.79999999999995</v>
          </cell>
          <cell r="CK210">
            <v>922.6</v>
          </cell>
          <cell r="CL210">
            <v>392.6</v>
          </cell>
          <cell r="CM210">
            <v>759.7</v>
          </cell>
          <cell r="CN210">
            <v>1093.8</v>
          </cell>
          <cell r="CO210">
            <v>554.79999999999995</v>
          </cell>
          <cell r="CP210">
            <v>830.1</v>
          </cell>
          <cell r="CQ210">
            <v>164.3</v>
          </cell>
          <cell r="CR210">
            <v>554.79999999999995</v>
          </cell>
          <cell r="CS210">
            <v>826.3</v>
          </cell>
          <cell r="CT210">
            <v>1100.4000000000001</v>
          </cell>
          <cell r="CU210">
            <v>444</v>
          </cell>
          <cell r="CV210">
            <v>739.8</v>
          </cell>
          <cell r="CW210">
            <v>1053.5</v>
          </cell>
          <cell r="CX210">
            <v>419.6</v>
          </cell>
          <cell r="CY210">
            <v>579.1</v>
          </cell>
          <cell r="CZ210">
            <v>724.1</v>
          </cell>
          <cell r="DA210">
            <v>231.1</v>
          </cell>
          <cell r="DB210">
            <v>704.7</v>
          </cell>
          <cell r="DC210">
            <v>90.2</v>
          </cell>
          <cell r="DD210">
            <v>366.2</v>
          </cell>
          <cell r="DE210">
            <v>589.1</v>
          </cell>
          <cell r="DF210">
            <v>1025.8</v>
          </cell>
          <cell r="DG210">
            <v>557.4</v>
          </cell>
          <cell r="DH210">
            <v>894.9</v>
          </cell>
          <cell r="DI210">
            <v>84.3</v>
          </cell>
          <cell r="DJ210">
            <v>384.4</v>
          </cell>
          <cell r="DK210">
            <v>397.5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EL210" t="str">
            <v>A_2161000</v>
          </cell>
        </row>
        <row r="211">
          <cell r="A211" t="str">
            <v>Unappropriated Retained Earnings</v>
          </cell>
          <cell r="C211" t="str">
            <v>Unappropriated Retained Earnings</v>
          </cell>
          <cell r="D211" t="str">
            <v/>
          </cell>
          <cell r="F211" t="str">
            <v>NET INCOME CALCULATION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9569.699999999968</v>
          </cell>
          <cell r="DM211">
            <v>8659.9999999999891</v>
          </cell>
          <cell r="DN211">
            <v>10800.399999999989</v>
          </cell>
          <cell r="DO211">
            <v>7004.0999999999867</v>
          </cell>
          <cell r="DP211">
            <v>5310.1999999999916</v>
          </cell>
          <cell r="DQ211">
            <v>6877.8999999999887</v>
          </cell>
          <cell r="DR211">
            <v>4422.9999999999791</v>
          </cell>
          <cell r="DS211">
            <v>4216.5000000000118</v>
          </cell>
          <cell r="DT211">
            <v>6262.2999999999802</v>
          </cell>
          <cell r="DU211">
            <v>3193.5916915430025</v>
          </cell>
          <cell r="DV211">
            <v>5800.6364418135418</v>
          </cell>
          <cell r="DW211">
            <v>12584.922295288241</v>
          </cell>
        </row>
        <row r="212">
          <cell r="A212" t="str">
            <v>Unappropriated Retained Earnings</v>
          </cell>
          <cell r="C212" t="str">
            <v>Unappropriated Retained Earnings</v>
          </cell>
          <cell r="D212" t="str">
            <v/>
          </cell>
          <cell r="F212" t="str">
            <v>DIVIDENDS CALCULATION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-16843.799999999988</v>
          </cell>
          <cell r="DN212">
            <v>0</v>
          </cell>
          <cell r="DO212">
            <v>0</v>
          </cell>
          <cell r="DP212">
            <v>-29030.099999999948</v>
          </cell>
          <cell r="DQ212">
            <v>0</v>
          </cell>
          <cell r="DR212">
            <v>0</v>
          </cell>
          <cell r="DS212">
            <v>-19192.199999999968</v>
          </cell>
          <cell r="DT212">
            <v>0</v>
          </cell>
          <cell r="DU212">
            <v>0</v>
          </cell>
          <cell r="DV212">
            <v>-14901.79999999997</v>
          </cell>
          <cell r="DW212">
            <v>0</v>
          </cell>
        </row>
        <row r="213">
          <cell r="D213" t="str">
            <v>216</v>
          </cell>
          <cell r="E213">
            <v>216</v>
          </cell>
          <cell r="G213">
            <v>113841.66134999999</v>
          </cell>
          <cell r="H213">
            <v>111660.59999999999</v>
          </cell>
          <cell r="I213">
            <v>116163.2</v>
          </cell>
          <cell r="J213">
            <v>121045</v>
          </cell>
          <cell r="K213">
            <v>112372.29999999999</v>
          </cell>
          <cell r="L213">
            <v>114186.4</v>
          </cell>
          <cell r="M213">
            <v>116665</v>
          </cell>
          <cell r="N213">
            <v>108377.70000000001</v>
          </cell>
          <cell r="O213">
            <v>110088.7</v>
          </cell>
          <cell r="P213">
            <v>111423.4</v>
          </cell>
          <cell r="Q213">
            <v>107968.90000000001</v>
          </cell>
          <cell r="R213">
            <v>110794</v>
          </cell>
          <cell r="S213">
            <v>114523.79999999999</v>
          </cell>
          <cell r="T213">
            <v>120069.5</v>
          </cell>
          <cell r="U213">
            <v>118450.8</v>
          </cell>
          <cell r="V213">
            <v>122572.2</v>
          </cell>
          <cell r="W213">
            <v>110707.20000000001</v>
          </cell>
          <cell r="X213">
            <v>113050.9</v>
          </cell>
          <cell r="Y213">
            <v>115846.8</v>
          </cell>
          <cell r="Z213">
            <v>108844</v>
          </cell>
          <cell r="AA213">
            <v>111355.7</v>
          </cell>
          <cell r="AB213">
            <v>113216.1</v>
          </cell>
          <cell r="AC213">
            <v>115381.1</v>
          </cell>
          <cell r="AD213">
            <v>110047.1</v>
          </cell>
          <cell r="AE213">
            <v>112996.2</v>
          </cell>
          <cell r="AF213">
            <v>118293.6</v>
          </cell>
          <cell r="AG213">
            <v>117913.1</v>
          </cell>
          <cell r="AH213">
            <v>120286.29999999999</v>
          </cell>
          <cell r="AI213">
            <v>123232.3</v>
          </cell>
          <cell r="AJ213">
            <v>112306.9</v>
          </cell>
          <cell r="AK213">
            <v>105537</v>
          </cell>
          <cell r="AL213">
            <v>108153</v>
          </cell>
          <cell r="AM213">
            <v>110172.9</v>
          </cell>
          <cell r="AN213">
            <v>112131.9</v>
          </cell>
          <cell r="AO213">
            <v>115075.9</v>
          </cell>
          <cell r="AP213">
            <v>112221.9</v>
          </cell>
          <cell r="AQ213">
            <v>114275.2</v>
          </cell>
          <cell r="AR213">
            <v>119640</v>
          </cell>
          <cell r="AS213">
            <v>115503.9</v>
          </cell>
          <cell r="AT213">
            <v>120040.6</v>
          </cell>
          <cell r="AU213">
            <v>123871.6</v>
          </cell>
          <cell r="AV213">
            <v>116300.7</v>
          </cell>
          <cell r="AW213">
            <v>118382.3</v>
          </cell>
          <cell r="AX213">
            <v>121141.2</v>
          </cell>
          <cell r="AY213">
            <v>111552</v>
          </cell>
          <cell r="AZ213">
            <v>114259.9</v>
          </cell>
          <cell r="BA213">
            <v>116890</v>
          </cell>
          <cell r="BB213">
            <v>112996</v>
          </cell>
          <cell r="BC213">
            <v>118580.1</v>
          </cell>
          <cell r="BD213">
            <v>127882.3</v>
          </cell>
          <cell r="BE213">
            <v>118020.20000000001</v>
          </cell>
          <cell r="BF213">
            <v>119670.7</v>
          </cell>
          <cell r="BG213">
            <v>124975.7</v>
          </cell>
          <cell r="BH213">
            <v>112207.6</v>
          </cell>
          <cell r="BI213">
            <v>115304.1</v>
          </cell>
          <cell r="BJ213">
            <v>118409.3</v>
          </cell>
          <cell r="BK213">
            <v>109851.9</v>
          </cell>
          <cell r="BL213">
            <v>113549.9</v>
          </cell>
          <cell r="BM213">
            <v>116353.20000000001</v>
          </cell>
          <cell r="BN213">
            <v>110539.7</v>
          </cell>
          <cell r="BO213">
            <v>116033.1</v>
          </cell>
          <cell r="BP213">
            <v>122651.09999999999</v>
          </cell>
          <cell r="BQ213">
            <v>116699.2</v>
          </cell>
          <cell r="BR213">
            <v>122195.3</v>
          </cell>
          <cell r="BS213">
            <v>127422.2</v>
          </cell>
          <cell r="BT213">
            <v>114024.7</v>
          </cell>
          <cell r="BU213">
            <v>117789.8</v>
          </cell>
          <cell r="BV213">
            <v>120848.7</v>
          </cell>
          <cell r="BW213">
            <v>111115.3</v>
          </cell>
          <cell r="BX213">
            <v>114799.1</v>
          </cell>
          <cell r="BY213">
            <v>118224.7</v>
          </cell>
          <cell r="BZ213">
            <v>112041.90000000001</v>
          </cell>
          <cell r="CA213">
            <v>116103.29999999999</v>
          </cell>
          <cell r="CB213">
            <v>123778.8</v>
          </cell>
          <cell r="CC213">
            <v>117830.7</v>
          </cell>
          <cell r="CD213">
            <v>122675.5</v>
          </cell>
          <cell r="CE213">
            <v>126386.2</v>
          </cell>
          <cell r="CF213">
            <v>111533.70000000001</v>
          </cell>
          <cell r="CG213">
            <v>114743.5</v>
          </cell>
          <cell r="CH213">
            <v>117839.6</v>
          </cell>
          <cell r="CI213">
            <v>111068.6</v>
          </cell>
          <cell r="CJ213">
            <v>114483.90000000001</v>
          </cell>
          <cell r="CK213">
            <v>117430.8</v>
          </cell>
          <cell r="CL213">
            <v>112251.40000000001</v>
          </cell>
          <cell r="CM213">
            <v>116871</v>
          </cell>
          <cell r="CN213">
            <v>128266.40000000001</v>
          </cell>
          <cell r="CO213">
            <v>123619.7</v>
          </cell>
          <cell r="CP213">
            <v>131310.5</v>
          </cell>
          <cell r="CQ213">
            <v>111908.40000000001</v>
          </cell>
          <cell r="CR213">
            <v>117431.8</v>
          </cell>
          <cell r="CS213">
            <v>122874.40000000001</v>
          </cell>
          <cell r="CT213">
            <v>127309</v>
          </cell>
          <cell r="CU213">
            <v>113416.8</v>
          </cell>
          <cell r="CV213">
            <v>118972.7</v>
          </cell>
          <cell r="CW213">
            <v>124078.3</v>
          </cell>
          <cell r="CX213">
            <v>115121.1</v>
          </cell>
          <cell r="CY213">
            <v>120983.8</v>
          </cell>
          <cell r="CZ213">
            <v>130771.70000000001</v>
          </cell>
          <cell r="DA213">
            <v>122851</v>
          </cell>
          <cell r="DB213">
            <v>133757.6</v>
          </cell>
          <cell r="DC213">
            <v>110923.8</v>
          </cell>
          <cell r="DD213">
            <v>117179.09999999999</v>
          </cell>
          <cell r="DE213">
            <v>123837.6</v>
          </cell>
          <cell r="DF213">
            <v>128232.90000000001</v>
          </cell>
          <cell r="DG213">
            <v>113172</v>
          </cell>
          <cell r="DH213">
            <v>120441.9</v>
          </cell>
          <cell r="DI213">
            <v>109018.7</v>
          </cell>
          <cell r="DJ213">
            <v>114951.7</v>
          </cell>
          <cell r="DK213">
            <v>121058.8</v>
          </cell>
          <cell r="DL213">
            <v>130628.49999999997</v>
          </cell>
          <cell r="DM213">
            <v>122444.69999999998</v>
          </cell>
          <cell r="DN213">
            <v>133245.09999999998</v>
          </cell>
          <cell r="DO213">
            <v>140249.19999999995</v>
          </cell>
          <cell r="DP213">
            <v>116529.29999999999</v>
          </cell>
          <cell r="DQ213">
            <v>123407.19999999998</v>
          </cell>
          <cell r="DR213">
            <v>127830.19999999997</v>
          </cell>
          <cell r="DS213">
            <v>112854.50000000001</v>
          </cell>
          <cell r="DT213">
            <v>119116.79999999999</v>
          </cell>
          <cell r="DU213">
            <v>122310.39169154299</v>
          </cell>
          <cell r="DV213">
            <v>113209.22813335656</v>
          </cell>
          <cell r="DW213">
            <v>125794.1504286448</v>
          </cell>
          <cell r="EJ213" t="str">
            <v>.</v>
          </cell>
        </row>
        <row r="214">
          <cell r="A214" t="str">
            <v>Other</v>
          </cell>
          <cell r="B214" t="str">
            <v>AOCI</v>
          </cell>
          <cell r="C214" t="str">
            <v>Other</v>
          </cell>
          <cell r="D214" t="str">
            <v>2190000</v>
          </cell>
          <cell r="E214" t="str">
            <v>A_2190000</v>
          </cell>
          <cell r="F214" t="str">
            <v>Comprehensive Income - Other Pretax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</row>
        <row r="215">
          <cell r="A215" t="str">
            <v>Other</v>
          </cell>
          <cell r="B215" t="str">
            <v>AOCI</v>
          </cell>
          <cell r="C215" t="str">
            <v>Other</v>
          </cell>
          <cell r="D215" t="str">
            <v>2190001</v>
          </cell>
          <cell r="E215" t="str">
            <v>A_2190001</v>
          </cell>
          <cell r="F215" t="str">
            <v>Comprehensive Income - Other Taxes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-0.9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-10.6</v>
          </cell>
          <cell r="W215">
            <v>0</v>
          </cell>
          <cell r="X215">
            <v>72.400000000000006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</row>
        <row r="216">
          <cell r="A216" t="str">
            <v>Other</v>
          </cell>
          <cell r="B216" t="str">
            <v>AOCI</v>
          </cell>
          <cell r="C216" t="str">
            <v>Other</v>
          </cell>
          <cell r="D216" t="str">
            <v>2190010</v>
          </cell>
          <cell r="E216" t="str">
            <v>A_2190010</v>
          </cell>
          <cell r="F216" t="str">
            <v>Comprehensive Income - Pension Pretax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</row>
        <row r="217">
          <cell r="A217" t="str">
            <v>Other</v>
          </cell>
          <cell r="B217" t="str">
            <v>AOCI</v>
          </cell>
          <cell r="C217" t="str">
            <v>Other</v>
          </cell>
          <cell r="D217" t="str">
            <v>2190011</v>
          </cell>
          <cell r="E217" t="str">
            <v>A_2190011</v>
          </cell>
          <cell r="F217" t="str">
            <v>Comprehensive Income - Pension Taxes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</row>
        <row r="218">
          <cell r="A218" t="str">
            <v>Other</v>
          </cell>
          <cell r="B218" t="str">
            <v>AOCI</v>
          </cell>
          <cell r="C218" t="str">
            <v>Other</v>
          </cell>
          <cell r="D218" t="str">
            <v>2190040</v>
          </cell>
          <cell r="E218" t="str">
            <v>A_2190040</v>
          </cell>
          <cell r="F218" t="str">
            <v>Comprehensive Income - Cash Flow Hedges Pretax</v>
          </cell>
          <cell r="G218">
            <v>-2978.1840899999997</v>
          </cell>
          <cell r="H218">
            <v>-2941.7</v>
          </cell>
          <cell r="I218">
            <v>-2905.2</v>
          </cell>
          <cell r="J218">
            <v>-2868.7</v>
          </cell>
          <cell r="K218">
            <v>-2829.9</v>
          </cell>
          <cell r="L218">
            <v>-2806.1</v>
          </cell>
          <cell r="M218">
            <v>-2769.6</v>
          </cell>
          <cell r="N218">
            <v>-2733.1</v>
          </cell>
          <cell r="O218">
            <v>-2696.6</v>
          </cell>
          <cell r="P218">
            <v>-2660.1</v>
          </cell>
          <cell r="Q218">
            <v>-2623.6</v>
          </cell>
          <cell r="R218">
            <v>-2587.1</v>
          </cell>
          <cell r="S218">
            <v>-2550.5</v>
          </cell>
          <cell r="T218">
            <v>-2514</v>
          </cell>
          <cell r="U218">
            <v>-2477.5</v>
          </cell>
          <cell r="V218">
            <v>-2413.5</v>
          </cell>
          <cell r="W218">
            <v>-2216.6999999999998</v>
          </cell>
          <cell r="X218">
            <v>-2020.9</v>
          </cell>
          <cell r="Y218">
            <v>-1985.4</v>
          </cell>
          <cell r="Z218">
            <v>-1949.9</v>
          </cell>
          <cell r="AA218">
            <v>-1914.3</v>
          </cell>
          <cell r="AB218">
            <v>-1878.8</v>
          </cell>
          <cell r="AC218">
            <v>-1843.2</v>
          </cell>
          <cell r="AD218">
            <v>-1807.7</v>
          </cell>
          <cell r="AE218">
            <v>-1772.1</v>
          </cell>
          <cell r="AF218">
            <v>-1736.6</v>
          </cell>
          <cell r="AG218">
            <v>-1701</v>
          </cell>
          <cell r="AH218">
            <v>-1665.5</v>
          </cell>
          <cell r="AI218">
            <v>-1629.9</v>
          </cell>
          <cell r="AJ218">
            <v>-1594.4</v>
          </cell>
          <cell r="AK218">
            <v>-1558.8</v>
          </cell>
          <cell r="AL218">
            <v>-1523.3</v>
          </cell>
          <cell r="AM218">
            <v>-1487.7</v>
          </cell>
          <cell r="AN218">
            <v>-1452.2</v>
          </cell>
          <cell r="AO218">
            <v>-1416.7</v>
          </cell>
          <cell r="AP218">
            <v>-1381.1</v>
          </cell>
          <cell r="AQ218">
            <v>-1345.6</v>
          </cell>
          <cell r="AR218">
            <v>-1310</v>
          </cell>
          <cell r="AS218">
            <v>-1274.5</v>
          </cell>
          <cell r="AT218">
            <v>-1238.9000000000001</v>
          </cell>
          <cell r="AU218">
            <v>-1203.4000000000001</v>
          </cell>
          <cell r="AV218">
            <v>-1167.8</v>
          </cell>
          <cell r="AW218">
            <v>-1132.3</v>
          </cell>
          <cell r="AX218">
            <v>-1096.7</v>
          </cell>
          <cell r="AY218">
            <v>-1061.2</v>
          </cell>
          <cell r="AZ218">
            <v>-1025.5999999999999</v>
          </cell>
          <cell r="BA218">
            <v>-990.1</v>
          </cell>
          <cell r="BB218">
            <v>-954.5</v>
          </cell>
          <cell r="BC218">
            <v>-919</v>
          </cell>
          <cell r="BD218">
            <v>-883.5</v>
          </cell>
          <cell r="BE218">
            <v>-847.9</v>
          </cell>
          <cell r="BF218">
            <v>-812.4</v>
          </cell>
          <cell r="BG218">
            <v>-776.8</v>
          </cell>
          <cell r="BH218">
            <v>-757.7</v>
          </cell>
          <cell r="BI218">
            <v>-754.9</v>
          </cell>
          <cell r="BJ218">
            <v>-752.2</v>
          </cell>
          <cell r="BK218">
            <v>-749.4</v>
          </cell>
          <cell r="BL218">
            <v>-746.7</v>
          </cell>
          <cell r="BM218">
            <v>-743.9</v>
          </cell>
          <cell r="BN218">
            <v>-741.2</v>
          </cell>
          <cell r="BO218">
            <v>-738.4</v>
          </cell>
          <cell r="BP218">
            <v>-735.7</v>
          </cell>
          <cell r="BQ218">
            <v>-732.9</v>
          </cell>
          <cell r="BR218">
            <v>-730.2</v>
          </cell>
          <cell r="BS218">
            <v>-727.4</v>
          </cell>
          <cell r="BT218">
            <v>-724.7</v>
          </cell>
          <cell r="BU218">
            <v>-721.9</v>
          </cell>
          <cell r="BV218">
            <v>-719.2</v>
          </cell>
          <cell r="BW218">
            <v>-716.4</v>
          </cell>
          <cell r="BX218">
            <v>-713.7</v>
          </cell>
          <cell r="BY218">
            <v>-710.9</v>
          </cell>
          <cell r="BZ218">
            <v>-708.2</v>
          </cell>
          <cell r="CA218">
            <v>-705.4</v>
          </cell>
          <cell r="CB218">
            <v>-702.7</v>
          </cell>
          <cell r="CC218">
            <v>-699.9</v>
          </cell>
          <cell r="CD218">
            <v>-697.2</v>
          </cell>
          <cell r="CE218">
            <v>-694.4</v>
          </cell>
          <cell r="CF218">
            <v>-691.7</v>
          </cell>
          <cell r="CG218">
            <v>-688.9</v>
          </cell>
          <cell r="CH218">
            <v>-686.2</v>
          </cell>
          <cell r="CI218">
            <v>-683.4</v>
          </cell>
          <cell r="CJ218">
            <v>-680.7</v>
          </cell>
          <cell r="CK218">
            <v>-677.9</v>
          </cell>
          <cell r="CL218">
            <v>-675.2</v>
          </cell>
          <cell r="CM218">
            <v>-672.4</v>
          </cell>
          <cell r="CN218">
            <v>-669.7</v>
          </cell>
          <cell r="CO218">
            <v>-666.9</v>
          </cell>
          <cell r="CP218">
            <v>-664.2</v>
          </cell>
          <cell r="CQ218">
            <v>-661.4</v>
          </cell>
          <cell r="CR218">
            <v>-658.7</v>
          </cell>
          <cell r="CS218">
            <v>-655.9</v>
          </cell>
          <cell r="CT218">
            <v>-653.20000000000005</v>
          </cell>
          <cell r="CU218">
            <v>-650.4</v>
          </cell>
          <cell r="CV218">
            <v>-647.70000000000005</v>
          </cell>
          <cell r="CW218">
            <v>-644.9</v>
          </cell>
          <cell r="CX218">
            <v>-642.20000000000005</v>
          </cell>
          <cell r="CY218">
            <v>-639.4</v>
          </cell>
          <cell r="CZ218">
            <v>-636.70000000000005</v>
          </cell>
          <cell r="DA218">
            <v>-633.9</v>
          </cell>
          <cell r="DB218">
            <v>-631.20000000000005</v>
          </cell>
          <cell r="DC218">
            <v>-628.5</v>
          </cell>
          <cell r="DD218">
            <v>-625.70000000000005</v>
          </cell>
          <cell r="DE218">
            <v>-623</v>
          </cell>
          <cell r="DF218">
            <v>-620.20000000000005</v>
          </cell>
          <cell r="DG218">
            <v>-617.5</v>
          </cell>
          <cell r="DH218">
            <v>-614.70000000000005</v>
          </cell>
          <cell r="DI218">
            <v>-612</v>
          </cell>
          <cell r="DJ218">
            <v>-609.20000000000005</v>
          </cell>
          <cell r="DK218">
            <v>-606.5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</row>
        <row r="219">
          <cell r="A219" t="str">
            <v>Other</v>
          </cell>
          <cell r="B219" t="str">
            <v>AOCI</v>
          </cell>
          <cell r="C219" t="str">
            <v>Other</v>
          </cell>
          <cell r="D219" t="str">
            <v>2190041</v>
          </cell>
          <cell r="E219" t="str">
            <v>A_2190041</v>
          </cell>
          <cell r="F219" t="str">
            <v>Comprehensive Income - Cash Flow Hedges Taxes</v>
          </cell>
          <cell r="G219">
            <v>1148.8345900000002</v>
          </cell>
          <cell r="H219">
            <v>1134.8</v>
          </cell>
          <cell r="I219">
            <v>1120.7</v>
          </cell>
          <cell r="J219">
            <v>1106.5999999999999</v>
          </cell>
          <cell r="K219">
            <v>1091.5999999999999</v>
          </cell>
          <cell r="L219">
            <v>1082.5</v>
          </cell>
          <cell r="M219">
            <v>1068.4000000000001</v>
          </cell>
          <cell r="N219">
            <v>1054.3</v>
          </cell>
          <cell r="O219">
            <v>1040.2</v>
          </cell>
          <cell r="P219">
            <v>1026.0999999999999</v>
          </cell>
          <cell r="Q219">
            <v>1012</v>
          </cell>
          <cell r="R219">
            <v>998</v>
          </cell>
          <cell r="S219">
            <v>983.9</v>
          </cell>
          <cell r="T219">
            <v>969.8</v>
          </cell>
          <cell r="U219">
            <v>955.7</v>
          </cell>
          <cell r="V219">
            <v>931</v>
          </cell>
          <cell r="W219">
            <v>855.1</v>
          </cell>
          <cell r="X219">
            <v>779.6</v>
          </cell>
          <cell r="Y219">
            <v>765.9</v>
          </cell>
          <cell r="Z219">
            <v>752.2</v>
          </cell>
          <cell r="AA219">
            <v>738.4</v>
          </cell>
          <cell r="AB219">
            <v>724.7</v>
          </cell>
          <cell r="AC219">
            <v>711</v>
          </cell>
          <cell r="AD219">
            <v>697.3</v>
          </cell>
          <cell r="AE219">
            <v>683.6</v>
          </cell>
          <cell r="AF219">
            <v>669.9</v>
          </cell>
          <cell r="AG219">
            <v>656.2</v>
          </cell>
          <cell r="AH219">
            <v>642.5</v>
          </cell>
          <cell r="AI219">
            <v>628.70000000000005</v>
          </cell>
          <cell r="AJ219">
            <v>615</v>
          </cell>
          <cell r="AK219">
            <v>601.29999999999995</v>
          </cell>
          <cell r="AL219">
            <v>587.6</v>
          </cell>
          <cell r="AM219">
            <v>573.9</v>
          </cell>
          <cell r="AN219">
            <v>560.20000000000005</v>
          </cell>
          <cell r="AO219">
            <v>546.5</v>
          </cell>
          <cell r="AP219">
            <v>532.79999999999995</v>
          </cell>
          <cell r="AQ219">
            <v>519</v>
          </cell>
          <cell r="AR219">
            <v>505.3</v>
          </cell>
          <cell r="AS219">
            <v>491.6</v>
          </cell>
          <cell r="AT219">
            <v>477.9</v>
          </cell>
          <cell r="AU219">
            <v>464.2</v>
          </cell>
          <cell r="AV219">
            <v>450.5</v>
          </cell>
          <cell r="AW219">
            <v>436.8</v>
          </cell>
          <cell r="AX219">
            <v>423.1</v>
          </cell>
          <cell r="AY219">
            <v>409.4</v>
          </cell>
          <cell r="AZ219">
            <v>395.6</v>
          </cell>
          <cell r="BA219">
            <v>381.9</v>
          </cell>
          <cell r="BB219">
            <v>368.2</v>
          </cell>
          <cell r="BC219">
            <v>410.9</v>
          </cell>
          <cell r="BD219">
            <v>401.9</v>
          </cell>
          <cell r="BE219">
            <v>392.9</v>
          </cell>
          <cell r="BF219">
            <v>383.9</v>
          </cell>
          <cell r="BG219">
            <v>374.9</v>
          </cell>
          <cell r="BH219">
            <v>370</v>
          </cell>
          <cell r="BI219">
            <v>369.4</v>
          </cell>
          <cell r="BJ219">
            <v>368.7</v>
          </cell>
          <cell r="BK219">
            <v>368</v>
          </cell>
          <cell r="BL219">
            <v>367.3</v>
          </cell>
          <cell r="BM219">
            <v>366.6</v>
          </cell>
          <cell r="BN219">
            <v>365.9</v>
          </cell>
          <cell r="BO219">
            <v>365.2</v>
          </cell>
          <cell r="BP219">
            <v>364.5</v>
          </cell>
          <cell r="BQ219">
            <v>363.8</v>
          </cell>
          <cell r="BR219">
            <v>363.1</v>
          </cell>
          <cell r="BS219">
            <v>362.4</v>
          </cell>
          <cell r="BT219">
            <v>361.7</v>
          </cell>
          <cell r="BU219">
            <v>361</v>
          </cell>
          <cell r="BV219">
            <v>360.3</v>
          </cell>
          <cell r="BW219">
            <v>359.6</v>
          </cell>
          <cell r="BX219">
            <v>358.9</v>
          </cell>
          <cell r="BY219">
            <v>358.2</v>
          </cell>
          <cell r="BZ219">
            <v>357.5</v>
          </cell>
          <cell r="CA219">
            <v>356.8</v>
          </cell>
          <cell r="CB219">
            <v>356.1</v>
          </cell>
          <cell r="CC219">
            <v>355.4</v>
          </cell>
          <cell r="CD219">
            <v>354.7</v>
          </cell>
          <cell r="CE219">
            <v>354</v>
          </cell>
          <cell r="CF219">
            <v>353.3</v>
          </cell>
          <cell r="CG219">
            <v>352.6</v>
          </cell>
          <cell r="CH219">
            <v>351.9</v>
          </cell>
          <cell r="CI219">
            <v>351.2</v>
          </cell>
          <cell r="CJ219">
            <v>350.5</v>
          </cell>
          <cell r="CK219">
            <v>349.8</v>
          </cell>
          <cell r="CL219">
            <v>349.1</v>
          </cell>
          <cell r="CM219">
            <v>348.4</v>
          </cell>
          <cell r="CN219">
            <v>347.8</v>
          </cell>
          <cell r="CO219">
            <v>347.1</v>
          </cell>
          <cell r="CP219">
            <v>346.4</v>
          </cell>
          <cell r="CQ219">
            <v>345.7</v>
          </cell>
          <cell r="CR219">
            <v>345</v>
          </cell>
          <cell r="CS219">
            <v>344.3</v>
          </cell>
          <cell r="CT219">
            <v>343.6</v>
          </cell>
          <cell r="CU219">
            <v>342.9</v>
          </cell>
          <cell r="CV219">
            <v>342.2</v>
          </cell>
          <cell r="CW219">
            <v>341.5</v>
          </cell>
          <cell r="CX219">
            <v>340.8</v>
          </cell>
          <cell r="CY219">
            <v>340.1</v>
          </cell>
          <cell r="CZ219">
            <v>339.4</v>
          </cell>
          <cell r="DA219">
            <v>338.7</v>
          </cell>
          <cell r="DB219">
            <v>338</v>
          </cell>
          <cell r="DC219">
            <v>337.3</v>
          </cell>
          <cell r="DD219">
            <v>336.6</v>
          </cell>
          <cell r="DE219">
            <v>335.9</v>
          </cell>
          <cell r="DF219">
            <v>335.2</v>
          </cell>
          <cell r="DG219">
            <v>334.5</v>
          </cell>
          <cell r="DH219">
            <v>333.8</v>
          </cell>
          <cell r="DI219">
            <v>333.1</v>
          </cell>
          <cell r="DJ219">
            <v>332.4</v>
          </cell>
          <cell r="DK219">
            <v>331.7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</row>
        <row r="220">
          <cell r="D220" t="str">
            <v>219</v>
          </cell>
          <cell r="E220">
            <v>219</v>
          </cell>
          <cell r="G220">
            <v>-1829.3494999999996</v>
          </cell>
          <cell r="H220">
            <v>-1806.8999999999999</v>
          </cell>
          <cell r="I220">
            <v>-1784.4999999999998</v>
          </cell>
          <cell r="J220">
            <v>-1762.1</v>
          </cell>
          <cell r="K220">
            <v>-1739.2000000000003</v>
          </cell>
          <cell r="L220">
            <v>-1723.6</v>
          </cell>
          <cell r="M220">
            <v>-1701.1999999999998</v>
          </cell>
          <cell r="N220">
            <v>-1678.8</v>
          </cell>
          <cell r="O220">
            <v>-1656.3999999999999</v>
          </cell>
          <cell r="P220">
            <v>-1634</v>
          </cell>
          <cell r="Q220">
            <v>-1611.6</v>
          </cell>
          <cell r="R220">
            <v>-1589.1</v>
          </cell>
          <cell r="S220">
            <v>-1566.6</v>
          </cell>
          <cell r="T220">
            <v>-1544.2</v>
          </cell>
          <cell r="U220">
            <v>-1521.8</v>
          </cell>
          <cell r="V220">
            <v>-1493.1</v>
          </cell>
          <cell r="W220">
            <v>-1361.6</v>
          </cell>
          <cell r="X220">
            <v>-1168.9000000000001</v>
          </cell>
          <cell r="Y220">
            <v>-1219.5</v>
          </cell>
          <cell r="Z220">
            <v>-1197.7</v>
          </cell>
          <cell r="AA220">
            <v>-1175.9000000000001</v>
          </cell>
          <cell r="AB220">
            <v>-1154.0999999999999</v>
          </cell>
          <cell r="AC220">
            <v>-1132.2</v>
          </cell>
          <cell r="AD220">
            <v>-1110.4000000000001</v>
          </cell>
          <cell r="AE220">
            <v>-1088.5</v>
          </cell>
          <cell r="AF220">
            <v>-1066.6999999999998</v>
          </cell>
          <cell r="AG220">
            <v>-1044.8</v>
          </cell>
          <cell r="AH220">
            <v>-1023</v>
          </cell>
          <cell r="AI220">
            <v>-1001.2</v>
          </cell>
          <cell r="AJ220">
            <v>-979.40000000000009</v>
          </cell>
          <cell r="AK220">
            <v>-957.5</v>
          </cell>
          <cell r="AL220">
            <v>-935.69999999999993</v>
          </cell>
          <cell r="AM220">
            <v>-913.80000000000007</v>
          </cell>
          <cell r="AN220">
            <v>-892</v>
          </cell>
          <cell r="AO220">
            <v>-870.2</v>
          </cell>
          <cell r="AP220">
            <v>-848.3</v>
          </cell>
          <cell r="AQ220">
            <v>-826.59999999999991</v>
          </cell>
          <cell r="AR220">
            <v>-804.7</v>
          </cell>
          <cell r="AS220">
            <v>-782.9</v>
          </cell>
          <cell r="AT220">
            <v>-761.00000000000011</v>
          </cell>
          <cell r="AU220">
            <v>-739.2</v>
          </cell>
          <cell r="AV220">
            <v>-717.3</v>
          </cell>
          <cell r="AW220">
            <v>-695.5</v>
          </cell>
          <cell r="AX220">
            <v>-673.6</v>
          </cell>
          <cell r="AY220">
            <v>-651.80000000000007</v>
          </cell>
          <cell r="AZ220">
            <v>-629.99999999999989</v>
          </cell>
          <cell r="BA220">
            <v>-608.20000000000005</v>
          </cell>
          <cell r="BB220">
            <v>-586.29999999999995</v>
          </cell>
          <cell r="BC220">
            <v>-508.1</v>
          </cell>
          <cell r="BD220">
            <v>-481.6</v>
          </cell>
          <cell r="BE220">
            <v>-455</v>
          </cell>
          <cell r="BF220">
            <v>-428.5</v>
          </cell>
          <cell r="BG220">
            <v>-401.9</v>
          </cell>
          <cell r="BH220">
            <v>-387.70000000000005</v>
          </cell>
          <cell r="BI220">
            <v>-385.5</v>
          </cell>
          <cell r="BJ220">
            <v>-383.50000000000006</v>
          </cell>
          <cell r="BK220">
            <v>-381.4</v>
          </cell>
          <cell r="BL220">
            <v>-379.40000000000003</v>
          </cell>
          <cell r="BM220">
            <v>-377.29999999999995</v>
          </cell>
          <cell r="BN220">
            <v>-375.30000000000007</v>
          </cell>
          <cell r="BO220">
            <v>-373.2</v>
          </cell>
          <cell r="BP220">
            <v>-371.20000000000005</v>
          </cell>
          <cell r="BQ220">
            <v>-369.09999999999997</v>
          </cell>
          <cell r="BR220">
            <v>-367.1</v>
          </cell>
          <cell r="BS220">
            <v>-365</v>
          </cell>
          <cell r="BT220">
            <v>-363.00000000000006</v>
          </cell>
          <cell r="BU220">
            <v>-360.9</v>
          </cell>
          <cell r="BV220">
            <v>-358.90000000000003</v>
          </cell>
          <cell r="BW220">
            <v>-356.79999999999995</v>
          </cell>
          <cell r="BX220">
            <v>-354.80000000000007</v>
          </cell>
          <cell r="BY220">
            <v>-352.7</v>
          </cell>
          <cell r="BZ220">
            <v>-350.70000000000005</v>
          </cell>
          <cell r="CA220">
            <v>-348.59999999999997</v>
          </cell>
          <cell r="CB220">
            <v>-346.6</v>
          </cell>
          <cell r="CC220">
            <v>-344.5</v>
          </cell>
          <cell r="CD220">
            <v>-342.50000000000006</v>
          </cell>
          <cell r="CE220">
            <v>-340.4</v>
          </cell>
          <cell r="CF220">
            <v>-338.40000000000003</v>
          </cell>
          <cell r="CG220">
            <v>-336.29999999999995</v>
          </cell>
          <cell r="CH220">
            <v>-334.30000000000007</v>
          </cell>
          <cell r="CI220">
            <v>-332.2</v>
          </cell>
          <cell r="CJ220">
            <v>-330.20000000000005</v>
          </cell>
          <cell r="CK220">
            <v>-328.09999999999997</v>
          </cell>
          <cell r="CL220">
            <v>-326.10000000000002</v>
          </cell>
          <cell r="CM220">
            <v>-324</v>
          </cell>
          <cell r="CN220">
            <v>-321.90000000000003</v>
          </cell>
          <cell r="CO220">
            <v>-319.79999999999995</v>
          </cell>
          <cell r="CP220">
            <v>-317.80000000000007</v>
          </cell>
          <cell r="CQ220">
            <v>-315.7</v>
          </cell>
          <cell r="CR220">
            <v>-313.70000000000005</v>
          </cell>
          <cell r="CS220">
            <v>-311.59999999999997</v>
          </cell>
          <cell r="CT220">
            <v>-309.60000000000002</v>
          </cell>
          <cell r="CU220">
            <v>-307.5</v>
          </cell>
          <cell r="CV220">
            <v>-305.50000000000006</v>
          </cell>
          <cell r="CW220">
            <v>-303.39999999999998</v>
          </cell>
          <cell r="CX220">
            <v>-301.40000000000003</v>
          </cell>
          <cell r="CY220">
            <v>-299.29999999999995</v>
          </cell>
          <cell r="CZ220">
            <v>-297.30000000000007</v>
          </cell>
          <cell r="DA220">
            <v>-295.2</v>
          </cell>
          <cell r="DB220">
            <v>-293.20000000000005</v>
          </cell>
          <cell r="DC220">
            <v>-291.2</v>
          </cell>
          <cell r="DD220">
            <v>-289.10000000000002</v>
          </cell>
          <cell r="DE220">
            <v>-287.10000000000002</v>
          </cell>
          <cell r="DF220">
            <v>-285.00000000000006</v>
          </cell>
          <cell r="DG220">
            <v>-283</v>
          </cell>
          <cell r="DH220">
            <v>-280.90000000000003</v>
          </cell>
          <cell r="DI220">
            <v>-278.89999999999998</v>
          </cell>
          <cell r="DJ220">
            <v>-276.80000000000007</v>
          </cell>
          <cell r="DK220">
            <v>-274.8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</row>
        <row r="221">
          <cell r="A221" t="str">
            <v>FM Bonds &amp; Long Term Notes</v>
          </cell>
          <cell r="B221" t="str">
            <v xml:space="preserve">    Incr/(Decr) in Long-Term Debt (rounded)</v>
          </cell>
          <cell r="C221" t="str">
            <v>FM Bonds &amp; Long Term Notes</v>
          </cell>
          <cell r="D221" t="str">
            <v>2240100</v>
          </cell>
          <cell r="E221" t="str">
            <v>A_2240100</v>
          </cell>
          <cell r="F221" t="str">
            <v>Other Long‐Term Debt ‐ Recourse ‐ Current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50000</v>
          </cell>
          <cell r="AW221">
            <v>50000</v>
          </cell>
          <cell r="AX221">
            <v>50000</v>
          </cell>
          <cell r="AY221">
            <v>50000</v>
          </cell>
          <cell r="AZ221">
            <v>50000</v>
          </cell>
          <cell r="BA221">
            <v>50000</v>
          </cell>
          <cell r="BB221">
            <v>50000</v>
          </cell>
          <cell r="BC221">
            <v>50000</v>
          </cell>
          <cell r="BD221">
            <v>50000</v>
          </cell>
          <cell r="BE221">
            <v>50000</v>
          </cell>
          <cell r="BF221">
            <v>50000</v>
          </cell>
          <cell r="BG221">
            <v>50000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46764.7</v>
          </cell>
          <cell r="CG221">
            <v>46764.7</v>
          </cell>
          <cell r="CH221">
            <v>46764.7</v>
          </cell>
          <cell r="CI221">
            <v>46764.7</v>
          </cell>
          <cell r="CJ221">
            <v>46764.7</v>
          </cell>
          <cell r="CK221">
            <v>46764.7</v>
          </cell>
          <cell r="CL221">
            <v>46764.7</v>
          </cell>
          <cell r="CM221">
            <v>46764.7</v>
          </cell>
          <cell r="CN221">
            <v>46764.7</v>
          </cell>
          <cell r="CO221">
            <v>46764.7</v>
          </cell>
          <cell r="CP221">
            <v>46764.7</v>
          </cell>
          <cell r="CQ221">
            <v>46764.7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25000</v>
          </cell>
          <cell r="CW221">
            <v>25000</v>
          </cell>
          <cell r="CX221">
            <v>25000</v>
          </cell>
          <cell r="CY221">
            <v>25000</v>
          </cell>
          <cell r="CZ221">
            <v>25000</v>
          </cell>
          <cell r="DA221">
            <v>25000</v>
          </cell>
          <cell r="DB221">
            <v>25000</v>
          </cell>
          <cell r="DC221">
            <v>25000</v>
          </cell>
          <cell r="DD221">
            <v>25000</v>
          </cell>
          <cell r="DE221">
            <v>25000</v>
          </cell>
          <cell r="DF221">
            <v>25000</v>
          </cell>
          <cell r="DG221">
            <v>25000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</row>
        <row r="222">
          <cell r="A222" t="str">
            <v>FM Bonds &amp; Long Term Notes</v>
          </cell>
          <cell r="B222" t="str">
            <v xml:space="preserve">    Incr/(Decr) in Long-Term Debt (rounded)</v>
          </cell>
          <cell r="C222" t="str">
            <v>FM Bonds &amp; Long Term Notes</v>
          </cell>
          <cell r="D222" t="str">
            <v>2240250</v>
          </cell>
          <cell r="E222" t="str">
            <v>A_2240250</v>
          </cell>
          <cell r="F222" t="str">
            <v>Other Long?Term Debt ? Non Recourse ? Non?Current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</row>
        <row r="223">
          <cell r="A223" t="str">
            <v>FM Bonds &amp; Long Term Notes</v>
          </cell>
          <cell r="B223" t="str">
            <v xml:space="preserve">    Incr/(Decr) in Long-Term Debt (rounded)</v>
          </cell>
          <cell r="C223" t="str">
            <v>FM Bonds &amp; Long Term Notes</v>
          </cell>
          <cell r="D223" t="str">
            <v>2240200</v>
          </cell>
          <cell r="E223" t="str">
            <v>A_2240200</v>
          </cell>
          <cell r="F223" t="str">
            <v>Other Long‐Term Debt ‐ Recourse ‐ Non‐Current</v>
          </cell>
          <cell r="G223">
            <v>231764.68</v>
          </cell>
          <cell r="H223">
            <v>231764.7</v>
          </cell>
          <cell r="I223">
            <v>231764.7</v>
          </cell>
          <cell r="J223">
            <v>231764.7</v>
          </cell>
          <cell r="K223">
            <v>231764.7</v>
          </cell>
          <cell r="L223">
            <v>241764.7</v>
          </cell>
          <cell r="M223">
            <v>241764.7</v>
          </cell>
          <cell r="N223">
            <v>241764.7</v>
          </cell>
          <cell r="O223">
            <v>241764.7</v>
          </cell>
          <cell r="P223">
            <v>241764.7</v>
          </cell>
          <cell r="Q223">
            <v>241764.7</v>
          </cell>
          <cell r="R223">
            <v>241764.7</v>
          </cell>
          <cell r="S223">
            <v>241764.7</v>
          </cell>
          <cell r="T223">
            <v>241764.7</v>
          </cell>
          <cell r="U223">
            <v>241764.7</v>
          </cell>
          <cell r="V223">
            <v>241764.7</v>
          </cell>
          <cell r="W223">
            <v>241764.7</v>
          </cell>
          <cell r="X223">
            <v>261764.7</v>
          </cell>
          <cell r="Y223">
            <v>261764.7</v>
          </cell>
          <cell r="Z223">
            <v>261764.7</v>
          </cell>
          <cell r="AA223">
            <v>261764.7</v>
          </cell>
          <cell r="AB223">
            <v>261764.7</v>
          </cell>
          <cell r="AC223">
            <v>261764.7</v>
          </cell>
          <cell r="AD223">
            <v>261764.7</v>
          </cell>
          <cell r="AE223">
            <v>261764.7</v>
          </cell>
          <cell r="AF223">
            <v>261764.7</v>
          </cell>
          <cell r="AG223">
            <v>261764.7</v>
          </cell>
          <cell r="AH223">
            <v>261764.7</v>
          </cell>
          <cell r="AI223">
            <v>261764.7</v>
          </cell>
          <cell r="AJ223">
            <v>261764.7</v>
          </cell>
          <cell r="AK223">
            <v>261764.7</v>
          </cell>
          <cell r="AL223">
            <v>261764.7</v>
          </cell>
          <cell r="AM223">
            <v>261764.7</v>
          </cell>
          <cell r="AN223">
            <v>261764.7</v>
          </cell>
          <cell r="AO223">
            <v>261764.7</v>
          </cell>
          <cell r="AP223">
            <v>261764.7</v>
          </cell>
          <cell r="AQ223">
            <v>261764.7</v>
          </cell>
          <cell r="AR223">
            <v>261764.7</v>
          </cell>
          <cell r="AS223">
            <v>261764.7</v>
          </cell>
          <cell r="AT223">
            <v>261764.7</v>
          </cell>
          <cell r="AU223">
            <v>261764.7</v>
          </cell>
          <cell r="AV223">
            <v>211764.7</v>
          </cell>
          <cell r="AW223">
            <v>211764.7</v>
          </cell>
          <cell r="AX223">
            <v>211764.7</v>
          </cell>
          <cell r="AY223">
            <v>211764.7</v>
          </cell>
          <cell r="AZ223">
            <v>211764.7</v>
          </cell>
          <cell r="BA223">
            <v>211764.7</v>
          </cell>
          <cell r="BB223">
            <v>211764.7</v>
          </cell>
          <cell r="BC223">
            <v>211764.7</v>
          </cell>
          <cell r="BD223">
            <v>211764.7</v>
          </cell>
          <cell r="BE223">
            <v>211764.7</v>
          </cell>
          <cell r="BF223">
            <v>211764.7</v>
          </cell>
          <cell r="BG223">
            <v>211764.7</v>
          </cell>
          <cell r="BH223">
            <v>211764.7</v>
          </cell>
          <cell r="BI223">
            <v>286764.7</v>
          </cell>
          <cell r="BJ223">
            <v>286764.7</v>
          </cell>
          <cell r="BK223">
            <v>286764.7</v>
          </cell>
          <cell r="BL223">
            <v>286764.7</v>
          </cell>
          <cell r="BM223">
            <v>311764.7</v>
          </cell>
          <cell r="BN223">
            <v>311764.7</v>
          </cell>
          <cell r="BO223">
            <v>311764.7</v>
          </cell>
          <cell r="BP223">
            <v>311764.7</v>
          </cell>
          <cell r="BQ223">
            <v>311764.7</v>
          </cell>
          <cell r="BR223">
            <v>311764.7</v>
          </cell>
          <cell r="BS223">
            <v>311764.7</v>
          </cell>
          <cell r="BT223">
            <v>311764.7</v>
          </cell>
          <cell r="BU223">
            <v>311764.7</v>
          </cell>
          <cell r="BV223">
            <v>336764.7</v>
          </cell>
          <cell r="BW223">
            <v>336764.7</v>
          </cell>
          <cell r="BX223">
            <v>336764.7</v>
          </cell>
          <cell r="BY223">
            <v>336764.7</v>
          </cell>
          <cell r="BZ223">
            <v>336764.7</v>
          </cell>
          <cell r="CA223">
            <v>336764.7</v>
          </cell>
          <cell r="CB223">
            <v>336764.7</v>
          </cell>
          <cell r="CC223">
            <v>336764.7</v>
          </cell>
          <cell r="CD223">
            <v>336764.7</v>
          </cell>
          <cell r="CE223">
            <v>336764.7</v>
          </cell>
          <cell r="CF223">
            <v>290000</v>
          </cell>
          <cell r="CG223">
            <v>290000</v>
          </cell>
          <cell r="CH223">
            <v>290000</v>
          </cell>
          <cell r="CI223">
            <v>290000</v>
          </cell>
          <cell r="CJ223">
            <v>290000</v>
          </cell>
          <cell r="CK223">
            <v>290000</v>
          </cell>
          <cell r="CL223">
            <v>290000</v>
          </cell>
          <cell r="CM223">
            <v>290000</v>
          </cell>
          <cell r="CN223">
            <v>290000</v>
          </cell>
          <cell r="CO223">
            <v>290000</v>
          </cell>
          <cell r="CP223">
            <v>520000</v>
          </cell>
          <cell r="CQ223">
            <v>520000</v>
          </cell>
          <cell r="CR223">
            <v>520000</v>
          </cell>
          <cell r="CS223">
            <v>520000</v>
          </cell>
          <cell r="CT223">
            <v>520000</v>
          </cell>
          <cell r="CU223">
            <v>520000</v>
          </cell>
          <cell r="CV223">
            <v>495000</v>
          </cell>
          <cell r="CW223">
            <v>495000</v>
          </cell>
          <cell r="CX223">
            <v>495000</v>
          </cell>
          <cell r="CY223">
            <v>495000</v>
          </cell>
          <cell r="CZ223">
            <v>495000</v>
          </cell>
          <cell r="DA223">
            <v>495000</v>
          </cell>
          <cell r="DB223">
            <v>495000</v>
          </cell>
          <cell r="DC223">
            <v>495000</v>
          </cell>
          <cell r="DD223">
            <v>495000</v>
          </cell>
          <cell r="DE223">
            <v>495000</v>
          </cell>
          <cell r="DF223">
            <v>570000</v>
          </cell>
          <cell r="DG223">
            <v>570000</v>
          </cell>
          <cell r="DH223">
            <v>570000</v>
          </cell>
          <cell r="DI223">
            <v>570000</v>
          </cell>
          <cell r="DJ223">
            <v>570000</v>
          </cell>
          <cell r="DK223">
            <v>570000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825000</v>
          </cell>
          <cell r="DV223">
            <v>825000</v>
          </cell>
          <cell r="DW223">
            <v>825000</v>
          </cell>
        </row>
        <row r="224">
          <cell r="D224" t="str">
            <v>224</v>
          </cell>
          <cell r="E224">
            <v>224</v>
          </cell>
          <cell r="G224">
            <v>231764.68</v>
          </cell>
          <cell r="H224">
            <v>231764.7</v>
          </cell>
          <cell r="I224">
            <v>231764.7</v>
          </cell>
          <cell r="J224">
            <v>231764.7</v>
          </cell>
          <cell r="K224">
            <v>231764.7</v>
          </cell>
          <cell r="L224">
            <v>241764.7</v>
          </cell>
          <cell r="M224">
            <v>241764.7</v>
          </cell>
          <cell r="N224">
            <v>241764.7</v>
          </cell>
          <cell r="O224">
            <v>241764.7</v>
          </cell>
          <cell r="P224">
            <v>241764.7</v>
          </cell>
          <cell r="Q224">
            <v>241764.7</v>
          </cell>
          <cell r="R224">
            <v>241764.7</v>
          </cell>
          <cell r="S224">
            <v>241764.7</v>
          </cell>
          <cell r="T224">
            <v>241764.7</v>
          </cell>
          <cell r="U224">
            <v>241764.7</v>
          </cell>
          <cell r="V224">
            <v>241764.7</v>
          </cell>
          <cell r="W224">
            <v>241764.7</v>
          </cell>
          <cell r="X224">
            <v>261764.7</v>
          </cell>
          <cell r="Y224">
            <v>261764.7</v>
          </cell>
          <cell r="Z224">
            <v>261764.7</v>
          </cell>
          <cell r="AA224">
            <v>261764.7</v>
          </cell>
          <cell r="AB224">
            <v>261764.7</v>
          </cell>
          <cell r="AC224">
            <v>261764.7</v>
          </cell>
          <cell r="AD224">
            <v>261764.7</v>
          </cell>
          <cell r="AE224">
            <v>261764.7</v>
          </cell>
          <cell r="AF224">
            <v>261764.7</v>
          </cell>
          <cell r="AG224">
            <v>261764.7</v>
          </cell>
          <cell r="AH224">
            <v>261764.7</v>
          </cell>
          <cell r="AI224">
            <v>261764.7</v>
          </cell>
          <cell r="AJ224">
            <v>261764.7</v>
          </cell>
          <cell r="AK224">
            <v>261764.7</v>
          </cell>
          <cell r="AL224">
            <v>261764.7</v>
          </cell>
          <cell r="AM224">
            <v>261764.7</v>
          </cell>
          <cell r="AN224">
            <v>261764.7</v>
          </cell>
          <cell r="AO224">
            <v>261764.7</v>
          </cell>
          <cell r="AP224">
            <v>261764.7</v>
          </cell>
          <cell r="AQ224">
            <v>261764.7</v>
          </cell>
          <cell r="AR224">
            <v>261764.7</v>
          </cell>
          <cell r="AS224">
            <v>261764.7</v>
          </cell>
          <cell r="AT224">
            <v>261764.7</v>
          </cell>
          <cell r="AU224">
            <v>261764.7</v>
          </cell>
          <cell r="AV224">
            <v>261764.7</v>
          </cell>
          <cell r="AW224">
            <v>261764.7</v>
          </cell>
          <cell r="AX224">
            <v>261764.7</v>
          </cell>
          <cell r="AY224">
            <v>261764.7</v>
          </cell>
          <cell r="AZ224">
            <v>261764.7</v>
          </cell>
          <cell r="BA224">
            <v>261764.7</v>
          </cell>
          <cell r="BB224">
            <v>261764.7</v>
          </cell>
          <cell r="BC224">
            <v>261764.7</v>
          </cell>
          <cell r="BD224">
            <v>261764.7</v>
          </cell>
          <cell r="BE224">
            <v>261764.7</v>
          </cell>
          <cell r="BF224">
            <v>261764.7</v>
          </cell>
          <cell r="BG224">
            <v>261764.7</v>
          </cell>
          <cell r="BH224">
            <v>211764.7</v>
          </cell>
          <cell r="BI224">
            <v>286764.7</v>
          </cell>
          <cell r="BJ224">
            <v>286764.7</v>
          </cell>
          <cell r="BK224">
            <v>286764.7</v>
          </cell>
          <cell r="BL224">
            <v>286764.7</v>
          </cell>
          <cell r="BM224">
            <v>311764.7</v>
          </cell>
          <cell r="BN224">
            <v>311764.7</v>
          </cell>
          <cell r="BO224">
            <v>311764.7</v>
          </cell>
          <cell r="BP224">
            <v>311764.7</v>
          </cell>
          <cell r="BQ224">
            <v>311764.7</v>
          </cell>
          <cell r="BR224">
            <v>311764.7</v>
          </cell>
          <cell r="BS224">
            <v>311764.7</v>
          </cell>
          <cell r="BT224">
            <v>311764.7</v>
          </cell>
          <cell r="BU224">
            <v>311764.7</v>
          </cell>
          <cell r="BV224">
            <v>336764.7</v>
          </cell>
          <cell r="BW224">
            <v>336764.7</v>
          </cell>
          <cell r="BX224">
            <v>336764.7</v>
          </cell>
          <cell r="BY224">
            <v>336764.7</v>
          </cell>
          <cell r="BZ224">
            <v>336764.7</v>
          </cell>
          <cell r="CA224">
            <v>336764.7</v>
          </cell>
          <cell r="CB224">
            <v>336764.7</v>
          </cell>
          <cell r="CC224">
            <v>336764.7</v>
          </cell>
          <cell r="CD224">
            <v>336764.7</v>
          </cell>
          <cell r="CE224">
            <v>336764.7</v>
          </cell>
          <cell r="CF224">
            <v>336764.7</v>
          </cell>
          <cell r="CG224">
            <v>336764.7</v>
          </cell>
          <cell r="CH224">
            <v>336764.7</v>
          </cell>
          <cell r="CI224">
            <v>336764.7</v>
          </cell>
          <cell r="CJ224">
            <v>336764.7</v>
          </cell>
          <cell r="CK224">
            <v>336764.7</v>
          </cell>
          <cell r="CL224">
            <v>336764.7</v>
          </cell>
          <cell r="CM224">
            <v>336764.7</v>
          </cell>
          <cell r="CN224">
            <v>336764.7</v>
          </cell>
          <cell r="CO224">
            <v>336764.7</v>
          </cell>
          <cell r="CP224">
            <v>566764.69999999995</v>
          </cell>
          <cell r="CQ224">
            <v>566764.69999999995</v>
          </cell>
          <cell r="CR224">
            <v>520000</v>
          </cell>
          <cell r="CS224">
            <v>520000</v>
          </cell>
          <cell r="CT224">
            <v>520000</v>
          </cell>
          <cell r="CU224">
            <v>520000</v>
          </cell>
          <cell r="CV224">
            <v>520000</v>
          </cell>
          <cell r="CW224">
            <v>520000</v>
          </cell>
          <cell r="CX224">
            <v>520000</v>
          </cell>
          <cell r="CY224">
            <v>520000</v>
          </cell>
          <cell r="CZ224">
            <v>520000</v>
          </cell>
          <cell r="DA224">
            <v>520000</v>
          </cell>
          <cell r="DB224">
            <v>520000</v>
          </cell>
          <cell r="DC224">
            <v>520000</v>
          </cell>
          <cell r="DD224">
            <v>520000</v>
          </cell>
          <cell r="DE224">
            <v>520000</v>
          </cell>
          <cell r="DF224">
            <v>595000</v>
          </cell>
          <cell r="DG224">
            <v>595000</v>
          </cell>
          <cell r="DH224">
            <v>570000</v>
          </cell>
          <cell r="DI224">
            <v>570000</v>
          </cell>
          <cell r="DJ224">
            <v>570000</v>
          </cell>
          <cell r="DK224">
            <v>570000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825000</v>
          </cell>
          <cell r="DV224">
            <v>825000</v>
          </cell>
          <cell r="DW224">
            <v>825000</v>
          </cell>
        </row>
        <row r="225">
          <cell r="A225" t="str">
            <v>Other Long Term Debt</v>
          </cell>
          <cell r="B225" t="str">
            <v>Other Liabilities</v>
          </cell>
          <cell r="C225" t="str">
            <v>Other Long Term Debt</v>
          </cell>
          <cell r="D225" t="str">
            <v>2260200</v>
          </cell>
          <cell r="E225" t="str">
            <v>A_2260200</v>
          </cell>
          <cell r="F225" t="str">
            <v>Unamortized Discount Long-term Debt - Recourse</v>
          </cell>
          <cell r="G225">
            <v>-422.76017999999999</v>
          </cell>
          <cell r="H225">
            <v>-421.2</v>
          </cell>
          <cell r="I225">
            <v>-419.6</v>
          </cell>
          <cell r="J225">
            <v>-418</v>
          </cell>
          <cell r="K225">
            <v>-416.4</v>
          </cell>
          <cell r="L225">
            <v>-421.5</v>
          </cell>
          <cell r="M225">
            <v>-419.9</v>
          </cell>
          <cell r="N225">
            <v>-418.3</v>
          </cell>
          <cell r="O225">
            <v>-416.7</v>
          </cell>
          <cell r="P225">
            <v>-415.1</v>
          </cell>
          <cell r="Q225">
            <v>-413.5</v>
          </cell>
          <cell r="R225">
            <v>-411.9</v>
          </cell>
          <cell r="S225">
            <v>-410.3</v>
          </cell>
          <cell r="T225">
            <v>-408.7</v>
          </cell>
          <cell r="U225">
            <v>-407.1</v>
          </cell>
          <cell r="V225">
            <v>-405.5</v>
          </cell>
          <cell r="W225">
            <v>-403.9</v>
          </cell>
          <cell r="X225">
            <v>-439.5</v>
          </cell>
          <cell r="Y225">
            <v>-437.8</v>
          </cell>
          <cell r="Z225">
            <v>-436.1</v>
          </cell>
          <cell r="AA225">
            <v>-434.4</v>
          </cell>
          <cell r="AB225">
            <v>-432.7</v>
          </cell>
          <cell r="AC225">
            <v>-431</v>
          </cell>
          <cell r="AD225">
            <v>-429.3</v>
          </cell>
          <cell r="AE225">
            <v>-427.6</v>
          </cell>
          <cell r="AF225">
            <v>-425.9</v>
          </cell>
          <cell r="AG225">
            <v>-424.2</v>
          </cell>
          <cell r="AH225">
            <v>-422.5</v>
          </cell>
          <cell r="AI225">
            <v>-420.8</v>
          </cell>
          <cell r="AJ225">
            <v>-419.1</v>
          </cell>
          <cell r="AK225">
            <v>-417.4</v>
          </cell>
          <cell r="AL225">
            <v>-415.7</v>
          </cell>
          <cell r="AM225">
            <v>-414</v>
          </cell>
          <cell r="AN225">
            <v>-412.3</v>
          </cell>
          <cell r="AO225">
            <v>-410.5</v>
          </cell>
          <cell r="AP225">
            <v>-408.8</v>
          </cell>
          <cell r="AQ225">
            <v>-407.1</v>
          </cell>
          <cell r="AR225">
            <v>-405.4</v>
          </cell>
          <cell r="AS225">
            <v>-403.7</v>
          </cell>
          <cell r="AT225">
            <v>-402</v>
          </cell>
          <cell r="AU225">
            <v>-400.3</v>
          </cell>
          <cell r="AV225">
            <v>-398.6</v>
          </cell>
          <cell r="AW225">
            <v>-396.9</v>
          </cell>
          <cell r="AX225">
            <v>-395.2</v>
          </cell>
          <cell r="AY225">
            <v>-393.5</v>
          </cell>
          <cell r="AZ225">
            <v>-391.8</v>
          </cell>
          <cell r="BA225">
            <v>-390.1</v>
          </cell>
          <cell r="BB225">
            <v>-388.4</v>
          </cell>
          <cell r="BC225">
            <v>-386.7</v>
          </cell>
          <cell r="BD225">
            <v>-385</v>
          </cell>
          <cell r="BE225">
            <v>-383.3</v>
          </cell>
          <cell r="BF225">
            <v>-381.6</v>
          </cell>
          <cell r="BG225">
            <v>-379.9</v>
          </cell>
          <cell r="BH225">
            <v>-378.2</v>
          </cell>
          <cell r="BI225">
            <v>-571.29999999999995</v>
          </cell>
          <cell r="BJ225">
            <v>-774.5</v>
          </cell>
          <cell r="BK225">
            <v>-771.7</v>
          </cell>
          <cell r="BL225">
            <v>-768.9</v>
          </cell>
          <cell r="BM225">
            <v>-893.5</v>
          </cell>
          <cell r="BN225">
            <v>-890.3</v>
          </cell>
          <cell r="BO225">
            <v>-887.1</v>
          </cell>
          <cell r="BP225">
            <v>-884</v>
          </cell>
          <cell r="BQ225">
            <v>-880.8</v>
          </cell>
          <cell r="BR225">
            <v>-877.6</v>
          </cell>
          <cell r="BS225">
            <v>-874.5</v>
          </cell>
          <cell r="BT225">
            <v>-871.3</v>
          </cell>
          <cell r="BU225">
            <v>-868.1</v>
          </cell>
          <cell r="BV225">
            <v>-1171.4000000000001</v>
          </cell>
          <cell r="BW225">
            <v>-1167.5</v>
          </cell>
          <cell r="BX225">
            <v>-1163.5</v>
          </cell>
          <cell r="BY225">
            <v>-1159.5</v>
          </cell>
          <cell r="BZ225">
            <v>-1155.5</v>
          </cell>
          <cell r="CA225">
            <v>-1151.5</v>
          </cell>
          <cell r="CB225">
            <v>-1147.5</v>
          </cell>
          <cell r="CC225">
            <v>-1143.5</v>
          </cell>
          <cell r="CD225">
            <v>-1139.5</v>
          </cell>
          <cell r="CE225">
            <v>-1135.5</v>
          </cell>
          <cell r="CF225">
            <v>-1131.5</v>
          </cell>
          <cell r="CG225">
            <v>-1127.5</v>
          </cell>
          <cell r="CH225">
            <v>-1123.5</v>
          </cell>
          <cell r="CI225">
            <v>-1119.5</v>
          </cell>
          <cell r="CJ225">
            <v>-1115.5</v>
          </cell>
          <cell r="CK225">
            <v>-1111.5</v>
          </cell>
          <cell r="CL225">
            <v>-1107.5</v>
          </cell>
          <cell r="CM225">
            <v>-1103.5</v>
          </cell>
          <cell r="CN225">
            <v>-1099.5999999999999</v>
          </cell>
          <cell r="CO225">
            <v>-1095.5999999999999</v>
          </cell>
          <cell r="CP225">
            <v>-1719.1</v>
          </cell>
          <cell r="CQ225">
            <v>-1711.4</v>
          </cell>
          <cell r="CR225">
            <v>-1703.6</v>
          </cell>
          <cell r="CS225">
            <v>-1695.8</v>
          </cell>
          <cell r="CT225">
            <v>-1687.9</v>
          </cell>
          <cell r="CU225">
            <v>-1680.1</v>
          </cell>
          <cell r="CV225">
            <v>-1672.3</v>
          </cell>
          <cell r="CW225">
            <v>-1664.4</v>
          </cell>
          <cell r="CX225">
            <v>-1656.6</v>
          </cell>
          <cell r="CY225">
            <v>-1648.8</v>
          </cell>
          <cell r="CZ225">
            <v>-1640.9</v>
          </cell>
          <cell r="DA225">
            <v>-1633.1</v>
          </cell>
          <cell r="DB225">
            <v>-1625.3</v>
          </cell>
          <cell r="DC225">
            <v>-1617.5</v>
          </cell>
          <cell r="DD225">
            <v>-1609.6</v>
          </cell>
          <cell r="DE225">
            <v>-1601.8</v>
          </cell>
          <cell r="DF225">
            <v>-1654</v>
          </cell>
          <cell r="DG225">
            <v>-1645.5</v>
          </cell>
          <cell r="DH225">
            <v>-1636.9</v>
          </cell>
          <cell r="DI225">
            <v>-1628.6</v>
          </cell>
          <cell r="DJ225">
            <v>-1620.3</v>
          </cell>
          <cell r="DK225">
            <v>-1612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</row>
        <row r="226">
          <cell r="D226" t="str">
            <v>226</v>
          </cell>
          <cell r="E226">
            <v>226</v>
          </cell>
          <cell r="G226">
            <v>-422.76017999999999</v>
          </cell>
          <cell r="H226">
            <v>-421.2</v>
          </cell>
          <cell r="I226">
            <v>-419.6</v>
          </cell>
          <cell r="J226">
            <v>-418</v>
          </cell>
          <cell r="K226">
            <v>-416.4</v>
          </cell>
          <cell r="L226">
            <v>-421.5</v>
          </cell>
          <cell r="M226">
            <v>-419.9</v>
          </cell>
          <cell r="N226">
            <v>-418.3</v>
          </cell>
          <cell r="O226">
            <v>-416.7</v>
          </cell>
          <cell r="P226">
            <v>-415.1</v>
          </cell>
          <cell r="Q226">
            <v>-413.5</v>
          </cell>
          <cell r="R226">
            <v>-411.9</v>
          </cell>
          <cell r="S226">
            <v>-410.3</v>
          </cell>
          <cell r="T226">
            <v>-408.7</v>
          </cell>
          <cell r="U226">
            <v>-407.1</v>
          </cell>
          <cell r="V226">
            <v>-405.5</v>
          </cell>
          <cell r="W226">
            <v>-403.9</v>
          </cell>
          <cell r="X226">
            <v>-439.5</v>
          </cell>
          <cell r="Y226">
            <v>-437.8</v>
          </cell>
          <cell r="Z226">
            <v>-436.1</v>
          </cell>
          <cell r="AA226">
            <v>-434.4</v>
          </cell>
          <cell r="AB226">
            <v>-432.7</v>
          </cell>
          <cell r="AC226">
            <v>-431</v>
          </cell>
          <cell r="AD226">
            <v>-429.3</v>
          </cell>
          <cell r="AE226">
            <v>-427.6</v>
          </cell>
          <cell r="AF226">
            <v>-425.9</v>
          </cell>
          <cell r="AG226">
            <v>-424.2</v>
          </cell>
          <cell r="AH226">
            <v>-422.5</v>
          </cell>
          <cell r="AI226">
            <v>-420.8</v>
          </cell>
          <cell r="AJ226">
            <v>-419.1</v>
          </cell>
          <cell r="AK226">
            <v>-417.4</v>
          </cell>
          <cell r="AL226">
            <v>-415.7</v>
          </cell>
          <cell r="AM226">
            <v>-414</v>
          </cell>
          <cell r="AN226">
            <v>-412.3</v>
          </cell>
          <cell r="AO226">
            <v>-410.5</v>
          </cell>
          <cell r="AP226">
            <v>-408.8</v>
          </cell>
          <cell r="AQ226">
            <v>-407.1</v>
          </cell>
          <cell r="AR226">
            <v>-405.4</v>
          </cell>
          <cell r="AS226">
            <v>-403.7</v>
          </cell>
          <cell r="AT226">
            <v>-402</v>
          </cell>
          <cell r="AU226">
            <v>-400.3</v>
          </cell>
          <cell r="AV226">
            <v>-398.6</v>
          </cell>
          <cell r="AW226">
            <v>-396.9</v>
          </cell>
          <cell r="AX226">
            <v>-395.2</v>
          </cell>
          <cell r="AY226">
            <v>-393.5</v>
          </cell>
          <cell r="AZ226">
            <v>-391.8</v>
          </cell>
          <cell r="BA226">
            <v>-390.1</v>
          </cell>
          <cell r="BB226">
            <v>-388.4</v>
          </cell>
          <cell r="BC226">
            <v>-386.7</v>
          </cell>
          <cell r="BD226">
            <v>-385</v>
          </cell>
          <cell r="BE226">
            <v>-383.3</v>
          </cell>
          <cell r="BF226">
            <v>-381.6</v>
          </cell>
          <cell r="BG226">
            <v>-379.9</v>
          </cell>
          <cell r="BH226">
            <v>-378.2</v>
          </cell>
          <cell r="BI226">
            <v>-571.29999999999995</v>
          </cell>
          <cell r="BJ226">
            <v>-774.5</v>
          </cell>
          <cell r="BK226">
            <v>-771.7</v>
          </cell>
          <cell r="BL226">
            <v>-768.9</v>
          </cell>
          <cell r="BM226">
            <v>-893.5</v>
          </cell>
          <cell r="BN226">
            <v>-890.3</v>
          </cell>
          <cell r="BO226">
            <v>-887.1</v>
          </cell>
          <cell r="BP226">
            <v>-884</v>
          </cell>
          <cell r="BQ226">
            <v>-880.8</v>
          </cell>
          <cell r="BR226">
            <v>-877.6</v>
          </cell>
          <cell r="BS226">
            <v>-874.5</v>
          </cell>
          <cell r="BT226">
            <v>-871.3</v>
          </cell>
          <cell r="BU226">
            <v>-868.1</v>
          </cell>
          <cell r="BV226">
            <v>-1171.4000000000001</v>
          </cell>
          <cell r="BW226">
            <v>-1167.5</v>
          </cell>
          <cell r="BX226">
            <v>-1163.5</v>
          </cell>
          <cell r="BY226">
            <v>-1159.5</v>
          </cell>
          <cell r="BZ226">
            <v>-1155.5</v>
          </cell>
          <cell r="CA226">
            <v>-1151.5</v>
          </cell>
          <cell r="CB226">
            <v>-1147.5</v>
          </cell>
          <cell r="CC226">
            <v>-1143.5</v>
          </cell>
          <cell r="CD226">
            <v>-1139.5</v>
          </cell>
          <cell r="CE226">
            <v>-1135.5</v>
          </cell>
          <cell r="CF226">
            <v>-1131.5</v>
          </cell>
          <cell r="CG226">
            <v>-1127.5</v>
          </cell>
          <cell r="CH226">
            <v>-1123.5</v>
          </cell>
          <cell r="CI226">
            <v>-1119.5</v>
          </cell>
          <cell r="CJ226">
            <v>-1115.5</v>
          </cell>
          <cell r="CK226">
            <v>-1111.5</v>
          </cell>
          <cell r="CL226">
            <v>-1107.5</v>
          </cell>
          <cell r="CM226">
            <v>-1103.5</v>
          </cell>
          <cell r="CN226">
            <v>-1099.5999999999999</v>
          </cell>
          <cell r="CO226">
            <v>-1095.5999999999999</v>
          </cell>
          <cell r="CP226">
            <v>-1719.1</v>
          </cell>
          <cell r="CQ226">
            <v>-1711.4</v>
          </cell>
          <cell r="CR226">
            <v>-1703.6</v>
          </cell>
          <cell r="CS226">
            <v>-1695.8</v>
          </cell>
          <cell r="CT226">
            <v>-1687.9</v>
          </cell>
          <cell r="CU226">
            <v>-1680.1</v>
          </cell>
          <cell r="CV226">
            <v>-1672.3</v>
          </cell>
          <cell r="CW226">
            <v>-1664.4</v>
          </cell>
          <cell r="CX226">
            <v>-1656.6</v>
          </cell>
          <cell r="CY226">
            <v>-1648.8</v>
          </cell>
          <cell r="CZ226">
            <v>-1640.9</v>
          </cell>
          <cell r="DA226">
            <v>-1633.1</v>
          </cell>
          <cell r="DB226">
            <v>-1625.3</v>
          </cell>
          <cell r="DC226">
            <v>-1617.5</v>
          </cell>
          <cell r="DD226">
            <v>-1609.6</v>
          </cell>
          <cell r="DE226">
            <v>-1601.8</v>
          </cell>
          <cell r="DF226">
            <v>-1654</v>
          </cell>
          <cell r="DG226">
            <v>-1645.5</v>
          </cell>
          <cell r="DH226">
            <v>-1636.9</v>
          </cell>
          <cell r="DI226">
            <v>-1628.6</v>
          </cell>
          <cell r="DJ226">
            <v>-1620.3</v>
          </cell>
          <cell r="DK226">
            <v>-1612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</row>
        <row r="227">
          <cell r="A227" t="str">
            <v>Other Reserves &amp; Reg Liabilities</v>
          </cell>
          <cell r="B227" t="str">
            <v>Derivative &amp; Reg Assts/Liabl</v>
          </cell>
          <cell r="C227" t="str">
            <v>Pensions &amp; Benefits Reserve</v>
          </cell>
          <cell r="D227" t="str">
            <v>2281081</v>
          </cell>
          <cell r="E227" t="str">
            <v>A_2281081</v>
          </cell>
          <cell r="F227" t="str">
            <v>Accum Provision Prop Ins-Storm Reserv-Distribution</v>
          </cell>
          <cell r="G227">
            <v>263.54184999999995</v>
          </cell>
          <cell r="H227">
            <v>268.3</v>
          </cell>
          <cell r="I227">
            <v>273.10000000000002</v>
          </cell>
          <cell r="J227">
            <v>277.89999999999998</v>
          </cell>
          <cell r="K227">
            <v>282.7</v>
          </cell>
          <cell r="L227">
            <v>287.5</v>
          </cell>
          <cell r="M227">
            <v>292.3</v>
          </cell>
          <cell r="N227">
            <v>297.10000000000002</v>
          </cell>
          <cell r="O227">
            <v>301.89999999999998</v>
          </cell>
          <cell r="P227">
            <v>306.7</v>
          </cell>
          <cell r="Q227">
            <v>311.5</v>
          </cell>
          <cell r="R227">
            <v>316.3</v>
          </cell>
          <cell r="S227">
            <v>321</v>
          </cell>
          <cell r="T227">
            <v>325.8</v>
          </cell>
          <cell r="U227">
            <v>330.6</v>
          </cell>
          <cell r="V227">
            <v>335.4</v>
          </cell>
          <cell r="W227">
            <v>340.2</v>
          </cell>
          <cell r="X227">
            <v>345</v>
          </cell>
          <cell r="Y227">
            <v>349.8</v>
          </cell>
          <cell r="Z227">
            <v>354.6</v>
          </cell>
          <cell r="AA227">
            <v>359.4</v>
          </cell>
          <cell r="AB227">
            <v>364.2</v>
          </cell>
          <cell r="AC227">
            <v>369</v>
          </cell>
          <cell r="AD227">
            <v>373.8</v>
          </cell>
          <cell r="AE227">
            <v>378.5</v>
          </cell>
          <cell r="AF227">
            <v>383.3</v>
          </cell>
          <cell r="AG227">
            <v>388.1</v>
          </cell>
          <cell r="AH227">
            <v>392.9</v>
          </cell>
          <cell r="AI227">
            <v>397.7</v>
          </cell>
          <cell r="AJ227">
            <v>402.5</v>
          </cell>
          <cell r="AK227">
            <v>407.3</v>
          </cell>
          <cell r="AL227">
            <v>412.1</v>
          </cell>
          <cell r="AM227">
            <v>416.9</v>
          </cell>
          <cell r="AN227">
            <v>421.7</v>
          </cell>
          <cell r="AO227">
            <v>426.5</v>
          </cell>
          <cell r="AP227">
            <v>431.3</v>
          </cell>
          <cell r="AQ227">
            <v>333</v>
          </cell>
          <cell r="AR227">
            <v>337.8</v>
          </cell>
          <cell r="AS227">
            <v>342.6</v>
          </cell>
          <cell r="AT227">
            <v>347.4</v>
          </cell>
          <cell r="AU227">
            <v>352.2</v>
          </cell>
          <cell r="AV227">
            <v>357</v>
          </cell>
          <cell r="AW227">
            <v>361.8</v>
          </cell>
          <cell r="AX227">
            <v>366.6</v>
          </cell>
          <cell r="AY227">
            <v>371.4</v>
          </cell>
          <cell r="AZ227">
            <v>79.099999999999994</v>
          </cell>
          <cell r="BA227">
            <v>23</v>
          </cell>
          <cell r="BB227">
            <v>-24.5</v>
          </cell>
          <cell r="BC227">
            <v>36</v>
          </cell>
          <cell r="BD227">
            <v>40.799999999999997</v>
          </cell>
          <cell r="BE227">
            <v>45.6</v>
          </cell>
          <cell r="BF227">
            <v>50.4</v>
          </cell>
          <cell r="BG227">
            <v>55.2</v>
          </cell>
          <cell r="BH227">
            <v>60</v>
          </cell>
          <cell r="BI227">
            <v>64.7</v>
          </cell>
          <cell r="BJ227">
            <v>69.5</v>
          </cell>
          <cell r="BK227">
            <v>74.3</v>
          </cell>
          <cell r="BL227">
            <v>79.099999999999994</v>
          </cell>
          <cell r="BM227">
            <v>83.9</v>
          </cell>
          <cell r="BN227">
            <v>88.7</v>
          </cell>
          <cell r="BO227">
            <v>0</v>
          </cell>
          <cell r="BP227">
            <v>0</v>
          </cell>
          <cell r="BQ227">
            <v>0</v>
          </cell>
          <cell r="BR227">
            <v>4.8</v>
          </cell>
          <cell r="BS227">
            <v>9.6</v>
          </cell>
          <cell r="BT227">
            <v>14.4</v>
          </cell>
          <cell r="BU227">
            <v>19.2</v>
          </cell>
          <cell r="BV227">
            <v>24</v>
          </cell>
          <cell r="BW227">
            <v>28.8</v>
          </cell>
          <cell r="BX227">
            <v>33.5</v>
          </cell>
          <cell r="BY227">
            <v>38.299999999999997</v>
          </cell>
          <cell r="BZ227">
            <v>43.1</v>
          </cell>
          <cell r="CA227">
            <v>84.4</v>
          </cell>
          <cell r="CB227">
            <v>89.1</v>
          </cell>
          <cell r="CC227">
            <v>93.9</v>
          </cell>
          <cell r="CD227">
            <v>214.6</v>
          </cell>
          <cell r="CE227">
            <v>103.5</v>
          </cell>
          <cell r="CF227">
            <v>108.3</v>
          </cell>
          <cell r="CG227">
            <v>113.1</v>
          </cell>
          <cell r="CH227">
            <v>117.9</v>
          </cell>
          <cell r="CI227">
            <v>122.7</v>
          </cell>
          <cell r="CJ227">
            <v>127.5</v>
          </cell>
          <cell r="CK227">
            <v>132.30000000000001</v>
          </cell>
          <cell r="CL227">
            <v>137.1</v>
          </cell>
          <cell r="CM227">
            <v>141.9</v>
          </cell>
          <cell r="CN227">
            <v>173.5</v>
          </cell>
          <cell r="CO227">
            <v>205.2</v>
          </cell>
          <cell r="CP227">
            <v>236.9</v>
          </cell>
          <cell r="CQ227">
            <v>268.5</v>
          </cell>
          <cell r="CR227">
            <v>300.2</v>
          </cell>
          <cell r="CS227">
            <v>331.9</v>
          </cell>
          <cell r="CT227">
            <v>363.5</v>
          </cell>
          <cell r="CU227">
            <v>395.2</v>
          </cell>
          <cell r="CV227">
            <v>426.9</v>
          </cell>
          <cell r="CW227">
            <v>458.5</v>
          </cell>
          <cell r="CX227">
            <v>490.2</v>
          </cell>
          <cell r="CY227">
            <v>521.9</v>
          </cell>
          <cell r="CZ227">
            <v>553.5</v>
          </cell>
          <cell r="DA227">
            <v>585.20000000000005</v>
          </cell>
          <cell r="DB227">
            <v>616.9</v>
          </cell>
          <cell r="DC227">
            <v>648.5</v>
          </cell>
          <cell r="DD227">
            <v>680.2</v>
          </cell>
          <cell r="DE227">
            <v>711.9</v>
          </cell>
          <cell r="DF227">
            <v>743.5</v>
          </cell>
          <cell r="DG227">
            <v>775.2</v>
          </cell>
          <cell r="DH227">
            <v>456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</row>
        <row r="228">
          <cell r="A228" t="str">
            <v>Current Regualtory &amp; Derivative Liability</v>
          </cell>
          <cell r="B228" t="str">
            <v>Derivative &amp; Reg Assts/Liabl</v>
          </cell>
          <cell r="C228" t="str">
            <v>Misc. Current Liabilities</v>
          </cell>
          <cell r="D228" t="str">
            <v>2281100</v>
          </cell>
          <cell r="E228" t="str">
            <v>A_2281100</v>
          </cell>
          <cell r="F228" t="str">
            <v>Accum Provision for Property Insurance-Debit-Curr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-3038.5</v>
          </cell>
          <cell r="BP228">
            <v>-3059.4</v>
          </cell>
          <cell r="BQ228">
            <v>-3181.7</v>
          </cell>
          <cell r="BR228">
            <v>-3181.7</v>
          </cell>
          <cell r="BS228">
            <v>-3181.7</v>
          </cell>
          <cell r="BT228">
            <v>-3181.7</v>
          </cell>
          <cell r="BU228">
            <v>-3181.7</v>
          </cell>
          <cell r="BV228">
            <v>-3181.7</v>
          </cell>
          <cell r="BW228">
            <v>-2606.8000000000002</v>
          </cell>
          <cell r="BX228">
            <v>-2000.8</v>
          </cell>
          <cell r="BY228">
            <v>-1396.8</v>
          </cell>
          <cell r="BZ228">
            <v>-712.8</v>
          </cell>
          <cell r="CA228">
            <v>0</v>
          </cell>
          <cell r="CB228">
            <v>0</v>
          </cell>
          <cell r="CC228">
            <v>0</v>
          </cell>
          <cell r="CD228">
            <v>-53.7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-688.6</v>
          </cell>
          <cell r="DJ228">
            <v>-837.4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</row>
        <row r="229">
          <cell r="A229" t="str">
            <v>Misc. Current Liabilities</v>
          </cell>
          <cell r="B229" t="str">
            <v>Other Liabilities</v>
          </cell>
          <cell r="D229" t="str">
            <v>2282001</v>
          </cell>
          <cell r="E229" t="str">
            <v>A_2282001</v>
          </cell>
          <cell r="F229" t="str">
            <v>I&amp;D General Liability Reserve - Current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607.5</v>
          </cell>
          <cell r="BY229">
            <v>607.5</v>
          </cell>
          <cell r="BZ229">
            <v>742.5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1800</v>
          </cell>
          <cell r="CZ229">
            <v>1800</v>
          </cell>
          <cell r="DA229">
            <v>1800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EK229" t="str">
            <v>2022 8+4 Dec Balance</v>
          </cell>
        </row>
        <row r="230">
          <cell r="A230" t="str">
            <v>Misc. Current Liabilities</v>
          </cell>
          <cell r="B230" t="str">
            <v>Other Liabilities</v>
          </cell>
          <cell r="C230" t="str">
            <v>Misc. Current Liabilities</v>
          </cell>
          <cell r="D230" t="str">
            <v>2282010</v>
          </cell>
          <cell r="E230" t="str">
            <v>A_2282010</v>
          </cell>
          <cell r="F230" t="str">
            <v>I&amp;D General Liability Reserve</v>
          </cell>
          <cell r="G230">
            <v>2977.0120000000002</v>
          </cell>
          <cell r="H230">
            <v>3127</v>
          </cell>
          <cell r="I230">
            <v>3277</v>
          </cell>
          <cell r="J230">
            <v>3284.8</v>
          </cell>
          <cell r="K230">
            <v>3434.8</v>
          </cell>
          <cell r="L230">
            <v>3584.8</v>
          </cell>
          <cell r="M230">
            <v>4252.8</v>
          </cell>
          <cell r="N230">
            <v>4402.8</v>
          </cell>
          <cell r="O230">
            <v>4552.8</v>
          </cell>
          <cell r="P230">
            <v>4374.1000000000004</v>
          </cell>
          <cell r="Q230">
            <v>4524.1000000000004</v>
          </cell>
          <cell r="R230">
            <v>4674.1000000000004</v>
          </cell>
          <cell r="S230">
            <v>4913</v>
          </cell>
          <cell r="T230">
            <v>4913</v>
          </cell>
          <cell r="U230">
            <v>4913</v>
          </cell>
          <cell r="V230">
            <v>4428.8999999999996</v>
          </cell>
          <cell r="W230">
            <v>4426.3999999999996</v>
          </cell>
          <cell r="X230">
            <v>4426.3999999999996</v>
          </cell>
          <cell r="Y230">
            <v>4045.2</v>
          </cell>
          <cell r="Z230">
            <v>4045.2</v>
          </cell>
          <cell r="AA230">
            <v>4045.2</v>
          </cell>
          <cell r="AB230">
            <v>3557.2</v>
          </cell>
          <cell r="AC230">
            <v>3557.2</v>
          </cell>
          <cell r="AD230">
            <v>3557.2</v>
          </cell>
          <cell r="AE230">
            <v>3936.4</v>
          </cell>
          <cell r="AF230">
            <v>3936.4</v>
          </cell>
          <cell r="AG230">
            <v>3936.4</v>
          </cell>
          <cell r="AH230">
            <v>3338.5</v>
          </cell>
          <cell r="AI230">
            <v>3338.5</v>
          </cell>
          <cell r="AJ230">
            <v>3338.5</v>
          </cell>
          <cell r="AK230">
            <v>3583.5</v>
          </cell>
          <cell r="AL230">
            <v>3583.5</v>
          </cell>
          <cell r="AM230">
            <v>3583.5</v>
          </cell>
          <cell r="AN230">
            <v>3284.7</v>
          </cell>
          <cell r="AO230">
            <v>3284.7</v>
          </cell>
          <cell r="AP230">
            <v>3284.7</v>
          </cell>
          <cell r="AQ230">
            <v>3317.7</v>
          </cell>
          <cell r="AR230">
            <v>3317.7</v>
          </cell>
          <cell r="AS230">
            <v>3317.7</v>
          </cell>
          <cell r="AT230">
            <v>2645.5</v>
          </cell>
          <cell r="AU230">
            <v>2645.5</v>
          </cell>
          <cell r="AV230">
            <v>2645.5</v>
          </cell>
          <cell r="AW230">
            <v>5916.8</v>
          </cell>
          <cell r="AX230">
            <v>5916.8</v>
          </cell>
          <cell r="AY230">
            <v>5894.3</v>
          </cell>
          <cell r="AZ230">
            <v>2661.7</v>
          </cell>
          <cell r="BA230">
            <v>2661.7</v>
          </cell>
          <cell r="BB230">
            <v>2661.7</v>
          </cell>
          <cell r="BC230">
            <v>2777.9</v>
          </cell>
          <cell r="BD230">
            <v>2777.9</v>
          </cell>
          <cell r="BE230">
            <v>2777.9</v>
          </cell>
          <cell r="BF230">
            <v>2753.9</v>
          </cell>
          <cell r="BG230">
            <v>2753.9</v>
          </cell>
          <cell r="BH230">
            <v>2753.9</v>
          </cell>
          <cell r="BI230">
            <v>2741.3</v>
          </cell>
          <cell r="BJ230">
            <v>2741.3</v>
          </cell>
          <cell r="BK230">
            <v>2741.3</v>
          </cell>
          <cell r="BL230">
            <v>2700.8</v>
          </cell>
          <cell r="BM230">
            <v>2700.8</v>
          </cell>
          <cell r="BN230">
            <v>2700.8</v>
          </cell>
          <cell r="BO230">
            <v>2833.2</v>
          </cell>
          <cell r="BP230">
            <v>2833.2</v>
          </cell>
          <cell r="BQ230">
            <v>2833.2</v>
          </cell>
          <cell r="BR230">
            <v>2833.2</v>
          </cell>
          <cell r="BS230">
            <v>3627.5</v>
          </cell>
          <cell r="BT230">
            <v>3627.5</v>
          </cell>
          <cell r="BU230">
            <v>3840.5</v>
          </cell>
          <cell r="BV230">
            <v>4840.5</v>
          </cell>
          <cell r="BW230">
            <v>4840.5</v>
          </cell>
          <cell r="BX230">
            <v>3453</v>
          </cell>
          <cell r="BY230">
            <v>3453</v>
          </cell>
          <cell r="BZ230">
            <v>3453</v>
          </cell>
          <cell r="CA230">
            <v>4267.7</v>
          </cell>
          <cell r="CB230">
            <v>4267.7</v>
          </cell>
          <cell r="CC230">
            <v>4267.7</v>
          </cell>
          <cell r="CD230">
            <v>3911.3</v>
          </cell>
          <cell r="CE230">
            <v>3910.9</v>
          </cell>
          <cell r="CF230">
            <v>3910.9</v>
          </cell>
          <cell r="CG230">
            <v>4199.6000000000004</v>
          </cell>
          <cell r="CH230">
            <v>4199.6000000000004</v>
          </cell>
          <cell r="CI230">
            <v>4199.6000000000004</v>
          </cell>
          <cell r="CJ230">
            <v>7812.3</v>
          </cell>
          <cell r="CK230">
            <v>7812.3</v>
          </cell>
          <cell r="CL230">
            <v>7812.3</v>
          </cell>
          <cell r="CM230">
            <v>8586.7000000000007</v>
          </cell>
          <cell r="CN230">
            <v>8586.7000000000007</v>
          </cell>
          <cell r="CO230">
            <v>8586.7000000000007</v>
          </cell>
          <cell r="CP230">
            <v>8517.7999999999993</v>
          </cell>
          <cell r="CQ230">
            <v>8517.2999999999993</v>
          </cell>
          <cell r="CR230">
            <v>8517.2999999999993</v>
          </cell>
          <cell r="CS230">
            <v>10573.7</v>
          </cell>
          <cell r="CT230">
            <v>10573.7</v>
          </cell>
          <cell r="CU230">
            <v>10573.7</v>
          </cell>
          <cell r="CV230">
            <v>17543</v>
          </cell>
          <cell r="CW230">
            <v>13048.5</v>
          </cell>
          <cell r="CX230">
            <v>15625.4</v>
          </cell>
          <cell r="CY230">
            <v>25972.1</v>
          </cell>
          <cell r="CZ230">
            <v>24472.1</v>
          </cell>
          <cell r="DA230">
            <v>25972.1</v>
          </cell>
          <cell r="DB230">
            <v>23083.599999999999</v>
          </cell>
          <cell r="DC230">
            <v>22395.599999999999</v>
          </cell>
          <cell r="DD230">
            <v>22118</v>
          </cell>
          <cell r="DE230">
            <v>22983.3</v>
          </cell>
          <cell r="DF230">
            <v>21683.3</v>
          </cell>
          <cell r="DG230">
            <v>19854</v>
          </cell>
          <cell r="DH230">
            <v>17775.900000000001</v>
          </cell>
          <cell r="DI230">
            <v>17775.900000000001</v>
          </cell>
          <cell r="DJ230">
            <v>17775.900000000001</v>
          </cell>
          <cell r="DK230">
            <v>15167.6</v>
          </cell>
          <cell r="DL230">
            <v>15167.6</v>
          </cell>
          <cell r="DM230">
            <v>15167.6</v>
          </cell>
          <cell r="DN230">
            <v>15167.6</v>
          </cell>
          <cell r="DO230">
            <v>15167.6</v>
          </cell>
          <cell r="DP230">
            <v>15167.6</v>
          </cell>
          <cell r="DQ230">
            <v>15167.6</v>
          </cell>
          <cell r="DR230">
            <v>15167.6</v>
          </cell>
          <cell r="DS230">
            <v>15167.6</v>
          </cell>
          <cell r="DT230">
            <v>15167.6</v>
          </cell>
          <cell r="DU230">
            <v>15167.6</v>
          </cell>
          <cell r="DV230">
            <v>15167.6</v>
          </cell>
          <cell r="DW230">
            <v>15167.6</v>
          </cell>
        </row>
        <row r="231">
          <cell r="A231" t="str">
            <v>Misc. Current Liabilities</v>
          </cell>
          <cell r="B231" t="str">
            <v>Other Liabilities</v>
          </cell>
          <cell r="C231" t="str">
            <v>Misc. Current Liabilities</v>
          </cell>
          <cell r="D231" t="str">
            <v>2282020</v>
          </cell>
          <cell r="E231" t="str">
            <v>A_2282020</v>
          </cell>
          <cell r="F231" t="str">
            <v>I&amp;D Workers Compensation Reserve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-0.1</v>
          </cell>
          <cell r="AO231">
            <v>-0.2</v>
          </cell>
          <cell r="AP231">
            <v>-1.1000000000000001</v>
          </cell>
          <cell r="AQ231">
            <v>-4.9000000000000004</v>
          </cell>
          <cell r="AR231">
            <v>-7</v>
          </cell>
          <cell r="AS231">
            <v>-8.1</v>
          </cell>
          <cell r="AT231">
            <v>442.5</v>
          </cell>
          <cell r="AU231">
            <v>442.5</v>
          </cell>
          <cell r="AV231">
            <v>441</v>
          </cell>
          <cell r="AW231">
            <v>475.5</v>
          </cell>
          <cell r="AX231">
            <v>475.5</v>
          </cell>
          <cell r="AY231">
            <v>471.3</v>
          </cell>
          <cell r="AZ231">
            <v>448.4</v>
          </cell>
          <cell r="BA231">
            <v>442.5</v>
          </cell>
          <cell r="BB231">
            <v>442.5</v>
          </cell>
          <cell r="BC231">
            <v>528.1</v>
          </cell>
          <cell r="BD231">
            <v>528.1</v>
          </cell>
          <cell r="BE231">
            <v>527.1</v>
          </cell>
          <cell r="BF231">
            <v>415.9</v>
          </cell>
          <cell r="BG231">
            <v>415.7</v>
          </cell>
          <cell r="BH231">
            <v>415.7</v>
          </cell>
          <cell r="BI231">
            <v>470.9</v>
          </cell>
          <cell r="BJ231">
            <v>470.8</v>
          </cell>
          <cell r="BK231">
            <v>470.7</v>
          </cell>
          <cell r="BL231">
            <v>530.70000000000005</v>
          </cell>
          <cell r="BM231">
            <v>530.6</v>
          </cell>
          <cell r="BN231">
            <v>530.6</v>
          </cell>
          <cell r="BO231">
            <v>287.2</v>
          </cell>
          <cell r="BP231">
            <v>287.2</v>
          </cell>
          <cell r="BQ231">
            <v>287.2</v>
          </cell>
          <cell r="BR231">
            <v>303.60000000000002</v>
          </cell>
          <cell r="BS231">
            <v>303.60000000000002</v>
          </cell>
          <cell r="BT231">
            <v>303.60000000000002</v>
          </cell>
          <cell r="BU231">
            <v>303.39999999999998</v>
          </cell>
          <cell r="BV231">
            <v>303.39999999999998</v>
          </cell>
          <cell r="BW231">
            <v>303.39999999999998</v>
          </cell>
          <cell r="BX231">
            <v>189.9</v>
          </cell>
          <cell r="BY231">
            <v>189.9</v>
          </cell>
          <cell r="BZ231">
            <v>189.9</v>
          </cell>
          <cell r="CA231">
            <v>222.2</v>
          </cell>
          <cell r="CB231">
            <v>222</v>
          </cell>
          <cell r="CC231">
            <v>222</v>
          </cell>
          <cell r="CD231">
            <v>242.8</v>
          </cell>
          <cell r="CE231">
            <v>242.8</v>
          </cell>
          <cell r="CF231">
            <v>242.8</v>
          </cell>
          <cell r="CG231">
            <v>260.5</v>
          </cell>
          <cell r="CH231">
            <v>260.5</v>
          </cell>
          <cell r="CI231">
            <v>260.5</v>
          </cell>
          <cell r="CJ231">
            <v>259.3</v>
          </cell>
          <cell r="CK231">
            <v>259.3</v>
          </cell>
          <cell r="CL231">
            <v>259.3</v>
          </cell>
          <cell r="CM231">
            <v>173.6</v>
          </cell>
          <cell r="CN231">
            <v>173.6</v>
          </cell>
          <cell r="CO231">
            <v>173.6</v>
          </cell>
          <cell r="CP231">
            <v>184.9</v>
          </cell>
          <cell r="CQ231">
            <v>184.9</v>
          </cell>
          <cell r="CR231">
            <v>184.9</v>
          </cell>
          <cell r="CS231">
            <v>245.1</v>
          </cell>
          <cell r="CT231">
            <v>243.6</v>
          </cell>
          <cell r="CU231">
            <v>243.6</v>
          </cell>
          <cell r="CV231">
            <v>211.8</v>
          </cell>
          <cell r="CW231">
            <v>211.8</v>
          </cell>
          <cell r="CX231">
            <v>211.8</v>
          </cell>
          <cell r="CY231">
            <v>203</v>
          </cell>
          <cell r="CZ231">
            <v>203</v>
          </cell>
          <cell r="DA231">
            <v>203</v>
          </cell>
          <cell r="DB231">
            <v>220.7</v>
          </cell>
          <cell r="DC231">
            <v>220.7</v>
          </cell>
          <cell r="DD231">
            <v>220.7</v>
          </cell>
          <cell r="DE231">
            <v>232.1</v>
          </cell>
          <cell r="DF231">
            <v>232.1</v>
          </cell>
          <cell r="DG231">
            <v>232.1</v>
          </cell>
          <cell r="DH231">
            <v>268.60000000000002</v>
          </cell>
          <cell r="DI231">
            <v>268.60000000000002</v>
          </cell>
          <cell r="DJ231">
            <v>268.60000000000002</v>
          </cell>
          <cell r="DK231">
            <v>276.2</v>
          </cell>
          <cell r="DL231">
            <v>276.2</v>
          </cell>
          <cell r="DM231">
            <v>276.2</v>
          </cell>
          <cell r="DN231">
            <v>276.2</v>
          </cell>
          <cell r="DO231">
            <v>276.2</v>
          </cell>
          <cell r="DP231">
            <v>276.2</v>
          </cell>
          <cell r="DQ231">
            <v>276.2</v>
          </cell>
          <cell r="DR231">
            <v>276.2</v>
          </cell>
          <cell r="DS231">
            <v>276.2</v>
          </cell>
          <cell r="DT231">
            <v>276.2</v>
          </cell>
          <cell r="DU231">
            <v>276.2</v>
          </cell>
          <cell r="DV231">
            <v>276.2</v>
          </cell>
          <cell r="DW231">
            <v>276.2</v>
          </cell>
        </row>
        <row r="232">
          <cell r="A232" t="str">
            <v>Misc. Current Liabilities</v>
          </cell>
          <cell r="B232" t="str">
            <v>Accounts Receivable - External</v>
          </cell>
          <cell r="C232" t="str">
            <v>Misc. Current Liabilities</v>
          </cell>
          <cell r="D232" t="str">
            <v>2282110</v>
          </cell>
          <cell r="E232" t="str">
            <v>A_2282110</v>
          </cell>
          <cell r="F232" t="str">
            <v>I&amp;D Gen Liab Expected Recoveries - Current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-965.5</v>
          </cell>
          <cell r="N232">
            <v>-965.5</v>
          </cell>
          <cell r="O232">
            <v>-965.5</v>
          </cell>
          <cell r="P232">
            <v>-884.1</v>
          </cell>
          <cell r="Q232">
            <v>-884.1</v>
          </cell>
          <cell r="R232">
            <v>-884.1</v>
          </cell>
          <cell r="S232">
            <v>-1561.3</v>
          </cell>
          <cell r="T232">
            <v>-1561.3</v>
          </cell>
          <cell r="U232">
            <v>-1561.3</v>
          </cell>
          <cell r="V232">
            <v>-1505.5</v>
          </cell>
          <cell r="W232">
            <v>-1505.5</v>
          </cell>
          <cell r="X232">
            <v>-1505.5</v>
          </cell>
          <cell r="Y232">
            <v>-1400.6</v>
          </cell>
          <cell r="Z232">
            <v>-1400.6</v>
          </cell>
          <cell r="AA232">
            <v>-1400.6</v>
          </cell>
          <cell r="AB232">
            <v>-1146.5999999999999</v>
          </cell>
          <cell r="AC232">
            <v>-1146.5999999999999</v>
          </cell>
          <cell r="AD232">
            <v>-1146.5999999999999</v>
          </cell>
          <cell r="AE232">
            <v>-1139.3</v>
          </cell>
          <cell r="AF232">
            <v>-1139.3</v>
          </cell>
          <cell r="AG232">
            <v>-1139.3</v>
          </cell>
          <cell r="AH232">
            <v>-965.8</v>
          </cell>
          <cell r="AI232">
            <v>-965.8</v>
          </cell>
          <cell r="AJ232">
            <v>-965.8</v>
          </cell>
          <cell r="AK232">
            <v>-817</v>
          </cell>
          <cell r="AL232">
            <v>-817</v>
          </cell>
          <cell r="AM232">
            <v>-817</v>
          </cell>
          <cell r="AN232">
            <v>-619</v>
          </cell>
          <cell r="AO232">
            <v>-619</v>
          </cell>
          <cell r="AP232">
            <v>-619</v>
          </cell>
          <cell r="AQ232">
            <v>-395.5</v>
          </cell>
          <cell r="AR232">
            <v>-395.5</v>
          </cell>
          <cell r="AS232">
            <v>-395.5</v>
          </cell>
          <cell r="AT232">
            <v>-170.3</v>
          </cell>
          <cell r="AU232">
            <v>-170.3</v>
          </cell>
          <cell r="AV232">
            <v>-170.3</v>
          </cell>
          <cell r="AW232">
            <v>-3635.7</v>
          </cell>
          <cell r="AX232">
            <v>-3635.7</v>
          </cell>
          <cell r="AY232">
            <v>-3635.7</v>
          </cell>
          <cell r="AZ232">
            <v>0</v>
          </cell>
          <cell r="BA232">
            <v>0</v>
          </cell>
          <cell r="BB232">
            <v>0</v>
          </cell>
          <cell r="BC232">
            <v>-621.9</v>
          </cell>
          <cell r="BD232">
            <v>-621.9</v>
          </cell>
          <cell r="BE232">
            <v>-621.9</v>
          </cell>
          <cell r="BF232">
            <v>-608.70000000000005</v>
          </cell>
          <cell r="BG232">
            <v>-608.70000000000005</v>
          </cell>
          <cell r="BH232">
            <v>-608.70000000000005</v>
          </cell>
          <cell r="BI232">
            <v>-562.1</v>
          </cell>
          <cell r="BJ232">
            <v>-562.1</v>
          </cell>
          <cell r="BK232">
            <v>-562.1</v>
          </cell>
          <cell r="BL232">
            <v>-547.79999999999995</v>
          </cell>
          <cell r="BM232">
            <v>-547.79999999999995</v>
          </cell>
          <cell r="BN232">
            <v>-547.79999999999995</v>
          </cell>
          <cell r="BO232">
            <v>-498.9</v>
          </cell>
          <cell r="BP232">
            <v>-498.9</v>
          </cell>
          <cell r="BQ232">
            <v>-498.9</v>
          </cell>
          <cell r="BR232">
            <v>295.3</v>
          </cell>
          <cell r="BS232">
            <v>-498.9</v>
          </cell>
          <cell r="BT232">
            <v>-498.9</v>
          </cell>
          <cell r="BU232">
            <v>-498.9</v>
          </cell>
          <cell r="BV232">
            <v>-498.9</v>
          </cell>
          <cell r="BW232">
            <v>-498.9</v>
          </cell>
          <cell r="BX232">
            <v>-160</v>
          </cell>
          <cell r="BY232">
            <v>-160</v>
          </cell>
          <cell r="BZ232">
            <v>-160</v>
          </cell>
          <cell r="CA232">
            <v>-160</v>
          </cell>
          <cell r="CB232">
            <v>-160</v>
          </cell>
          <cell r="CC232">
            <v>-160</v>
          </cell>
          <cell r="CD232">
            <v>-160</v>
          </cell>
          <cell r="CE232">
            <v>-160</v>
          </cell>
          <cell r="CF232">
            <v>-160</v>
          </cell>
          <cell r="CG232">
            <v>-160</v>
          </cell>
          <cell r="CH232">
            <v>-160</v>
          </cell>
          <cell r="CI232">
            <v>-160</v>
          </cell>
          <cell r="CJ232">
            <v>-3862</v>
          </cell>
          <cell r="CK232">
            <v>-3862</v>
          </cell>
          <cell r="CL232">
            <v>-3862</v>
          </cell>
          <cell r="CM232">
            <v>-3904.6</v>
          </cell>
          <cell r="CN232">
            <v>-3904.6</v>
          </cell>
          <cell r="CO232">
            <v>-3904.6</v>
          </cell>
          <cell r="CP232">
            <v>-3703.2</v>
          </cell>
          <cell r="CQ232">
            <v>-3703.2</v>
          </cell>
          <cell r="CR232">
            <v>-3703.2</v>
          </cell>
          <cell r="CS232">
            <v>-5917.1</v>
          </cell>
          <cell r="CT232">
            <v>-5917.1</v>
          </cell>
          <cell r="CU232">
            <v>-5917.1</v>
          </cell>
          <cell r="CV232">
            <v>-12542</v>
          </cell>
          <cell r="CW232">
            <v>-12542</v>
          </cell>
          <cell r="CX232">
            <v>-12542</v>
          </cell>
          <cell r="CY232">
            <v>-1000</v>
          </cell>
          <cell r="CZ232">
            <v>-1000</v>
          </cell>
          <cell r="DA232">
            <v>-1000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</row>
        <row r="233">
          <cell r="A233" t="str">
            <v>Misc. Current Liabilities</v>
          </cell>
          <cell r="B233" t="str">
            <v>Other Liabilities</v>
          </cell>
          <cell r="C233" t="str">
            <v>Misc. Current Liabilities</v>
          </cell>
          <cell r="D233" t="str">
            <v>2282210</v>
          </cell>
          <cell r="E233" t="str">
            <v>A_2282210</v>
          </cell>
          <cell r="F233" t="str">
            <v>I&amp;D Gen Liab Expected Recoveries - Non-Current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-20670.5</v>
          </cell>
          <cell r="CZ233">
            <v>-20670.5</v>
          </cell>
          <cell r="DA233">
            <v>-20670.5</v>
          </cell>
          <cell r="DB233">
            <v>-17520</v>
          </cell>
          <cell r="DC233">
            <v>-17520</v>
          </cell>
          <cell r="DD233">
            <v>-17520</v>
          </cell>
          <cell r="DE233">
            <v>-17459</v>
          </cell>
          <cell r="DF233">
            <v>-17459</v>
          </cell>
          <cell r="DG233">
            <v>-17459</v>
          </cell>
          <cell r="DH233">
            <v>-13448.8</v>
          </cell>
          <cell r="DI233">
            <v>-13448.8</v>
          </cell>
          <cell r="DJ233">
            <v>-13448.8</v>
          </cell>
          <cell r="DK233">
            <v>-11720.2</v>
          </cell>
          <cell r="DL233">
            <v>-11720.2</v>
          </cell>
          <cell r="DM233">
            <v>-11720.2</v>
          </cell>
          <cell r="DN233">
            <v>-11720.2</v>
          </cell>
          <cell r="DO233">
            <v>-11720.2</v>
          </cell>
          <cell r="DP233">
            <v>-11720.2</v>
          </cell>
          <cell r="DQ233">
            <v>-11720.2</v>
          </cell>
          <cell r="DR233">
            <v>-11720.2</v>
          </cell>
          <cell r="DS233">
            <v>-11720.2</v>
          </cell>
          <cell r="DT233">
            <v>-11720.2</v>
          </cell>
          <cell r="DU233">
            <v>-11720.2</v>
          </cell>
          <cell r="DV233">
            <v>-11720.2</v>
          </cell>
          <cell r="DW233">
            <v>-11720.2</v>
          </cell>
        </row>
        <row r="234">
          <cell r="A234" t="str">
            <v>Pensions &amp; Benefits Reserve</v>
          </cell>
          <cell r="B234" t="str">
            <v>Other Liabilities</v>
          </cell>
          <cell r="C234" t="str">
            <v>Misc. Current Liabilities</v>
          </cell>
          <cell r="D234" t="str">
            <v>2283200</v>
          </cell>
          <cell r="E234" t="str">
            <v>A_2283200</v>
          </cell>
          <cell r="F234" t="str">
            <v>Pension Liability - Non-Current</v>
          </cell>
          <cell r="G234">
            <v>-10238.59239</v>
          </cell>
          <cell r="H234">
            <v>-11113.3</v>
          </cell>
          <cell r="I234">
            <v>-10965.1</v>
          </cell>
          <cell r="J234">
            <v>-11595.2</v>
          </cell>
          <cell r="K234">
            <v>-12636.3</v>
          </cell>
          <cell r="L234">
            <v>-12489.3</v>
          </cell>
          <cell r="M234">
            <v>-12342.3</v>
          </cell>
          <cell r="N234">
            <v>-13319.3</v>
          </cell>
          <cell r="O234">
            <v>-13172.3</v>
          </cell>
          <cell r="P234">
            <v>-14161.9</v>
          </cell>
          <cell r="Q234">
            <v>-14027.5</v>
          </cell>
          <cell r="R234">
            <v>-13893</v>
          </cell>
          <cell r="S234">
            <v>-13758.6</v>
          </cell>
          <cell r="T234">
            <v>-14821.7</v>
          </cell>
          <cell r="U234">
            <v>-14678.8</v>
          </cell>
          <cell r="V234">
            <v>-14855.8</v>
          </cell>
          <cell r="W234">
            <v>-15381.9</v>
          </cell>
          <cell r="X234">
            <v>-15125.2</v>
          </cell>
          <cell r="Y234">
            <v>-14978.7</v>
          </cell>
          <cell r="Z234">
            <v>-15588.2</v>
          </cell>
          <cell r="AA234">
            <v>-15197.5</v>
          </cell>
          <cell r="AB234">
            <v>-16697</v>
          </cell>
          <cell r="AC234">
            <v>-16550.5</v>
          </cell>
          <cell r="AD234">
            <v>-16403.900000000001</v>
          </cell>
          <cell r="AE234">
            <v>-16257.4</v>
          </cell>
          <cell r="AF234">
            <v>-16126.3</v>
          </cell>
          <cell r="AG234">
            <v>-15995.2</v>
          </cell>
          <cell r="AH234">
            <v>-16288.1</v>
          </cell>
          <cell r="AI234">
            <v>-17112.5</v>
          </cell>
          <cell r="AJ234">
            <v>-16975.3</v>
          </cell>
          <cell r="AK234">
            <v>-16838</v>
          </cell>
          <cell r="AL234">
            <v>-17680.8</v>
          </cell>
          <cell r="AM234">
            <v>-17543.599999999999</v>
          </cell>
          <cell r="AN234">
            <v>-18356.2</v>
          </cell>
          <cell r="AO234">
            <v>-18215.599999999999</v>
          </cell>
          <cell r="AP234">
            <v>-18075</v>
          </cell>
          <cell r="AQ234">
            <v>-17934.5</v>
          </cell>
          <cell r="AR234">
            <v>-18777.599999999999</v>
          </cell>
          <cell r="AS234">
            <v>-18650.3</v>
          </cell>
          <cell r="AT234">
            <v>-18977.8</v>
          </cell>
          <cell r="AU234">
            <v>-19918.5</v>
          </cell>
          <cell r="AV234">
            <v>-19791.2</v>
          </cell>
          <cell r="AW234">
            <v>-19590.2</v>
          </cell>
          <cell r="AX234">
            <v>-20518.099999999999</v>
          </cell>
          <cell r="AY234">
            <v>-20378.5</v>
          </cell>
          <cell r="AZ234">
            <v>-21306.5</v>
          </cell>
          <cell r="BA234">
            <v>-21166.9</v>
          </cell>
          <cell r="BB234">
            <v>-21027.3</v>
          </cell>
          <cell r="BC234">
            <v>-20887.7</v>
          </cell>
          <cell r="BD234">
            <v>-21678.1</v>
          </cell>
          <cell r="BE234">
            <v>-21548.799999999999</v>
          </cell>
          <cell r="BF234">
            <v>-21419.4</v>
          </cell>
          <cell r="BG234">
            <v>-21290</v>
          </cell>
          <cell r="BH234">
            <v>-21030.400000000001</v>
          </cell>
          <cell r="BI234">
            <v>-20875</v>
          </cell>
          <cell r="BJ234">
            <v>-20719.5</v>
          </cell>
          <cell r="BK234">
            <v>-20564.099999999999</v>
          </cell>
          <cell r="BL234">
            <v>-20408.7</v>
          </cell>
          <cell r="BM234">
            <v>-20253.3</v>
          </cell>
          <cell r="BN234">
            <v>-20097.8</v>
          </cell>
          <cell r="BO234">
            <v>-19942.400000000001</v>
          </cell>
          <cell r="BP234">
            <v>-19808.3</v>
          </cell>
          <cell r="BQ234">
            <v>-19674.2</v>
          </cell>
          <cell r="BR234">
            <v>-19540.099999999999</v>
          </cell>
          <cell r="BS234">
            <v>-20245</v>
          </cell>
          <cell r="BT234">
            <v>-20110.8</v>
          </cell>
          <cell r="BU234">
            <v>-20051</v>
          </cell>
          <cell r="BV234">
            <v>-20768.3</v>
          </cell>
          <cell r="BW234">
            <v>-20646.5</v>
          </cell>
          <cell r="BX234">
            <v>-21363.8</v>
          </cell>
          <cell r="BY234">
            <v>-21242.1</v>
          </cell>
          <cell r="BZ234">
            <v>-21096.400000000001</v>
          </cell>
          <cell r="CA234">
            <v>-20912.099999999999</v>
          </cell>
          <cell r="CB234">
            <v>-21424.7</v>
          </cell>
          <cell r="CC234">
            <v>-21277.3</v>
          </cell>
          <cell r="CD234">
            <v>-21129.9</v>
          </cell>
          <cell r="CE234">
            <v>-21642.5</v>
          </cell>
          <cell r="CF234">
            <v>-21495.1</v>
          </cell>
          <cell r="CG234">
            <v>-21276.5</v>
          </cell>
          <cell r="CH234">
            <v>-21777.200000000001</v>
          </cell>
          <cell r="CI234">
            <v>-21617.9</v>
          </cell>
          <cell r="CJ234">
            <v>-22118.6</v>
          </cell>
          <cell r="CK234">
            <v>-21959.4</v>
          </cell>
          <cell r="CL234">
            <v>-21800.1</v>
          </cell>
          <cell r="CM234">
            <v>-21640.799999999999</v>
          </cell>
          <cell r="CN234">
            <v>-22289.8</v>
          </cell>
          <cell r="CO234">
            <v>-22137.7</v>
          </cell>
          <cell r="CP234">
            <v>-21985.599999999999</v>
          </cell>
          <cell r="CQ234">
            <v>-22634.5</v>
          </cell>
          <cell r="CR234">
            <v>-22482.5</v>
          </cell>
          <cell r="CS234">
            <v>-22330.5</v>
          </cell>
          <cell r="CT234">
            <v>-22795.5</v>
          </cell>
          <cell r="CU234">
            <v>-22617.1</v>
          </cell>
          <cell r="CV234">
            <v>-23239.8</v>
          </cell>
          <cell r="CW234">
            <v>-23061.5</v>
          </cell>
          <cell r="CX234">
            <v>-22883.200000000001</v>
          </cell>
          <cell r="CY234">
            <v>-22704.9</v>
          </cell>
          <cell r="CZ234">
            <v>2208.3000000000002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-27332.1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</row>
        <row r="235">
          <cell r="A235" t="str">
            <v>Pensions &amp; Benefits Reserve</v>
          </cell>
          <cell r="B235" t="str">
            <v>Pensions and Benefits</v>
          </cell>
          <cell r="C235" t="str">
            <v>Pensions &amp; Benefits Reserve</v>
          </cell>
          <cell r="D235" t="str">
            <v>2283201</v>
          </cell>
          <cell r="E235" t="str">
            <v>A_2283201</v>
          </cell>
          <cell r="F235" t="str">
            <v>Pension Liability FAS158 - Non-Current</v>
          </cell>
          <cell r="G235">
            <v>15209.123</v>
          </cell>
          <cell r="H235">
            <v>15209.1</v>
          </cell>
          <cell r="I235">
            <v>15209.1</v>
          </cell>
          <cell r="J235">
            <v>14877.5</v>
          </cell>
          <cell r="K235">
            <v>14877.5</v>
          </cell>
          <cell r="L235">
            <v>14877.5</v>
          </cell>
          <cell r="M235">
            <v>14551.5</v>
          </cell>
          <cell r="N235">
            <v>14551.5</v>
          </cell>
          <cell r="O235">
            <v>14551.5</v>
          </cell>
          <cell r="P235">
            <v>14402.7</v>
          </cell>
          <cell r="Q235">
            <v>14402.7</v>
          </cell>
          <cell r="R235">
            <v>14402.7</v>
          </cell>
          <cell r="S235">
            <v>17295.599999999999</v>
          </cell>
          <cell r="T235">
            <v>17295.599999999999</v>
          </cell>
          <cell r="U235">
            <v>17295.599999999999</v>
          </cell>
          <cell r="V235">
            <v>17632</v>
          </cell>
          <cell r="W235">
            <v>17632</v>
          </cell>
          <cell r="X235">
            <v>17632</v>
          </cell>
          <cell r="Y235">
            <v>16532.3</v>
          </cell>
          <cell r="Z235">
            <v>16532.3</v>
          </cell>
          <cell r="AA235">
            <v>16231.1</v>
          </cell>
          <cell r="AB235">
            <v>15849.4</v>
          </cell>
          <cell r="AC235">
            <v>15849.4</v>
          </cell>
          <cell r="AD235">
            <v>15849.4</v>
          </cell>
          <cell r="AE235">
            <v>24128.6</v>
          </cell>
          <cell r="AF235">
            <v>24128.6</v>
          </cell>
          <cell r="AG235">
            <v>24128.6</v>
          </cell>
          <cell r="AH235">
            <v>23800.3</v>
          </cell>
          <cell r="AI235">
            <v>23800.3</v>
          </cell>
          <cell r="AJ235">
            <v>23800.3</v>
          </cell>
          <cell r="AK235">
            <v>23362.1</v>
          </cell>
          <cell r="AL235">
            <v>23362.1</v>
          </cell>
          <cell r="AM235">
            <v>23362.1</v>
          </cell>
          <cell r="AN235">
            <v>30003.7</v>
          </cell>
          <cell r="AO235">
            <v>30003.7</v>
          </cell>
          <cell r="AP235">
            <v>30003.7</v>
          </cell>
          <cell r="AQ235">
            <v>27730.3</v>
          </cell>
          <cell r="AR235">
            <v>27730.3</v>
          </cell>
          <cell r="AS235">
            <v>27730.3</v>
          </cell>
          <cell r="AT235">
            <v>27367.3</v>
          </cell>
          <cell r="AU235">
            <v>27367.3</v>
          </cell>
          <cell r="AV235">
            <v>27367.3</v>
          </cell>
          <cell r="AW235">
            <v>27134.2</v>
          </cell>
          <cell r="AX235">
            <v>27134.2</v>
          </cell>
          <cell r="AY235">
            <v>27134.2</v>
          </cell>
          <cell r="AZ235">
            <v>26763.200000000001</v>
          </cell>
          <cell r="BA235">
            <v>26763.200000000001</v>
          </cell>
          <cell r="BB235">
            <v>26763.200000000001</v>
          </cell>
          <cell r="BC235">
            <v>24001</v>
          </cell>
          <cell r="BD235">
            <v>24001</v>
          </cell>
          <cell r="BE235">
            <v>24001</v>
          </cell>
          <cell r="BF235">
            <v>23590.9</v>
          </cell>
          <cell r="BG235">
            <v>23590.9</v>
          </cell>
          <cell r="BH235">
            <v>23590.9</v>
          </cell>
          <cell r="BI235">
            <v>23181.599999999999</v>
          </cell>
          <cell r="BJ235">
            <v>23181.599999999999</v>
          </cell>
          <cell r="BK235">
            <v>23181.599999999999</v>
          </cell>
          <cell r="BL235">
            <v>22771.9</v>
          </cell>
          <cell r="BM235">
            <v>22771.9</v>
          </cell>
          <cell r="BN235">
            <v>22771.9</v>
          </cell>
          <cell r="BO235">
            <v>29661.200000000001</v>
          </cell>
          <cell r="BP235">
            <v>29661.200000000001</v>
          </cell>
          <cell r="BQ235">
            <v>29661.200000000001</v>
          </cell>
          <cell r="BR235">
            <v>29317.7</v>
          </cell>
          <cell r="BS235">
            <v>29317.7</v>
          </cell>
          <cell r="BT235">
            <v>29317.7</v>
          </cell>
          <cell r="BU235">
            <v>28959.1</v>
          </cell>
          <cell r="BV235">
            <v>28959.1</v>
          </cell>
          <cell r="BW235">
            <v>28959.1</v>
          </cell>
          <cell r="BX235">
            <v>28608</v>
          </cell>
          <cell r="BY235">
            <v>28608</v>
          </cell>
          <cell r="BZ235">
            <v>28608</v>
          </cell>
          <cell r="CA235">
            <v>26319</v>
          </cell>
          <cell r="CB235">
            <v>26319</v>
          </cell>
          <cell r="CC235">
            <v>26319</v>
          </cell>
          <cell r="CD235">
            <v>25845.3</v>
          </cell>
          <cell r="CE235">
            <v>25845.3</v>
          </cell>
          <cell r="CF235">
            <v>25845.3</v>
          </cell>
          <cell r="CG235">
            <v>25377.8</v>
          </cell>
          <cell r="CH235">
            <v>25377.8</v>
          </cell>
          <cell r="CI235">
            <v>25377.8</v>
          </cell>
          <cell r="CJ235">
            <v>24907.200000000001</v>
          </cell>
          <cell r="CK235">
            <v>24907.200000000001</v>
          </cell>
          <cell r="CL235">
            <v>24907.200000000001</v>
          </cell>
          <cell r="CM235">
            <v>23895.8</v>
          </cell>
          <cell r="CN235">
            <v>23895.8</v>
          </cell>
          <cell r="CO235">
            <v>23895.8</v>
          </cell>
          <cell r="CP235">
            <v>23351.9</v>
          </cell>
          <cell r="CQ235">
            <v>23351.9</v>
          </cell>
          <cell r="CR235">
            <v>23351.9</v>
          </cell>
          <cell r="CS235">
            <v>22808</v>
          </cell>
          <cell r="CT235">
            <v>22808</v>
          </cell>
          <cell r="CU235">
            <v>22808</v>
          </cell>
          <cell r="CV235">
            <v>21990.6</v>
          </cell>
          <cell r="CW235">
            <v>21990.6</v>
          </cell>
          <cell r="CX235">
            <v>21990.6</v>
          </cell>
          <cell r="CY235">
            <v>16179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28878.5</v>
          </cell>
          <cell r="DL235">
            <v>28878.5</v>
          </cell>
          <cell r="DM235">
            <v>28878.5</v>
          </cell>
          <cell r="DN235">
            <v>28878.5</v>
          </cell>
          <cell r="DO235">
            <v>28878.5</v>
          </cell>
          <cell r="DP235">
            <v>28878.5</v>
          </cell>
          <cell r="DQ235">
            <v>28878.5</v>
          </cell>
          <cell r="DR235">
            <v>28878.5</v>
          </cell>
          <cell r="DS235">
            <v>28878.5</v>
          </cell>
          <cell r="DT235">
            <v>28878.5</v>
          </cell>
          <cell r="DU235">
            <v>28878.5</v>
          </cell>
          <cell r="DV235">
            <v>28878.5</v>
          </cell>
          <cell r="DW235">
            <v>28878.5</v>
          </cell>
          <cell r="EK235" t="str">
            <v>2022 8+4 Dec Balance</v>
          </cell>
          <cell r="EL235" t="str">
            <v>A_2283201</v>
          </cell>
          <cell r="EM235">
            <v>28878500</v>
          </cell>
          <cell r="EN235">
            <v>28878500</v>
          </cell>
          <cell r="EO235">
            <v>28878500</v>
          </cell>
          <cell r="EP235">
            <v>28878500</v>
          </cell>
          <cell r="EQ235">
            <v>28878500</v>
          </cell>
          <cell r="ER235">
            <v>28878500</v>
          </cell>
          <cell r="ES235">
            <v>28878500</v>
          </cell>
          <cell r="ET235">
            <v>28878500</v>
          </cell>
          <cell r="EU235">
            <v>28878500</v>
          </cell>
          <cell r="EV235">
            <v>28878500</v>
          </cell>
          <cell r="EW235">
            <v>28878500</v>
          </cell>
          <cell r="EX235">
            <v>28878500</v>
          </cell>
        </row>
        <row r="236">
          <cell r="A236" t="str">
            <v>Pensions &amp; Benefits Reserve</v>
          </cell>
          <cell r="B236" t="str">
            <v>Other Liabilities</v>
          </cell>
          <cell r="C236" t="str">
            <v>Misc. Current Liabilities</v>
          </cell>
          <cell r="D236" t="str">
            <v>2283202</v>
          </cell>
          <cell r="E236" t="str">
            <v>A_2283202</v>
          </cell>
          <cell r="F236" t="str">
            <v>Pension Asset - Non-Current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-25566.799999999999</v>
          </cell>
          <cell r="DA236">
            <v>-23248.2</v>
          </cell>
          <cell r="DB236">
            <v>-23137.9</v>
          </cell>
          <cell r="DC236">
            <v>-23791.5</v>
          </cell>
          <cell r="DD236">
            <v>-23681.200000000001</v>
          </cell>
          <cell r="DE236">
            <v>-23504.5</v>
          </cell>
          <cell r="DF236">
            <v>-24146.6</v>
          </cell>
          <cell r="DG236">
            <v>-24024.7</v>
          </cell>
          <cell r="DH236">
            <v>-24666.7</v>
          </cell>
          <cell r="DI236">
            <v>-24547</v>
          </cell>
          <cell r="DJ236">
            <v>-24425.599999999999</v>
          </cell>
          <cell r="DK236">
            <v>3027.9</v>
          </cell>
          <cell r="DL236">
            <v>-24893.599999999999</v>
          </cell>
          <cell r="DM236">
            <v>-24826.2</v>
          </cell>
          <cell r="DN236">
            <v>-24758.9</v>
          </cell>
          <cell r="DO236">
            <v>-25351.5</v>
          </cell>
          <cell r="DP236">
            <v>-25284.2</v>
          </cell>
          <cell r="DQ236">
            <v>-25216.799999999999</v>
          </cell>
          <cell r="DR236">
            <v>-25809.5</v>
          </cell>
          <cell r="DS236">
            <v>-25742.1</v>
          </cell>
          <cell r="DT236">
            <v>-26334.7</v>
          </cell>
          <cell r="DU236">
            <v>-26267.4</v>
          </cell>
          <cell r="DV236">
            <v>-26200</v>
          </cell>
          <cell r="DW236">
            <v>-26132.7</v>
          </cell>
        </row>
        <row r="237">
          <cell r="A237" t="str">
            <v>Pensions &amp; Benefits Reserve</v>
          </cell>
          <cell r="B237" t="str">
            <v>Pensions and Benefits</v>
          </cell>
          <cell r="C237" t="str">
            <v>Pensions &amp; Benefits Reserve</v>
          </cell>
          <cell r="D237" t="str">
            <v>2283203</v>
          </cell>
          <cell r="E237" t="str">
            <v>A_2283203</v>
          </cell>
          <cell r="F237" t="str">
            <v>Pension Asset FAS158 - Non-Current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16179</v>
          </cell>
          <cell r="DA237">
            <v>16179</v>
          </cell>
          <cell r="DB237">
            <v>15755.4</v>
          </cell>
          <cell r="DC237">
            <v>15755.4</v>
          </cell>
          <cell r="DD237">
            <v>15755.4</v>
          </cell>
          <cell r="DE237">
            <v>15299</v>
          </cell>
          <cell r="DF237">
            <v>15299</v>
          </cell>
          <cell r="DG237">
            <v>15299</v>
          </cell>
          <cell r="DH237">
            <v>14858.9</v>
          </cell>
          <cell r="DI237">
            <v>14858.9</v>
          </cell>
          <cell r="DJ237">
            <v>14858.9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EL237" t="str">
            <v>A_2283203</v>
          </cell>
        </row>
        <row r="238">
          <cell r="A238" t="str">
            <v>Pensions &amp; Benefits Reserve</v>
          </cell>
          <cell r="B238" t="str">
            <v>Pensions and Benefits</v>
          </cell>
          <cell r="C238" t="str">
            <v>Pensions &amp; Benefits Reserve</v>
          </cell>
          <cell r="D238" t="str">
            <v>2283210</v>
          </cell>
          <cell r="E238" t="str">
            <v>A_2283210</v>
          </cell>
          <cell r="F238" t="str">
            <v>SERP Liability - Non-Current</v>
          </cell>
          <cell r="G238">
            <v>1160.2969800000001</v>
          </cell>
          <cell r="H238">
            <v>1133.4000000000001</v>
          </cell>
          <cell r="I238">
            <v>652.79999999999995</v>
          </cell>
          <cell r="J238">
            <v>450.8</v>
          </cell>
          <cell r="K238">
            <v>478.3</v>
          </cell>
          <cell r="L238">
            <v>500.3</v>
          </cell>
          <cell r="M238">
            <v>522.20000000000005</v>
          </cell>
          <cell r="N238">
            <v>544.20000000000005</v>
          </cell>
          <cell r="O238">
            <v>206.4</v>
          </cell>
          <cell r="P238">
            <v>234.7</v>
          </cell>
          <cell r="Q238">
            <v>263</v>
          </cell>
          <cell r="R238">
            <v>291.2</v>
          </cell>
          <cell r="S238">
            <v>319.5</v>
          </cell>
          <cell r="T238">
            <v>350.1</v>
          </cell>
          <cell r="U238">
            <v>359.8</v>
          </cell>
          <cell r="V238">
            <v>336.3</v>
          </cell>
          <cell r="W238">
            <v>356.5</v>
          </cell>
          <cell r="X238">
            <v>388.5</v>
          </cell>
          <cell r="Y238">
            <v>411</v>
          </cell>
          <cell r="Z238">
            <v>433.5</v>
          </cell>
          <cell r="AA238">
            <v>456</v>
          </cell>
          <cell r="AB238">
            <v>478.5</v>
          </cell>
          <cell r="AC238">
            <v>501</v>
          </cell>
          <cell r="AD238">
            <v>523.6</v>
          </cell>
          <cell r="AE238">
            <v>546.1</v>
          </cell>
          <cell r="AF238">
            <v>566.5</v>
          </cell>
          <cell r="AG238">
            <v>586.79999999999995</v>
          </cell>
          <cell r="AH238">
            <v>607.20000000000005</v>
          </cell>
          <cell r="AI238">
            <v>631.1</v>
          </cell>
          <cell r="AJ238">
            <v>652.29999999999995</v>
          </cell>
          <cell r="AK238">
            <v>673.6</v>
          </cell>
          <cell r="AL238">
            <v>694.8</v>
          </cell>
          <cell r="AM238">
            <v>716.1</v>
          </cell>
          <cell r="AN238">
            <v>667.8</v>
          </cell>
          <cell r="AO238">
            <v>698.5</v>
          </cell>
          <cell r="AP238">
            <v>729.2</v>
          </cell>
          <cell r="AQ238">
            <v>759.9</v>
          </cell>
          <cell r="AR238">
            <v>1371.1</v>
          </cell>
          <cell r="AS238">
            <v>813.8</v>
          </cell>
          <cell r="AT238">
            <v>840.8</v>
          </cell>
          <cell r="AU238">
            <v>867.8</v>
          </cell>
          <cell r="AV238">
            <v>894.7</v>
          </cell>
          <cell r="AW238">
            <v>961.9</v>
          </cell>
          <cell r="AX238">
            <v>995.6</v>
          </cell>
          <cell r="AY238">
            <v>1032.3</v>
          </cell>
          <cell r="AZ238">
            <v>1062.9000000000001</v>
          </cell>
          <cell r="BA238">
            <v>1096.5999999999999</v>
          </cell>
          <cell r="BB238">
            <v>1130.2</v>
          </cell>
          <cell r="BC238">
            <v>1163.9000000000001</v>
          </cell>
          <cell r="BD238">
            <v>1470.6</v>
          </cell>
          <cell r="BE238">
            <v>1210.5999999999999</v>
          </cell>
          <cell r="BF238">
            <v>1234</v>
          </cell>
          <cell r="BG238">
            <v>1257.4000000000001</v>
          </cell>
          <cell r="BH238">
            <v>1214.0999999999999</v>
          </cell>
          <cell r="BI238">
            <v>1261.0999999999999</v>
          </cell>
          <cell r="BJ238">
            <v>1285.5</v>
          </cell>
          <cell r="BK238">
            <v>1309.5999999999999</v>
          </cell>
          <cell r="BL238">
            <v>1334.1</v>
          </cell>
          <cell r="BM238">
            <v>1358.5</v>
          </cell>
          <cell r="BN238">
            <v>1383.3</v>
          </cell>
          <cell r="BO238">
            <v>1407.8</v>
          </cell>
          <cell r="BP238">
            <v>1430.4</v>
          </cell>
          <cell r="BQ238">
            <v>1453</v>
          </cell>
          <cell r="BR238">
            <v>1475.6</v>
          </cell>
          <cell r="BS238">
            <v>1498.2</v>
          </cell>
          <cell r="BT238">
            <v>1520.8</v>
          </cell>
          <cell r="BU238">
            <v>1564.7</v>
          </cell>
          <cell r="BV238">
            <v>1590.9</v>
          </cell>
          <cell r="BW238">
            <v>1617.1</v>
          </cell>
          <cell r="BX238">
            <v>1643.2</v>
          </cell>
          <cell r="BY238">
            <v>1669.4</v>
          </cell>
          <cell r="BZ238">
            <v>1695.5</v>
          </cell>
          <cell r="CA238">
            <v>1721.7</v>
          </cell>
          <cell r="CB238">
            <v>1732.5</v>
          </cell>
          <cell r="CC238">
            <v>1743.2</v>
          </cell>
          <cell r="CD238">
            <v>1753.9</v>
          </cell>
          <cell r="CE238">
            <v>1764.7</v>
          </cell>
          <cell r="CF238">
            <v>1775.4</v>
          </cell>
          <cell r="CG238">
            <v>1792</v>
          </cell>
          <cell r="CH238">
            <v>1803.7</v>
          </cell>
          <cell r="CI238">
            <v>1815.4</v>
          </cell>
          <cell r="CJ238">
            <v>1827.1</v>
          </cell>
          <cell r="CK238">
            <v>1838.9</v>
          </cell>
          <cell r="CL238">
            <v>1850.6</v>
          </cell>
          <cell r="CM238">
            <v>1862.3</v>
          </cell>
          <cell r="CN238">
            <v>1873.4</v>
          </cell>
          <cell r="CO238">
            <v>1884.6</v>
          </cell>
          <cell r="CP238">
            <v>760.8</v>
          </cell>
          <cell r="CQ238">
            <v>772</v>
          </cell>
          <cell r="CR238">
            <v>783.1</v>
          </cell>
          <cell r="CS238">
            <v>794.3</v>
          </cell>
          <cell r="CT238">
            <v>814.1</v>
          </cell>
          <cell r="CU238">
            <v>826.5</v>
          </cell>
          <cell r="CV238">
            <v>838.9</v>
          </cell>
          <cell r="CW238">
            <v>851.3</v>
          </cell>
          <cell r="CX238">
            <v>863.7</v>
          </cell>
          <cell r="CY238">
            <v>876</v>
          </cell>
          <cell r="CZ238">
            <v>888</v>
          </cell>
          <cell r="DA238">
            <v>899.9</v>
          </cell>
          <cell r="DB238">
            <v>911.8</v>
          </cell>
          <cell r="DC238">
            <v>923.7</v>
          </cell>
          <cell r="DD238">
            <v>935.6</v>
          </cell>
          <cell r="DE238">
            <v>943.9</v>
          </cell>
          <cell r="DF238">
            <v>955.3</v>
          </cell>
          <cell r="DG238">
            <v>966.6</v>
          </cell>
          <cell r="DH238">
            <v>977.9</v>
          </cell>
          <cell r="DI238">
            <v>989.2</v>
          </cell>
          <cell r="DJ238">
            <v>1000.5</v>
          </cell>
          <cell r="DK238">
            <v>1013</v>
          </cell>
          <cell r="DL238">
            <v>1020.7</v>
          </cell>
          <cell r="DM238">
            <v>1029.7</v>
          </cell>
          <cell r="DN238">
            <v>1038.5999999999999</v>
          </cell>
          <cell r="DO238">
            <v>1047.5</v>
          </cell>
          <cell r="DP238">
            <v>1056.4000000000001</v>
          </cell>
          <cell r="DQ238">
            <v>1065.3</v>
          </cell>
          <cell r="DR238">
            <v>1074.2</v>
          </cell>
          <cell r="DS238">
            <v>1083.0999999999999</v>
          </cell>
          <cell r="DT238">
            <v>1092</v>
          </cell>
          <cell r="DU238">
            <v>1100.9000000000001</v>
          </cell>
          <cell r="DV238">
            <v>1109.8</v>
          </cell>
          <cell r="DW238">
            <v>1118.7</v>
          </cell>
        </row>
        <row r="239">
          <cell r="A239" t="str">
            <v>Pensions &amp; Benefits Reserve</v>
          </cell>
          <cell r="B239" t="str">
            <v>Pensions and Benefits</v>
          </cell>
          <cell r="C239" t="str">
            <v>Pensions &amp; Benefits Reserve</v>
          </cell>
          <cell r="D239" t="str">
            <v>2283211</v>
          </cell>
          <cell r="E239" t="str">
            <v>A_2283211</v>
          </cell>
          <cell r="F239" t="str">
            <v>SERP Liability FAS158 - Non-Current</v>
          </cell>
          <cell r="G239">
            <v>2750.6239999999998</v>
          </cell>
          <cell r="H239">
            <v>2750.6</v>
          </cell>
          <cell r="I239">
            <v>2750.6</v>
          </cell>
          <cell r="J239">
            <v>2701.6</v>
          </cell>
          <cell r="K239">
            <v>2701.6</v>
          </cell>
          <cell r="L239">
            <v>2701.6</v>
          </cell>
          <cell r="M239">
            <v>2640.6</v>
          </cell>
          <cell r="N239">
            <v>2640.6</v>
          </cell>
          <cell r="O239">
            <v>2640.6</v>
          </cell>
          <cell r="P239">
            <v>2585.6</v>
          </cell>
          <cell r="Q239">
            <v>2585.6</v>
          </cell>
          <cell r="R239">
            <v>2585.6</v>
          </cell>
          <cell r="S239">
            <v>2780</v>
          </cell>
          <cell r="T239">
            <v>2780</v>
          </cell>
          <cell r="U239">
            <v>2780</v>
          </cell>
          <cell r="V239">
            <v>2813.9</v>
          </cell>
          <cell r="W239">
            <v>2813.9</v>
          </cell>
          <cell r="X239">
            <v>2813.9</v>
          </cell>
          <cell r="Y239">
            <v>2699.9</v>
          </cell>
          <cell r="Z239">
            <v>2699.9</v>
          </cell>
          <cell r="AA239">
            <v>2699.9</v>
          </cell>
          <cell r="AB239">
            <v>2659.8</v>
          </cell>
          <cell r="AC239">
            <v>2659.8</v>
          </cell>
          <cell r="AD239">
            <v>2659.8</v>
          </cell>
          <cell r="AE239">
            <v>2360</v>
          </cell>
          <cell r="AF239">
            <v>2360</v>
          </cell>
          <cell r="AG239">
            <v>2360</v>
          </cell>
          <cell r="AH239">
            <v>2326.8000000000002</v>
          </cell>
          <cell r="AI239">
            <v>2326.8000000000002</v>
          </cell>
          <cell r="AJ239">
            <v>2326.8000000000002</v>
          </cell>
          <cell r="AK239">
            <v>2286</v>
          </cell>
          <cell r="AL239">
            <v>2286</v>
          </cell>
          <cell r="AM239">
            <v>2286</v>
          </cell>
          <cell r="AN239">
            <v>2491.4</v>
          </cell>
          <cell r="AO239">
            <v>2491.4</v>
          </cell>
          <cell r="AP239">
            <v>2491.4</v>
          </cell>
          <cell r="AQ239">
            <v>1703.3</v>
          </cell>
          <cell r="AR239">
            <v>1703.3</v>
          </cell>
          <cell r="AS239">
            <v>1703.3</v>
          </cell>
          <cell r="AT239">
            <v>1635.3</v>
          </cell>
          <cell r="AU239">
            <v>1635.3</v>
          </cell>
          <cell r="AV239">
            <v>1635.3</v>
          </cell>
          <cell r="AW239">
            <v>1681.6</v>
          </cell>
          <cell r="AX239">
            <v>1681.6</v>
          </cell>
          <cell r="AY239">
            <v>1681.6</v>
          </cell>
          <cell r="AZ239">
            <v>1590.5</v>
          </cell>
          <cell r="BA239">
            <v>1590.5</v>
          </cell>
          <cell r="BB239">
            <v>1590.5</v>
          </cell>
          <cell r="BC239">
            <v>912.3</v>
          </cell>
          <cell r="BD239">
            <v>912.3</v>
          </cell>
          <cell r="BE239">
            <v>912.3</v>
          </cell>
          <cell r="BF239">
            <v>845.1</v>
          </cell>
          <cell r="BG239">
            <v>845.1</v>
          </cell>
          <cell r="BH239">
            <v>845.1</v>
          </cell>
          <cell r="BI239">
            <v>760.9</v>
          </cell>
          <cell r="BJ239">
            <v>760.9</v>
          </cell>
          <cell r="BK239">
            <v>760.9</v>
          </cell>
          <cell r="BL239">
            <v>698.9</v>
          </cell>
          <cell r="BM239">
            <v>698.9</v>
          </cell>
          <cell r="BN239">
            <v>698.9</v>
          </cell>
          <cell r="BO239">
            <v>458.3</v>
          </cell>
          <cell r="BP239">
            <v>458.3</v>
          </cell>
          <cell r="BQ239">
            <v>458.3</v>
          </cell>
          <cell r="BR239">
            <v>410.6</v>
          </cell>
          <cell r="BS239">
            <v>410.6</v>
          </cell>
          <cell r="BT239">
            <v>410.6</v>
          </cell>
          <cell r="BU239">
            <v>340.7</v>
          </cell>
          <cell r="BV239">
            <v>340.7</v>
          </cell>
          <cell r="BW239">
            <v>340.7</v>
          </cell>
          <cell r="BX239">
            <v>281.89999999999998</v>
          </cell>
          <cell r="BY239">
            <v>281.89999999999998</v>
          </cell>
          <cell r="BZ239">
            <v>281.89999999999998</v>
          </cell>
          <cell r="CA239">
            <v>27.3</v>
          </cell>
          <cell r="CB239">
            <v>27.3</v>
          </cell>
          <cell r="CC239">
            <v>27.3</v>
          </cell>
          <cell r="CD239">
            <v>8.1</v>
          </cell>
          <cell r="CE239">
            <v>8.1</v>
          </cell>
          <cell r="CF239">
            <v>8.1</v>
          </cell>
          <cell r="CG239">
            <v>-16.2</v>
          </cell>
          <cell r="CH239">
            <v>-16.2</v>
          </cell>
          <cell r="CI239">
            <v>-16.2</v>
          </cell>
          <cell r="CJ239">
            <v>-38</v>
          </cell>
          <cell r="CK239">
            <v>-38</v>
          </cell>
          <cell r="CL239">
            <v>-38</v>
          </cell>
          <cell r="CM239">
            <v>969.8</v>
          </cell>
          <cell r="CN239">
            <v>969.8</v>
          </cell>
          <cell r="CO239">
            <v>969.8</v>
          </cell>
          <cell r="CP239">
            <v>944.7</v>
          </cell>
          <cell r="CQ239">
            <v>944.7</v>
          </cell>
          <cell r="CR239">
            <v>944.7</v>
          </cell>
          <cell r="CS239">
            <v>919.6</v>
          </cell>
          <cell r="CT239">
            <v>919.6</v>
          </cell>
          <cell r="CU239">
            <v>919.6</v>
          </cell>
          <cell r="CV239">
            <v>885.1</v>
          </cell>
          <cell r="CW239">
            <v>885.1</v>
          </cell>
          <cell r="CX239">
            <v>885.1</v>
          </cell>
          <cell r="CY239">
            <v>966.4</v>
          </cell>
          <cell r="CZ239">
            <v>966.4</v>
          </cell>
          <cell r="DA239">
            <v>966.4</v>
          </cell>
          <cell r="DB239">
            <v>940.7</v>
          </cell>
          <cell r="DC239">
            <v>940.7</v>
          </cell>
          <cell r="DD239">
            <v>940.7</v>
          </cell>
          <cell r="DE239">
            <v>918.7</v>
          </cell>
          <cell r="DF239">
            <v>918.7</v>
          </cell>
          <cell r="DG239">
            <v>918.7</v>
          </cell>
          <cell r="DH239">
            <v>894.8</v>
          </cell>
          <cell r="DI239">
            <v>894.8</v>
          </cell>
          <cell r="DJ239">
            <v>894.8</v>
          </cell>
          <cell r="DK239">
            <v>660.4</v>
          </cell>
          <cell r="DL239">
            <v>660.4</v>
          </cell>
          <cell r="DM239">
            <v>660.4</v>
          </cell>
          <cell r="DN239">
            <v>660.4</v>
          </cell>
          <cell r="DO239">
            <v>660.4</v>
          </cell>
          <cell r="DP239">
            <v>660.4</v>
          </cell>
          <cell r="DQ239">
            <v>660.4</v>
          </cell>
          <cell r="DR239">
            <v>660.4</v>
          </cell>
          <cell r="DS239">
            <v>660.4</v>
          </cell>
          <cell r="DT239">
            <v>660.4</v>
          </cell>
          <cell r="DU239">
            <v>660.4</v>
          </cell>
          <cell r="DV239">
            <v>660.4</v>
          </cell>
          <cell r="DW239">
            <v>660.4</v>
          </cell>
          <cell r="EK239" t="str">
            <v>2022 8+4 Dec Balance</v>
          </cell>
          <cell r="EL239" t="str">
            <v>A_2283211</v>
          </cell>
          <cell r="EM239">
            <v>660400</v>
          </cell>
          <cell r="EN239">
            <v>660400</v>
          </cell>
          <cell r="EO239">
            <v>660400</v>
          </cell>
          <cell r="EP239">
            <v>660400</v>
          </cell>
          <cell r="EQ239">
            <v>660400</v>
          </cell>
          <cell r="ER239">
            <v>660400</v>
          </cell>
          <cell r="ES239">
            <v>660400</v>
          </cell>
          <cell r="ET239">
            <v>660400</v>
          </cell>
          <cell r="EU239">
            <v>660400</v>
          </cell>
          <cell r="EV239">
            <v>660400</v>
          </cell>
          <cell r="EW239">
            <v>660400</v>
          </cell>
          <cell r="EX239">
            <v>660400</v>
          </cell>
        </row>
        <row r="240">
          <cell r="A240" t="str">
            <v>Pensions &amp; Benefits Reserve</v>
          </cell>
          <cell r="B240" t="str">
            <v>Pensions and Benefits</v>
          </cell>
          <cell r="C240" t="str">
            <v>Pensions &amp; Benefits Reserve</v>
          </cell>
          <cell r="D240" t="str">
            <v>2283220</v>
          </cell>
          <cell r="E240" t="str">
            <v>A_2283220</v>
          </cell>
          <cell r="F240" t="str">
            <v>Restoration Benefit Plan Liability - Non-Current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0.8</v>
          </cell>
          <cell r="AK240">
            <v>1</v>
          </cell>
          <cell r="AL240">
            <v>1.2</v>
          </cell>
          <cell r="AM240">
            <v>1.3</v>
          </cell>
          <cell r="AN240">
            <v>1.5</v>
          </cell>
          <cell r="AO240">
            <v>1.7</v>
          </cell>
          <cell r="AP240">
            <v>1.8</v>
          </cell>
          <cell r="AQ240">
            <v>2</v>
          </cell>
          <cell r="AR240">
            <v>2.2000000000000002</v>
          </cell>
          <cell r="AS240">
            <v>2.4</v>
          </cell>
          <cell r="AT240">
            <v>2.5</v>
          </cell>
          <cell r="AU240">
            <v>2.7</v>
          </cell>
          <cell r="AV240">
            <v>2.9</v>
          </cell>
          <cell r="AW240">
            <v>21.8</v>
          </cell>
          <cell r="AX240">
            <v>25.1</v>
          </cell>
          <cell r="AY240">
            <v>28.4</v>
          </cell>
          <cell r="AZ240">
            <v>31.7</v>
          </cell>
          <cell r="BA240">
            <v>35</v>
          </cell>
          <cell r="BB240">
            <v>38.299999999999997</v>
          </cell>
          <cell r="BC240">
            <v>41.6</v>
          </cell>
          <cell r="BD240">
            <v>45.2</v>
          </cell>
          <cell r="BE240">
            <v>48.9</v>
          </cell>
          <cell r="BF240">
            <v>52.5</v>
          </cell>
          <cell r="BG240">
            <v>56.1</v>
          </cell>
          <cell r="BH240">
            <v>73.8</v>
          </cell>
          <cell r="BI240">
            <v>84.5</v>
          </cell>
          <cell r="BJ240">
            <v>95.1</v>
          </cell>
          <cell r="BK240">
            <v>105.4</v>
          </cell>
          <cell r="BL240">
            <v>115.8</v>
          </cell>
          <cell r="BM240">
            <v>126.1</v>
          </cell>
          <cell r="BN240">
            <v>136.4</v>
          </cell>
          <cell r="BO240">
            <v>146.80000000000001</v>
          </cell>
          <cell r="BP240">
            <v>156.1</v>
          </cell>
          <cell r="BQ240">
            <v>165.4</v>
          </cell>
          <cell r="BR240">
            <v>174.7</v>
          </cell>
          <cell r="BS240">
            <v>184</v>
          </cell>
          <cell r="BT240">
            <v>193.4</v>
          </cell>
          <cell r="BU240">
            <v>199.6</v>
          </cell>
          <cell r="BV240">
            <v>208.4</v>
          </cell>
          <cell r="BW240">
            <v>217.1</v>
          </cell>
          <cell r="BX240">
            <v>225.9</v>
          </cell>
          <cell r="BY240">
            <v>234.7</v>
          </cell>
          <cell r="BZ240">
            <v>243.5</v>
          </cell>
          <cell r="CA240">
            <v>252.3</v>
          </cell>
          <cell r="CB240">
            <v>263.8</v>
          </cell>
          <cell r="CC240">
            <v>275.2</v>
          </cell>
          <cell r="CD240">
            <v>286.60000000000002</v>
          </cell>
          <cell r="CE240">
            <v>298.10000000000002</v>
          </cell>
          <cell r="CF240">
            <v>309.5</v>
          </cell>
          <cell r="CG240">
            <v>362.8</v>
          </cell>
          <cell r="CH240">
            <v>381.2</v>
          </cell>
          <cell r="CI240">
            <v>399.6</v>
          </cell>
          <cell r="CJ240">
            <v>418.1</v>
          </cell>
          <cell r="CK240">
            <v>436.5</v>
          </cell>
          <cell r="CL240">
            <v>454.9</v>
          </cell>
          <cell r="CM240">
            <v>473.3</v>
          </cell>
          <cell r="CN240">
            <v>493.2</v>
          </cell>
          <cell r="CO240">
            <v>513.1</v>
          </cell>
          <cell r="CP240">
            <v>532.70000000000005</v>
          </cell>
          <cell r="CQ240">
            <v>552.6</v>
          </cell>
          <cell r="CR240">
            <v>572.5</v>
          </cell>
          <cell r="CS240">
            <v>592.5</v>
          </cell>
          <cell r="CT240">
            <v>635.70000000000005</v>
          </cell>
          <cell r="CU240">
            <v>659</v>
          </cell>
          <cell r="CV240">
            <v>682.2</v>
          </cell>
          <cell r="CW240">
            <v>705.4</v>
          </cell>
          <cell r="CX240">
            <v>728.7</v>
          </cell>
          <cell r="CY240">
            <v>751.9</v>
          </cell>
          <cell r="CZ240">
            <v>761.8</v>
          </cell>
          <cell r="DA240">
            <v>771.8</v>
          </cell>
          <cell r="DB240">
            <v>781.7</v>
          </cell>
          <cell r="DC240">
            <v>791.6</v>
          </cell>
          <cell r="DD240">
            <v>801.5</v>
          </cell>
          <cell r="DE240">
            <v>-29</v>
          </cell>
          <cell r="DF240">
            <v>-15.8</v>
          </cell>
          <cell r="DG240">
            <v>-2.7</v>
          </cell>
          <cell r="DH240">
            <v>10.5</v>
          </cell>
          <cell r="DI240">
            <v>23.7</v>
          </cell>
          <cell r="DJ240">
            <v>36.9</v>
          </cell>
          <cell r="DK240">
            <v>50</v>
          </cell>
          <cell r="DL240">
            <v>58.6</v>
          </cell>
          <cell r="DM240">
            <v>67.099999999999994</v>
          </cell>
          <cell r="DN240">
            <v>75.7</v>
          </cell>
          <cell r="DO240">
            <v>84.3</v>
          </cell>
          <cell r="DP240">
            <v>92.8</v>
          </cell>
          <cell r="DQ240">
            <v>101.4</v>
          </cell>
          <cell r="DR240">
            <v>109.9</v>
          </cell>
          <cell r="DS240">
            <v>118.5</v>
          </cell>
          <cell r="DT240">
            <v>127</v>
          </cell>
          <cell r="DU240">
            <v>135.6</v>
          </cell>
          <cell r="DV240">
            <v>144.19999999999999</v>
          </cell>
          <cell r="DW240">
            <v>152.69999999999999</v>
          </cell>
        </row>
        <row r="241">
          <cell r="A241" t="str">
            <v>Pensions &amp; Benefits Reserve</v>
          </cell>
          <cell r="B241" t="str">
            <v>Pensions and Benefits</v>
          </cell>
          <cell r="C241" t="str">
            <v>Pensions &amp; Benefits Reserve</v>
          </cell>
          <cell r="D241" t="str">
            <v>2283221</v>
          </cell>
          <cell r="E241" t="str">
            <v>A_2283221</v>
          </cell>
          <cell r="F241" t="str">
            <v>Restoration Benefit Plan Liab FAS158 - Non-Current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9.3000000000000007</v>
          </cell>
          <cell r="AK241">
            <v>8.8000000000000007</v>
          </cell>
          <cell r="AL241">
            <v>8.8000000000000007</v>
          </cell>
          <cell r="AM241">
            <v>8.8000000000000007</v>
          </cell>
          <cell r="AN241">
            <v>9.4</v>
          </cell>
          <cell r="AO241">
            <v>9.4</v>
          </cell>
          <cell r="AP241">
            <v>9.4</v>
          </cell>
          <cell r="AQ241">
            <v>9.1</v>
          </cell>
          <cell r="AR241">
            <v>9.1</v>
          </cell>
          <cell r="AS241">
            <v>9.1</v>
          </cell>
          <cell r="AT241">
            <v>8.8000000000000007</v>
          </cell>
          <cell r="AU241">
            <v>8.8000000000000007</v>
          </cell>
          <cell r="AV241">
            <v>8.8000000000000007</v>
          </cell>
          <cell r="AW241">
            <v>255.8</v>
          </cell>
          <cell r="AX241">
            <v>255.8</v>
          </cell>
          <cell r="AY241">
            <v>255.8</v>
          </cell>
          <cell r="AZ241">
            <v>250.4</v>
          </cell>
          <cell r="BA241">
            <v>250.4</v>
          </cell>
          <cell r="BB241">
            <v>250.4</v>
          </cell>
          <cell r="BC241">
            <v>277.60000000000002</v>
          </cell>
          <cell r="BD241">
            <v>277.60000000000002</v>
          </cell>
          <cell r="BE241">
            <v>277.60000000000002</v>
          </cell>
          <cell r="BF241">
            <v>271.60000000000002</v>
          </cell>
          <cell r="BG241">
            <v>271.60000000000002</v>
          </cell>
          <cell r="BH241">
            <v>271.60000000000002</v>
          </cell>
          <cell r="BI241">
            <v>253.1</v>
          </cell>
          <cell r="BJ241">
            <v>253.1</v>
          </cell>
          <cell r="BK241">
            <v>253.1</v>
          </cell>
          <cell r="BL241">
            <v>236</v>
          </cell>
          <cell r="BM241">
            <v>236</v>
          </cell>
          <cell r="BN241">
            <v>236</v>
          </cell>
          <cell r="BO241">
            <v>679.6</v>
          </cell>
          <cell r="BP241">
            <v>679.6</v>
          </cell>
          <cell r="BQ241">
            <v>679.6</v>
          </cell>
          <cell r="BR241">
            <v>666</v>
          </cell>
          <cell r="BS241">
            <v>666</v>
          </cell>
          <cell r="BT241">
            <v>666</v>
          </cell>
          <cell r="BU241">
            <v>653.1</v>
          </cell>
          <cell r="BV241">
            <v>653.1</v>
          </cell>
          <cell r="BW241">
            <v>653.1</v>
          </cell>
          <cell r="BX241">
            <v>639.79999999999995</v>
          </cell>
          <cell r="BY241">
            <v>639.79999999999995</v>
          </cell>
          <cell r="BZ241">
            <v>639.79999999999995</v>
          </cell>
          <cell r="CA241">
            <v>889.7</v>
          </cell>
          <cell r="CB241">
            <v>889.7</v>
          </cell>
          <cell r="CC241">
            <v>889.7</v>
          </cell>
          <cell r="CD241">
            <v>870.9</v>
          </cell>
          <cell r="CE241">
            <v>870.9</v>
          </cell>
          <cell r="CF241">
            <v>870.9</v>
          </cell>
          <cell r="CG241">
            <v>826.1</v>
          </cell>
          <cell r="CH241">
            <v>826.1</v>
          </cell>
          <cell r="CI241">
            <v>826.1</v>
          </cell>
          <cell r="CJ241">
            <v>794.4</v>
          </cell>
          <cell r="CK241">
            <v>794.4</v>
          </cell>
          <cell r="CL241">
            <v>794.4</v>
          </cell>
          <cell r="CM241">
            <v>1541</v>
          </cell>
          <cell r="CN241">
            <v>1541</v>
          </cell>
          <cell r="CO241">
            <v>1541</v>
          </cell>
          <cell r="CP241">
            <v>1503.6</v>
          </cell>
          <cell r="CQ241">
            <v>1503.6</v>
          </cell>
          <cell r="CR241">
            <v>1503.6</v>
          </cell>
          <cell r="CS241">
            <v>1466.3</v>
          </cell>
          <cell r="CT241">
            <v>1466.3</v>
          </cell>
          <cell r="CU241">
            <v>1466.3</v>
          </cell>
          <cell r="CV241">
            <v>1400.2</v>
          </cell>
          <cell r="CW241">
            <v>1400.2</v>
          </cell>
          <cell r="CX241">
            <v>1400.2</v>
          </cell>
          <cell r="CY241">
            <v>-549.6</v>
          </cell>
          <cell r="CZ241">
            <v>-549.6</v>
          </cell>
          <cell r="DA241">
            <v>-549.6</v>
          </cell>
          <cell r="DB241">
            <v>-571.5</v>
          </cell>
          <cell r="DC241">
            <v>-571.5</v>
          </cell>
          <cell r="DD241">
            <v>-571.5</v>
          </cell>
          <cell r="DE241">
            <v>-604.79999999999995</v>
          </cell>
          <cell r="DF241">
            <v>-604.79999999999995</v>
          </cell>
          <cell r="DG241">
            <v>-604.79999999999995</v>
          </cell>
          <cell r="DH241">
            <v>-632.4</v>
          </cell>
          <cell r="DI241">
            <v>-632.4</v>
          </cell>
          <cell r="DJ241">
            <v>-632.4</v>
          </cell>
          <cell r="DK241">
            <v>336.6</v>
          </cell>
          <cell r="DL241">
            <v>336.6</v>
          </cell>
          <cell r="DM241">
            <v>336.6</v>
          </cell>
          <cell r="DN241">
            <v>336.6</v>
          </cell>
          <cell r="DO241">
            <v>336.6</v>
          </cell>
          <cell r="DP241">
            <v>336.6</v>
          </cell>
          <cell r="DQ241">
            <v>336.6</v>
          </cell>
          <cell r="DR241">
            <v>336.6</v>
          </cell>
          <cell r="DS241">
            <v>336.6</v>
          </cell>
          <cell r="DT241">
            <v>336.6</v>
          </cell>
          <cell r="DU241">
            <v>336.6</v>
          </cell>
          <cell r="DV241">
            <v>336.6</v>
          </cell>
          <cell r="DW241">
            <v>336.6</v>
          </cell>
          <cell r="EK241" t="str">
            <v>2022 8+4 Dec Balance</v>
          </cell>
          <cell r="EL241" t="str">
            <v>A_2283221</v>
          </cell>
          <cell r="EM241">
            <v>336600</v>
          </cell>
          <cell r="EN241">
            <v>336600</v>
          </cell>
          <cell r="EO241">
            <v>336600</v>
          </cell>
          <cell r="EP241">
            <v>336600</v>
          </cell>
          <cell r="EQ241">
            <v>336600</v>
          </cell>
          <cell r="ER241">
            <v>336600</v>
          </cell>
          <cell r="ES241">
            <v>336600</v>
          </cell>
          <cell r="ET241">
            <v>336600</v>
          </cell>
          <cell r="EU241">
            <v>336600</v>
          </cell>
          <cell r="EV241">
            <v>336600</v>
          </cell>
          <cell r="EW241">
            <v>336600</v>
          </cell>
          <cell r="EX241">
            <v>336600</v>
          </cell>
        </row>
        <row r="242">
          <cell r="A242" t="str">
            <v>Misc. Current Liabilities</v>
          </cell>
          <cell r="B242" t="str">
            <v>Other Liabilities</v>
          </cell>
          <cell r="C242" t="str">
            <v>Misc. Current Liabilities</v>
          </cell>
          <cell r="D242" t="str">
            <v>2283230</v>
          </cell>
          <cell r="E242" t="str">
            <v>A_2283230</v>
          </cell>
          <cell r="F242" t="str">
            <v>FAS106 Liability-Active - Non-Current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</row>
        <row r="243">
          <cell r="A243" t="str">
            <v>Pensions &amp; Benefits Reserve</v>
          </cell>
          <cell r="B243" t="str">
            <v>Pensions and Benefits</v>
          </cell>
          <cell r="C243" t="str">
            <v>Pensions &amp; Benefits Reserve</v>
          </cell>
          <cell r="D243" t="str">
            <v>2283231</v>
          </cell>
          <cell r="E243" t="str">
            <v>A_2283231</v>
          </cell>
          <cell r="F243" t="str">
            <v>FAS106 Liability FAS158 - Non-Current</v>
          </cell>
          <cell r="G243">
            <v>-2064.5349999999999</v>
          </cell>
          <cell r="H243">
            <v>-2064.5</v>
          </cell>
          <cell r="I243">
            <v>-2064.5</v>
          </cell>
          <cell r="J243">
            <v>-2064</v>
          </cell>
          <cell r="K243">
            <v>-2064</v>
          </cell>
          <cell r="L243">
            <v>-2064</v>
          </cell>
          <cell r="M243">
            <v>-2068.1999999999998</v>
          </cell>
          <cell r="N243">
            <v>-2068.1999999999998</v>
          </cell>
          <cell r="O243">
            <v>-2068.1999999999998</v>
          </cell>
          <cell r="P243">
            <v>-2070.6</v>
          </cell>
          <cell r="Q243">
            <v>-2070.6</v>
          </cell>
          <cell r="R243">
            <v>-2070.6</v>
          </cell>
          <cell r="S243">
            <v>-1854.4</v>
          </cell>
          <cell r="T243">
            <v>-1854.4</v>
          </cell>
          <cell r="U243">
            <v>-1854.4</v>
          </cell>
          <cell r="V243">
            <v>-1862.1</v>
          </cell>
          <cell r="W243">
            <v>-1862.1</v>
          </cell>
          <cell r="X243">
            <v>-1862.1</v>
          </cell>
          <cell r="Y243">
            <v>-1839.1</v>
          </cell>
          <cell r="Z243">
            <v>-1839.1</v>
          </cell>
          <cell r="AA243">
            <v>-1844.5</v>
          </cell>
          <cell r="AB243">
            <v>-1836.9</v>
          </cell>
          <cell r="AC243">
            <v>-1836.9</v>
          </cell>
          <cell r="AD243">
            <v>-1836.9</v>
          </cell>
          <cell r="AE243">
            <v>-2513.1</v>
          </cell>
          <cell r="AF243">
            <v>-2513.1</v>
          </cell>
          <cell r="AG243">
            <v>-2513.1</v>
          </cell>
          <cell r="AH243">
            <v>-2505.5</v>
          </cell>
          <cell r="AI243">
            <v>-2505.5</v>
          </cell>
          <cell r="AJ243">
            <v>-2505.5</v>
          </cell>
          <cell r="AK243">
            <v>-2497.8000000000002</v>
          </cell>
          <cell r="AL243">
            <v>-2497.8000000000002</v>
          </cell>
          <cell r="AM243">
            <v>-2497.8000000000002</v>
          </cell>
          <cell r="AN243">
            <v>-925</v>
          </cell>
          <cell r="AO243">
            <v>-925</v>
          </cell>
          <cell r="AP243">
            <v>-925</v>
          </cell>
          <cell r="AQ243">
            <v>-2236.9</v>
          </cell>
          <cell r="AR243">
            <v>-2236.9</v>
          </cell>
          <cell r="AS243">
            <v>-2236.9</v>
          </cell>
          <cell r="AT243">
            <v>-2229.1999999999998</v>
          </cell>
          <cell r="AU243">
            <v>-2229.1999999999998</v>
          </cell>
          <cell r="AV243">
            <v>-2229.1999999999998</v>
          </cell>
          <cell r="AW243">
            <v>-1524</v>
          </cell>
          <cell r="AX243">
            <v>-1524</v>
          </cell>
          <cell r="AY243">
            <v>-1524</v>
          </cell>
          <cell r="AZ243">
            <v>-1516.1</v>
          </cell>
          <cell r="BA243">
            <v>-1516.1</v>
          </cell>
          <cell r="BB243">
            <v>-1516.1</v>
          </cell>
          <cell r="BC243">
            <v>-123.6</v>
          </cell>
          <cell r="BD243">
            <v>-123.6</v>
          </cell>
          <cell r="BE243">
            <v>-123.6</v>
          </cell>
          <cell r="BF243">
            <v>-123.5</v>
          </cell>
          <cell r="BG243">
            <v>-123.5</v>
          </cell>
          <cell r="BH243">
            <v>-123.5</v>
          </cell>
          <cell r="BI243">
            <v>-127</v>
          </cell>
          <cell r="BJ243">
            <v>-127</v>
          </cell>
          <cell r="BK243">
            <v>-127</v>
          </cell>
          <cell r="BL243">
            <v>-125.3</v>
          </cell>
          <cell r="BM243">
            <v>-125.3</v>
          </cell>
          <cell r="BN243">
            <v>-125.3</v>
          </cell>
          <cell r="BO243">
            <v>-1193.9000000000001</v>
          </cell>
          <cell r="BP243">
            <v>-1193.9000000000001</v>
          </cell>
          <cell r="BQ243">
            <v>-1193.9000000000001</v>
          </cell>
          <cell r="BR243">
            <v>-1185.8</v>
          </cell>
          <cell r="BS243">
            <v>-1185.8</v>
          </cell>
          <cell r="BT243">
            <v>-1185.8</v>
          </cell>
          <cell r="BU243">
            <v>-1179.2</v>
          </cell>
          <cell r="BV243">
            <v>-1179.2</v>
          </cell>
          <cell r="BW243">
            <v>-1179.2</v>
          </cell>
          <cell r="BX243">
            <v>-1171.9000000000001</v>
          </cell>
          <cell r="BY243">
            <v>-1171.9000000000001</v>
          </cell>
          <cell r="BZ243">
            <v>-1171.9000000000001</v>
          </cell>
          <cell r="CA243">
            <v>1302.0999999999999</v>
          </cell>
          <cell r="CB243">
            <v>1302.0999999999999</v>
          </cell>
          <cell r="CC243">
            <v>1302.0999999999999</v>
          </cell>
          <cell r="CD243">
            <v>1293.8</v>
          </cell>
          <cell r="CE243">
            <v>1293.8</v>
          </cell>
          <cell r="CF243">
            <v>1293.8</v>
          </cell>
          <cell r="CG243">
            <v>1281.5</v>
          </cell>
          <cell r="CH243">
            <v>1281.5</v>
          </cell>
          <cell r="CI243">
            <v>1281.5</v>
          </cell>
          <cell r="CJ243">
            <v>1271.3</v>
          </cell>
          <cell r="CK243">
            <v>1271.3</v>
          </cell>
          <cell r="CL243">
            <v>1271.3</v>
          </cell>
          <cell r="CM243">
            <v>6585.4</v>
          </cell>
          <cell r="CN243">
            <v>6585.4</v>
          </cell>
          <cell r="CO243">
            <v>6585.4</v>
          </cell>
          <cell r="CP243">
            <v>6495.9</v>
          </cell>
          <cell r="CQ243">
            <v>6495.9</v>
          </cell>
          <cell r="CR243">
            <v>6495.9</v>
          </cell>
          <cell r="CS243">
            <v>6406.3</v>
          </cell>
          <cell r="CT243">
            <v>6406.3</v>
          </cell>
          <cell r="CU243">
            <v>6406.3</v>
          </cell>
          <cell r="CV243">
            <v>6244.6</v>
          </cell>
          <cell r="CW243">
            <v>6244.6</v>
          </cell>
          <cell r="CX243">
            <v>6244.6</v>
          </cell>
          <cell r="CY243">
            <v>5453.3</v>
          </cell>
          <cell r="CZ243">
            <v>5453.3</v>
          </cell>
          <cell r="DA243">
            <v>5453.3</v>
          </cell>
          <cell r="DB243">
            <v>5370.1</v>
          </cell>
          <cell r="DC243">
            <v>5370.1</v>
          </cell>
          <cell r="DD243">
            <v>5370.1</v>
          </cell>
          <cell r="DE243">
            <v>5317.4</v>
          </cell>
          <cell r="DF243">
            <v>5317.4</v>
          </cell>
          <cell r="DG243">
            <v>5317.4</v>
          </cell>
          <cell r="DH243">
            <v>5249.5</v>
          </cell>
          <cell r="DI243">
            <v>5249.5</v>
          </cell>
          <cell r="DJ243">
            <v>5249.5</v>
          </cell>
          <cell r="DK243">
            <v>-1237.3</v>
          </cell>
          <cell r="DL243">
            <v>-1237.3</v>
          </cell>
          <cell r="DM243">
            <v>-1237.3</v>
          </cell>
          <cell r="DN243">
            <v>-1237.3</v>
          </cell>
          <cell r="DO243">
            <v>-1237.3</v>
          </cell>
          <cell r="DP243">
            <v>-1237.3</v>
          </cell>
          <cell r="DQ243">
            <v>-1237.3</v>
          </cell>
          <cell r="DR243">
            <v>-1237.3</v>
          </cell>
          <cell r="DS243">
            <v>-1237.3</v>
          </cell>
          <cell r="DT243">
            <v>-1237.3</v>
          </cell>
          <cell r="DU243">
            <v>-1237.3</v>
          </cell>
          <cell r="DV243">
            <v>-1237.3</v>
          </cell>
          <cell r="DW243">
            <v>-1237.3</v>
          </cell>
          <cell r="EK243" t="str">
            <v>2022 8+4 Dec Balance</v>
          </cell>
          <cell r="EL243" t="str">
            <v>A_2283231</v>
          </cell>
          <cell r="EM243">
            <v>-1237300</v>
          </cell>
          <cell r="EN243">
            <v>-1237300</v>
          </cell>
          <cell r="EO243">
            <v>-1237300</v>
          </cell>
          <cell r="EP243">
            <v>-1237300</v>
          </cell>
          <cell r="EQ243">
            <v>-1237300</v>
          </cell>
          <cell r="ER243">
            <v>-1237300</v>
          </cell>
          <cell r="ES243">
            <v>-1237300</v>
          </cell>
          <cell r="ET243">
            <v>-1237300</v>
          </cell>
          <cell r="EU243">
            <v>-1237300</v>
          </cell>
          <cell r="EV243">
            <v>-1237300</v>
          </cell>
          <cell r="EW243">
            <v>-1237300</v>
          </cell>
          <cell r="EX243">
            <v>-1237300</v>
          </cell>
        </row>
        <row r="244">
          <cell r="A244" t="str">
            <v>Pensions &amp; Benefits Reserve</v>
          </cell>
          <cell r="B244" t="str">
            <v>Other Liabilities</v>
          </cell>
          <cell r="C244" t="str">
            <v>Misc. Current Liabilities</v>
          </cell>
          <cell r="D244" t="str">
            <v>2283232</v>
          </cell>
          <cell r="E244" t="str">
            <v>A_2283232</v>
          </cell>
          <cell r="F244" t="str">
            <v>FAS106 Liability-Retired - Non-Current</v>
          </cell>
          <cell r="G244">
            <v>15170.213300000001</v>
          </cell>
          <cell r="H244">
            <v>15183.1</v>
          </cell>
          <cell r="I244">
            <v>15194.4</v>
          </cell>
          <cell r="J244">
            <v>15241.5</v>
          </cell>
          <cell r="K244">
            <v>15323.7</v>
          </cell>
          <cell r="L244">
            <v>15355</v>
          </cell>
          <cell r="M244">
            <v>15391.4</v>
          </cell>
          <cell r="N244">
            <v>15464.3</v>
          </cell>
          <cell r="O244">
            <v>15500.4</v>
          </cell>
          <cell r="P244">
            <v>15526.1</v>
          </cell>
          <cell r="Q244">
            <v>15528.6</v>
          </cell>
          <cell r="R244">
            <v>15558.1</v>
          </cell>
          <cell r="S244">
            <v>15497.4</v>
          </cell>
          <cell r="T244">
            <v>15563</v>
          </cell>
          <cell r="U244">
            <v>15628.8</v>
          </cell>
          <cell r="V244">
            <v>15636.7</v>
          </cell>
          <cell r="W244">
            <v>15706.9</v>
          </cell>
          <cell r="X244">
            <v>15640.3</v>
          </cell>
          <cell r="Y244">
            <v>15642.1</v>
          </cell>
          <cell r="Z244">
            <v>15717.4</v>
          </cell>
          <cell r="AA244">
            <v>15499.5</v>
          </cell>
          <cell r="AB244">
            <v>15489.5</v>
          </cell>
          <cell r="AC244">
            <v>15478.7</v>
          </cell>
          <cell r="AD244">
            <v>15479</v>
          </cell>
          <cell r="AE244">
            <v>15447.6</v>
          </cell>
          <cell r="AF244">
            <v>15498.7</v>
          </cell>
          <cell r="AG244">
            <v>15530.3</v>
          </cell>
          <cell r="AH244">
            <v>15517.5</v>
          </cell>
          <cell r="AI244">
            <v>15559.8</v>
          </cell>
          <cell r="AJ244">
            <v>15559.6</v>
          </cell>
          <cell r="AK244">
            <v>15621.3</v>
          </cell>
          <cell r="AL244">
            <v>15567.4</v>
          </cell>
          <cell r="AM244">
            <v>15543.3</v>
          </cell>
          <cell r="AN244">
            <v>15588.8</v>
          </cell>
          <cell r="AO244">
            <v>15546.4</v>
          </cell>
          <cell r="AP244">
            <v>15591.3</v>
          </cell>
          <cell r="AQ244">
            <v>15627.6</v>
          </cell>
          <cell r="AR244">
            <v>15626.9</v>
          </cell>
          <cell r="AS244">
            <v>15637.8</v>
          </cell>
          <cell r="AT244">
            <v>15567.4</v>
          </cell>
          <cell r="AU244">
            <v>15677.8</v>
          </cell>
          <cell r="AV244">
            <v>15728.8</v>
          </cell>
          <cell r="AW244">
            <v>15738.6</v>
          </cell>
          <cell r="AX244">
            <v>15704.3</v>
          </cell>
          <cell r="AY244">
            <v>15732.4</v>
          </cell>
          <cell r="AZ244">
            <v>15743.3</v>
          </cell>
          <cell r="BA244">
            <v>15762.7</v>
          </cell>
          <cell r="BB244">
            <v>15733.7</v>
          </cell>
          <cell r="BC244">
            <v>15742.6</v>
          </cell>
          <cell r="BD244">
            <v>15693.9</v>
          </cell>
          <cell r="BE244">
            <v>15655.6</v>
          </cell>
          <cell r="BF244">
            <v>15779.6</v>
          </cell>
          <cell r="BG244">
            <v>15724</v>
          </cell>
          <cell r="BH244">
            <v>15695.1</v>
          </cell>
          <cell r="BI244">
            <v>15643.6</v>
          </cell>
          <cell r="BJ244">
            <v>15692.1</v>
          </cell>
          <cell r="BK244">
            <v>15602.2</v>
          </cell>
          <cell r="BL244">
            <v>15612.7</v>
          </cell>
          <cell r="BM244">
            <v>15552.1</v>
          </cell>
          <cell r="BN244">
            <v>15516.3</v>
          </cell>
          <cell r="BO244">
            <v>15538</v>
          </cell>
          <cell r="BP244">
            <v>15543.1</v>
          </cell>
          <cell r="BQ244">
            <v>15534.6</v>
          </cell>
          <cell r="BR244">
            <v>15545.8</v>
          </cell>
          <cell r="BS244">
            <v>15595.5</v>
          </cell>
          <cell r="BT244">
            <v>15676.2</v>
          </cell>
          <cell r="BU244">
            <v>15703.6</v>
          </cell>
          <cell r="BV244">
            <v>15723.6</v>
          </cell>
          <cell r="BW244">
            <v>15696.3</v>
          </cell>
          <cell r="BX244">
            <v>15728.4</v>
          </cell>
          <cell r="BY244">
            <v>15741.2</v>
          </cell>
          <cell r="BZ244">
            <v>15759.1</v>
          </cell>
          <cell r="CA244">
            <v>15705.9</v>
          </cell>
          <cell r="CB244">
            <v>15732.2</v>
          </cell>
          <cell r="CC244">
            <v>15732.4</v>
          </cell>
          <cell r="CD244">
            <v>15634.6</v>
          </cell>
          <cell r="CE244">
            <v>15541.2</v>
          </cell>
          <cell r="CF244">
            <v>15549.5</v>
          </cell>
          <cell r="CG244">
            <v>15543.3</v>
          </cell>
          <cell r="CH244">
            <v>15536.5</v>
          </cell>
          <cell r="CI244">
            <v>15501.1</v>
          </cell>
          <cell r="CJ244">
            <v>15554.2</v>
          </cell>
          <cell r="CK244">
            <v>15529.4</v>
          </cell>
          <cell r="CL244">
            <v>15452.4</v>
          </cell>
          <cell r="CM244">
            <v>15429.6</v>
          </cell>
          <cell r="CN244">
            <v>15505.4</v>
          </cell>
          <cell r="CO244">
            <v>15541.1</v>
          </cell>
          <cell r="CP244">
            <v>15571.2</v>
          </cell>
          <cell r="CQ244">
            <v>15644.3</v>
          </cell>
          <cell r="CR244">
            <v>15652.5</v>
          </cell>
          <cell r="CS244">
            <v>15658.9</v>
          </cell>
          <cell r="CT244">
            <v>15696.8</v>
          </cell>
          <cell r="CU244">
            <v>15478.7</v>
          </cell>
          <cell r="CV244">
            <v>15520</v>
          </cell>
          <cell r="CW244">
            <v>15612</v>
          </cell>
          <cell r="CX244">
            <v>15554.5</v>
          </cell>
          <cell r="CY244">
            <v>15636.5</v>
          </cell>
          <cell r="CZ244">
            <v>15744.2</v>
          </cell>
          <cell r="DA244">
            <v>15779.2</v>
          </cell>
          <cell r="DB244">
            <v>15724.6</v>
          </cell>
          <cell r="DC244">
            <v>15775.2</v>
          </cell>
          <cell r="DD244">
            <v>15836.3</v>
          </cell>
          <cell r="DE244">
            <v>15720</v>
          </cell>
          <cell r="DF244">
            <v>15581</v>
          </cell>
          <cell r="DG244">
            <v>15588.2</v>
          </cell>
          <cell r="DH244">
            <v>15516.7</v>
          </cell>
          <cell r="DI244">
            <v>15473.9</v>
          </cell>
          <cell r="DJ244">
            <v>15299</v>
          </cell>
          <cell r="DK244">
            <v>15380</v>
          </cell>
          <cell r="DL244">
            <v>15376.3</v>
          </cell>
          <cell r="DM244">
            <v>15355.2</v>
          </cell>
          <cell r="DN244">
            <v>15334</v>
          </cell>
          <cell r="DO244">
            <v>15312.9</v>
          </cell>
          <cell r="DP244">
            <v>15291.8</v>
          </cell>
          <cell r="DQ244">
            <v>15270.6</v>
          </cell>
          <cell r="DR244">
            <v>15249.5</v>
          </cell>
          <cell r="DS244">
            <v>15228.4</v>
          </cell>
          <cell r="DT244">
            <v>15207.2</v>
          </cell>
          <cell r="DU244">
            <v>15186.1</v>
          </cell>
          <cell r="DV244">
            <v>15165</v>
          </cell>
          <cell r="DW244">
            <v>15143.8</v>
          </cell>
        </row>
        <row r="245">
          <cell r="A245" t="str">
            <v>Pensions &amp; Benefits Reserve</v>
          </cell>
          <cell r="B245" t="str">
            <v>Pensions and Benefits</v>
          </cell>
          <cell r="C245" t="str">
            <v>Pensions &amp; Benefits Reserve</v>
          </cell>
          <cell r="D245" t="str">
            <v>2283240</v>
          </cell>
          <cell r="E245" t="str">
            <v>A_2283240</v>
          </cell>
          <cell r="F245" t="str">
            <v>FAS112 Liab for Long-term Disability - Non-Current</v>
          </cell>
          <cell r="G245">
            <v>1338.1210000000001</v>
          </cell>
          <cell r="H245">
            <v>1342</v>
          </cell>
          <cell r="I245">
            <v>1353.8</v>
          </cell>
          <cell r="J245">
            <v>1343.5</v>
          </cell>
          <cell r="K245">
            <v>1319</v>
          </cell>
          <cell r="L245">
            <v>1334.9</v>
          </cell>
          <cell r="M245">
            <v>1339.1</v>
          </cell>
          <cell r="N245">
            <v>1343.8</v>
          </cell>
          <cell r="O245">
            <v>1604.6</v>
          </cell>
          <cell r="P245">
            <v>1574.6</v>
          </cell>
          <cell r="Q245">
            <v>1575.2</v>
          </cell>
          <cell r="R245">
            <v>1571.4</v>
          </cell>
          <cell r="S245">
            <v>1911.8</v>
          </cell>
          <cell r="T245">
            <v>1912.3</v>
          </cell>
          <cell r="U245">
            <v>1752.4</v>
          </cell>
          <cell r="V245">
            <v>1761.2</v>
          </cell>
          <cell r="W245">
            <v>1784.9</v>
          </cell>
          <cell r="X245">
            <v>1775.2</v>
          </cell>
          <cell r="Y245">
            <v>1795.7</v>
          </cell>
          <cell r="Z245">
            <v>1887.5</v>
          </cell>
          <cell r="AA245">
            <v>1900.8</v>
          </cell>
          <cell r="AB245">
            <v>2235.8000000000002</v>
          </cell>
          <cell r="AC245">
            <v>2237</v>
          </cell>
          <cell r="AD245">
            <v>2249.1</v>
          </cell>
          <cell r="AE245">
            <v>1967.2</v>
          </cell>
          <cell r="AF245">
            <v>2019.1</v>
          </cell>
          <cell r="AG245">
            <v>2021.9</v>
          </cell>
          <cell r="AH245">
            <v>2031.3</v>
          </cell>
          <cell r="AI245">
            <v>2047.2</v>
          </cell>
          <cell r="AJ245">
            <v>2035.9</v>
          </cell>
          <cell r="AK245">
            <v>2027.7</v>
          </cell>
          <cell r="AL245">
            <v>2020</v>
          </cell>
          <cell r="AM245">
            <v>1984.5</v>
          </cell>
          <cell r="AN245">
            <v>2484</v>
          </cell>
          <cell r="AO245">
            <v>2521.5</v>
          </cell>
          <cell r="AP245">
            <v>2565</v>
          </cell>
          <cell r="AQ245">
            <v>2443</v>
          </cell>
          <cell r="AR245">
            <v>2491.6</v>
          </cell>
          <cell r="AS245">
            <v>2526.4</v>
          </cell>
          <cell r="AT245">
            <v>2559.3000000000002</v>
          </cell>
          <cell r="AU245">
            <v>2608.4</v>
          </cell>
          <cell r="AV245">
            <v>2651.1</v>
          </cell>
          <cell r="AW245">
            <v>2611.3000000000002</v>
          </cell>
          <cell r="AX245">
            <v>2648.1</v>
          </cell>
          <cell r="AY245">
            <v>2660.4</v>
          </cell>
          <cell r="AZ245">
            <v>3231.3</v>
          </cell>
          <cell r="BA245">
            <v>3323.6</v>
          </cell>
          <cell r="BB245">
            <v>3382.1</v>
          </cell>
          <cell r="BC245">
            <v>3050</v>
          </cell>
          <cell r="BD245">
            <v>3034.1</v>
          </cell>
          <cell r="BE245">
            <v>3072.3</v>
          </cell>
          <cell r="BF245">
            <v>3115.8</v>
          </cell>
          <cell r="BG245">
            <v>3136</v>
          </cell>
          <cell r="BH245">
            <v>3124.5</v>
          </cell>
          <cell r="BI245">
            <v>3133.4</v>
          </cell>
          <cell r="BJ245">
            <v>3178.6</v>
          </cell>
          <cell r="BK245">
            <v>3189.4</v>
          </cell>
          <cell r="BL245">
            <v>2832.2</v>
          </cell>
          <cell r="BM245">
            <v>2840.6</v>
          </cell>
          <cell r="BN245">
            <v>2839.1</v>
          </cell>
          <cell r="BO245">
            <v>2098.3000000000002</v>
          </cell>
          <cell r="BP245">
            <v>2156.1999999999998</v>
          </cell>
          <cell r="BQ245">
            <v>2295.4</v>
          </cell>
          <cell r="BR245">
            <v>2304.1</v>
          </cell>
          <cell r="BS245">
            <v>2366.8000000000002</v>
          </cell>
          <cell r="BT245">
            <v>2388.6999999999998</v>
          </cell>
          <cell r="BU245">
            <v>2413.4</v>
          </cell>
          <cell r="BV245">
            <v>2477.9</v>
          </cell>
          <cell r="BW245">
            <v>2526.6</v>
          </cell>
          <cell r="BX245">
            <v>2504.1999999999998</v>
          </cell>
          <cell r="BY245">
            <v>2558.1</v>
          </cell>
          <cell r="BZ245">
            <v>2612.1999999999998</v>
          </cell>
          <cell r="CA245">
            <v>2679.9</v>
          </cell>
          <cell r="CB245">
            <v>2766.7</v>
          </cell>
          <cell r="CC245">
            <v>2834.1</v>
          </cell>
          <cell r="CD245">
            <v>2882.2</v>
          </cell>
          <cell r="CE245">
            <v>2923</v>
          </cell>
          <cell r="CF245">
            <v>3017</v>
          </cell>
          <cell r="CG245">
            <v>2998.8</v>
          </cell>
          <cell r="CH245">
            <v>3074.4</v>
          </cell>
          <cell r="CI245">
            <v>3054.8</v>
          </cell>
          <cell r="CJ245">
            <v>3102.5</v>
          </cell>
          <cell r="CK245">
            <v>3163.3</v>
          </cell>
          <cell r="CL245">
            <v>3277.4</v>
          </cell>
          <cell r="CM245">
            <v>3694.3</v>
          </cell>
          <cell r="CN245">
            <v>3849.1</v>
          </cell>
          <cell r="CO245">
            <v>3911.2</v>
          </cell>
          <cell r="CP245">
            <v>4067</v>
          </cell>
          <cell r="CQ245">
            <v>4113.5</v>
          </cell>
          <cell r="CR245">
            <v>4159</v>
          </cell>
          <cell r="CS245">
            <v>4222.7</v>
          </cell>
          <cell r="CT245">
            <v>4456.8</v>
          </cell>
          <cell r="CU245">
            <v>4470.1000000000004</v>
          </cell>
          <cell r="CV245">
            <v>5156</v>
          </cell>
          <cell r="CW245">
            <v>5327.3</v>
          </cell>
          <cell r="CX245">
            <v>5416</v>
          </cell>
          <cell r="CY245">
            <v>3047.3</v>
          </cell>
          <cell r="CZ245">
            <v>3136.3</v>
          </cell>
          <cell r="DA245">
            <v>3175.5</v>
          </cell>
          <cell r="DB245">
            <v>3423.1</v>
          </cell>
          <cell r="DC245">
            <v>3479.6</v>
          </cell>
          <cell r="DD245">
            <v>3322.6</v>
          </cell>
          <cell r="DE245">
            <v>3341.3</v>
          </cell>
          <cell r="DF245">
            <v>3660</v>
          </cell>
          <cell r="DG245">
            <v>3121.7</v>
          </cell>
          <cell r="DH245">
            <v>3167.3</v>
          </cell>
          <cell r="DI245">
            <v>3208.3</v>
          </cell>
          <cell r="DJ245">
            <v>3253.3</v>
          </cell>
          <cell r="DK245">
            <v>2784.7</v>
          </cell>
          <cell r="DL245">
            <v>2794.7</v>
          </cell>
          <cell r="DM245">
            <v>2804.7</v>
          </cell>
          <cell r="DN245">
            <v>2814.7</v>
          </cell>
          <cell r="DO245">
            <v>2824.7</v>
          </cell>
          <cell r="DP245">
            <v>2834.7</v>
          </cell>
          <cell r="DQ245">
            <v>2844.7</v>
          </cell>
          <cell r="DR245">
            <v>2854.7</v>
          </cell>
          <cell r="DS245">
            <v>2864.7</v>
          </cell>
          <cell r="DT245">
            <v>2874.7</v>
          </cell>
          <cell r="DU245">
            <v>2884.7</v>
          </cell>
          <cell r="DV245">
            <v>2894.7</v>
          </cell>
          <cell r="DW245">
            <v>2904.7</v>
          </cell>
        </row>
        <row r="246">
          <cell r="A246" t="str">
            <v>Misc. Current Liabilities</v>
          </cell>
          <cell r="B246" t="str">
            <v>Other Liabilities</v>
          </cell>
          <cell r="C246" t="str">
            <v>Misc. Current Liabilities</v>
          </cell>
          <cell r="D246" t="str">
            <v>2284020</v>
          </cell>
          <cell r="E246" t="str">
            <v>A_2284020</v>
          </cell>
          <cell r="F246" t="str">
            <v>Accum Misc Provision - Other Litigation Reserve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43.3</v>
          </cell>
          <cell r="AF246">
            <v>43.3</v>
          </cell>
          <cell r="AG246">
            <v>43.3</v>
          </cell>
          <cell r="AH246">
            <v>27.9</v>
          </cell>
          <cell r="AI246">
            <v>27.9</v>
          </cell>
          <cell r="AJ246">
            <v>27.9</v>
          </cell>
          <cell r="AK246">
            <v>69.8</v>
          </cell>
          <cell r="AL246">
            <v>69.8</v>
          </cell>
          <cell r="AM246">
            <v>69.8</v>
          </cell>
          <cell r="AN246">
            <v>56</v>
          </cell>
          <cell r="AO246">
            <v>56</v>
          </cell>
          <cell r="AP246">
            <v>56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EK246" t="str">
            <v>Been zero since Dec 2016</v>
          </cell>
          <cell r="EL246" t="str">
            <v>A_2284020</v>
          </cell>
        </row>
        <row r="247">
          <cell r="A247" t="str">
            <v>Misc. Current Liabilities</v>
          </cell>
          <cell r="B247" t="str">
            <v>Other Liabilities</v>
          </cell>
          <cell r="C247" t="str">
            <v>Misc. Current Liabilities</v>
          </cell>
          <cell r="D247" t="str">
            <v>2284030</v>
          </cell>
          <cell r="E247" t="str">
            <v>A_2284030</v>
          </cell>
          <cell r="F247" t="str">
            <v>Accum Misc Provision - Contractor Damage Reserve</v>
          </cell>
          <cell r="G247">
            <v>115.33892999999999</v>
          </cell>
          <cell r="H247">
            <v>115.3</v>
          </cell>
          <cell r="I247">
            <v>106.1</v>
          </cell>
          <cell r="J247">
            <v>89.1</v>
          </cell>
          <cell r="K247">
            <v>100.4</v>
          </cell>
          <cell r="L247">
            <v>123.3</v>
          </cell>
          <cell r="M247">
            <v>104.6</v>
          </cell>
          <cell r="N247">
            <v>130.69999999999999</v>
          </cell>
          <cell r="O247">
            <v>129.4</v>
          </cell>
          <cell r="P247">
            <v>129.4</v>
          </cell>
          <cell r="Q247">
            <v>129.4</v>
          </cell>
          <cell r="R247">
            <v>129.4</v>
          </cell>
          <cell r="S247">
            <v>155.30000000000001</v>
          </cell>
          <cell r="T247">
            <v>155.30000000000001</v>
          </cell>
          <cell r="U247">
            <v>193.3</v>
          </cell>
          <cell r="V247">
            <v>161.30000000000001</v>
          </cell>
          <cell r="W247">
            <v>161.30000000000001</v>
          </cell>
          <cell r="X247">
            <v>161.30000000000001</v>
          </cell>
          <cell r="Y247">
            <v>152.9</v>
          </cell>
          <cell r="Z247">
            <v>152.9</v>
          </cell>
          <cell r="AA247">
            <v>152.9</v>
          </cell>
          <cell r="AB247">
            <v>140.30000000000001</v>
          </cell>
          <cell r="AC247">
            <v>140.30000000000001</v>
          </cell>
          <cell r="AD247">
            <v>140.30000000000001</v>
          </cell>
          <cell r="AE247">
            <v>73.3</v>
          </cell>
          <cell r="AF247">
            <v>73.3</v>
          </cell>
          <cell r="AG247">
            <v>73.3</v>
          </cell>
          <cell r="AH247">
            <v>81.900000000000006</v>
          </cell>
          <cell r="AI247">
            <v>81.900000000000006</v>
          </cell>
          <cell r="AJ247">
            <v>81.900000000000006</v>
          </cell>
          <cell r="AK247">
            <v>81.900000000000006</v>
          </cell>
          <cell r="AL247">
            <v>81.900000000000006</v>
          </cell>
          <cell r="AM247">
            <v>81.900000000000006</v>
          </cell>
          <cell r="AN247">
            <v>81.900000000000006</v>
          </cell>
          <cell r="AO247">
            <v>47.7</v>
          </cell>
          <cell r="AP247">
            <v>47.7</v>
          </cell>
          <cell r="AQ247">
            <v>47.7</v>
          </cell>
          <cell r="AR247">
            <v>47.7</v>
          </cell>
          <cell r="AS247">
            <v>47.7</v>
          </cell>
          <cell r="AT247">
            <v>47.7</v>
          </cell>
          <cell r="AU247">
            <v>47.7</v>
          </cell>
          <cell r="AV247">
            <v>47.7</v>
          </cell>
          <cell r="AW247">
            <v>47.7</v>
          </cell>
          <cell r="AX247">
            <v>47.7</v>
          </cell>
          <cell r="AY247">
            <v>47.7</v>
          </cell>
          <cell r="AZ247">
            <v>47.7</v>
          </cell>
          <cell r="BA247">
            <v>47.7</v>
          </cell>
          <cell r="BB247">
            <v>47.7</v>
          </cell>
          <cell r="BC247">
            <v>47.7</v>
          </cell>
          <cell r="BD247">
            <v>47.7</v>
          </cell>
          <cell r="BE247">
            <v>47.7</v>
          </cell>
          <cell r="BF247">
            <v>47.7</v>
          </cell>
          <cell r="BG247">
            <v>103.2</v>
          </cell>
          <cell r="BH247">
            <v>91.7</v>
          </cell>
          <cell r="BI247">
            <v>107.4</v>
          </cell>
          <cell r="BJ247">
            <v>107.4</v>
          </cell>
          <cell r="BK247">
            <v>216.5</v>
          </cell>
          <cell r="BL247">
            <v>207.9</v>
          </cell>
          <cell r="BM247">
            <v>205.4</v>
          </cell>
          <cell r="BN247">
            <v>131.1</v>
          </cell>
          <cell r="BO247">
            <v>64.3</v>
          </cell>
          <cell r="BP247">
            <v>86</v>
          </cell>
          <cell r="BQ247">
            <v>73.400000000000006</v>
          </cell>
          <cell r="BR247">
            <v>98.8</v>
          </cell>
          <cell r="BS247">
            <v>76.5</v>
          </cell>
          <cell r="BT247">
            <v>86.2</v>
          </cell>
          <cell r="BU247">
            <v>99.9</v>
          </cell>
          <cell r="BV247">
            <v>99.9</v>
          </cell>
          <cell r="BW247">
            <v>111.8</v>
          </cell>
          <cell r="BX247">
            <v>109.2</v>
          </cell>
          <cell r="BY247">
            <v>94.4</v>
          </cell>
          <cell r="BZ247">
            <v>125</v>
          </cell>
          <cell r="CA247">
            <v>88.5</v>
          </cell>
          <cell r="CB247">
            <v>111.7</v>
          </cell>
          <cell r="CC247">
            <v>141</v>
          </cell>
          <cell r="CD247">
            <v>166.2</v>
          </cell>
          <cell r="CE247">
            <v>266.5</v>
          </cell>
          <cell r="CF247">
            <v>378</v>
          </cell>
          <cell r="CG247">
            <v>446.3</v>
          </cell>
          <cell r="CH247">
            <v>514.9</v>
          </cell>
          <cell r="CI247">
            <v>412</v>
          </cell>
          <cell r="CJ247">
            <v>379.5</v>
          </cell>
          <cell r="CK247">
            <v>184.2</v>
          </cell>
          <cell r="CL247">
            <v>221.4</v>
          </cell>
          <cell r="CM247">
            <v>153</v>
          </cell>
          <cell r="CN247">
            <v>93.4</v>
          </cell>
          <cell r="CO247">
            <v>146.4</v>
          </cell>
          <cell r="CP247">
            <v>114.9</v>
          </cell>
          <cell r="CQ247">
            <v>173.8</v>
          </cell>
          <cell r="CR247">
            <v>136.6</v>
          </cell>
          <cell r="CS247">
            <v>165.8</v>
          </cell>
          <cell r="CT247">
            <v>207.2</v>
          </cell>
          <cell r="CU247">
            <v>252.2</v>
          </cell>
          <cell r="CV247">
            <v>284.5</v>
          </cell>
          <cell r="CW247">
            <v>209.2</v>
          </cell>
          <cell r="CX247">
            <v>163.19999999999999</v>
          </cell>
          <cell r="CY247">
            <v>125</v>
          </cell>
          <cell r="CZ247">
            <v>139.80000000000001</v>
          </cell>
          <cell r="DA247">
            <v>169.8</v>
          </cell>
          <cell r="DB247">
            <v>239.6</v>
          </cell>
          <cell r="DC247">
            <v>210.1</v>
          </cell>
          <cell r="DD247">
            <v>206.5</v>
          </cell>
          <cell r="DE247">
            <v>202.5</v>
          </cell>
          <cell r="DF247">
            <v>234.6</v>
          </cell>
          <cell r="DG247">
            <v>271.8</v>
          </cell>
          <cell r="DH247">
            <v>306.3</v>
          </cell>
          <cell r="DI247">
            <v>244.6</v>
          </cell>
          <cell r="DJ247">
            <v>229.3</v>
          </cell>
          <cell r="DK247">
            <v>201.2</v>
          </cell>
          <cell r="DL247">
            <v>120.3</v>
          </cell>
          <cell r="DM247">
            <v>157</v>
          </cell>
          <cell r="DN247">
            <v>187.5</v>
          </cell>
          <cell r="DO247">
            <v>210.5</v>
          </cell>
          <cell r="DP247">
            <v>219.8</v>
          </cell>
          <cell r="DQ247">
            <v>240.3</v>
          </cell>
          <cell r="DR247">
            <v>282.39999999999998</v>
          </cell>
          <cell r="DS247">
            <v>264.60000000000002</v>
          </cell>
          <cell r="DT247">
            <v>261.7</v>
          </cell>
          <cell r="DU247">
            <v>167.2</v>
          </cell>
          <cell r="DV247">
            <v>164.9</v>
          </cell>
          <cell r="DW247">
            <v>117</v>
          </cell>
          <cell r="EK247" t="str">
            <v>3 yr Avg (2020 to 2022 8+4F)</v>
          </cell>
          <cell r="EL247" t="str">
            <v>A_2284030</v>
          </cell>
          <cell r="EM247">
            <v>120259.99999999999</v>
          </cell>
          <cell r="EN247">
            <v>157020</v>
          </cell>
          <cell r="EO247">
            <v>187510</v>
          </cell>
          <cell r="EP247">
            <v>210490</v>
          </cell>
          <cell r="EQ247">
            <v>219830</v>
          </cell>
          <cell r="ER247">
            <v>240250</v>
          </cell>
          <cell r="ES247">
            <v>282439.99999999994</v>
          </cell>
          <cell r="ET247">
            <v>293960</v>
          </cell>
          <cell r="EU247">
            <v>314400</v>
          </cell>
          <cell r="EV247">
            <v>221900</v>
          </cell>
          <cell r="EW247">
            <v>207890.00000000003</v>
          </cell>
          <cell r="EX247">
            <v>168700</v>
          </cell>
        </row>
        <row r="248">
          <cell r="D248" t="str">
            <v>228</v>
          </cell>
          <cell r="E248">
            <v>228</v>
          </cell>
          <cell r="G248">
            <v>26681.143670000001</v>
          </cell>
          <cell r="H248">
            <v>25951.000000000004</v>
          </cell>
          <cell r="I248">
            <v>25787.3</v>
          </cell>
          <cell r="J248">
            <v>24607.5</v>
          </cell>
          <cell r="K248">
            <v>23817.700000000004</v>
          </cell>
          <cell r="L248">
            <v>24211.600000000002</v>
          </cell>
          <cell r="M248">
            <v>23718.499999999996</v>
          </cell>
          <cell r="N248">
            <v>23022</v>
          </cell>
          <cell r="O248">
            <v>23281.600000000002</v>
          </cell>
          <cell r="P248">
            <v>22017.300000000003</v>
          </cell>
          <cell r="Q248">
            <v>22337.900000000005</v>
          </cell>
          <cell r="R248">
            <v>22681.100000000002</v>
          </cell>
          <cell r="S248">
            <v>26019.299999999996</v>
          </cell>
          <cell r="T248">
            <v>25057.699999999997</v>
          </cell>
          <cell r="U248">
            <v>25158.999999999996</v>
          </cell>
          <cell r="V248">
            <v>24882.300000000003</v>
          </cell>
          <cell r="W248">
            <v>24472.600000000002</v>
          </cell>
          <cell r="X248">
            <v>24689.799999999996</v>
          </cell>
          <cell r="Y248">
            <v>23410.5</v>
          </cell>
          <cell r="Z248">
            <v>22995.4</v>
          </cell>
          <cell r="AA248">
            <v>22902.2</v>
          </cell>
          <cell r="AB248">
            <v>21094.199999999997</v>
          </cell>
          <cell r="AC248">
            <v>21258.400000000001</v>
          </cell>
          <cell r="AD248">
            <v>21444.799999999996</v>
          </cell>
          <cell r="AE248">
            <v>28971.200000000001</v>
          </cell>
          <cell r="AF248">
            <v>29230.499999999996</v>
          </cell>
          <cell r="AG248">
            <v>29421.1</v>
          </cell>
          <cell r="AH248">
            <v>28364.9</v>
          </cell>
          <cell r="AI248">
            <v>27627.4</v>
          </cell>
          <cell r="AJ248">
            <v>27789.200000000004</v>
          </cell>
          <cell r="AK248">
            <v>27970.199999999997</v>
          </cell>
          <cell r="AL248">
            <v>27091.999999999996</v>
          </cell>
          <cell r="AM248">
            <v>27195.8</v>
          </cell>
          <cell r="AN248">
            <v>35190.6</v>
          </cell>
          <cell r="AO248">
            <v>35327.700000000004</v>
          </cell>
          <cell r="AP248">
            <v>35591.399999999994</v>
          </cell>
          <cell r="AQ248">
            <v>31401.8</v>
          </cell>
          <cell r="AR248">
            <v>31220.7</v>
          </cell>
          <cell r="AS248">
            <v>30840.3</v>
          </cell>
          <cell r="AT248">
            <v>30087.199999999997</v>
          </cell>
          <cell r="AU248">
            <v>29338</v>
          </cell>
          <cell r="AV248">
            <v>29589.399999999998</v>
          </cell>
          <cell r="AW248">
            <v>30457.1</v>
          </cell>
          <cell r="AX248">
            <v>29573.500000000004</v>
          </cell>
          <cell r="AY248">
            <v>29771.600000000002</v>
          </cell>
          <cell r="AZ248">
            <v>29087.599999999999</v>
          </cell>
          <cell r="BA248">
            <v>29313.899999999998</v>
          </cell>
          <cell r="BB248">
            <v>29472.400000000001</v>
          </cell>
          <cell r="BC248">
            <v>26945.499999999996</v>
          </cell>
          <cell r="BD248">
            <v>26405.600000000002</v>
          </cell>
          <cell r="BE248">
            <v>26282.300000000003</v>
          </cell>
          <cell r="BF248">
            <v>26005.800000000003</v>
          </cell>
          <cell r="BG248">
            <v>26186.9</v>
          </cell>
          <cell r="BH248">
            <v>26373.800000000003</v>
          </cell>
          <cell r="BI248">
            <v>26138.400000000001</v>
          </cell>
          <cell r="BJ248">
            <v>26427.3</v>
          </cell>
          <cell r="BK248">
            <v>26651.800000000003</v>
          </cell>
          <cell r="BL248">
            <v>26038.300000000003</v>
          </cell>
          <cell r="BM248">
            <v>26178.400000000001</v>
          </cell>
          <cell r="BN248">
            <v>26262.199999999997</v>
          </cell>
          <cell r="BO248">
            <v>28500.999999999996</v>
          </cell>
          <cell r="BP248">
            <v>28730.799999999999</v>
          </cell>
          <cell r="BQ248">
            <v>28892.600000000002</v>
          </cell>
          <cell r="BR248">
            <v>29522.600000000002</v>
          </cell>
          <cell r="BS248">
            <v>28944.600000000002</v>
          </cell>
          <cell r="BT248">
            <v>29227.900000000005</v>
          </cell>
          <cell r="BU248">
            <v>29186.400000000001</v>
          </cell>
          <cell r="BV248">
            <v>29593.4</v>
          </cell>
          <cell r="BW248">
            <v>30363.099999999995</v>
          </cell>
          <cell r="BX248">
            <v>29328</v>
          </cell>
          <cell r="BY248">
            <v>30145.4</v>
          </cell>
          <cell r="BZ248">
            <v>31252.399999999998</v>
          </cell>
          <cell r="CA248">
            <v>32488.600000000002</v>
          </cell>
          <cell r="CB248">
            <v>32139.1</v>
          </cell>
          <cell r="CC248">
            <v>32410.3</v>
          </cell>
          <cell r="CD248">
            <v>31766.699999999997</v>
          </cell>
          <cell r="CE248">
            <v>31266.300000000003</v>
          </cell>
          <cell r="CF248">
            <v>31654.400000000001</v>
          </cell>
          <cell r="CG248">
            <v>31749.1</v>
          </cell>
          <cell r="CH248">
            <v>31420.700000000004</v>
          </cell>
          <cell r="CI248">
            <v>31456.999999999996</v>
          </cell>
          <cell r="CJ248">
            <v>30434.800000000003</v>
          </cell>
          <cell r="CK248">
            <v>30469.699999999997</v>
          </cell>
          <cell r="CL248">
            <v>30738.200000000004</v>
          </cell>
          <cell r="CM248">
            <v>37961.300000000003</v>
          </cell>
          <cell r="CN248">
            <v>37545.9</v>
          </cell>
          <cell r="CO248">
            <v>37911.599999999999</v>
          </cell>
          <cell r="CP248">
            <v>36593.500000000007</v>
          </cell>
          <cell r="CQ248">
            <v>36185.300000000003</v>
          </cell>
          <cell r="CR248">
            <v>36416.5</v>
          </cell>
          <cell r="CS248">
            <v>35937.5</v>
          </cell>
          <cell r="CT248">
            <v>35879</v>
          </cell>
          <cell r="CU248">
            <v>35965</v>
          </cell>
          <cell r="CV248">
            <v>35402</v>
          </cell>
          <cell r="CW248">
            <v>31341</v>
          </cell>
          <cell r="CX248">
            <v>34148.799999999988</v>
          </cell>
          <cell r="CY248">
            <v>26607.399999999998</v>
          </cell>
          <cell r="CZ248">
            <v>24718.799999999996</v>
          </cell>
          <cell r="DA248">
            <v>26486.899999999998</v>
          </cell>
          <cell r="DB248">
            <v>25838.799999999996</v>
          </cell>
          <cell r="DC248">
            <v>24628.199999999997</v>
          </cell>
          <cell r="DD248">
            <v>24414.899999999998</v>
          </cell>
          <cell r="DE248">
            <v>24072.799999999999</v>
          </cell>
          <cell r="DF248">
            <v>22398.699999999997</v>
          </cell>
          <cell r="DG248">
            <v>20253.5</v>
          </cell>
          <cell r="DH248">
            <v>20734.5</v>
          </cell>
          <cell r="DI248">
            <v>19670.599999999999</v>
          </cell>
          <cell r="DJ248">
            <v>19522.5</v>
          </cell>
          <cell r="DK248">
            <v>27486.5</v>
          </cell>
          <cell r="DL248">
            <v>26838.800000000003</v>
          </cell>
          <cell r="DM248">
            <v>26949.3</v>
          </cell>
          <cell r="DN248">
            <v>27053.399999999998</v>
          </cell>
          <cell r="DO248">
            <v>26490.199999999997</v>
          </cell>
          <cell r="DP248">
            <v>26573.1</v>
          </cell>
          <cell r="DQ248">
            <v>26667.3</v>
          </cell>
          <cell r="DR248">
            <v>26123</v>
          </cell>
          <cell r="DS248">
            <v>26179</v>
          </cell>
          <cell r="DT248">
            <v>25589.7</v>
          </cell>
          <cell r="DU248">
            <v>25568.899999999998</v>
          </cell>
          <cell r="DV248">
            <v>25640.400000000001</v>
          </cell>
          <cell r="DW248">
            <v>25666</v>
          </cell>
          <cell r="EJ248" t="str">
            <v>.</v>
          </cell>
        </row>
        <row r="249">
          <cell r="A249" t="str">
            <v>Notes Payable</v>
          </cell>
          <cell r="C249" t="str">
            <v>Notes Payable</v>
          </cell>
          <cell r="D249" t="str">
            <v>2310000</v>
          </cell>
          <cell r="E249" t="str">
            <v>A_2310000</v>
          </cell>
          <cell r="F249" t="str">
            <v>Notes Payable (Borrowings &lt; 1 Year Duration)</v>
          </cell>
          <cell r="G249">
            <v>15600</v>
          </cell>
          <cell r="H249">
            <v>16500</v>
          </cell>
          <cell r="I249">
            <v>12200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12900</v>
          </cell>
          <cell r="T249">
            <v>8350</v>
          </cell>
          <cell r="U249">
            <v>5800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2300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1800</v>
          </cell>
          <cell r="AM249">
            <v>3150</v>
          </cell>
          <cell r="AN249">
            <v>700</v>
          </cell>
          <cell r="AO249">
            <v>0</v>
          </cell>
          <cell r="AP249">
            <v>9750</v>
          </cell>
          <cell r="AQ249">
            <v>30050</v>
          </cell>
          <cell r="AR249">
            <v>41225.800000000003</v>
          </cell>
          <cell r="AS249">
            <v>40506.800000000003</v>
          </cell>
          <cell r="AT249">
            <v>41810.800000000003</v>
          </cell>
          <cell r="AU249">
            <v>37148.300000000003</v>
          </cell>
          <cell r="AV249">
            <v>30142.1</v>
          </cell>
          <cell r="AW249">
            <v>36126.699999999997</v>
          </cell>
          <cell r="AX249">
            <v>33325.4</v>
          </cell>
          <cell r="AY249">
            <v>46233.9</v>
          </cell>
          <cell r="AZ249">
            <v>48013.8</v>
          </cell>
          <cell r="BA249">
            <v>43884.1</v>
          </cell>
          <cell r="BB249">
            <v>0</v>
          </cell>
          <cell r="BC249">
            <v>5000</v>
          </cell>
          <cell r="BD249">
            <v>5000</v>
          </cell>
          <cell r="BE249">
            <v>58203.6</v>
          </cell>
          <cell r="BF249">
            <v>53438.3</v>
          </cell>
          <cell r="BG249">
            <v>53973.8</v>
          </cell>
          <cell r="BH249">
            <v>86871.6</v>
          </cell>
          <cell r="BI249">
            <v>32647.3</v>
          </cell>
          <cell r="BJ249">
            <v>32403.7</v>
          </cell>
          <cell r="BK249">
            <v>36635.699999999997</v>
          </cell>
          <cell r="BL249">
            <v>44924.3</v>
          </cell>
          <cell r="BM249">
            <v>0</v>
          </cell>
          <cell r="BN249">
            <v>35033.800000000003</v>
          </cell>
          <cell r="BO249">
            <v>53651.6</v>
          </cell>
          <cell r="BP249">
            <v>70274.100000000006</v>
          </cell>
          <cell r="BQ249">
            <v>51017.8</v>
          </cell>
          <cell r="BR249">
            <v>43526.1</v>
          </cell>
          <cell r="BS249">
            <v>47854</v>
          </cell>
          <cell r="BT249">
            <v>32302.6</v>
          </cell>
          <cell r="BU249">
            <v>43946</v>
          </cell>
          <cell r="BV249">
            <v>30168.5</v>
          </cell>
          <cell r="BW249">
            <v>48717.4</v>
          </cell>
          <cell r="BX249">
            <v>44435.199999999997</v>
          </cell>
          <cell r="BY249">
            <v>47028.3</v>
          </cell>
          <cell r="BZ249">
            <v>77517.7</v>
          </cell>
          <cell r="CA249">
            <v>91139</v>
          </cell>
          <cell r="CB249">
            <v>104160.1</v>
          </cell>
          <cell r="CC249">
            <v>90190.8</v>
          </cell>
          <cell r="CD249">
            <v>91779</v>
          </cell>
          <cell r="CE249">
            <v>99145.2</v>
          </cell>
          <cell r="CF249">
            <v>104893.6</v>
          </cell>
          <cell r="CG249">
            <v>127591.4</v>
          </cell>
          <cell r="CH249">
            <v>145194.4</v>
          </cell>
          <cell r="CI249">
            <v>133998.39999999999</v>
          </cell>
          <cell r="CJ249">
            <v>144415.70000000001</v>
          </cell>
          <cell r="CK249">
            <v>162258.20000000001</v>
          </cell>
          <cell r="CL249">
            <v>179528.1</v>
          </cell>
          <cell r="CM249">
            <v>214352.1</v>
          </cell>
          <cell r="CN249">
            <v>236511.4</v>
          </cell>
          <cell r="CO249">
            <v>221147.7</v>
          </cell>
          <cell r="CP249">
            <v>10000</v>
          </cell>
          <cell r="CQ249">
            <v>17122.400000000001</v>
          </cell>
          <cell r="CR249">
            <v>87741.5</v>
          </cell>
          <cell r="CS249">
            <v>99244.3</v>
          </cell>
          <cell r="CT249">
            <v>111939.3</v>
          </cell>
          <cell r="CU249">
            <v>101333.5</v>
          </cell>
          <cell r="CV249">
            <v>115219</v>
          </cell>
          <cell r="CW249">
            <v>136200.9</v>
          </cell>
          <cell r="CX249">
            <v>144763.5</v>
          </cell>
          <cell r="CY249">
            <v>189522.1</v>
          </cell>
          <cell r="CZ249">
            <v>210398.8</v>
          </cell>
          <cell r="DA249">
            <v>158200.1</v>
          </cell>
          <cell r="DB249">
            <v>166329.5</v>
          </cell>
          <cell r="DC249">
            <v>174484</v>
          </cell>
          <cell r="DD249">
            <v>177717.8</v>
          </cell>
          <cell r="DE249">
            <v>198344.9</v>
          </cell>
          <cell r="DF249">
            <v>100000</v>
          </cell>
          <cell r="DG249">
            <v>100000</v>
          </cell>
          <cell r="DH249">
            <v>156383.70000000001</v>
          </cell>
          <cell r="DI249">
            <v>159112.9</v>
          </cell>
          <cell r="DJ249">
            <v>161937.4</v>
          </cell>
          <cell r="DK249">
            <v>166097.20000000001</v>
          </cell>
          <cell r="EL249" t="str">
            <v>A_2310000</v>
          </cell>
        </row>
        <row r="250">
          <cell r="A250" t="str">
            <v>Notes Payable</v>
          </cell>
          <cell r="C250" t="str">
            <v>Notes Payable</v>
          </cell>
          <cell r="D250" t="str">
            <v>2319999</v>
          </cell>
          <cell r="E250" t="str">
            <v>A_2319999</v>
          </cell>
          <cell r="F250" t="str">
            <v>Notes Payable CALCULATION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-13.100000000034925</v>
          </cell>
          <cell r="DM250">
            <v>-26.899999999834108</v>
          </cell>
          <cell r="DN250">
            <v>-313.50000000026557</v>
          </cell>
          <cell r="DO250">
            <v>-331.90000000012515</v>
          </cell>
          <cell r="DP250">
            <v>-53.599999999943975</v>
          </cell>
          <cell r="DQ250">
            <v>90.5999999997548</v>
          </cell>
          <cell r="DR250">
            <v>76.899999999910506</v>
          </cell>
          <cell r="DS250">
            <v>-63.399999999961437</v>
          </cell>
          <cell r="DT250">
            <v>-41.200000000178989</v>
          </cell>
          <cell r="DU250">
            <v>112693.70830845693</v>
          </cell>
          <cell r="DV250">
            <v>91589.771866643408</v>
          </cell>
          <cell r="DW250">
            <v>107765.54957135532</v>
          </cell>
          <cell r="EJ250">
            <v>90599.9999997548</v>
          </cell>
        </row>
        <row r="251">
          <cell r="D251" t="str">
            <v>231</v>
          </cell>
          <cell r="E251">
            <v>231</v>
          </cell>
          <cell r="G251">
            <v>15600</v>
          </cell>
          <cell r="H251">
            <v>16500</v>
          </cell>
          <cell r="I251">
            <v>12200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12900</v>
          </cell>
          <cell r="T251">
            <v>8350</v>
          </cell>
          <cell r="U251">
            <v>5800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2300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1800</v>
          </cell>
          <cell r="AM251">
            <v>3150</v>
          </cell>
          <cell r="AN251">
            <v>700</v>
          </cell>
          <cell r="AO251">
            <v>0</v>
          </cell>
          <cell r="AP251">
            <v>9750</v>
          </cell>
          <cell r="AQ251">
            <v>30050</v>
          </cell>
          <cell r="AR251">
            <v>41225.800000000003</v>
          </cell>
          <cell r="AS251">
            <v>40506.800000000003</v>
          </cell>
          <cell r="AT251">
            <v>41810.800000000003</v>
          </cell>
          <cell r="AU251">
            <v>37148.300000000003</v>
          </cell>
          <cell r="AV251">
            <v>30142.1</v>
          </cell>
          <cell r="AW251">
            <v>36126.699999999997</v>
          </cell>
          <cell r="AX251">
            <v>33325.4</v>
          </cell>
          <cell r="AY251">
            <v>46233.9</v>
          </cell>
          <cell r="AZ251">
            <v>48013.8</v>
          </cell>
          <cell r="BA251">
            <v>43884.1</v>
          </cell>
          <cell r="BB251">
            <v>0</v>
          </cell>
          <cell r="BC251">
            <v>5000</v>
          </cell>
          <cell r="BD251">
            <v>5000</v>
          </cell>
          <cell r="BE251">
            <v>58203.6</v>
          </cell>
          <cell r="BF251">
            <v>53438.3</v>
          </cell>
          <cell r="BG251">
            <v>53973.8</v>
          </cell>
          <cell r="BH251">
            <v>86871.6</v>
          </cell>
          <cell r="BI251">
            <v>32647.3</v>
          </cell>
          <cell r="BJ251">
            <v>32403.7</v>
          </cell>
          <cell r="BK251">
            <v>36635.699999999997</v>
          </cell>
          <cell r="BL251">
            <v>44924.3</v>
          </cell>
          <cell r="BM251">
            <v>0</v>
          </cell>
          <cell r="BN251">
            <v>35033.800000000003</v>
          </cell>
          <cell r="BO251">
            <v>53651.6</v>
          </cell>
          <cell r="BP251">
            <v>70274.100000000006</v>
          </cell>
          <cell r="BQ251">
            <v>51017.8</v>
          </cell>
          <cell r="BR251">
            <v>43526.1</v>
          </cell>
          <cell r="BS251">
            <v>47854</v>
          </cell>
          <cell r="BT251">
            <v>32302.6</v>
          </cell>
          <cell r="BU251">
            <v>43946</v>
          </cell>
          <cell r="BV251">
            <v>30168.5</v>
          </cell>
          <cell r="BW251">
            <v>48717.4</v>
          </cell>
          <cell r="BX251">
            <v>44435.199999999997</v>
          </cell>
          <cell r="BY251">
            <v>47028.3</v>
          </cell>
          <cell r="BZ251">
            <v>77517.7</v>
          </cell>
          <cell r="CA251">
            <v>91139</v>
          </cell>
          <cell r="CB251">
            <v>104160.1</v>
          </cell>
          <cell r="CC251">
            <v>90190.8</v>
          </cell>
          <cell r="CD251">
            <v>91779</v>
          </cell>
          <cell r="CE251">
            <v>99145.2</v>
          </cell>
          <cell r="CF251">
            <v>104893.6</v>
          </cell>
          <cell r="CG251">
            <v>127591.4</v>
          </cell>
          <cell r="CH251">
            <v>145194.4</v>
          </cell>
          <cell r="CI251">
            <v>133998.39999999999</v>
          </cell>
          <cell r="CJ251">
            <v>144415.70000000001</v>
          </cell>
          <cell r="CK251">
            <v>162258.20000000001</v>
          </cell>
          <cell r="CL251">
            <v>179528.1</v>
          </cell>
          <cell r="CM251">
            <v>214352.1</v>
          </cell>
          <cell r="CN251">
            <v>236511.4</v>
          </cell>
          <cell r="CO251">
            <v>221147.7</v>
          </cell>
          <cell r="CP251">
            <v>10000</v>
          </cell>
          <cell r="CQ251">
            <v>17122.400000000001</v>
          </cell>
          <cell r="CR251">
            <v>87741.5</v>
          </cell>
          <cell r="CS251">
            <v>99244.3</v>
          </cell>
          <cell r="CT251">
            <v>111939.3</v>
          </cell>
          <cell r="CU251">
            <v>101333.5</v>
          </cell>
          <cell r="CV251">
            <v>115219</v>
          </cell>
          <cell r="CW251">
            <v>136200.9</v>
          </cell>
          <cell r="CX251">
            <v>144763.5</v>
          </cell>
          <cell r="CY251">
            <v>189522.1</v>
          </cell>
          <cell r="CZ251">
            <v>210398.8</v>
          </cell>
          <cell r="DA251">
            <v>158200.1</v>
          </cell>
          <cell r="DB251">
            <v>166329.5</v>
          </cell>
          <cell r="DC251">
            <v>174484</v>
          </cell>
          <cell r="DD251">
            <v>177717.8</v>
          </cell>
          <cell r="DE251">
            <v>198344.9</v>
          </cell>
          <cell r="DF251">
            <v>100000</v>
          </cell>
          <cell r="DG251">
            <v>100000</v>
          </cell>
          <cell r="DH251">
            <v>156383.70000000001</v>
          </cell>
          <cell r="DI251">
            <v>159112.9</v>
          </cell>
          <cell r="DJ251">
            <v>161937.4</v>
          </cell>
          <cell r="DK251">
            <v>166097.20000000001</v>
          </cell>
          <cell r="DL251">
            <v>-13.100000000034925</v>
          </cell>
          <cell r="DM251">
            <v>-26.899999999834108</v>
          </cell>
          <cell r="DN251">
            <v>-313.50000000026557</v>
          </cell>
          <cell r="DO251">
            <v>-331.90000000012515</v>
          </cell>
          <cell r="DP251">
            <v>-53.599999999943975</v>
          </cell>
          <cell r="DQ251">
            <v>90.5999999997548</v>
          </cell>
          <cell r="DR251">
            <v>76.899999999910506</v>
          </cell>
          <cell r="DS251">
            <v>-63.399999999961437</v>
          </cell>
          <cell r="DT251">
            <v>-41.200000000178989</v>
          </cell>
          <cell r="DU251">
            <v>112693.70830845693</v>
          </cell>
          <cell r="DV251">
            <v>91589.771866643408</v>
          </cell>
          <cell r="DW251">
            <v>107765.54957135532</v>
          </cell>
          <cell r="EJ251" t="str">
            <v>.</v>
          </cell>
        </row>
        <row r="252">
          <cell r="A252" t="str">
            <v>Accounts Payable</v>
          </cell>
          <cell r="B252" t="str">
            <v>Accounts Payable - External</v>
          </cell>
          <cell r="C252" t="str">
            <v>Accounts Payable</v>
          </cell>
          <cell r="D252" t="str">
            <v>2320000</v>
          </cell>
          <cell r="E252" t="str">
            <v>A_2320000</v>
          </cell>
          <cell r="F252" t="str">
            <v>AP Vouchers (Do not Post)</v>
          </cell>
          <cell r="G252">
            <v>3184.3977200000004</v>
          </cell>
          <cell r="H252">
            <v>740.8</v>
          </cell>
          <cell r="I252">
            <v>1497.9</v>
          </cell>
          <cell r="J252">
            <v>1000.9</v>
          </cell>
          <cell r="K252">
            <v>1308.8</v>
          </cell>
          <cell r="L252">
            <v>836.9</v>
          </cell>
          <cell r="M252">
            <v>1911</v>
          </cell>
          <cell r="N252">
            <v>2044.2</v>
          </cell>
          <cell r="O252">
            <v>1220</v>
          </cell>
          <cell r="P252">
            <v>1432.5</v>
          </cell>
          <cell r="Q252">
            <v>977.1</v>
          </cell>
          <cell r="R252">
            <v>409.8</v>
          </cell>
          <cell r="S252">
            <v>1722.8</v>
          </cell>
          <cell r="T252">
            <v>1060.8</v>
          </cell>
          <cell r="U252">
            <v>574.5</v>
          </cell>
          <cell r="V252">
            <v>1276.7</v>
          </cell>
          <cell r="W252">
            <v>1229.0999999999999</v>
          </cell>
          <cell r="X252">
            <v>1416.4</v>
          </cell>
          <cell r="Y252">
            <v>2849.2</v>
          </cell>
          <cell r="Z252">
            <v>1486.4</v>
          </cell>
          <cell r="AA252">
            <v>2085</v>
          </cell>
          <cell r="AB252">
            <v>1406.3</v>
          </cell>
          <cell r="AC252">
            <v>1179.8</v>
          </cell>
          <cell r="AD252">
            <v>1501.8</v>
          </cell>
          <cell r="AE252">
            <v>1310.2</v>
          </cell>
          <cell r="AF252">
            <v>892.1</v>
          </cell>
          <cell r="AG252">
            <v>2428.5</v>
          </cell>
          <cell r="AH252">
            <v>2441.1999999999998</v>
          </cell>
          <cell r="AI252">
            <v>1518</v>
          </cell>
          <cell r="AJ252">
            <v>1390.7</v>
          </cell>
          <cell r="AK252">
            <v>2371.1999999999998</v>
          </cell>
          <cell r="AL252">
            <v>1175</v>
          </cell>
          <cell r="AM252">
            <v>1655.1</v>
          </cell>
          <cell r="AN252">
            <v>1798.2</v>
          </cell>
          <cell r="AO252">
            <v>2831.5</v>
          </cell>
          <cell r="AP252">
            <v>1426</v>
          </cell>
          <cell r="AQ252">
            <v>2700.3</v>
          </cell>
          <cell r="AR252">
            <v>852.5</v>
          </cell>
          <cell r="AS252">
            <v>2009.4</v>
          </cell>
          <cell r="AT252">
            <v>1533.7</v>
          </cell>
          <cell r="AU252">
            <v>1124.2</v>
          </cell>
          <cell r="AV252">
            <v>2487.1999999999998</v>
          </cell>
          <cell r="AW252">
            <v>1307.4000000000001</v>
          </cell>
          <cell r="AX252">
            <v>1770.1</v>
          </cell>
          <cell r="AY252">
            <v>3092.3</v>
          </cell>
          <cell r="AZ252">
            <v>1601.4</v>
          </cell>
          <cell r="BA252">
            <v>2118.4</v>
          </cell>
          <cell r="BB252">
            <v>1562</v>
          </cell>
          <cell r="BC252">
            <v>4842.3999999999996</v>
          </cell>
          <cell r="BD252">
            <v>1598.8</v>
          </cell>
          <cell r="BE252">
            <v>1379.9</v>
          </cell>
          <cell r="BF252">
            <v>2407.1</v>
          </cell>
          <cell r="BG252">
            <v>2451</v>
          </cell>
          <cell r="BH252">
            <v>2938.9</v>
          </cell>
          <cell r="BI252">
            <v>2643</v>
          </cell>
          <cell r="BJ252">
            <v>2871.6</v>
          </cell>
          <cell r="BK252">
            <v>3896.3</v>
          </cell>
          <cell r="BL252">
            <v>2962.8</v>
          </cell>
          <cell r="BM252">
            <v>4566.3</v>
          </cell>
          <cell r="BN252">
            <v>2059.3000000000002</v>
          </cell>
          <cell r="BO252">
            <v>8451.9</v>
          </cell>
          <cell r="BP252">
            <v>2527.4</v>
          </cell>
          <cell r="BQ252">
            <v>4887.1000000000004</v>
          </cell>
          <cell r="BR252">
            <v>3633.2</v>
          </cell>
          <cell r="BS252">
            <v>4305.5</v>
          </cell>
          <cell r="BT252">
            <v>2697.7</v>
          </cell>
          <cell r="BU252">
            <v>2193.1</v>
          </cell>
          <cell r="BV252">
            <v>2392.8000000000002</v>
          </cell>
          <cell r="BW252">
            <v>3192.1</v>
          </cell>
          <cell r="BX252">
            <v>3924.8</v>
          </cell>
          <cell r="BY252">
            <v>5316.4</v>
          </cell>
          <cell r="BZ252">
            <v>4128.5</v>
          </cell>
          <cell r="CA252">
            <v>9614.5</v>
          </cell>
          <cell r="CB252">
            <v>2698.1</v>
          </cell>
          <cell r="CC252">
            <v>5636.3</v>
          </cell>
          <cell r="CD252">
            <v>5562.9</v>
          </cell>
          <cell r="CE252">
            <v>8209.6</v>
          </cell>
          <cell r="CF252">
            <v>4981.1000000000004</v>
          </cell>
          <cell r="CG252">
            <v>4009.4</v>
          </cell>
          <cell r="CH252">
            <v>3496.4</v>
          </cell>
          <cell r="CI252">
            <v>3408.2</v>
          </cell>
          <cell r="CJ252">
            <v>4916.2</v>
          </cell>
          <cell r="CK252">
            <v>3570.3</v>
          </cell>
          <cell r="CL252">
            <v>3612.9</v>
          </cell>
          <cell r="CM252">
            <v>3202.4</v>
          </cell>
          <cell r="CN252">
            <v>8159.1</v>
          </cell>
          <cell r="CO252">
            <v>6720.2</v>
          </cell>
          <cell r="CP252">
            <v>3944.6</v>
          </cell>
          <cell r="CQ252">
            <v>7815.5</v>
          </cell>
          <cell r="CR252">
            <v>6982.9</v>
          </cell>
          <cell r="CS252">
            <v>6290.2</v>
          </cell>
          <cell r="CT252">
            <v>8313.2999999999993</v>
          </cell>
          <cell r="CU252">
            <v>5473</v>
          </cell>
          <cell r="CV252">
            <v>4163.5</v>
          </cell>
          <cell r="CW252">
            <v>6640.5</v>
          </cell>
          <cell r="CX252">
            <v>5221.5</v>
          </cell>
          <cell r="CY252">
            <v>15323.6</v>
          </cell>
          <cell r="CZ252">
            <v>7972</v>
          </cell>
          <cell r="DA252">
            <v>10334.4</v>
          </cell>
          <cell r="DB252">
            <v>9155.5</v>
          </cell>
          <cell r="DC252">
            <v>8994</v>
          </cell>
          <cell r="DD252">
            <v>8600</v>
          </cell>
          <cell r="DE252">
            <v>8480.7999999999993</v>
          </cell>
          <cell r="DF252">
            <v>9630.7999999999993</v>
          </cell>
          <cell r="DG252">
            <v>15177.5</v>
          </cell>
          <cell r="DH252">
            <v>10281.1</v>
          </cell>
          <cell r="DI252">
            <v>9671.5</v>
          </cell>
          <cell r="DJ252">
            <v>9131.4</v>
          </cell>
          <cell r="DK252">
            <v>8070.8</v>
          </cell>
          <cell r="DL252">
            <v>6973.4</v>
          </cell>
          <cell r="DM252">
            <v>8310.5</v>
          </cell>
          <cell r="DN252">
            <v>6873.7</v>
          </cell>
          <cell r="DO252">
            <v>8483.6</v>
          </cell>
          <cell r="DP252">
            <v>7391.1</v>
          </cell>
          <cell r="DQ252">
            <v>6929.3</v>
          </cell>
          <cell r="DR252">
            <v>8008.7</v>
          </cell>
          <cell r="DS252">
            <v>12512.4</v>
          </cell>
          <cell r="DT252">
            <v>13658.4</v>
          </cell>
          <cell r="DU252">
            <v>10900.5</v>
          </cell>
          <cell r="DV252">
            <v>5479.3</v>
          </cell>
          <cell r="DW252">
            <v>8777.6</v>
          </cell>
          <cell r="EK252" t="str">
            <v>3 yr Avg (2020 to 2022 8+4F)</v>
          </cell>
          <cell r="EL252" t="str">
            <v>A_2320000</v>
          </cell>
          <cell r="EM252">
            <v>6973350</v>
          </cell>
          <cell r="EN252">
            <v>8310520</v>
          </cell>
          <cell r="EO252">
            <v>6873710.0000000009</v>
          </cell>
          <cell r="EP252">
            <v>8483570</v>
          </cell>
          <cell r="EQ252">
            <v>7391089.9999999991</v>
          </cell>
          <cell r="ER252">
            <v>6929339.9999999991</v>
          </cell>
          <cell r="ES252">
            <v>8008670</v>
          </cell>
          <cell r="ET252">
            <v>9912289.9999999981</v>
          </cell>
          <cell r="EU252">
            <v>7372839.9999999991</v>
          </cell>
          <cell r="EV252">
            <v>7541960.0000000009</v>
          </cell>
          <cell r="EW252">
            <v>6854730.0000000009</v>
          </cell>
          <cell r="EX252">
            <v>9272960.0000000019</v>
          </cell>
        </row>
        <row r="253">
          <cell r="A253" t="str">
            <v>Accounts Payable</v>
          </cell>
          <cell r="B253" t="str">
            <v>Accounts Payable - External</v>
          </cell>
          <cell r="C253" t="str">
            <v>Accounts Payable</v>
          </cell>
          <cell r="D253" t="str">
            <v>2320001</v>
          </cell>
          <cell r="E253" t="str">
            <v>A_2320001</v>
          </cell>
          <cell r="F253" t="str">
            <v>AP Manual Accruals</v>
          </cell>
          <cell r="G253">
            <v>3453.4513099999999</v>
          </cell>
          <cell r="H253">
            <v>2819.4</v>
          </cell>
          <cell r="I253">
            <v>3930</v>
          </cell>
          <cell r="J253">
            <v>3814.2</v>
          </cell>
          <cell r="K253">
            <v>1528.9</v>
          </cell>
          <cell r="L253">
            <v>701.1</v>
          </cell>
          <cell r="M253">
            <v>1260.8</v>
          </cell>
          <cell r="N253">
            <v>741.5</v>
          </cell>
          <cell r="O253">
            <v>5054.6000000000004</v>
          </cell>
          <cell r="P253">
            <v>2462.1</v>
          </cell>
          <cell r="Q253">
            <v>116.2</v>
          </cell>
          <cell r="R253">
            <v>5356.3</v>
          </cell>
          <cell r="S253">
            <v>4943</v>
          </cell>
          <cell r="T253">
            <v>3987.7</v>
          </cell>
          <cell r="U253">
            <v>3632.9</v>
          </cell>
          <cell r="V253">
            <v>3814.6</v>
          </cell>
          <cell r="W253">
            <v>3180.5</v>
          </cell>
          <cell r="X253">
            <v>623.5</v>
          </cell>
          <cell r="Y253">
            <v>694.8</v>
          </cell>
          <cell r="Z253">
            <v>1861.6</v>
          </cell>
          <cell r="AA253">
            <v>904.4</v>
          </cell>
          <cell r="AB253">
            <v>731.2</v>
          </cell>
          <cell r="AC253">
            <v>822.4</v>
          </cell>
          <cell r="AD253">
            <v>4558.8999999999996</v>
          </cell>
          <cell r="AE253">
            <v>5208.8</v>
          </cell>
          <cell r="AF253">
            <v>4225.8</v>
          </cell>
          <cell r="AG253">
            <v>3540</v>
          </cell>
          <cell r="AH253">
            <v>731.1</v>
          </cell>
          <cell r="AI253">
            <v>4455.6000000000004</v>
          </cell>
          <cell r="AJ253">
            <v>3940</v>
          </cell>
          <cell r="AK253">
            <v>6884.7</v>
          </cell>
          <cell r="AL253">
            <v>6692.5</v>
          </cell>
          <cell r="AM253">
            <v>3347</v>
          </cell>
          <cell r="AN253">
            <v>4555.5</v>
          </cell>
          <cell r="AO253">
            <v>3659.6</v>
          </cell>
          <cell r="AP253">
            <v>12688.6</v>
          </cell>
          <cell r="AQ253">
            <v>6900.7</v>
          </cell>
          <cell r="AR253">
            <v>4373.3</v>
          </cell>
          <cell r="AS253">
            <v>4702.3999999999996</v>
          </cell>
          <cell r="AT253">
            <v>2943.2</v>
          </cell>
          <cell r="AU253">
            <v>3980.4</v>
          </cell>
          <cell r="AV253">
            <v>3848.1</v>
          </cell>
          <cell r="AW253">
            <v>3268.8</v>
          </cell>
          <cell r="AX253">
            <v>4378.2</v>
          </cell>
          <cell r="AY253">
            <v>5036.2</v>
          </cell>
          <cell r="AZ253">
            <v>2881.1</v>
          </cell>
          <cell r="BA253">
            <v>3676.2</v>
          </cell>
          <cell r="BB253">
            <v>12570.5</v>
          </cell>
          <cell r="BC253">
            <v>6951.5</v>
          </cell>
          <cell r="BD253">
            <v>5762.6</v>
          </cell>
          <cell r="BE253">
            <v>8678.7999999999993</v>
          </cell>
          <cell r="BF253">
            <v>4437.3999999999996</v>
          </cell>
          <cell r="BG253">
            <v>6430.5</v>
          </cell>
          <cell r="BH253">
            <v>6113.6</v>
          </cell>
          <cell r="BI253">
            <v>7736.3</v>
          </cell>
          <cell r="BJ253">
            <v>8365</v>
          </cell>
          <cell r="BK253">
            <v>9268.9</v>
          </cell>
          <cell r="BL253">
            <v>9460.7000000000007</v>
          </cell>
          <cell r="BM253">
            <v>9455.2999999999993</v>
          </cell>
          <cell r="BN253">
            <v>24748.3</v>
          </cell>
          <cell r="BO253">
            <v>8820.4</v>
          </cell>
          <cell r="BP253">
            <v>13036.2</v>
          </cell>
          <cell r="BQ253">
            <v>10021</v>
          </cell>
          <cell r="BR253">
            <v>15229.3</v>
          </cell>
          <cell r="BS253">
            <v>11202.4</v>
          </cell>
          <cell r="BT253">
            <v>11554.4</v>
          </cell>
          <cell r="BU253">
            <v>13234.8</v>
          </cell>
          <cell r="BV253">
            <v>11519.3</v>
          </cell>
          <cell r="BW253">
            <v>14608.7</v>
          </cell>
          <cell r="BX253">
            <v>11099.2</v>
          </cell>
          <cell r="BY253">
            <v>10661.3</v>
          </cell>
          <cell r="BZ253">
            <v>16929.900000000001</v>
          </cell>
          <cell r="CA253">
            <v>18218.400000000001</v>
          </cell>
          <cell r="CB253">
            <v>23951</v>
          </cell>
          <cell r="CC253">
            <v>23025.200000000001</v>
          </cell>
          <cell r="CD253">
            <v>17891.8</v>
          </cell>
          <cell r="CE253">
            <v>24084.6</v>
          </cell>
          <cell r="CF253">
            <v>22047.599999999999</v>
          </cell>
          <cell r="CG253">
            <v>13307.3</v>
          </cell>
          <cell r="CH253">
            <v>15536.3</v>
          </cell>
          <cell r="CI253">
            <v>20910.400000000001</v>
          </cell>
          <cell r="CJ253">
            <v>20130.599999999999</v>
          </cell>
          <cell r="CK253">
            <v>26406.3</v>
          </cell>
          <cell r="CL253">
            <v>31320.6</v>
          </cell>
          <cell r="CM253">
            <v>22360.2</v>
          </cell>
          <cell r="CN253">
            <v>22856.1</v>
          </cell>
          <cell r="CO253">
            <v>25626</v>
          </cell>
          <cell r="CP253">
            <v>24058.799999999999</v>
          </cell>
          <cell r="CQ253">
            <v>18948.2</v>
          </cell>
          <cell r="CR253">
            <v>13855.3</v>
          </cell>
          <cell r="CS253">
            <v>14800</v>
          </cell>
          <cell r="CT253">
            <v>18261</v>
          </cell>
          <cell r="CU253">
            <v>17736.599999999999</v>
          </cell>
          <cell r="CV253">
            <v>17900.400000000001</v>
          </cell>
          <cell r="CW253">
            <v>22772.6</v>
          </cell>
          <cell r="CX253">
            <v>35115.1</v>
          </cell>
          <cell r="CY253">
            <v>13929.6</v>
          </cell>
          <cell r="CZ253">
            <v>19621</v>
          </cell>
          <cell r="DA253">
            <v>14984.7</v>
          </cell>
          <cell r="DB253">
            <v>14427.1</v>
          </cell>
          <cell r="DC253">
            <v>13714.9</v>
          </cell>
          <cell r="DD253">
            <v>17711.400000000001</v>
          </cell>
          <cell r="DE253">
            <v>16474.5</v>
          </cell>
          <cell r="DF253">
            <v>13510.6</v>
          </cell>
          <cell r="DG253">
            <v>10398.200000000001</v>
          </cell>
          <cell r="DH253">
            <v>10449.299999999999</v>
          </cell>
          <cell r="DI253">
            <v>8765.2000000000007</v>
          </cell>
          <cell r="DJ253">
            <v>27559</v>
          </cell>
          <cell r="DK253">
            <v>22452.400000000001</v>
          </cell>
          <cell r="DL253">
            <v>17279</v>
          </cell>
          <cell r="DM253">
            <v>13711.1</v>
          </cell>
          <cell r="DN253">
            <v>10980.7</v>
          </cell>
          <cell r="DO253">
            <v>11538.8</v>
          </cell>
          <cell r="DP253">
            <v>20118.5</v>
          </cell>
          <cell r="DQ253">
            <v>17536.7</v>
          </cell>
          <cell r="DR253">
            <v>13974.3</v>
          </cell>
          <cell r="DS253">
            <v>16261.1</v>
          </cell>
          <cell r="DT253">
            <v>12152.6</v>
          </cell>
          <cell r="DU253">
            <v>11050.3</v>
          </cell>
          <cell r="DV253">
            <v>13173.1</v>
          </cell>
          <cell r="DW253">
            <v>9669</v>
          </cell>
          <cell r="EK253" t="str">
            <v>3 yr Avg (2020 to 2022 8+4F)</v>
          </cell>
          <cell r="EL253" t="str">
            <v>A_2320001</v>
          </cell>
          <cell r="EM253">
            <v>21457530</v>
          </cell>
          <cell r="EN253">
            <v>19785190</v>
          </cell>
          <cell r="EO253">
            <v>18009550</v>
          </cell>
          <cell r="EP253">
            <v>17358829.999999996</v>
          </cell>
          <cell r="EQ253">
            <v>17421809.999999996</v>
          </cell>
          <cell r="ER253">
            <v>15338710.000000002</v>
          </cell>
          <cell r="ES253">
            <v>15340860</v>
          </cell>
          <cell r="ET253">
            <v>14702160</v>
          </cell>
          <cell r="EU253">
            <v>14620890</v>
          </cell>
          <cell r="EV253">
            <v>16495640</v>
          </cell>
          <cell r="EW253">
            <v>30578150</v>
          </cell>
          <cell r="EX253">
            <v>19877120.000000004</v>
          </cell>
        </row>
        <row r="254">
          <cell r="A254" t="str">
            <v>Accounts Payable</v>
          </cell>
          <cell r="B254" t="str">
            <v>Accounts Payable - External</v>
          </cell>
          <cell r="C254" t="str">
            <v>Accounts Payable</v>
          </cell>
          <cell r="D254" t="str">
            <v>2320002</v>
          </cell>
          <cell r="E254" t="str">
            <v>A_2320002</v>
          </cell>
          <cell r="F254" t="str">
            <v>AP GR/IR Clearing</v>
          </cell>
          <cell r="G254">
            <v>3301.1319600000002</v>
          </cell>
          <cell r="H254">
            <v>1918</v>
          </cell>
          <cell r="I254">
            <v>2141.3000000000002</v>
          </cell>
          <cell r="J254">
            <v>2791.6</v>
          </cell>
          <cell r="K254">
            <v>3452.6</v>
          </cell>
          <cell r="L254">
            <v>1657.4</v>
          </cell>
          <cell r="M254">
            <v>2436.1</v>
          </cell>
          <cell r="N254">
            <v>2215.6</v>
          </cell>
          <cell r="O254">
            <v>2187.9</v>
          </cell>
          <cell r="P254">
            <v>2632.2</v>
          </cell>
          <cell r="Q254">
            <v>2527.1999999999998</v>
          </cell>
          <cell r="R254">
            <v>3177.4</v>
          </cell>
          <cell r="S254">
            <v>1693.5</v>
          </cell>
          <cell r="T254">
            <v>1917.8</v>
          </cell>
          <cell r="U254">
            <v>1555.2</v>
          </cell>
          <cell r="V254">
            <v>1719.4</v>
          </cell>
          <cell r="W254">
            <v>2092.1</v>
          </cell>
          <cell r="X254">
            <v>2354.6</v>
          </cell>
          <cell r="Y254">
            <v>1293.9000000000001</v>
          </cell>
          <cell r="Z254">
            <v>2550.1999999999998</v>
          </cell>
          <cell r="AA254">
            <v>2356.3000000000002</v>
          </cell>
          <cell r="AB254">
            <v>2266.6</v>
          </cell>
          <cell r="AC254">
            <v>3132.2</v>
          </cell>
          <cell r="AD254">
            <v>2554.9</v>
          </cell>
          <cell r="AE254">
            <v>3165.3</v>
          </cell>
          <cell r="AF254">
            <v>2363</v>
          </cell>
          <cell r="AG254">
            <v>2043.2</v>
          </cell>
          <cell r="AH254">
            <v>2099.8000000000002</v>
          </cell>
          <cell r="AI254">
            <v>3371.6</v>
          </cell>
          <cell r="AJ254">
            <v>2299.3000000000002</v>
          </cell>
          <cell r="AK254">
            <v>4200.1000000000004</v>
          </cell>
          <cell r="AL254">
            <v>3575.2</v>
          </cell>
          <cell r="AM254">
            <v>3629.9</v>
          </cell>
          <cell r="AN254">
            <v>2634</v>
          </cell>
          <cell r="AO254">
            <v>4148.2</v>
          </cell>
          <cell r="AP254">
            <v>4344.2</v>
          </cell>
          <cell r="AQ254">
            <v>3930.1</v>
          </cell>
          <cell r="AR254">
            <v>2377.8000000000002</v>
          </cell>
          <cell r="AS254">
            <v>2340.3000000000002</v>
          </cell>
          <cell r="AT254">
            <v>2691.3</v>
          </cell>
          <cell r="AU254">
            <v>2386.3000000000002</v>
          </cell>
          <cell r="AV254">
            <v>2175.8000000000002</v>
          </cell>
          <cell r="AW254">
            <v>3129.4</v>
          </cell>
          <cell r="AX254">
            <v>3378.4</v>
          </cell>
          <cell r="AY254">
            <v>3580.2</v>
          </cell>
          <cell r="AZ254">
            <v>3128.5</v>
          </cell>
          <cell r="BA254">
            <v>3213.9</v>
          </cell>
          <cell r="BB254">
            <v>3527.5</v>
          </cell>
          <cell r="BC254">
            <v>3633.1</v>
          </cell>
          <cell r="BD254">
            <v>5388</v>
          </cell>
          <cell r="BE254">
            <v>3793.5</v>
          </cell>
          <cell r="BF254">
            <v>5276.6</v>
          </cell>
          <cell r="BG254">
            <v>3844.4</v>
          </cell>
          <cell r="BH254">
            <v>6678.6</v>
          </cell>
          <cell r="BI254">
            <v>3849.4</v>
          </cell>
          <cell r="BJ254">
            <v>4802.6000000000004</v>
          </cell>
          <cell r="BK254">
            <v>4058.4</v>
          </cell>
          <cell r="BL254">
            <v>6513.1</v>
          </cell>
          <cell r="BM254">
            <v>4906.8999999999996</v>
          </cell>
          <cell r="BN254">
            <v>5104.6000000000004</v>
          </cell>
          <cell r="BO254">
            <v>4418</v>
          </cell>
          <cell r="BP254">
            <v>4871.5</v>
          </cell>
          <cell r="BQ254">
            <v>4514</v>
          </cell>
          <cell r="BR254">
            <v>4393.3999999999996</v>
          </cell>
          <cell r="BS254">
            <v>4761.1000000000004</v>
          </cell>
          <cell r="BT254">
            <v>8518.2999999999993</v>
          </cell>
          <cell r="BU254">
            <v>7280.6</v>
          </cell>
          <cell r="BV254">
            <v>6056</v>
          </cell>
          <cell r="BW254">
            <v>5640</v>
          </cell>
          <cell r="BX254">
            <v>4079.6</v>
          </cell>
          <cell r="BY254">
            <v>6914.8</v>
          </cell>
          <cell r="BZ254">
            <v>7139.3</v>
          </cell>
          <cell r="CA254">
            <v>9643.7000000000007</v>
          </cell>
          <cell r="CB254">
            <v>11945.9</v>
          </cell>
          <cell r="CC254">
            <v>8902.2999999999993</v>
          </cell>
          <cell r="CD254">
            <v>12733.7</v>
          </cell>
          <cell r="CE254">
            <v>11008.9</v>
          </cell>
          <cell r="CF254">
            <v>12806.8</v>
          </cell>
          <cell r="CG254">
            <v>14488.8</v>
          </cell>
          <cell r="CH254">
            <v>14620.2</v>
          </cell>
          <cell r="CI254">
            <v>15897.1</v>
          </cell>
          <cell r="CJ254">
            <v>19564.900000000001</v>
          </cell>
          <cell r="CK254">
            <v>20799.3</v>
          </cell>
          <cell r="CL254">
            <v>24740.3</v>
          </cell>
          <cell r="CM254">
            <v>31220</v>
          </cell>
          <cell r="CN254">
            <v>18816</v>
          </cell>
          <cell r="CO254">
            <v>16215.6</v>
          </cell>
          <cell r="CP254">
            <v>21933.8</v>
          </cell>
          <cell r="CQ254">
            <v>18048.3</v>
          </cell>
          <cell r="CR254">
            <v>14153.5</v>
          </cell>
          <cell r="CS254">
            <v>13290.5</v>
          </cell>
          <cell r="CT254">
            <v>14121.1</v>
          </cell>
          <cell r="CU254">
            <v>21672.7</v>
          </cell>
          <cell r="CV254">
            <v>25240.1</v>
          </cell>
          <cell r="CW254">
            <v>20606.599999999999</v>
          </cell>
          <cell r="CX254">
            <v>17109.3</v>
          </cell>
          <cell r="CY254">
            <v>17682</v>
          </cell>
          <cell r="CZ254">
            <v>12299.8</v>
          </cell>
          <cell r="DA254">
            <v>11404.2</v>
          </cell>
          <cell r="DB254">
            <v>8693.2999999999993</v>
          </cell>
          <cell r="DC254">
            <v>7679.2</v>
          </cell>
          <cell r="DD254">
            <v>7758.9</v>
          </cell>
          <cell r="DE254">
            <v>8977.2999999999993</v>
          </cell>
          <cell r="DF254">
            <v>8580.7999999999993</v>
          </cell>
          <cell r="DG254">
            <v>9155.6</v>
          </cell>
          <cell r="DH254">
            <v>7410.5</v>
          </cell>
          <cell r="DI254">
            <v>11608</v>
          </cell>
          <cell r="DJ254">
            <v>9538.4</v>
          </cell>
          <cell r="DK254">
            <v>8835.9</v>
          </cell>
          <cell r="DL254">
            <v>14183.9</v>
          </cell>
          <cell r="DM254">
            <v>12347.2</v>
          </cell>
          <cell r="DN254">
            <v>13473.5</v>
          </cell>
          <cell r="DO254">
            <v>11455.9</v>
          </cell>
          <cell r="DP254">
            <v>10686.9</v>
          </cell>
          <cell r="DQ254">
            <v>11373.6</v>
          </cell>
          <cell r="DR254">
            <v>11450.8</v>
          </cell>
          <cell r="DS254">
            <v>13809</v>
          </cell>
          <cell r="DT254">
            <v>16031.1</v>
          </cell>
          <cell r="DU254">
            <v>15543.7</v>
          </cell>
          <cell r="DV254">
            <v>15953.7</v>
          </cell>
          <cell r="DW254">
            <v>15327.5</v>
          </cell>
          <cell r="EK254" t="str">
            <v>3 yr Avg (2020 to 2022 8+4F)</v>
          </cell>
          <cell r="EL254" t="str">
            <v>A_2320002</v>
          </cell>
          <cell r="EM254">
            <v>14183880</v>
          </cell>
          <cell r="EN254">
            <v>12347240</v>
          </cell>
          <cell r="EO254">
            <v>13473529.999999998</v>
          </cell>
          <cell r="EP254">
            <v>11455869.999999998</v>
          </cell>
          <cell r="EQ254">
            <v>10686860</v>
          </cell>
          <cell r="ER254">
            <v>11373560.000000002</v>
          </cell>
          <cell r="ES254">
            <v>11450770</v>
          </cell>
          <cell r="ET254">
            <v>14259029.999999998</v>
          </cell>
          <cell r="EU254">
            <v>15190259.999999998</v>
          </cell>
          <cell r="EV254">
            <v>16145840</v>
          </cell>
          <cell r="EW254">
            <v>14850050</v>
          </cell>
          <cell r="EX254">
            <v>15966550</v>
          </cell>
        </row>
        <row r="255">
          <cell r="A255" t="str">
            <v>Accounts Payable</v>
          </cell>
          <cell r="B255" t="str">
            <v>Accounts Payable - External</v>
          </cell>
          <cell r="C255" t="str">
            <v>Accounts Payable</v>
          </cell>
          <cell r="D255" t="str">
            <v>2320003</v>
          </cell>
          <cell r="E255" t="str">
            <v>A_2320003</v>
          </cell>
          <cell r="F255" t="str">
            <v>AP P-Card Clearing</v>
          </cell>
          <cell r="G255">
            <v>116.24316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0.4</v>
          </cell>
          <cell r="R255">
            <v>0</v>
          </cell>
          <cell r="S255">
            <v>74.2</v>
          </cell>
          <cell r="T255">
            <v>-0.2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-0.9</v>
          </cell>
          <cell r="AD255">
            <v>-0.9</v>
          </cell>
          <cell r="AE255">
            <v>108.3</v>
          </cell>
          <cell r="AF255">
            <v>-0.9</v>
          </cell>
          <cell r="AG255">
            <v>-0.9</v>
          </cell>
          <cell r="AH255">
            <v>-0.9</v>
          </cell>
          <cell r="AI255">
            <v>-0.9</v>
          </cell>
          <cell r="AJ255">
            <v>-0.9</v>
          </cell>
          <cell r="AK255">
            <v>-0.9</v>
          </cell>
          <cell r="AL255">
            <v>-0.9</v>
          </cell>
          <cell r="AM255">
            <v>-0.9</v>
          </cell>
          <cell r="AN255">
            <v>-0.9</v>
          </cell>
          <cell r="AO255">
            <v>-0.9</v>
          </cell>
          <cell r="AP255">
            <v>-0.9</v>
          </cell>
          <cell r="AQ255">
            <v>147.30000000000001</v>
          </cell>
          <cell r="AR255">
            <v>-0.9</v>
          </cell>
          <cell r="AS255">
            <v>-0.9</v>
          </cell>
          <cell r="AT255">
            <v>-0.9</v>
          </cell>
          <cell r="AU255">
            <v>-2.2999999999999998</v>
          </cell>
          <cell r="AV255">
            <v>-2.2999999999999998</v>
          </cell>
          <cell r="AW255">
            <v>-2.2999999999999998</v>
          </cell>
          <cell r="AX255">
            <v>-2.2999999999999998</v>
          </cell>
          <cell r="AY255">
            <v>-2.2999999999999998</v>
          </cell>
          <cell r="AZ255">
            <v>-2.2999999999999998</v>
          </cell>
          <cell r="BA255">
            <v>-2.2999999999999998</v>
          </cell>
          <cell r="BB255">
            <v>-2.2999999999999998</v>
          </cell>
          <cell r="BC255">
            <v>142.69999999999999</v>
          </cell>
          <cell r="BD255">
            <v>-2.2999999999999998</v>
          </cell>
          <cell r="BE255">
            <v>-2.2999999999999998</v>
          </cell>
          <cell r="BF255">
            <v>-2.2999999999999998</v>
          </cell>
          <cell r="BG255">
            <v>-2.2999999999999998</v>
          </cell>
          <cell r="BH255">
            <v>-2.2999999999999998</v>
          </cell>
          <cell r="BI255">
            <v>-2.2999999999999998</v>
          </cell>
          <cell r="BJ255">
            <v>-2.2999999999999998</v>
          </cell>
          <cell r="BK255">
            <v>-2.2999999999999998</v>
          </cell>
          <cell r="BL255">
            <v>-2.2000000000000002</v>
          </cell>
          <cell r="BM255">
            <v>-2.2999999999999998</v>
          </cell>
          <cell r="BN255">
            <v>-2.2999999999999998</v>
          </cell>
          <cell r="BO255">
            <v>156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176.7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9</v>
          </cell>
          <cell r="CI255">
            <v>80.900000000000006</v>
          </cell>
          <cell r="CJ255">
            <v>53.7</v>
          </cell>
          <cell r="CK255">
            <v>41.3</v>
          </cell>
          <cell r="CL255">
            <v>48.9</v>
          </cell>
          <cell r="CM255">
            <v>101.9</v>
          </cell>
          <cell r="CN255">
            <v>31.8</v>
          </cell>
          <cell r="CO255">
            <v>20</v>
          </cell>
          <cell r="CP255">
            <v>29.1</v>
          </cell>
          <cell r="CQ255">
            <v>38.5</v>
          </cell>
          <cell r="CR255">
            <v>42.8</v>
          </cell>
          <cell r="CS255">
            <v>38.299999999999997</v>
          </cell>
          <cell r="CT255">
            <v>29.9</v>
          </cell>
          <cell r="CU255">
            <v>57.5</v>
          </cell>
          <cell r="CV255">
            <v>8.6999999999999993</v>
          </cell>
          <cell r="CW255">
            <v>5.5</v>
          </cell>
          <cell r="CX255">
            <v>-37.6</v>
          </cell>
          <cell r="CY255">
            <v>105.6</v>
          </cell>
          <cell r="CZ255">
            <v>36.799999999999997</v>
          </cell>
          <cell r="DA255">
            <v>35.1</v>
          </cell>
          <cell r="DB255">
            <v>272.39999999999998</v>
          </cell>
          <cell r="DC255">
            <v>14.4</v>
          </cell>
          <cell r="DD255">
            <v>-11.1</v>
          </cell>
          <cell r="DE255">
            <v>-80</v>
          </cell>
          <cell r="DF255">
            <v>-174.5</v>
          </cell>
          <cell r="DG255">
            <v>-20.9</v>
          </cell>
          <cell r="DH255">
            <v>-59.7</v>
          </cell>
          <cell r="DI255">
            <v>-76.7</v>
          </cell>
          <cell r="DJ255">
            <v>-82.8</v>
          </cell>
          <cell r="DK255">
            <v>-20.399999999999999</v>
          </cell>
          <cell r="DL255">
            <v>27.9</v>
          </cell>
          <cell r="DM255">
            <v>23.6</v>
          </cell>
          <cell r="DN255">
            <v>144.9</v>
          </cell>
          <cell r="DO255">
            <v>18.8</v>
          </cell>
          <cell r="DP255">
            <v>7.3</v>
          </cell>
          <cell r="DQ255">
            <v>-28.5</v>
          </cell>
          <cell r="DR255">
            <v>-76.5</v>
          </cell>
          <cell r="DS255">
            <v>45.3</v>
          </cell>
          <cell r="DT255">
            <v>21.1</v>
          </cell>
          <cell r="DU255">
            <v>15.8</v>
          </cell>
          <cell r="DV255">
            <v>5.6</v>
          </cell>
          <cell r="DW255">
            <v>125.9</v>
          </cell>
          <cell r="EK255" t="str">
            <v>3 yr Avg (2020 to 2022 8+4F)</v>
          </cell>
          <cell r="EL255" t="str">
            <v>A_2320003</v>
          </cell>
          <cell r="EM255">
            <v>27939.999999999996</v>
          </cell>
          <cell r="EN255">
            <v>23550</v>
          </cell>
          <cell r="EO255">
            <v>144930</v>
          </cell>
          <cell r="EP255">
            <v>18750</v>
          </cell>
          <cell r="EQ255">
            <v>7289.9999999999973</v>
          </cell>
          <cell r="ER255">
            <v>-28510</v>
          </cell>
          <cell r="ES255">
            <v>-76479.999999999985</v>
          </cell>
          <cell r="ET255">
            <v>22980</v>
          </cell>
          <cell r="EU255">
            <v>-16500</v>
          </cell>
          <cell r="EV255">
            <v>-28439.999999999996</v>
          </cell>
          <cell r="EW255">
            <v>-42900</v>
          </cell>
          <cell r="EX255">
            <v>41859.999999999993</v>
          </cell>
        </row>
        <row r="256">
          <cell r="A256" t="str">
            <v>Accounts Payable</v>
          </cell>
          <cell r="B256" t="str">
            <v>Accounts Payable - External</v>
          </cell>
          <cell r="C256" t="str">
            <v>Accounts Payable</v>
          </cell>
          <cell r="D256" t="str">
            <v>2320005</v>
          </cell>
          <cell r="E256" t="str">
            <v>A_2320005</v>
          </cell>
          <cell r="F256" t="str">
            <v>AP Employee Expenses (RECON)</v>
          </cell>
          <cell r="G256">
            <v>0.82240999999999997</v>
          </cell>
          <cell r="H256">
            <v>0</v>
          </cell>
          <cell r="I256">
            <v>6.2</v>
          </cell>
          <cell r="J256">
            <v>0.1</v>
          </cell>
          <cell r="K256">
            <v>1.2</v>
          </cell>
          <cell r="L256">
            <v>0.1</v>
          </cell>
          <cell r="M256">
            <v>0.4</v>
          </cell>
          <cell r="N256">
            <v>0.1</v>
          </cell>
          <cell r="O256">
            <v>0</v>
          </cell>
          <cell r="P256">
            <v>3.4</v>
          </cell>
          <cell r="Q256">
            <v>0</v>
          </cell>
          <cell r="R256">
            <v>0</v>
          </cell>
          <cell r="S256">
            <v>0.2</v>
          </cell>
          <cell r="T256">
            <v>0</v>
          </cell>
          <cell r="U256">
            <v>0.2</v>
          </cell>
          <cell r="V256">
            <v>0</v>
          </cell>
          <cell r="W256">
            <v>1.1000000000000001</v>
          </cell>
          <cell r="X256">
            <v>3.1</v>
          </cell>
          <cell r="Y256">
            <v>4.7</v>
          </cell>
          <cell r="Z256">
            <v>0</v>
          </cell>
          <cell r="AA256">
            <v>0</v>
          </cell>
          <cell r="AB256">
            <v>5.8</v>
          </cell>
          <cell r="AC256">
            <v>3.4</v>
          </cell>
          <cell r="AD256">
            <v>0.7</v>
          </cell>
          <cell r="AE256">
            <v>0</v>
          </cell>
          <cell r="AF256">
            <v>1.2</v>
          </cell>
          <cell r="AG256">
            <v>0</v>
          </cell>
          <cell r="AH256">
            <v>0</v>
          </cell>
          <cell r="AI256">
            <v>0.1</v>
          </cell>
          <cell r="AJ256">
            <v>0</v>
          </cell>
          <cell r="AK256">
            <v>23.6</v>
          </cell>
          <cell r="AL256">
            <v>7.7</v>
          </cell>
          <cell r="AM256">
            <v>17.3</v>
          </cell>
          <cell r="AN256">
            <v>6.8</v>
          </cell>
          <cell r="AO256">
            <v>9.9</v>
          </cell>
          <cell r="AP256">
            <v>3.9</v>
          </cell>
          <cell r="AQ256">
            <v>7.3</v>
          </cell>
          <cell r="AR256">
            <v>9.3000000000000007</v>
          </cell>
          <cell r="AS256">
            <v>6.3</v>
          </cell>
          <cell r="AT256">
            <v>7.7</v>
          </cell>
          <cell r="AU256">
            <v>9.8000000000000007</v>
          </cell>
          <cell r="AV256">
            <v>7.3</v>
          </cell>
          <cell r="AW256">
            <v>3.3</v>
          </cell>
          <cell r="AX256">
            <v>12.7</v>
          </cell>
          <cell r="AY256">
            <v>8.9</v>
          </cell>
          <cell r="AZ256">
            <v>1.5</v>
          </cell>
          <cell r="BA256">
            <v>3.3</v>
          </cell>
          <cell r="BB256">
            <v>3.6</v>
          </cell>
          <cell r="BC256">
            <v>1.2</v>
          </cell>
          <cell r="BD256">
            <v>14.3</v>
          </cell>
          <cell r="BE256">
            <v>12.3</v>
          </cell>
          <cell r="BF256">
            <v>5.7</v>
          </cell>
          <cell r="BG256">
            <v>3.5</v>
          </cell>
          <cell r="BH256">
            <v>5.9</v>
          </cell>
          <cell r="BI256">
            <v>15.6</v>
          </cell>
          <cell r="BJ256">
            <v>6.7</v>
          </cell>
          <cell r="BK256">
            <v>8.9</v>
          </cell>
          <cell r="BL256">
            <v>10.7</v>
          </cell>
          <cell r="BM256">
            <v>6</v>
          </cell>
          <cell r="BN256">
            <v>12</v>
          </cell>
          <cell r="BO256">
            <v>5.8</v>
          </cell>
          <cell r="BP256">
            <v>11</v>
          </cell>
          <cell r="BQ256">
            <v>4.7</v>
          </cell>
          <cell r="BR256">
            <v>6.7</v>
          </cell>
          <cell r="BS256">
            <v>3.9</v>
          </cell>
          <cell r="BT256">
            <v>7.3</v>
          </cell>
          <cell r="BU256">
            <v>9.6</v>
          </cell>
          <cell r="BV256">
            <v>11.2</v>
          </cell>
          <cell r="BW256">
            <v>35.700000000000003</v>
          </cell>
          <cell r="BX256">
            <v>8.4</v>
          </cell>
          <cell r="BY256">
            <v>5.5</v>
          </cell>
          <cell r="BZ256">
            <v>9.8000000000000007</v>
          </cell>
          <cell r="CA256">
            <v>10.3</v>
          </cell>
          <cell r="CB256">
            <v>11.9</v>
          </cell>
          <cell r="CC256">
            <v>9.6</v>
          </cell>
          <cell r="CD256">
            <v>3.9</v>
          </cell>
          <cell r="CE256">
            <v>2.2999999999999998</v>
          </cell>
          <cell r="CF256">
            <v>1.1000000000000001</v>
          </cell>
          <cell r="CG256">
            <v>0.4</v>
          </cell>
          <cell r="CH256">
            <v>3</v>
          </cell>
          <cell r="CI256">
            <v>7.5</v>
          </cell>
          <cell r="CJ256">
            <v>1.9</v>
          </cell>
          <cell r="CK256">
            <v>7.6</v>
          </cell>
          <cell r="CL256">
            <v>3</v>
          </cell>
          <cell r="CM256">
            <v>2.1</v>
          </cell>
          <cell r="CN256">
            <v>3.2</v>
          </cell>
          <cell r="CO256">
            <v>11</v>
          </cell>
          <cell r="CP256">
            <v>3.7</v>
          </cell>
          <cell r="CQ256">
            <v>3.5</v>
          </cell>
          <cell r="CR256">
            <v>2.8</v>
          </cell>
          <cell r="CS256">
            <v>6.3</v>
          </cell>
          <cell r="CT256">
            <v>4.0999999999999996</v>
          </cell>
          <cell r="CU256">
            <v>3.4</v>
          </cell>
          <cell r="CV256">
            <v>5.0999999999999996</v>
          </cell>
          <cell r="CW256">
            <v>5.9</v>
          </cell>
          <cell r="CX256">
            <v>14.4</v>
          </cell>
          <cell r="CY256">
            <v>17.7</v>
          </cell>
          <cell r="CZ256">
            <v>5.0999999999999996</v>
          </cell>
          <cell r="DA256">
            <v>7.3</v>
          </cell>
          <cell r="DB256">
            <v>6.8</v>
          </cell>
          <cell r="DC256">
            <v>12.9</v>
          </cell>
          <cell r="DD256">
            <v>11</v>
          </cell>
          <cell r="DE256">
            <v>9.4</v>
          </cell>
          <cell r="DF256">
            <v>2.5</v>
          </cell>
          <cell r="DG256">
            <v>4.2</v>
          </cell>
          <cell r="DH256">
            <v>5.6</v>
          </cell>
          <cell r="DI256">
            <v>9.4</v>
          </cell>
          <cell r="DJ256">
            <v>9.1</v>
          </cell>
          <cell r="DK256">
            <v>8.3000000000000007</v>
          </cell>
          <cell r="DL256">
            <v>5.9</v>
          </cell>
          <cell r="DM256">
            <v>8.9</v>
          </cell>
          <cell r="DN256">
            <v>5.3</v>
          </cell>
          <cell r="DO256">
            <v>8</v>
          </cell>
          <cell r="DP256">
            <v>6.6</v>
          </cell>
          <cell r="DQ256">
            <v>6.7</v>
          </cell>
          <cell r="DR256">
            <v>3.1</v>
          </cell>
          <cell r="DS256">
            <v>12.6</v>
          </cell>
          <cell r="DT256">
            <v>5.0999999999999996</v>
          </cell>
          <cell r="DU256">
            <v>6.3</v>
          </cell>
          <cell r="DV256">
            <v>8.8000000000000007</v>
          </cell>
          <cell r="DW256">
            <v>8.9</v>
          </cell>
          <cell r="EK256" t="str">
            <v>3 yr Avg (2020 to 2022 8+4F)</v>
          </cell>
          <cell r="EL256" t="str">
            <v>A_2320005</v>
          </cell>
          <cell r="EM256">
            <v>5890.0000000000009</v>
          </cell>
          <cell r="EN256">
            <v>8870.0000000000018</v>
          </cell>
          <cell r="EO256">
            <v>5290.0000000000009</v>
          </cell>
          <cell r="EP256">
            <v>7959.9999999999991</v>
          </cell>
          <cell r="EQ256">
            <v>6560</v>
          </cell>
          <cell r="ER256">
            <v>6670</v>
          </cell>
          <cell r="ES256">
            <v>3079.9999999999995</v>
          </cell>
          <cell r="ET256">
            <v>4620</v>
          </cell>
          <cell r="EU256">
            <v>4709.9999999999991</v>
          </cell>
          <cell r="EV256">
            <v>7990</v>
          </cell>
          <cell r="EW256">
            <v>9470</v>
          </cell>
          <cell r="EX256">
            <v>9879.9999999999982</v>
          </cell>
        </row>
        <row r="257">
          <cell r="A257" t="str">
            <v>Accounts Payable</v>
          </cell>
          <cell r="B257" t="str">
            <v>Accounts Payable - External</v>
          </cell>
          <cell r="C257" t="str">
            <v>Accounts Payable</v>
          </cell>
          <cell r="D257" t="str">
            <v>2320006</v>
          </cell>
          <cell r="E257" t="str">
            <v>A_2320006</v>
          </cell>
          <cell r="F257" t="str">
            <v>AP Energy Conservation Allowances</v>
          </cell>
          <cell r="G257">
            <v>0.35</v>
          </cell>
          <cell r="H257">
            <v>9.6999999999999993</v>
          </cell>
          <cell r="I257">
            <v>33.700000000000003</v>
          </cell>
          <cell r="J257">
            <v>47.5</v>
          </cell>
          <cell r="K257">
            <v>106.4</v>
          </cell>
          <cell r="L257">
            <v>5.2</v>
          </cell>
          <cell r="M257">
            <v>24.7</v>
          </cell>
          <cell r="N257">
            <v>121.9</v>
          </cell>
          <cell r="O257">
            <v>16.600000000000001</v>
          </cell>
          <cell r="P257">
            <v>106.8</v>
          </cell>
          <cell r="Q257">
            <v>0</v>
          </cell>
          <cell r="R257">
            <v>157.9</v>
          </cell>
          <cell r="S257">
            <v>0</v>
          </cell>
          <cell r="T257">
            <v>55.7</v>
          </cell>
          <cell r="U257">
            <v>47.8</v>
          </cell>
          <cell r="V257">
            <v>91.1</v>
          </cell>
          <cell r="W257">
            <v>8.6</v>
          </cell>
          <cell r="X257">
            <v>133.4</v>
          </cell>
          <cell r="Y257">
            <v>86.4</v>
          </cell>
          <cell r="Z257">
            <v>30.8</v>
          </cell>
          <cell r="AA257">
            <v>30.8</v>
          </cell>
          <cell r="AB257">
            <v>39.799999999999997</v>
          </cell>
          <cell r="AC257">
            <v>55.3</v>
          </cell>
          <cell r="AD257">
            <v>140.30000000000001</v>
          </cell>
          <cell r="AE257">
            <v>30.3</v>
          </cell>
          <cell r="AF257">
            <v>79.599999999999994</v>
          </cell>
          <cell r="AG257">
            <v>34.700000000000003</v>
          </cell>
          <cell r="AH257">
            <v>51.2</v>
          </cell>
          <cell r="AI257">
            <v>0.5</v>
          </cell>
          <cell r="AJ257">
            <v>177.1</v>
          </cell>
          <cell r="AK257">
            <v>137.69999999999999</v>
          </cell>
          <cell r="AL257">
            <v>32</v>
          </cell>
          <cell r="AM257">
            <v>133.5</v>
          </cell>
          <cell r="AN257">
            <v>14.1</v>
          </cell>
          <cell r="AO257">
            <v>95.5</v>
          </cell>
          <cell r="AP257">
            <v>19.8</v>
          </cell>
          <cell r="AQ257">
            <v>0</v>
          </cell>
          <cell r="AR257">
            <v>0.6</v>
          </cell>
          <cell r="AS257">
            <v>1</v>
          </cell>
          <cell r="AT257">
            <v>1.2</v>
          </cell>
          <cell r="AU257">
            <v>0.5</v>
          </cell>
          <cell r="AV257">
            <v>0.8</v>
          </cell>
          <cell r="AW257">
            <v>0.3</v>
          </cell>
          <cell r="AX257">
            <v>0.1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0.1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EK257" t="str">
            <v>Been zero since Aug 2017</v>
          </cell>
          <cell r="EL257" t="str">
            <v>A_2320006</v>
          </cell>
        </row>
        <row r="258">
          <cell r="A258" t="str">
            <v>Accounts Payable</v>
          </cell>
          <cell r="B258" t="str">
            <v>Accounts Payable - External</v>
          </cell>
          <cell r="C258" t="str">
            <v>Accounts Payable</v>
          </cell>
          <cell r="D258" t="str">
            <v>2320007</v>
          </cell>
          <cell r="E258" t="str">
            <v>A_2320007</v>
          </cell>
          <cell r="F258" t="str">
            <v>AP Payroll</v>
          </cell>
          <cell r="G258">
            <v>832.64618999999993</v>
          </cell>
          <cell r="H258">
            <v>1173.4000000000001</v>
          </cell>
          <cell r="I258">
            <v>1153</v>
          </cell>
          <cell r="J258">
            <v>1377.6</v>
          </cell>
          <cell r="K258">
            <v>1602</v>
          </cell>
          <cell r="L258">
            <v>598.4</v>
          </cell>
          <cell r="M258">
            <v>751</v>
          </cell>
          <cell r="N258">
            <v>1064.7</v>
          </cell>
          <cell r="O258">
            <v>1293.8</v>
          </cell>
          <cell r="P258">
            <v>1510.8</v>
          </cell>
          <cell r="Q258">
            <v>539.29999999999995</v>
          </cell>
          <cell r="R258">
            <v>658.7</v>
          </cell>
          <cell r="S258">
            <v>964.6</v>
          </cell>
          <cell r="T258">
            <v>1252.5</v>
          </cell>
          <cell r="U258">
            <v>1244.7</v>
          </cell>
          <cell r="V258">
            <v>1507.2</v>
          </cell>
          <cell r="W258">
            <v>465.2</v>
          </cell>
          <cell r="X258">
            <v>675.5</v>
          </cell>
          <cell r="Y258">
            <v>882.3</v>
          </cell>
          <cell r="Z258">
            <v>1189.4000000000001</v>
          </cell>
          <cell r="AA258">
            <v>1404.2</v>
          </cell>
          <cell r="AB258">
            <v>1635.6</v>
          </cell>
          <cell r="AC258">
            <v>644.1</v>
          </cell>
          <cell r="AD258">
            <v>813.4</v>
          </cell>
          <cell r="AE258">
            <v>1165.5</v>
          </cell>
          <cell r="AF258">
            <v>1503.7</v>
          </cell>
          <cell r="AG258">
            <v>1522.5</v>
          </cell>
          <cell r="AH258">
            <v>487.9</v>
          </cell>
          <cell r="AI258">
            <v>660.1</v>
          </cell>
          <cell r="AJ258">
            <v>945.6</v>
          </cell>
          <cell r="AK258">
            <v>1182.5</v>
          </cell>
          <cell r="AL258">
            <v>1415.1</v>
          </cell>
          <cell r="AM258">
            <v>1775.5</v>
          </cell>
          <cell r="AN258">
            <v>642.79999999999995</v>
          </cell>
          <cell r="AO258">
            <v>845.5</v>
          </cell>
          <cell r="AP258">
            <v>1102</v>
          </cell>
          <cell r="AQ258">
            <v>1400.1</v>
          </cell>
          <cell r="AR258">
            <v>1770.3</v>
          </cell>
          <cell r="AS258">
            <v>1720.4</v>
          </cell>
          <cell r="AT258">
            <v>633</v>
          </cell>
          <cell r="AU258">
            <v>712.9</v>
          </cell>
          <cell r="AV258">
            <v>1073.2</v>
          </cell>
          <cell r="AW258">
            <v>1316.8</v>
          </cell>
          <cell r="AX258">
            <v>1531.5</v>
          </cell>
          <cell r="AY258">
            <v>508.9</v>
          </cell>
          <cell r="AZ258">
            <v>731.8</v>
          </cell>
          <cell r="BA258">
            <v>985.3</v>
          </cell>
          <cell r="BB258">
            <v>1273.4000000000001</v>
          </cell>
          <cell r="BC258">
            <v>1494.2</v>
          </cell>
          <cell r="BD258">
            <v>1957.7</v>
          </cell>
          <cell r="BE258">
            <v>1907.5</v>
          </cell>
          <cell r="BF258">
            <v>705.4</v>
          </cell>
          <cell r="BG258">
            <v>886.6</v>
          </cell>
          <cell r="BH258">
            <v>1293.5</v>
          </cell>
          <cell r="BI258">
            <v>1489.4</v>
          </cell>
          <cell r="BJ258">
            <v>1778.4</v>
          </cell>
          <cell r="BK258">
            <v>694.1</v>
          </cell>
          <cell r="BL258">
            <v>788.3</v>
          </cell>
          <cell r="BM258">
            <v>1477.9</v>
          </cell>
          <cell r="BN258">
            <v>1542.8</v>
          </cell>
          <cell r="BO258">
            <v>1776.5</v>
          </cell>
          <cell r="BP258">
            <v>587.1</v>
          </cell>
          <cell r="BQ258">
            <v>588.1</v>
          </cell>
          <cell r="BR258">
            <v>817.3</v>
          </cell>
          <cell r="BS258">
            <v>1106.0999999999999</v>
          </cell>
          <cell r="BT258">
            <v>1564.1</v>
          </cell>
          <cell r="BU258">
            <v>1638.9</v>
          </cell>
          <cell r="BV258">
            <v>2115.3000000000002</v>
          </cell>
          <cell r="BW258">
            <v>818.8</v>
          </cell>
          <cell r="BX258">
            <v>1011.1</v>
          </cell>
          <cell r="BY258">
            <v>1497.2</v>
          </cell>
          <cell r="BZ258">
            <v>1703.8</v>
          </cell>
          <cell r="CA258">
            <v>2084.8000000000002</v>
          </cell>
          <cell r="CB258">
            <v>825.3</v>
          </cell>
          <cell r="CC258">
            <v>842.7</v>
          </cell>
          <cell r="CD258">
            <v>1232.5999999999999</v>
          </cell>
          <cell r="CE258">
            <v>1513.4</v>
          </cell>
          <cell r="CF258">
            <v>1752.5</v>
          </cell>
          <cell r="CG258">
            <v>2091.4</v>
          </cell>
          <cell r="CH258">
            <v>851.9</v>
          </cell>
          <cell r="CI258">
            <v>1082.8</v>
          </cell>
          <cell r="CJ258">
            <v>1439.6</v>
          </cell>
          <cell r="CK258">
            <v>1822.2</v>
          </cell>
          <cell r="CL258">
            <v>2019.6</v>
          </cell>
          <cell r="CM258">
            <v>711.5</v>
          </cell>
          <cell r="CN258">
            <v>953</v>
          </cell>
          <cell r="CO258">
            <v>940.9</v>
          </cell>
          <cell r="CP258">
            <v>1709</v>
          </cell>
          <cell r="CQ258">
            <v>1862.5</v>
          </cell>
          <cell r="CR258">
            <v>2051.1999999999998</v>
          </cell>
          <cell r="CS258">
            <v>2409.9</v>
          </cell>
          <cell r="CT258">
            <v>952.7</v>
          </cell>
          <cell r="CU258">
            <v>1315.6</v>
          </cell>
          <cell r="CV258">
            <v>1726.2</v>
          </cell>
          <cell r="CW258">
            <v>1923.6</v>
          </cell>
          <cell r="CX258">
            <v>2351.6</v>
          </cell>
          <cell r="CY258">
            <v>953.8</v>
          </cell>
          <cell r="CZ258">
            <v>1219.2</v>
          </cell>
          <cell r="DA258">
            <v>1209.9000000000001</v>
          </cell>
          <cell r="DB258">
            <v>1806.1</v>
          </cell>
          <cell r="DC258">
            <v>2031.1</v>
          </cell>
          <cell r="DD258">
            <v>2482.6999999999998</v>
          </cell>
          <cell r="DE258">
            <v>874</v>
          </cell>
          <cell r="DF258">
            <v>1108.5999999999999</v>
          </cell>
          <cell r="DG258">
            <v>1754.5</v>
          </cell>
          <cell r="DH258">
            <v>2237.3000000000002</v>
          </cell>
          <cell r="DI258">
            <v>2600</v>
          </cell>
          <cell r="DJ258">
            <v>2979.7</v>
          </cell>
          <cell r="DK258">
            <v>1166.8</v>
          </cell>
          <cell r="DL258">
            <v>1255.8</v>
          </cell>
          <cell r="DM258">
            <v>1246.2</v>
          </cell>
          <cell r="DN258">
            <v>1860.3</v>
          </cell>
          <cell r="DO258">
            <v>2092</v>
          </cell>
          <cell r="DP258">
            <v>2557.1999999999998</v>
          </cell>
          <cell r="DQ258">
            <v>900.2</v>
          </cell>
          <cell r="DR258">
            <v>1141.9000000000001</v>
          </cell>
          <cell r="DS258">
            <v>921.6</v>
          </cell>
          <cell r="DT258">
            <v>1137.9000000000001</v>
          </cell>
          <cell r="DU258">
            <v>1685.2</v>
          </cell>
          <cell r="DV258">
            <v>1917.6</v>
          </cell>
          <cell r="DW258">
            <v>2346.4</v>
          </cell>
          <cell r="EK258" t="str">
            <v>3 % increase annually</v>
          </cell>
          <cell r="EL258" t="str">
            <v>A_2320007</v>
          </cell>
          <cell r="EM258">
            <v>1255776</v>
          </cell>
          <cell r="EN258">
            <v>1246197</v>
          </cell>
          <cell r="EO258">
            <v>1860283</v>
          </cell>
          <cell r="EP258">
            <v>2092033</v>
          </cell>
          <cell r="EQ258">
            <v>2557181</v>
          </cell>
          <cell r="ER258">
            <v>900220</v>
          </cell>
          <cell r="ES258">
            <v>1141858</v>
          </cell>
          <cell r="ET258">
            <v>1807135</v>
          </cell>
          <cell r="EU258">
            <v>2304419.0000000005</v>
          </cell>
          <cell r="EV258">
            <v>2678000</v>
          </cell>
          <cell r="EW258">
            <v>3069091</v>
          </cell>
          <cell r="EX258">
            <v>1201804</v>
          </cell>
        </row>
        <row r="259">
          <cell r="A259" t="str">
            <v>Accounts Payable</v>
          </cell>
          <cell r="B259" t="str">
            <v>Accounts Payable - External</v>
          </cell>
          <cell r="C259" t="str">
            <v>Misc. Current Liabilities</v>
          </cell>
          <cell r="D259" t="str">
            <v>2320008</v>
          </cell>
          <cell r="E259" t="str">
            <v>A_2320008</v>
          </cell>
          <cell r="F259" t="str">
            <v>AP 401K Fixed Match</v>
          </cell>
          <cell r="G259">
            <v>-0.72055999999999998</v>
          </cell>
          <cell r="H259">
            <v>-0.7</v>
          </cell>
          <cell r="I259">
            <v>-0.7</v>
          </cell>
          <cell r="J259">
            <v>-0.7</v>
          </cell>
          <cell r="K259">
            <v>-0.7</v>
          </cell>
          <cell r="L259">
            <v>-0.7</v>
          </cell>
          <cell r="M259">
            <v>-0.7</v>
          </cell>
          <cell r="N259">
            <v>-0.7</v>
          </cell>
          <cell r="O259">
            <v>-0.6</v>
          </cell>
          <cell r="P259">
            <v>-0.7</v>
          </cell>
          <cell r="Q259">
            <v>-0.7</v>
          </cell>
          <cell r="R259">
            <v>-0.7</v>
          </cell>
          <cell r="S259">
            <v>30.7</v>
          </cell>
          <cell r="T259">
            <v>30.7</v>
          </cell>
          <cell r="U259">
            <v>-0.1</v>
          </cell>
          <cell r="V259">
            <v>-0.7</v>
          </cell>
          <cell r="W259">
            <v>-0.7</v>
          </cell>
          <cell r="X259">
            <v>-0.7</v>
          </cell>
          <cell r="Y259">
            <v>-0.7</v>
          </cell>
          <cell r="Z259">
            <v>-0.7</v>
          </cell>
          <cell r="AA259">
            <v>-0.6</v>
          </cell>
          <cell r="AB259">
            <v>1.2</v>
          </cell>
          <cell r="AC259">
            <v>-0.7</v>
          </cell>
          <cell r="AD259">
            <v>-0.7</v>
          </cell>
          <cell r="AE259">
            <v>-0.7</v>
          </cell>
          <cell r="AF259">
            <v>-0.6</v>
          </cell>
          <cell r="AG259">
            <v>-0.6</v>
          </cell>
          <cell r="AH259">
            <v>-0.7</v>
          </cell>
          <cell r="AI259">
            <v>-0.7</v>
          </cell>
          <cell r="AJ259">
            <v>-0.7</v>
          </cell>
          <cell r="AK259">
            <v>-0.7</v>
          </cell>
          <cell r="AL259">
            <v>-0.7</v>
          </cell>
          <cell r="AM259">
            <v>-0.7</v>
          </cell>
          <cell r="AN259">
            <v>-0.7</v>
          </cell>
          <cell r="AO259">
            <v>-0.7</v>
          </cell>
          <cell r="AP259">
            <v>-0.7</v>
          </cell>
          <cell r="AQ259">
            <v>-0.7</v>
          </cell>
          <cell r="AR259">
            <v>0.1</v>
          </cell>
          <cell r="AS259">
            <v>-0.7</v>
          </cell>
          <cell r="AT259">
            <v>-0.7</v>
          </cell>
          <cell r="AU259">
            <v>-0.7</v>
          </cell>
          <cell r="AV259">
            <v>-0.7</v>
          </cell>
          <cell r="AW259">
            <v>-0.7</v>
          </cell>
          <cell r="AX259">
            <v>-0.7</v>
          </cell>
          <cell r="AY259">
            <v>-0.7</v>
          </cell>
          <cell r="AZ259">
            <v>-0.7</v>
          </cell>
          <cell r="BA259">
            <v>-0.7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-0.3</v>
          </cell>
          <cell r="BG259">
            <v>0.6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147.19999999999999</v>
          </cell>
          <cell r="CB259">
            <v>147.19999999999999</v>
          </cell>
          <cell r="CC259">
            <v>0</v>
          </cell>
          <cell r="CD259">
            <v>0</v>
          </cell>
          <cell r="CE259">
            <v>0</v>
          </cell>
          <cell r="CF259">
            <v>0.1</v>
          </cell>
          <cell r="CG259">
            <v>0.1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0.1</v>
          </cell>
          <cell r="CO259">
            <v>0.1</v>
          </cell>
          <cell r="CP259">
            <v>9.3000000000000007</v>
          </cell>
          <cell r="CQ259">
            <v>9.3000000000000007</v>
          </cell>
          <cell r="CR259">
            <v>9.3000000000000007</v>
          </cell>
          <cell r="CS259">
            <v>9.3000000000000007</v>
          </cell>
          <cell r="CT259">
            <v>9.3000000000000007</v>
          </cell>
          <cell r="CU259">
            <v>9.5</v>
          </cell>
          <cell r="CV259">
            <v>0.1</v>
          </cell>
          <cell r="CW259">
            <v>124.4</v>
          </cell>
          <cell r="CX259">
            <v>136.80000000000001</v>
          </cell>
          <cell r="CY259">
            <v>195.4</v>
          </cell>
          <cell r="CZ259">
            <v>255.9</v>
          </cell>
          <cell r="DA259">
            <v>316.3</v>
          </cell>
          <cell r="DB259">
            <v>121.4</v>
          </cell>
          <cell r="DC259">
            <v>121.5</v>
          </cell>
          <cell r="DD259">
            <v>121.4</v>
          </cell>
          <cell r="DE259">
            <v>121.6</v>
          </cell>
          <cell r="DF259">
            <v>121.6</v>
          </cell>
          <cell r="DG259">
            <v>121.7</v>
          </cell>
          <cell r="DH259">
            <v>121.6</v>
          </cell>
          <cell r="DI259">
            <v>131.69999999999999</v>
          </cell>
          <cell r="DJ259">
            <v>141.69999999999999</v>
          </cell>
          <cell r="DK259">
            <v>152.69999999999999</v>
          </cell>
          <cell r="DL259">
            <v>165.2</v>
          </cell>
          <cell r="DM259">
            <v>177.7</v>
          </cell>
          <cell r="DN259">
            <v>37.5</v>
          </cell>
          <cell r="DO259">
            <v>50</v>
          </cell>
          <cell r="DP259">
            <v>62.5</v>
          </cell>
          <cell r="DQ259">
            <v>75</v>
          </cell>
          <cell r="DR259">
            <v>87.5</v>
          </cell>
          <cell r="DS259">
            <v>100</v>
          </cell>
          <cell r="DT259">
            <v>112.5</v>
          </cell>
          <cell r="DU259">
            <v>125</v>
          </cell>
          <cell r="DV259">
            <v>137.5</v>
          </cell>
          <cell r="DW259">
            <v>150</v>
          </cell>
          <cell r="EK259" t="str">
            <v>3 % increase annually</v>
          </cell>
          <cell r="EL259" t="str">
            <v>A_2320008</v>
          </cell>
          <cell r="EM259">
            <v>263577</v>
          </cell>
          <cell r="EN259">
            <v>325789.00000000006</v>
          </cell>
          <cell r="EO259">
            <v>125042.00000000001</v>
          </cell>
          <cell r="EP259">
            <v>125145.00000000001</v>
          </cell>
          <cell r="EQ259">
            <v>125042.00000000001</v>
          </cell>
          <cell r="ER259">
            <v>125247.99999999999</v>
          </cell>
          <cell r="ES259">
            <v>125247.99999999999</v>
          </cell>
          <cell r="ET259">
            <v>125351</v>
          </cell>
          <cell r="EU259">
            <v>125247.99999999999</v>
          </cell>
          <cell r="EV259">
            <v>135650.99999999997</v>
          </cell>
          <cell r="EW259">
            <v>145951</v>
          </cell>
          <cell r="EX259">
            <v>157281</v>
          </cell>
        </row>
        <row r="260">
          <cell r="A260" t="str">
            <v>Accounts Payable</v>
          </cell>
          <cell r="B260" t="str">
            <v>Accounts Payable - External</v>
          </cell>
          <cell r="C260" t="str">
            <v>Accounts Payable</v>
          </cell>
          <cell r="D260" t="str">
            <v>2320009</v>
          </cell>
          <cell r="E260" t="str">
            <v>A_2320009</v>
          </cell>
          <cell r="F260" t="str">
            <v>AP 401K Performance Match</v>
          </cell>
          <cell r="G260">
            <v>280</v>
          </cell>
          <cell r="H260">
            <v>280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152</v>
          </cell>
          <cell r="Q260">
            <v>152</v>
          </cell>
          <cell r="R260">
            <v>152</v>
          </cell>
          <cell r="S260">
            <v>322</v>
          </cell>
          <cell r="T260">
            <v>322</v>
          </cell>
          <cell r="U260">
            <v>0</v>
          </cell>
          <cell r="V260">
            <v>171</v>
          </cell>
          <cell r="W260">
            <v>213</v>
          </cell>
          <cell r="X260">
            <v>184</v>
          </cell>
          <cell r="Y260">
            <v>214</v>
          </cell>
          <cell r="Z260">
            <v>190</v>
          </cell>
          <cell r="AA260">
            <v>194</v>
          </cell>
          <cell r="AB260">
            <v>142</v>
          </cell>
          <cell r="AC260">
            <v>135</v>
          </cell>
          <cell r="AD260">
            <v>219</v>
          </cell>
          <cell r="AE260">
            <v>58.1</v>
          </cell>
          <cell r="AF260">
            <v>58.1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252</v>
          </cell>
          <cell r="AO260">
            <v>248</v>
          </cell>
          <cell r="AP260">
            <v>108</v>
          </cell>
          <cell r="AQ260">
            <v>52</v>
          </cell>
          <cell r="AR260">
            <v>52</v>
          </cell>
          <cell r="AS260">
            <v>-19.399999999999999</v>
          </cell>
          <cell r="AT260">
            <v>-1.9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0.8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256.7</v>
          </cell>
          <cell r="CB260">
            <v>256.7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5.2</v>
          </cell>
          <cell r="CQ260">
            <v>3</v>
          </cell>
          <cell r="CR260">
            <v>3</v>
          </cell>
          <cell r="CS260">
            <v>3</v>
          </cell>
          <cell r="CT260">
            <v>3</v>
          </cell>
          <cell r="CU260">
            <v>3</v>
          </cell>
          <cell r="CV260">
            <v>0</v>
          </cell>
          <cell r="CW260">
            <v>366.7</v>
          </cell>
          <cell r="CX260">
            <v>403.3</v>
          </cell>
          <cell r="CY260">
            <v>733.3</v>
          </cell>
          <cell r="CZ260">
            <v>733.3</v>
          </cell>
          <cell r="DA260">
            <v>733.3</v>
          </cell>
          <cell r="DB260">
            <v>1.4</v>
          </cell>
          <cell r="DC260">
            <v>1.4</v>
          </cell>
          <cell r="DD260">
            <v>1.4</v>
          </cell>
          <cell r="DE260">
            <v>1.4</v>
          </cell>
          <cell r="DF260">
            <v>1.4</v>
          </cell>
          <cell r="DG260">
            <v>1.4</v>
          </cell>
          <cell r="DH260">
            <v>1.4</v>
          </cell>
          <cell r="DI260">
            <v>1.4</v>
          </cell>
          <cell r="DJ260">
            <v>1.4</v>
          </cell>
          <cell r="DK260">
            <v>201</v>
          </cell>
          <cell r="DL260">
            <v>201</v>
          </cell>
          <cell r="DM260">
            <v>201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EK260" t="str">
            <v>Assume Zero</v>
          </cell>
          <cell r="EL260" t="str">
            <v>A_2320009</v>
          </cell>
        </row>
        <row r="261">
          <cell r="A261" t="str">
            <v>Accounts Payable</v>
          </cell>
          <cell r="B261" t="str">
            <v>Accounts Payable - External</v>
          </cell>
          <cell r="C261" t="str">
            <v>Accounts Payable</v>
          </cell>
          <cell r="D261" t="str">
            <v>2320010</v>
          </cell>
          <cell r="E261" t="str">
            <v>A_2320010</v>
          </cell>
          <cell r="F261" t="str">
            <v>AP 401K Employee Contributions</v>
          </cell>
          <cell r="G261">
            <v>-0.22402</v>
          </cell>
          <cell r="H261">
            <v>-0.2</v>
          </cell>
          <cell r="I261">
            <v>-0.2</v>
          </cell>
          <cell r="J261">
            <v>-0.2</v>
          </cell>
          <cell r="K261">
            <v>-0.2</v>
          </cell>
          <cell r="L261">
            <v>-0.2</v>
          </cell>
          <cell r="M261">
            <v>-0.2</v>
          </cell>
          <cell r="N261">
            <v>-0.2</v>
          </cell>
          <cell r="O261">
            <v>-0.1</v>
          </cell>
          <cell r="P261">
            <v>-0.2</v>
          </cell>
          <cell r="Q261">
            <v>-0.2</v>
          </cell>
          <cell r="R261">
            <v>-0.2</v>
          </cell>
          <cell r="S261">
            <v>-0.2</v>
          </cell>
          <cell r="T261">
            <v>-0.2</v>
          </cell>
          <cell r="U261">
            <v>1</v>
          </cell>
          <cell r="V261">
            <v>-0.2</v>
          </cell>
          <cell r="W261">
            <v>-0.2</v>
          </cell>
          <cell r="X261">
            <v>-0.2</v>
          </cell>
          <cell r="Y261">
            <v>-0.2</v>
          </cell>
          <cell r="Z261">
            <v>-0.2</v>
          </cell>
          <cell r="AA261">
            <v>-0.1</v>
          </cell>
          <cell r="AB261">
            <v>2.9</v>
          </cell>
          <cell r="AC261">
            <v>-0.1</v>
          </cell>
          <cell r="AD261">
            <v>-0.2</v>
          </cell>
          <cell r="AE261">
            <v>-0.2</v>
          </cell>
          <cell r="AF261">
            <v>-0.1</v>
          </cell>
          <cell r="AG261">
            <v>0.1</v>
          </cell>
          <cell r="AH261">
            <v>-0.2</v>
          </cell>
          <cell r="AI261">
            <v>-0.2</v>
          </cell>
          <cell r="AJ261">
            <v>-0.2</v>
          </cell>
          <cell r="AK261">
            <v>-0.2</v>
          </cell>
          <cell r="AL261">
            <v>-0.2</v>
          </cell>
          <cell r="AM261">
            <v>-0.2</v>
          </cell>
          <cell r="AN261">
            <v>-0.2</v>
          </cell>
          <cell r="AO261">
            <v>-0.2</v>
          </cell>
          <cell r="AP261">
            <v>-0.2</v>
          </cell>
          <cell r="AQ261">
            <v>-0.2</v>
          </cell>
          <cell r="AR261">
            <v>1.4</v>
          </cell>
          <cell r="AS261">
            <v>-0.2</v>
          </cell>
          <cell r="AT261">
            <v>-0.2</v>
          </cell>
          <cell r="AU261">
            <v>-0.2</v>
          </cell>
          <cell r="AV261">
            <v>-0.2</v>
          </cell>
          <cell r="AW261">
            <v>-0.2</v>
          </cell>
          <cell r="AX261">
            <v>-0.2</v>
          </cell>
          <cell r="AY261">
            <v>-0.2</v>
          </cell>
          <cell r="AZ261">
            <v>-0.2</v>
          </cell>
          <cell r="BA261">
            <v>-0.2</v>
          </cell>
          <cell r="BB261">
            <v>-0.2</v>
          </cell>
          <cell r="BC261">
            <v>-0.2</v>
          </cell>
          <cell r="BD261">
            <v>-0.2</v>
          </cell>
          <cell r="BE261">
            <v>-0.2</v>
          </cell>
          <cell r="BF261">
            <v>-1.4</v>
          </cell>
          <cell r="BG261">
            <v>1.6</v>
          </cell>
          <cell r="BH261">
            <v>-0.2</v>
          </cell>
          <cell r="BI261">
            <v>-0.2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0.1</v>
          </cell>
          <cell r="CC261">
            <v>0</v>
          </cell>
          <cell r="CD261">
            <v>0</v>
          </cell>
          <cell r="CE261">
            <v>0</v>
          </cell>
          <cell r="CF261">
            <v>0.2</v>
          </cell>
          <cell r="CG261">
            <v>0.2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-0.1</v>
          </cell>
          <cell r="CO261">
            <v>-0.1</v>
          </cell>
          <cell r="CP261">
            <v>20.399999999999999</v>
          </cell>
          <cell r="CQ261">
            <v>20.399999999999999</v>
          </cell>
          <cell r="CR261">
            <v>20.5</v>
          </cell>
          <cell r="CS261">
            <v>20.399999999999999</v>
          </cell>
          <cell r="CT261">
            <v>20.399999999999999</v>
          </cell>
          <cell r="CU261">
            <v>20.8</v>
          </cell>
          <cell r="CV261">
            <v>0</v>
          </cell>
          <cell r="CW261">
            <v>0</v>
          </cell>
          <cell r="CX261">
            <v>0</v>
          </cell>
          <cell r="CY261">
            <v>0.4</v>
          </cell>
          <cell r="CZ261">
            <v>0.5</v>
          </cell>
          <cell r="DA261">
            <v>0.4</v>
          </cell>
          <cell r="DB261">
            <v>0.5</v>
          </cell>
          <cell r="DC261">
            <v>0.7</v>
          </cell>
          <cell r="DD261">
            <v>0.5</v>
          </cell>
          <cell r="DE261">
            <v>0.8</v>
          </cell>
          <cell r="DF261">
            <v>0.7</v>
          </cell>
          <cell r="DG261">
            <v>0.9</v>
          </cell>
          <cell r="DH261">
            <v>0.7</v>
          </cell>
          <cell r="DI261">
            <v>0.9</v>
          </cell>
          <cell r="DJ261">
            <v>0.9</v>
          </cell>
          <cell r="DK261">
            <v>-3.7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EK261" t="str">
            <v>Assume Zero</v>
          </cell>
          <cell r="EL261" t="str">
            <v>A_2320010</v>
          </cell>
        </row>
        <row r="262">
          <cell r="A262" t="str">
            <v>Accounts Payable</v>
          </cell>
          <cell r="B262" t="str">
            <v>Accounts Payable - External</v>
          </cell>
          <cell r="C262" t="str">
            <v>Accounts Payable</v>
          </cell>
          <cell r="D262" t="str">
            <v>2320011</v>
          </cell>
          <cell r="E262" t="str">
            <v>A_2320011</v>
          </cell>
          <cell r="F262" t="str">
            <v>AP Dividend Reinvestment (DRIP)</v>
          </cell>
          <cell r="G262">
            <v>-2.427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-0.2</v>
          </cell>
          <cell r="N262">
            <v>-0.2</v>
          </cell>
          <cell r="O262">
            <v>-0.2</v>
          </cell>
          <cell r="P262">
            <v>-0.2</v>
          </cell>
          <cell r="Q262">
            <v>-0.2</v>
          </cell>
          <cell r="R262">
            <v>-0.2</v>
          </cell>
          <cell r="S262">
            <v>-0.2</v>
          </cell>
          <cell r="T262">
            <v>-0.1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-0.1</v>
          </cell>
          <cell r="AC262">
            <v>-0.1</v>
          </cell>
          <cell r="AD262">
            <v>-0.1</v>
          </cell>
          <cell r="AE262">
            <v>-0.2</v>
          </cell>
          <cell r="AF262">
            <v>-0.1</v>
          </cell>
          <cell r="AG262">
            <v>0</v>
          </cell>
          <cell r="AH262">
            <v>-0.7</v>
          </cell>
          <cell r="AI262">
            <v>-0.7</v>
          </cell>
          <cell r="AJ262">
            <v>-2.4</v>
          </cell>
          <cell r="AK262">
            <v>-2.4</v>
          </cell>
          <cell r="AL262">
            <v>-2.4</v>
          </cell>
          <cell r="AM262">
            <v>-2.4</v>
          </cell>
          <cell r="AN262">
            <v>-2.4</v>
          </cell>
          <cell r="AO262">
            <v>-2.4</v>
          </cell>
          <cell r="AP262">
            <v>-2.4</v>
          </cell>
          <cell r="AQ262">
            <v>-2.4</v>
          </cell>
          <cell r="AR262">
            <v>-2.4</v>
          </cell>
          <cell r="AS262">
            <v>-2.4</v>
          </cell>
          <cell r="AT262">
            <v>-2.4</v>
          </cell>
          <cell r="AU262">
            <v>-2.4</v>
          </cell>
          <cell r="AV262">
            <v>-2.4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-35.4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-0.7</v>
          </cell>
          <cell r="DH262">
            <v>-0.7</v>
          </cell>
          <cell r="DI262">
            <v>-0.7</v>
          </cell>
          <cell r="DJ262">
            <v>-0.7</v>
          </cell>
          <cell r="DK262">
            <v>-0.7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EK262" t="str">
            <v>On Seans list but no activity in 2021</v>
          </cell>
          <cell r="EL262" t="str">
            <v>A_2320011</v>
          </cell>
        </row>
        <row r="263">
          <cell r="A263" t="str">
            <v>Accounts Payable</v>
          </cell>
          <cell r="B263" t="str">
            <v>Accounts Payable - External</v>
          </cell>
          <cell r="C263" t="str">
            <v>Accounts Payable</v>
          </cell>
          <cell r="D263" t="str">
            <v>2320012</v>
          </cell>
          <cell r="E263" t="str">
            <v>A_2320012</v>
          </cell>
          <cell r="F263" t="str">
            <v>AP PSP / Incentive</v>
          </cell>
          <cell r="G263">
            <v>3168.4639999999999</v>
          </cell>
          <cell r="H263">
            <v>208.3</v>
          </cell>
          <cell r="I263">
            <v>341.9</v>
          </cell>
          <cell r="J263">
            <v>512.79999999999995</v>
          </cell>
          <cell r="K263">
            <v>683.8</v>
          </cell>
          <cell r="L263">
            <v>854.7</v>
          </cell>
          <cell r="M263">
            <v>1025.7</v>
          </cell>
          <cell r="N263">
            <v>1196.5999999999999</v>
          </cell>
          <cell r="O263">
            <v>1367.6</v>
          </cell>
          <cell r="P263">
            <v>2309.5</v>
          </cell>
          <cell r="Q263">
            <v>2480.5</v>
          </cell>
          <cell r="R263">
            <v>2651.4</v>
          </cell>
          <cell r="S263">
            <v>3076</v>
          </cell>
          <cell r="T263">
            <v>3248.4</v>
          </cell>
          <cell r="U263">
            <v>344.7</v>
          </cell>
          <cell r="V263">
            <v>1270</v>
          </cell>
          <cell r="W263">
            <v>1627.3</v>
          </cell>
          <cell r="X263">
            <v>1673.6</v>
          </cell>
          <cell r="Y263">
            <v>1979</v>
          </cell>
          <cell r="Z263">
            <v>2042.3</v>
          </cell>
          <cell r="AA263">
            <v>2235.6</v>
          </cell>
          <cell r="AB263">
            <v>2196.6</v>
          </cell>
          <cell r="AC263">
            <v>2335.9</v>
          </cell>
          <cell r="AD263">
            <v>2884.3</v>
          </cell>
          <cell r="AE263">
            <v>2099.6</v>
          </cell>
          <cell r="AF263">
            <v>2268.8000000000002</v>
          </cell>
          <cell r="AG263">
            <v>338.3</v>
          </cell>
          <cell r="AH263">
            <v>507.5</v>
          </cell>
          <cell r="AI263">
            <v>676.7</v>
          </cell>
          <cell r="AJ263">
            <v>845.8</v>
          </cell>
          <cell r="AK263">
            <v>1015</v>
          </cell>
          <cell r="AL263">
            <v>1444.2</v>
          </cell>
          <cell r="AM263">
            <v>2437.3000000000002</v>
          </cell>
          <cell r="AN263">
            <v>2645.5</v>
          </cell>
          <cell r="AO263">
            <v>2794.7</v>
          </cell>
          <cell r="AP263">
            <v>2341.8000000000002</v>
          </cell>
          <cell r="AQ263">
            <v>2518</v>
          </cell>
          <cell r="AR263">
            <v>2703.4</v>
          </cell>
          <cell r="AS263">
            <v>266.3</v>
          </cell>
          <cell r="AT263">
            <v>556.29999999999995</v>
          </cell>
          <cell r="AU263">
            <v>741.7</v>
          </cell>
          <cell r="AV263">
            <v>927.1</v>
          </cell>
          <cell r="AW263">
            <v>1187.5</v>
          </cell>
          <cell r="AX263">
            <v>1385.4</v>
          </cell>
          <cell r="AY263">
            <v>1583.3</v>
          </cell>
          <cell r="AZ263">
            <v>1781.3</v>
          </cell>
          <cell r="BA263">
            <v>1722.1</v>
          </cell>
          <cell r="BB263">
            <v>1894.3</v>
          </cell>
          <cell r="BC263">
            <v>2291.5</v>
          </cell>
          <cell r="BD263">
            <v>2526.3000000000002</v>
          </cell>
          <cell r="BE263">
            <v>469.7</v>
          </cell>
          <cell r="BF263">
            <v>704.5</v>
          </cell>
          <cell r="BG263">
            <v>939.3</v>
          </cell>
          <cell r="BH263">
            <v>1168.4000000000001</v>
          </cell>
          <cell r="BI263">
            <v>1409</v>
          </cell>
          <cell r="BJ263">
            <v>1766.3</v>
          </cell>
          <cell r="BK263">
            <v>2418.6999999999998</v>
          </cell>
          <cell r="BL263">
            <v>2776.1</v>
          </cell>
          <cell r="BM263">
            <v>3084.5</v>
          </cell>
          <cell r="BN263">
            <v>3393</v>
          </cell>
          <cell r="BO263">
            <v>3779.5</v>
          </cell>
          <cell r="BP263">
            <v>4103.5</v>
          </cell>
          <cell r="BQ263">
            <v>648</v>
          </cell>
          <cell r="BR263">
            <v>972</v>
          </cell>
          <cell r="BS263">
            <v>1296</v>
          </cell>
          <cell r="BT263">
            <v>1620</v>
          </cell>
          <cell r="BU263">
            <v>1944</v>
          </cell>
          <cell r="BV263">
            <v>2268</v>
          </cell>
          <cell r="BW263">
            <v>2592</v>
          </cell>
          <cell r="BX263">
            <v>3044</v>
          </cell>
          <cell r="BY263">
            <v>3382.2</v>
          </cell>
          <cell r="BZ263">
            <v>4470.3999999999996</v>
          </cell>
          <cell r="CA263">
            <v>4897.1000000000004</v>
          </cell>
          <cell r="CB263">
            <v>5275.3</v>
          </cell>
          <cell r="CC263">
            <v>743.4</v>
          </cell>
          <cell r="CD263">
            <v>1096.2</v>
          </cell>
          <cell r="CE263">
            <v>1455.8</v>
          </cell>
          <cell r="CF263">
            <v>1815.4</v>
          </cell>
          <cell r="CG263">
            <v>2022.9</v>
          </cell>
          <cell r="CH263">
            <v>2357.1</v>
          </cell>
          <cell r="CI263">
            <v>2691.4</v>
          </cell>
          <cell r="CJ263">
            <v>3319.3</v>
          </cell>
          <cell r="CK263">
            <v>3686.2</v>
          </cell>
          <cell r="CL263">
            <v>4053.1</v>
          </cell>
          <cell r="CM263">
            <v>4620.8</v>
          </cell>
          <cell r="CN263">
            <v>4995.7</v>
          </cell>
          <cell r="CO263">
            <v>5370.5</v>
          </cell>
          <cell r="CP263">
            <v>1124.5</v>
          </cell>
          <cell r="CQ263">
            <v>1361.9</v>
          </cell>
          <cell r="CR263">
            <v>1702.4</v>
          </cell>
          <cell r="CS263">
            <v>2042.8</v>
          </cell>
          <cell r="CT263">
            <v>2383.3000000000002</v>
          </cell>
          <cell r="CU263">
            <v>2723.8</v>
          </cell>
          <cell r="CV263">
            <v>3064.2</v>
          </cell>
          <cell r="CW263">
            <v>4142.2</v>
          </cell>
          <cell r="CX263">
            <v>4556.3999999999996</v>
          </cell>
          <cell r="CY263">
            <v>6213.3</v>
          </cell>
          <cell r="CZ263">
            <v>6709.7</v>
          </cell>
          <cell r="DA263">
            <v>7206.1</v>
          </cell>
          <cell r="DB263">
            <v>1489.3</v>
          </cell>
          <cell r="DC263">
            <v>1985.7</v>
          </cell>
          <cell r="DD263">
            <v>2482.1</v>
          </cell>
          <cell r="DE263">
            <v>2976.7</v>
          </cell>
          <cell r="DF263">
            <v>3473.1</v>
          </cell>
          <cell r="DG263">
            <v>4012</v>
          </cell>
          <cell r="DH263">
            <v>4529.7</v>
          </cell>
          <cell r="DI263">
            <v>5047.3999999999996</v>
          </cell>
          <cell r="DJ263">
            <v>6217.1</v>
          </cell>
          <cell r="DK263">
            <v>7203.4</v>
          </cell>
          <cell r="DL263">
            <v>7758.9</v>
          </cell>
          <cell r="DM263">
            <v>8314.2999999999993</v>
          </cell>
          <cell r="DN263">
            <v>1666.2</v>
          </cell>
          <cell r="DO263">
            <v>2221.6999999999998</v>
          </cell>
          <cell r="DP263">
            <v>2777.1</v>
          </cell>
          <cell r="DQ263">
            <v>3332.5</v>
          </cell>
          <cell r="DR263">
            <v>3887.9</v>
          </cell>
          <cell r="DS263">
            <v>4443.3</v>
          </cell>
          <cell r="DT263">
            <v>4998.7</v>
          </cell>
          <cell r="DU263">
            <v>5554.2</v>
          </cell>
          <cell r="DV263">
            <v>6109.6</v>
          </cell>
          <cell r="DW263">
            <v>6665</v>
          </cell>
        </row>
        <row r="264">
          <cell r="A264" t="str">
            <v>Accounts Payable</v>
          </cell>
          <cell r="B264" t="str">
            <v>Accounts Payable - External</v>
          </cell>
          <cell r="C264" t="str">
            <v>Accounts Payable</v>
          </cell>
          <cell r="D264" t="str">
            <v>2320013</v>
          </cell>
          <cell r="E264" t="str">
            <v>A_2320013</v>
          </cell>
          <cell r="F264" t="str">
            <v>AP Garnishments (Child Support, Levy, etc.)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0.4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0.2</v>
          </cell>
          <cell r="AH264">
            <v>0.2</v>
          </cell>
          <cell r="AI264">
            <v>0.2</v>
          </cell>
          <cell r="AJ264">
            <v>0.2</v>
          </cell>
          <cell r="AK264">
            <v>0.2</v>
          </cell>
          <cell r="AL264">
            <v>0.2</v>
          </cell>
          <cell r="AM264">
            <v>-1.4</v>
          </cell>
          <cell r="AN264">
            <v>0.2</v>
          </cell>
          <cell r="AO264">
            <v>0.2</v>
          </cell>
          <cell r="AP264">
            <v>0.2</v>
          </cell>
          <cell r="AQ264">
            <v>0.2</v>
          </cell>
          <cell r="AR264">
            <v>0.2</v>
          </cell>
          <cell r="AS264">
            <v>0.2</v>
          </cell>
          <cell r="AT264">
            <v>0.2</v>
          </cell>
          <cell r="AU264">
            <v>0.2</v>
          </cell>
          <cell r="AV264">
            <v>0.2</v>
          </cell>
          <cell r="AW264">
            <v>0.2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0.3</v>
          </cell>
          <cell r="BG264">
            <v>1</v>
          </cell>
          <cell r="BH264">
            <v>2.1</v>
          </cell>
          <cell r="BI264">
            <v>1.2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1.1000000000000001</v>
          </cell>
          <cell r="BT264">
            <v>2.1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0.7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EK264" t="str">
            <v>Assume Zero</v>
          </cell>
          <cell r="EL264" t="str">
            <v>A_2320013</v>
          </cell>
        </row>
        <row r="265">
          <cell r="A265" t="str">
            <v>Accounts Payable</v>
          </cell>
          <cell r="B265" t="str">
            <v>Accounts Payable - External</v>
          </cell>
          <cell r="C265" t="str">
            <v>Accounts Payable</v>
          </cell>
          <cell r="D265" t="str">
            <v>2320014</v>
          </cell>
          <cell r="E265" t="str">
            <v>A_2320014</v>
          </cell>
          <cell r="F265" t="str">
            <v>AP TECO Benefit Association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0.1</v>
          </cell>
          <cell r="BW265">
            <v>0</v>
          </cell>
          <cell r="BX265">
            <v>0</v>
          </cell>
          <cell r="BY265">
            <v>0</v>
          </cell>
          <cell r="BZ265">
            <v>0.1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EK265" t="str">
            <v>2021 8&amp;4 Dec Balance</v>
          </cell>
          <cell r="EL265" t="str">
            <v>A_2320014</v>
          </cell>
        </row>
        <row r="266">
          <cell r="A266" t="str">
            <v>Accounts Payable</v>
          </cell>
          <cell r="B266" t="str">
            <v>Accounts Payable - External</v>
          </cell>
          <cell r="C266" t="str">
            <v>Misc. Current Liabilities</v>
          </cell>
          <cell r="D266" t="str">
            <v>2320015</v>
          </cell>
          <cell r="E266" t="str">
            <v>A_2320015</v>
          </cell>
          <cell r="F266" t="str">
            <v>AP Group Life Insurance</v>
          </cell>
          <cell r="G266">
            <v>-2.8579999999999998E-2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0.1</v>
          </cell>
          <cell r="Q266">
            <v>-0.2</v>
          </cell>
          <cell r="R266">
            <v>0</v>
          </cell>
          <cell r="S266">
            <v>0</v>
          </cell>
          <cell r="T266">
            <v>0</v>
          </cell>
          <cell r="U266">
            <v>0.1</v>
          </cell>
          <cell r="V266">
            <v>0.1</v>
          </cell>
          <cell r="W266">
            <v>0.1</v>
          </cell>
          <cell r="X266">
            <v>0.2</v>
          </cell>
          <cell r="Y266">
            <v>0.2</v>
          </cell>
          <cell r="Z266">
            <v>0.3</v>
          </cell>
          <cell r="AA266">
            <v>0.4</v>
          </cell>
          <cell r="AB266">
            <v>0.6</v>
          </cell>
          <cell r="AC266">
            <v>14.1</v>
          </cell>
          <cell r="AD266">
            <v>0.8</v>
          </cell>
          <cell r="AE266">
            <v>0.8</v>
          </cell>
          <cell r="AF266">
            <v>0.8</v>
          </cell>
          <cell r="AG266">
            <v>0.9</v>
          </cell>
          <cell r="AH266">
            <v>0.9</v>
          </cell>
          <cell r="AI266">
            <v>1</v>
          </cell>
          <cell r="AJ266">
            <v>1</v>
          </cell>
          <cell r="AK266">
            <v>1</v>
          </cell>
          <cell r="AL266">
            <v>1.1000000000000001</v>
          </cell>
          <cell r="AM266">
            <v>1.1000000000000001</v>
          </cell>
          <cell r="AN266">
            <v>1.2</v>
          </cell>
          <cell r="AO266">
            <v>1.2</v>
          </cell>
          <cell r="AP266">
            <v>1.3</v>
          </cell>
          <cell r="AQ266">
            <v>1.4</v>
          </cell>
          <cell r="AR266">
            <v>1.4</v>
          </cell>
          <cell r="AS266">
            <v>1.5</v>
          </cell>
          <cell r="AT266">
            <v>1.5</v>
          </cell>
          <cell r="AU266">
            <v>1.6</v>
          </cell>
          <cell r="AV266">
            <v>1.6</v>
          </cell>
          <cell r="AW266">
            <v>1.7</v>
          </cell>
          <cell r="AX266">
            <v>1.7</v>
          </cell>
          <cell r="AY266">
            <v>1.7</v>
          </cell>
          <cell r="AZ266">
            <v>1.7</v>
          </cell>
          <cell r="BA266">
            <v>1.8</v>
          </cell>
          <cell r="BB266">
            <v>1.8</v>
          </cell>
          <cell r="BC266">
            <v>1.9</v>
          </cell>
          <cell r="BD266">
            <v>1.9</v>
          </cell>
          <cell r="BE266">
            <v>2</v>
          </cell>
          <cell r="BF266">
            <v>2.1</v>
          </cell>
          <cell r="BG266">
            <v>2.1</v>
          </cell>
          <cell r="BH266">
            <v>2.2000000000000002</v>
          </cell>
          <cell r="BI266">
            <v>2.1</v>
          </cell>
          <cell r="BJ266">
            <v>2.2000000000000002</v>
          </cell>
          <cell r="BK266">
            <v>2.4</v>
          </cell>
          <cell r="BL266">
            <v>2.5</v>
          </cell>
          <cell r="BM266">
            <v>2.5</v>
          </cell>
          <cell r="BN266">
            <v>2.5</v>
          </cell>
          <cell r="BO266">
            <v>0.1</v>
          </cell>
          <cell r="BP266">
            <v>15.4</v>
          </cell>
          <cell r="BQ266">
            <v>15.4</v>
          </cell>
          <cell r="BR266">
            <v>14.9</v>
          </cell>
          <cell r="BS266">
            <v>14.9</v>
          </cell>
          <cell r="BT266">
            <v>14.9</v>
          </cell>
          <cell r="BU266">
            <v>15</v>
          </cell>
          <cell r="BV266">
            <v>14.8</v>
          </cell>
          <cell r="BW266">
            <v>14.8</v>
          </cell>
          <cell r="BX266">
            <v>14.8</v>
          </cell>
          <cell r="BY266">
            <v>29.3</v>
          </cell>
          <cell r="BZ266">
            <v>15</v>
          </cell>
          <cell r="CA266">
            <v>-0.5</v>
          </cell>
          <cell r="CB266">
            <v>14.8</v>
          </cell>
          <cell r="CC266">
            <v>-0.3</v>
          </cell>
          <cell r="CD266">
            <v>0</v>
          </cell>
          <cell r="CE266">
            <v>15.4</v>
          </cell>
          <cell r="CF266">
            <v>0.1</v>
          </cell>
          <cell r="CG266">
            <v>0</v>
          </cell>
          <cell r="CH266">
            <v>0.1</v>
          </cell>
          <cell r="CI266">
            <v>0.1</v>
          </cell>
          <cell r="CJ266">
            <v>0</v>
          </cell>
          <cell r="CK266">
            <v>0</v>
          </cell>
          <cell r="CL266">
            <v>0.1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-0.1</v>
          </cell>
          <cell r="CS266">
            <v>-0.1</v>
          </cell>
          <cell r="CT266">
            <v>-0.1</v>
          </cell>
          <cell r="CU266">
            <v>-0.2</v>
          </cell>
          <cell r="CV266">
            <v>-0.1</v>
          </cell>
          <cell r="CW266">
            <v>14.4</v>
          </cell>
          <cell r="CX266">
            <v>14.3</v>
          </cell>
          <cell r="CY266">
            <v>-0.4</v>
          </cell>
          <cell r="CZ266">
            <v>17.600000000000001</v>
          </cell>
          <cell r="DA266">
            <v>35</v>
          </cell>
          <cell r="DB266">
            <v>52.8</v>
          </cell>
          <cell r="DC266">
            <v>70.400000000000006</v>
          </cell>
          <cell r="DD266">
            <v>17.399999999999999</v>
          </cell>
          <cell r="DE266">
            <v>17.3</v>
          </cell>
          <cell r="DF266">
            <v>-0.5</v>
          </cell>
          <cell r="DG266">
            <v>-0.6</v>
          </cell>
          <cell r="DH266">
            <v>17.2</v>
          </cell>
          <cell r="DI266">
            <v>35.200000000000003</v>
          </cell>
          <cell r="DJ266">
            <v>17.3</v>
          </cell>
          <cell r="DK266">
            <v>17.2</v>
          </cell>
          <cell r="DL266">
            <v>11.8</v>
          </cell>
          <cell r="DM266">
            <v>17.399999999999999</v>
          </cell>
          <cell r="DN266">
            <v>26.4</v>
          </cell>
          <cell r="DO266">
            <v>38.299999999999997</v>
          </cell>
          <cell r="DP266">
            <v>8.6999999999999993</v>
          </cell>
          <cell r="DQ266">
            <v>8.6</v>
          </cell>
          <cell r="DR266">
            <v>-0.3</v>
          </cell>
          <cell r="DS266">
            <v>3.5</v>
          </cell>
          <cell r="DT266">
            <v>3.5</v>
          </cell>
          <cell r="DU266">
            <v>11</v>
          </cell>
          <cell r="DV266">
            <v>7.9</v>
          </cell>
          <cell r="DW266">
            <v>-0.2</v>
          </cell>
          <cell r="EK266" t="str">
            <v>3 yr Avg (2020 to 2022 8+4F)</v>
          </cell>
          <cell r="EL266" t="str">
            <v>A_2320015</v>
          </cell>
          <cell r="EM266">
            <v>11760</v>
          </cell>
          <cell r="EN266">
            <v>17440</v>
          </cell>
          <cell r="EO266">
            <v>26400</v>
          </cell>
          <cell r="EP266">
            <v>38280</v>
          </cell>
          <cell r="EQ266">
            <v>8690.0000000000018</v>
          </cell>
          <cell r="ER266">
            <v>8620.0000000000018</v>
          </cell>
          <cell r="ES266">
            <v>-260</v>
          </cell>
          <cell r="ET266">
            <v>-339.99999999999994</v>
          </cell>
          <cell r="EU266">
            <v>8570</v>
          </cell>
          <cell r="EV266">
            <v>21919.999999999996</v>
          </cell>
          <cell r="EW266">
            <v>12960.000000000002</v>
          </cell>
          <cell r="EX266">
            <v>8480</v>
          </cell>
        </row>
        <row r="267">
          <cell r="A267" t="str">
            <v>Accounts Payable</v>
          </cell>
          <cell r="B267" t="str">
            <v>Accounts Payable - External</v>
          </cell>
          <cell r="C267" t="str">
            <v>Accounts Payable</v>
          </cell>
          <cell r="D267" t="str">
            <v>2320016</v>
          </cell>
          <cell r="E267" t="str">
            <v>A_2320016</v>
          </cell>
          <cell r="F267" t="str">
            <v>AP LT Care Insurance</v>
          </cell>
          <cell r="G267">
            <v>-1.32E-2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0.6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0.6</v>
          </cell>
          <cell r="S267">
            <v>0</v>
          </cell>
          <cell r="T267">
            <v>0</v>
          </cell>
          <cell r="U267">
            <v>-0.1</v>
          </cell>
          <cell r="V267">
            <v>-0.1</v>
          </cell>
          <cell r="W267">
            <v>-0.1</v>
          </cell>
          <cell r="X267">
            <v>-0.1</v>
          </cell>
          <cell r="Y267">
            <v>-0.1</v>
          </cell>
          <cell r="Z267">
            <v>0.4</v>
          </cell>
          <cell r="AA267">
            <v>-0.1</v>
          </cell>
          <cell r="AB267">
            <v>-0.1</v>
          </cell>
          <cell r="AC267">
            <v>-0.1</v>
          </cell>
          <cell r="AD267">
            <v>0.4</v>
          </cell>
          <cell r="AE267">
            <v>-0.1</v>
          </cell>
          <cell r="AF267">
            <v>0.4</v>
          </cell>
          <cell r="AG267">
            <v>0</v>
          </cell>
          <cell r="AH267">
            <v>-0.1</v>
          </cell>
          <cell r="AI267">
            <v>-0.1</v>
          </cell>
          <cell r="AJ267">
            <v>-0.1</v>
          </cell>
          <cell r="AK267">
            <v>-0.1</v>
          </cell>
          <cell r="AL267">
            <v>-0.1</v>
          </cell>
          <cell r="AM267">
            <v>-0.1</v>
          </cell>
          <cell r="AN267">
            <v>-0.2</v>
          </cell>
          <cell r="AO267">
            <v>0.3</v>
          </cell>
          <cell r="AP267">
            <v>0.4</v>
          </cell>
          <cell r="AQ267">
            <v>0.4</v>
          </cell>
          <cell r="AR267">
            <v>0.4</v>
          </cell>
          <cell r="AS267">
            <v>0.4</v>
          </cell>
          <cell r="AT267">
            <v>0.4</v>
          </cell>
          <cell r="AU267">
            <v>0.4</v>
          </cell>
          <cell r="AV267">
            <v>0.4</v>
          </cell>
          <cell r="AW267">
            <v>0.4</v>
          </cell>
          <cell r="AX267">
            <v>0.8</v>
          </cell>
          <cell r="AY267">
            <v>0.8</v>
          </cell>
          <cell r="AZ267">
            <v>1.2</v>
          </cell>
          <cell r="BA267">
            <v>1.2</v>
          </cell>
          <cell r="BB267">
            <v>0.3</v>
          </cell>
          <cell r="BC267">
            <v>0.3</v>
          </cell>
          <cell r="BD267">
            <v>0.3</v>
          </cell>
          <cell r="BE267">
            <v>0.3</v>
          </cell>
          <cell r="BF267">
            <v>0.3</v>
          </cell>
          <cell r="BG267">
            <v>0.3</v>
          </cell>
          <cell r="BH267">
            <v>0.3</v>
          </cell>
          <cell r="BI267">
            <v>0.3</v>
          </cell>
          <cell r="BJ267">
            <v>0.3</v>
          </cell>
          <cell r="BK267">
            <v>0.4</v>
          </cell>
          <cell r="BL267">
            <v>0.3</v>
          </cell>
          <cell r="BM267">
            <v>0.3</v>
          </cell>
          <cell r="BN267">
            <v>0.3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0.5</v>
          </cell>
          <cell r="BV267">
            <v>0</v>
          </cell>
          <cell r="BW267">
            <v>0</v>
          </cell>
          <cell r="BX267">
            <v>0.1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0.6</v>
          </cell>
          <cell r="CE267">
            <v>0.6</v>
          </cell>
          <cell r="CF267">
            <v>0.6</v>
          </cell>
          <cell r="CG267">
            <v>0.6</v>
          </cell>
          <cell r="CH267">
            <v>0.6</v>
          </cell>
          <cell r="CI267">
            <v>0.6</v>
          </cell>
          <cell r="CJ267">
            <v>0.6</v>
          </cell>
          <cell r="CK267">
            <v>1.3</v>
          </cell>
          <cell r="CL267">
            <v>1.3</v>
          </cell>
          <cell r="CM267">
            <v>0.6</v>
          </cell>
          <cell r="CN267">
            <v>1.3</v>
          </cell>
          <cell r="CO267">
            <v>1.2</v>
          </cell>
          <cell r="CP267">
            <v>0.6</v>
          </cell>
          <cell r="CQ267">
            <v>1.2</v>
          </cell>
          <cell r="CR267">
            <v>1.2</v>
          </cell>
          <cell r="CS267">
            <v>1.2</v>
          </cell>
          <cell r="CT267">
            <v>0.6</v>
          </cell>
          <cell r="CU267">
            <v>1.3</v>
          </cell>
          <cell r="CV267">
            <v>1.3</v>
          </cell>
          <cell r="CW267">
            <v>1.3</v>
          </cell>
          <cell r="CX267">
            <v>1.9</v>
          </cell>
          <cell r="CY267">
            <v>1.2</v>
          </cell>
          <cell r="CZ267">
            <v>1.1000000000000001</v>
          </cell>
          <cell r="DA267">
            <v>1</v>
          </cell>
          <cell r="DB267">
            <v>-4.2</v>
          </cell>
          <cell r="DC267">
            <v>-4.2</v>
          </cell>
          <cell r="DD267">
            <v>-4.2</v>
          </cell>
          <cell r="DE267">
            <v>-5.9</v>
          </cell>
          <cell r="DF267">
            <v>-5.3</v>
          </cell>
          <cell r="DG267">
            <v>-4.8</v>
          </cell>
          <cell r="DH267">
            <v>-4.2</v>
          </cell>
          <cell r="DI267">
            <v>-3.6</v>
          </cell>
          <cell r="DJ267">
            <v>-4.2</v>
          </cell>
          <cell r="DK267">
            <v>-4.2</v>
          </cell>
          <cell r="DL267">
            <v>0.9</v>
          </cell>
          <cell r="DM267">
            <v>0.9</v>
          </cell>
          <cell r="DN267">
            <v>-1.8</v>
          </cell>
          <cell r="DO267">
            <v>-1.6</v>
          </cell>
          <cell r="DP267">
            <v>-1.6</v>
          </cell>
          <cell r="DQ267">
            <v>-2.5</v>
          </cell>
          <cell r="DR267">
            <v>-2.4</v>
          </cell>
          <cell r="DS267">
            <v>0.7</v>
          </cell>
          <cell r="DT267">
            <v>0.7</v>
          </cell>
          <cell r="DU267">
            <v>0.9</v>
          </cell>
          <cell r="DV267">
            <v>1.1000000000000001</v>
          </cell>
          <cell r="DW267">
            <v>0.6</v>
          </cell>
          <cell r="EK267" t="str">
            <v>3 yr Avg (2020 to 2022 8+4F)</v>
          </cell>
          <cell r="EL267" t="str">
            <v>A_2320016</v>
          </cell>
          <cell r="EM267">
            <v>940.00000000000011</v>
          </cell>
          <cell r="EN267">
            <v>860</v>
          </cell>
          <cell r="EO267">
            <v>-1800</v>
          </cell>
          <cell r="EP267">
            <v>-1619.9999999999998</v>
          </cell>
          <cell r="EQ267">
            <v>-1619.9999999999998</v>
          </cell>
          <cell r="ER267">
            <v>-2469.9999999999995</v>
          </cell>
          <cell r="ES267">
            <v>-2350</v>
          </cell>
          <cell r="ET267">
            <v>-1890</v>
          </cell>
          <cell r="EU267">
            <v>-1589.9999999999998</v>
          </cell>
          <cell r="EV267">
            <v>-1150</v>
          </cell>
          <cell r="EW267">
            <v>-1270</v>
          </cell>
          <cell r="EX267">
            <v>-1619.9999999999998</v>
          </cell>
        </row>
        <row r="268">
          <cell r="A268" t="str">
            <v>Accounts Payable</v>
          </cell>
          <cell r="B268" t="str">
            <v>Accounts Payable - External</v>
          </cell>
          <cell r="C268" t="str">
            <v>Accounts Payable</v>
          </cell>
          <cell r="D268" t="str">
            <v>2320017</v>
          </cell>
          <cell r="E268" t="str">
            <v>A_2320017</v>
          </cell>
          <cell r="F268" t="str">
            <v>AP United Fund</v>
          </cell>
          <cell r="G268">
            <v>0</v>
          </cell>
          <cell r="H268">
            <v>2.1</v>
          </cell>
          <cell r="I268">
            <v>3.6</v>
          </cell>
          <cell r="J268">
            <v>0</v>
          </cell>
          <cell r="K268">
            <v>1.5</v>
          </cell>
          <cell r="L268">
            <v>3</v>
          </cell>
          <cell r="M268">
            <v>0</v>
          </cell>
          <cell r="N268">
            <v>1.5</v>
          </cell>
          <cell r="O268">
            <v>3</v>
          </cell>
          <cell r="P268">
            <v>0</v>
          </cell>
          <cell r="Q268">
            <v>1.5</v>
          </cell>
          <cell r="R268">
            <v>2.9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EK268" t="str">
            <v>Been zero since 2015</v>
          </cell>
          <cell r="EL268" t="str">
            <v>A_2320017</v>
          </cell>
        </row>
        <row r="269">
          <cell r="A269" t="str">
            <v>Accounts Payable</v>
          </cell>
          <cell r="B269" t="str">
            <v>Accounts Payable - External</v>
          </cell>
          <cell r="C269" t="str">
            <v>Accounts Payable</v>
          </cell>
          <cell r="D269" t="str">
            <v>2320018</v>
          </cell>
          <cell r="E269" t="str">
            <v>A_2320018</v>
          </cell>
          <cell r="F269" t="str">
            <v>AP TEPAC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0.2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0.7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0.4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0.2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EK269" t="str">
            <v>Been zero since 2015</v>
          </cell>
          <cell r="EL269" t="str">
            <v>A_2320018</v>
          </cell>
        </row>
        <row r="270">
          <cell r="A270" t="str">
            <v>Accounts Payable</v>
          </cell>
          <cell r="B270" t="str">
            <v>Accounts Payable - External</v>
          </cell>
          <cell r="C270" t="str">
            <v>Accounts Payable</v>
          </cell>
          <cell r="D270" t="str">
            <v>2320019</v>
          </cell>
          <cell r="E270" t="str">
            <v>A_2320019</v>
          </cell>
          <cell r="F270" t="str">
            <v>AP Fitness Center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0.2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EL270" t="str">
            <v>A_2320019</v>
          </cell>
        </row>
        <row r="271">
          <cell r="A271" t="str">
            <v>Accounts Payable</v>
          </cell>
          <cell r="B271" t="str">
            <v>Accounts Payable - External</v>
          </cell>
          <cell r="C271" t="str">
            <v>Misc. Current Liabilities</v>
          </cell>
          <cell r="D271" t="str">
            <v>2320020</v>
          </cell>
          <cell r="E271" t="str">
            <v>A_2320020</v>
          </cell>
          <cell r="F271" t="str">
            <v>AP HSA Employee Contribution</v>
          </cell>
          <cell r="G271">
            <v>-0.37607999999999997</v>
          </cell>
          <cell r="H271">
            <v>-0.4</v>
          </cell>
          <cell r="I271">
            <v>-0.4</v>
          </cell>
          <cell r="J271">
            <v>-0.4</v>
          </cell>
          <cell r="K271">
            <v>-9.1999999999999993</v>
          </cell>
          <cell r="L271">
            <v>-0.4</v>
          </cell>
          <cell r="M271">
            <v>-0.4</v>
          </cell>
          <cell r="N271">
            <v>-0.4</v>
          </cell>
          <cell r="O271">
            <v>-0.4</v>
          </cell>
          <cell r="P271">
            <v>-0.4</v>
          </cell>
          <cell r="Q271">
            <v>-0.4</v>
          </cell>
          <cell r="R271">
            <v>-0.4</v>
          </cell>
          <cell r="S271">
            <v>-0.4</v>
          </cell>
          <cell r="T271">
            <v>-0.4</v>
          </cell>
          <cell r="U271">
            <v>-0.4</v>
          </cell>
          <cell r="V271">
            <v>-0.4</v>
          </cell>
          <cell r="W271">
            <v>-0.4</v>
          </cell>
          <cell r="X271">
            <v>-0.4</v>
          </cell>
          <cell r="Y271">
            <v>-0.4</v>
          </cell>
          <cell r="Z271">
            <v>-0.4</v>
          </cell>
          <cell r="AA271">
            <v>-0.4</v>
          </cell>
          <cell r="AB271">
            <v>-9.4</v>
          </cell>
          <cell r="AC271">
            <v>-0.4</v>
          </cell>
          <cell r="AD271">
            <v>-0.4</v>
          </cell>
          <cell r="AE271">
            <v>-0.4</v>
          </cell>
          <cell r="AF271">
            <v>-0.4</v>
          </cell>
          <cell r="AG271">
            <v>-0.4</v>
          </cell>
          <cell r="AH271">
            <v>-0.4</v>
          </cell>
          <cell r="AI271">
            <v>-0.4</v>
          </cell>
          <cell r="AJ271">
            <v>-0.4</v>
          </cell>
          <cell r="AK271">
            <v>-0.4</v>
          </cell>
          <cell r="AL271">
            <v>-0.4</v>
          </cell>
          <cell r="AM271">
            <v>-9.8000000000000007</v>
          </cell>
          <cell r="AN271">
            <v>-0.4</v>
          </cell>
          <cell r="AO271">
            <v>-0.4</v>
          </cell>
          <cell r="AP271">
            <v>-0.4</v>
          </cell>
          <cell r="AQ271">
            <v>-0.4</v>
          </cell>
          <cell r="AR271">
            <v>-0.4</v>
          </cell>
          <cell r="AS271">
            <v>-0.4</v>
          </cell>
          <cell r="AT271">
            <v>-0.4</v>
          </cell>
          <cell r="AU271">
            <v>-0.4</v>
          </cell>
          <cell r="AV271">
            <v>-0.4</v>
          </cell>
          <cell r="AW271">
            <v>-0.4</v>
          </cell>
          <cell r="AX271">
            <v>-0.4</v>
          </cell>
          <cell r="AY271">
            <v>-0.4</v>
          </cell>
          <cell r="AZ271">
            <v>-0.4</v>
          </cell>
          <cell r="BA271">
            <v>-0.4</v>
          </cell>
          <cell r="BB271">
            <v>-0.4</v>
          </cell>
          <cell r="BC271">
            <v>-0.4</v>
          </cell>
          <cell r="BD271">
            <v>-11</v>
          </cell>
          <cell r="BE271">
            <v>-10.9</v>
          </cell>
          <cell r="BF271">
            <v>-0.3</v>
          </cell>
          <cell r="BG271">
            <v>-0.3</v>
          </cell>
          <cell r="BH271">
            <v>-0.3</v>
          </cell>
          <cell r="BI271">
            <v>-0.3</v>
          </cell>
          <cell r="BJ271">
            <v>-0.3</v>
          </cell>
          <cell r="BK271">
            <v>0.1</v>
          </cell>
          <cell r="BL271">
            <v>0.1</v>
          </cell>
          <cell r="BM271">
            <v>0.1</v>
          </cell>
          <cell r="BN271">
            <v>0.1</v>
          </cell>
          <cell r="BO271">
            <v>0</v>
          </cell>
          <cell r="BP271">
            <v>0</v>
          </cell>
          <cell r="BQ271">
            <v>-11.8</v>
          </cell>
          <cell r="BR271">
            <v>0</v>
          </cell>
          <cell r="BS271">
            <v>-23.7</v>
          </cell>
          <cell r="BT271">
            <v>0</v>
          </cell>
          <cell r="BU271">
            <v>0</v>
          </cell>
          <cell r="BV271">
            <v>0.2</v>
          </cell>
          <cell r="BW271">
            <v>1</v>
          </cell>
          <cell r="BX271">
            <v>-0.1</v>
          </cell>
          <cell r="BY271">
            <v>13.2</v>
          </cell>
          <cell r="BZ271">
            <v>-0.2</v>
          </cell>
          <cell r="CA271">
            <v>-0.2</v>
          </cell>
          <cell r="CB271">
            <v>13.9</v>
          </cell>
          <cell r="CC271">
            <v>28</v>
          </cell>
          <cell r="CD271">
            <v>13.9</v>
          </cell>
          <cell r="CE271">
            <v>13.9</v>
          </cell>
          <cell r="CF271">
            <v>13.9</v>
          </cell>
          <cell r="CG271">
            <v>27.9</v>
          </cell>
          <cell r="CH271">
            <v>14.1</v>
          </cell>
          <cell r="CI271">
            <v>28.5</v>
          </cell>
          <cell r="CJ271">
            <v>57.4</v>
          </cell>
          <cell r="CK271">
            <v>28.5</v>
          </cell>
          <cell r="CL271">
            <v>13.9</v>
          </cell>
          <cell r="CM271">
            <v>13.9</v>
          </cell>
          <cell r="CN271">
            <v>28.7</v>
          </cell>
          <cell r="CO271">
            <v>13.9</v>
          </cell>
          <cell r="CP271">
            <v>15.2</v>
          </cell>
          <cell r="CQ271">
            <v>29.8</v>
          </cell>
          <cell r="CR271">
            <v>15.1</v>
          </cell>
          <cell r="CS271">
            <v>15.1</v>
          </cell>
          <cell r="CT271">
            <v>15.1</v>
          </cell>
          <cell r="CU271">
            <v>15.2</v>
          </cell>
          <cell r="CV271">
            <v>16.399999999999999</v>
          </cell>
          <cell r="CW271">
            <v>33</v>
          </cell>
          <cell r="CX271">
            <v>64.8</v>
          </cell>
          <cell r="CY271">
            <v>15.4</v>
          </cell>
          <cell r="CZ271">
            <v>15.4</v>
          </cell>
          <cell r="DA271">
            <v>15.4</v>
          </cell>
          <cell r="DB271">
            <v>31.7</v>
          </cell>
          <cell r="DC271">
            <v>49</v>
          </cell>
          <cell r="DD271">
            <v>16.100000000000001</v>
          </cell>
          <cell r="DE271">
            <v>16.399999999999999</v>
          </cell>
          <cell r="DF271">
            <v>53.1</v>
          </cell>
          <cell r="DG271">
            <v>15.3</v>
          </cell>
          <cell r="DH271">
            <v>32.700000000000003</v>
          </cell>
          <cell r="DI271">
            <v>14.4</v>
          </cell>
          <cell r="DJ271">
            <v>14.7</v>
          </cell>
          <cell r="DK271">
            <v>14.6</v>
          </cell>
          <cell r="DL271">
            <v>19.100000000000001</v>
          </cell>
          <cell r="DM271">
            <v>17.5</v>
          </cell>
          <cell r="DN271">
            <v>23.2</v>
          </cell>
          <cell r="DO271">
            <v>36.200000000000003</v>
          </cell>
          <cell r="DP271">
            <v>15.4</v>
          </cell>
          <cell r="DQ271">
            <v>18.3</v>
          </cell>
          <cell r="DR271">
            <v>33.9</v>
          </cell>
          <cell r="DS271">
            <v>14.8</v>
          </cell>
          <cell r="DT271">
            <v>25</v>
          </cell>
          <cell r="DU271">
            <v>22.7</v>
          </cell>
          <cell r="DV271">
            <v>24.3</v>
          </cell>
          <cell r="DW271">
            <v>9.4</v>
          </cell>
          <cell r="EK271" t="str">
            <v>3 yr Avg (2020 to 2022 8+4F)</v>
          </cell>
          <cell r="EL271" t="str">
            <v>A_2320020</v>
          </cell>
          <cell r="EM271">
            <v>19089.999999999996</v>
          </cell>
          <cell r="EN271">
            <v>17470</v>
          </cell>
          <cell r="EO271">
            <v>23189.999999999996</v>
          </cell>
          <cell r="EP271">
            <v>36220</v>
          </cell>
          <cell r="EQ271">
            <v>15360</v>
          </cell>
          <cell r="ER271">
            <v>18310</v>
          </cell>
          <cell r="ES271">
            <v>33900</v>
          </cell>
          <cell r="ET271">
            <v>17910</v>
          </cell>
          <cell r="EU271">
            <v>32750</v>
          </cell>
          <cell r="EV271">
            <v>22800</v>
          </cell>
          <cell r="EW271">
            <v>29570</v>
          </cell>
          <cell r="EX271">
            <v>14700</v>
          </cell>
        </row>
        <row r="272">
          <cell r="A272" t="str">
            <v>Accounts Payable</v>
          </cell>
          <cell r="B272" t="str">
            <v>Accounts Payable - External</v>
          </cell>
          <cell r="C272" t="str">
            <v>Accounts Payable</v>
          </cell>
          <cell r="D272" t="str">
            <v>2320021</v>
          </cell>
          <cell r="E272" t="str">
            <v>A_2320021</v>
          </cell>
          <cell r="F272" t="str">
            <v>AP HSA Employee Contribution</v>
          </cell>
          <cell r="G272">
            <v>0</v>
          </cell>
          <cell r="H272">
            <v>-0.5</v>
          </cell>
          <cell r="I272">
            <v>0</v>
          </cell>
          <cell r="J272">
            <v>0</v>
          </cell>
          <cell r="K272">
            <v>-4.3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-4.2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-5.6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-1.2</v>
          </cell>
          <cell r="AS272">
            <v>-1.2</v>
          </cell>
          <cell r="AT272">
            <v>-1.2</v>
          </cell>
          <cell r="AU272">
            <v>-1.2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-4.3</v>
          </cell>
          <cell r="BE272">
            <v>-4.5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-0.5</v>
          </cell>
          <cell r="BR272">
            <v>4.5999999999999996</v>
          </cell>
          <cell r="BS272">
            <v>-5.7</v>
          </cell>
          <cell r="BT272">
            <v>4.5999999999999996</v>
          </cell>
          <cell r="BU272">
            <v>2.9</v>
          </cell>
          <cell r="BV272">
            <v>-5.4</v>
          </cell>
          <cell r="BW272">
            <v>-5.0999999999999996</v>
          </cell>
          <cell r="BX272">
            <v>7.9</v>
          </cell>
          <cell r="BY272">
            <v>12.4</v>
          </cell>
          <cell r="BZ272">
            <v>7.9</v>
          </cell>
          <cell r="CA272">
            <v>7.9</v>
          </cell>
          <cell r="CB272">
            <v>14.6</v>
          </cell>
          <cell r="CC272">
            <v>19.2</v>
          </cell>
          <cell r="CD272">
            <v>14.5</v>
          </cell>
          <cell r="CE272">
            <v>13.6</v>
          </cell>
          <cell r="CF272">
            <v>13.6</v>
          </cell>
          <cell r="CG272">
            <v>19</v>
          </cell>
          <cell r="CH272">
            <v>13.8</v>
          </cell>
          <cell r="CI272">
            <v>18.7</v>
          </cell>
          <cell r="CJ272">
            <v>29</v>
          </cell>
          <cell r="CK272">
            <v>18.8</v>
          </cell>
          <cell r="CL272">
            <v>13.3</v>
          </cell>
          <cell r="CM272">
            <v>13.3</v>
          </cell>
          <cell r="CN272">
            <v>19.8</v>
          </cell>
          <cell r="CO272">
            <v>14.1</v>
          </cell>
          <cell r="CP272">
            <v>15.1</v>
          </cell>
          <cell r="CQ272">
            <v>19.899999999999999</v>
          </cell>
          <cell r="CR272">
            <v>15</v>
          </cell>
          <cell r="CS272">
            <v>15.3</v>
          </cell>
          <cell r="CT272">
            <v>15.3</v>
          </cell>
          <cell r="CU272">
            <v>15.3</v>
          </cell>
          <cell r="CV272">
            <v>15.7</v>
          </cell>
          <cell r="CW272">
            <v>20.7</v>
          </cell>
          <cell r="CX272">
            <v>30.6</v>
          </cell>
          <cell r="CY272">
            <v>14.9</v>
          </cell>
          <cell r="CZ272">
            <v>14.5</v>
          </cell>
          <cell r="DA272">
            <v>14.5</v>
          </cell>
          <cell r="DB272">
            <v>20.399999999999999</v>
          </cell>
          <cell r="DC272">
            <v>26.9</v>
          </cell>
          <cell r="DD272">
            <v>16.600000000000001</v>
          </cell>
          <cell r="DE272">
            <v>17</v>
          </cell>
          <cell r="DF272">
            <v>30.8</v>
          </cell>
          <cell r="DG272">
            <v>16.600000000000001</v>
          </cell>
          <cell r="DH272">
            <v>28.2</v>
          </cell>
          <cell r="DI272">
            <v>22.5</v>
          </cell>
          <cell r="DJ272">
            <v>22</v>
          </cell>
          <cell r="DK272">
            <v>22.2</v>
          </cell>
          <cell r="DL272">
            <v>16.100000000000001</v>
          </cell>
          <cell r="DM272">
            <v>15.3</v>
          </cell>
          <cell r="DN272">
            <v>17.600000000000001</v>
          </cell>
          <cell r="DO272">
            <v>22.1</v>
          </cell>
          <cell r="DP272">
            <v>15.5</v>
          </cell>
          <cell r="DQ272">
            <v>16.899999999999999</v>
          </cell>
          <cell r="DR272">
            <v>22.8</v>
          </cell>
          <cell r="DS272">
            <v>10</v>
          </cell>
          <cell r="DT272">
            <v>16.600000000000001</v>
          </cell>
          <cell r="DU272">
            <v>15.5</v>
          </cell>
          <cell r="DV272">
            <v>15.5</v>
          </cell>
          <cell r="DW272">
            <v>10.8</v>
          </cell>
          <cell r="EK272" t="str">
            <v>3 yr Avg (2020 to 2022 8+4F)</v>
          </cell>
          <cell r="EL272" t="str">
            <v>A_2320021</v>
          </cell>
          <cell r="EM272">
            <v>16110.000000000004</v>
          </cell>
          <cell r="EN272">
            <v>15319.999999999998</v>
          </cell>
          <cell r="EO272">
            <v>17630.000000000004</v>
          </cell>
          <cell r="EP272">
            <v>22139.999999999996</v>
          </cell>
          <cell r="EQ272">
            <v>15520</v>
          </cell>
          <cell r="ER272">
            <v>16890</v>
          </cell>
          <cell r="ES272">
            <v>22750</v>
          </cell>
          <cell r="ET272">
            <v>16630.000000000004</v>
          </cell>
          <cell r="EU272">
            <v>24610</v>
          </cell>
          <cell r="EV272">
            <v>21220</v>
          </cell>
          <cell r="EW272">
            <v>22840</v>
          </cell>
          <cell r="EX272">
            <v>18230</v>
          </cell>
        </row>
        <row r="273">
          <cell r="A273" t="str">
            <v>Accounts Payable</v>
          </cell>
          <cell r="B273" t="str">
            <v>Accounts Payable - External</v>
          </cell>
          <cell r="C273" t="str">
            <v>Pensions &amp; Benefits Reserve</v>
          </cell>
          <cell r="D273" t="str">
            <v>2320022</v>
          </cell>
          <cell r="E273" t="str">
            <v>A_2320022</v>
          </cell>
          <cell r="F273" t="str">
            <v>AP Medical Insurance Reserve - Active Employees</v>
          </cell>
          <cell r="G273">
            <v>550</v>
          </cell>
          <cell r="H273">
            <v>584.1</v>
          </cell>
          <cell r="I273">
            <v>500</v>
          </cell>
          <cell r="J273">
            <v>500</v>
          </cell>
          <cell r="K273">
            <v>500</v>
          </cell>
          <cell r="L273">
            <v>500</v>
          </cell>
          <cell r="M273">
            <v>500</v>
          </cell>
          <cell r="N273">
            <v>500</v>
          </cell>
          <cell r="O273">
            <v>480</v>
          </cell>
          <cell r="P273">
            <v>500</v>
          </cell>
          <cell r="Q273">
            <v>500</v>
          </cell>
          <cell r="R273">
            <v>500</v>
          </cell>
          <cell r="S273">
            <v>700</v>
          </cell>
          <cell r="T273">
            <v>600</v>
          </cell>
          <cell r="U273">
            <v>600</v>
          </cell>
          <cell r="V273">
            <v>600</v>
          </cell>
          <cell r="W273">
            <v>600</v>
          </cell>
          <cell r="X273">
            <v>600</v>
          </cell>
          <cell r="Y273">
            <v>600</v>
          </cell>
          <cell r="Z273">
            <v>600</v>
          </cell>
          <cell r="AA273">
            <v>600</v>
          </cell>
          <cell r="AB273">
            <v>600</v>
          </cell>
          <cell r="AC273">
            <v>613.20000000000005</v>
          </cell>
          <cell r="AD273">
            <v>600</v>
          </cell>
          <cell r="AE273">
            <v>750</v>
          </cell>
          <cell r="AF273">
            <v>700</v>
          </cell>
          <cell r="AG273">
            <v>700</v>
          </cell>
          <cell r="AH273">
            <v>700</v>
          </cell>
          <cell r="AI273">
            <v>700</v>
          </cell>
          <cell r="AJ273">
            <v>700</v>
          </cell>
          <cell r="AK273">
            <v>700</v>
          </cell>
          <cell r="AL273">
            <v>700</v>
          </cell>
          <cell r="AM273">
            <v>700</v>
          </cell>
          <cell r="AN273">
            <v>700</v>
          </cell>
          <cell r="AO273">
            <v>700</v>
          </cell>
          <cell r="AP273">
            <v>700</v>
          </cell>
          <cell r="AQ273">
            <v>800</v>
          </cell>
          <cell r="AR273">
            <v>700</v>
          </cell>
          <cell r="AS273">
            <v>800</v>
          </cell>
          <cell r="AT273">
            <v>700</v>
          </cell>
          <cell r="AU273">
            <v>800</v>
          </cell>
          <cell r="AV273">
            <v>800</v>
          </cell>
          <cell r="AW273">
            <v>700.7</v>
          </cell>
          <cell r="AX273">
            <v>700</v>
          </cell>
          <cell r="AY273">
            <v>700</v>
          </cell>
          <cell r="AZ273">
            <v>700</v>
          </cell>
          <cell r="BA273">
            <v>700</v>
          </cell>
          <cell r="BB273">
            <v>700</v>
          </cell>
          <cell r="BC273">
            <v>600</v>
          </cell>
          <cell r="BD273">
            <v>500</v>
          </cell>
          <cell r="BE273">
            <v>500</v>
          </cell>
          <cell r="BF273">
            <v>500</v>
          </cell>
          <cell r="BG273">
            <v>500</v>
          </cell>
          <cell r="BH273">
            <v>500</v>
          </cell>
          <cell r="BI273">
            <v>500</v>
          </cell>
          <cell r="BJ273">
            <v>500</v>
          </cell>
          <cell r="BK273">
            <v>500</v>
          </cell>
          <cell r="BL273">
            <v>500</v>
          </cell>
          <cell r="BM273">
            <v>500</v>
          </cell>
          <cell r="BN273">
            <v>500</v>
          </cell>
          <cell r="BO273">
            <v>1200</v>
          </cell>
          <cell r="BP273">
            <v>1100</v>
          </cell>
          <cell r="BQ273">
            <v>1285.5</v>
          </cell>
          <cell r="BR273">
            <v>1100</v>
          </cell>
          <cell r="BS273">
            <v>1101.7</v>
          </cell>
          <cell r="BT273">
            <v>1100</v>
          </cell>
          <cell r="BU273">
            <v>1100</v>
          </cell>
          <cell r="BV273">
            <v>1250</v>
          </cell>
          <cell r="BW273">
            <v>1100</v>
          </cell>
          <cell r="BX273">
            <v>1100</v>
          </cell>
          <cell r="BY273">
            <v>1100</v>
          </cell>
          <cell r="BZ273">
            <v>1100</v>
          </cell>
          <cell r="CA273">
            <v>1000</v>
          </cell>
          <cell r="CB273">
            <v>950</v>
          </cell>
          <cell r="CC273">
            <v>950</v>
          </cell>
          <cell r="CD273">
            <v>950</v>
          </cell>
          <cell r="CE273">
            <v>950</v>
          </cell>
          <cell r="CF273">
            <v>950</v>
          </cell>
          <cell r="CG273">
            <v>950</v>
          </cell>
          <cell r="CH273">
            <v>950</v>
          </cell>
          <cell r="CI273">
            <v>950</v>
          </cell>
          <cell r="CJ273">
            <v>950</v>
          </cell>
          <cell r="CK273">
            <v>950</v>
          </cell>
          <cell r="CL273">
            <v>950</v>
          </cell>
          <cell r="CM273">
            <v>950</v>
          </cell>
          <cell r="CN273">
            <v>800</v>
          </cell>
          <cell r="CO273">
            <v>800</v>
          </cell>
          <cell r="CP273">
            <v>800</v>
          </cell>
          <cell r="CQ273">
            <v>800</v>
          </cell>
          <cell r="CR273">
            <v>800</v>
          </cell>
          <cell r="CS273">
            <v>1000</v>
          </cell>
          <cell r="CT273">
            <v>800</v>
          </cell>
          <cell r="CU273">
            <v>800</v>
          </cell>
          <cell r="CV273">
            <v>800</v>
          </cell>
          <cell r="CW273">
            <v>800</v>
          </cell>
          <cell r="CX273">
            <v>800</v>
          </cell>
          <cell r="CY273">
            <v>1300</v>
          </cell>
          <cell r="CZ273">
            <v>1200</v>
          </cell>
          <cell r="DA273">
            <v>1200</v>
          </cell>
          <cell r="DB273">
            <v>1200</v>
          </cell>
          <cell r="DC273">
            <v>1200</v>
          </cell>
          <cell r="DD273">
            <v>1300</v>
          </cell>
          <cell r="DE273">
            <v>1200</v>
          </cell>
          <cell r="DF273">
            <v>1200</v>
          </cell>
          <cell r="DG273">
            <v>1200</v>
          </cell>
          <cell r="DH273">
            <v>1200</v>
          </cell>
          <cell r="DI273">
            <v>1200</v>
          </cell>
          <cell r="DJ273">
            <v>972.8</v>
          </cell>
          <cell r="DK273">
            <v>1200</v>
          </cell>
          <cell r="DL273">
            <v>1030</v>
          </cell>
          <cell r="DM273">
            <v>1030</v>
          </cell>
          <cell r="DN273">
            <v>1030</v>
          </cell>
          <cell r="DO273">
            <v>1030</v>
          </cell>
          <cell r="DP273">
            <v>1030</v>
          </cell>
          <cell r="DQ273">
            <v>1030</v>
          </cell>
          <cell r="DR273">
            <v>1030</v>
          </cell>
          <cell r="DS273">
            <v>1030</v>
          </cell>
          <cell r="DT273">
            <v>1030</v>
          </cell>
          <cell r="DU273">
            <v>1030</v>
          </cell>
          <cell r="DV273">
            <v>1030</v>
          </cell>
          <cell r="DW273">
            <v>1030</v>
          </cell>
          <cell r="EK273" t="str">
            <v>3 yr Avg (2020 to 2022 8+4F)</v>
          </cell>
          <cell r="EL273" t="str">
            <v>A_2320022</v>
          </cell>
          <cell r="EM273">
            <v>1030000</v>
          </cell>
          <cell r="EN273">
            <v>1030000</v>
          </cell>
          <cell r="EO273">
            <v>1030000</v>
          </cell>
          <cell r="EP273">
            <v>1030000</v>
          </cell>
          <cell r="EQ273">
            <v>1080000</v>
          </cell>
          <cell r="ER273">
            <v>1090000</v>
          </cell>
          <cell r="ES273">
            <v>1030000</v>
          </cell>
          <cell r="ET273">
            <v>1030000</v>
          </cell>
          <cell r="EU273">
            <v>1030000</v>
          </cell>
          <cell r="EV273">
            <v>1030000</v>
          </cell>
          <cell r="EW273">
            <v>916400</v>
          </cell>
          <cell r="EX273">
            <v>1180000</v>
          </cell>
        </row>
        <row r="274">
          <cell r="A274" t="str">
            <v>Accounts Payable</v>
          </cell>
          <cell r="B274" t="str">
            <v>Accounts Payable - External</v>
          </cell>
          <cell r="C274" t="str">
            <v>Accounts Payable</v>
          </cell>
          <cell r="D274" t="str">
            <v>2320023</v>
          </cell>
          <cell r="E274" t="str">
            <v>A_2320023</v>
          </cell>
          <cell r="F274" t="str">
            <v>AP IBEW Union Dues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0.5</v>
          </cell>
          <cell r="L274">
            <v>0</v>
          </cell>
          <cell r="M274">
            <v>0</v>
          </cell>
          <cell r="N274">
            <v>0.4</v>
          </cell>
          <cell r="O274">
            <v>0</v>
          </cell>
          <cell r="P274">
            <v>0</v>
          </cell>
          <cell r="Q274">
            <v>-0.1</v>
          </cell>
          <cell r="R274">
            <v>0</v>
          </cell>
          <cell r="S274">
            <v>-1</v>
          </cell>
          <cell r="T274">
            <v>-0.7</v>
          </cell>
          <cell r="U274">
            <v>-0.7</v>
          </cell>
          <cell r="V274">
            <v>-1</v>
          </cell>
          <cell r="W274">
            <v>-1</v>
          </cell>
          <cell r="X274">
            <v>-0.6</v>
          </cell>
          <cell r="Y274">
            <v>-1</v>
          </cell>
          <cell r="Z274">
            <v>-1</v>
          </cell>
          <cell r="AA274">
            <v>-1</v>
          </cell>
          <cell r="AB274">
            <v>-0.6</v>
          </cell>
          <cell r="AC274">
            <v>-1</v>
          </cell>
          <cell r="AD274">
            <v>-1</v>
          </cell>
          <cell r="AE274">
            <v>-1</v>
          </cell>
          <cell r="AF274">
            <v>-0.6</v>
          </cell>
          <cell r="AG274">
            <v>-0.6</v>
          </cell>
          <cell r="AH274">
            <v>-0.6</v>
          </cell>
          <cell r="AI274">
            <v>-1</v>
          </cell>
          <cell r="AJ274">
            <v>-1</v>
          </cell>
          <cell r="AK274">
            <v>-1</v>
          </cell>
          <cell r="AL274">
            <v>-1</v>
          </cell>
          <cell r="AM274">
            <v>-1</v>
          </cell>
          <cell r="AN274">
            <v>-1</v>
          </cell>
          <cell r="AO274">
            <v>-1</v>
          </cell>
          <cell r="AP274">
            <v>-1</v>
          </cell>
          <cell r="AQ274">
            <v>-1</v>
          </cell>
          <cell r="AR274">
            <v>-1</v>
          </cell>
          <cell r="AS274">
            <v>-1</v>
          </cell>
          <cell r="AT274">
            <v>-1</v>
          </cell>
          <cell r="AU274">
            <v>-1</v>
          </cell>
          <cell r="AV274">
            <v>0.1</v>
          </cell>
          <cell r="AW274">
            <v>-1</v>
          </cell>
          <cell r="AX274">
            <v>-1</v>
          </cell>
          <cell r="AY274">
            <v>-1</v>
          </cell>
          <cell r="AZ274">
            <v>-1</v>
          </cell>
          <cell r="BA274">
            <v>-1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1.1000000000000001</v>
          </cell>
          <cell r="BW274">
            <v>0</v>
          </cell>
          <cell r="BX274">
            <v>0</v>
          </cell>
          <cell r="BY274">
            <v>0</v>
          </cell>
          <cell r="BZ274">
            <v>1.1000000000000001</v>
          </cell>
          <cell r="CA274">
            <v>0.9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1</v>
          </cell>
          <cell r="CG274">
            <v>1.1000000000000001</v>
          </cell>
          <cell r="CH274">
            <v>1.1000000000000001</v>
          </cell>
          <cell r="CI274">
            <v>1.1000000000000001</v>
          </cell>
          <cell r="CJ274">
            <v>1.1000000000000001</v>
          </cell>
          <cell r="CK274">
            <v>0.9</v>
          </cell>
          <cell r="CL274">
            <v>0.7</v>
          </cell>
          <cell r="CM274">
            <v>0.6</v>
          </cell>
          <cell r="CN274">
            <v>0.6</v>
          </cell>
          <cell r="CO274">
            <v>0.6</v>
          </cell>
          <cell r="CP274">
            <v>0</v>
          </cell>
          <cell r="CQ274">
            <v>0.8</v>
          </cell>
          <cell r="CR274">
            <v>0.8</v>
          </cell>
          <cell r="CS274">
            <v>0.3</v>
          </cell>
          <cell r="CT274">
            <v>0.8</v>
          </cell>
          <cell r="CU274">
            <v>0.8</v>
          </cell>
          <cell r="CV274">
            <v>0.8</v>
          </cell>
          <cell r="CW274">
            <v>0.7</v>
          </cell>
          <cell r="CX274">
            <v>0.3</v>
          </cell>
          <cell r="CY274">
            <v>0.8</v>
          </cell>
          <cell r="CZ274">
            <v>0.8</v>
          </cell>
          <cell r="DA274">
            <v>0.8</v>
          </cell>
          <cell r="DB274">
            <v>0.8</v>
          </cell>
          <cell r="DC274">
            <v>0.8</v>
          </cell>
          <cell r="DD274">
            <v>0.8</v>
          </cell>
          <cell r="DE274">
            <v>0.9</v>
          </cell>
          <cell r="DF274">
            <v>0.8</v>
          </cell>
          <cell r="DG274">
            <v>0.3</v>
          </cell>
          <cell r="DH274">
            <v>0.4</v>
          </cell>
          <cell r="DI274">
            <v>0.9</v>
          </cell>
          <cell r="DJ274">
            <v>0.9</v>
          </cell>
          <cell r="DK274">
            <v>0.9</v>
          </cell>
          <cell r="DL274">
            <v>0.6</v>
          </cell>
          <cell r="DM274">
            <v>0.6</v>
          </cell>
          <cell r="DN274">
            <v>0.4</v>
          </cell>
          <cell r="DO274">
            <v>0.6</v>
          </cell>
          <cell r="DP274">
            <v>0.8</v>
          </cell>
          <cell r="DQ274">
            <v>0.8</v>
          </cell>
          <cell r="DR274">
            <v>0.9</v>
          </cell>
          <cell r="DS274">
            <v>0.6</v>
          </cell>
          <cell r="DT274">
            <v>0.6</v>
          </cell>
          <cell r="DU274">
            <v>0.5</v>
          </cell>
          <cell r="DV274">
            <v>0.6</v>
          </cell>
          <cell r="DW274">
            <v>0.7</v>
          </cell>
          <cell r="EK274" t="str">
            <v>3 yr Avg (2020 to 2022 8+4F)</v>
          </cell>
          <cell r="EL274" t="str">
            <v>A_2320023</v>
          </cell>
          <cell r="EM274">
            <v>580</v>
          </cell>
          <cell r="EN274">
            <v>580</v>
          </cell>
          <cell r="EO274">
            <v>400</v>
          </cell>
          <cell r="EP274">
            <v>640</v>
          </cell>
          <cell r="EQ274">
            <v>840.00000000000011</v>
          </cell>
          <cell r="ER274">
            <v>760</v>
          </cell>
          <cell r="ES274">
            <v>860.00000000000011</v>
          </cell>
          <cell r="ET274">
            <v>610.00000000000011</v>
          </cell>
          <cell r="EU274">
            <v>660</v>
          </cell>
          <cell r="EV274">
            <v>839.99999999999989</v>
          </cell>
          <cell r="EW274">
            <v>679.99999999999989</v>
          </cell>
          <cell r="EX274">
            <v>810.00000000000011</v>
          </cell>
        </row>
        <row r="275">
          <cell r="A275" t="str">
            <v>Accounts Payable</v>
          </cell>
          <cell r="B275" t="str">
            <v>Accounts Payable - External</v>
          </cell>
          <cell r="C275" t="str">
            <v>Accounts Payable</v>
          </cell>
          <cell r="D275" t="str">
            <v>2320024</v>
          </cell>
          <cell r="E275" t="str">
            <v>A_2320024</v>
          </cell>
          <cell r="F275" t="str">
            <v>AP OPEIU Union Dues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0.4</v>
          </cell>
          <cell r="L275">
            <v>0</v>
          </cell>
          <cell r="M275">
            <v>0</v>
          </cell>
          <cell r="N275">
            <v>0.4</v>
          </cell>
          <cell r="O275">
            <v>0</v>
          </cell>
          <cell r="P275">
            <v>0</v>
          </cell>
          <cell r="Q275">
            <v>0.1</v>
          </cell>
          <cell r="R275">
            <v>0</v>
          </cell>
          <cell r="S275">
            <v>0</v>
          </cell>
          <cell r="T275">
            <v>0.5</v>
          </cell>
          <cell r="U275">
            <v>0.5</v>
          </cell>
          <cell r="V275">
            <v>0</v>
          </cell>
          <cell r="W275">
            <v>0</v>
          </cell>
          <cell r="X275">
            <v>0.5</v>
          </cell>
          <cell r="Y275">
            <v>0</v>
          </cell>
          <cell r="Z275">
            <v>0</v>
          </cell>
          <cell r="AA275">
            <v>0</v>
          </cell>
          <cell r="AB275">
            <v>0.5</v>
          </cell>
          <cell r="AC275">
            <v>0</v>
          </cell>
          <cell r="AD275">
            <v>0</v>
          </cell>
          <cell r="AE275">
            <v>0</v>
          </cell>
          <cell r="AF275">
            <v>0.4</v>
          </cell>
          <cell r="AG275">
            <v>0.5</v>
          </cell>
          <cell r="AH275">
            <v>0.5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0.4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0.2</v>
          </cell>
          <cell r="BW275">
            <v>0</v>
          </cell>
          <cell r="BX275">
            <v>0</v>
          </cell>
          <cell r="BY275">
            <v>0</v>
          </cell>
          <cell r="BZ275">
            <v>0.2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0.2</v>
          </cell>
          <cell r="CG275">
            <v>0.2</v>
          </cell>
          <cell r="CH275">
            <v>0.2</v>
          </cell>
          <cell r="CI275">
            <v>0.2</v>
          </cell>
          <cell r="CJ275">
            <v>0.2</v>
          </cell>
          <cell r="CK275">
            <v>0.2</v>
          </cell>
          <cell r="CL275">
            <v>0.2</v>
          </cell>
          <cell r="CM275">
            <v>0.2</v>
          </cell>
          <cell r="CN275">
            <v>0.2</v>
          </cell>
          <cell r="CO275">
            <v>0.2</v>
          </cell>
          <cell r="CP275">
            <v>0</v>
          </cell>
          <cell r="CQ275">
            <v>0.2</v>
          </cell>
          <cell r="CR275">
            <v>0.2</v>
          </cell>
          <cell r="CS275">
            <v>0</v>
          </cell>
          <cell r="CT275">
            <v>0.3</v>
          </cell>
          <cell r="CU275">
            <v>0.2</v>
          </cell>
          <cell r="CV275">
            <v>0.2</v>
          </cell>
          <cell r="CW275">
            <v>0.2</v>
          </cell>
          <cell r="CX275">
            <v>0</v>
          </cell>
          <cell r="CY275">
            <v>0.3</v>
          </cell>
          <cell r="CZ275">
            <v>0.2</v>
          </cell>
          <cell r="DA275">
            <v>0.2</v>
          </cell>
          <cell r="DB275">
            <v>0.2</v>
          </cell>
          <cell r="DC275">
            <v>0.2</v>
          </cell>
          <cell r="DD275">
            <v>0.2</v>
          </cell>
          <cell r="DE275">
            <v>0.2</v>
          </cell>
          <cell r="DF275">
            <v>0.2</v>
          </cell>
          <cell r="DG275">
            <v>0</v>
          </cell>
          <cell r="DH275">
            <v>0</v>
          </cell>
          <cell r="DI275">
            <v>0.2</v>
          </cell>
          <cell r="DJ275">
            <v>0.2</v>
          </cell>
          <cell r="DK275">
            <v>0.2</v>
          </cell>
          <cell r="DL275">
            <v>0.2</v>
          </cell>
          <cell r="DM275">
            <v>0.2</v>
          </cell>
          <cell r="DN275">
            <v>0.1</v>
          </cell>
          <cell r="DO275">
            <v>0.2</v>
          </cell>
          <cell r="DP275">
            <v>0.2</v>
          </cell>
          <cell r="DQ275">
            <v>0.1</v>
          </cell>
          <cell r="DR275">
            <v>0.2</v>
          </cell>
          <cell r="DS275">
            <v>0.2</v>
          </cell>
          <cell r="DT275">
            <v>0.2</v>
          </cell>
          <cell r="DU275">
            <v>0.2</v>
          </cell>
          <cell r="DV275">
            <v>0.1</v>
          </cell>
          <cell r="DW275">
            <v>0.2</v>
          </cell>
          <cell r="EK275" t="str">
            <v>3 yr Avg (2020 to 2022 8+4F)</v>
          </cell>
          <cell r="EL275" t="str">
            <v>A_2320024</v>
          </cell>
          <cell r="EM275">
            <v>160</v>
          </cell>
          <cell r="EN275">
            <v>160</v>
          </cell>
          <cell r="EO275">
            <v>100</v>
          </cell>
          <cell r="EP275">
            <v>160</v>
          </cell>
          <cell r="EQ275">
            <v>200</v>
          </cell>
          <cell r="ER275">
            <v>139.99999999999997</v>
          </cell>
          <cell r="ES275">
            <v>229.99999999999997</v>
          </cell>
          <cell r="ET275">
            <v>100</v>
          </cell>
          <cell r="EU275">
            <v>100</v>
          </cell>
          <cell r="EV275">
            <v>200</v>
          </cell>
          <cell r="EW275">
            <v>139.99999999999997</v>
          </cell>
          <cell r="EX275">
            <v>229.99999999999997</v>
          </cell>
        </row>
        <row r="276">
          <cell r="A276" t="str">
            <v>Accounts Payable</v>
          </cell>
          <cell r="B276" t="str">
            <v>Accounts Payable - External</v>
          </cell>
          <cell r="C276" t="str">
            <v>Accounts Payable</v>
          </cell>
          <cell r="D276" t="str">
            <v>2320025</v>
          </cell>
          <cell r="E276" t="str">
            <v>A_2320025</v>
          </cell>
          <cell r="F276" t="str">
            <v>AP IAM/AU Union Dues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0.8</v>
          </cell>
          <cell r="L276">
            <v>0</v>
          </cell>
          <cell r="M276">
            <v>0</v>
          </cell>
          <cell r="N276">
            <v>0.8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0.7</v>
          </cell>
          <cell r="U276">
            <v>0.7</v>
          </cell>
          <cell r="V276">
            <v>0</v>
          </cell>
          <cell r="W276">
            <v>0</v>
          </cell>
          <cell r="X276">
            <v>0.6</v>
          </cell>
          <cell r="Y276">
            <v>0</v>
          </cell>
          <cell r="Z276">
            <v>0</v>
          </cell>
          <cell r="AA276">
            <v>0</v>
          </cell>
          <cell r="AB276">
            <v>0.5</v>
          </cell>
          <cell r="AC276">
            <v>0</v>
          </cell>
          <cell r="AD276">
            <v>0</v>
          </cell>
          <cell r="AE276">
            <v>0</v>
          </cell>
          <cell r="AF276">
            <v>0.5</v>
          </cell>
          <cell r="AG276">
            <v>0.4</v>
          </cell>
          <cell r="AH276">
            <v>0.4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0.4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0.3</v>
          </cell>
          <cell r="BW276">
            <v>0</v>
          </cell>
          <cell r="BX276">
            <v>0</v>
          </cell>
          <cell r="BY276">
            <v>0</v>
          </cell>
          <cell r="BZ276">
            <v>0.6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0.9</v>
          </cell>
          <cell r="CG276">
            <v>1</v>
          </cell>
          <cell r="CH276">
            <v>1.2</v>
          </cell>
          <cell r="CI276">
            <v>1</v>
          </cell>
          <cell r="CJ276">
            <v>1</v>
          </cell>
          <cell r="CK276">
            <v>0.7</v>
          </cell>
          <cell r="CL276">
            <v>0.1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0.2</v>
          </cell>
          <cell r="DQ276">
            <v>0.2</v>
          </cell>
          <cell r="DR276">
            <v>0.2</v>
          </cell>
          <cell r="DS276">
            <v>0.4</v>
          </cell>
          <cell r="DT276">
            <v>0.4</v>
          </cell>
          <cell r="DU276">
            <v>0.2</v>
          </cell>
          <cell r="DV276">
            <v>0.2</v>
          </cell>
          <cell r="DW276">
            <v>0</v>
          </cell>
          <cell r="EK276" t="str">
            <v>3 yr Avg (2020 to 2022 8+4F)</v>
          </cell>
          <cell r="EL276" t="str">
            <v>A_2320025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180</v>
          </cell>
          <cell r="ER276">
            <v>200</v>
          </cell>
          <cell r="ES276">
            <v>240</v>
          </cell>
          <cell r="ET276">
            <v>200</v>
          </cell>
          <cell r="EU276">
            <v>200</v>
          </cell>
          <cell r="EV276">
            <v>139.99999999999997</v>
          </cell>
          <cell r="EW276">
            <v>20</v>
          </cell>
          <cell r="EX276">
            <v>0</v>
          </cell>
        </row>
        <row r="277">
          <cell r="A277" t="str">
            <v>Accounts Payable</v>
          </cell>
          <cell r="B277" t="str">
            <v>Accounts Payable - External</v>
          </cell>
          <cell r="C277" t="str">
            <v>Accounts Payable</v>
          </cell>
          <cell r="D277" t="str">
            <v>2320026</v>
          </cell>
          <cell r="E277" t="str">
            <v>A_2320026</v>
          </cell>
          <cell r="F277" t="str">
            <v>AP UFCW Union Dues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0.9</v>
          </cell>
          <cell r="L277">
            <v>0</v>
          </cell>
          <cell r="M277">
            <v>0</v>
          </cell>
          <cell r="N277">
            <v>0.9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0.9</v>
          </cell>
          <cell r="U277">
            <v>0.9</v>
          </cell>
          <cell r="V277">
            <v>0</v>
          </cell>
          <cell r="W277">
            <v>0</v>
          </cell>
          <cell r="X277">
            <v>0.9</v>
          </cell>
          <cell r="Y277">
            <v>0</v>
          </cell>
          <cell r="Z277">
            <v>0</v>
          </cell>
          <cell r="AA277">
            <v>0</v>
          </cell>
          <cell r="AB277">
            <v>0.9</v>
          </cell>
          <cell r="AC277">
            <v>0</v>
          </cell>
          <cell r="AD277">
            <v>0</v>
          </cell>
          <cell r="AE277">
            <v>0</v>
          </cell>
          <cell r="AF277">
            <v>0.9</v>
          </cell>
          <cell r="AG277">
            <v>0.9</v>
          </cell>
          <cell r="AH277">
            <v>0.8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0.8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0.8</v>
          </cell>
          <cell r="BW277">
            <v>0</v>
          </cell>
          <cell r="BX277">
            <v>0</v>
          </cell>
          <cell r="BY277">
            <v>0</v>
          </cell>
          <cell r="BZ277">
            <v>0.9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1</v>
          </cell>
          <cell r="CG277">
            <v>1</v>
          </cell>
          <cell r="CH277">
            <v>1</v>
          </cell>
          <cell r="CI277">
            <v>1</v>
          </cell>
          <cell r="CJ277">
            <v>1</v>
          </cell>
          <cell r="CK277">
            <v>1</v>
          </cell>
          <cell r="CL277">
            <v>1</v>
          </cell>
          <cell r="CM277">
            <v>1</v>
          </cell>
          <cell r="CN277">
            <v>1</v>
          </cell>
          <cell r="CO277">
            <v>1</v>
          </cell>
          <cell r="CP277">
            <v>0</v>
          </cell>
          <cell r="CQ277">
            <v>1</v>
          </cell>
          <cell r="CR277">
            <v>1</v>
          </cell>
          <cell r="CS277">
            <v>0</v>
          </cell>
          <cell r="CT277">
            <v>1</v>
          </cell>
          <cell r="CU277">
            <v>1</v>
          </cell>
          <cell r="CV277">
            <v>1</v>
          </cell>
          <cell r="CW277">
            <v>1</v>
          </cell>
          <cell r="CX277">
            <v>0</v>
          </cell>
          <cell r="CY277">
            <v>1</v>
          </cell>
          <cell r="CZ277">
            <v>0.9</v>
          </cell>
          <cell r="DA277">
            <v>0.9</v>
          </cell>
          <cell r="DB277">
            <v>0.9</v>
          </cell>
          <cell r="DC277">
            <v>0.9</v>
          </cell>
          <cell r="DD277">
            <v>1</v>
          </cell>
          <cell r="DE277">
            <v>1.1000000000000001</v>
          </cell>
          <cell r="DF277">
            <v>1</v>
          </cell>
          <cell r="DG277">
            <v>0</v>
          </cell>
          <cell r="DH277">
            <v>0.3</v>
          </cell>
          <cell r="DI277">
            <v>1.3</v>
          </cell>
          <cell r="DJ277">
            <v>1.3</v>
          </cell>
          <cell r="DK277">
            <v>1.3</v>
          </cell>
          <cell r="DL277">
            <v>0.8</v>
          </cell>
          <cell r="DM277">
            <v>0.8</v>
          </cell>
          <cell r="DN277">
            <v>0.5</v>
          </cell>
          <cell r="DO277">
            <v>0.8</v>
          </cell>
          <cell r="DP277">
            <v>1</v>
          </cell>
          <cell r="DQ277">
            <v>0.8</v>
          </cell>
          <cell r="DR277">
            <v>1</v>
          </cell>
          <cell r="DS277">
            <v>0.7</v>
          </cell>
          <cell r="DT277">
            <v>0.7</v>
          </cell>
          <cell r="DU277">
            <v>0.7</v>
          </cell>
          <cell r="DV277">
            <v>0.6</v>
          </cell>
          <cell r="DW277">
            <v>0.7</v>
          </cell>
          <cell r="EK277" t="str">
            <v>3 yr Avg (2020 to 2022 8+4F)</v>
          </cell>
          <cell r="EL277" t="str">
            <v>A_2320026</v>
          </cell>
          <cell r="EM277">
            <v>750</v>
          </cell>
          <cell r="EN277">
            <v>750</v>
          </cell>
          <cell r="EO277">
            <v>450</v>
          </cell>
          <cell r="EP277">
            <v>750</v>
          </cell>
          <cell r="EQ277">
            <v>1000</v>
          </cell>
          <cell r="ER277">
            <v>750</v>
          </cell>
          <cell r="ES277">
            <v>1000</v>
          </cell>
          <cell r="ET277">
            <v>500</v>
          </cell>
          <cell r="EU277">
            <v>650</v>
          </cell>
          <cell r="EV277">
            <v>1150</v>
          </cell>
          <cell r="EW277">
            <v>850</v>
          </cell>
          <cell r="EX277">
            <v>1150</v>
          </cell>
        </row>
        <row r="278">
          <cell r="A278" t="str">
            <v>Accounts Payable</v>
          </cell>
          <cell r="B278" t="str">
            <v>Accounts Payable - External</v>
          </cell>
          <cell r="C278" t="str">
            <v>Accounts Payable</v>
          </cell>
          <cell r="D278" t="str">
            <v>2320027</v>
          </cell>
          <cell r="E278" t="str">
            <v>A_2320027</v>
          </cell>
          <cell r="F278" t="str">
            <v>AP FSA - Medical</v>
          </cell>
          <cell r="G278">
            <v>18.0138</v>
          </cell>
          <cell r="H278">
            <v>8.1</v>
          </cell>
          <cell r="I278">
            <v>8.5</v>
          </cell>
          <cell r="J278">
            <v>5.9</v>
          </cell>
          <cell r="K278">
            <v>5.6</v>
          </cell>
          <cell r="L278">
            <v>3.7</v>
          </cell>
          <cell r="M278">
            <v>7.2</v>
          </cell>
          <cell r="N278">
            <v>8.1</v>
          </cell>
          <cell r="O278">
            <v>13.6</v>
          </cell>
          <cell r="P278">
            <v>16.8</v>
          </cell>
          <cell r="Q278">
            <v>20.399999999999999</v>
          </cell>
          <cell r="R278">
            <v>24.4</v>
          </cell>
          <cell r="S278">
            <v>25.9</v>
          </cell>
          <cell r="T278">
            <v>17.899999999999999</v>
          </cell>
          <cell r="U278">
            <v>17.7</v>
          </cell>
          <cell r="V278">
            <v>17.5</v>
          </cell>
          <cell r="W278">
            <v>13.6</v>
          </cell>
          <cell r="X278">
            <v>13.3</v>
          </cell>
          <cell r="Y278">
            <v>13.1</v>
          </cell>
          <cell r="Z278">
            <v>16.100000000000001</v>
          </cell>
          <cell r="AA278">
            <v>20.2</v>
          </cell>
          <cell r="AB278">
            <v>21.2</v>
          </cell>
          <cell r="AC278">
            <v>24.2</v>
          </cell>
          <cell r="AD278">
            <v>27.1</v>
          </cell>
          <cell r="AE278">
            <v>30.1</v>
          </cell>
          <cell r="AF278">
            <v>21.4</v>
          </cell>
          <cell r="AG278">
            <v>21.8</v>
          </cell>
          <cell r="AH278">
            <v>20.100000000000001</v>
          </cell>
          <cell r="AI278">
            <v>21.8</v>
          </cell>
          <cell r="AJ278">
            <v>22</v>
          </cell>
          <cell r="AK278">
            <v>24.6</v>
          </cell>
          <cell r="AL278">
            <v>26</v>
          </cell>
          <cell r="AM278">
            <v>28.2</v>
          </cell>
          <cell r="AN278">
            <v>32.799999999999997</v>
          </cell>
          <cell r="AO278">
            <v>34.299999999999997</v>
          </cell>
          <cell r="AP278">
            <v>36.700000000000003</v>
          </cell>
          <cell r="AQ278">
            <v>39.799999999999997</v>
          </cell>
          <cell r="AR278">
            <v>33.799999999999997</v>
          </cell>
          <cell r="AS278">
            <v>35.200000000000003</v>
          </cell>
          <cell r="AT278">
            <v>38.299999999999997</v>
          </cell>
          <cell r="AU278">
            <v>38.5</v>
          </cell>
          <cell r="AV278">
            <v>40.200000000000003</v>
          </cell>
          <cell r="AW278">
            <v>40.6</v>
          </cell>
          <cell r="AX278">
            <v>45.9</v>
          </cell>
          <cell r="AY278">
            <v>48.8</v>
          </cell>
          <cell r="AZ278">
            <v>50.4</v>
          </cell>
          <cell r="BA278">
            <v>51.1</v>
          </cell>
          <cell r="BB278">
            <v>54.3</v>
          </cell>
          <cell r="BC278">
            <v>54.4</v>
          </cell>
          <cell r="BD278">
            <v>51.2</v>
          </cell>
          <cell r="BE278">
            <v>52.6</v>
          </cell>
          <cell r="BF278">
            <v>54.4</v>
          </cell>
          <cell r="BG278">
            <v>52.7</v>
          </cell>
          <cell r="BH278">
            <v>53</v>
          </cell>
          <cell r="BI278">
            <v>54.4</v>
          </cell>
          <cell r="BJ278">
            <v>57.1</v>
          </cell>
          <cell r="BK278">
            <v>58.3</v>
          </cell>
          <cell r="BL278">
            <v>60.7</v>
          </cell>
          <cell r="BM278">
            <v>68.3</v>
          </cell>
          <cell r="BN278">
            <v>66</v>
          </cell>
          <cell r="BO278">
            <v>63.4</v>
          </cell>
          <cell r="BP278">
            <v>60.8</v>
          </cell>
          <cell r="BQ278">
            <v>57.8</v>
          </cell>
          <cell r="BR278">
            <v>55.8</v>
          </cell>
          <cell r="BS278">
            <v>53.1</v>
          </cell>
          <cell r="BT278">
            <v>57</v>
          </cell>
          <cell r="BU278">
            <v>51.5</v>
          </cell>
          <cell r="BV278">
            <v>52.1</v>
          </cell>
          <cell r="BW278">
            <v>59.3</v>
          </cell>
          <cell r="BX278">
            <v>64.900000000000006</v>
          </cell>
          <cell r="BY278">
            <v>71.8</v>
          </cell>
          <cell r="BZ278">
            <v>76.400000000000006</v>
          </cell>
          <cell r="CA278">
            <v>23.6</v>
          </cell>
          <cell r="CB278">
            <v>18.899999999999999</v>
          </cell>
          <cell r="CC278">
            <v>23.1</v>
          </cell>
          <cell r="CD278">
            <v>15.6</v>
          </cell>
          <cell r="CE278">
            <v>17.399999999999999</v>
          </cell>
          <cell r="CF278">
            <v>18.3</v>
          </cell>
          <cell r="CG278">
            <v>23.6</v>
          </cell>
          <cell r="CH278">
            <v>20.100000000000001</v>
          </cell>
          <cell r="CI278">
            <v>24.4</v>
          </cell>
          <cell r="CJ278">
            <v>30.7</v>
          </cell>
          <cell r="CK278">
            <v>30.2</v>
          </cell>
          <cell r="CL278">
            <v>33.5</v>
          </cell>
          <cell r="CM278">
            <v>32.299999999999997</v>
          </cell>
          <cell r="CN278">
            <v>27.3</v>
          </cell>
          <cell r="CO278">
            <v>27.5</v>
          </cell>
          <cell r="CP278">
            <v>24.9</v>
          </cell>
          <cell r="CQ278">
            <v>20.9</v>
          </cell>
          <cell r="CR278">
            <v>20.9</v>
          </cell>
          <cell r="CS278">
            <v>21.1</v>
          </cell>
          <cell r="CT278">
            <v>23.3</v>
          </cell>
          <cell r="CU278">
            <v>22.5</v>
          </cell>
          <cell r="CV278">
            <v>30.2</v>
          </cell>
          <cell r="CW278">
            <v>35.299999999999997</v>
          </cell>
          <cell r="CX278">
            <v>36</v>
          </cell>
          <cell r="CY278">
            <v>37.4</v>
          </cell>
          <cell r="CZ278">
            <v>36.5</v>
          </cell>
          <cell r="DA278">
            <v>39.799999999999997</v>
          </cell>
          <cell r="DB278">
            <v>39.6</v>
          </cell>
          <cell r="DC278">
            <v>35.799999999999997</v>
          </cell>
          <cell r="DD278">
            <v>36.9</v>
          </cell>
          <cell r="DE278">
            <v>41.9</v>
          </cell>
          <cell r="DF278">
            <v>38.1</v>
          </cell>
          <cell r="DG278">
            <v>42.7</v>
          </cell>
          <cell r="DH278">
            <v>46.8</v>
          </cell>
          <cell r="DI278">
            <v>44.3</v>
          </cell>
          <cell r="DJ278">
            <v>45.9</v>
          </cell>
          <cell r="DK278">
            <v>48.9</v>
          </cell>
          <cell r="DL278">
            <v>30.2</v>
          </cell>
          <cell r="DM278">
            <v>32.799999999999997</v>
          </cell>
          <cell r="DN278">
            <v>30.4</v>
          </cell>
          <cell r="DO278">
            <v>27.7</v>
          </cell>
          <cell r="DP278">
            <v>28.4</v>
          </cell>
          <cell r="DQ278">
            <v>32</v>
          </cell>
          <cell r="DR278">
            <v>30.1</v>
          </cell>
          <cell r="DS278">
            <v>35.5</v>
          </cell>
          <cell r="DT278">
            <v>41.6</v>
          </cell>
          <cell r="DU278">
            <v>45.1</v>
          </cell>
          <cell r="DV278">
            <v>47.4</v>
          </cell>
          <cell r="DW278">
            <v>35.700000000000003</v>
          </cell>
          <cell r="EK278" t="str">
            <v>3 yr Avg (2020 to 2022 8+4F)</v>
          </cell>
          <cell r="EL278" t="str">
            <v>A_2320027</v>
          </cell>
          <cell r="EM278">
            <v>30220</v>
          </cell>
          <cell r="EN278">
            <v>32769.999999999993</v>
          </cell>
          <cell r="EO278">
            <v>30389.999999999996</v>
          </cell>
          <cell r="EP278">
            <v>27650</v>
          </cell>
          <cell r="EQ278">
            <v>28380.000000000004</v>
          </cell>
          <cell r="ER278">
            <v>32000</v>
          </cell>
          <cell r="ES278">
            <v>30060.000000000004</v>
          </cell>
          <cell r="ET278">
            <v>32980.000000000007</v>
          </cell>
          <cell r="EU278">
            <v>38600</v>
          </cell>
          <cell r="EV278">
            <v>38779.999999999993</v>
          </cell>
          <cell r="EW278">
            <v>40450</v>
          </cell>
          <cell r="EX278">
            <v>42129.999999999993</v>
          </cell>
        </row>
        <row r="279">
          <cell r="A279" t="str">
            <v>Accounts Payable</v>
          </cell>
          <cell r="B279" t="str">
            <v>Accounts Payable - External</v>
          </cell>
          <cell r="C279" t="str">
            <v>Accounts Payable</v>
          </cell>
          <cell r="D279" t="str">
            <v>2320028</v>
          </cell>
          <cell r="E279" t="str">
            <v>A_2320028</v>
          </cell>
          <cell r="F279" t="str">
            <v>AP FSA - Dependent Care</v>
          </cell>
          <cell r="G279">
            <v>-1.38496</v>
          </cell>
          <cell r="H279">
            <v>-0.8</v>
          </cell>
          <cell r="I279">
            <v>-1.3</v>
          </cell>
          <cell r="J279">
            <v>-0.6</v>
          </cell>
          <cell r="K279">
            <v>-1.6</v>
          </cell>
          <cell r="L279">
            <v>-1.8</v>
          </cell>
          <cell r="M279">
            <v>-2</v>
          </cell>
          <cell r="N279">
            <v>-1.8</v>
          </cell>
          <cell r="O279">
            <v>-1.5</v>
          </cell>
          <cell r="P279">
            <v>-1.3</v>
          </cell>
          <cell r="Q279">
            <v>-1</v>
          </cell>
          <cell r="R279">
            <v>-0.8</v>
          </cell>
          <cell r="S279">
            <v>-0.6</v>
          </cell>
          <cell r="T279">
            <v>-0.2</v>
          </cell>
          <cell r="U279">
            <v>-2.2000000000000002</v>
          </cell>
          <cell r="V279">
            <v>-2.4</v>
          </cell>
          <cell r="W279">
            <v>-2</v>
          </cell>
          <cell r="X279">
            <v>-1.6</v>
          </cell>
          <cell r="Y279">
            <v>-1.3</v>
          </cell>
          <cell r="Z279">
            <v>-0.9</v>
          </cell>
          <cell r="AA279">
            <v>-0.5</v>
          </cell>
          <cell r="AB279">
            <v>-0.2</v>
          </cell>
          <cell r="AC279">
            <v>0.2</v>
          </cell>
          <cell r="AD279">
            <v>0.6</v>
          </cell>
          <cell r="AE279">
            <v>0.9</v>
          </cell>
          <cell r="AF279">
            <v>1.3</v>
          </cell>
          <cell r="AG279">
            <v>-0.5</v>
          </cell>
          <cell r="AH279">
            <v>-0.3</v>
          </cell>
          <cell r="AI279">
            <v>-0.9</v>
          </cell>
          <cell r="AJ279">
            <v>-0.5</v>
          </cell>
          <cell r="AK279">
            <v>0.6</v>
          </cell>
          <cell r="AL279">
            <v>1.7</v>
          </cell>
          <cell r="AM279">
            <v>2.8</v>
          </cell>
          <cell r="AN279">
            <v>3.2</v>
          </cell>
          <cell r="AO279">
            <v>3.2</v>
          </cell>
          <cell r="AP279">
            <v>3.7</v>
          </cell>
          <cell r="AQ279">
            <v>2.5</v>
          </cell>
          <cell r="AR279">
            <v>1.7</v>
          </cell>
          <cell r="AS279">
            <v>3.4</v>
          </cell>
          <cell r="AT279">
            <v>3.7</v>
          </cell>
          <cell r="AU279">
            <v>3.8</v>
          </cell>
          <cell r="AV279">
            <v>4.5</v>
          </cell>
          <cell r="AW279">
            <v>4</v>
          </cell>
          <cell r="AX279">
            <v>5</v>
          </cell>
          <cell r="AY279">
            <v>2.9</v>
          </cell>
          <cell r="AZ279">
            <v>4.4000000000000004</v>
          </cell>
          <cell r="BA279">
            <v>4.8</v>
          </cell>
          <cell r="BB279">
            <v>4.5999999999999996</v>
          </cell>
          <cell r="BC279">
            <v>5.6</v>
          </cell>
          <cell r="BD279">
            <v>7.3</v>
          </cell>
          <cell r="BE279">
            <v>5.2</v>
          </cell>
          <cell r="BF279">
            <v>4.4000000000000004</v>
          </cell>
          <cell r="BG279">
            <v>4.9000000000000004</v>
          </cell>
          <cell r="BH279">
            <v>6</v>
          </cell>
          <cell r="BI279">
            <v>6.4</v>
          </cell>
          <cell r="BJ279">
            <v>7.1</v>
          </cell>
          <cell r="BK279">
            <v>6.3</v>
          </cell>
          <cell r="BL279">
            <v>6.9</v>
          </cell>
          <cell r="BM279">
            <v>8.4</v>
          </cell>
          <cell r="BN279">
            <v>7.3</v>
          </cell>
          <cell r="BO279">
            <v>7.5</v>
          </cell>
          <cell r="BP279">
            <v>9</v>
          </cell>
          <cell r="BQ279">
            <v>10.1</v>
          </cell>
          <cell r="BR279">
            <v>9.3000000000000007</v>
          </cell>
          <cell r="BS279">
            <v>8.6999999999999993</v>
          </cell>
          <cell r="BT279">
            <v>10.4</v>
          </cell>
          <cell r="BU279">
            <v>11.7</v>
          </cell>
          <cell r="BV279">
            <v>7.2</v>
          </cell>
          <cell r="BW279">
            <v>8.6</v>
          </cell>
          <cell r="BX279">
            <v>8.3000000000000007</v>
          </cell>
          <cell r="BY279">
            <v>9.9</v>
          </cell>
          <cell r="BZ279">
            <v>10</v>
          </cell>
          <cell r="CA279">
            <v>5.5</v>
          </cell>
          <cell r="CB279">
            <v>-1.7</v>
          </cell>
          <cell r="CC279">
            <v>-0.2</v>
          </cell>
          <cell r="CD279">
            <v>0.2</v>
          </cell>
          <cell r="CE279">
            <v>-1.3</v>
          </cell>
          <cell r="CF279">
            <v>-0.1</v>
          </cell>
          <cell r="CG279">
            <v>1.2</v>
          </cell>
          <cell r="CH279">
            <v>1.8</v>
          </cell>
          <cell r="CI279">
            <v>-0.2</v>
          </cell>
          <cell r="CJ279">
            <v>0.3</v>
          </cell>
          <cell r="CK279">
            <v>-2.1</v>
          </cell>
          <cell r="CL279">
            <v>-2</v>
          </cell>
          <cell r="CM279">
            <v>-2.7</v>
          </cell>
          <cell r="CN279">
            <v>-4</v>
          </cell>
          <cell r="CO279">
            <v>-3.1</v>
          </cell>
          <cell r="CP279">
            <v>-2.9</v>
          </cell>
          <cell r="CQ279">
            <v>-2.2999999999999998</v>
          </cell>
          <cell r="CR279">
            <v>-1.3</v>
          </cell>
          <cell r="CS279">
            <v>-0.4</v>
          </cell>
          <cell r="CT279">
            <v>-1</v>
          </cell>
          <cell r="CU279">
            <v>0.1</v>
          </cell>
          <cell r="CV279">
            <v>1</v>
          </cell>
          <cell r="CW279">
            <v>2</v>
          </cell>
          <cell r="CX279">
            <v>-3.9</v>
          </cell>
          <cell r="CY279">
            <v>-3.3</v>
          </cell>
          <cell r="CZ279">
            <v>-6.2</v>
          </cell>
          <cell r="DA279">
            <v>-4.3</v>
          </cell>
          <cell r="DB279">
            <v>-3.6</v>
          </cell>
          <cell r="DC279">
            <v>-2.6</v>
          </cell>
          <cell r="DD279">
            <v>-1.5</v>
          </cell>
          <cell r="DE279">
            <v>-0.1</v>
          </cell>
          <cell r="DF279">
            <v>-0.5</v>
          </cell>
          <cell r="DG279">
            <v>1.7</v>
          </cell>
          <cell r="DH279">
            <v>4.3</v>
          </cell>
          <cell r="DI279">
            <v>3.4</v>
          </cell>
          <cell r="DJ279">
            <v>-3.9</v>
          </cell>
          <cell r="DK279">
            <v>-2.2999999999999998</v>
          </cell>
          <cell r="DL279">
            <v>-4.5999999999999996</v>
          </cell>
          <cell r="DM279">
            <v>-3.1</v>
          </cell>
          <cell r="DN279">
            <v>-2.6</v>
          </cell>
          <cell r="DO279">
            <v>-2.2999999999999998</v>
          </cell>
          <cell r="DP279">
            <v>-1.2</v>
          </cell>
          <cell r="DQ279">
            <v>0.1</v>
          </cell>
          <cell r="DR279">
            <v>-0.2</v>
          </cell>
          <cell r="DS279">
            <v>2.5</v>
          </cell>
          <cell r="DT279">
            <v>3</v>
          </cell>
          <cell r="DU279">
            <v>3</v>
          </cell>
          <cell r="DV279">
            <v>1.2</v>
          </cell>
          <cell r="DW279">
            <v>0.2</v>
          </cell>
          <cell r="EK279" t="str">
            <v>3 yr Avg (2020 to 2022 8+4F)</v>
          </cell>
          <cell r="EL279" t="str">
            <v>A_2320028</v>
          </cell>
          <cell r="EM279">
            <v>-4640</v>
          </cell>
          <cell r="EN279">
            <v>-3120</v>
          </cell>
          <cell r="EO279">
            <v>-2630</v>
          </cell>
          <cell r="EP279">
            <v>-2250</v>
          </cell>
          <cell r="EQ279">
            <v>-1160.0000000000002</v>
          </cell>
          <cell r="ER279">
            <v>69.999999999999986</v>
          </cell>
          <cell r="ES279">
            <v>-190</v>
          </cell>
          <cell r="ET279">
            <v>840.00000000000011</v>
          </cell>
          <cell r="EU279">
            <v>2510.0000000000005</v>
          </cell>
          <cell r="EV279">
            <v>1880.0000000000002</v>
          </cell>
          <cell r="EW279">
            <v>-3520.0000000000005</v>
          </cell>
          <cell r="EX279">
            <v>-2679.9999999999995</v>
          </cell>
        </row>
        <row r="280">
          <cell r="A280" t="str">
            <v>Accounts Payable</v>
          </cell>
          <cell r="B280" t="str">
            <v>Accounts Payable - External</v>
          </cell>
          <cell r="C280" t="str">
            <v>Accounts Payable</v>
          </cell>
          <cell r="D280" t="str">
            <v>2320029</v>
          </cell>
          <cell r="E280" t="str">
            <v>A_2320029</v>
          </cell>
          <cell r="F280" t="str">
            <v>AP FSA - Parking/Transit</v>
          </cell>
          <cell r="G280">
            <v>2.4943</v>
          </cell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0.7</v>
          </cell>
          <cell r="U280">
            <v>0.7</v>
          </cell>
          <cell r="V280">
            <v>0.6</v>
          </cell>
          <cell r="W280">
            <v>0.4</v>
          </cell>
          <cell r="X280">
            <v>0.3</v>
          </cell>
          <cell r="Y280">
            <v>0.2</v>
          </cell>
          <cell r="Z280">
            <v>0.1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0.1</v>
          </cell>
          <cell r="AO280">
            <v>0.1</v>
          </cell>
          <cell r="AP280">
            <v>0.1</v>
          </cell>
          <cell r="AQ280">
            <v>0.1</v>
          </cell>
          <cell r="AR280">
            <v>0.1</v>
          </cell>
          <cell r="AS280">
            <v>0.1</v>
          </cell>
          <cell r="AT280">
            <v>0.1</v>
          </cell>
          <cell r="AU280">
            <v>0.1</v>
          </cell>
          <cell r="AV280">
            <v>0.1</v>
          </cell>
          <cell r="AW280">
            <v>0.1</v>
          </cell>
          <cell r="AX280">
            <v>-0.1</v>
          </cell>
          <cell r="AY280">
            <v>-0.2</v>
          </cell>
          <cell r="AZ280">
            <v>-0.2</v>
          </cell>
          <cell r="BA280">
            <v>1.3</v>
          </cell>
          <cell r="BB280">
            <v>0</v>
          </cell>
          <cell r="BC280">
            <v>-1.5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0.1</v>
          </cell>
          <cell r="BI280">
            <v>0.1</v>
          </cell>
          <cell r="BJ280">
            <v>1.4</v>
          </cell>
          <cell r="BK280">
            <v>0.4</v>
          </cell>
          <cell r="BL280">
            <v>0.5</v>
          </cell>
          <cell r="BM280">
            <v>2</v>
          </cell>
          <cell r="BN280">
            <v>0.6</v>
          </cell>
          <cell r="BO280">
            <v>0.6</v>
          </cell>
          <cell r="BP280">
            <v>1.8</v>
          </cell>
          <cell r="BQ280">
            <v>2.7</v>
          </cell>
          <cell r="BR280">
            <v>3.5</v>
          </cell>
          <cell r="BS280">
            <v>3.8</v>
          </cell>
          <cell r="BT280">
            <v>4.3</v>
          </cell>
          <cell r="BU280">
            <v>4.0999999999999996</v>
          </cell>
          <cell r="BV280">
            <v>4.0999999999999996</v>
          </cell>
          <cell r="BW280">
            <v>3</v>
          </cell>
          <cell r="BX280">
            <v>3.3</v>
          </cell>
          <cell r="BY280">
            <v>3.6</v>
          </cell>
          <cell r="BZ280">
            <v>3.1</v>
          </cell>
          <cell r="CA280">
            <v>3.2</v>
          </cell>
          <cell r="CB280">
            <v>2</v>
          </cell>
          <cell r="CC280">
            <v>2.9</v>
          </cell>
          <cell r="CD280">
            <v>3</v>
          </cell>
          <cell r="CE280">
            <v>2.8</v>
          </cell>
          <cell r="CF280">
            <v>2.8</v>
          </cell>
          <cell r="CG280">
            <v>3.3</v>
          </cell>
          <cell r="CH280">
            <v>2.2999999999999998</v>
          </cell>
          <cell r="CI280">
            <v>2.4</v>
          </cell>
          <cell r="CJ280">
            <v>3.2</v>
          </cell>
          <cell r="CK280">
            <v>2.8</v>
          </cell>
          <cell r="CL280">
            <v>3</v>
          </cell>
          <cell r="CM280">
            <v>2.6</v>
          </cell>
          <cell r="CN280">
            <v>2.6</v>
          </cell>
          <cell r="CO280">
            <v>2.9</v>
          </cell>
          <cell r="CP280">
            <v>0.3</v>
          </cell>
          <cell r="CQ280">
            <v>3</v>
          </cell>
          <cell r="CR280">
            <v>3.6</v>
          </cell>
          <cell r="CS280">
            <v>4.0999999999999996</v>
          </cell>
          <cell r="CT280">
            <v>2.9</v>
          </cell>
          <cell r="CU280">
            <v>3.4</v>
          </cell>
          <cell r="CV280">
            <v>4.0999999999999996</v>
          </cell>
          <cell r="CW280">
            <v>4</v>
          </cell>
          <cell r="CX280">
            <v>3.6</v>
          </cell>
          <cell r="CY280">
            <v>3.3</v>
          </cell>
          <cell r="CZ280">
            <v>4.2</v>
          </cell>
          <cell r="DA280">
            <v>5.3</v>
          </cell>
          <cell r="DB280">
            <v>5.6</v>
          </cell>
          <cell r="DC280">
            <v>5.0999999999999996</v>
          </cell>
          <cell r="DD280">
            <v>5.2</v>
          </cell>
          <cell r="DE280">
            <v>5.7</v>
          </cell>
          <cell r="DF280">
            <v>5.0999999999999996</v>
          </cell>
          <cell r="DG280">
            <v>5.3</v>
          </cell>
          <cell r="DH280">
            <v>6.1</v>
          </cell>
          <cell r="DI280">
            <v>5.9</v>
          </cell>
          <cell r="DJ280">
            <v>6.4</v>
          </cell>
          <cell r="DK280">
            <v>5.7</v>
          </cell>
          <cell r="DL280">
            <v>3.3</v>
          </cell>
          <cell r="DM280">
            <v>4.0999999999999996</v>
          </cell>
          <cell r="DN280">
            <v>3.5</v>
          </cell>
          <cell r="DO280">
            <v>4</v>
          </cell>
          <cell r="DP280">
            <v>4.2</v>
          </cell>
          <cell r="DQ280">
            <v>4.7</v>
          </cell>
          <cell r="DR280">
            <v>3.9</v>
          </cell>
          <cell r="DS280">
            <v>2.6</v>
          </cell>
          <cell r="DT280">
            <v>3.1</v>
          </cell>
          <cell r="DU280">
            <v>3.2</v>
          </cell>
          <cell r="DV280">
            <v>2.9</v>
          </cell>
          <cell r="DW280">
            <v>2.6</v>
          </cell>
          <cell r="EK280" t="str">
            <v>3 yr Avg (2020 to 2022 8+4F)</v>
          </cell>
          <cell r="EL280" t="str">
            <v>A_2320029</v>
          </cell>
          <cell r="EM280">
            <v>3280</v>
          </cell>
          <cell r="EN280">
            <v>4100</v>
          </cell>
          <cell r="EO280">
            <v>3489.9999999999995</v>
          </cell>
          <cell r="EP280">
            <v>4010</v>
          </cell>
          <cell r="EQ280">
            <v>4240</v>
          </cell>
          <cell r="ER280">
            <v>4740</v>
          </cell>
          <cell r="ES280">
            <v>3880</v>
          </cell>
          <cell r="ET280">
            <v>4150</v>
          </cell>
          <cell r="EU280">
            <v>4920</v>
          </cell>
          <cell r="EV280">
            <v>4710</v>
          </cell>
          <cell r="EW280">
            <v>4880</v>
          </cell>
          <cell r="EX280">
            <v>4359.9999999999991</v>
          </cell>
        </row>
        <row r="281">
          <cell r="A281" t="str">
            <v>Accounts Payable</v>
          </cell>
          <cell r="B281" t="str">
            <v>Accounts Payable - External</v>
          </cell>
          <cell r="C281" t="str">
            <v>Accounts Payable</v>
          </cell>
          <cell r="D281" t="str">
            <v>2320030</v>
          </cell>
          <cell r="E281" t="str">
            <v>A_2320030</v>
          </cell>
          <cell r="F281" t="str">
            <v>AP American Gas Index Fund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0.2</v>
          </cell>
          <cell r="L281">
            <v>0</v>
          </cell>
          <cell r="M281">
            <v>0</v>
          </cell>
          <cell r="N281">
            <v>0.1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0.1</v>
          </cell>
          <cell r="U281">
            <v>0.1</v>
          </cell>
          <cell r="V281">
            <v>0</v>
          </cell>
          <cell r="W281">
            <v>0</v>
          </cell>
          <cell r="X281">
            <v>0.1</v>
          </cell>
          <cell r="Y281">
            <v>0</v>
          </cell>
          <cell r="Z281">
            <v>0</v>
          </cell>
          <cell r="AA281">
            <v>0</v>
          </cell>
          <cell r="AB281">
            <v>0.1</v>
          </cell>
          <cell r="AC281">
            <v>0</v>
          </cell>
          <cell r="AD281">
            <v>0</v>
          </cell>
          <cell r="AE281">
            <v>0</v>
          </cell>
          <cell r="AF281">
            <v>0.1</v>
          </cell>
          <cell r="AG281">
            <v>0.1</v>
          </cell>
          <cell r="AH281">
            <v>0.1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0.1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0.1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-0.9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-0.2</v>
          </cell>
          <cell r="EK281" t="str">
            <v>3 yr Avg (2020 to 2022 8+4F)</v>
          </cell>
          <cell r="EL281" t="str">
            <v>A_2320030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</row>
        <row r="282">
          <cell r="A282" t="str">
            <v>Accounts Payable</v>
          </cell>
          <cell r="B282" t="str">
            <v>Accounts Payable - External</v>
          </cell>
          <cell r="C282" t="str">
            <v>Accounts Payable</v>
          </cell>
          <cell r="D282" t="str">
            <v>2320031</v>
          </cell>
          <cell r="E282" t="str">
            <v>A_2320031</v>
          </cell>
          <cell r="F282" t="str">
            <v>AP Fuel Accrual</v>
          </cell>
          <cell r="G282">
            <v>10299.25901</v>
          </cell>
          <cell r="H282">
            <v>18120.7</v>
          </cell>
          <cell r="I282">
            <v>12008.3</v>
          </cell>
          <cell r="J282">
            <v>12588.8</v>
          </cell>
          <cell r="K282">
            <v>12205.8</v>
          </cell>
          <cell r="L282">
            <v>9095.2000000000007</v>
          </cell>
          <cell r="M282">
            <v>5691.6</v>
          </cell>
          <cell r="N282">
            <v>7021.2</v>
          </cell>
          <cell r="O282">
            <v>8849.4</v>
          </cell>
          <cell r="P282">
            <v>6576.5</v>
          </cell>
          <cell r="Q282">
            <v>10153.299999999999</v>
          </cell>
          <cell r="R282">
            <v>14812.7</v>
          </cell>
          <cell r="S282">
            <v>13311.4</v>
          </cell>
          <cell r="T282">
            <v>13968.1</v>
          </cell>
          <cell r="U282">
            <v>13946.6</v>
          </cell>
          <cell r="V282">
            <v>10634.2</v>
          </cell>
          <cell r="W282">
            <v>12478.8</v>
          </cell>
          <cell r="X282">
            <v>7517</v>
          </cell>
          <cell r="Y282">
            <v>7673.8</v>
          </cell>
          <cell r="Z282">
            <v>6937.7</v>
          </cell>
          <cell r="AA282">
            <v>10398.299999999999</v>
          </cell>
          <cell r="AB282">
            <v>9009.1</v>
          </cell>
          <cell r="AC282">
            <v>12160.2</v>
          </cell>
          <cell r="AD282">
            <v>14761.7</v>
          </cell>
          <cell r="AE282">
            <v>9516.6</v>
          </cell>
          <cell r="AF282">
            <v>14513.9</v>
          </cell>
          <cell r="AG282">
            <v>12287.3</v>
          </cell>
          <cell r="AH282">
            <v>11134.7</v>
          </cell>
          <cell r="AI282">
            <v>12469.3</v>
          </cell>
          <cell r="AJ282">
            <v>8070.1</v>
          </cell>
          <cell r="AK282">
            <v>8045.7</v>
          </cell>
          <cell r="AL282">
            <v>12186.6</v>
          </cell>
          <cell r="AM282">
            <v>12088.5</v>
          </cell>
          <cell r="AN282">
            <v>11507.5</v>
          </cell>
          <cell r="AO282">
            <v>15541.4</v>
          </cell>
          <cell r="AP282">
            <v>11270.9</v>
          </cell>
          <cell r="AQ282">
            <v>12029.4</v>
          </cell>
          <cell r="AR282">
            <v>13529.2</v>
          </cell>
          <cell r="AS282">
            <v>9138.6</v>
          </cell>
          <cell r="AT282">
            <v>11182.8</v>
          </cell>
          <cell r="AU282">
            <v>13256.6</v>
          </cell>
          <cell r="AV282">
            <v>10597</v>
          </cell>
          <cell r="AW282">
            <v>9018.5</v>
          </cell>
          <cell r="AX282">
            <v>11128.6</v>
          </cell>
          <cell r="AY282">
            <v>15996.1</v>
          </cell>
          <cell r="AZ282">
            <v>14274.9</v>
          </cell>
          <cell r="BA282">
            <v>12657.7</v>
          </cell>
          <cell r="BB282">
            <v>12859.3</v>
          </cell>
          <cell r="BC282">
            <v>15311.4</v>
          </cell>
          <cell r="BD282">
            <v>21963.4</v>
          </cell>
          <cell r="BE282">
            <v>9098.1</v>
          </cell>
          <cell r="BF282">
            <v>10449.6</v>
          </cell>
          <cell r="BG282">
            <v>9088.1</v>
          </cell>
          <cell r="BH282">
            <v>10095</v>
          </cell>
          <cell r="BI282">
            <v>11914.6</v>
          </cell>
          <cell r="BJ282">
            <v>12191.6</v>
          </cell>
          <cell r="BK282">
            <v>9526.2999999999993</v>
          </cell>
          <cell r="BL282">
            <v>10562.7</v>
          </cell>
          <cell r="BM282">
            <v>17341.5</v>
          </cell>
          <cell r="BN282">
            <v>19216.5</v>
          </cell>
          <cell r="BO282">
            <v>19057.5</v>
          </cell>
          <cell r="BP282">
            <v>15322.9</v>
          </cell>
          <cell r="BQ282">
            <v>9550.7000000000007</v>
          </cell>
          <cell r="BR282">
            <v>12500.6</v>
          </cell>
          <cell r="BS282">
            <v>10689.5</v>
          </cell>
          <cell r="BT282">
            <v>10765.3</v>
          </cell>
          <cell r="BU282">
            <v>6914.6</v>
          </cell>
          <cell r="BV282">
            <v>8099.3</v>
          </cell>
          <cell r="BW282">
            <v>9528.9</v>
          </cell>
          <cell r="BX282">
            <v>11819.4</v>
          </cell>
          <cell r="BY282">
            <v>13081.3</v>
          </cell>
          <cell r="BZ282">
            <v>13543.4</v>
          </cell>
          <cell r="CA282">
            <v>13595.6</v>
          </cell>
          <cell r="CB282">
            <v>13204.2</v>
          </cell>
          <cell r="CC282">
            <v>10502.7</v>
          </cell>
          <cell r="CD282">
            <v>10148.200000000001</v>
          </cell>
          <cell r="CE282">
            <v>6823.9</v>
          </cell>
          <cell r="CF282">
            <v>7437.7</v>
          </cell>
          <cell r="CG282">
            <v>8400.2000000000007</v>
          </cell>
          <cell r="CH282">
            <v>8551.5</v>
          </cell>
          <cell r="CI282">
            <v>8062.3</v>
          </cell>
          <cell r="CJ282">
            <v>8597.9</v>
          </cell>
          <cell r="CK282">
            <v>10128.4</v>
          </cell>
          <cell r="CL282">
            <v>12370.6</v>
          </cell>
          <cell r="CM282">
            <v>14934.2</v>
          </cell>
          <cell r="CN282">
            <v>12835.1</v>
          </cell>
          <cell r="CO282">
            <v>12966.8</v>
          </cell>
          <cell r="CP282">
            <v>10858.8</v>
          </cell>
          <cell r="CQ282">
            <v>8567.5</v>
          </cell>
          <cell r="CR282">
            <v>6807.7</v>
          </cell>
          <cell r="CS282">
            <v>7766.3</v>
          </cell>
          <cell r="CT282">
            <v>9223.6</v>
          </cell>
          <cell r="CU282">
            <v>9107.4</v>
          </cell>
          <cell r="CV282">
            <v>7775.9</v>
          </cell>
          <cell r="CW282">
            <v>15039.1</v>
          </cell>
          <cell r="CX282">
            <v>17715.8</v>
          </cell>
          <cell r="CY282">
            <v>14188.9</v>
          </cell>
          <cell r="CZ282">
            <v>20294.8</v>
          </cell>
          <cell r="DA282">
            <v>15901.2</v>
          </cell>
          <cell r="DB282">
            <v>15507.3</v>
          </cell>
          <cell r="DC282">
            <v>15561.4</v>
          </cell>
          <cell r="DD282">
            <v>21332.3</v>
          </cell>
          <cell r="DE282">
            <v>18775.7</v>
          </cell>
          <cell r="DF282">
            <v>19377.599999999999</v>
          </cell>
          <cell r="DG282">
            <v>18573.400000000001</v>
          </cell>
          <cell r="DH282">
            <v>21927.9</v>
          </cell>
          <cell r="DI282">
            <v>21428.2</v>
          </cell>
          <cell r="DJ282">
            <v>21739</v>
          </cell>
          <cell r="DK282">
            <v>20518.7</v>
          </cell>
          <cell r="DL282">
            <v>16638.8</v>
          </cell>
          <cell r="DM282">
            <v>13941.2</v>
          </cell>
          <cell r="DN282">
            <v>13040.9</v>
          </cell>
          <cell r="DO282">
            <v>11715.7</v>
          </cell>
          <cell r="DP282">
            <v>14196</v>
          </cell>
          <cell r="DQ282">
            <v>13397.8</v>
          </cell>
          <cell r="DR282">
            <v>14166.2</v>
          </cell>
          <cell r="DS282">
            <v>9158.4</v>
          </cell>
          <cell r="DT282">
            <v>9466</v>
          </cell>
          <cell r="DU282">
            <v>13008</v>
          </cell>
          <cell r="DV282">
            <v>14876.2</v>
          </cell>
          <cell r="DW282">
            <v>14814.3</v>
          </cell>
          <cell r="EK282" t="str">
            <v>3 yr Avg (2020 to 2022 8+4F)</v>
          </cell>
          <cell r="EL282" t="str">
            <v>A_2320031</v>
          </cell>
          <cell r="EM282">
            <v>16638770</v>
          </cell>
          <cell r="EN282">
            <v>13941179.999999998</v>
          </cell>
          <cell r="EO282">
            <v>13040930</v>
          </cell>
          <cell r="EP282">
            <v>11715730</v>
          </cell>
          <cell r="EQ282">
            <v>14196000</v>
          </cell>
          <cell r="ER282">
            <v>13397779.999999998</v>
          </cell>
          <cell r="ES282">
            <v>14166179.999999998</v>
          </cell>
          <cell r="ET282">
            <v>13631380</v>
          </cell>
          <cell r="EU282">
            <v>15016300</v>
          </cell>
          <cell r="EV282">
            <v>17251510.000000004</v>
          </cell>
          <cell r="EW282">
            <v>18658359.999999996</v>
          </cell>
          <cell r="EX282">
            <v>17502860</v>
          </cell>
        </row>
        <row r="283">
          <cell r="A283" t="str">
            <v>Accounts Payable</v>
          </cell>
          <cell r="B283" t="str">
            <v>Accounts Payable - External</v>
          </cell>
          <cell r="C283" t="str">
            <v>Accounts Payable</v>
          </cell>
          <cell r="D283" t="str">
            <v>2320035</v>
          </cell>
          <cell r="E283" t="str">
            <v>A_2320035</v>
          </cell>
          <cell r="F283" t="str">
            <v>AP Interchange</v>
          </cell>
          <cell r="G283">
            <v>8.2000000000000003E-2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-15.9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EK283" t="str">
            <v>3 yr Avg (2020 to 2022 8+4F)</v>
          </cell>
          <cell r="EL283" t="str">
            <v>A_2320035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</row>
        <row r="284">
          <cell r="A284" t="str">
            <v>Accounts Payable</v>
          </cell>
          <cell r="B284" t="str">
            <v>Accounts Payable - External</v>
          </cell>
          <cell r="C284" t="str">
            <v>Accounts Payable</v>
          </cell>
          <cell r="D284" t="str">
            <v>2320036</v>
          </cell>
          <cell r="E284" t="str">
            <v>A_2320036</v>
          </cell>
          <cell r="F284" t="str">
            <v>AP Share Program</v>
          </cell>
          <cell r="G284">
            <v>8.2000000000000003E-2</v>
          </cell>
          <cell r="H284">
            <v>0.2</v>
          </cell>
          <cell r="I284">
            <v>0.1</v>
          </cell>
          <cell r="J284">
            <v>0.1</v>
          </cell>
          <cell r="K284">
            <v>0.1</v>
          </cell>
          <cell r="L284">
            <v>0.1</v>
          </cell>
          <cell r="M284">
            <v>0.1</v>
          </cell>
          <cell r="N284">
            <v>0.1</v>
          </cell>
          <cell r="O284">
            <v>0.1</v>
          </cell>
          <cell r="P284">
            <v>0.1</v>
          </cell>
          <cell r="Q284">
            <v>0.1</v>
          </cell>
          <cell r="R284">
            <v>0.1</v>
          </cell>
          <cell r="S284">
            <v>0.7</v>
          </cell>
          <cell r="T284">
            <v>0.1</v>
          </cell>
          <cell r="U284">
            <v>0</v>
          </cell>
          <cell r="V284">
            <v>0</v>
          </cell>
          <cell r="W284">
            <v>0.3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0.4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0.6</v>
          </cell>
          <cell r="AJ284">
            <v>0.6</v>
          </cell>
          <cell r="AK284">
            <v>0.6</v>
          </cell>
          <cell r="AL284">
            <v>0.6</v>
          </cell>
          <cell r="AM284">
            <v>0.6</v>
          </cell>
          <cell r="AN284">
            <v>0.6</v>
          </cell>
          <cell r="AO284">
            <v>0.6</v>
          </cell>
          <cell r="AP284">
            <v>0.6</v>
          </cell>
          <cell r="AQ284">
            <v>0.5</v>
          </cell>
          <cell r="AR284">
            <v>0.5</v>
          </cell>
          <cell r="AS284">
            <v>0.5</v>
          </cell>
          <cell r="AT284">
            <v>0.5</v>
          </cell>
          <cell r="AU284">
            <v>0.6</v>
          </cell>
          <cell r="AV284">
            <v>0.6</v>
          </cell>
          <cell r="AW284">
            <v>0.6</v>
          </cell>
          <cell r="AX284">
            <v>0.6</v>
          </cell>
          <cell r="AY284">
            <v>0.6</v>
          </cell>
          <cell r="AZ284">
            <v>0.6</v>
          </cell>
          <cell r="BA284">
            <v>0.6</v>
          </cell>
          <cell r="BB284">
            <v>0.6</v>
          </cell>
          <cell r="BC284">
            <v>0.6</v>
          </cell>
          <cell r="BD284">
            <v>0.6</v>
          </cell>
          <cell r="BE284">
            <v>0.6</v>
          </cell>
          <cell r="BF284">
            <v>0.6</v>
          </cell>
          <cell r="BG284">
            <v>0.6</v>
          </cell>
          <cell r="BH284">
            <v>0.6</v>
          </cell>
          <cell r="BI284">
            <v>0.1</v>
          </cell>
          <cell r="BJ284">
            <v>0.1</v>
          </cell>
          <cell r="BK284">
            <v>0.2</v>
          </cell>
          <cell r="BL284">
            <v>0.1</v>
          </cell>
          <cell r="BM284">
            <v>0.1</v>
          </cell>
          <cell r="BN284">
            <v>0.3</v>
          </cell>
          <cell r="BO284">
            <v>-0.1</v>
          </cell>
          <cell r="BP284">
            <v>0</v>
          </cell>
          <cell r="BQ284">
            <v>0.4</v>
          </cell>
          <cell r="BR284">
            <v>0.8</v>
          </cell>
          <cell r="BS284">
            <v>1.2</v>
          </cell>
          <cell r="BT284">
            <v>0.7</v>
          </cell>
          <cell r="BU284">
            <v>0.7</v>
          </cell>
          <cell r="BV284">
            <v>1.1000000000000001</v>
          </cell>
          <cell r="BW284">
            <v>1.5</v>
          </cell>
          <cell r="BX284">
            <v>1.1000000000000001</v>
          </cell>
          <cell r="BY284">
            <v>1.4</v>
          </cell>
          <cell r="BZ284">
            <v>1.1000000000000001</v>
          </cell>
          <cell r="CA284">
            <v>0.8</v>
          </cell>
          <cell r="CB284">
            <v>1.4</v>
          </cell>
          <cell r="CC284">
            <v>1.2</v>
          </cell>
          <cell r="CD284">
            <v>2</v>
          </cell>
          <cell r="CE284">
            <v>2.8</v>
          </cell>
          <cell r="CF284">
            <v>1.7</v>
          </cell>
          <cell r="CG284">
            <v>2.7</v>
          </cell>
          <cell r="CH284">
            <v>4.8</v>
          </cell>
          <cell r="CI284">
            <v>1.2</v>
          </cell>
          <cell r="CJ284">
            <v>2.4</v>
          </cell>
          <cell r="CK284">
            <v>2.6</v>
          </cell>
          <cell r="CL284">
            <v>2.8</v>
          </cell>
          <cell r="CM284">
            <v>2.6</v>
          </cell>
          <cell r="CN284">
            <v>1.7</v>
          </cell>
          <cell r="CO284">
            <v>3.5</v>
          </cell>
          <cell r="CP284">
            <v>3.7</v>
          </cell>
          <cell r="CQ284">
            <v>1.7</v>
          </cell>
          <cell r="CR284">
            <v>5</v>
          </cell>
          <cell r="CS284">
            <v>6.8</v>
          </cell>
          <cell r="CT284">
            <v>8.6</v>
          </cell>
          <cell r="CU284">
            <v>1.9</v>
          </cell>
          <cell r="CV284">
            <v>3.8</v>
          </cell>
          <cell r="CW284">
            <v>5.8</v>
          </cell>
          <cell r="CX284">
            <v>2</v>
          </cell>
          <cell r="CY284">
            <v>10</v>
          </cell>
          <cell r="CZ284">
            <v>12</v>
          </cell>
          <cell r="DA284">
            <v>14.2</v>
          </cell>
          <cell r="DB284">
            <v>16.8</v>
          </cell>
          <cell r="DC284">
            <v>18.899999999999999</v>
          </cell>
          <cell r="DD284">
            <v>21.1</v>
          </cell>
          <cell r="DE284">
            <v>2.1</v>
          </cell>
          <cell r="DF284">
            <v>4.3</v>
          </cell>
          <cell r="DG284">
            <v>6.5</v>
          </cell>
          <cell r="DH284">
            <v>8.8000000000000007</v>
          </cell>
          <cell r="DI284">
            <v>44.6</v>
          </cell>
          <cell r="DJ284">
            <v>-32.799999999999997</v>
          </cell>
          <cell r="DK284">
            <v>-32.5</v>
          </cell>
          <cell r="DL284">
            <v>6.8</v>
          </cell>
          <cell r="DM284">
            <v>8.4</v>
          </cell>
          <cell r="DN284">
            <v>9.9</v>
          </cell>
          <cell r="DO284">
            <v>10.5</v>
          </cell>
          <cell r="DP284">
            <v>12.4</v>
          </cell>
          <cell r="DQ284">
            <v>3.6</v>
          </cell>
          <cell r="DR284">
            <v>5.7</v>
          </cell>
          <cell r="DS284">
            <v>1.4</v>
          </cell>
          <cell r="DT284">
            <v>2.2999999999999998</v>
          </cell>
          <cell r="DU284">
            <v>3</v>
          </cell>
          <cell r="DV284">
            <v>1.9</v>
          </cell>
          <cell r="DW284">
            <v>4.0999999999999996</v>
          </cell>
          <cell r="EK284" t="str">
            <v>3 yr Avg (2020 to 2022 8+4F)</v>
          </cell>
          <cell r="EL284" t="str">
            <v>A_2320036</v>
          </cell>
          <cell r="EM284">
            <v>6790.0000000000009</v>
          </cell>
          <cell r="EN284">
            <v>8390</v>
          </cell>
          <cell r="EO284">
            <v>9910</v>
          </cell>
          <cell r="EP284">
            <v>10520</v>
          </cell>
          <cell r="EQ284">
            <v>12390</v>
          </cell>
          <cell r="ER284">
            <v>3630</v>
          </cell>
          <cell r="ES284">
            <v>5689.9999999999991</v>
          </cell>
          <cell r="ET284">
            <v>4060.0000000000005</v>
          </cell>
          <cell r="EU284">
            <v>6020.0000000000009</v>
          </cell>
          <cell r="EV284">
            <v>24560</v>
          </cell>
          <cell r="EW284">
            <v>-15240</v>
          </cell>
          <cell r="EX284">
            <v>-12730</v>
          </cell>
        </row>
        <row r="285">
          <cell r="A285" t="str">
            <v>Accounts Payable</v>
          </cell>
          <cell r="B285" t="str">
            <v>Accounts Payable - External</v>
          </cell>
          <cell r="C285" t="str">
            <v>Accounts Payable</v>
          </cell>
          <cell r="D285" t="str">
            <v>2320037</v>
          </cell>
          <cell r="E285" t="str">
            <v>A_2320037</v>
          </cell>
          <cell r="F285" t="str">
            <v>AP Vision Benefit Plan</v>
          </cell>
          <cell r="G285">
            <v>-2.1440000000000001E-2</v>
          </cell>
          <cell r="H285">
            <v>0</v>
          </cell>
          <cell r="I285">
            <v>-0.1</v>
          </cell>
          <cell r="J285">
            <v>-0.1</v>
          </cell>
          <cell r="K285">
            <v>-0.1</v>
          </cell>
          <cell r="L285">
            <v>-0.1</v>
          </cell>
          <cell r="M285">
            <v>-0.3</v>
          </cell>
          <cell r="N285">
            <v>-0.1</v>
          </cell>
          <cell r="O285">
            <v>-0.1</v>
          </cell>
          <cell r="P285">
            <v>-0.1</v>
          </cell>
          <cell r="Q285">
            <v>-0.1</v>
          </cell>
          <cell r="R285">
            <v>-0.3</v>
          </cell>
          <cell r="S285">
            <v>-0.2</v>
          </cell>
          <cell r="T285">
            <v>-0.3</v>
          </cell>
          <cell r="U285">
            <v>-0.2</v>
          </cell>
          <cell r="V285">
            <v>-0.3</v>
          </cell>
          <cell r="W285">
            <v>-0.3</v>
          </cell>
          <cell r="X285">
            <v>-0.4</v>
          </cell>
          <cell r="Y285">
            <v>-0.4</v>
          </cell>
          <cell r="Z285">
            <v>-0.5</v>
          </cell>
          <cell r="AA285">
            <v>-0.5</v>
          </cell>
          <cell r="AB285">
            <v>-0.7</v>
          </cell>
          <cell r="AC285">
            <v>1.5</v>
          </cell>
          <cell r="AD285">
            <v>-0.9</v>
          </cell>
          <cell r="AE285">
            <v>-1</v>
          </cell>
          <cell r="AF285">
            <v>-0.9</v>
          </cell>
          <cell r="AG285">
            <v>-1</v>
          </cell>
          <cell r="AH285">
            <v>-1.2</v>
          </cell>
          <cell r="AI285">
            <v>-1.3</v>
          </cell>
          <cell r="AJ285">
            <v>-1.6</v>
          </cell>
          <cell r="AK285">
            <v>-1.1000000000000001</v>
          </cell>
          <cell r="AL285">
            <v>1.7</v>
          </cell>
          <cell r="AM285">
            <v>-1.2</v>
          </cell>
          <cell r="AN285">
            <v>-1.2</v>
          </cell>
          <cell r="AO285">
            <v>-1.4</v>
          </cell>
          <cell r="AP285">
            <v>1.6</v>
          </cell>
          <cell r="AQ285">
            <v>-1.4</v>
          </cell>
          <cell r="AR285">
            <v>1.7</v>
          </cell>
          <cell r="AS285">
            <v>1.8</v>
          </cell>
          <cell r="AT285">
            <v>-1.5</v>
          </cell>
          <cell r="AU285">
            <v>-1.6</v>
          </cell>
          <cell r="AV285">
            <v>1.6</v>
          </cell>
          <cell r="AW285">
            <v>1.2</v>
          </cell>
          <cell r="AX285">
            <v>-2.4</v>
          </cell>
          <cell r="AY285">
            <v>1.4</v>
          </cell>
          <cell r="AZ285">
            <v>1.4</v>
          </cell>
          <cell r="BA285">
            <v>1.4</v>
          </cell>
          <cell r="BB285">
            <v>-2.1</v>
          </cell>
          <cell r="BC285">
            <v>1.3</v>
          </cell>
          <cell r="BD285">
            <v>1.3</v>
          </cell>
          <cell r="BE285">
            <v>5</v>
          </cell>
          <cell r="BF285">
            <v>1.6</v>
          </cell>
          <cell r="BG285">
            <v>-2</v>
          </cell>
          <cell r="BH285">
            <v>1.7</v>
          </cell>
          <cell r="BI285">
            <v>-2</v>
          </cell>
          <cell r="BJ285">
            <v>-2</v>
          </cell>
          <cell r="BK285">
            <v>-2</v>
          </cell>
          <cell r="BL285">
            <v>-2</v>
          </cell>
          <cell r="BM285">
            <v>-1.9</v>
          </cell>
          <cell r="BN285">
            <v>-2</v>
          </cell>
          <cell r="BO285">
            <v>-0.4</v>
          </cell>
          <cell r="BP285">
            <v>-0.5</v>
          </cell>
          <cell r="BQ285">
            <v>-0.5</v>
          </cell>
          <cell r="BR285">
            <v>0.3</v>
          </cell>
          <cell r="BS285">
            <v>0.3</v>
          </cell>
          <cell r="BT285">
            <v>0.1</v>
          </cell>
          <cell r="BU285">
            <v>0.3</v>
          </cell>
          <cell r="BV285">
            <v>-0.1</v>
          </cell>
          <cell r="BW285">
            <v>-0.2</v>
          </cell>
          <cell r="BX285">
            <v>-0.3</v>
          </cell>
          <cell r="BY285">
            <v>-0.4</v>
          </cell>
          <cell r="BZ285">
            <v>-0.4</v>
          </cell>
          <cell r="CA285">
            <v>0.1</v>
          </cell>
          <cell r="CB285">
            <v>-0.4</v>
          </cell>
          <cell r="CC285">
            <v>-0.3</v>
          </cell>
          <cell r="CD285">
            <v>0</v>
          </cell>
          <cell r="CE285">
            <v>-0.2</v>
          </cell>
          <cell r="CF285">
            <v>-0.4</v>
          </cell>
          <cell r="CG285">
            <v>0</v>
          </cell>
          <cell r="CH285">
            <v>-0.2</v>
          </cell>
          <cell r="CI285">
            <v>-0.5</v>
          </cell>
          <cell r="CJ285">
            <v>0.4</v>
          </cell>
          <cell r="CK285">
            <v>0.2</v>
          </cell>
          <cell r="CL285">
            <v>0</v>
          </cell>
          <cell r="CM285">
            <v>0</v>
          </cell>
          <cell r="CN285">
            <v>-0.3</v>
          </cell>
          <cell r="CO285">
            <v>4.4000000000000004</v>
          </cell>
          <cell r="CP285">
            <v>-0.6</v>
          </cell>
          <cell r="CQ285">
            <v>-0.5</v>
          </cell>
          <cell r="CR285">
            <v>-0.6</v>
          </cell>
          <cell r="CS285">
            <v>-1</v>
          </cell>
          <cell r="CT285">
            <v>-1</v>
          </cell>
          <cell r="CU285">
            <v>-1.4</v>
          </cell>
          <cell r="CV285">
            <v>-1.5</v>
          </cell>
          <cell r="CW285">
            <v>3.3</v>
          </cell>
          <cell r="CX285">
            <v>3.1</v>
          </cell>
          <cell r="CY285">
            <v>9.5</v>
          </cell>
          <cell r="CZ285">
            <v>9.6</v>
          </cell>
          <cell r="DA285">
            <v>9.6999999999999993</v>
          </cell>
          <cell r="DB285">
            <v>-0.9</v>
          </cell>
          <cell r="DC285">
            <v>-1.2</v>
          </cell>
          <cell r="DD285">
            <v>6.4</v>
          </cell>
          <cell r="DE285">
            <v>0.6</v>
          </cell>
          <cell r="DF285">
            <v>0.6</v>
          </cell>
          <cell r="DG285">
            <v>0.4</v>
          </cell>
          <cell r="DH285">
            <v>-0.1</v>
          </cell>
          <cell r="DI285">
            <v>-0.9</v>
          </cell>
          <cell r="DJ285">
            <v>-1.3</v>
          </cell>
          <cell r="DK285">
            <v>-0.6</v>
          </cell>
          <cell r="DL285">
            <v>4.5999999999999996</v>
          </cell>
          <cell r="DM285">
            <v>6.1</v>
          </cell>
          <cell r="DN285">
            <v>-0.6</v>
          </cell>
          <cell r="DO285">
            <v>-0.8</v>
          </cell>
          <cell r="DP285">
            <v>2.9</v>
          </cell>
          <cell r="DQ285">
            <v>0</v>
          </cell>
          <cell r="DR285">
            <v>0</v>
          </cell>
          <cell r="DS285">
            <v>-0.8</v>
          </cell>
          <cell r="DT285">
            <v>-0.5</v>
          </cell>
          <cell r="DU285">
            <v>0.8</v>
          </cell>
          <cell r="DV285">
            <v>0.6</v>
          </cell>
          <cell r="DW285">
            <v>2.9</v>
          </cell>
          <cell r="EK285" t="str">
            <v>3 yr Avg (2020 to 2022 8+4F)</v>
          </cell>
          <cell r="EL285" t="str">
            <v>A_2320037</v>
          </cell>
          <cell r="EM285">
            <v>4630</v>
          </cell>
          <cell r="EN285">
            <v>6110</v>
          </cell>
          <cell r="EO285">
            <v>-630</v>
          </cell>
          <cell r="EP285">
            <v>-790</v>
          </cell>
          <cell r="EQ285">
            <v>2940</v>
          </cell>
          <cell r="ER285">
            <v>0</v>
          </cell>
          <cell r="ES285">
            <v>-39.999999999999993</v>
          </cell>
          <cell r="ET285">
            <v>-319.99999999999994</v>
          </cell>
          <cell r="EU285">
            <v>-420.00000000000006</v>
          </cell>
          <cell r="EV285">
            <v>579.99999999999989</v>
          </cell>
          <cell r="EW285">
            <v>280.00000000000006</v>
          </cell>
          <cell r="EX285">
            <v>2550</v>
          </cell>
        </row>
        <row r="286">
          <cell r="A286" t="str">
            <v>Accounts Payable</v>
          </cell>
          <cell r="B286" t="str">
            <v>Accounts Payable - External</v>
          </cell>
          <cell r="C286" t="str">
            <v>Accounts Payable</v>
          </cell>
          <cell r="D286" t="str">
            <v>2320040</v>
          </cell>
          <cell r="E286" t="str">
            <v>A_2320040</v>
          </cell>
          <cell r="F286" t="str">
            <v>AP Miscellaneous Donations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1.4</v>
          </cell>
          <cell r="BZ286">
            <v>1.4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EK286" t="str">
            <v>2021 8&amp;4 Dec Balance</v>
          </cell>
        </row>
        <row r="287">
          <cell r="A287" t="str">
            <v>Accounts Payable</v>
          </cell>
          <cell r="B287" t="str">
            <v>Accounts Payable - External</v>
          </cell>
          <cell r="C287" t="str">
            <v>Accounts Payable</v>
          </cell>
          <cell r="D287" t="str">
            <v>2320047</v>
          </cell>
          <cell r="E287" t="str">
            <v>A_2320047</v>
          </cell>
          <cell r="F287" t="str">
            <v>AP Payroll -Dividend Clearing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7.5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7.4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6.8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6.8</v>
          </cell>
          <cell r="AE287">
            <v>0</v>
          </cell>
          <cell r="AF287">
            <v>0</v>
          </cell>
          <cell r="AG287">
            <v>7.4</v>
          </cell>
          <cell r="AH287">
            <v>0</v>
          </cell>
          <cell r="AI287">
            <v>0</v>
          </cell>
          <cell r="AJ287">
            <v>7.7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EK287" t="str">
            <v xml:space="preserve">Assume Zero </v>
          </cell>
          <cell r="EL287" t="str">
            <v>A_2320047</v>
          </cell>
        </row>
        <row r="288">
          <cell r="A288" t="str">
            <v>Accounts Payable</v>
          </cell>
          <cell r="B288" t="str">
            <v>Accounts Payable - External</v>
          </cell>
          <cell r="C288" t="str">
            <v>Accounts Payable</v>
          </cell>
          <cell r="D288" t="str">
            <v>2320999</v>
          </cell>
          <cell r="E288" t="str">
            <v>A_2320999</v>
          </cell>
          <cell r="F288" t="str">
            <v>AP Legacy Materials &amp; Supplies RNB</v>
          </cell>
          <cell r="G288">
            <v>-1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EK288" t="str">
            <v>3 yr Avg (2020 to 2022 8+4F)</v>
          </cell>
          <cell r="EL288" t="str">
            <v>A_2320999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</row>
        <row r="289">
          <cell r="D289" t="str">
            <v>232</v>
          </cell>
          <cell r="E289">
            <v>232</v>
          </cell>
          <cell r="G289">
            <v>25201.160020000003</v>
          </cell>
          <cell r="H289">
            <v>25863.200000000001</v>
          </cell>
          <cell r="I289">
            <v>21622.799999999996</v>
          </cell>
          <cell r="J289">
            <v>22638.499999999996</v>
          </cell>
          <cell r="K289">
            <v>21384.399999999998</v>
          </cell>
          <cell r="L289">
            <v>14261.7</v>
          </cell>
          <cell r="M289">
            <v>13605.800000000001</v>
          </cell>
          <cell r="N289">
            <v>14899.800000000001</v>
          </cell>
          <cell r="O289">
            <v>20484.699999999997</v>
          </cell>
          <cell r="P289">
            <v>17700.899999999998</v>
          </cell>
          <cell r="Q289">
            <v>17466.2</v>
          </cell>
          <cell r="R289">
            <v>27910</v>
          </cell>
          <cell r="S289">
            <v>26863.4</v>
          </cell>
          <cell r="T289">
            <v>26462.499999999996</v>
          </cell>
          <cell r="U289">
            <v>21964.6</v>
          </cell>
          <cell r="V289">
            <v>21097.300000000003</v>
          </cell>
          <cell r="W289">
            <v>21905.4</v>
          </cell>
          <cell r="X289">
            <v>15200</v>
          </cell>
          <cell r="Y289">
            <v>16287.500000000002</v>
          </cell>
          <cell r="Z289">
            <v>16902</v>
          </cell>
          <cell r="AA289">
            <v>20226</v>
          </cell>
          <cell r="AB289">
            <v>18045.599999999999</v>
          </cell>
          <cell r="AC289">
            <v>21118.200000000004</v>
          </cell>
          <cell r="AD289">
            <v>28066.899999999998</v>
          </cell>
          <cell r="AE289">
            <v>23441.399999999994</v>
          </cell>
          <cell r="AF289">
            <v>26628.899999999998</v>
          </cell>
          <cell r="AG289">
            <v>22923.3</v>
          </cell>
          <cell r="AH289">
            <v>18171.8</v>
          </cell>
          <cell r="AI289">
            <v>23869.3</v>
          </cell>
          <cell r="AJ289">
            <v>18392.3</v>
          </cell>
          <cell r="AK289">
            <v>24580.7</v>
          </cell>
          <cell r="AL289">
            <v>27253.900000000005</v>
          </cell>
          <cell r="AM289">
            <v>25793.499999999996</v>
          </cell>
          <cell r="AN289">
            <v>24787.499999999996</v>
          </cell>
          <cell r="AO289">
            <v>30907.199999999997</v>
          </cell>
          <cell r="AP289">
            <v>34044.19999999999</v>
          </cell>
          <cell r="AQ289">
            <v>30524</v>
          </cell>
          <cell r="AR289">
            <v>26403.800000000003</v>
          </cell>
          <cell r="AS289">
            <v>21001.599999999995</v>
          </cell>
          <cell r="AT289">
            <v>20283.7</v>
          </cell>
          <cell r="AU289">
            <v>23047.800000000003</v>
          </cell>
          <cell r="AV289">
            <v>21961.499999999996</v>
          </cell>
          <cell r="AW289">
            <v>19976.900000000001</v>
          </cell>
          <cell r="AX289">
            <v>24331.899999999994</v>
          </cell>
          <cell r="AY289">
            <v>30557.299999999996</v>
          </cell>
          <cell r="AZ289">
            <v>25155.399999999998</v>
          </cell>
          <cell r="BA289">
            <v>25134.5</v>
          </cell>
          <cell r="BB289">
            <v>34447.199999999997</v>
          </cell>
          <cell r="BC289">
            <v>35330</v>
          </cell>
          <cell r="BD289">
            <v>39755.9</v>
          </cell>
          <cell r="BE289">
            <v>25887.599999999999</v>
          </cell>
          <cell r="BF289">
            <v>24545.699999999997</v>
          </cell>
          <cell r="BG289">
            <v>24202.6</v>
          </cell>
          <cell r="BH289">
            <v>28857.899999999998</v>
          </cell>
          <cell r="BI289">
            <v>29617.1</v>
          </cell>
          <cell r="BJ289">
            <v>32345.800000000003</v>
          </cell>
          <cell r="BK289">
            <v>30435.400000000005</v>
          </cell>
          <cell r="BL289">
            <v>33641.299999999996</v>
          </cell>
          <cell r="BM289">
            <v>41415.899999999994</v>
          </cell>
          <cell r="BN289">
            <v>56649.3</v>
          </cell>
          <cell r="BO289">
            <v>47736.7</v>
          </cell>
          <cell r="BP289">
            <v>41646.1</v>
          </cell>
          <cell r="BQ289">
            <v>31572.7</v>
          </cell>
          <cell r="BR289">
            <v>38741.700000000004</v>
          </cell>
          <cell r="BS289">
            <v>34519.899999999994</v>
          </cell>
          <cell r="BT289">
            <v>37921.19999999999</v>
          </cell>
          <cell r="BU289">
            <v>34402.300000000003</v>
          </cell>
          <cell r="BV289">
            <v>33788.499999999993</v>
          </cell>
          <cell r="BW289">
            <v>37599.1</v>
          </cell>
          <cell r="BX289">
            <v>36186.499999999993</v>
          </cell>
          <cell r="BY289">
            <v>42101.3</v>
          </cell>
          <cell r="BZ289">
            <v>49142.299999999996</v>
          </cell>
          <cell r="CA289">
            <v>59685.4</v>
          </cell>
          <cell r="CB289">
            <v>59329.200000000012</v>
          </cell>
          <cell r="CC289">
            <v>50686.499999999985</v>
          </cell>
          <cell r="CD289">
            <v>49669.099999999991</v>
          </cell>
          <cell r="CE289">
            <v>54113.500000000015</v>
          </cell>
          <cell r="CF289">
            <v>51846.099999999991</v>
          </cell>
          <cell r="CG289">
            <v>45352.399999999994</v>
          </cell>
          <cell r="CH289">
            <v>46436.3</v>
          </cell>
          <cell r="CI289">
            <v>53169.100000000006</v>
          </cell>
          <cell r="CJ289">
            <v>59101.399999999994</v>
          </cell>
          <cell r="CK289">
            <v>67496.7</v>
          </cell>
          <cell r="CL289">
            <v>79186.900000000023</v>
          </cell>
          <cell r="CM289">
            <v>78167.500000000015</v>
          </cell>
          <cell r="CN289">
            <v>69529.299999999988</v>
          </cell>
          <cell r="CO289">
            <v>68737.2</v>
          </cell>
          <cell r="CP289">
            <v>64518.099999999984</v>
          </cell>
          <cell r="CQ289">
            <v>57554.3</v>
          </cell>
          <cell r="CR289">
            <v>46492.2</v>
          </cell>
          <cell r="CS289">
            <v>47739.400000000016</v>
          </cell>
          <cell r="CT289">
            <v>54187.500000000015</v>
          </cell>
          <cell r="CU289">
            <v>58983.400000000016</v>
          </cell>
          <cell r="CV289">
            <v>60757.099999999991</v>
          </cell>
          <cell r="CW289">
            <v>72548.800000000003</v>
          </cell>
          <cell r="CX289">
            <v>83539.300000000032</v>
          </cell>
          <cell r="CY289">
            <v>70733.700000000012</v>
          </cell>
          <cell r="CZ289">
            <v>70454.700000000012</v>
          </cell>
          <cell r="DA289">
            <v>63465.400000000009</v>
          </cell>
          <cell r="DB289">
            <v>52841.4</v>
          </cell>
          <cell r="DC289">
            <v>51517.200000000019</v>
          </cell>
          <cell r="DD289">
            <v>61906.600000000006</v>
          </cell>
          <cell r="DE289">
            <v>57909.399999999994</v>
          </cell>
          <cell r="DF289">
            <v>56961.599999999991</v>
          </cell>
          <cell r="DG289">
            <v>60461.200000000004</v>
          </cell>
          <cell r="DH289">
            <v>58245.200000000004</v>
          </cell>
          <cell r="DI289">
            <v>60554.500000000015</v>
          </cell>
          <cell r="DJ289">
            <v>78273.5</v>
          </cell>
          <cell r="DK289">
            <v>69856.599999999991</v>
          </cell>
          <cell r="DL289">
            <v>65609.60000000002</v>
          </cell>
          <cell r="DM289">
            <v>59412.700000000012</v>
          </cell>
          <cell r="DN289">
            <v>49220</v>
          </cell>
          <cell r="DO289">
            <v>48750.2</v>
          </cell>
          <cell r="DP289">
            <v>58920.1</v>
          </cell>
          <cell r="DQ289">
            <v>54636.899999999987</v>
          </cell>
          <cell r="DR289">
            <v>53769.7</v>
          </cell>
          <cell r="DS289">
            <v>58365.799999999996</v>
          </cell>
          <cell r="DT289">
            <v>58710.599999999984</v>
          </cell>
          <cell r="DU289">
            <v>59025.799999999988</v>
          </cell>
          <cell r="DV289">
            <v>58795.7</v>
          </cell>
          <cell r="DW289">
            <v>58982.099999999991</v>
          </cell>
          <cell r="EJ289" t="str">
            <v>.</v>
          </cell>
          <cell r="EM289">
            <v>61926383</v>
          </cell>
          <cell r="EN289">
            <v>57119366</v>
          </cell>
          <cell r="EO289">
            <v>54670165</v>
          </cell>
          <cell r="EP289">
            <v>52423597.999999993</v>
          </cell>
          <cell r="EQ289">
            <v>53558793</v>
          </cell>
          <cell r="ER289">
            <v>49216658</v>
          </cell>
          <cell r="ES289">
            <v>51285956</v>
          </cell>
          <cell r="ET289">
            <v>55570376</v>
          </cell>
          <cell r="EU289">
            <v>55765747</v>
          </cell>
          <cell r="EV289">
            <v>61395781</v>
          </cell>
          <cell r="EW289">
            <v>75131942</v>
          </cell>
          <cell r="EX289">
            <v>65285925.000000007</v>
          </cell>
        </row>
        <row r="290">
          <cell r="A290" t="str">
            <v>Accounts Payable Assoc. Companies</v>
          </cell>
          <cell r="B290" t="str">
            <v>InterCo Financing</v>
          </cell>
          <cell r="C290" t="str">
            <v>Notes Payable</v>
          </cell>
          <cell r="D290" t="str">
            <v>2330711</v>
          </cell>
          <cell r="E290" t="str">
            <v>A_2330711</v>
          </cell>
          <cell r="F290" t="str">
            <v>Notes Payable-Intercompany-Current (Posting)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800</v>
          </cell>
          <cell r="P290">
            <v>4700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600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1700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46059.9</v>
          </cell>
          <cell r="BC290">
            <v>52684.3</v>
          </cell>
          <cell r="BD290">
            <v>50045.7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26602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4181.1000000000004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36571.199999999997</v>
          </cell>
          <cell r="DG290">
            <v>24775.7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EK290" t="str">
            <v>Model</v>
          </cell>
          <cell r="EL290" t="str">
            <v>A_2330711</v>
          </cell>
          <cell r="EN290">
            <v>62226383</v>
          </cell>
          <cell r="EO290">
            <v>62526383</v>
          </cell>
          <cell r="EP290">
            <v>62826383</v>
          </cell>
          <cell r="EQ290">
            <v>63126383</v>
          </cell>
          <cell r="ER290">
            <v>63426383</v>
          </cell>
          <cell r="ES290">
            <v>63726383</v>
          </cell>
          <cell r="ET290">
            <v>64026383</v>
          </cell>
          <cell r="EU290">
            <v>64326383</v>
          </cell>
          <cell r="EV290">
            <v>64626383</v>
          </cell>
          <cell r="EW290">
            <v>64926383</v>
          </cell>
        </row>
        <row r="291">
          <cell r="A291" t="str">
            <v>Accounts Payable Assoc. Companies</v>
          </cell>
          <cell r="B291" t="str">
            <v>InterCo Financing</v>
          </cell>
          <cell r="C291" t="str">
            <v>Notes Payable</v>
          </cell>
          <cell r="D291" t="str">
            <v>2330713</v>
          </cell>
          <cell r="E291" t="str">
            <v>A_2330713</v>
          </cell>
          <cell r="F291" t="str">
            <v>Notes Payable - Intercompany - Shared Debt - Current</v>
          </cell>
          <cell r="DL291">
            <v>769710.7</v>
          </cell>
          <cell r="DM291">
            <v>820493.4</v>
          </cell>
          <cell r="DN291">
            <v>840246.9</v>
          </cell>
          <cell r="DO291">
            <v>863964.9</v>
          </cell>
          <cell r="DP291">
            <v>871256.1</v>
          </cell>
          <cell r="DQ291">
            <v>891388.2</v>
          </cell>
          <cell r="DR291">
            <v>912423.4</v>
          </cell>
          <cell r="DS291">
            <v>911286.6</v>
          </cell>
          <cell r="DT291">
            <v>923003.3</v>
          </cell>
          <cell r="DU291">
            <v>0</v>
          </cell>
          <cell r="DV291">
            <v>0</v>
          </cell>
          <cell r="DW291">
            <v>0</v>
          </cell>
        </row>
        <row r="292">
          <cell r="D292" t="str">
            <v>233</v>
          </cell>
          <cell r="E292">
            <v>233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800</v>
          </cell>
          <cell r="P292">
            <v>4700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600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1700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46059.9</v>
          </cell>
          <cell r="BC292">
            <v>52684.3</v>
          </cell>
          <cell r="BD292">
            <v>50045.7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26602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4181.1000000000004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36571.199999999997</v>
          </cell>
          <cell r="DG292">
            <v>24775.7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769710.7</v>
          </cell>
          <cell r="DM292">
            <v>820493.4</v>
          </cell>
          <cell r="DN292">
            <v>840246.9</v>
          </cell>
          <cell r="DO292">
            <v>863964.9</v>
          </cell>
          <cell r="DP292">
            <v>871256.1</v>
          </cell>
          <cell r="DQ292">
            <v>891388.2</v>
          </cell>
          <cell r="DR292">
            <v>912423.4</v>
          </cell>
          <cell r="DS292">
            <v>911286.6</v>
          </cell>
          <cell r="DT292">
            <v>923003.3</v>
          </cell>
          <cell r="DU292">
            <v>0</v>
          </cell>
          <cell r="DV292">
            <v>0</v>
          </cell>
          <cell r="DW292">
            <v>0</v>
          </cell>
          <cell r="EJ292" t="str">
            <v>.</v>
          </cell>
          <cell r="EN292">
            <v>5107017</v>
          </cell>
          <cell r="EO292">
            <v>7856218</v>
          </cell>
          <cell r="EP292">
            <v>10402785.000000007</v>
          </cell>
          <cell r="EQ292">
            <v>9567590</v>
          </cell>
          <cell r="ER292">
            <v>14209725</v>
          </cell>
          <cell r="ES292">
            <v>12440427</v>
          </cell>
          <cell r="ET292">
            <v>8456007</v>
          </cell>
          <cell r="EU292">
            <v>8560636</v>
          </cell>
          <cell r="EV292">
            <v>3230602</v>
          </cell>
          <cell r="EW292">
            <v>-10205559</v>
          </cell>
        </row>
        <row r="293">
          <cell r="A293" t="str">
            <v>Accts. Payable Assoc. Co. Services</v>
          </cell>
          <cell r="B293" t="str">
            <v>Accounts Payable - Affiliates</v>
          </cell>
          <cell r="C293" t="str">
            <v>Accts. Pay. Assoc. Co. Services 234</v>
          </cell>
          <cell r="D293" t="str">
            <v>2340700</v>
          </cell>
          <cell r="E293" t="str">
            <v>A_2340700</v>
          </cell>
          <cell r="F293" t="str">
            <v>Trade Payable-Intercompany (RECON)</v>
          </cell>
          <cell r="G293">
            <v>7103.1540500000001</v>
          </cell>
          <cell r="H293">
            <v>5605</v>
          </cell>
          <cell r="I293">
            <v>5479.9</v>
          </cell>
          <cell r="J293">
            <v>5898.3</v>
          </cell>
          <cell r="K293">
            <v>5243.4</v>
          </cell>
          <cell r="L293">
            <v>19900.900000000001</v>
          </cell>
          <cell r="M293">
            <v>13833.7</v>
          </cell>
          <cell r="N293">
            <v>6033.2</v>
          </cell>
          <cell r="O293">
            <v>5013.3999999999996</v>
          </cell>
          <cell r="P293">
            <v>4738.6000000000004</v>
          </cell>
          <cell r="Q293">
            <v>4804.3999999999996</v>
          </cell>
          <cell r="R293">
            <v>9784.2000000000007</v>
          </cell>
          <cell r="S293">
            <v>6931.7</v>
          </cell>
          <cell r="T293">
            <v>5711.2</v>
          </cell>
          <cell r="U293">
            <v>5494.2</v>
          </cell>
          <cell r="V293">
            <v>6137.5</v>
          </cell>
          <cell r="W293">
            <v>5622.7</v>
          </cell>
          <cell r="X293">
            <v>10296.9</v>
          </cell>
          <cell r="Y293">
            <v>6000.8</v>
          </cell>
          <cell r="Z293">
            <v>6669.1</v>
          </cell>
          <cell r="AA293">
            <v>4907.5</v>
          </cell>
          <cell r="AB293">
            <v>5103.2</v>
          </cell>
          <cell r="AC293">
            <v>4953.3999999999996</v>
          </cell>
          <cell r="AD293">
            <v>10525.6</v>
          </cell>
          <cell r="AE293">
            <v>8393.7999999999993</v>
          </cell>
          <cell r="AF293">
            <v>5297.1</v>
          </cell>
          <cell r="AG293">
            <v>5589.1</v>
          </cell>
          <cell r="AH293">
            <v>6044.8</v>
          </cell>
          <cell r="AI293">
            <v>4567.7</v>
          </cell>
          <cell r="AJ293">
            <v>9361.7999999999993</v>
          </cell>
          <cell r="AK293">
            <v>5117.3999999999996</v>
          </cell>
          <cell r="AL293">
            <v>4764</v>
          </cell>
          <cell r="AM293">
            <v>3187.6</v>
          </cell>
          <cell r="AN293">
            <v>3093.9</v>
          </cell>
          <cell r="AO293">
            <v>4295.8</v>
          </cell>
          <cell r="AP293">
            <v>9412.2000000000007</v>
          </cell>
          <cell r="AQ293">
            <v>8085.5</v>
          </cell>
          <cell r="AR293">
            <v>2298.1</v>
          </cell>
          <cell r="AS293">
            <v>11562.9</v>
          </cell>
          <cell r="AT293">
            <v>4042.5</v>
          </cell>
          <cell r="AU293">
            <v>8503.2999999999993</v>
          </cell>
          <cell r="AV293">
            <v>13894.9</v>
          </cell>
          <cell r="AW293">
            <v>2588.1999999999998</v>
          </cell>
          <cell r="AX293">
            <v>7532.6</v>
          </cell>
          <cell r="AY293">
            <v>4414.2</v>
          </cell>
          <cell r="AZ293">
            <v>2905.7</v>
          </cell>
          <cell r="BA293">
            <v>4440.5</v>
          </cell>
          <cell r="BB293">
            <v>10404</v>
          </cell>
          <cell r="BC293">
            <v>7206.8</v>
          </cell>
          <cell r="BD293">
            <v>6048.2</v>
          </cell>
          <cell r="BE293">
            <v>5644.5</v>
          </cell>
          <cell r="BF293">
            <v>5668.5</v>
          </cell>
          <cell r="BG293">
            <v>5457.3</v>
          </cell>
          <cell r="BH293">
            <v>9529.6</v>
          </cell>
          <cell r="BI293">
            <v>6979</v>
          </cell>
          <cell r="BJ293">
            <v>5291.1</v>
          </cell>
          <cell r="BK293">
            <v>5033.1000000000004</v>
          </cell>
          <cell r="BL293">
            <v>5727.6</v>
          </cell>
          <cell r="BM293">
            <v>5646.5</v>
          </cell>
          <cell r="BN293">
            <v>9579.4</v>
          </cell>
          <cell r="BO293">
            <v>8435.6</v>
          </cell>
          <cell r="BP293">
            <v>8636.9</v>
          </cell>
          <cell r="BQ293">
            <v>6141.3</v>
          </cell>
          <cell r="BR293">
            <v>7078.4</v>
          </cell>
          <cell r="BS293">
            <v>6085.4</v>
          </cell>
          <cell r="BT293">
            <v>9503.7999999999993</v>
          </cell>
          <cell r="BU293">
            <v>8494.6</v>
          </cell>
          <cell r="BV293">
            <v>5529.2</v>
          </cell>
          <cell r="BW293">
            <v>6425.2</v>
          </cell>
          <cell r="BX293">
            <v>5751.1</v>
          </cell>
          <cell r="BY293">
            <v>5515.8</v>
          </cell>
          <cell r="BZ293">
            <v>9126.7000000000007</v>
          </cell>
          <cell r="CA293">
            <v>11209.9</v>
          </cell>
          <cell r="CB293">
            <v>7691.4</v>
          </cell>
          <cell r="CC293">
            <v>6292.7</v>
          </cell>
          <cell r="CD293">
            <v>7963.3</v>
          </cell>
          <cell r="CE293">
            <v>6146.9</v>
          </cell>
          <cell r="CF293">
            <v>9408.2000000000007</v>
          </cell>
          <cell r="CG293">
            <v>9734.1</v>
          </cell>
          <cell r="CH293">
            <v>5820.7</v>
          </cell>
          <cell r="CI293">
            <v>4923.5</v>
          </cell>
          <cell r="CJ293">
            <v>6633.1</v>
          </cell>
          <cell r="CK293">
            <v>5434.9</v>
          </cell>
          <cell r="CL293">
            <v>11091.2</v>
          </cell>
          <cell r="CM293">
            <v>11845.1</v>
          </cell>
          <cell r="CN293">
            <v>9292.9</v>
          </cell>
          <cell r="CO293">
            <v>6367</v>
          </cell>
          <cell r="CP293">
            <v>2369.5</v>
          </cell>
          <cell r="CQ293">
            <v>12581.8</v>
          </cell>
          <cell r="CR293">
            <v>9202.2000000000007</v>
          </cell>
          <cell r="CS293">
            <v>11098.3</v>
          </cell>
          <cell r="CT293">
            <v>9581.1</v>
          </cell>
          <cell r="CU293">
            <v>6585.6</v>
          </cell>
          <cell r="CV293">
            <v>10511.8</v>
          </cell>
          <cell r="CW293">
            <v>5356.7</v>
          </cell>
          <cell r="CX293">
            <v>9150.7000000000007</v>
          </cell>
          <cell r="CY293">
            <v>13901.6</v>
          </cell>
          <cell r="CZ293">
            <v>9382</v>
          </cell>
          <cell r="DA293">
            <v>6659.9</v>
          </cell>
          <cell r="DB293">
            <v>10790</v>
          </cell>
          <cell r="DC293">
            <v>8073.7</v>
          </cell>
          <cell r="DD293">
            <v>9220.2999999999993</v>
          </cell>
          <cell r="DE293">
            <v>11894.6</v>
          </cell>
          <cell r="DF293">
            <v>11454.4</v>
          </cell>
          <cell r="DG293">
            <v>7452.3</v>
          </cell>
          <cell r="DH293">
            <v>10219.799999999999</v>
          </cell>
          <cell r="DI293">
            <v>7865.5</v>
          </cell>
          <cell r="DJ293">
            <v>10510.9</v>
          </cell>
          <cell r="DK293">
            <v>18235.400000000001</v>
          </cell>
          <cell r="DL293">
            <v>8969.5</v>
          </cell>
          <cell r="DM293">
            <v>6980.9</v>
          </cell>
          <cell r="DN293">
            <v>5210.3</v>
          </cell>
          <cell r="DO293">
            <v>9293.9</v>
          </cell>
          <cell r="DP293">
            <v>6148.7</v>
          </cell>
          <cell r="DQ293">
            <v>7395.1</v>
          </cell>
          <cell r="DR293">
            <v>9249</v>
          </cell>
          <cell r="DS293">
            <v>5859.4</v>
          </cell>
          <cell r="DT293">
            <v>6705.3</v>
          </cell>
          <cell r="DU293">
            <v>5846</v>
          </cell>
          <cell r="DV293">
            <v>6984.2</v>
          </cell>
          <cell r="DW293">
            <v>9015</v>
          </cell>
          <cell r="EK293" t="str">
            <v>2021 8&amp;4 Dec Balance</v>
          </cell>
          <cell r="EL293" t="str">
            <v>A_2340700</v>
          </cell>
          <cell r="EN293">
            <v>24892207</v>
          </cell>
          <cell r="EO293">
            <v>25865768</v>
          </cell>
          <cell r="EP293">
            <v>27761615.000000004</v>
          </cell>
          <cell r="EQ293">
            <v>26989399.999999996</v>
          </cell>
          <cell r="ER293">
            <v>29548435</v>
          </cell>
          <cell r="ES293">
            <v>27781287</v>
          </cell>
          <cell r="ET293">
            <v>23158167</v>
          </cell>
          <cell r="EU293">
            <v>23181526</v>
          </cell>
          <cell r="EV293">
            <v>19726242</v>
          </cell>
          <cell r="EW293">
            <v>20372591</v>
          </cell>
          <cell r="EY293" t="str">
            <v>New AP Accrual (2320001) to get closer to how actuals are coming in</v>
          </cell>
        </row>
        <row r="294">
          <cell r="A294" t="str">
            <v>Accts. Payable Assoc. Co. Services</v>
          </cell>
          <cell r="B294" t="str">
            <v>Accounts Payable - Affiliates</v>
          </cell>
          <cell r="C294" t="str">
            <v>Accts. Pay. Assoc. Co. Services 234</v>
          </cell>
          <cell r="D294" t="str">
            <v>2340711</v>
          </cell>
          <cell r="E294" t="str">
            <v>A_2340711</v>
          </cell>
          <cell r="F294" t="str">
            <v>Trade Payable-Emera Intercompany (Posting)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20.7</v>
          </cell>
          <cell r="AR294">
            <v>19.7</v>
          </cell>
          <cell r="AS294">
            <v>-2.6</v>
          </cell>
          <cell r="AT294">
            <v>27.1</v>
          </cell>
          <cell r="AU294">
            <v>17.7</v>
          </cell>
          <cell r="AV294">
            <v>24.2</v>
          </cell>
          <cell r="AW294">
            <v>17.2</v>
          </cell>
          <cell r="AX294">
            <v>357.5</v>
          </cell>
          <cell r="AY294">
            <v>0</v>
          </cell>
          <cell r="AZ294">
            <v>41</v>
          </cell>
          <cell r="BA294">
            <v>65.3</v>
          </cell>
          <cell r="BB294">
            <v>661</v>
          </cell>
          <cell r="BC294">
            <v>751.2</v>
          </cell>
          <cell r="BD294">
            <v>756.2</v>
          </cell>
          <cell r="BE294">
            <v>929.8</v>
          </cell>
          <cell r="BF294">
            <v>711.9</v>
          </cell>
          <cell r="BG294">
            <v>1307.8</v>
          </cell>
          <cell r="BH294">
            <v>794.3</v>
          </cell>
          <cell r="BI294">
            <v>1038.4000000000001</v>
          </cell>
          <cell r="BJ294">
            <v>1994.3</v>
          </cell>
          <cell r="BK294">
            <v>1431.6</v>
          </cell>
          <cell r="BL294">
            <v>1493.4</v>
          </cell>
          <cell r="BM294">
            <v>1519</v>
          </cell>
          <cell r="BN294">
            <v>702.1</v>
          </cell>
          <cell r="BO294">
            <v>1065.2</v>
          </cell>
          <cell r="BP294">
            <v>914</v>
          </cell>
          <cell r="BQ294">
            <v>695.3</v>
          </cell>
          <cell r="BR294">
            <v>757</v>
          </cell>
          <cell r="BS294">
            <v>21.9</v>
          </cell>
          <cell r="BT294">
            <v>-151.19999999999999</v>
          </cell>
          <cell r="BU294">
            <v>151.6</v>
          </cell>
          <cell r="BV294">
            <v>180.4</v>
          </cell>
          <cell r="BW294">
            <v>226.5</v>
          </cell>
          <cell r="BX294">
            <v>545.1</v>
          </cell>
          <cell r="BY294">
            <v>250.9</v>
          </cell>
          <cell r="BZ294">
            <v>246.6</v>
          </cell>
          <cell r="CA294">
            <v>97.6</v>
          </cell>
          <cell r="CB294">
            <v>171.8</v>
          </cell>
          <cell r="CC294">
            <v>191.7</v>
          </cell>
          <cell r="CD294">
            <v>299</v>
          </cell>
          <cell r="CE294">
            <v>183.3</v>
          </cell>
          <cell r="CF294">
            <v>309.60000000000002</v>
          </cell>
          <cell r="CG294">
            <v>272.2</v>
          </cell>
          <cell r="CH294">
            <v>139.4</v>
          </cell>
          <cell r="CI294">
            <v>230</v>
          </cell>
          <cell r="CJ294">
            <v>310.5</v>
          </cell>
          <cell r="CK294">
            <v>261</v>
          </cell>
          <cell r="CL294">
            <v>1123.4000000000001</v>
          </cell>
          <cell r="CM294">
            <v>1724.6</v>
          </cell>
          <cell r="CN294">
            <v>2891</v>
          </cell>
          <cell r="CO294">
            <v>5170.3999999999996</v>
          </cell>
          <cell r="CP294">
            <v>2451.3000000000002</v>
          </cell>
          <cell r="CQ294">
            <v>1937.4</v>
          </cell>
          <cell r="CR294">
            <v>1872.4</v>
          </cell>
          <cell r="CS294">
            <v>1961.5</v>
          </cell>
          <cell r="CT294">
            <v>2163.4</v>
          </cell>
          <cell r="CU294">
            <v>3038.9</v>
          </cell>
          <cell r="CV294">
            <v>3776.5</v>
          </cell>
          <cell r="CW294">
            <v>5253.2</v>
          </cell>
          <cell r="CX294">
            <v>4052.9</v>
          </cell>
          <cell r="CY294">
            <v>1580.3</v>
          </cell>
          <cell r="CZ294">
            <v>3827.1</v>
          </cell>
          <cell r="DA294">
            <v>3224.7</v>
          </cell>
          <cell r="DB294">
            <v>3825.6</v>
          </cell>
          <cell r="DC294">
            <v>2266.6999999999998</v>
          </cell>
          <cell r="DD294">
            <v>3318.4</v>
          </cell>
          <cell r="DE294">
            <v>3231.1</v>
          </cell>
          <cell r="DF294">
            <v>3035.4</v>
          </cell>
          <cell r="DG294">
            <v>3579.2</v>
          </cell>
          <cell r="DH294">
            <v>1039.0999999999999</v>
          </cell>
          <cell r="DI294">
            <v>713.4</v>
          </cell>
          <cell r="DJ294">
            <v>3183</v>
          </cell>
          <cell r="DK294">
            <v>9219.2999999999993</v>
          </cell>
          <cell r="DL294">
            <v>9219.2999999999993</v>
          </cell>
          <cell r="DM294">
            <v>9219.2999999999993</v>
          </cell>
          <cell r="DN294">
            <v>9219.2999999999993</v>
          </cell>
          <cell r="DO294">
            <v>9219.2999999999993</v>
          </cell>
          <cell r="DP294">
            <v>9219.2999999999993</v>
          </cell>
          <cell r="DQ294">
            <v>9219.2999999999993</v>
          </cell>
          <cell r="DR294">
            <v>9219.2999999999993</v>
          </cell>
          <cell r="DS294">
            <v>9219.2999999999993</v>
          </cell>
          <cell r="DT294">
            <v>9219.2999999999993</v>
          </cell>
          <cell r="DU294">
            <v>9219.2999999999993</v>
          </cell>
          <cell r="DV294">
            <v>9219.2999999999993</v>
          </cell>
          <cell r="DW294">
            <v>9219.2999999999993</v>
          </cell>
          <cell r="EK294" t="str">
            <v>2021 8&amp;4 Dec Balance</v>
          </cell>
          <cell r="EL294" t="str">
            <v>A_2340711</v>
          </cell>
          <cell r="EM294">
            <v>64536.505200000014</v>
          </cell>
          <cell r="EN294">
            <v>58134.306400000009</v>
          </cell>
          <cell r="EO294">
            <v>48402.722399999999</v>
          </cell>
          <cell r="EP294">
            <v>47189.755200000014</v>
          </cell>
          <cell r="EQ294">
            <v>56706.445600000006</v>
          </cell>
          <cell r="ER294">
            <v>53045.010399999992</v>
          </cell>
          <cell r="ES294">
            <v>52176.825599999989</v>
          </cell>
          <cell r="ET294">
            <v>55382.459200000005</v>
          </cell>
          <cell r="EU294">
            <v>53352.603200000005</v>
          </cell>
          <cell r="EV294">
            <v>55467.922000000013</v>
          </cell>
          <cell r="EW294">
            <v>71698.525999999998</v>
          </cell>
          <cell r="EX294">
            <v>63988.645599999989</v>
          </cell>
          <cell r="EY294" t="str">
            <v>Reduce AP 8.4% from prior year</v>
          </cell>
        </row>
        <row r="295">
          <cell r="A295" t="str">
            <v>Accts. Payable Assoc. Co. Services</v>
          </cell>
          <cell r="B295" t="str">
            <v>Accounts Payable - Affiliates</v>
          </cell>
          <cell r="C295" t="str">
            <v>Accts. Pay. Assoc. Co. Services 234</v>
          </cell>
          <cell r="D295" t="str">
            <v>2340701</v>
          </cell>
          <cell r="E295" t="str">
            <v>A_2340701</v>
          </cell>
          <cell r="F295" t="str">
            <v>Trade Payable-Intercompany (Posting)</v>
          </cell>
          <cell r="G295">
            <v>13.02811</v>
          </cell>
          <cell r="H295">
            <v>179.4</v>
          </cell>
          <cell r="I295">
            <v>34.799999999999997</v>
          </cell>
          <cell r="J295">
            <v>21</v>
          </cell>
          <cell r="K295">
            <v>133.6</v>
          </cell>
          <cell r="L295">
            <v>808.1</v>
          </cell>
          <cell r="M295">
            <v>11.3</v>
          </cell>
          <cell r="N295">
            <v>90.1</v>
          </cell>
          <cell r="O295">
            <v>116.8</v>
          </cell>
          <cell r="P295">
            <v>157.9</v>
          </cell>
          <cell r="Q295">
            <v>117.7</v>
          </cell>
          <cell r="R295">
            <v>1098.9000000000001</v>
          </cell>
          <cell r="S295">
            <v>42.7</v>
          </cell>
          <cell r="T295">
            <v>54.9</v>
          </cell>
          <cell r="U295">
            <v>30.9</v>
          </cell>
          <cell r="V295">
            <v>34.6</v>
          </cell>
          <cell r="W295">
            <v>52.4</v>
          </cell>
          <cell r="X295">
            <v>54.2</v>
          </cell>
          <cell r="Y295">
            <v>17.7</v>
          </cell>
          <cell r="Z295">
            <v>9.4</v>
          </cell>
          <cell r="AA295">
            <v>11</v>
          </cell>
          <cell r="AB295">
            <v>23.5</v>
          </cell>
          <cell r="AC295">
            <v>9.5</v>
          </cell>
          <cell r="AD295">
            <v>204.7</v>
          </cell>
          <cell r="AE295">
            <v>9.4</v>
          </cell>
          <cell r="AF295">
            <v>26.7</v>
          </cell>
          <cell r="AG295">
            <v>11.2</v>
          </cell>
          <cell r="AH295">
            <v>10.5</v>
          </cell>
          <cell r="AI295">
            <v>9.4</v>
          </cell>
          <cell r="AJ295">
            <v>16.8</v>
          </cell>
          <cell r="AK295">
            <v>28.1</v>
          </cell>
          <cell r="AL295">
            <v>30.9</v>
          </cell>
          <cell r="AM295">
            <v>10.5</v>
          </cell>
          <cell r="AN295">
            <v>260.7</v>
          </cell>
          <cell r="AO295">
            <v>175.7</v>
          </cell>
          <cell r="AP295">
            <v>16.399999999999999</v>
          </cell>
          <cell r="AQ295">
            <v>61.2</v>
          </cell>
          <cell r="AR295">
            <v>17.2</v>
          </cell>
          <cell r="AS295">
            <v>10.5</v>
          </cell>
          <cell r="AT295">
            <v>16.3</v>
          </cell>
          <cell r="AU295">
            <v>58.7</v>
          </cell>
          <cell r="AV295">
            <v>77.7</v>
          </cell>
          <cell r="AW295">
            <v>46.9</v>
          </cell>
          <cell r="AX295">
            <v>57.6</v>
          </cell>
          <cell r="AY295">
            <v>61.3</v>
          </cell>
          <cell r="AZ295">
            <v>54.3</v>
          </cell>
          <cell r="BA295">
            <v>46.3</v>
          </cell>
          <cell r="BB295">
            <v>41.3</v>
          </cell>
          <cell r="BC295">
            <v>43.4</v>
          </cell>
          <cell r="BD295">
            <v>396.5</v>
          </cell>
          <cell r="BE295">
            <v>54</v>
          </cell>
          <cell r="BF295">
            <v>61.6</v>
          </cell>
          <cell r="BG295">
            <v>45.6</v>
          </cell>
          <cell r="BH295">
            <v>60</v>
          </cell>
          <cell r="BI295">
            <v>52.4</v>
          </cell>
          <cell r="BJ295">
            <v>42.4</v>
          </cell>
          <cell r="BK295">
            <v>46.9</v>
          </cell>
          <cell r="BL295">
            <v>55.5</v>
          </cell>
          <cell r="BM295">
            <v>50.1</v>
          </cell>
          <cell r="BN295">
            <v>70.900000000000006</v>
          </cell>
          <cell r="BO295">
            <v>68.2</v>
          </cell>
          <cell r="BP295">
            <v>65.400000000000006</v>
          </cell>
          <cell r="BQ295">
            <v>40.200000000000003</v>
          </cell>
          <cell r="BR295">
            <v>85.5</v>
          </cell>
          <cell r="BS295">
            <v>41.3</v>
          </cell>
          <cell r="BT295">
            <v>50.4</v>
          </cell>
          <cell r="BU295">
            <v>60.4</v>
          </cell>
          <cell r="BV295">
            <v>51.9</v>
          </cell>
          <cell r="BW295">
            <v>53.4</v>
          </cell>
          <cell r="BX295">
            <v>44.4</v>
          </cell>
          <cell r="BY295">
            <v>42.4</v>
          </cell>
          <cell r="BZ295">
            <v>62.4</v>
          </cell>
          <cell r="CA295">
            <v>157.80000000000001</v>
          </cell>
          <cell r="CB295">
            <v>142.1</v>
          </cell>
          <cell r="CC295">
            <v>55.2</v>
          </cell>
          <cell r="CD295">
            <v>64.3</v>
          </cell>
          <cell r="CE295">
            <v>65</v>
          </cell>
          <cell r="CF295">
            <v>46.6</v>
          </cell>
          <cell r="CG295">
            <v>-6.9</v>
          </cell>
          <cell r="CH295">
            <v>55.8</v>
          </cell>
          <cell r="CI295">
            <v>42.4</v>
          </cell>
          <cell r="CJ295">
            <v>57.6</v>
          </cell>
          <cell r="CK295">
            <v>315.8</v>
          </cell>
          <cell r="CL295">
            <v>528.79999999999995</v>
          </cell>
          <cell r="CM295">
            <v>556.79999999999995</v>
          </cell>
          <cell r="CN295">
            <v>548.20000000000005</v>
          </cell>
          <cell r="CO295">
            <v>633.29999999999995</v>
          </cell>
          <cell r="CP295">
            <v>684.3</v>
          </cell>
          <cell r="CQ295">
            <v>537.29999999999995</v>
          </cell>
          <cell r="CR295">
            <v>545.6</v>
          </cell>
          <cell r="CS295">
            <v>528.29999999999995</v>
          </cell>
          <cell r="CT295">
            <v>545.6</v>
          </cell>
          <cell r="CU295">
            <v>559.20000000000005</v>
          </cell>
          <cell r="CV295">
            <v>586.79999999999995</v>
          </cell>
          <cell r="CW295">
            <v>643.79999999999995</v>
          </cell>
          <cell r="CX295">
            <v>528.29999999999995</v>
          </cell>
          <cell r="CY295">
            <v>545.6</v>
          </cell>
          <cell r="CZ295">
            <v>568.5</v>
          </cell>
          <cell r="DA295">
            <v>493.7</v>
          </cell>
          <cell r="DB295">
            <v>545.6</v>
          </cell>
          <cell r="DC295">
            <v>534.1</v>
          </cell>
          <cell r="DD295">
            <v>621.6</v>
          </cell>
          <cell r="DE295">
            <v>601.79999999999995</v>
          </cell>
          <cell r="DF295">
            <v>621.6</v>
          </cell>
          <cell r="DG295">
            <v>662.7</v>
          </cell>
          <cell r="DH295">
            <v>601.79999999999995</v>
          </cell>
          <cell r="DI295">
            <v>621.6</v>
          </cell>
          <cell r="DJ295">
            <v>641</v>
          </cell>
          <cell r="DK295">
            <v>621.6</v>
          </cell>
          <cell r="DL295">
            <v>621.6</v>
          </cell>
          <cell r="DM295">
            <v>621.6</v>
          </cell>
          <cell r="DN295">
            <v>621.6</v>
          </cell>
          <cell r="DO295">
            <v>621.6</v>
          </cell>
          <cell r="DP295">
            <v>621.6</v>
          </cell>
          <cell r="DQ295">
            <v>621.6</v>
          </cell>
          <cell r="DR295">
            <v>621.6</v>
          </cell>
          <cell r="DS295">
            <v>621.6</v>
          </cell>
          <cell r="DT295">
            <v>621.6</v>
          </cell>
          <cell r="DU295">
            <v>621.6</v>
          </cell>
          <cell r="DV295">
            <v>621.6</v>
          </cell>
          <cell r="DW295">
            <v>621.6</v>
          </cell>
          <cell r="EK295" t="str">
            <v>2021 8&amp;4 Dec Balance</v>
          </cell>
          <cell r="EL295" t="str">
            <v>A_2340701</v>
          </cell>
          <cell r="EM295">
            <v>5918.1948000000011</v>
          </cell>
          <cell r="EN295">
            <v>5331.0936000000011</v>
          </cell>
          <cell r="EO295">
            <v>4438.6776</v>
          </cell>
          <cell r="EP295">
            <v>4327.444800000002</v>
          </cell>
          <cell r="EQ295">
            <v>5200.1544000000013</v>
          </cell>
          <cell r="ER295">
            <v>4864.3895999999995</v>
          </cell>
          <cell r="ES295">
            <v>4784.7743999999993</v>
          </cell>
          <cell r="ET295">
            <v>5078.7408000000005</v>
          </cell>
          <cell r="EU295">
            <v>4892.5968000000003</v>
          </cell>
          <cell r="EV295">
            <v>5086.5780000000013</v>
          </cell>
          <cell r="EW295">
            <v>6574.9740000000002</v>
          </cell>
          <cell r="EX295">
            <v>5867.9543999999996</v>
          </cell>
        </row>
        <row r="296">
          <cell r="A296" t="str">
            <v>Accts. Payable Assoc. Co. Services</v>
          </cell>
          <cell r="B296" t="str">
            <v>Accounts Payable - Affiliates</v>
          </cell>
          <cell r="C296" t="str">
            <v>Accts. Pay. Assoc. Co. Services 234</v>
          </cell>
          <cell r="D296" t="str">
            <v>2340710</v>
          </cell>
          <cell r="E296" t="str">
            <v>A_2340710</v>
          </cell>
          <cell r="F296" t="str">
            <v>Trade Payable-Emera Intercompany (RECON)</v>
          </cell>
          <cell r="G296">
            <v>13.02811</v>
          </cell>
          <cell r="H296">
            <v>179.4</v>
          </cell>
          <cell r="I296">
            <v>34.799999999999997</v>
          </cell>
          <cell r="J296">
            <v>21</v>
          </cell>
          <cell r="K296">
            <v>133.6</v>
          </cell>
          <cell r="L296">
            <v>808.1</v>
          </cell>
          <cell r="M296">
            <v>11.3</v>
          </cell>
          <cell r="N296">
            <v>90.1</v>
          </cell>
          <cell r="O296">
            <v>116.8</v>
          </cell>
          <cell r="P296">
            <v>157.9</v>
          </cell>
          <cell r="Q296">
            <v>117.7</v>
          </cell>
          <cell r="R296">
            <v>1098.9000000000001</v>
          </cell>
          <cell r="S296">
            <v>42.7</v>
          </cell>
          <cell r="T296">
            <v>54.9</v>
          </cell>
          <cell r="U296">
            <v>30.9</v>
          </cell>
          <cell r="V296">
            <v>34.6</v>
          </cell>
          <cell r="W296">
            <v>52.4</v>
          </cell>
          <cell r="X296">
            <v>54.2</v>
          </cell>
          <cell r="Y296">
            <v>17.7</v>
          </cell>
          <cell r="Z296">
            <v>9.4</v>
          </cell>
          <cell r="AA296">
            <v>11</v>
          </cell>
          <cell r="AB296">
            <v>23.5</v>
          </cell>
          <cell r="AC296">
            <v>9.5</v>
          </cell>
          <cell r="AD296">
            <v>204.7</v>
          </cell>
          <cell r="AE296">
            <v>9.4</v>
          </cell>
          <cell r="AF296">
            <v>26.7</v>
          </cell>
          <cell r="AG296">
            <v>11.2</v>
          </cell>
          <cell r="AH296">
            <v>10.5</v>
          </cell>
          <cell r="AI296">
            <v>9.4</v>
          </cell>
          <cell r="AJ296">
            <v>16.8</v>
          </cell>
          <cell r="AK296">
            <v>28.1</v>
          </cell>
          <cell r="AL296">
            <v>30.9</v>
          </cell>
          <cell r="AM296">
            <v>10.5</v>
          </cell>
          <cell r="AN296">
            <v>260.7</v>
          </cell>
          <cell r="AO296">
            <v>175.7</v>
          </cell>
          <cell r="AP296">
            <v>16.399999999999999</v>
          </cell>
          <cell r="AQ296">
            <v>61.2</v>
          </cell>
          <cell r="AR296">
            <v>17.2</v>
          </cell>
          <cell r="AS296">
            <v>10.5</v>
          </cell>
          <cell r="AT296">
            <v>16.3</v>
          </cell>
          <cell r="AU296">
            <v>58.7</v>
          </cell>
          <cell r="AV296">
            <v>77.7</v>
          </cell>
          <cell r="AW296">
            <v>46.9</v>
          </cell>
          <cell r="AX296">
            <v>57.6</v>
          </cell>
          <cell r="AY296">
            <v>61.3</v>
          </cell>
          <cell r="AZ296">
            <v>54.3</v>
          </cell>
          <cell r="BA296">
            <v>46.3</v>
          </cell>
          <cell r="BB296">
            <v>41.3</v>
          </cell>
          <cell r="BC296">
            <v>43.4</v>
          </cell>
          <cell r="BD296">
            <v>396.5</v>
          </cell>
          <cell r="BE296">
            <v>54</v>
          </cell>
          <cell r="BF296">
            <v>61.6</v>
          </cell>
          <cell r="BG296">
            <v>45.6</v>
          </cell>
          <cell r="BH296">
            <v>60</v>
          </cell>
          <cell r="BI296">
            <v>52.4</v>
          </cell>
          <cell r="BJ296">
            <v>42.4</v>
          </cell>
          <cell r="BK296">
            <v>46.9</v>
          </cell>
          <cell r="BL296">
            <v>55.5</v>
          </cell>
          <cell r="BM296">
            <v>50.1</v>
          </cell>
          <cell r="BN296">
            <v>70.900000000000006</v>
          </cell>
          <cell r="BO296">
            <v>68.2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2882.3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EK296" t="str">
            <v>2021 8&amp;4 Dec Balance</v>
          </cell>
          <cell r="EL296" t="str">
            <v>A_2340710</v>
          </cell>
        </row>
        <row r="297">
          <cell r="A297" t="str">
            <v>Accts. Payable Assoc. Co. Services</v>
          </cell>
          <cell r="B297" t="str">
            <v>Accounts Payable - Affiliates</v>
          </cell>
          <cell r="C297" t="str">
            <v>Accts. Pay. Assoc. Co. Services 234</v>
          </cell>
          <cell r="D297" t="str">
            <v>2340720</v>
          </cell>
          <cell r="E297" t="str">
            <v>A_2340720</v>
          </cell>
          <cell r="F297" t="str">
            <v>Trade Payable-Emera Interco on SAP E410 (RECON)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4.8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EK297" t="str">
            <v>Assume Zero</v>
          </cell>
        </row>
        <row r="298">
          <cell r="A298" t="str">
            <v>Accts. Payable Assoc. Co. Services</v>
          </cell>
          <cell r="B298" t="str">
            <v>Accounts Payable - Affiliates</v>
          </cell>
          <cell r="C298" t="str">
            <v>Accts. Pay. Assoc. Co. Services 234</v>
          </cell>
          <cell r="D298" t="str">
            <v>2340740</v>
          </cell>
          <cell r="E298" t="str">
            <v>A_2340740</v>
          </cell>
          <cell r="F298" t="str">
            <v>Interco Payable - CRM - TECO OneBill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EK298" t="str">
            <v>2021 8&amp;4 Dec Balance</v>
          </cell>
        </row>
        <row r="299">
          <cell r="A299" t="str">
            <v>Accts. Payable Assoc. Co. Services</v>
          </cell>
          <cell r="B299" t="str">
            <v>Accounts Payable - Affiliates</v>
          </cell>
          <cell r="C299" t="str">
            <v>Accts. Pay. Assoc. Co. Services 234</v>
          </cell>
          <cell r="D299" t="str">
            <v>2340741</v>
          </cell>
          <cell r="E299" t="str">
            <v>A_2340741</v>
          </cell>
          <cell r="F299" t="str">
            <v>Interco Payable - CRM - TEC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EK299" t="str">
            <v>2021 8&amp;4 Dec Balance</v>
          </cell>
        </row>
        <row r="300">
          <cell r="A300" t="str">
            <v>Accts. Payable Assoc. Co. Services</v>
          </cell>
          <cell r="B300" t="str">
            <v>Accounts Payable - Affiliates</v>
          </cell>
          <cell r="C300" t="str">
            <v>Accts. Pay. Assoc. Co. Services 234</v>
          </cell>
          <cell r="D300" t="str">
            <v>2340743</v>
          </cell>
          <cell r="E300" t="str">
            <v>A_2340743</v>
          </cell>
          <cell r="F300" t="str">
            <v>Interco Payable - CRM - TPI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EK300" t="str">
            <v>2021 8&amp;4 Dec Balance</v>
          </cell>
        </row>
        <row r="301">
          <cell r="A301" t="str">
            <v>Accts. Payable Assoc. Co. Services</v>
          </cell>
          <cell r="B301" t="str">
            <v>Accounts Payable - Affiliates</v>
          </cell>
          <cell r="C301" t="str">
            <v>Accts. Pay. Assoc. Co. Services 234</v>
          </cell>
          <cell r="D301" t="str">
            <v>2340799</v>
          </cell>
          <cell r="E301" t="str">
            <v>A_2340799</v>
          </cell>
          <cell r="F301" t="str">
            <v>Trade Payable-Emera Interco Accruals/Reversals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43.7</v>
          </cell>
          <cell r="CD301">
            <v>41</v>
          </cell>
          <cell r="CE301">
            <v>41.7</v>
          </cell>
          <cell r="CF301">
            <v>41.9</v>
          </cell>
          <cell r="CG301">
            <v>42.9</v>
          </cell>
          <cell r="CH301">
            <v>43.7</v>
          </cell>
          <cell r="CI301">
            <v>57.9</v>
          </cell>
          <cell r="CJ301">
            <v>57.2</v>
          </cell>
          <cell r="CK301">
            <v>57.4</v>
          </cell>
          <cell r="CL301">
            <v>59</v>
          </cell>
          <cell r="CM301">
            <v>60</v>
          </cell>
          <cell r="CN301">
            <v>42.3</v>
          </cell>
          <cell r="CO301">
            <v>42.7</v>
          </cell>
          <cell r="CP301">
            <v>46</v>
          </cell>
          <cell r="CQ301">
            <v>47.1</v>
          </cell>
          <cell r="CR301">
            <v>47.9</v>
          </cell>
          <cell r="CS301">
            <v>46.7</v>
          </cell>
          <cell r="CT301">
            <v>46.4</v>
          </cell>
          <cell r="CU301">
            <v>44.9</v>
          </cell>
          <cell r="CV301">
            <v>44.5</v>
          </cell>
          <cell r="CW301">
            <v>45.7</v>
          </cell>
          <cell r="CX301">
            <v>44.3</v>
          </cell>
          <cell r="CY301">
            <v>44.7</v>
          </cell>
          <cell r="CZ301">
            <v>57</v>
          </cell>
          <cell r="DA301">
            <v>68.599999999999994</v>
          </cell>
          <cell r="DB301">
            <v>69.7</v>
          </cell>
          <cell r="DC301">
            <v>68</v>
          </cell>
          <cell r="DD301">
            <v>68.8</v>
          </cell>
          <cell r="DE301">
            <v>67.599999999999994</v>
          </cell>
          <cell r="DF301">
            <v>67.900000000000006</v>
          </cell>
          <cell r="DG301">
            <v>66.400000000000006</v>
          </cell>
          <cell r="DH301">
            <v>59.5</v>
          </cell>
          <cell r="DI301">
            <v>59.8</v>
          </cell>
          <cell r="DJ301">
            <v>60.4</v>
          </cell>
          <cell r="DK301">
            <v>60.2</v>
          </cell>
          <cell r="DL301">
            <v>60.2</v>
          </cell>
          <cell r="DM301">
            <v>60.2</v>
          </cell>
          <cell r="DN301">
            <v>60.2</v>
          </cell>
          <cell r="DO301">
            <v>60.2</v>
          </cell>
          <cell r="DP301">
            <v>60.2</v>
          </cell>
          <cell r="DQ301">
            <v>60.2</v>
          </cell>
          <cell r="DR301">
            <v>60.2</v>
          </cell>
          <cell r="DS301">
            <v>60.2</v>
          </cell>
          <cell r="DT301">
            <v>60.2</v>
          </cell>
          <cell r="DU301">
            <v>60.2</v>
          </cell>
          <cell r="DV301">
            <v>60.2</v>
          </cell>
          <cell r="DW301">
            <v>60.2</v>
          </cell>
          <cell r="EK301" t="str">
            <v>2021 8&amp;4 Dec Balance</v>
          </cell>
          <cell r="EL301" t="str">
            <v>A_2340799</v>
          </cell>
        </row>
        <row r="302">
          <cell r="D302" t="str">
            <v>234</v>
          </cell>
          <cell r="E302">
            <v>234</v>
          </cell>
          <cell r="G302">
            <v>7116.1821600000003</v>
          </cell>
          <cell r="H302">
            <v>5784.4</v>
          </cell>
          <cell r="I302">
            <v>5514.7</v>
          </cell>
          <cell r="J302">
            <v>5919.3</v>
          </cell>
          <cell r="K302">
            <v>5377</v>
          </cell>
          <cell r="L302">
            <v>20709</v>
          </cell>
          <cell r="M302">
            <v>13845</v>
          </cell>
          <cell r="N302">
            <v>6123.3</v>
          </cell>
          <cell r="O302">
            <v>5130.2</v>
          </cell>
          <cell r="P302">
            <v>4896.5</v>
          </cell>
          <cell r="Q302">
            <v>4922.0999999999995</v>
          </cell>
          <cell r="R302">
            <v>10883.1</v>
          </cell>
          <cell r="S302">
            <v>6974.4</v>
          </cell>
          <cell r="T302">
            <v>5766.0999999999995</v>
          </cell>
          <cell r="U302">
            <v>5525.0999999999995</v>
          </cell>
          <cell r="V302">
            <v>6172.1</v>
          </cell>
          <cell r="W302">
            <v>5675.0999999999995</v>
          </cell>
          <cell r="X302">
            <v>10351.1</v>
          </cell>
          <cell r="Y302">
            <v>6018.5</v>
          </cell>
          <cell r="Z302">
            <v>6678.5</v>
          </cell>
          <cell r="AA302">
            <v>4918.5</v>
          </cell>
          <cell r="AB302">
            <v>5126.7</v>
          </cell>
          <cell r="AC302">
            <v>4962.8999999999996</v>
          </cell>
          <cell r="AD302">
            <v>10730.300000000001</v>
          </cell>
          <cell r="AE302">
            <v>8403.1999999999989</v>
          </cell>
          <cell r="AF302">
            <v>5323.8</v>
          </cell>
          <cell r="AG302">
            <v>5600.3</v>
          </cell>
          <cell r="AH302">
            <v>6055.3</v>
          </cell>
          <cell r="AI302">
            <v>4577.0999999999995</v>
          </cell>
          <cell r="AJ302">
            <v>9378.5999999999985</v>
          </cell>
          <cell r="AK302">
            <v>5145.5</v>
          </cell>
          <cell r="AL302">
            <v>4794.8999999999996</v>
          </cell>
          <cell r="AM302">
            <v>3198.1</v>
          </cell>
          <cell r="AN302">
            <v>3354.6</v>
          </cell>
          <cell r="AO302">
            <v>4471.5</v>
          </cell>
          <cell r="AP302">
            <v>9428.6</v>
          </cell>
          <cell r="AQ302">
            <v>8167.4</v>
          </cell>
          <cell r="AR302">
            <v>2334.9999999999995</v>
          </cell>
          <cell r="AS302">
            <v>11570.8</v>
          </cell>
          <cell r="AT302">
            <v>4085.9</v>
          </cell>
          <cell r="AU302">
            <v>8579.7000000000007</v>
          </cell>
          <cell r="AV302">
            <v>13996.800000000001</v>
          </cell>
          <cell r="AW302">
            <v>2652.2999999999997</v>
          </cell>
          <cell r="AX302">
            <v>7947.7000000000007</v>
          </cell>
          <cell r="AY302">
            <v>4475.5</v>
          </cell>
          <cell r="AZ302">
            <v>3001</v>
          </cell>
          <cell r="BA302">
            <v>4552.1000000000004</v>
          </cell>
          <cell r="BB302">
            <v>11106.3</v>
          </cell>
          <cell r="BC302">
            <v>8001.4</v>
          </cell>
          <cell r="BD302">
            <v>7200.9</v>
          </cell>
          <cell r="BE302">
            <v>6628.3</v>
          </cell>
          <cell r="BF302">
            <v>6442</v>
          </cell>
          <cell r="BG302">
            <v>6810.7000000000007</v>
          </cell>
          <cell r="BH302">
            <v>10383.9</v>
          </cell>
          <cell r="BI302">
            <v>8069.7999999999993</v>
          </cell>
          <cell r="BJ302">
            <v>7327.8</v>
          </cell>
          <cell r="BK302">
            <v>6511.6</v>
          </cell>
          <cell r="BL302">
            <v>7276.5</v>
          </cell>
          <cell r="BM302">
            <v>7215.6</v>
          </cell>
          <cell r="BN302">
            <v>10352.4</v>
          </cell>
          <cell r="BO302">
            <v>9569.0000000000018</v>
          </cell>
          <cell r="BP302">
            <v>9616.2999999999993</v>
          </cell>
          <cell r="BQ302">
            <v>6876.8</v>
          </cell>
          <cell r="BR302">
            <v>7920.9</v>
          </cell>
          <cell r="BS302">
            <v>6148.5999999999995</v>
          </cell>
          <cell r="BT302">
            <v>9402.9999999999982</v>
          </cell>
          <cell r="BU302">
            <v>8706.6</v>
          </cell>
          <cell r="BV302">
            <v>5766.2999999999993</v>
          </cell>
          <cell r="BW302">
            <v>6705.0999999999995</v>
          </cell>
          <cell r="BX302">
            <v>6340.6</v>
          </cell>
          <cell r="BY302">
            <v>5809.0999999999995</v>
          </cell>
          <cell r="BZ302">
            <v>9435.7000000000007</v>
          </cell>
          <cell r="CA302">
            <v>11465.3</v>
          </cell>
          <cell r="CB302">
            <v>8005.3</v>
          </cell>
          <cell r="CC302">
            <v>6583.2999999999993</v>
          </cell>
          <cell r="CD302">
            <v>8367.5999999999985</v>
          </cell>
          <cell r="CE302">
            <v>6436.9</v>
          </cell>
          <cell r="CF302">
            <v>9806.3000000000011</v>
          </cell>
          <cell r="CG302">
            <v>10042.300000000001</v>
          </cell>
          <cell r="CH302">
            <v>6059.5999999999995</v>
          </cell>
          <cell r="CI302">
            <v>5253.7999999999993</v>
          </cell>
          <cell r="CJ302">
            <v>7058.4000000000005</v>
          </cell>
          <cell r="CK302">
            <v>6069.0999999999995</v>
          </cell>
          <cell r="CL302">
            <v>12802.4</v>
          </cell>
          <cell r="CM302">
            <v>14186.5</v>
          </cell>
          <cell r="CN302">
            <v>12774.4</v>
          </cell>
          <cell r="CO302">
            <v>12213.4</v>
          </cell>
          <cell r="CP302">
            <v>5551.1</v>
          </cell>
          <cell r="CQ302">
            <v>15103.599999999999</v>
          </cell>
          <cell r="CR302">
            <v>11668.1</v>
          </cell>
          <cell r="CS302">
            <v>13634.8</v>
          </cell>
          <cell r="CT302">
            <v>12336.5</v>
          </cell>
          <cell r="CU302">
            <v>10228.6</v>
          </cell>
          <cell r="CV302">
            <v>14919.599999999999</v>
          </cell>
          <cell r="CW302">
            <v>11299.4</v>
          </cell>
          <cell r="CX302">
            <v>13776.199999999999</v>
          </cell>
          <cell r="CY302">
            <v>16072.2</v>
          </cell>
          <cell r="CZ302">
            <v>13834.6</v>
          </cell>
          <cell r="DA302">
            <v>13329.199999999999</v>
          </cell>
          <cell r="DB302">
            <v>15230.900000000001</v>
          </cell>
          <cell r="DC302">
            <v>10942.5</v>
          </cell>
          <cell r="DD302">
            <v>13229.099999999999</v>
          </cell>
          <cell r="DE302">
            <v>15795.1</v>
          </cell>
          <cell r="DF302">
            <v>15179.3</v>
          </cell>
          <cell r="DG302">
            <v>11760.6</v>
          </cell>
          <cell r="DH302">
            <v>11920.199999999999</v>
          </cell>
          <cell r="DI302">
            <v>9260.2999999999993</v>
          </cell>
          <cell r="DJ302">
            <v>14395.3</v>
          </cell>
          <cell r="DK302">
            <v>28136.5</v>
          </cell>
          <cell r="DL302">
            <v>18870.599999999999</v>
          </cell>
          <cell r="DM302">
            <v>16882</v>
          </cell>
          <cell r="DN302">
            <v>15111.4</v>
          </cell>
          <cell r="DO302">
            <v>19194.999999999996</v>
          </cell>
          <cell r="DP302">
            <v>16049.800000000001</v>
          </cell>
          <cell r="DQ302">
            <v>17296.2</v>
          </cell>
          <cell r="DR302">
            <v>19150.099999999999</v>
          </cell>
          <cell r="DS302">
            <v>15760.5</v>
          </cell>
          <cell r="DT302">
            <v>16606.399999999998</v>
          </cell>
          <cell r="DU302">
            <v>15747.1</v>
          </cell>
          <cell r="DV302">
            <v>16885.3</v>
          </cell>
          <cell r="DW302">
            <v>18916.099999999999</v>
          </cell>
          <cell r="EJ302" t="str">
            <v>.</v>
          </cell>
        </row>
        <row r="303">
          <cell r="A303" t="str">
            <v>Customer Deposits - Short Term</v>
          </cell>
          <cell r="B303" t="str">
            <v>Customer Deposits</v>
          </cell>
          <cell r="C303" t="str">
            <v>Customer Deposits 2350100</v>
          </cell>
          <cell r="D303" t="str">
            <v>2350100</v>
          </cell>
          <cell r="E303" t="str">
            <v>A_2350100</v>
          </cell>
          <cell r="F303" t="str">
            <v>CIS Customer Deposits Short-term</v>
          </cell>
          <cell r="G303">
            <v>38252.497020000003</v>
          </cell>
          <cell r="H303">
            <v>38402.699999999997</v>
          </cell>
          <cell r="I303">
            <v>38619.199999999997</v>
          </cell>
          <cell r="J303">
            <v>38751.5</v>
          </cell>
          <cell r="K303">
            <v>38848.199999999997</v>
          </cell>
          <cell r="L303">
            <v>39086.9</v>
          </cell>
          <cell r="M303">
            <v>39301.9</v>
          </cell>
          <cell r="N303">
            <v>39528.800000000003</v>
          </cell>
          <cell r="O303">
            <v>39623.4</v>
          </cell>
          <cell r="P303">
            <v>39834.1</v>
          </cell>
          <cell r="Q303">
            <v>40259.4</v>
          </cell>
          <cell r="R303">
            <v>40002.9</v>
          </cell>
          <cell r="S303">
            <v>39967.9</v>
          </cell>
          <cell r="T303">
            <v>40117.9</v>
          </cell>
          <cell r="U303">
            <v>40137.199999999997</v>
          </cell>
          <cell r="V303">
            <v>40205.5</v>
          </cell>
          <cell r="W303">
            <v>40406.6</v>
          </cell>
          <cell r="X303">
            <v>40629.4</v>
          </cell>
          <cell r="Y303">
            <v>40700.699999999997</v>
          </cell>
          <cell r="Z303">
            <v>40727.699999999997</v>
          </cell>
          <cell r="AA303">
            <v>40710.6</v>
          </cell>
          <cell r="AB303">
            <v>40767.199999999997</v>
          </cell>
          <cell r="AC303">
            <v>40905.1</v>
          </cell>
          <cell r="AD303">
            <v>41160.5</v>
          </cell>
          <cell r="AE303">
            <v>41282.400000000001</v>
          </cell>
          <cell r="AF303">
            <v>39982.300000000003</v>
          </cell>
          <cell r="AG303">
            <v>38927.699999999997</v>
          </cell>
          <cell r="AH303">
            <v>38021.4</v>
          </cell>
          <cell r="AI303">
            <v>37019.5</v>
          </cell>
          <cell r="AJ303">
            <v>35950.800000000003</v>
          </cell>
          <cell r="AK303">
            <v>35134.6</v>
          </cell>
          <cell r="AL303">
            <v>34025.4</v>
          </cell>
          <cell r="AM303">
            <v>32991.1</v>
          </cell>
          <cell r="AN303">
            <v>32106.799999999999</v>
          </cell>
          <cell r="AO303">
            <v>30795.200000000001</v>
          </cell>
          <cell r="AP303">
            <v>29695.7</v>
          </cell>
          <cell r="AQ303">
            <v>28077.7</v>
          </cell>
          <cell r="AR303">
            <v>27370.2</v>
          </cell>
          <cell r="AS303">
            <v>26799.200000000001</v>
          </cell>
          <cell r="AT303">
            <v>26553.200000000001</v>
          </cell>
          <cell r="AU303">
            <v>26544.2</v>
          </cell>
          <cell r="AV303">
            <v>26380.5</v>
          </cell>
          <cell r="AW303">
            <v>26257.9</v>
          </cell>
          <cell r="AX303">
            <v>26069</v>
          </cell>
          <cell r="AY303">
            <v>26037.9</v>
          </cell>
          <cell r="AZ303">
            <v>25950.2</v>
          </cell>
          <cell r="BA303">
            <v>25955.200000000001</v>
          </cell>
          <cell r="BB303">
            <v>25789.200000000001</v>
          </cell>
          <cell r="BC303">
            <v>25688.400000000001</v>
          </cell>
          <cell r="BD303">
            <v>25537.7</v>
          </cell>
          <cell r="BE303">
            <v>25569.4</v>
          </cell>
          <cell r="BF303">
            <v>25629.3</v>
          </cell>
          <cell r="BG303">
            <v>25705.3</v>
          </cell>
          <cell r="BH303">
            <v>25790.799999999999</v>
          </cell>
          <cell r="BI303">
            <v>25830.3</v>
          </cell>
          <cell r="BJ303">
            <v>25852.2</v>
          </cell>
          <cell r="BK303">
            <v>25926</v>
          </cell>
          <cell r="BL303">
            <v>25893</v>
          </cell>
          <cell r="BM303">
            <v>25992.3</v>
          </cell>
          <cell r="BN303">
            <v>25966.9</v>
          </cell>
          <cell r="BO303">
            <v>25903.7</v>
          </cell>
          <cell r="BP303">
            <v>25867.7</v>
          </cell>
          <cell r="BQ303">
            <v>25898.5</v>
          </cell>
          <cell r="BR303">
            <v>25925.1</v>
          </cell>
          <cell r="BS303">
            <v>25847.3</v>
          </cell>
          <cell r="BT303">
            <v>25870.799999999999</v>
          </cell>
          <cell r="BU303">
            <v>25868</v>
          </cell>
          <cell r="BV303">
            <v>25768.6</v>
          </cell>
          <cell r="BW303">
            <v>25687</v>
          </cell>
          <cell r="BX303">
            <v>25634.3</v>
          </cell>
          <cell r="BY303">
            <v>25695.4</v>
          </cell>
          <cell r="BZ303">
            <v>25691.9</v>
          </cell>
          <cell r="CA303">
            <v>25704.5</v>
          </cell>
          <cell r="CB303">
            <v>25665.599999999999</v>
          </cell>
          <cell r="CC303">
            <v>25728.400000000001</v>
          </cell>
          <cell r="CD303">
            <v>25721.3</v>
          </cell>
          <cell r="CE303">
            <v>25668.799999999999</v>
          </cell>
          <cell r="CF303">
            <v>25569.200000000001</v>
          </cell>
          <cell r="CG303">
            <v>25464</v>
          </cell>
          <cell r="CH303">
            <v>25456.799999999999</v>
          </cell>
          <cell r="CI303">
            <v>25416.799999999999</v>
          </cell>
          <cell r="CJ303">
            <v>25433</v>
          </cell>
          <cell r="CK303">
            <v>25393.599999999999</v>
          </cell>
          <cell r="CL303">
            <v>25333.3</v>
          </cell>
          <cell r="CM303">
            <v>25075.3</v>
          </cell>
          <cell r="CN303">
            <v>25241.8</v>
          </cell>
          <cell r="CO303">
            <v>25274</v>
          </cell>
          <cell r="CP303">
            <v>25387.4</v>
          </cell>
          <cell r="CQ303">
            <v>25318.5</v>
          </cell>
          <cell r="CR303">
            <v>25407.3</v>
          </cell>
          <cell r="CS303">
            <v>25529.4</v>
          </cell>
          <cell r="CT303">
            <v>25706.2</v>
          </cell>
          <cell r="CU303">
            <v>25782.5</v>
          </cell>
          <cell r="CV303">
            <v>25962.799999999999</v>
          </cell>
          <cell r="CW303">
            <v>26074.2</v>
          </cell>
          <cell r="CX303">
            <v>26300.5</v>
          </cell>
          <cell r="CY303">
            <v>26450.400000000001</v>
          </cell>
          <cell r="CZ303">
            <v>26724.6</v>
          </cell>
          <cell r="DA303">
            <v>26837.9</v>
          </cell>
          <cell r="DB303">
            <v>27025.599999999999</v>
          </cell>
          <cell r="DC303">
            <v>27143</v>
          </cell>
          <cell r="DD303">
            <v>27369.4</v>
          </cell>
          <cell r="DE303">
            <v>27734.400000000001</v>
          </cell>
          <cell r="DF303">
            <v>27952.5</v>
          </cell>
          <cell r="DG303">
            <v>28170.5</v>
          </cell>
          <cell r="DH303">
            <v>28457.200000000001</v>
          </cell>
          <cell r="DI303">
            <v>28627.5</v>
          </cell>
          <cell r="DJ303">
            <v>28840.2</v>
          </cell>
          <cell r="DK303">
            <v>29144.400000000001</v>
          </cell>
          <cell r="DL303">
            <v>28092.6</v>
          </cell>
          <cell r="DM303">
            <v>28116</v>
          </cell>
          <cell r="DN303">
            <v>28139.4</v>
          </cell>
          <cell r="DO303">
            <v>28162.9</v>
          </cell>
          <cell r="DP303">
            <v>28186.3</v>
          </cell>
          <cell r="DQ303">
            <v>28209.8</v>
          </cell>
          <cell r="DR303">
            <v>28233.3</v>
          </cell>
          <cell r="DS303">
            <v>28256.799999999999</v>
          </cell>
          <cell r="DT303">
            <v>28280.400000000001</v>
          </cell>
          <cell r="DU303">
            <v>28304</v>
          </cell>
          <cell r="DV303">
            <v>28327.599999999999</v>
          </cell>
          <cell r="DW303">
            <v>28351.200000000001</v>
          </cell>
        </row>
        <row r="304">
          <cell r="A304" t="str">
            <v>Customer Deposits - Short Term</v>
          </cell>
          <cell r="B304" t="str">
            <v>Customer Deposits</v>
          </cell>
          <cell r="C304" t="str">
            <v>Customer Deposits - Current 2350110</v>
          </cell>
          <cell r="D304" t="str">
            <v>2350110</v>
          </cell>
          <cell r="E304" t="str">
            <v>A_2350110</v>
          </cell>
          <cell r="F304" t="str">
            <v>Non-CIS Customer Deposits Short-term</v>
          </cell>
          <cell r="G304">
            <v>709.93200000000002</v>
          </cell>
          <cell r="H304">
            <v>709.9</v>
          </cell>
          <cell r="I304">
            <v>709.9</v>
          </cell>
          <cell r="J304">
            <v>709.9</v>
          </cell>
          <cell r="K304">
            <v>734.9</v>
          </cell>
          <cell r="L304">
            <v>734.9</v>
          </cell>
          <cell r="M304">
            <v>734.9</v>
          </cell>
          <cell r="N304">
            <v>734.9</v>
          </cell>
          <cell r="O304">
            <v>709.9</v>
          </cell>
          <cell r="P304">
            <v>709.9</v>
          </cell>
          <cell r="Q304">
            <v>709.9</v>
          </cell>
          <cell r="R304">
            <v>709.9</v>
          </cell>
          <cell r="S304">
            <v>709.9</v>
          </cell>
          <cell r="T304">
            <v>709.9</v>
          </cell>
          <cell r="U304">
            <v>682.9</v>
          </cell>
          <cell r="V304">
            <v>682.9</v>
          </cell>
          <cell r="W304">
            <v>682.9</v>
          </cell>
          <cell r="X304">
            <v>682.9</v>
          </cell>
          <cell r="Y304">
            <v>682.9</v>
          </cell>
          <cell r="Z304">
            <v>682.9</v>
          </cell>
          <cell r="AA304">
            <v>682.9</v>
          </cell>
          <cell r="AB304">
            <v>682.9</v>
          </cell>
          <cell r="AC304">
            <v>682.9</v>
          </cell>
          <cell r="AD304">
            <v>682.9</v>
          </cell>
          <cell r="AE304">
            <v>682.9</v>
          </cell>
          <cell r="AF304">
            <v>682.9</v>
          </cell>
          <cell r="AG304">
            <v>682.9</v>
          </cell>
          <cell r="AH304">
            <v>857.9</v>
          </cell>
          <cell r="AI304">
            <v>826</v>
          </cell>
          <cell r="AJ304">
            <v>826</v>
          </cell>
          <cell r="AK304">
            <v>826</v>
          </cell>
          <cell r="AL304">
            <v>826</v>
          </cell>
          <cell r="AM304">
            <v>826</v>
          </cell>
          <cell r="AN304">
            <v>826</v>
          </cell>
          <cell r="AO304">
            <v>826</v>
          </cell>
          <cell r="AP304">
            <v>826</v>
          </cell>
          <cell r="AQ304">
            <v>826</v>
          </cell>
          <cell r="AR304">
            <v>826</v>
          </cell>
          <cell r="AS304">
            <v>826</v>
          </cell>
          <cell r="AT304">
            <v>826</v>
          </cell>
          <cell r="AU304">
            <v>826</v>
          </cell>
          <cell r="AV304">
            <v>826</v>
          </cell>
          <cell r="AW304">
            <v>826</v>
          </cell>
          <cell r="AX304">
            <v>826</v>
          </cell>
          <cell r="AY304">
            <v>826</v>
          </cell>
          <cell r="AZ304">
            <v>826</v>
          </cell>
          <cell r="BA304">
            <v>826</v>
          </cell>
          <cell r="BB304">
            <v>826</v>
          </cell>
          <cell r="BC304">
            <v>826</v>
          </cell>
          <cell r="BD304">
            <v>826</v>
          </cell>
          <cell r="BE304">
            <v>826</v>
          </cell>
          <cell r="BF304">
            <v>826</v>
          </cell>
          <cell r="BG304">
            <v>826</v>
          </cell>
          <cell r="BH304">
            <v>826</v>
          </cell>
          <cell r="BI304">
            <v>836</v>
          </cell>
          <cell r="BJ304">
            <v>836</v>
          </cell>
          <cell r="BK304">
            <v>661</v>
          </cell>
          <cell r="BL304">
            <v>661</v>
          </cell>
          <cell r="BM304">
            <v>511</v>
          </cell>
          <cell r="BN304">
            <v>511</v>
          </cell>
          <cell r="BO304">
            <v>511</v>
          </cell>
          <cell r="BP304">
            <v>511</v>
          </cell>
          <cell r="BQ304">
            <v>511</v>
          </cell>
          <cell r="BR304">
            <v>511</v>
          </cell>
          <cell r="BS304">
            <v>521</v>
          </cell>
          <cell r="BT304">
            <v>521</v>
          </cell>
          <cell r="BU304">
            <v>521</v>
          </cell>
          <cell r="BV304">
            <v>605</v>
          </cell>
          <cell r="BW304">
            <v>595</v>
          </cell>
          <cell r="BX304">
            <v>569</v>
          </cell>
          <cell r="BY304">
            <v>569</v>
          </cell>
          <cell r="BZ304">
            <v>569</v>
          </cell>
          <cell r="CA304">
            <v>569</v>
          </cell>
          <cell r="CB304">
            <v>569</v>
          </cell>
          <cell r="CC304">
            <v>594</v>
          </cell>
          <cell r="CD304">
            <v>594</v>
          </cell>
          <cell r="CE304">
            <v>594</v>
          </cell>
          <cell r="CF304">
            <v>594</v>
          </cell>
          <cell r="CG304">
            <v>594</v>
          </cell>
          <cell r="CH304">
            <v>594</v>
          </cell>
          <cell r="CI304">
            <v>594</v>
          </cell>
          <cell r="CJ304">
            <v>594</v>
          </cell>
          <cell r="CK304">
            <v>594</v>
          </cell>
          <cell r="CL304">
            <v>594</v>
          </cell>
          <cell r="CM304">
            <v>594</v>
          </cell>
          <cell r="CN304">
            <v>594</v>
          </cell>
          <cell r="CO304">
            <v>589</v>
          </cell>
          <cell r="CP304">
            <v>589</v>
          </cell>
          <cell r="CQ304">
            <v>589</v>
          </cell>
          <cell r="CR304">
            <v>589</v>
          </cell>
          <cell r="CS304">
            <v>589</v>
          </cell>
          <cell r="CT304">
            <v>579</v>
          </cell>
          <cell r="CU304">
            <v>579</v>
          </cell>
          <cell r="CV304">
            <v>579</v>
          </cell>
          <cell r="CW304">
            <v>604</v>
          </cell>
          <cell r="CX304">
            <v>604</v>
          </cell>
          <cell r="CY304">
            <v>604</v>
          </cell>
          <cell r="CZ304">
            <v>604</v>
          </cell>
          <cell r="DA304">
            <v>604</v>
          </cell>
          <cell r="DB304">
            <v>604</v>
          </cell>
          <cell r="DC304">
            <v>604</v>
          </cell>
          <cell r="DD304">
            <v>614</v>
          </cell>
          <cell r="DE304">
            <v>614</v>
          </cell>
          <cell r="DF304">
            <v>614</v>
          </cell>
          <cell r="DG304">
            <v>614</v>
          </cell>
          <cell r="DH304">
            <v>614</v>
          </cell>
          <cell r="DI304">
            <v>614</v>
          </cell>
          <cell r="DJ304">
            <v>614</v>
          </cell>
          <cell r="DK304">
            <v>715</v>
          </cell>
          <cell r="DL304">
            <v>600</v>
          </cell>
          <cell r="DM304">
            <v>600</v>
          </cell>
          <cell r="DN304">
            <v>600</v>
          </cell>
          <cell r="DO304">
            <v>600</v>
          </cell>
          <cell r="DP304">
            <v>600</v>
          </cell>
          <cell r="DQ304">
            <v>600</v>
          </cell>
          <cell r="DR304">
            <v>600</v>
          </cell>
          <cell r="DS304">
            <v>600</v>
          </cell>
          <cell r="DT304">
            <v>600</v>
          </cell>
          <cell r="DU304">
            <v>600</v>
          </cell>
          <cell r="DV304">
            <v>600</v>
          </cell>
          <cell r="DW304">
            <v>600</v>
          </cell>
        </row>
        <row r="305">
          <cell r="D305" t="str">
            <v>235</v>
          </cell>
          <cell r="E305">
            <v>235</v>
          </cell>
          <cell r="G305">
            <v>38962.429020000003</v>
          </cell>
          <cell r="H305">
            <v>39112.6</v>
          </cell>
          <cell r="I305">
            <v>39329.1</v>
          </cell>
          <cell r="J305">
            <v>39461.4</v>
          </cell>
          <cell r="K305">
            <v>39583.1</v>
          </cell>
          <cell r="L305">
            <v>39821.800000000003</v>
          </cell>
          <cell r="M305">
            <v>40036.800000000003</v>
          </cell>
          <cell r="N305">
            <v>40263.700000000004</v>
          </cell>
          <cell r="O305">
            <v>40333.300000000003</v>
          </cell>
          <cell r="P305">
            <v>40544</v>
          </cell>
          <cell r="Q305">
            <v>40969.300000000003</v>
          </cell>
          <cell r="R305">
            <v>40712.800000000003</v>
          </cell>
          <cell r="S305">
            <v>40677.800000000003</v>
          </cell>
          <cell r="T305">
            <v>40827.800000000003</v>
          </cell>
          <cell r="U305">
            <v>40820.1</v>
          </cell>
          <cell r="V305">
            <v>40888.400000000001</v>
          </cell>
          <cell r="W305">
            <v>41089.5</v>
          </cell>
          <cell r="X305">
            <v>41312.300000000003</v>
          </cell>
          <cell r="Y305">
            <v>41383.599999999999</v>
          </cell>
          <cell r="Z305">
            <v>41410.6</v>
          </cell>
          <cell r="AA305">
            <v>41393.5</v>
          </cell>
          <cell r="AB305">
            <v>41450.1</v>
          </cell>
          <cell r="AC305">
            <v>41588</v>
          </cell>
          <cell r="AD305">
            <v>41843.4</v>
          </cell>
          <cell r="AE305">
            <v>41965.3</v>
          </cell>
          <cell r="AF305">
            <v>40665.200000000004</v>
          </cell>
          <cell r="AG305">
            <v>39610.6</v>
          </cell>
          <cell r="AH305">
            <v>38879.300000000003</v>
          </cell>
          <cell r="AI305">
            <v>37845.5</v>
          </cell>
          <cell r="AJ305">
            <v>36776.800000000003</v>
          </cell>
          <cell r="AK305">
            <v>35960.6</v>
          </cell>
          <cell r="AL305">
            <v>34851.4</v>
          </cell>
          <cell r="AM305">
            <v>33817.1</v>
          </cell>
          <cell r="AN305">
            <v>32932.800000000003</v>
          </cell>
          <cell r="AO305">
            <v>31621.200000000001</v>
          </cell>
          <cell r="AP305">
            <v>30521.7</v>
          </cell>
          <cell r="AQ305">
            <v>28903.7</v>
          </cell>
          <cell r="AR305">
            <v>28196.2</v>
          </cell>
          <cell r="AS305">
            <v>27625.200000000001</v>
          </cell>
          <cell r="AT305">
            <v>27379.200000000001</v>
          </cell>
          <cell r="AU305">
            <v>27370.2</v>
          </cell>
          <cell r="AV305">
            <v>27206.5</v>
          </cell>
          <cell r="AW305">
            <v>27083.9</v>
          </cell>
          <cell r="AX305">
            <v>26895</v>
          </cell>
          <cell r="AY305">
            <v>26863.9</v>
          </cell>
          <cell r="AZ305">
            <v>26776.2</v>
          </cell>
          <cell r="BA305">
            <v>26781.200000000001</v>
          </cell>
          <cell r="BB305">
            <v>26615.200000000001</v>
          </cell>
          <cell r="BC305">
            <v>26514.400000000001</v>
          </cell>
          <cell r="BD305">
            <v>26363.7</v>
          </cell>
          <cell r="BE305">
            <v>26395.4</v>
          </cell>
          <cell r="BF305">
            <v>26455.3</v>
          </cell>
          <cell r="BG305">
            <v>26531.3</v>
          </cell>
          <cell r="BH305">
            <v>26616.799999999999</v>
          </cell>
          <cell r="BI305">
            <v>26666.3</v>
          </cell>
          <cell r="BJ305">
            <v>26688.2</v>
          </cell>
          <cell r="BK305">
            <v>26587</v>
          </cell>
          <cell r="BL305">
            <v>26554</v>
          </cell>
          <cell r="BM305">
            <v>26503.3</v>
          </cell>
          <cell r="BN305">
            <v>26477.9</v>
          </cell>
          <cell r="BO305">
            <v>26414.7</v>
          </cell>
          <cell r="BP305">
            <v>26378.7</v>
          </cell>
          <cell r="BQ305">
            <v>26409.5</v>
          </cell>
          <cell r="BR305">
            <v>26436.1</v>
          </cell>
          <cell r="BS305">
            <v>26368.3</v>
          </cell>
          <cell r="BT305">
            <v>26391.8</v>
          </cell>
          <cell r="BU305">
            <v>26389</v>
          </cell>
          <cell r="BV305">
            <v>26373.599999999999</v>
          </cell>
          <cell r="BW305">
            <v>26282</v>
          </cell>
          <cell r="BX305">
            <v>26203.3</v>
          </cell>
          <cell r="BY305">
            <v>26264.400000000001</v>
          </cell>
          <cell r="BZ305">
            <v>26260.9</v>
          </cell>
          <cell r="CA305">
            <v>26273.5</v>
          </cell>
          <cell r="CB305">
            <v>26234.6</v>
          </cell>
          <cell r="CC305">
            <v>26322.400000000001</v>
          </cell>
          <cell r="CD305">
            <v>26315.3</v>
          </cell>
          <cell r="CE305">
            <v>26262.799999999999</v>
          </cell>
          <cell r="CF305">
            <v>26163.200000000001</v>
          </cell>
          <cell r="CG305">
            <v>26058</v>
          </cell>
          <cell r="CH305">
            <v>26050.799999999999</v>
          </cell>
          <cell r="CI305">
            <v>26010.799999999999</v>
          </cell>
          <cell r="CJ305">
            <v>26027</v>
          </cell>
          <cell r="CK305">
            <v>25987.599999999999</v>
          </cell>
          <cell r="CL305">
            <v>25927.3</v>
          </cell>
          <cell r="CM305">
            <v>25669.3</v>
          </cell>
          <cell r="CN305">
            <v>25835.8</v>
          </cell>
          <cell r="CO305">
            <v>25863</v>
          </cell>
          <cell r="CP305">
            <v>25976.400000000001</v>
          </cell>
          <cell r="CQ305">
            <v>25907.5</v>
          </cell>
          <cell r="CR305">
            <v>25996.3</v>
          </cell>
          <cell r="CS305">
            <v>26118.400000000001</v>
          </cell>
          <cell r="CT305">
            <v>26285.200000000001</v>
          </cell>
          <cell r="CU305">
            <v>26361.5</v>
          </cell>
          <cell r="CV305">
            <v>26541.8</v>
          </cell>
          <cell r="CW305">
            <v>26678.2</v>
          </cell>
          <cell r="CX305">
            <v>26904.5</v>
          </cell>
          <cell r="CY305">
            <v>27054.400000000001</v>
          </cell>
          <cell r="CZ305">
            <v>27328.6</v>
          </cell>
          <cell r="DA305">
            <v>27441.9</v>
          </cell>
          <cell r="DB305">
            <v>27629.599999999999</v>
          </cell>
          <cell r="DC305">
            <v>27747</v>
          </cell>
          <cell r="DD305">
            <v>27983.4</v>
          </cell>
          <cell r="DE305">
            <v>28348.400000000001</v>
          </cell>
          <cell r="DF305">
            <v>28566.5</v>
          </cell>
          <cell r="DG305">
            <v>28784.5</v>
          </cell>
          <cell r="DH305">
            <v>29071.200000000001</v>
          </cell>
          <cell r="DI305">
            <v>29241.5</v>
          </cell>
          <cell r="DJ305">
            <v>29454.2</v>
          </cell>
          <cell r="DK305">
            <v>29859.4</v>
          </cell>
          <cell r="DL305">
            <v>28692.6</v>
          </cell>
          <cell r="DM305">
            <v>28716</v>
          </cell>
          <cell r="DN305">
            <v>28739.4</v>
          </cell>
          <cell r="DO305">
            <v>28762.9</v>
          </cell>
          <cell r="DP305">
            <v>28786.3</v>
          </cell>
          <cell r="DQ305">
            <v>28809.8</v>
          </cell>
          <cell r="DR305">
            <v>28833.3</v>
          </cell>
          <cell r="DS305">
            <v>28856.799999999999</v>
          </cell>
          <cell r="DT305">
            <v>28880.400000000001</v>
          </cell>
          <cell r="DU305">
            <v>28904</v>
          </cell>
          <cell r="DV305">
            <v>28927.599999999999</v>
          </cell>
          <cell r="DW305">
            <v>28951.200000000001</v>
          </cell>
          <cell r="EJ305" t="str">
            <v>.</v>
          </cell>
        </row>
        <row r="306">
          <cell r="A306" t="str">
            <v>Taxes Accrued - Income</v>
          </cell>
          <cell r="B306" t="str">
            <v>Income Taxes Payable</v>
          </cell>
          <cell r="C306" t="str">
            <v>Taxes Accrued - Income</v>
          </cell>
          <cell r="D306" t="str">
            <v>2360310</v>
          </cell>
          <cell r="E306" t="str">
            <v>A_2360310</v>
          </cell>
          <cell r="F306" t="str">
            <v>Income Tax Pay - Federal Current Year</v>
          </cell>
          <cell r="G306">
            <v>0</v>
          </cell>
          <cell r="H306">
            <v>1110.2</v>
          </cell>
          <cell r="I306">
            <v>3706.9</v>
          </cell>
          <cell r="J306">
            <v>7388.5</v>
          </cell>
          <cell r="K306">
            <v>1479.4</v>
          </cell>
          <cell r="L306">
            <v>2772.7</v>
          </cell>
          <cell r="M306">
            <v>-3645.8</v>
          </cell>
          <cell r="N306">
            <v>-3086.3</v>
          </cell>
          <cell r="O306">
            <v>-2750.9</v>
          </cell>
          <cell r="P306">
            <v>-6100.2</v>
          </cell>
          <cell r="Q306">
            <v>-1846.1</v>
          </cell>
          <cell r="R306">
            <v>-2837.2</v>
          </cell>
          <cell r="S306">
            <v>0</v>
          </cell>
          <cell r="T306">
            <v>-6614.6</v>
          </cell>
          <cell r="U306">
            <v>-5261.8</v>
          </cell>
          <cell r="V306">
            <v>6877.2</v>
          </cell>
          <cell r="W306">
            <v>1049.2</v>
          </cell>
          <cell r="X306">
            <v>1968.9</v>
          </cell>
          <cell r="Y306">
            <v>-3525.6</v>
          </cell>
          <cell r="Z306">
            <v>-2499.5</v>
          </cell>
          <cell r="AA306">
            <v>-1457.7</v>
          </cell>
          <cell r="AB306">
            <v>-3433.8</v>
          </cell>
          <cell r="AC306">
            <v>-3882.4</v>
          </cell>
          <cell r="AD306">
            <v>-4024</v>
          </cell>
          <cell r="AE306">
            <v>0</v>
          </cell>
          <cell r="AF306">
            <v>-11617.7</v>
          </cell>
          <cell r="AG306">
            <v>-9112.2999999999993</v>
          </cell>
          <cell r="AH306">
            <v>5307.2</v>
          </cell>
          <cell r="AI306">
            <v>465</v>
          </cell>
          <cell r="AJ306">
            <v>620.70000000000005</v>
          </cell>
          <cell r="AK306">
            <v>-4724.8999999999996</v>
          </cell>
          <cell r="AL306">
            <v>-4443.3</v>
          </cell>
          <cell r="AM306">
            <v>-5106.5</v>
          </cell>
          <cell r="AN306">
            <v>947.5</v>
          </cell>
          <cell r="AO306">
            <v>-887.8</v>
          </cell>
          <cell r="AP306">
            <v>-1050.0999999999999</v>
          </cell>
          <cell r="AQ306">
            <v>0</v>
          </cell>
          <cell r="AR306">
            <v>878.4</v>
          </cell>
          <cell r="AS306">
            <v>403.3</v>
          </cell>
          <cell r="AT306">
            <v>371.9</v>
          </cell>
          <cell r="AU306">
            <v>1353.1</v>
          </cell>
          <cell r="AV306">
            <v>708.3</v>
          </cell>
          <cell r="AW306">
            <v>265</v>
          </cell>
          <cell r="AX306">
            <v>-550</v>
          </cell>
          <cell r="AY306">
            <v>-1403.6</v>
          </cell>
          <cell r="AZ306">
            <v>144.69999999999999</v>
          </cell>
          <cell r="BA306">
            <v>-1553</v>
          </cell>
          <cell r="BB306">
            <v>-2400.3000000000002</v>
          </cell>
          <cell r="BC306">
            <v>5619.3</v>
          </cell>
          <cell r="BD306">
            <v>8233.1</v>
          </cell>
          <cell r="BE306">
            <v>8631.7000000000007</v>
          </cell>
          <cell r="BF306">
            <v>9374.7000000000007</v>
          </cell>
          <cell r="BG306">
            <v>3285.3</v>
          </cell>
          <cell r="BH306">
            <v>3572.1</v>
          </cell>
          <cell r="BI306">
            <v>2103.9</v>
          </cell>
          <cell r="BJ306">
            <v>2364.3000000000002</v>
          </cell>
          <cell r="BK306">
            <v>1486.7</v>
          </cell>
          <cell r="BL306">
            <v>895.6</v>
          </cell>
          <cell r="BM306">
            <v>698.4</v>
          </cell>
          <cell r="BN306">
            <v>-2564.4</v>
          </cell>
          <cell r="BO306">
            <v>2694.5</v>
          </cell>
          <cell r="BP306">
            <v>4340.1000000000004</v>
          </cell>
          <cell r="BQ306">
            <v>4410.2</v>
          </cell>
          <cell r="BR306">
            <v>5406.4</v>
          </cell>
          <cell r="BS306">
            <v>2393.1</v>
          </cell>
          <cell r="BT306">
            <v>2759.9</v>
          </cell>
          <cell r="BU306">
            <v>1890.4</v>
          </cell>
          <cell r="BV306">
            <v>2033.5</v>
          </cell>
          <cell r="BW306">
            <v>2184.4</v>
          </cell>
          <cell r="BX306">
            <v>647.20000000000005</v>
          </cell>
          <cell r="BY306">
            <v>887</v>
          </cell>
          <cell r="BZ306">
            <v>1425.6</v>
          </cell>
          <cell r="CA306">
            <v>0</v>
          </cell>
          <cell r="CB306">
            <v>2636.9</v>
          </cell>
          <cell r="CC306">
            <v>1075</v>
          </cell>
          <cell r="CD306">
            <v>1462</v>
          </cell>
          <cell r="CE306">
            <v>1897</v>
          </cell>
          <cell r="CF306">
            <v>1722.5</v>
          </cell>
          <cell r="CG306">
            <v>2040.1</v>
          </cell>
          <cell r="CH306">
            <v>1777.5</v>
          </cell>
          <cell r="CI306">
            <v>1779.8</v>
          </cell>
          <cell r="CJ306">
            <v>1909.3</v>
          </cell>
          <cell r="CK306">
            <v>663</v>
          </cell>
          <cell r="CL306">
            <v>1678.5</v>
          </cell>
          <cell r="CM306">
            <v>1378.8</v>
          </cell>
          <cell r="CN306">
            <v>3775</v>
          </cell>
          <cell r="CO306">
            <v>4785.5</v>
          </cell>
          <cell r="CP306">
            <v>4370</v>
          </cell>
          <cell r="CQ306">
            <v>2590</v>
          </cell>
          <cell r="CR306">
            <v>2168.5</v>
          </cell>
          <cell r="CS306">
            <v>2181.3000000000002</v>
          </cell>
          <cell r="CT306">
            <v>1987.3</v>
          </cell>
          <cell r="CU306">
            <v>2581.5</v>
          </cell>
          <cell r="CV306">
            <v>-198.1</v>
          </cell>
          <cell r="CW306">
            <v>-1522.7</v>
          </cell>
          <cell r="CX306">
            <v>-2860.5</v>
          </cell>
          <cell r="CY306">
            <v>0</v>
          </cell>
          <cell r="CZ306">
            <v>-889.7</v>
          </cell>
          <cell r="DA306">
            <v>1862.7</v>
          </cell>
          <cell r="DB306">
            <v>2061.1999999999998</v>
          </cell>
          <cell r="DC306">
            <v>4475.5</v>
          </cell>
          <cell r="DD306">
            <v>4885.7</v>
          </cell>
          <cell r="DE306">
            <v>3478</v>
          </cell>
          <cell r="DF306">
            <v>3370.7</v>
          </cell>
          <cell r="DG306">
            <v>728.8</v>
          </cell>
          <cell r="DH306">
            <v>1271.5999999999999</v>
          </cell>
          <cell r="DI306">
            <v>851.3</v>
          </cell>
          <cell r="DJ306">
            <v>912.9</v>
          </cell>
          <cell r="DK306">
            <v>271.89999999999998</v>
          </cell>
          <cell r="DL306">
            <v>987.9</v>
          </cell>
          <cell r="DM306">
            <v>1771</v>
          </cell>
          <cell r="DN306">
            <v>1310</v>
          </cell>
          <cell r="DO306">
            <v>1465.4</v>
          </cell>
          <cell r="DP306">
            <v>1151</v>
          </cell>
          <cell r="DQ306">
            <v>1309.5</v>
          </cell>
          <cell r="DR306">
            <v>693.2</v>
          </cell>
          <cell r="DS306">
            <v>-31.1</v>
          </cell>
          <cell r="DT306">
            <v>-128.1</v>
          </cell>
          <cell r="DU306">
            <v>-1195.5999999999999</v>
          </cell>
          <cell r="DV306">
            <v>-1401.9</v>
          </cell>
          <cell r="DW306">
            <v>0</v>
          </cell>
        </row>
        <row r="307">
          <cell r="A307" t="str">
            <v>Taxes Accrued - Income</v>
          </cell>
          <cell r="B307" t="str">
            <v>Income Taxes Payable</v>
          </cell>
          <cell r="C307" t="str">
            <v>Taxes Accrued - Income</v>
          </cell>
          <cell r="D307" t="str">
            <v>2360320</v>
          </cell>
          <cell r="E307" t="str">
            <v>A_2360320</v>
          </cell>
          <cell r="F307" t="str">
            <v>Income Tax Pay - Federal Prior Year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</row>
        <row r="308">
          <cell r="A308" t="str">
            <v>Taxes Accrued - Income</v>
          </cell>
          <cell r="B308" t="str">
            <v>Income Taxes Payable</v>
          </cell>
          <cell r="C308" t="str">
            <v>Taxes Accrued - Income</v>
          </cell>
          <cell r="D308" t="str">
            <v>2360410</v>
          </cell>
          <cell r="E308" t="str">
            <v>A_2360410</v>
          </cell>
          <cell r="F308" t="str">
            <v>Income Tax Pay - State Current Year</v>
          </cell>
          <cell r="G308">
            <v>0</v>
          </cell>
          <cell r="H308">
            <v>192.1</v>
          </cell>
          <cell r="I308">
            <v>527.6</v>
          </cell>
          <cell r="J308">
            <v>883.1</v>
          </cell>
          <cell r="K308">
            <v>712</v>
          </cell>
          <cell r="L308">
            <v>830.7</v>
          </cell>
          <cell r="M308">
            <v>430.7</v>
          </cell>
          <cell r="N308">
            <v>427.4</v>
          </cell>
          <cell r="O308">
            <v>386.8</v>
          </cell>
          <cell r="P308">
            <v>-38.299999999999997</v>
          </cell>
          <cell r="Q308">
            <v>176.6</v>
          </cell>
          <cell r="R308">
            <v>-225.9</v>
          </cell>
          <cell r="S308">
            <v>0</v>
          </cell>
          <cell r="T308">
            <v>105.5</v>
          </cell>
          <cell r="U308">
            <v>235.5</v>
          </cell>
          <cell r="V308">
            <v>544</v>
          </cell>
          <cell r="W308">
            <v>642</v>
          </cell>
          <cell r="X308">
            <v>700</v>
          </cell>
          <cell r="Y308">
            <v>568.29999999999995</v>
          </cell>
          <cell r="Z308">
            <v>644</v>
          </cell>
          <cell r="AA308">
            <v>722.2</v>
          </cell>
          <cell r="AB308">
            <v>339.9</v>
          </cell>
          <cell r="AC308">
            <v>9.6</v>
          </cell>
          <cell r="AD308">
            <v>-107.2</v>
          </cell>
          <cell r="AE308">
            <v>0</v>
          </cell>
          <cell r="AF308">
            <v>119</v>
          </cell>
          <cell r="AG308">
            <v>556.4</v>
          </cell>
          <cell r="AH308">
            <v>728.9</v>
          </cell>
          <cell r="AI308">
            <v>684.9</v>
          </cell>
          <cell r="AJ308">
            <v>731.6</v>
          </cell>
          <cell r="AK308">
            <v>612.29999999999995</v>
          </cell>
          <cell r="AL308">
            <v>679.9</v>
          </cell>
          <cell r="AM308">
            <v>570.5</v>
          </cell>
          <cell r="AN308">
            <v>-53.5</v>
          </cell>
          <cell r="AO308">
            <v>-170.2</v>
          </cell>
          <cell r="AP308">
            <v>-196.3</v>
          </cell>
          <cell r="AQ308">
            <v>33.200000000000003</v>
          </cell>
          <cell r="AR308">
            <v>340</v>
          </cell>
          <cell r="AS308">
            <v>261.39999999999998</v>
          </cell>
          <cell r="AT308">
            <v>404.5</v>
          </cell>
          <cell r="AU308">
            <v>274.7</v>
          </cell>
          <cell r="AV308">
            <v>146.9</v>
          </cell>
          <cell r="AW308">
            <v>218.5</v>
          </cell>
          <cell r="AX308">
            <v>118.6</v>
          </cell>
          <cell r="AY308">
            <v>12.3</v>
          </cell>
          <cell r="AZ308">
            <v>39.200000000000003</v>
          </cell>
          <cell r="BA308">
            <v>-207.5</v>
          </cell>
          <cell r="BB308">
            <v>-312.7</v>
          </cell>
          <cell r="BC308">
            <v>298.5</v>
          </cell>
          <cell r="BD308">
            <v>904.7</v>
          </cell>
          <cell r="BE308">
            <v>897</v>
          </cell>
          <cell r="BF308">
            <v>976.5</v>
          </cell>
          <cell r="BG308">
            <v>789.5</v>
          </cell>
          <cell r="BH308">
            <v>748.1</v>
          </cell>
          <cell r="BI308">
            <v>583.1</v>
          </cell>
          <cell r="BJ308">
            <v>534.29999999999995</v>
          </cell>
          <cell r="BK308">
            <v>573.70000000000005</v>
          </cell>
          <cell r="BL308">
            <v>248.2</v>
          </cell>
          <cell r="BM308">
            <v>123.1</v>
          </cell>
          <cell r="BN308">
            <v>35</v>
          </cell>
          <cell r="BO308">
            <v>0</v>
          </cell>
          <cell r="BP308">
            <v>15.7</v>
          </cell>
          <cell r="BQ308">
            <v>-98.6</v>
          </cell>
          <cell r="BR308">
            <v>29.2</v>
          </cell>
          <cell r="BS308">
            <v>515</v>
          </cell>
          <cell r="BT308">
            <v>468.4</v>
          </cell>
          <cell r="BU308">
            <v>523.9</v>
          </cell>
          <cell r="BV308">
            <v>415.3</v>
          </cell>
          <cell r="BW308">
            <v>308.89999999999998</v>
          </cell>
          <cell r="BX308">
            <v>50.2</v>
          </cell>
          <cell r="BY308">
            <v>-15.4</v>
          </cell>
          <cell r="BZ308">
            <v>-14.6</v>
          </cell>
          <cell r="CA308">
            <v>0</v>
          </cell>
          <cell r="CB308">
            <v>487.7</v>
          </cell>
          <cell r="CC308">
            <v>42.4</v>
          </cell>
          <cell r="CD308">
            <v>30.2</v>
          </cell>
          <cell r="CE308">
            <v>323.3</v>
          </cell>
          <cell r="CF308">
            <v>186.3</v>
          </cell>
          <cell r="CG308">
            <v>453.3</v>
          </cell>
          <cell r="CH308">
            <v>296.7</v>
          </cell>
          <cell r="CI308">
            <v>264.89999999999998</v>
          </cell>
          <cell r="CJ308">
            <v>431</v>
          </cell>
          <cell r="CK308">
            <v>43.8</v>
          </cell>
          <cell r="CL308">
            <v>175.2</v>
          </cell>
          <cell r="CM308">
            <v>158.4</v>
          </cell>
          <cell r="CN308">
            <v>609.29999999999995</v>
          </cell>
          <cell r="CO308">
            <v>752.4</v>
          </cell>
          <cell r="CP308">
            <v>578.5</v>
          </cell>
          <cell r="CQ308">
            <v>478.5</v>
          </cell>
          <cell r="CR308">
            <v>318.8</v>
          </cell>
          <cell r="CS308">
            <v>484.7</v>
          </cell>
          <cell r="CT308">
            <v>360.1</v>
          </cell>
          <cell r="CU308">
            <v>410.6</v>
          </cell>
          <cell r="CV308">
            <v>-224.1</v>
          </cell>
          <cell r="CW308">
            <v>-519.29999999999995</v>
          </cell>
          <cell r="CX308">
            <v>-816.7</v>
          </cell>
          <cell r="CY308">
            <v>0</v>
          </cell>
          <cell r="CZ308">
            <v>-226.1</v>
          </cell>
          <cell r="DA308">
            <v>472.1</v>
          </cell>
          <cell r="DB308">
            <v>462.6</v>
          </cell>
          <cell r="DC308">
            <v>1175.8</v>
          </cell>
          <cell r="DD308">
            <v>1224.9000000000001</v>
          </cell>
          <cell r="DE308">
            <v>963.9</v>
          </cell>
          <cell r="DF308">
            <v>869.6</v>
          </cell>
          <cell r="DG308">
            <v>85.7</v>
          </cell>
          <cell r="DH308">
            <v>353.4</v>
          </cell>
          <cell r="DI308">
            <v>174.6</v>
          </cell>
          <cell r="DJ308">
            <v>129.5</v>
          </cell>
          <cell r="DK308">
            <v>67.3</v>
          </cell>
          <cell r="DL308">
            <v>229.7</v>
          </cell>
          <cell r="DM308">
            <v>410.7</v>
          </cell>
          <cell r="DN308">
            <v>247</v>
          </cell>
          <cell r="DO308">
            <v>370.1</v>
          </cell>
          <cell r="DP308">
            <v>247</v>
          </cell>
          <cell r="DQ308">
            <v>362.9</v>
          </cell>
          <cell r="DR308">
            <v>156.1</v>
          </cell>
          <cell r="DS308">
            <v>-80.599999999999994</v>
          </cell>
          <cell r="DT308">
            <v>-35.5</v>
          </cell>
          <cell r="DU308">
            <v>-367.4</v>
          </cell>
          <cell r="DV308">
            <v>-460.5</v>
          </cell>
          <cell r="DW308">
            <v>0</v>
          </cell>
        </row>
        <row r="309">
          <cell r="A309" t="str">
            <v>Taxes Accrued - Income</v>
          </cell>
          <cell r="B309" t="str">
            <v>Income Taxes Payable</v>
          </cell>
          <cell r="C309" t="str">
            <v>Taxes Accrued - Income</v>
          </cell>
          <cell r="D309" t="str">
            <v>2360420</v>
          </cell>
          <cell r="E309" t="str">
            <v>A_2360420</v>
          </cell>
          <cell r="F309" t="str">
            <v>Income Tax Pay - State Prior Year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</row>
        <row r="310">
          <cell r="A310" t="str">
            <v>Taxes Accrued - General</v>
          </cell>
          <cell r="B310" t="str">
            <v>Other Taxes Payable</v>
          </cell>
          <cell r="C310" t="str">
            <v>Taxes Accrued - General</v>
          </cell>
          <cell r="D310" t="str">
            <v>2360600</v>
          </cell>
          <cell r="E310" t="str">
            <v>A_2360600</v>
          </cell>
          <cell r="F310" t="str">
            <v>Taxes Payable - Unemployment - Federal</v>
          </cell>
          <cell r="G310">
            <v>-16.641470000000002</v>
          </cell>
          <cell r="H310">
            <v>5.0999999999999996</v>
          </cell>
          <cell r="I310">
            <v>6.1</v>
          </cell>
          <cell r="J310">
            <v>6.2</v>
          </cell>
          <cell r="K310">
            <v>-17</v>
          </cell>
          <cell r="L310">
            <v>-16.899999999999999</v>
          </cell>
          <cell r="M310">
            <v>-16.899999999999999</v>
          </cell>
          <cell r="N310">
            <v>-17</v>
          </cell>
          <cell r="O310">
            <v>-16.8</v>
          </cell>
          <cell r="P310">
            <v>-16.600000000000001</v>
          </cell>
          <cell r="Q310">
            <v>-16.899999999999999</v>
          </cell>
          <cell r="R310">
            <v>-16.8</v>
          </cell>
          <cell r="S310">
            <v>-16.7</v>
          </cell>
          <cell r="T310">
            <v>-3.5</v>
          </cell>
          <cell r="U310">
            <v>5.2</v>
          </cell>
          <cell r="V310">
            <v>5.4</v>
          </cell>
          <cell r="W310">
            <v>-17</v>
          </cell>
          <cell r="X310">
            <v>-16.8</v>
          </cell>
          <cell r="Y310">
            <v>-16.8</v>
          </cell>
          <cell r="Z310">
            <v>-17.100000000000001</v>
          </cell>
          <cell r="AA310">
            <v>-17</v>
          </cell>
          <cell r="AB310">
            <v>-16.899999999999999</v>
          </cell>
          <cell r="AC310">
            <v>-16.8</v>
          </cell>
          <cell r="AD310">
            <v>-16.5</v>
          </cell>
          <cell r="AE310">
            <v>-16</v>
          </cell>
          <cell r="AF310">
            <v>-2.4</v>
          </cell>
          <cell r="AG310">
            <v>5.2</v>
          </cell>
          <cell r="AH310">
            <v>5.5</v>
          </cell>
          <cell r="AI310">
            <v>-17.100000000000001</v>
          </cell>
          <cell r="AJ310">
            <v>-16.899999999999999</v>
          </cell>
          <cell r="AK310">
            <v>-16.8</v>
          </cell>
          <cell r="AL310">
            <v>-17</v>
          </cell>
          <cell r="AM310">
            <v>-16.7</v>
          </cell>
          <cell r="AN310">
            <v>-16.3</v>
          </cell>
          <cell r="AO310">
            <v>-17</v>
          </cell>
          <cell r="AP310">
            <v>-16.899999999999999</v>
          </cell>
          <cell r="AQ310">
            <v>-16.8</v>
          </cell>
          <cell r="AR310">
            <v>-0.9</v>
          </cell>
          <cell r="AS310">
            <v>5.7</v>
          </cell>
          <cell r="AT310">
            <v>6</v>
          </cell>
          <cell r="AU310">
            <v>-17.100000000000001</v>
          </cell>
          <cell r="AV310">
            <v>-16.899999999999999</v>
          </cell>
          <cell r="AW310">
            <v>-16.7</v>
          </cell>
          <cell r="AX310">
            <v>-16.899999999999999</v>
          </cell>
          <cell r="AY310">
            <v>-16.399999999999999</v>
          </cell>
          <cell r="AZ310">
            <v>-16.3</v>
          </cell>
          <cell r="BA310">
            <v>-17.100000000000001</v>
          </cell>
          <cell r="BB310">
            <v>-17</v>
          </cell>
          <cell r="BC310">
            <v>-16.899999999999999</v>
          </cell>
          <cell r="BD310">
            <v>-0.7</v>
          </cell>
          <cell r="BE310">
            <v>6</v>
          </cell>
          <cell r="BF310">
            <v>6.5</v>
          </cell>
          <cell r="BG310">
            <v>-16.8</v>
          </cell>
          <cell r="BH310">
            <v>-16.5</v>
          </cell>
          <cell r="BI310">
            <v>-16.3</v>
          </cell>
          <cell r="BJ310">
            <v>-17</v>
          </cell>
          <cell r="BK310">
            <v>-16.5</v>
          </cell>
          <cell r="BL310">
            <v>-16.3</v>
          </cell>
          <cell r="BM310">
            <v>-17</v>
          </cell>
          <cell r="BN310">
            <v>-16.8</v>
          </cell>
          <cell r="BO310">
            <v>0.6</v>
          </cell>
          <cell r="BP310">
            <v>22.3</v>
          </cell>
          <cell r="BQ310">
            <v>24.3</v>
          </cell>
          <cell r="BR310">
            <v>24.4</v>
          </cell>
          <cell r="BS310">
            <v>0.1</v>
          </cell>
          <cell r="BT310">
            <v>0.3</v>
          </cell>
          <cell r="BU310">
            <v>0.5</v>
          </cell>
          <cell r="BV310">
            <v>0.3</v>
          </cell>
          <cell r="BW310">
            <v>0.6</v>
          </cell>
          <cell r="BX310">
            <v>1</v>
          </cell>
          <cell r="BY310">
            <v>0.3</v>
          </cell>
          <cell r="BZ310">
            <v>0.6</v>
          </cell>
          <cell r="CA310">
            <v>0.7</v>
          </cell>
          <cell r="CB310">
            <v>23.5</v>
          </cell>
          <cell r="CC310">
            <v>25.9</v>
          </cell>
          <cell r="CD310">
            <v>26.1</v>
          </cell>
          <cell r="CE310">
            <v>0.2</v>
          </cell>
          <cell r="CF310">
            <v>0.4</v>
          </cell>
          <cell r="CG310">
            <v>0.6</v>
          </cell>
          <cell r="CH310">
            <v>0.2</v>
          </cell>
          <cell r="CI310">
            <v>0.3</v>
          </cell>
          <cell r="CJ310">
            <v>0.4</v>
          </cell>
          <cell r="CK310">
            <v>0.1</v>
          </cell>
          <cell r="CL310">
            <v>0.3</v>
          </cell>
          <cell r="CM310">
            <v>0.4</v>
          </cell>
          <cell r="CN310">
            <v>20</v>
          </cell>
          <cell r="CO310">
            <v>25.8</v>
          </cell>
          <cell r="CP310">
            <v>26.5</v>
          </cell>
          <cell r="CQ310">
            <v>0.3</v>
          </cell>
          <cell r="CR310">
            <v>0.5</v>
          </cell>
          <cell r="CS310">
            <v>0.6</v>
          </cell>
          <cell r="CT310">
            <v>0.5</v>
          </cell>
          <cell r="CU310">
            <v>0.9</v>
          </cell>
          <cell r="CV310">
            <v>1.3</v>
          </cell>
          <cell r="CW310">
            <v>0.1</v>
          </cell>
          <cell r="CX310">
            <v>0.3</v>
          </cell>
          <cell r="CY310">
            <v>0.8</v>
          </cell>
          <cell r="CZ310">
            <v>20.8</v>
          </cell>
          <cell r="DA310">
            <v>26.3</v>
          </cell>
          <cell r="DB310">
            <v>27.5</v>
          </cell>
          <cell r="DC310">
            <v>27.9</v>
          </cell>
          <cell r="DD310">
            <v>1.1000000000000001</v>
          </cell>
          <cell r="DE310">
            <v>2.4</v>
          </cell>
          <cell r="DF310">
            <v>3.1</v>
          </cell>
          <cell r="DG310">
            <v>1</v>
          </cell>
          <cell r="DH310">
            <v>1.3</v>
          </cell>
          <cell r="DI310">
            <v>1.5</v>
          </cell>
          <cell r="DJ310">
            <v>1.9</v>
          </cell>
          <cell r="DK310">
            <v>2.6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EK310" t="str">
            <v>zero out For/Bud based on account being fixed</v>
          </cell>
          <cell r="EL310" t="str">
            <v>A_2360600</v>
          </cell>
        </row>
        <row r="311">
          <cell r="A311" t="str">
            <v>Taxes Accrued - General</v>
          </cell>
          <cell r="B311" t="str">
            <v>Other Taxes Payable</v>
          </cell>
          <cell r="C311" t="str">
            <v>Taxes Accrued - General</v>
          </cell>
          <cell r="D311" t="str">
            <v>2360601</v>
          </cell>
          <cell r="E311" t="str">
            <v>A_2360601</v>
          </cell>
          <cell r="F311" t="str">
            <v>Taxes Payable - Unemployment - State</v>
          </cell>
          <cell r="G311">
            <v>-21.861619999999998</v>
          </cell>
          <cell r="H311">
            <v>41.2</v>
          </cell>
          <cell r="I311">
            <v>46.5</v>
          </cell>
          <cell r="J311">
            <v>47.5</v>
          </cell>
          <cell r="K311">
            <v>-25.1</v>
          </cell>
          <cell r="L311">
            <v>-24.7</v>
          </cell>
          <cell r="M311">
            <v>-24.5</v>
          </cell>
          <cell r="N311">
            <v>-25.1</v>
          </cell>
          <cell r="O311">
            <v>-24.5</v>
          </cell>
          <cell r="P311">
            <v>-23.8</v>
          </cell>
          <cell r="Q311">
            <v>-24.6</v>
          </cell>
          <cell r="R311">
            <v>-24.2</v>
          </cell>
          <cell r="S311">
            <v>-24</v>
          </cell>
          <cell r="T311">
            <v>-5.6</v>
          </cell>
          <cell r="U311">
            <v>6.9</v>
          </cell>
          <cell r="V311">
            <v>7.3</v>
          </cell>
          <cell r="W311">
            <v>-25.1</v>
          </cell>
          <cell r="X311">
            <v>-24.9</v>
          </cell>
          <cell r="Y311">
            <v>-24.8</v>
          </cell>
          <cell r="Z311">
            <v>-25.4</v>
          </cell>
          <cell r="AA311">
            <v>-25.2</v>
          </cell>
          <cell r="AB311">
            <v>-25.1</v>
          </cell>
          <cell r="AC311">
            <v>-25</v>
          </cell>
          <cell r="AD311">
            <v>-24.4</v>
          </cell>
          <cell r="AE311">
            <v>-23.8</v>
          </cell>
          <cell r="AF311">
            <v>-13.1</v>
          </cell>
          <cell r="AG311">
            <v>-6.8</v>
          </cell>
          <cell r="AH311">
            <v>-6.5</v>
          </cell>
          <cell r="AI311">
            <v>-25.3</v>
          </cell>
          <cell r="AJ311">
            <v>-25.2</v>
          </cell>
          <cell r="AK311">
            <v>-25.1</v>
          </cell>
          <cell r="AL311">
            <v>-25.2</v>
          </cell>
          <cell r="AM311">
            <v>-24.9</v>
          </cell>
          <cell r="AN311">
            <v>-24.6</v>
          </cell>
          <cell r="AO311">
            <v>-25.3</v>
          </cell>
          <cell r="AP311">
            <v>-25.2</v>
          </cell>
          <cell r="AQ311">
            <v>-25.1</v>
          </cell>
          <cell r="AR311">
            <v>-16.2</v>
          </cell>
          <cell r="AS311">
            <v>-12.5</v>
          </cell>
          <cell r="AT311">
            <v>-12.3</v>
          </cell>
          <cell r="AU311">
            <v>-25.4</v>
          </cell>
          <cell r="AV311">
            <v>-25.3</v>
          </cell>
          <cell r="AW311">
            <v>-25.1</v>
          </cell>
          <cell r="AX311">
            <v>-25.3</v>
          </cell>
          <cell r="AY311">
            <v>-25</v>
          </cell>
          <cell r="AZ311">
            <v>-24.9</v>
          </cell>
          <cell r="BA311">
            <v>-25.3</v>
          </cell>
          <cell r="BB311">
            <v>-25.3</v>
          </cell>
          <cell r="BC311">
            <v>-25.3</v>
          </cell>
          <cell r="BD311">
            <v>-20.5</v>
          </cell>
          <cell r="BE311">
            <v>-18.2</v>
          </cell>
          <cell r="BF311">
            <v>-18.100000000000001</v>
          </cell>
          <cell r="BG311">
            <v>-25.9</v>
          </cell>
          <cell r="BH311">
            <v>-25.7</v>
          </cell>
          <cell r="BI311">
            <v>-25.7</v>
          </cell>
          <cell r="BJ311">
            <v>-25.9</v>
          </cell>
          <cell r="BK311">
            <v>-25.8</v>
          </cell>
          <cell r="BL311">
            <v>-25.7</v>
          </cell>
          <cell r="BM311">
            <v>-25.9</v>
          </cell>
          <cell r="BN311">
            <v>-25.8</v>
          </cell>
          <cell r="BO311">
            <v>0.2</v>
          </cell>
          <cell r="BP311">
            <v>3.6</v>
          </cell>
          <cell r="BQ311">
            <v>4</v>
          </cell>
          <cell r="BR311">
            <v>4</v>
          </cell>
          <cell r="BS311">
            <v>4</v>
          </cell>
          <cell r="BT311">
            <v>0</v>
          </cell>
          <cell r="BU311">
            <v>0.1</v>
          </cell>
          <cell r="BV311">
            <v>0.1</v>
          </cell>
          <cell r="BW311">
            <v>0.1</v>
          </cell>
          <cell r="BX311">
            <v>0.2</v>
          </cell>
          <cell r="BY311">
            <v>0.1</v>
          </cell>
          <cell r="BZ311">
            <v>0.1</v>
          </cell>
          <cell r="CA311">
            <v>0.1</v>
          </cell>
          <cell r="CB311">
            <v>3.9</v>
          </cell>
          <cell r="CC311">
            <v>4.3</v>
          </cell>
          <cell r="CD311">
            <v>4.3</v>
          </cell>
          <cell r="CE311">
            <v>0</v>
          </cell>
          <cell r="CF311">
            <v>0.1</v>
          </cell>
          <cell r="CG311">
            <v>0.1</v>
          </cell>
          <cell r="CH311">
            <v>0</v>
          </cell>
          <cell r="CI311">
            <v>0.1</v>
          </cell>
          <cell r="CJ311">
            <v>0.1</v>
          </cell>
          <cell r="CK311">
            <v>0</v>
          </cell>
          <cell r="CL311">
            <v>0</v>
          </cell>
          <cell r="CM311">
            <v>0.1</v>
          </cell>
          <cell r="CN311">
            <v>3.4</v>
          </cell>
          <cell r="CO311">
            <v>4.4000000000000004</v>
          </cell>
          <cell r="CP311">
            <v>4.5</v>
          </cell>
          <cell r="CQ311">
            <v>-18.899999999999999</v>
          </cell>
          <cell r="CR311">
            <v>-18.899999999999999</v>
          </cell>
          <cell r="CS311">
            <v>-18.899999999999999</v>
          </cell>
          <cell r="CT311">
            <v>-18.899999999999999</v>
          </cell>
          <cell r="CU311">
            <v>-18.899999999999999</v>
          </cell>
          <cell r="CV311">
            <v>-18.8</v>
          </cell>
          <cell r="CW311">
            <v>-19</v>
          </cell>
          <cell r="CX311">
            <v>-19</v>
          </cell>
          <cell r="CY311">
            <v>-18.899999999999999</v>
          </cell>
          <cell r="CZ311">
            <v>-15.6</v>
          </cell>
          <cell r="DA311">
            <v>-14.6</v>
          </cell>
          <cell r="DB311">
            <v>4.5999999999999996</v>
          </cell>
          <cell r="DC311">
            <v>5</v>
          </cell>
          <cell r="DD311">
            <v>0.5</v>
          </cell>
          <cell r="DE311">
            <v>0.9</v>
          </cell>
          <cell r="DF311">
            <v>1.2</v>
          </cell>
          <cell r="DG311">
            <v>1.4</v>
          </cell>
          <cell r="DH311">
            <v>1.5</v>
          </cell>
          <cell r="DI311">
            <v>1.5</v>
          </cell>
          <cell r="DJ311">
            <v>1.5</v>
          </cell>
          <cell r="DK311">
            <v>1.6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EK311" t="str">
            <v>zero out For/Bud based on account being fixed</v>
          </cell>
          <cell r="EL311" t="str">
            <v>A_2360601</v>
          </cell>
        </row>
        <row r="312">
          <cell r="A312" t="str">
            <v>Taxes Accrued - General</v>
          </cell>
          <cell r="B312" t="str">
            <v>Other Taxes Payable</v>
          </cell>
          <cell r="C312" t="str">
            <v>Taxes Accrued - General</v>
          </cell>
          <cell r="D312" t="str">
            <v>2360602</v>
          </cell>
          <cell r="E312" t="str">
            <v>A_2360602</v>
          </cell>
          <cell r="F312" t="str">
            <v>Taxes Payable - Regulatory Assessment Fee</v>
          </cell>
          <cell r="G312">
            <v>721.64850000000001</v>
          </cell>
          <cell r="H312">
            <v>187.4</v>
          </cell>
          <cell r="I312">
            <v>385.7</v>
          </cell>
          <cell r="J312">
            <v>555.1</v>
          </cell>
          <cell r="K312">
            <v>707.4</v>
          </cell>
          <cell r="L312">
            <v>845.3</v>
          </cell>
          <cell r="M312">
            <v>972.9</v>
          </cell>
          <cell r="N312">
            <v>122.2</v>
          </cell>
          <cell r="O312">
            <v>238</v>
          </cell>
          <cell r="P312">
            <v>388.2</v>
          </cell>
          <cell r="Q312">
            <v>479.3</v>
          </cell>
          <cell r="R312">
            <v>610.79999999999995</v>
          </cell>
          <cell r="S312">
            <v>818.1</v>
          </cell>
          <cell r="T312">
            <v>190.8</v>
          </cell>
          <cell r="U312">
            <v>383.8</v>
          </cell>
          <cell r="V312">
            <v>569</v>
          </cell>
          <cell r="W312">
            <v>713.4</v>
          </cell>
          <cell r="X312">
            <v>862.8</v>
          </cell>
          <cell r="Y312">
            <v>998.7</v>
          </cell>
          <cell r="Z312">
            <v>134.1</v>
          </cell>
          <cell r="AA312">
            <v>260.2</v>
          </cell>
          <cell r="AB312">
            <v>398.8</v>
          </cell>
          <cell r="AC312">
            <v>535.1</v>
          </cell>
          <cell r="AD312">
            <v>677.8</v>
          </cell>
          <cell r="AE312">
            <v>849.1</v>
          </cell>
          <cell r="AF312">
            <v>185.4</v>
          </cell>
          <cell r="AG312">
            <v>390</v>
          </cell>
          <cell r="AH312">
            <v>569.4</v>
          </cell>
          <cell r="AI312">
            <v>729.2</v>
          </cell>
          <cell r="AJ312">
            <v>877</v>
          </cell>
          <cell r="AK312">
            <v>1036.7</v>
          </cell>
          <cell r="AL312">
            <v>151.69999999999999</v>
          </cell>
          <cell r="AM312">
            <v>309.8</v>
          </cell>
          <cell r="AN312">
            <v>463.4</v>
          </cell>
          <cell r="AO312">
            <v>615.4</v>
          </cell>
          <cell r="AP312">
            <v>768.1</v>
          </cell>
          <cell r="AQ312">
            <v>923</v>
          </cell>
          <cell r="AR312">
            <v>172.3</v>
          </cell>
          <cell r="AS312">
            <v>342.4</v>
          </cell>
          <cell r="AT312">
            <v>502.2</v>
          </cell>
          <cell r="AU312">
            <v>659.2</v>
          </cell>
          <cell r="AV312">
            <v>810.4</v>
          </cell>
          <cell r="AW312">
            <v>952.7</v>
          </cell>
          <cell r="AX312">
            <v>129.6</v>
          </cell>
          <cell r="AY312">
            <v>264.8</v>
          </cell>
          <cell r="AZ312">
            <v>407.3</v>
          </cell>
          <cell r="BA312">
            <v>542.5</v>
          </cell>
          <cell r="BB312">
            <v>695.3</v>
          </cell>
          <cell r="BC312">
            <v>874.5</v>
          </cell>
          <cell r="BD312">
            <v>233.8</v>
          </cell>
          <cell r="BE312">
            <v>452.1</v>
          </cell>
          <cell r="BF312">
            <v>628.5</v>
          </cell>
          <cell r="BG312">
            <v>809.6</v>
          </cell>
          <cell r="BH312">
            <v>967.3</v>
          </cell>
          <cell r="BI312">
            <v>1122</v>
          </cell>
          <cell r="BJ312">
            <v>144.69999999999999</v>
          </cell>
          <cell r="BK312">
            <v>299.39999999999998</v>
          </cell>
          <cell r="BL312">
            <v>454.5</v>
          </cell>
          <cell r="BM312">
            <v>598.9</v>
          </cell>
          <cell r="BN312">
            <v>755</v>
          </cell>
          <cell r="BO312">
            <v>941.9</v>
          </cell>
          <cell r="BP312">
            <v>202.8</v>
          </cell>
          <cell r="BQ312">
            <v>406</v>
          </cell>
          <cell r="BR312">
            <v>587.70000000000005</v>
          </cell>
          <cell r="BS312">
            <v>762.2</v>
          </cell>
          <cell r="BT312">
            <v>925.5</v>
          </cell>
          <cell r="BU312">
            <v>1076.5999999999999</v>
          </cell>
          <cell r="BV312">
            <v>159.9</v>
          </cell>
          <cell r="BW312">
            <v>298.10000000000002</v>
          </cell>
          <cell r="BX312">
            <v>440.8</v>
          </cell>
          <cell r="BY312">
            <v>588.29999999999995</v>
          </cell>
          <cell r="BZ312">
            <v>736.6</v>
          </cell>
          <cell r="CA312">
            <v>922.5</v>
          </cell>
          <cell r="CB312">
            <v>187.9</v>
          </cell>
          <cell r="CC312">
            <v>386.4</v>
          </cell>
          <cell r="CD312">
            <v>573.79999999999995</v>
          </cell>
          <cell r="CE312">
            <v>730</v>
          </cell>
          <cell r="CF312">
            <v>877.3</v>
          </cell>
          <cell r="CG312">
            <v>1021.2</v>
          </cell>
          <cell r="CH312">
            <v>140.19999999999999</v>
          </cell>
          <cell r="CI312">
            <v>279.89999999999998</v>
          </cell>
          <cell r="CJ312">
            <v>412.6</v>
          </cell>
          <cell r="CK312">
            <v>554.20000000000005</v>
          </cell>
          <cell r="CL312">
            <v>709.8</v>
          </cell>
          <cell r="CM312">
            <v>897.8</v>
          </cell>
          <cell r="CN312">
            <v>258.8</v>
          </cell>
          <cell r="CO312">
            <v>502.7</v>
          </cell>
          <cell r="CP312">
            <v>721.6</v>
          </cell>
          <cell r="CQ312">
            <v>943.5</v>
          </cell>
          <cell r="CR312">
            <v>1137.7</v>
          </cell>
          <cell r="CS312">
            <v>1325.1</v>
          </cell>
          <cell r="CT312">
            <v>172</v>
          </cell>
          <cell r="CU312">
            <v>340.4</v>
          </cell>
          <cell r="CV312">
            <v>516.9</v>
          </cell>
          <cell r="CW312">
            <v>692.3</v>
          </cell>
          <cell r="CX312">
            <v>905.3</v>
          </cell>
          <cell r="CY312">
            <v>1139.0999999999999</v>
          </cell>
          <cell r="CZ312">
            <v>269</v>
          </cell>
          <cell r="DA312">
            <v>570.20000000000005</v>
          </cell>
          <cell r="DB312">
            <v>837.7</v>
          </cell>
          <cell r="DC312">
            <v>1089.8</v>
          </cell>
          <cell r="DD312">
            <v>1329.5</v>
          </cell>
          <cell r="DE312">
            <v>1565.3</v>
          </cell>
          <cell r="DF312">
            <v>215.7</v>
          </cell>
          <cell r="DG312">
            <v>465.3</v>
          </cell>
          <cell r="DH312">
            <v>710.5</v>
          </cell>
          <cell r="DI312">
            <v>961.2</v>
          </cell>
          <cell r="DJ312">
            <v>1180.7</v>
          </cell>
          <cell r="DK312">
            <v>1427.4</v>
          </cell>
          <cell r="DL312">
            <v>249.7</v>
          </cell>
          <cell r="DM312">
            <v>513.20000000000005</v>
          </cell>
          <cell r="DN312">
            <v>750.1</v>
          </cell>
          <cell r="DO312">
            <v>974</v>
          </cell>
          <cell r="DP312">
            <v>1181.5</v>
          </cell>
          <cell r="DQ312">
            <v>1384.4</v>
          </cell>
          <cell r="DR312">
            <v>187.5</v>
          </cell>
          <cell r="DS312">
            <v>302.60000000000002</v>
          </cell>
          <cell r="DT312">
            <v>453.2</v>
          </cell>
          <cell r="DU312">
            <v>605.9</v>
          </cell>
          <cell r="DV312">
            <v>777.1</v>
          </cell>
          <cell r="DW312">
            <v>977.1</v>
          </cell>
          <cell r="EK312" t="str">
            <v>3 yr Avg (2020 to 2022 8+4F)</v>
          </cell>
          <cell r="EL312" t="str">
            <v>A_2360602</v>
          </cell>
          <cell r="EM312">
            <v>249719.99999999997</v>
          </cell>
          <cell r="EN312">
            <v>513189.99999999994</v>
          </cell>
          <cell r="EO312">
            <v>750089.99999999988</v>
          </cell>
          <cell r="EP312">
            <v>973950</v>
          </cell>
          <cell r="EQ312">
            <v>1181520</v>
          </cell>
          <cell r="ER312">
            <v>1384420</v>
          </cell>
          <cell r="ES312">
            <v>187490</v>
          </cell>
          <cell r="ET312">
            <v>390750</v>
          </cell>
          <cell r="EU312">
            <v>592839.99999999988</v>
          </cell>
          <cell r="EV312">
            <v>799129.99999999988</v>
          </cell>
          <cell r="EW312">
            <v>1003900</v>
          </cell>
          <cell r="EX312">
            <v>1234990</v>
          </cell>
        </row>
        <row r="313">
          <cell r="A313" t="str">
            <v>Taxes Accrued - General</v>
          </cell>
          <cell r="B313" t="str">
            <v>Other Taxes Payable</v>
          </cell>
          <cell r="C313" t="str">
            <v>Taxes Accrued - General</v>
          </cell>
          <cell r="D313" t="str">
            <v>2360603</v>
          </cell>
          <cell r="E313" t="str">
            <v>A_2360603</v>
          </cell>
          <cell r="F313" t="str">
            <v>Taxes Payable - Gross Receipts Tax</v>
          </cell>
          <cell r="G313">
            <v>1117.81359</v>
          </cell>
          <cell r="H313">
            <v>1458.3</v>
          </cell>
          <cell r="I313">
            <v>1414.4</v>
          </cell>
          <cell r="J313">
            <v>1280.2</v>
          </cell>
          <cell r="K313">
            <v>1136.7</v>
          </cell>
          <cell r="L313">
            <v>968.6</v>
          </cell>
          <cell r="M313">
            <v>872.9</v>
          </cell>
          <cell r="N313">
            <v>806.7</v>
          </cell>
          <cell r="O313">
            <v>819.5</v>
          </cell>
          <cell r="P313">
            <v>873.1</v>
          </cell>
          <cell r="Q313">
            <v>901.3</v>
          </cell>
          <cell r="R313">
            <v>1015.3</v>
          </cell>
          <cell r="S313">
            <v>1290.3</v>
          </cell>
          <cell r="T313">
            <v>1435</v>
          </cell>
          <cell r="U313">
            <v>1478.8</v>
          </cell>
          <cell r="V313">
            <v>1448.5</v>
          </cell>
          <cell r="W313">
            <v>1141.9000000000001</v>
          </cell>
          <cell r="X313">
            <v>933.1</v>
          </cell>
          <cell r="Y313">
            <v>948.5</v>
          </cell>
          <cell r="Z313">
            <v>924</v>
          </cell>
          <cell r="AA313">
            <v>948</v>
          </cell>
          <cell r="AB313">
            <v>904.8</v>
          </cell>
          <cell r="AC313">
            <v>945.8</v>
          </cell>
          <cell r="AD313">
            <v>1029.4000000000001</v>
          </cell>
          <cell r="AE313">
            <v>1200.0999999999999</v>
          </cell>
          <cell r="AF313">
            <v>1491.4</v>
          </cell>
          <cell r="AG313">
            <v>1608.7</v>
          </cell>
          <cell r="AH313">
            <v>1422.3</v>
          </cell>
          <cell r="AI313">
            <v>1121.5999999999999</v>
          </cell>
          <cell r="AJ313">
            <v>1106</v>
          </cell>
          <cell r="AK313">
            <v>962.4</v>
          </cell>
          <cell r="AL313">
            <v>927.2</v>
          </cell>
          <cell r="AM313">
            <v>816.8</v>
          </cell>
          <cell r="AN313">
            <v>910.4</v>
          </cell>
          <cell r="AO313">
            <v>892.2</v>
          </cell>
          <cell r="AP313">
            <v>1051.5</v>
          </cell>
          <cell r="AQ313">
            <v>1247.8</v>
          </cell>
          <cell r="AR313">
            <v>1421.7</v>
          </cell>
          <cell r="AS313">
            <v>1324.6</v>
          </cell>
          <cell r="AT313">
            <v>1298.0999999999999</v>
          </cell>
          <cell r="AU313">
            <v>1249.2</v>
          </cell>
          <cell r="AV313">
            <v>1077.2</v>
          </cell>
          <cell r="AW313">
            <v>949.1</v>
          </cell>
          <cell r="AX313">
            <v>776.2</v>
          </cell>
          <cell r="AY313">
            <v>875</v>
          </cell>
          <cell r="AZ313">
            <v>875.4</v>
          </cell>
          <cell r="BA313">
            <v>936.3</v>
          </cell>
          <cell r="BB313">
            <v>1049.9000000000001</v>
          </cell>
          <cell r="BC313">
            <v>1278.4000000000001</v>
          </cell>
          <cell r="BD313">
            <v>1748.1</v>
          </cell>
          <cell r="BE313">
            <v>1509</v>
          </cell>
          <cell r="BF313">
            <v>1277.5999999999999</v>
          </cell>
          <cell r="BG313">
            <v>1337.4</v>
          </cell>
          <cell r="BH313">
            <v>1076</v>
          </cell>
          <cell r="BI313">
            <v>1033.7</v>
          </cell>
          <cell r="BJ313">
            <v>894.2</v>
          </cell>
          <cell r="BK313">
            <v>837.8</v>
          </cell>
          <cell r="BL313">
            <v>986.5</v>
          </cell>
          <cell r="BM313">
            <v>891.5</v>
          </cell>
          <cell r="BN313">
            <v>1009.1</v>
          </cell>
          <cell r="BO313">
            <v>1392.2</v>
          </cell>
          <cell r="BP313">
            <v>1655.8</v>
          </cell>
          <cell r="BQ313">
            <v>1640.4</v>
          </cell>
          <cell r="BR313">
            <v>1424.6</v>
          </cell>
          <cell r="BS313">
            <v>1125.5</v>
          </cell>
          <cell r="BT313">
            <v>1177.9000000000001</v>
          </cell>
          <cell r="BU313">
            <v>1016.4</v>
          </cell>
          <cell r="BV313">
            <v>984.4</v>
          </cell>
          <cell r="BW313">
            <v>932.4</v>
          </cell>
          <cell r="BX313">
            <v>949.4</v>
          </cell>
          <cell r="BY313">
            <v>936.2</v>
          </cell>
          <cell r="BZ313">
            <v>1112.5999999999999</v>
          </cell>
          <cell r="CA313">
            <v>1504.3</v>
          </cell>
          <cell r="CB313">
            <v>1618.2</v>
          </cell>
          <cell r="CC313">
            <v>1572.4</v>
          </cell>
          <cell r="CD313">
            <v>1352.9</v>
          </cell>
          <cell r="CE313">
            <v>1062</v>
          </cell>
          <cell r="CF313">
            <v>953.5</v>
          </cell>
          <cell r="CG313">
            <v>967.3</v>
          </cell>
          <cell r="CH313">
            <v>851.9</v>
          </cell>
          <cell r="CI313">
            <v>911.9</v>
          </cell>
          <cell r="CJ313">
            <v>870.9</v>
          </cell>
          <cell r="CK313">
            <v>955</v>
          </cell>
          <cell r="CL313">
            <v>1095.4000000000001</v>
          </cell>
          <cell r="CM313">
            <v>1396.3</v>
          </cell>
          <cell r="CN313">
            <v>1837.6</v>
          </cell>
          <cell r="CO313">
            <v>1655.3</v>
          </cell>
          <cell r="CP313">
            <v>1457.2</v>
          </cell>
          <cell r="CQ313">
            <v>1427</v>
          </cell>
          <cell r="CR313">
            <v>1201.0999999999999</v>
          </cell>
          <cell r="CS313">
            <v>1108.5</v>
          </cell>
          <cell r="CT313">
            <v>1134.5</v>
          </cell>
          <cell r="CU313">
            <v>1011.2</v>
          </cell>
          <cell r="CV313">
            <v>1071.9000000000001</v>
          </cell>
          <cell r="CW313">
            <v>1072.3</v>
          </cell>
          <cell r="CX313">
            <v>1236.2</v>
          </cell>
          <cell r="CY313">
            <v>1610.2</v>
          </cell>
          <cell r="CZ313">
            <v>1747.4</v>
          </cell>
          <cell r="DA313">
            <v>1727.9</v>
          </cell>
          <cell r="DB313">
            <v>1638.8</v>
          </cell>
          <cell r="DC313">
            <v>1467</v>
          </cell>
          <cell r="DD313">
            <v>1329.4</v>
          </cell>
          <cell r="DE313">
            <v>1171.5999999999999</v>
          </cell>
          <cell r="DF313">
            <v>1070.4000000000001</v>
          </cell>
          <cell r="DG313">
            <v>1017.5</v>
          </cell>
          <cell r="DH313">
            <v>1080</v>
          </cell>
          <cell r="DI313">
            <v>1183.7</v>
          </cell>
          <cell r="DJ313">
            <v>1255.3</v>
          </cell>
          <cell r="DK313">
            <v>1563.7</v>
          </cell>
          <cell r="DL313">
            <v>1748.6</v>
          </cell>
          <cell r="DM313">
            <v>1675</v>
          </cell>
          <cell r="DN313">
            <v>1527.1</v>
          </cell>
          <cell r="DO313">
            <v>1374</v>
          </cell>
          <cell r="DP313">
            <v>1215.7</v>
          </cell>
          <cell r="DQ313">
            <v>1111.8</v>
          </cell>
          <cell r="DR313">
            <v>1045.9000000000001</v>
          </cell>
          <cell r="DS313">
            <v>934.3</v>
          </cell>
          <cell r="DT313">
            <v>956.7</v>
          </cell>
          <cell r="DU313">
            <v>978.4</v>
          </cell>
          <cell r="DV313">
            <v>1128.7</v>
          </cell>
          <cell r="DW313">
            <v>1468.3</v>
          </cell>
          <cell r="EK313" t="str">
            <v>3 yr Avg (2020 to 2022 8+4F)</v>
          </cell>
          <cell r="EL313" t="str">
            <v>A_2360603</v>
          </cell>
          <cell r="EM313">
            <v>1748619.9999999998</v>
          </cell>
          <cell r="EN313">
            <v>1675020</v>
          </cell>
          <cell r="EO313">
            <v>1527140</v>
          </cell>
          <cell r="EP313">
            <v>1374000</v>
          </cell>
          <cell r="EQ313">
            <v>1215730</v>
          </cell>
          <cell r="ER313">
            <v>1111810</v>
          </cell>
          <cell r="ES313">
            <v>1045929.9999999999</v>
          </cell>
          <cell r="ET313">
            <v>994490.00000000012</v>
          </cell>
          <cell r="EU313">
            <v>1035750</v>
          </cell>
          <cell r="EV313">
            <v>1104540</v>
          </cell>
          <cell r="EW313">
            <v>1217590.0000000002</v>
          </cell>
          <cell r="EX313">
            <v>1544170</v>
          </cell>
        </row>
        <row r="314">
          <cell r="A314" t="str">
            <v>Taxes Accrued - General</v>
          </cell>
          <cell r="B314" t="str">
            <v>Other Taxes Payable</v>
          </cell>
          <cell r="C314" t="str">
            <v>Taxes Accrued - General</v>
          </cell>
          <cell r="D314" t="str">
            <v>2360604</v>
          </cell>
          <cell r="E314" t="str">
            <v>A_2360604</v>
          </cell>
          <cell r="F314" t="str">
            <v>Taxes Payable - Property Tax</v>
          </cell>
          <cell r="G314">
            <v>0</v>
          </cell>
          <cell r="H314">
            <v>809</v>
          </cell>
          <cell r="I314">
            <v>1618</v>
          </cell>
          <cell r="J314">
            <v>2427</v>
          </cell>
          <cell r="K314">
            <v>3236</v>
          </cell>
          <cell r="L314">
            <v>4045</v>
          </cell>
          <cell r="M314">
            <v>4854</v>
          </cell>
          <cell r="N314">
            <v>5663</v>
          </cell>
          <cell r="O314">
            <v>6134</v>
          </cell>
          <cell r="P314">
            <v>6901</v>
          </cell>
          <cell r="Q314">
            <v>7668</v>
          </cell>
          <cell r="R314">
            <v>-798.8</v>
          </cell>
          <cell r="S314">
            <v>0</v>
          </cell>
          <cell r="T314">
            <v>814.8</v>
          </cell>
          <cell r="U314">
            <v>1633.8</v>
          </cell>
          <cell r="V314">
            <v>2452.8000000000002</v>
          </cell>
          <cell r="W314">
            <v>3271.8</v>
          </cell>
          <cell r="X314">
            <v>4090.8</v>
          </cell>
          <cell r="Y314">
            <v>4909.8</v>
          </cell>
          <cell r="Z314">
            <v>5728.8</v>
          </cell>
          <cell r="AA314">
            <v>6195.8</v>
          </cell>
          <cell r="AB314">
            <v>6970.8</v>
          </cell>
          <cell r="AC314">
            <v>7745.8</v>
          </cell>
          <cell r="AD314">
            <v>-718.8</v>
          </cell>
          <cell r="AE314">
            <v>0</v>
          </cell>
          <cell r="AF314">
            <v>809</v>
          </cell>
          <cell r="AG314">
            <v>1618</v>
          </cell>
          <cell r="AH314">
            <v>2427</v>
          </cell>
          <cell r="AI314">
            <v>3236</v>
          </cell>
          <cell r="AJ314">
            <v>4045</v>
          </cell>
          <cell r="AK314">
            <v>4854</v>
          </cell>
          <cell r="AL314">
            <v>5663</v>
          </cell>
          <cell r="AM314">
            <v>6472</v>
          </cell>
          <cell r="AN314">
            <v>7281</v>
          </cell>
          <cell r="AO314">
            <v>8090</v>
          </cell>
          <cell r="AP314">
            <v>-771.8</v>
          </cell>
          <cell r="AQ314">
            <v>0</v>
          </cell>
          <cell r="AR314">
            <v>0</v>
          </cell>
          <cell r="AS314">
            <v>1752</v>
          </cell>
          <cell r="AT314">
            <v>2628</v>
          </cell>
          <cell r="AU314">
            <v>3502.9</v>
          </cell>
          <cell r="AV314">
            <v>4128.8999999999996</v>
          </cell>
          <cell r="AW314">
            <v>4954.8999999999996</v>
          </cell>
          <cell r="AX314">
            <v>5780.9</v>
          </cell>
          <cell r="AY314">
            <v>6465.6</v>
          </cell>
          <cell r="AZ314">
            <v>7273.9</v>
          </cell>
          <cell r="BA314">
            <v>8082.2</v>
          </cell>
          <cell r="BB314">
            <v>-781.6</v>
          </cell>
          <cell r="BC314">
            <v>0</v>
          </cell>
          <cell r="BD314">
            <v>943.8</v>
          </cell>
          <cell r="BE314">
            <v>1887.6</v>
          </cell>
          <cell r="BF314">
            <v>2831.5</v>
          </cell>
          <cell r="BG314">
            <v>3775.3</v>
          </cell>
          <cell r="BH314">
            <v>4719.1000000000004</v>
          </cell>
          <cell r="BI314">
            <v>5662.9</v>
          </cell>
          <cell r="BJ314">
            <v>6606.7</v>
          </cell>
          <cell r="BK314">
            <v>7550.6</v>
          </cell>
          <cell r="BL314">
            <v>8494.4</v>
          </cell>
          <cell r="BM314">
            <v>9438.2000000000007</v>
          </cell>
          <cell r="BN314">
            <v>-896.4</v>
          </cell>
          <cell r="BO314">
            <v>0</v>
          </cell>
          <cell r="BP314">
            <v>1064</v>
          </cell>
          <cell r="BQ314">
            <v>2127.9</v>
          </cell>
          <cell r="BR314">
            <v>3191.9</v>
          </cell>
          <cell r="BS314">
            <v>4255.8999999999996</v>
          </cell>
          <cell r="BT314">
            <v>5319.7</v>
          </cell>
          <cell r="BU314">
            <v>6383.7</v>
          </cell>
          <cell r="BV314">
            <v>7447.6</v>
          </cell>
          <cell r="BW314">
            <v>7999.9</v>
          </cell>
          <cell r="BX314">
            <v>8999.9</v>
          </cell>
          <cell r="BY314">
            <v>9999.9</v>
          </cell>
          <cell r="BZ314">
            <v>-908.1</v>
          </cell>
          <cell r="CA314">
            <v>0</v>
          </cell>
          <cell r="CB314">
            <v>1159.5</v>
          </cell>
          <cell r="CC314">
            <v>2319</v>
          </cell>
          <cell r="CD314">
            <v>3478.5</v>
          </cell>
          <cell r="CE314">
            <v>4638</v>
          </cell>
          <cell r="CF314">
            <v>5797.5</v>
          </cell>
          <cell r="CG314">
            <v>6957</v>
          </cell>
          <cell r="CH314">
            <v>8116.5</v>
          </cell>
          <cell r="CI314">
            <v>9276</v>
          </cell>
          <cell r="CJ314">
            <v>10435.5</v>
          </cell>
          <cell r="CK314">
            <v>11595</v>
          </cell>
          <cell r="CL314">
            <v>-662.9</v>
          </cell>
          <cell r="CM314">
            <v>0</v>
          </cell>
          <cell r="CN314">
            <v>1232.5999999999999</v>
          </cell>
          <cell r="CO314">
            <v>2465.1</v>
          </cell>
          <cell r="CP314">
            <v>3697.7</v>
          </cell>
          <cell r="CQ314">
            <v>4930.3</v>
          </cell>
          <cell r="CR314">
            <v>6162.9</v>
          </cell>
          <cell r="CS314">
            <v>7395.4</v>
          </cell>
          <cell r="CT314">
            <v>8628</v>
          </cell>
          <cell r="CU314">
            <v>9860.6</v>
          </cell>
          <cell r="CV314">
            <v>10425</v>
          </cell>
          <cell r="CW314">
            <v>11583.3</v>
          </cell>
          <cell r="CX314">
            <v>-1029.7</v>
          </cell>
          <cell r="CY314">
            <v>0</v>
          </cell>
          <cell r="CZ314">
            <v>1468.5</v>
          </cell>
          <cell r="DA314">
            <v>2937</v>
          </cell>
          <cell r="DB314">
            <v>4405.5</v>
          </cell>
          <cell r="DC314">
            <v>5989.6</v>
          </cell>
          <cell r="DD314">
            <v>7515.9</v>
          </cell>
          <cell r="DE314">
            <v>9042.2000000000007</v>
          </cell>
          <cell r="DF314">
            <v>10568.5</v>
          </cell>
          <cell r="DG314">
            <v>12094.8</v>
          </cell>
          <cell r="DH314">
            <v>12937.5</v>
          </cell>
          <cell r="DI314">
            <v>14375</v>
          </cell>
          <cell r="DJ314">
            <v>-1405.4</v>
          </cell>
          <cell r="DK314">
            <v>0</v>
          </cell>
          <cell r="DL314">
            <v>1785.9</v>
          </cell>
          <cell r="DM314">
            <v>3571.8</v>
          </cell>
          <cell r="DN314">
            <v>5357.6</v>
          </cell>
          <cell r="DO314">
            <v>7143.5</v>
          </cell>
          <cell r="DP314">
            <v>8929.4</v>
          </cell>
          <cell r="DQ314">
            <v>10715.3</v>
          </cell>
          <cell r="DR314">
            <v>12501.2</v>
          </cell>
          <cell r="DS314">
            <v>14287</v>
          </cell>
          <cell r="DT314">
            <v>16072.9</v>
          </cell>
          <cell r="DU314">
            <v>17858.8</v>
          </cell>
          <cell r="DV314">
            <v>-1785.9</v>
          </cell>
          <cell r="DW314">
            <v>0</v>
          </cell>
          <cell r="EK314" t="str">
            <v>3 yr Avg (2020 to 2022 8+4F)</v>
          </cell>
          <cell r="EM314">
            <v>1335929.9999999998</v>
          </cell>
          <cell r="EN314">
            <v>2671830</v>
          </cell>
          <cell r="EO314">
            <v>4007759.9999999995</v>
          </cell>
          <cell r="EP314">
            <v>5401490</v>
          </cell>
          <cell r="EQ314">
            <v>6766320</v>
          </cell>
          <cell r="ER314">
            <v>8131120</v>
          </cell>
          <cell r="ES314">
            <v>9495950</v>
          </cell>
          <cell r="ET314">
            <v>10860780</v>
          </cell>
          <cell r="EU314">
            <v>11683350</v>
          </cell>
          <cell r="EV314">
            <v>12981490</v>
          </cell>
          <cell r="EW314">
            <v>-1144190</v>
          </cell>
          <cell r="EX314">
            <v>0</v>
          </cell>
          <cell r="EY314" t="str">
            <v>Brady</v>
          </cell>
        </row>
        <row r="315">
          <cell r="A315" t="str">
            <v>Taxes Accrued - General</v>
          </cell>
          <cell r="B315" t="str">
            <v>Other Taxes Payable</v>
          </cell>
          <cell r="C315" t="str">
            <v>Tax Collections Payable 241 + 2360605</v>
          </cell>
          <cell r="D315" t="str">
            <v>2360605</v>
          </cell>
          <cell r="E315" t="str">
            <v>A_2360605</v>
          </cell>
          <cell r="F315" t="str">
            <v>Taxes Payable - Franchise Fees</v>
          </cell>
          <cell r="G315">
            <v>863.40581999999995</v>
          </cell>
          <cell r="H315">
            <v>1141.2</v>
          </cell>
          <cell r="I315">
            <v>1119</v>
          </cell>
          <cell r="J315">
            <v>953.1</v>
          </cell>
          <cell r="K315">
            <v>847.7</v>
          </cell>
          <cell r="L315">
            <v>688.2</v>
          </cell>
          <cell r="M315">
            <v>790.7</v>
          </cell>
          <cell r="N315">
            <v>790.6</v>
          </cell>
          <cell r="O315">
            <v>754.4</v>
          </cell>
          <cell r="P315">
            <v>823.2</v>
          </cell>
          <cell r="Q315">
            <v>847.8</v>
          </cell>
          <cell r="R315">
            <v>892</v>
          </cell>
          <cell r="S315">
            <v>971.1</v>
          </cell>
          <cell r="T315">
            <v>1116.2</v>
          </cell>
          <cell r="U315">
            <v>1072.4000000000001</v>
          </cell>
          <cell r="V315">
            <v>1054.7</v>
          </cell>
          <cell r="W315">
            <v>917.7</v>
          </cell>
          <cell r="X315">
            <v>815.3</v>
          </cell>
          <cell r="Y315">
            <v>865.6</v>
          </cell>
          <cell r="Z315">
            <v>798.5</v>
          </cell>
          <cell r="AA315">
            <v>854.3</v>
          </cell>
          <cell r="AB315">
            <v>861.8</v>
          </cell>
          <cell r="AC315">
            <v>884.2</v>
          </cell>
          <cell r="AD315">
            <v>933.5</v>
          </cell>
          <cell r="AE315">
            <v>917.6</v>
          </cell>
          <cell r="AF315">
            <v>1107.7</v>
          </cell>
          <cell r="AG315">
            <v>1204.9000000000001</v>
          </cell>
          <cell r="AH315">
            <v>1119.2</v>
          </cell>
          <cell r="AI315">
            <v>1059.9000000000001</v>
          </cell>
          <cell r="AJ315">
            <v>915.4</v>
          </cell>
          <cell r="AK315">
            <v>885.4</v>
          </cell>
          <cell r="AL315">
            <v>828.8</v>
          </cell>
          <cell r="AM315">
            <v>822.9</v>
          </cell>
          <cell r="AN315">
            <v>844.1</v>
          </cell>
          <cell r="AO315">
            <v>861.4</v>
          </cell>
          <cell r="AP315">
            <v>922.3</v>
          </cell>
          <cell r="AQ315">
            <v>924.2</v>
          </cell>
          <cell r="AR315">
            <v>1036.5</v>
          </cell>
          <cell r="AS315">
            <v>952.7</v>
          </cell>
          <cell r="AT315">
            <v>951.6</v>
          </cell>
          <cell r="AU315">
            <v>956.6</v>
          </cell>
          <cell r="AV315">
            <v>883</v>
          </cell>
          <cell r="AW315">
            <v>865.5</v>
          </cell>
          <cell r="AX315">
            <v>812.5</v>
          </cell>
          <cell r="AY315">
            <v>813.7</v>
          </cell>
          <cell r="AZ315">
            <v>846.3</v>
          </cell>
          <cell r="BA315">
            <v>899.1</v>
          </cell>
          <cell r="BB315">
            <v>966</v>
          </cell>
          <cell r="BC315">
            <v>990.7</v>
          </cell>
          <cell r="BD315">
            <v>1322.4</v>
          </cell>
          <cell r="BE315">
            <v>1171</v>
          </cell>
          <cell r="BF315">
            <v>1074.0999999999999</v>
          </cell>
          <cell r="BG315">
            <v>1095</v>
          </cell>
          <cell r="BH315">
            <v>1007.7</v>
          </cell>
          <cell r="BI315">
            <v>998.2</v>
          </cell>
          <cell r="BJ315">
            <v>916</v>
          </cell>
          <cell r="BK315">
            <v>890.4</v>
          </cell>
          <cell r="BL315">
            <v>956.8</v>
          </cell>
          <cell r="BM315">
            <v>920.6</v>
          </cell>
          <cell r="BN315">
            <v>972.2</v>
          </cell>
          <cell r="BO315">
            <v>1037.0999999999999</v>
          </cell>
          <cell r="BP315">
            <v>1193.4000000000001</v>
          </cell>
          <cell r="BQ315">
            <v>1123.0999999999999</v>
          </cell>
          <cell r="BR315">
            <v>1080.4000000000001</v>
          </cell>
          <cell r="BS315">
            <v>1074.3</v>
          </cell>
          <cell r="BT315">
            <v>948.8</v>
          </cell>
          <cell r="BU315">
            <v>927.7</v>
          </cell>
          <cell r="BV315">
            <v>916.1</v>
          </cell>
          <cell r="BW315">
            <v>882.2</v>
          </cell>
          <cell r="BX315">
            <v>921.6</v>
          </cell>
          <cell r="BY315">
            <v>926.2</v>
          </cell>
          <cell r="BZ315">
            <v>1006.9</v>
          </cell>
          <cell r="CA315">
            <v>1089.4000000000001</v>
          </cell>
          <cell r="CB315">
            <v>1221.3</v>
          </cell>
          <cell r="CC315">
            <v>1135.7</v>
          </cell>
          <cell r="CD315">
            <v>1103.4000000000001</v>
          </cell>
          <cell r="CE315">
            <v>991.5</v>
          </cell>
          <cell r="CF315">
            <v>885.5</v>
          </cell>
          <cell r="CG315">
            <v>827.3</v>
          </cell>
          <cell r="CH315">
            <v>866.5</v>
          </cell>
          <cell r="CI315">
            <v>859.4</v>
          </cell>
          <cell r="CJ315">
            <v>864.7</v>
          </cell>
          <cell r="CK315">
            <v>913.8</v>
          </cell>
          <cell r="CL315">
            <v>1017.8</v>
          </cell>
          <cell r="CM315">
            <v>1061.9000000000001</v>
          </cell>
          <cell r="CN315">
            <v>1456.9</v>
          </cell>
          <cell r="CO315">
            <v>1338.7</v>
          </cell>
          <cell r="CP315">
            <v>1291.2</v>
          </cell>
          <cell r="CQ315">
            <v>1328.7</v>
          </cell>
          <cell r="CR315">
            <v>1201.5</v>
          </cell>
          <cell r="CS315">
            <v>1169.3</v>
          </cell>
          <cell r="CT315">
            <v>1157.4000000000001</v>
          </cell>
          <cell r="CU315">
            <v>1084.5</v>
          </cell>
          <cell r="CV315">
            <v>1163.2</v>
          </cell>
          <cell r="CW315">
            <v>1140.3</v>
          </cell>
          <cell r="CX315">
            <v>1259.0999999999999</v>
          </cell>
          <cell r="CY315">
            <v>1373.4</v>
          </cell>
          <cell r="CZ315">
            <v>1579.4</v>
          </cell>
          <cell r="DA315">
            <v>1611.4</v>
          </cell>
          <cell r="DB315">
            <v>1495.7</v>
          </cell>
          <cell r="DC315">
            <v>1419.5</v>
          </cell>
          <cell r="DD315">
            <v>1347.8</v>
          </cell>
          <cell r="DE315">
            <v>1278.9000000000001</v>
          </cell>
          <cell r="DF315">
            <v>1152.9000000000001</v>
          </cell>
          <cell r="DG315">
            <v>1295.7</v>
          </cell>
          <cell r="DH315">
            <v>1361.7</v>
          </cell>
          <cell r="DI315">
            <v>1454.8</v>
          </cell>
          <cell r="DJ315">
            <v>1200</v>
          </cell>
          <cell r="DK315">
            <v>1346.8</v>
          </cell>
          <cell r="DL315">
            <v>1471</v>
          </cell>
          <cell r="DM315">
            <v>1434.5</v>
          </cell>
          <cell r="DN315">
            <v>1355.9</v>
          </cell>
          <cell r="DO315">
            <v>1306.7</v>
          </cell>
          <cell r="DP315">
            <v>1211.5</v>
          </cell>
          <cell r="DQ315">
            <v>1155.7</v>
          </cell>
          <cell r="DR315">
            <v>1097</v>
          </cell>
          <cell r="DS315">
            <v>930.1</v>
          </cell>
          <cell r="DT315">
            <v>971</v>
          </cell>
          <cell r="DU315">
            <v>982.2</v>
          </cell>
          <cell r="DV315">
            <v>1078.4000000000001</v>
          </cell>
          <cell r="DW315">
            <v>1150.2</v>
          </cell>
          <cell r="EK315" t="str">
            <v>3 yr Avg (2020 to 2022 8+4F)</v>
          </cell>
          <cell r="EL315" t="str">
            <v>A_2360605</v>
          </cell>
          <cell r="EM315">
            <v>1471030.0000000002</v>
          </cell>
          <cell r="EN315">
            <v>1434450</v>
          </cell>
          <cell r="EO315">
            <v>1355890</v>
          </cell>
          <cell r="EP315">
            <v>1306660</v>
          </cell>
          <cell r="EQ315">
            <v>1211450</v>
          </cell>
          <cell r="ER315">
            <v>1155700</v>
          </cell>
          <cell r="ES315">
            <v>1096970</v>
          </cell>
          <cell r="ET315">
            <v>1145080</v>
          </cell>
          <cell r="EU315">
            <v>1202750</v>
          </cell>
          <cell r="EV315">
            <v>1252250</v>
          </cell>
          <cell r="EW315">
            <v>1181290</v>
          </cell>
          <cell r="EX315">
            <v>1297800</v>
          </cell>
        </row>
        <row r="316">
          <cell r="A316" t="str">
            <v>Taxes Accrued - General</v>
          </cell>
          <cell r="B316" t="str">
            <v>Other Taxes Payable</v>
          </cell>
          <cell r="C316" t="str">
            <v>Taxes Accrued - General</v>
          </cell>
          <cell r="D316" t="str">
            <v>2360606</v>
          </cell>
          <cell r="E316" t="str">
            <v>A_2360606</v>
          </cell>
          <cell r="F316" t="str">
            <v>Taxes Payable - Federal Excise Tax</v>
          </cell>
          <cell r="G316">
            <v>-2.5554800000000002</v>
          </cell>
          <cell r="H316">
            <v>-3.3</v>
          </cell>
          <cell r="I316">
            <v>-3.1</v>
          </cell>
          <cell r="J316">
            <v>-3</v>
          </cell>
          <cell r="K316">
            <v>-3.1</v>
          </cell>
          <cell r="L316">
            <v>-2.5</v>
          </cell>
          <cell r="M316">
            <v>-1.5</v>
          </cell>
          <cell r="N316">
            <v>-3.5</v>
          </cell>
          <cell r="O316">
            <v>-3.4</v>
          </cell>
          <cell r="P316">
            <v>-3.4</v>
          </cell>
          <cell r="Q316">
            <v>-3.5</v>
          </cell>
          <cell r="R316">
            <v>-3.4</v>
          </cell>
          <cell r="S316">
            <v>-3.3</v>
          </cell>
          <cell r="T316">
            <v>-3.5</v>
          </cell>
          <cell r="U316">
            <v>-3.5</v>
          </cell>
          <cell r="V316">
            <v>-3.4</v>
          </cell>
          <cell r="W316">
            <v>-3.5</v>
          </cell>
          <cell r="X316">
            <v>-3.4</v>
          </cell>
          <cell r="Y316">
            <v>-3.3</v>
          </cell>
          <cell r="Z316">
            <v>-3.5</v>
          </cell>
          <cell r="AA316">
            <v>-3.4</v>
          </cell>
          <cell r="AB316">
            <v>-3.3</v>
          </cell>
          <cell r="AC316">
            <v>-3.5</v>
          </cell>
          <cell r="AD316">
            <v>-3.4</v>
          </cell>
          <cell r="AE316">
            <v>-3.3</v>
          </cell>
          <cell r="AF316">
            <v>-3.4</v>
          </cell>
          <cell r="AG316">
            <v>-3.2</v>
          </cell>
          <cell r="AH316">
            <v>-3.1</v>
          </cell>
          <cell r="AI316">
            <v>-3.4</v>
          </cell>
          <cell r="AJ316">
            <v>-3.3</v>
          </cell>
          <cell r="AK316">
            <v>-3.2</v>
          </cell>
          <cell r="AL316">
            <v>-3.4</v>
          </cell>
          <cell r="AM316">
            <v>-3.3</v>
          </cell>
          <cell r="AN316">
            <v>-3.1</v>
          </cell>
          <cell r="AO316">
            <v>-3.4</v>
          </cell>
          <cell r="AP316">
            <v>-3.3</v>
          </cell>
          <cell r="AQ316">
            <v>-3.2</v>
          </cell>
          <cell r="AR316">
            <v>-3.4</v>
          </cell>
          <cell r="AS316">
            <v>-3.3</v>
          </cell>
          <cell r="AT316">
            <v>-3.2</v>
          </cell>
          <cell r="AU316">
            <v>-3.5</v>
          </cell>
          <cell r="AV316">
            <v>-3.4</v>
          </cell>
          <cell r="AW316">
            <v>-3.3</v>
          </cell>
          <cell r="AX316">
            <v>-3.5</v>
          </cell>
          <cell r="AY316">
            <v>-3.5</v>
          </cell>
          <cell r="AZ316">
            <v>-3.4</v>
          </cell>
          <cell r="BA316">
            <v>-3.4</v>
          </cell>
          <cell r="BB316">
            <v>-3.3</v>
          </cell>
          <cell r="BC316">
            <v>-3.2</v>
          </cell>
          <cell r="BD316">
            <v>-3.5</v>
          </cell>
          <cell r="BE316">
            <v>-3.4</v>
          </cell>
          <cell r="BF316">
            <v>-3.4</v>
          </cell>
          <cell r="BG316">
            <v>-3.5</v>
          </cell>
          <cell r="BH316">
            <v>-3.4</v>
          </cell>
          <cell r="BI316">
            <v>-3.4</v>
          </cell>
          <cell r="BJ316">
            <v>-3.5</v>
          </cell>
          <cell r="BK316">
            <v>-3.4</v>
          </cell>
          <cell r="BL316">
            <v>-3.4</v>
          </cell>
          <cell r="BM316">
            <v>-3.5</v>
          </cell>
          <cell r="BN316">
            <v>-3.5</v>
          </cell>
          <cell r="BO316">
            <v>-3.4</v>
          </cell>
          <cell r="BP316">
            <v>-3.5</v>
          </cell>
          <cell r="BQ316">
            <v>-3.5</v>
          </cell>
          <cell r="BR316">
            <v>-3.5</v>
          </cell>
          <cell r="BS316">
            <v>-3.5</v>
          </cell>
          <cell r="BT316">
            <v>-3.5</v>
          </cell>
          <cell r="BU316">
            <v>-3.5</v>
          </cell>
          <cell r="BV316">
            <v>-3.5</v>
          </cell>
          <cell r="BW316">
            <v>-3.5</v>
          </cell>
          <cell r="BX316">
            <v>-3.5</v>
          </cell>
          <cell r="BY316">
            <v>-3.5</v>
          </cell>
          <cell r="BZ316">
            <v>-3.5</v>
          </cell>
          <cell r="CA316">
            <v>-3.5</v>
          </cell>
          <cell r="CB316">
            <v>-3.5</v>
          </cell>
          <cell r="CC316">
            <v>-3.5</v>
          </cell>
          <cell r="CD316">
            <v>-3.5</v>
          </cell>
          <cell r="CE316">
            <v>-3.5</v>
          </cell>
          <cell r="CF316">
            <v>-3.5</v>
          </cell>
          <cell r="CG316">
            <v>-3.5</v>
          </cell>
          <cell r="CH316">
            <v>-3.5</v>
          </cell>
          <cell r="CI316">
            <v>-3.5</v>
          </cell>
          <cell r="CJ316">
            <v>-3.5</v>
          </cell>
          <cell r="CK316">
            <v>-3.5</v>
          </cell>
          <cell r="CL316">
            <v>-3.5</v>
          </cell>
          <cell r="CM316">
            <v>-3.5</v>
          </cell>
          <cell r="CN316">
            <v>-3.5</v>
          </cell>
          <cell r="CO316">
            <v>-3.5</v>
          </cell>
          <cell r="CP316">
            <v>-3.5</v>
          </cell>
          <cell r="CQ316">
            <v>-3.5</v>
          </cell>
          <cell r="CR316">
            <v>-3.5</v>
          </cell>
          <cell r="CS316">
            <v>-3.5</v>
          </cell>
          <cell r="CT316">
            <v>-3.5</v>
          </cell>
          <cell r="CU316">
            <v>-3.5</v>
          </cell>
          <cell r="CV316">
            <v>-3.5</v>
          </cell>
          <cell r="CW316">
            <v>-3.5</v>
          </cell>
          <cell r="CX316">
            <v>-4.3</v>
          </cell>
          <cell r="CY316">
            <v>-4.3</v>
          </cell>
          <cell r="CZ316">
            <v>-4.3</v>
          </cell>
          <cell r="DA316">
            <v>-4.3</v>
          </cell>
          <cell r="DB316">
            <v>-4.3</v>
          </cell>
          <cell r="DC316">
            <v>-4.3</v>
          </cell>
          <cell r="DD316">
            <v>-4.3</v>
          </cell>
          <cell r="DE316">
            <v>-4.3</v>
          </cell>
          <cell r="DF316">
            <v>-4.3</v>
          </cell>
          <cell r="DG316">
            <v>-4.3</v>
          </cell>
          <cell r="DH316">
            <v>-4.3</v>
          </cell>
          <cell r="DI316">
            <v>-4.3</v>
          </cell>
          <cell r="DJ316">
            <v>-4.3</v>
          </cell>
          <cell r="DK316">
            <v>-4.3</v>
          </cell>
          <cell r="DL316">
            <v>-3.9</v>
          </cell>
          <cell r="DM316">
            <v>-3.9</v>
          </cell>
          <cell r="DN316">
            <v>-3.9</v>
          </cell>
          <cell r="DO316">
            <v>-3.9</v>
          </cell>
          <cell r="DP316">
            <v>-3.9</v>
          </cell>
          <cell r="DQ316">
            <v>-3.9</v>
          </cell>
          <cell r="DR316">
            <v>-3.9</v>
          </cell>
          <cell r="DS316">
            <v>-3.5</v>
          </cell>
          <cell r="DT316">
            <v>-3.5</v>
          </cell>
          <cell r="DU316">
            <v>-3.5</v>
          </cell>
          <cell r="DV316">
            <v>-3.7</v>
          </cell>
          <cell r="DW316">
            <v>-3.7</v>
          </cell>
          <cell r="EK316" t="str">
            <v>3 yr Avg (2020 to 2022 8+4F)</v>
          </cell>
          <cell r="EL316" t="str">
            <v>A_2360606</v>
          </cell>
          <cell r="EM316">
            <v>-3900</v>
          </cell>
          <cell r="EN316">
            <v>-3900</v>
          </cell>
          <cell r="EO316">
            <v>-3900</v>
          </cell>
          <cell r="EP316">
            <v>-3900</v>
          </cell>
          <cell r="EQ316">
            <v>-3900</v>
          </cell>
          <cell r="ER316">
            <v>-3900</v>
          </cell>
          <cell r="ES316">
            <v>-3900</v>
          </cell>
          <cell r="ET316">
            <v>-3900</v>
          </cell>
          <cell r="EU316">
            <v>-3900</v>
          </cell>
          <cell r="EV316">
            <v>-3900</v>
          </cell>
          <cell r="EW316">
            <v>-4140</v>
          </cell>
          <cell r="EX316">
            <v>-4140</v>
          </cell>
        </row>
        <row r="317">
          <cell r="A317" t="str">
            <v>Taxes Accrued - General</v>
          </cell>
          <cell r="B317" t="str">
            <v>Other Taxes Payable</v>
          </cell>
          <cell r="C317" t="str">
            <v>Taxes Accrued - General</v>
          </cell>
          <cell r="D317" t="str">
            <v>2360620</v>
          </cell>
          <cell r="E317" t="str">
            <v>A_2360620</v>
          </cell>
          <cell r="F317" t="str">
            <v xml:space="preserve"> Taxes Payable - FICA Employr </v>
          </cell>
          <cell r="G317">
            <v>0</v>
          </cell>
          <cell r="H317">
            <v>239.6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90</v>
          </cell>
          <cell r="T317">
            <v>90</v>
          </cell>
          <cell r="U317">
            <v>0</v>
          </cell>
          <cell r="V317">
            <v>53</v>
          </cell>
          <cell r="W317">
            <v>161.69999999999999</v>
          </cell>
          <cell r="X317">
            <v>147.30000000000001</v>
          </cell>
          <cell r="Y317">
            <v>66</v>
          </cell>
          <cell r="Z317">
            <v>58</v>
          </cell>
          <cell r="AA317">
            <v>60</v>
          </cell>
          <cell r="AB317">
            <v>44</v>
          </cell>
          <cell r="AC317">
            <v>42</v>
          </cell>
          <cell r="AD317">
            <v>68</v>
          </cell>
          <cell r="AE317">
            <v>147</v>
          </cell>
          <cell r="AF317">
            <v>158.80000000000001</v>
          </cell>
          <cell r="AG317">
            <v>23.7</v>
          </cell>
          <cell r="AH317">
            <v>35.5</v>
          </cell>
          <cell r="AI317">
            <v>47.4</v>
          </cell>
          <cell r="AJ317">
            <v>59.2</v>
          </cell>
          <cell r="AK317">
            <v>71.099999999999994</v>
          </cell>
          <cell r="AL317">
            <v>97.9</v>
          </cell>
          <cell r="AM317">
            <v>156.69999999999999</v>
          </cell>
          <cell r="AN317">
            <v>185.6</v>
          </cell>
          <cell r="AO317">
            <v>195.4</v>
          </cell>
          <cell r="AP317">
            <v>164.3</v>
          </cell>
          <cell r="AQ317">
            <v>190.2</v>
          </cell>
          <cell r="AR317">
            <v>203.2</v>
          </cell>
          <cell r="AS317">
            <v>26</v>
          </cell>
          <cell r="AT317">
            <v>46.9</v>
          </cell>
          <cell r="AU317">
            <v>59.9</v>
          </cell>
          <cell r="AV317">
            <v>64.900000000000006</v>
          </cell>
          <cell r="AW317">
            <v>83.1</v>
          </cell>
          <cell r="AX317">
            <v>97</v>
          </cell>
          <cell r="AY317">
            <v>220.5</v>
          </cell>
          <cell r="AZ317">
            <v>124.7</v>
          </cell>
          <cell r="BA317">
            <v>120.5</v>
          </cell>
          <cell r="BB317">
            <v>132.6</v>
          </cell>
          <cell r="BC317">
            <v>160.4</v>
          </cell>
          <cell r="BD317">
            <v>176.8</v>
          </cell>
          <cell r="BE317">
            <v>32.9</v>
          </cell>
          <cell r="BF317">
            <v>48.8</v>
          </cell>
          <cell r="BG317">
            <v>65.2</v>
          </cell>
          <cell r="BH317">
            <v>82.1</v>
          </cell>
          <cell r="BI317">
            <v>98.5</v>
          </cell>
          <cell r="BJ317">
            <v>123.6</v>
          </cell>
          <cell r="BK317">
            <v>171.8</v>
          </cell>
          <cell r="BL317">
            <v>194.2</v>
          </cell>
          <cell r="BM317">
            <v>215.8</v>
          </cell>
          <cell r="BN317">
            <v>237.4</v>
          </cell>
          <cell r="BO317">
            <v>353.5</v>
          </cell>
          <cell r="BP317">
            <v>413</v>
          </cell>
          <cell r="BQ317">
            <v>163.80000000000001</v>
          </cell>
          <cell r="BR317">
            <v>68</v>
          </cell>
          <cell r="BS317">
            <v>90.7</v>
          </cell>
          <cell r="BT317">
            <v>113.4</v>
          </cell>
          <cell r="BU317">
            <v>136.1</v>
          </cell>
          <cell r="BV317">
            <v>158.80000000000001</v>
          </cell>
          <cell r="BW317">
            <v>181.4</v>
          </cell>
          <cell r="BX317">
            <v>213.1</v>
          </cell>
          <cell r="BY317">
            <v>236.8</v>
          </cell>
          <cell r="BZ317">
            <v>312.89999999999998</v>
          </cell>
          <cell r="CA317">
            <v>452.8</v>
          </cell>
          <cell r="CB317">
            <v>369.4</v>
          </cell>
          <cell r="CC317">
            <v>44.1</v>
          </cell>
          <cell r="CD317">
            <v>59</v>
          </cell>
          <cell r="CE317">
            <v>84.2</v>
          </cell>
          <cell r="CF317">
            <v>311.7</v>
          </cell>
          <cell r="CG317">
            <v>525.20000000000005</v>
          </cell>
          <cell r="CH317">
            <v>844.9</v>
          </cell>
          <cell r="CI317">
            <v>1063.2</v>
          </cell>
          <cell r="CJ317">
            <v>1128.4000000000001</v>
          </cell>
          <cell r="CK317">
            <v>1344.5</v>
          </cell>
          <cell r="CL317">
            <v>1567.2</v>
          </cell>
          <cell r="CM317">
            <v>1868.7</v>
          </cell>
          <cell r="CN317">
            <v>1867.4</v>
          </cell>
          <cell r="CO317">
            <v>1893.7</v>
          </cell>
          <cell r="CP317">
            <v>1518.2</v>
          </cell>
          <cell r="CQ317">
            <v>1534.8</v>
          </cell>
          <cell r="CR317">
            <v>1559.2</v>
          </cell>
          <cell r="CS317">
            <v>1598</v>
          </cell>
          <cell r="CT317">
            <v>1621.9</v>
          </cell>
          <cell r="CU317">
            <v>1646.2</v>
          </cell>
          <cell r="CV317">
            <v>1641</v>
          </cell>
          <cell r="CW317">
            <v>1812.5</v>
          </cell>
          <cell r="CX317">
            <v>1920.2</v>
          </cell>
          <cell r="CY317">
            <v>1335</v>
          </cell>
          <cell r="CZ317">
            <v>1370.2</v>
          </cell>
          <cell r="DA317">
            <v>1404.5</v>
          </cell>
          <cell r="DB317">
            <v>1004.3</v>
          </cell>
          <cell r="DC317">
            <v>1042.0999999999999</v>
          </cell>
          <cell r="DD317">
            <v>1073.9000000000001</v>
          </cell>
          <cell r="DE317">
            <v>1271.8</v>
          </cell>
          <cell r="DF317">
            <v>1299.0999999999999</v>
          </cell>
          <cell r="DG317">
            <v>1179.9000000000001</v>
          </cell>
          <cell r="DH317">
            <v>1216</v>
          </cell>
          <cell r="DI317">
            <v>1252.5</v>
          </cell>
          <cell r="DJ317">
            <v>1334.3</v>
          </cell>
          <cell r="DK317">
            <v>480.3</v>
          </cell>
          <cell r="DL317">
            <v>1319.2</v>
          </cell>
          <cell r="DM317">
            <v>1279.2</v>
          </cell>
          <cell r="DN317">
            <v>969.4</v>
          </cell>
          <cell r="DO317">
            <v>998.3</v>
          </cell>
          <cell r="DP317">
            <v>1067.0999999999999</v>
          </cell>
          <cell r="DQ317">
            <v>1220.3</v>
          </cell>
          <cell r="DR317">
            <v>1305.0999999999999</v>
          </cell>
          <cell r="DS317">
            <v>1525.9</v>
          </cell>
          <cell r="DT317">
            <v>1575.3</v>
          </cell>
          <cell r="DU317">
            <v>1729.8</v>
          </cell>
          <cell r="DV317">
            <v>1872.6</v>
          </cell>
          <cell r="DW317">
            <v>1179.5999999999999</v>
          </cell>
          <cell r="EK317" t="str">
            <v>3 yr Avg (2020 to 2022 8+4F)</v>
          </cell>
          <cell r="EL317" t="str">
            <v>A_2360620</v>
          </cell>
          <cell r="EM317">
            <v>1319200</v>
          </cell>
          <cell r="EN317">
            <v>1279179.9999999998</v>
          </cell>
          <cell r="EO317">
            <v>969410.00000000012</v>
          </cell>
          <cell r="EP317">
            <v>998329.99999999988</v>
          </cell>
          <cell r="EQ317">
            <v>1067050</v>
          </cell>
          <cell r="ER317">
            <v>1220340</v>
          </cell>
          <cell r="ES317">
            <v>1305100</v>
          </cell>
          <cell r="ET317">
            <v>1296450</v>
          </cell>
          <cell r="EU317">
            <v>1325980</v>
          </cell>
          <cell r="EV317">
            <v>1438900</v>
          </cell>
          <cell r="EW317">
            <v>1556650</v>
          </cell>
          <cell r="EX317">
            <v>1014390</v>
          </cell>
        </row>
        <row r="318">
          <cell r="A318" t="str">
            <v>Taxes Accrued - General</v>
          </cell>
          <cell r="B318" t="str">
            <v>Other Taxes Payable</v>
          </cell>
          <cell r="C318" t="str">
            <v>Taxes Accrued - General</v>
          </cell>
          <cell r="D318" t="str">
            <v>2360800</v>
          </cell>
          <cell r="E318" t="str">
            <v>A_2360800</v>
          </cell>
          <cell r="F318" t="str">
            <v xml:space="preserve"> Taxes Payable - Other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50</v>
          </cell>
          <cell r="AF318">
            <v>50</v>
          </cell>
          <cell r="AG318">
            <v>50</v>
          </cell>
          <cell r="AH318">
            <v>50</v>
          </cell>
          <cell r="AI318">
            <v>50</v>
          </cell>
          <cell r="AJ318">
            <v>50</v>
          </cell>
          <cell r="AK318">
            <v>50</v>
          </cell>
          <cell r="AL318">
            <v>50</v>
          </cell>
          <cell r="AM318">
            <v>50</v>
          </cell>
          <cell r="AN318">
            <v>50</v>
          </cell>
          <cell r="AO318">
            <v>50</v>
          </cell>
          <cell r="AP318">
            <v>50</v>
          </cell>
          <cell r="AQ318">
            <v>50</v>
          </cell>
          <cell r="AR318">
            <v>50</v>
          </cell>
          <cell r="AS318">
            <v>50</v>
          </cell>
          <cell r="AT318">
            <v>50</v>
          </cell>
          <cell r="AU318">
            <v>50</v>
          </cell>
          <cell r="AV318">
            <v>50</v>
          </cell>
          <cell r="AW318">
            <v>50</v>
          </cell>
          <cell r="AX318">
            <v>50</v>
          </cell>
          <cell r="AY318">
            <v>35.6</v>
          </cell>
          <cell r="AZ318">
            <v>35.6</v>
          </cell>
          <cell r="BA318">
            <v>34.6</v>
          </cell>
          <cell r="BB318">
            <v>34.6</v>
          </cell>
          <cell r="BC318">
            <v>34.6</v>
          </cell>
          <cell r="BD318">
            <v>34.6</v>
          </cell>
          <cell r="BE318">
            <v>34.6</v>
          </cell>
          <cell r="BF318">
            <v>34.6</v>
          </cell>
          <cell r="BG318">
            <v>34.6</v>
          </cell>
          <cell r="BH318">
            <v>34.6</v>
          </cell>
          <cell r="BI318">
            <v>34.6</v>
          </cell>
          <cell r="BJ318">
            <v>34.6</v>
          </cell>
          <cell r="BK318">
            <v>34.6</v>
          </cell>
          <cell r="BL318">
            <v>34.6</v>
          </cell>
          <cell r="BM318">
            <v>34.6</v>
          </cell>
          <cell r="BN318">
            <v>34.6</v>
          </cell>
          <cell r="BO318">
            <v>34.6</v>
          </cell>
          <cell r="BP318">
            <v>34.6</v>
          </cell>
          <cell r="BQ318">
            <v>34.6</v>
          </cell>
          <cell r="BR318">
            <v>34.6</v>
          </cell>
          <cell r="BS318">
            <v>34.6</v>
          </cell>
          <cell r="BT318">
            <v>34.6</v>
          </cell>
          <cell r="BU318">
            <v>34.6</v>
          </cell>
          <cell r="BV318">
            <v>34.6</v>
          </cell>
          <cell r="BW318">
            <v>34.6</v>
          </cell>
          <cell r="BX318">
            <v>34.6</v>
          </cell>
          <cell r="BY318">
            <v>34.6</v>
          </cell>
          <cell r="BZ318">
            <v>34.6</v>
          </cell>
          <cell r="CA318">
            <v>34.6</v>
          </cell>
          <cell r="CB318">
            <v>34.6</v>
          </cell>
          <cell r="CC318">
            <v>34.6</v>
          </cell>
          <cell r="CD318">
            <v>34.6</v>
          </cell>
          <cell r="CE318">
            <v>34.6</v>
          </cell>
          <cell r="CF318">
            <v>34.6</v>
          </cell>
          <cell r="CG318">
            <v>34.6</v>
          </cell>
          <cell r="CH318">
            <v>34.6</v>
          </cell>
          <cell r="CI318">
            <v>34.6</v>
          </cell>
          <cell r="CJ318">
            <v>34.6</v>
          </cell>
          <cell r="CK318">
            <v>34.6</v>
          </cell>
          <cell r="CL318">
            <v>34.6</v>
          </cell>
          <cell r="CM318">
            <v>34.6</v>
          </cell>
          <cell r="CN318">
            <v>34.6</v>
          </cell>
          <cell r="CO318">
            <v>34.6</v>
          </cell>
          <cell r="CP318">
            <v>34.6</v>
          </cell>
          <cell r="CQ318">
            <v>34.6</v>
          </cell>
          <cell r="CR318">
            <v>34.6</v>
          </cell>
          <cell r="CS318">
            <v>34.6</v>
          </cell>
          <cell r="CT318">
            <v>34.6</v>
          </cell>
          <cell r="CU318">
            <v>34.6</v>
          </cell>
          <cell r="CV318">
            <v>34.6</v>
          </cell>
          <cell r="CW318">
            <v>34.6</v>
          </cell>
          <cell r="CX318">
            <v>34.6</v>
          </cell>
          <cell r="CY318">
            <v>34.6</v>
          </cell>
          <cell r="CZ318">
            <v>34.6</v>
          </cell>
          <cell r="DA318">
            <v>34.6</v>
          </cell>
          <cell r="DB318">
            <v>34.6</v>
          </cell>
          <cell r="DC318">
            <v>34.6</v>
          </cell>
          <cell r="DD318">
            <v>34.6</v>
          </cell>
          <cell r="DE318">
            <v>34.6</v>
          </cell>
          <cell r="DF318">
            <v>34.6</v>
          </cell>
          <cell r="DG318">
            <v>34.6</v>
          </cell>
          <cell r="DH318">
            <v>34.6</v>
          </cell>
          <cell r="DI318">
            <v>34.6</v>
          </cell>
          <cell r="DJ318">
            <v>34.6</v>
          </cell>
          <cell r="DK318">
            <v>34.6</v>
          </cell>
          <cell r="DL318">
            <v>34.6</v>
          </cell>
          <cell r="DM318">
            <v>34.6</v>
          </cell>
          <cell r="DN318">
            <v>34.6</v>
          </cell>
          <cell r="DO318">
            <v>34.6</v>
          </cell>
          <cell r="DP318">
            <v>34.6</v>
          </cell>
          <cell r="DQ318">
            <v>34.6</v>
          </cell>
          <cell r="DR318">
            <v>34.6</v>
          </cell>
          <cell r="DS318">
            <v>34.799999999999997</v>
          </cell>
          <cell r="DT318">
            <v>34.799999999999997</v>
          </cell>
          <cell r="DU318">
            <v>34.700000000000003</v>
          </cell>
          <cell r="DV318">
            <v>34.700000000000003</v>
          </cell>
          <cell r="DW318">
            <v>34.799999999999997</v>
          </cell>
          <cell r="EK318" t="str">
            <v>3 yr Avg (2020 to 2022 8+4F)</v>
          </cell>
          <cell r="EL318" t="str">
            <v>A_2360800</v>
          </cell>
          <cell r="EM318">
            <v>34600</v>
          </cell>
          <cell r="EN318">
            <v>34600</v>
          </cell>
          <cell r="EO318">
            <v>34600</v>
          </cell>
          <cell r="EP318">
            <v>34600</v>
          </cell>
          <cell r="EQ318">
            <v>34600</v>
          </cell>
          <cell r="ER318">
            <v>34600</v>
          </cell>
          <cell r="ES318">
            <v>34600</v>
          </cell>
          <cell r="ET318">
            <v>34600</v>
          </cell>
          <cell r="EU318">
            <v>34600</v>
          </cell>
          <cell r="EV318">
            <v>34600</v>
          </cell>
          <cell r="EW318">
            <v>34600</v>
          </cell>
          <cell r="EX318">
            <v>34600</v>
          </cell>
        </row>
        <row r="319">
          <cell r="D319" t="str">
            <v>236</v>
          </cell>
          <cell r="E319">
            <v>236</v>
          </cell>
          <cell r="G319">
            <v>2661.8093399999998</v>
          </cell>
          <cell r="H319">
            <v>5180.8</v>
          </cell>
          <cell r="I319">
            <v>8821.1</v>
          </cell>
          <cell r="J319">
            <v>13537.700000000003</v>
          </cell>
          <cell r="K319">
            <v>8074</v>
          </cell>
          <cell r="L319">
            <v>10106.400000000001</v>
          </cell>
          <cell r="M319">
            <v>4232.5</v>
          </cell>
          <cell r="N319">
            <v>4678</v>
          </cell>
          <cell r="O319">
            <v>5537.1</v>
          </cell>
          <cell r="P319">
            <v>2803.1999999999994</v>
          </cell>
          <cell r="Q319">
            <v>8181.9000000000005</v>
          </cell>
          <cell r="R319">
            <v>-1388.2000000000003</v>
          </cell>
          <cell r="S319">
            <v>3125.4999999999995</v>
          </cell>
          <cell r="T319">
            <v>-2874.9000000000005</v>
          </cell>
          <cell r="U319">
            <v>-448.90000000000032</v>
          </cell>
          <cell r="V319">
            <v>13008.500000000002</v>
          </cell>
          <cell r="W319">
            <v>7852.1</v>
          </cell>
          <cell r="X319">
            <v>9473.1</v>
          </cell>
          <cell r="Y319">
            <v>4786.3999999999996</v>
          </cell>
          <cell r="Z319">
            <v>5741.9</v>
          </cell>
          <cell r="AA319">
            <v>7537.2000000000007</v>
          </cell>
          <cell r="AB319">
            <v>6041</v>
          </cell>
          <cell r="AC319">
            <v>6234.7999999999993</v>
          </cell>
          <cell r="AD319">
            <v>-2185.599999999999</v>
          </cell>
          <cell r="AE319">
            <v>3120.7</v>
          </cell>
          <cell r="AF319">
            <v>-7715.3000000000011</v>
          </cell>
          <cell r="AG319">
            <v>-3665.3999999999983</v>
          </cell>
          <cell r="AH319">
            <v>11655.4</v>
          </cell>
          <cell r="AI319">
            <v>7348.2000000000007</v>
          </cell>
          <cell r="AJ319">
            <v>8359.5000000000018</v>
          </cell>
          <cell r="AK319">
            <v>3701.9</v>
          </cell>
          <cell r="AL319">
            <v>3909.6000000000004</v>
          </cell>
          <cell r="AM319">
            <v>4047.3000000000006</v>
          </cell>
          <cell r="AN319">
            <v>10584.5</v>
          </cell>
          <cell r="AO319">
            <v>9600.6999999999989</v>
          </cell>
          <cell r="AP319">
            <v>892.60000000000014</v>
          </cell>
          <cell r="AQ319">
            <v>3323.3</v>
          </cell>
          <cell r="AR319">
            <v>4081.6</v>
          </cell>
          <cell r="AS319">
            <v>5102.3</v>
          </cell>
          <cell r="AT319">
            <v>6243.7</v>
          </cell>
          <cell r="AU319">
            <v>8059.6</v>
          </cell>
          <cell r="AV319">
            <v>7824</v>
          </cell>
          <cell r="AW319">
            <v>8293.6999999999989</v>
          </cell>
          <cell r="AX319">
            <v>7169.0999999999995</v>
          </cell>
          <cell r="AY319">
            <v>7239.0000000000009</v>
          </cell>
          <cell r="AZ319">
            <v>9702.5</v>
          </cell>
          <cell r="BA319">
            <v>8808.9000000000015</v>
          </cell>
          <cell r="BB319">
            <v>-661.79999999999973</v>
          </cell>
          <cell r="BC319">
            <v>9211</v>
          </cell>
          <cell r="BD319">
            <v>13572.599999999999</v>
          </cell>
          <cell r="BE319">
            <v>14600.300000000001</v>
          </cell>
          <cell r="BF319">
            <v>16231.300000000001</v>
          </cell>
          <cell r="BG319">
            <v>11145.700000000003</v>
          </cell>
          <cell r="BH319">
            <v>12161.400000000003</v>
          </cell>
          <cell r="BI319">
            <v>11591.5</v>
          </cell>
          <cell r="BJ319">
            <v>11572</v>
          </cell>
          <cell r="BK319">
            <v>11799.300000000001</v>
          </cell>
          <cell r="BL319">
            <v>12219.400000000001</v>
          </cell>
          <cell r="BM319">
            <v>12874.7</v>
          </cell>
          <cell r="BN319">
            <v>-463.60000000000036</v>
          </cell>
          <cell r="BO319">
            <v>6451.2000000000007</v>
          </cell>
          <cell r="BP319">
            <v>8941.8000000000011</v>
          </cell>
          <cell r="BQ319">
            <v>9832.1999999999989</v>
          </cell>
          <cell r="BR319">
            <v>11847.699999999999</v>
          </cell>
          <cell r="BS319">
            <v>10251.9</v>
          </cell>
          <cell r="BT319">
            <v>11745</v>
          </cell>
          <cell r="BU319">
            <v>11986.5</v>
          </cell>
          <cell r="BV319">
            <v>12147.1</v>
          </cell>
          <cell r="BW319">
            <v>12819.1</v>
          </cell>
          <cell r="BX319">
            <v>12254.500000000002</v>
          </cell>
          <cell r="BY319">
            <v>13590.5</v>
          </cell>
          <cell r="BZ319">
            <v>3703.7</v>
          </cell>
          <cell r="CA319">
            <v>4000.9</v>
          </cell>
          <cell r="CB319">
            <v>7739.4000000000005</v>
          </cell>
          <cell r="CC319">
            <v>6636.3</v>
          </cell>
          <cell r="CD319">
            <v>8121.2999999999993</v>
          </cell>
          <cell r="CE319">
            <v>9757.3000000000011</v>
          </cell>
          <cell r="CF319">
            <v>10765.900000000001</v>
          </cell>
          <cell r="CG319">
            <v>12823.2</v>
          </cell>
          <cell r="CH319">
            <v>12925.5</v>
          </cell>
          <cell r="CI319">
            <v>14466.6</v>
          </cell>
          <cell r="CJ319">
            <v>16084</v>
          </cell>
          <cell r="CK319">
            <v>16100.5</v>
          </cell>
          <cell r="CL319">
            <v>5612.4000000000005</v>
          </cell>
          <cell r="CM319">
            <v>6793.5000000000009</v>
          </cell>
          <cell r="CN319">
            <v>11092.1</v>
          </cell>
          <cell r="CO319">
            <v>13454.7</v>
          </cell>
          <cell r="CP319">
            <v>13696.500000000002</v>
          </cell>
          <cell r="CQ319">
            <v>13245.300000000001</v>
          </cell>
          <cell r="CR319">
            <v>13762.400000000001</v>
          </cell>
          <cell r="CS319">
            <v>15275.099999999999</v>
          </cell>
          <cell r="CT319">
            <v>15073.9</v>
          </cell>
          <cell r="CU319">
            <v>16948.099999999999</v>
          </cell>
          <cell r="CV319">
            <v>14409.400000000001</v>
          </cell>
          <cell r="CW319">
            <v>14270.9</v>
          </cell>
          <cell r="CX319">
            <v>625.50000000000057</v>
          </cell>
          <cell r="CY319">
            <v>5469.9000000000005</v>
          </cell>
          <cell r="CZ319">
            <v>5354.2000000000007</v>
          </cell>
          <cell r="DA319">
            <v>10627.800000000001</v>
          </cell>
          <cell r="DB319">
            <v>11968.2</v>
          </cell>
          <cell r="DC319">
            <v>16722.5</v>
          </cell>
          <cell r="DD319">
            <v>18739</v>
          </cell>
          <cell r="DE319">
            <v>18805.3</v>
          </cell>
          <cell r="DF319">
            <v>18581.5</v>
          </cell>
          <cell r="DG319">
            <v>16900.400000000001</v>
          </cell>
          <cell r="DH319">
            <v>18963.8</v>
          </cell>
          <cell r="DI319">
            <v>20286.399999999998</v>
          </cell>
          <cell r="DJ319">
            <v>4641</v>
          </cell>
          <cell r="DK319">
            <v>5191.9000000000005</v>
          </cell>
          <cell r="DL319">
            <v>7822.7</v>
          </cell>
          <cell r="DM319">
            <v>10686.100000000002</v>
          </cell>
          <cell r="DN319">
            <v>11547.8</v>
          </cell>
          <cell r="DO319">
            <v>13662.7</v>
          </cell>
          <cell r="DP319">
            <v>15033.9</v>
          </cell>
          <cell r="DQ319">
            <v>17290.599999999999</v>
          </cell>
          <cell r="DR319">
            <v>17016.7</v>
          </cell>
          <cell r="DS319">
            <v>17899.5</v>
          </cell>
          <cell r="DT319">
            <v>19896.8</v>
          </cell>
          <cell r="DU319">
            <v>20623.3</v>
          </cell>
          <cell r="DV319">
            <v>1239.4999999999998</v>
          </cell>
          <cell r="DW319">
            <v>4806.3</v>
          </cell>
          <cell r="EJ319" t="str">
            <v>.</v>
          </cell>
        </row>
        <row r="320">
          <cell r="A320" t="str">
            <v>Interest Accrued</v>
          </cell>
          <cell r="B320" t="str">
            <v>Interest Payable-External</v>
          </cell>
          <cell r="C320" t="str">
            <v>Interest Accrued</v>
          </cell>
          <cell r="D320" t="str">
            <v>2370300</v>
          </cell>
          <cell r="E320" t="str">
            <v>A_2370300</v>
          </cell>
          <cell r="F320" t="str">
            <v>Interest Accrued on Customer Deposits</v>
          </cell>
          <cell r="G320">
            <v>334.34808000000004</v>
          </cell>
          <cell r="H320">
            <v>411.3</v>
          </cell>
          <cell r="I320">
            <v>487.1</v>
          </cell>
          <cell r="J320">
            <v>562.4</v>
          </cell>
          <cell r="K320">
            <v>637</v>
          </cell>
          <cell r="L320">
            <v>711.6</v>
          </cell>
          <cell r="M320">
            <v>784.4</v>
          </cell>
          <cell r="N320">
            <v>857.1</v>
          </cell>
          <cell r="O320">
            <v>21.5</v>
          </cell>
          <cell r="P320">
            <v>104.5</v>
          </cell>
          <cell r="Q320">
            <v>186.5</v>
          </cell>
          <cell r="R320">
            <v>266.3</v>
          </cell>
          <cell r="S320">
            <v>347.1</v>
          </cell>
          <cell r="T320">
            <v>425.6</v>
          </cell>
          <cell r="U320">
            <v>503.8</v>
          </cell>
          <cell r="V320">
            <v>580.70000000000005</v>
          </cell>
          <cell r="W320">
            <v>658.6</v>
          </cell>
          <cell r="X320">
            <v>733.4</v>
          </cell>
          <cell r="Y320">
            <v>807.9</v>
          </cell>
          <cell r="Z320">
            <v>882.9</v>
          </cell>
          <cell r="AA320">
            <v>22.3</v>
          </cell>
          <cell r="AB320">
            <v>107.6</v>
          </cell>
          <cell r="AC320">
            <v>192.4</v>
          </cell>
          <cell r="AD320">
            <v>276.10000000000002</v>
          </cell>
          <cell r="AE320">
            <v>24.1</v>
          </cell>
          <cell r="AF320">
            <v>110.6</v>
          </cell>
          <cell r="AG320">
            <v>192.7</v>
          </cell>
          <cell r="AH320">
            <v>271</v>
          </cell>
          <cell r="AI320">
            <v>346.1</v>
          </cell>
          <cell r="AJ320">
            <v>417.7</v>
          </cell>
          <cell r="AK320">
            <v>486.8</v>
          </cell>
          <cell r="AL320">
            <v>551.1</v>
          </cell>
          <cell r="AM320">
            <v>19.899999999999999</v>
          </cell>
          <cell r="AN320">
            <v>87.1</v>
          </cell>
          <cell r="AO320">
            <v>151.5</v>
          </cell>
          <cell r="AP320">
            <v>210.9</v>
          </cell>
          <cell r="AQ320">
            <v>17.8</v>
          </cell>
          <cell r="AR320">
            <v>74.3</v>
          </cell>
          <cell r="AS320">
            <v>127.2</v>
          </cell>
          <cell r="AT320">
            <v>179.1</v>
          </cell>
          <cell r="AU320">
            <v>229.1</v>
          </cell>
          <cell r="AV320">
            <v>277.60000000000002</v>
          </cell>
          <cell r="AW320">
            <v>325.8</v>
          </cell>
          <cell r="AX320">
            <v>368.2</v>
          </cell>
          <cell r="AY320">
            <v>412.5</v>
          </cell>
          <cell r="AZ320">
            <v>457.3</v>
          </cell>
          <cell r="BA320">
            <v>500.2</v>
          </cell>
          <cell r="BB320">
            <v>538.9</v>
          </cell>
          <cell r="BC320">
            <v>17.600000000000001</v>
          </cell>
          <cell r="BD320">
            <v>71.599999999999994</v>
          </cell>
          <cell r="BE320">
            <v>124.9</v>
          </cell>
          <cell r="BF320">
            <v>176.2</v>
          </cell>
          <cell r="BG320">
            <v>227.5</v>
          </cell>
          <cell r="BH320">
            <v>278.3</v>
          </cell>
          <cell r="BI320">
            <v>325.7</v>
          </cell>
          <cell r="BJ320">
            <v>374.5</v>
          </cell>
          <cell r="BK320">
            <v>422.7</v>
          </cell>
          <cell r="BL320">
            <v>469.9</v>
          </cell>
          <cell r="BM320">
            <v>515.4</v>
          </cell>
          <cell r="BN320">
            <v>561.4</v>
          </cell>
          <cell r="BO320">
            <v>16.600000000000001</v>
          </cell>
          <cell r="BP320">
            <v>71.099999999999994</v>
          </cell>
          <cell r="BQ320">
            <v>124.7</v>
          </cell>
          <cell r="BR320">
            <v>176.6</v>
          </cell>
          <cell r="BS320">
            <v>228.9</v>
          </cell>
          <cell r="BT320">
            <v>279.3</v>
          </cell>
          <cell r="BU320">
            <v>327.9</v>
          </cell>
          <cell r="BV320">
            <v>374.1</v>
          </cell>
          <cell r="BW320">
            <v>420.1</v>
          </cell>
          <cell r="BX320">
            <v>466.6</v>
          </cell>
          <cell r="BY320">
            <v>512.4</v>
          </cell>
          <cell r="BZ320">
            <v>556.1</v>
          </cell>
          <cell r="CA320">
            <v>16</v>
          </cell>
          <cell r="CB320">
            <v>69.900000000000006</v>
          </cell>
          <cell r="CC320">
            <v>123.6</v>
          </cell>
          <cell r="CD320">
            <v>175.7</v>
          </cell>
          <cell r="CE320">
            <v>226.8</v>
          </cell>
          <cell r="CF320">
            <v>276.7</v>
          </cell>
          <cell r="CG320">
            <v>325.5</v>
          </cell>
          <cell r="CH320">
            <v>372.5</v>
          </cell>
          <cell r="CI320">
            <v>418.6</v>
          </cell>
          <cell r="CJ320">
            <v>463.5</v>
          </cell>
          <cell r="CK320">
            <v>506.7</v>
          </cell>
          <cell r="CL320">
            <v>551.1</v>
          </cell>
          <cell r="CM320">
            <v>14.7</v>
          </cell>
          <cell r="CN320">
            <v>67.900000000000006</v>
          </cell>
          <cell r="CO320">
            <v>120.7</v>
          </cell>
          <cell r="CP320">
            <v>173</v>
          </cell>
          <cell r="CQ320">
            <v>223.9</v>
          </cell>
          <cell r="CR320">
            <v>273.89999999999998</v>
          </cell>
          <cell r="CS320">
            <v>323.39999999999998</v>
          </cell>
          <cell r="CT320">
            <v>373.9</v>
          </cell>
          <cell r="CU320">
            <v>423.5</v>
          </cell>
          <cell r="CV320">
            <v>472.9</v>
          </cell>
          <cell r="CW320">
            <v>519.9</v>
          </cell>
          <cell r="CX320">
            <v>568.79999999999995</v>
          </cell>
          <cell r="CY320">
            <v>15.6</v>
          </cell>
          <cell r="CZ320">
            <v>72</v>
          </cell>
          <cell r="DA320">
            <v>128.19999999999999</v>
          </cell>
          <cell r="DB320">
            <v>184.5</v>
          </cell>
          <cell r="DC320">
            <v>240</v>
          </cell>
          <cell r="DD320">
            <v>294.8</v>
          </cell>
          <cell r="DE320">
            <v>348.8</v>
          </cell>
          <cell r="DF320">
            <v>402.6</v>
          </cell>
          <cell r="DG320">
            <v>456</v>
          </cell>
          <cell r="DH320">
            <v>510.5</v>
          </cell>
          <cell r="DI320">
            <v>563.1</v>
          </cell>
          <cell r="DJ320">
            <v>617.1</v>
          </cell>
          <cell r="DK320">
            <v>19.100000000000001</v>
          </cell>
          <cell r="DL320">
            <v>69.099999999999994</v>
          </cell>
          <cell r="DM320">
            <v>121.6</v>
          </cell>
          <cell r="DN320">
            <v>174.3</v>
          </cell>
          <cell r="DO320">
            <v>227</v>
          </cell>
          <cell r="DP320">
            <v>279.7</v>
          </cell>
          <cell r="DQ320">
            <v>332.5</v>
          </cell>
          <cell r="DR320">
            <v>385.3</v>
          </cell>
          <cell r="DS320">
            <v>438.2</v>
          </cell>
          <cell r="DT320">
            <v>491.2</v>
          </cell>
          <cell r="DU320">
            <v>544.20000000000005</v>
          </cell>
          <cell r="DV320">
            <v>597.20000000000005</v>
          </cell>
          <cell r="DW320">
            <v>16.7</v>
          </cell>
        </row>
        <row r="321">
          <cell r="A321" t="str">
            <v>Interest Accrued</v>
          </cell>
          <cell r="B321" t="str">
            <v>Interest Payable-External</v>
          </cell>
          <cell r="C321" t="str">
            <v>Interest Accrued</v>
          </cell>
          <cell r="D321" t="str">
            <v>2370350</v>
          </cell>
          <cell r="E321" t="str">
            <v>A_2370350</v>
          </cell>
          <cell r="F321" t="str">
            <v>Interest Accrued on Credit Facility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273.60000000000002</v>
          </cell>
          <cell r="DV321">
            <v>518.70000000000005</v>
          </cell>
          <cell r="DW321">
            <v>558.70000000000005</v>
          </cell>
        </row>
        <row r="322">
          <cell r="A322" t="str">
            <v>Interest Accrued</v>
          </cell>
          <cell r="B322" t="str">
            <v>Interest Payable-External</v>
          </cell>
          <cell r="C322" t="str">
            <v>Interest Accrued</v>
          </cell>
          <cell r="D322" t="str">
            <v>2370400</v>
          </cell>
          <cell r="E322" t="str">
            <v>A_2370400</v>
          </cell>
          <cell r="F322" t="str">
            <v>Interest Accrued Long Term Debt</v>
          </cell>
          <cell r="G322">
            <v>1443.41166</v>
          </cell>
          <cell r="H322">
            <v>2440.5</v>
          </cell>
          <cell r="I322">
            <v>3437.6</v>
          </cell>
          <cell r="J322">
            <v>4109.7</v>
          </cell>
          <cell r="K322">
            <v>5106.8</v>
          </cell>
          <cell r="L322">
            <v>1489.4</v>
          </cell>
          <cell r="M322">
            <v>1497.8</v>
          </cell>
          <cell r="N322">
            <v>2531.1</v>
          </cell>
          <cell r="O322">
            <v>3564.5</v>
          </cell>
          <cell r="P322">
            <v>4272.8999999999996</v>
          </cell>
          <cell r="Q322">
            <v>5306.2</v>
          </cell>
          <cell r="R322">
            <v>1489.4</v>
          </cell>
          <cell r="S322">
            <v>1497.8</v>
          </cell>
          <cell r="T322">
            <v>2531.1</v>
          </cell>
          <cell r="U322">
            <v>3564.5</v>
          </cell>
          <cell r="V322">
            <v>4272.8999999999996</v>
          </cell>
          <cell r="W322">
            <v>5306.2</v>
          </cell>
          <cell r="X322">
            <v>1522.1</v>
          </cell>
          <cell r="Y322">
            <v>1600.5</v>
          </cell>
          <cell r="Z322">
            <v>2703.8</v>
          </cell>
          <cell r="AA322">
            <v>3807.2</v>
          </cell>
          <cell r="AB322">
            <v>4585.5</v>
          </cell>
          <cell r="AC322">
            <v>5688.9</v>
          </cell>
          <cell r="AD322">
            <v>1524.4</v>
          </cell>
          <cell r="AE322">
            <v>1602.8</v>
          </cell>
          <cell r="AF322">
            <v>2706.1</v>
          </cell>
          <cell r="AG322">
            <v>3809.5</v>
          </cell>
          <cell r="AH322">
            <v>4587.8999999999996</v>
          </cell>
          <cell r="AI322">
            <v>5691.2</v>
          </cell>
          <cell r="AJ322">
            <v>1524.4</v>
          </cell>
          <cell r="AK322">
            <v>1602.8</v>
          </cell>
          <cell r="AL322">
            <v>2706.1</v>
          </cell>
          <cell r="AM322">
            <v>3799.3</v>
          </cell>
          <cell r="AN322">
            <v>4577.6000000000004</v>
          </cell>
          <cell r="AO322">
            <v>5681</v>
          </cell>
          <cell r="AP322">
            <v>1514.2</v>
          </cell>
          <cell r="AQ322">
            <v>1592.5</v>
          </cell>
          <cell r="AR322">
            <v>2695.9</v>
          </cell>
          <cell r="AS322">
            <v>3799.3</v>
          </cell>
          <cell r="AT322">
            <v>4577.6000000000004</v>
          </cell>
          <cell r="AU322">
            <v>5681</v>
          </cell>
          <cell r="AV322">
            <v>1514.2</v>
          </cell>
          <cell r="AW322">
            <v>1592.5</v>
          </cell>
          <cell r="AX322">
            <v>2695.9</v>
          </cell>
          <cell r="AY322">
            <v>3799.3</v>
          </cell>
          <cell r="AZ322">
            <v>4577.6000000000004</v>
          </cell>
          <cell r="BA322">
            <v>5681</v>
          </cell>
          <cell r="BB322">
            <v>1514.2</v>
          </cell>
          <cell r="BC322">
            <v>1592.5</v>
          </cell>
          <cell r="BD322">
            <v>2695.9</v>
          </cell>
          <cell r="BE322">
            <v>3799.3</v>
          </cell>
          <cell r="BF322">
            <v>4577.6000000000004</v>
          </cell>
          <cell r="BG322">
            <v>5681</v>
          </cell>
          <cell r="BH322">
            <v>1387.1</v>
          </cell>
          <cell r="BI322">
            <v>1211.3</v>
          </cell>
          <cell r="BJ322">
            <v>2535.3000000000002</v>
          </cell>
          <cell r="BK322">
            <v>3653.2</v>
          </cell>
          <cell r="BL322">
            <v>4446.2</v>
          </cell>
          <cell r="BM322">
            <v>5644.4</v>
          </cell>
          <cell r="BN322">
            <v>3109.9</v>
          </cell>
          <cell r="BO322">
            <v>1611.4</v>
          </cell>
          <cell r="BP322">
            <v>2822.1</v>
          </cell>
          <cell r="BQ322">
            <v>4032.7</v>
          </cell>
          <cell r="BR322">
            <v>4918.3999999999996</v>
          </cell>
          <cell r="BS322">
            <v>6129</v>
          </cell>
          <cell r="BT322">
            <v>3594.5</v>
          </cell>
          <cell r="BU322">
            <v>1392</v>
          </cell>
          <cell r="BV322">
            <v>2622.8</v>
          </cell>
          <cell r="BW322">
            <v>3909</v>
          </cell>
          <cell r="BX322">
            <v>4870.1000000000004</v>
          </cell>
          <cell r="BY322">
            <v>6156.3</v>
          </cell>
          <cell r="BZ322">
            <v>3697.3</v>
          </cell>
          <cell r="CA322">
            <v>1434.8</v>
          </cell>
          <cell r="CB322">
            <v>2721</v>
          </cell>
          <cell r="CC322">
            <v>4007.2</v>
          </cell>
          <cell r="CD322">
            <v>4963.3</v>
          </cell>
          <cell r="CE322">
            <v>6249.5</v>
          </cell>
          <cell r="CF322">
            <v>3790.5</v>
          </cell>
          <cell r="CG322">
            <v>1429.8</v>
          </cell>
          <cell r="CH322">
            <v>2715.9</v>
          </cell>
          <cell r="CI322">
            <v>4002.1</v>
          </cell>
          <cell r="CJ322">
            <v>4963.3</v>
          </cell>
          <cell r="CK322">
            <v>6249.5</v>
          </cell>
          <cell r="CL322">
            <v>3790.5</v>
          </cell>
          <cell r="CM322">
            <v>1429.8</v>
          </cell>
          <cell r="CN322">
            <v>2715.9</v>
          </cell>
          <cell r="CO322">
            <v>4002.1</v>
          </cell>
          <cell r="CP322">
            <v>5281</v>
          </cell>
          <cell r="CQ322">
            <v>7127.8</v>
          </cell>
          <cell r="CR322">
            <v>5019</v>
          </cell>
          <cell r="CS322">
            <v>3113.7</v>
          </cell>
          <cell r="CT322">
            <v>4750</v>
          </cell>
          <cell r="CU322">
            <v>6386.4</v>
          </cell>
          <cell r="CV322">
            <v>4296.6000000000004</v>
          </cell>
          <cell r="CW322">
            <v>5933</v>
          </cell>
          <cell r="CX322">
            <v>5086.8</v>
          </cell>
          <cell r="CY322">
            <v>3076.3</v>
          </cell>
          <cell r="CZ322">
            <v>4712.7</v>
          </cell>
          <cell r="DA322">
            <v>6349</v>
          </cell>
          <cell r="DB322">
            <v>4296.6000000000004</v>
          </cell>
          <cell r="DC322">
            <v>5933</v>
          </cell>
          <cell r="DD322">
            <v>5086.8</v>
          </cell>
          <cell r="DE322">
            <v>3076.3</v>
          </cell>
          <cell r="DF322">
            <v>4879.1000000000004</v>
          </cell>
          <cell r="DG322">
            <v>6792.8</v>
          </cell>
          <cell r="DH322">
            <v>4990.6000000000004</v>
          </cell>
          <cell r="DI322">
            <v>6850.2</v>
          </cell>
          <cell r="DJ322">
            <v>6227.2</v>
          </cell>
          <cell r="DK322">
            <v>4439.8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3815.6</v>
          </cell>
          <cell r="DW322">
            <v>7631.3</v>
          </cell>
        </row>
        <row r="323">
          <cell r="A323" t="str">
            <v>Accounts Payable Assoc. Companies</v>
          </cell>
          <cell r="B323" t="str">
            <v>Interest Payable-External</v>
          </cell>
          <cell r="D323" t="str">
            <v>2370711</v>
          </cell>
          <cell r="E323" t="str">
            <v>A_2370711</v>
          </cell>
          <cell r="F323" t="str">
            <v>Interest Payable-Intercompany (Posting)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</row>
        <row r="324">
          <cell r="A324" t="str">
            <v>Interest Accrued</v>
          </cell>
          <cell r="B324" t="str">
            <v>Interest Payable-External</v>
          </cell>
          <cell r="C324" t="str">
            <v>Interest Accrued</v>
          </cell>
          <cell r="D324" t="str">
            <v>2370900</v>
          </cell>
          <cell r="E324" t="str">
            <v>A_2370900</v>
          </cell>
          <cell r="F324" t="str">
            <v>INTEREST ACCRUED-STD (IS Acct) CALCULATION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EK324" t="str">
            <v>Model</v>
          </cell>
          <cell r="EL324" t="str">
            <v>A_2370900</v>
          </cell>
        </row>
        <row r="325">
          <cell r="D325" t="str">
            <v>237</v>
          </cell>
          <cell r="E325">
            <v>237</v>
          </cell>
          <cell r="G325">
            <v>1777.75974</v>
          </cell>
          <cell r="H325">
            <v>2851.8</v>
          </cell>
          <cell r="I325">
            <v>3924.7</v>
          </cell>
          <cell r="J325">
            <v>4672.0999999999995</v>
          </cell>
          <cell r="K325">
            <v>5743.8</v>
          </cell>
          <cell r="L325">
            <v>2201</v>
          </cell>
          <cell r="M325">
            <v>2282.1999999999998</v>
          </cell>
          <cell r="N325">
            <v>3388.2</v>
          </cell>
          <cell r="O325">
            <v>3586</v>
          </cell>
          <cell r="P325">
            <v>4377.3999999999996</v>
          </cell>
          <cell r="Q325">
            <v>5492.7</v>
          </cell>
          <cell r="R325">
            <v>1755.7</v>
          </cell>
          <cell r="S325">
            <v>1844.9</v>
          </cell>
          <cell r="T325">
            <v>2956.7</v>
          </cell>
          <cell r="U325">
            <v>4068.3</v>
          </cell>
          <cell r="V325">
            <v>4853.5999999999995</v>
          </cell>
          <cell r="W325">
            <v>5964.8</v>
          </cell>
          <cell r="X325">
            <v>2255.5</v>
          </cell>
          <cell r="Y325">
            <v>2408.4</v>
          </cell>
          <cell r="Z325">
            <v>3586.7000000000003</v>
          </cell>
          <cell r="AA325">
            <v>3829.5</v>
          </cell>
          <cell r="AB325">
            <v>4693.1000000000004</v>
          </cell>
          <cell r="AC325">
            <v>5881.2999999999993</v>
          </cell>
          <cell r="AD325">
            <v>1800.5</v>
          </cell>
          <cell r="AE325">
            <v>1626.8999999999999</v>
          </cell>
          <cell r="AF325">
            <v>2816.7</v>
          </cell>
          <cell r="AG325">
            <v>4002.2</v>
          </cell>
          <cell r="AH325">
            <v>4858.8999999999996</v>
          </cell>
          <cell r="AI325">
            <v>6037.3</v>
          </cell>
          <cell r="AJ325">
            <v>1942.1000000000001</v>
          </cell>
          <cell r="AK325">
            <v>2089.6</v>
          </cell>
          <cell r="AL325">
            <v>3257.2</v>
          </cell>
          <cell r="AM325">
            <v>3819.2000000000003</v>
          </cell>
          <cell r="AN325">
            <v>4664.7000000000007</v>
          </cell>
          <cell r="AO325">
            <v>5832.5</v>
          </cell>
          <cell r="AP325">
            <v>1725.1000000000001</v>
          </cell>
          <cell r="AQ325">
            <v>1610.3</v>
          </cell>
          <cell r="AR325">
            <v>2770.2000000000003</v>
          </cell>
          <cell r="AS325">
            <v>3926.5</v>
          </cell>
          <cell r="AT325">
            <v>4756.7000000000007</v>
          </cell>
          <cell r="AU325">
            <v>5910.1</v>
          </cell>
          <cell r="AV325">
            <v>1791.8000000000002</v>
          </cell>
          <cell r="AW325">
            <v>1918.3</v>
          </cell>
          <cell r="AX325">
            <v>3064.1</v>
          </cell>
          <cell r="AY325">
            <v>4211.8</v>
          </cell>
          <cell r="AZ325">
            <v>5034.9000000000005</v>
          </cell>
          <cell r="BA325">
            <v>6181.2</v>
          </cell>
          <cell r="BB325">
            <v>2053.1</v>
          </cell>
          <cell r="BC325">
            <v>1610.1</v>
          </cell>
          <cell r="BD325">
            <v>2767.5</v>
          </cell>
          <cell r="BE325">
            <v>3924.2000000000003</v>
          </cell>
          <cell r="BF325">
            <v>4753.8</v>
          </cell>
          <cell r="BG325">
            <v>5908.5</v>
          </cell>
          <cell r="BH325">
            <v>1665.3999999999999</v>
          </cell>
          <cell r="BI325">
            <v>1537</v>
          </cell>
          <cell r="BJ325">
            <v>2909.8</v>
          </cell>
          <cell r="BK325">
            <v>4075.8999999999996</v>
          </cell>
          <cell r="BL325">
            <v>4916.0999999999995</v>
          </cell>
          <cell r="BM325">
            <v>6159.7999999999993</v>
          </cell>
          <cell r="BN325">
            <v>3671.3</v>
          </cell>
          <cell r="BO325">
            <v>1628</v>
          </cell>
          <cell r="BP325">
            <v>2893.2</v>
          </cell>
          <cell r="BQ325">
            <v>4157.3999999999996</v>
          </cell>
          <cell r="BR325">
            <v>5095</v>
          </cell>
          <cell r="BS325">
            <v>6357.9</v>
          </cell>
          <cell r="BT325">
            <v>3873.8</v>
          </cell>
          <cell r="BU325">
            <v>1719.9</v>
          </cell>
          <cell r="BV325">
            <v>2996.9</v>
          </cell>
          <cell r="BW325">
            <v>4329.1000000000004</v>
          </cell>
          <cell r="BX325">
            <v>5336.7000000000007</v>
          </cell>
          <cell r="BY325">
            <v>6668.7</v>
          </cell>
          <cell r="BZ325">
            <v>4253.4000000000005</v>
          </cell>
          <cell r="CA325">
            <v>1450.8</v>
          </cell>
          <cell r="CB325">
            <v>2790.9</v>
          </cell>
          <cell r="CC325">
            <v>4130.8</v>
          </cell>
          <cell r="CD325">
            <v>5139</v>
          </cell>
          <cell r="CE325">
            <v>6476.3</v>
          </cell>
          <cell r="CF325">
            <v>4067.2</v>
          </cell>
          <cell r="CG325">
            <v>1755.3</v>
          </cell>
          <cell r="CH325">
            <v>3088.4</v>
          </cell>
          <cell r="CI325">
            <v>4420.7</v>
          </cell>
          <cell r="CJ325">
            <v>5426.8</v>
          </cell>
          <cell r="CK325">
            <v>6756.2</v>
          </cell>
          <cell r="CL325">
            <v>4341.6000000000004</v>
          </cell>
          <cell r="CM325">
            <v>1444.5</v>
          </cell>
          <cell r="CN325">
            <v>2783.8</v>
          </cell>
          <cell r="CO325">
            <v>4122.8</v>
          </cell>
          <cell r="CP325">
            <v>5454</v>
          </cell>
          <cell r="CQ325">
            <v>7351.7</v>
          </cell>
          <cell r="CR325">
            <v>5292.9</v>
          </cell>
          <cell r="CS325">
            <v>3437.1</v>
          </cell>
          <cell r="CT325">
            <v>5123.8999999999996</v>
          </cell>
          <cell r="CU325">
            <v>6809.9</v>
          </cell>
          <cell r="CV325">
            <v>4769.5</v>
          </cell>
          <cell r="CW325">
            <v>6452.9</v>
          </cell>
          <cell r="CX325">
            <v>5655.6</v>
          </cell>
          <cell r="CY325">
            <v>3091.9</v>
          </cell>
          <cell r="CZ325">
            <v>4784.7</v>
          </cell>
          <cell r="DA325">
            <v>6477.2</v>
          </cell>
          <cell r="DB325">
            <v>4481.1000000000004</v>
          </cell>
          <cell r="DC325">
            <v>6173</v>
          </cell>
          <cell r="DD325">
            <v>5381.6</v>
          </cell>
          <cell r="DE325">
            <v>3425.1000000000004</v>
          </cell>
          <cell r="DF325">
            <v>5281.7000000000007</v>
          </cell>
          <cell r="DG325">
            <v>7248.8</v>
          </cell>
          <cell r="DH325">
            <v>5501.1</v>
          </cell>
          <cell r="DI325">
            <v>7413.3</v>
          </cell>
          <cell r="DJ325">
            <v>6844.3</v>
          </cell>
          <cell r="DK325">
            <v>4458.9000000000005</v>
          </cell>
          <cell r="DL325">
            <v>69.099999999999994</v>
          </cell>
          <cell r="DM325">
            <v>121.6</v>
          </cell>
          <cell r="DN325">
            <v>174.3</v>
          </cell>
          <cell r="DO325">
            <v>227</v>
          </cell>
          <cell r="DP325">
            <v>279.7</v>
          </cell>
          <cell r="DQ325">
            <v>332.5</v>
          </cell>
          <cell r="DR325">
            <v>385.3</v>
          </cell>
          <cell r="DS325">
            <v>438.2</v>
          </cell>
          <cell r="DT325">
            <v>491.2</v>
          </cell>
          <cell r="DU325">
            <v>817.80000000000007</v>
          </cell>
          <cell r="DV325">
            <v>4931.5</v>
          </cell>
          <cell r="DW325">
            <v>8206.7000000000007</v>
          </cell>
          <cell r="EJ325" t="str">
            <v>.</v>
          </cell>
        </row>
        <row r="326">
          <cell r="A326" t="str">
            <v>Dividends Declared</v>
          </cell>
          <cell r="C326" t="str">
            <v>Dividends Declared</v>
          </cell>
          <cell r="D326" t="str">
            <v>2380720</v>
          </cell>
          <cell r="E326" t="str">
            <v>A_2380720</v>
          </cell>
          <cell r="F326" t="str">
            <v>Dividend Payable-Intercompany (RECON)</v>
          </cell>
          <cell r="G326">
            <v>0</v>
          </cell>
          <cell r="H326">
            <v>7357.3</v>
          </cell>
          <cell r="I326">
            <v>0</v>
          </cell>
          <cell r="J326">
            <v>0</v>
          </cell>
          <cell r="K326">
            <v>11948.6</v>
          </cell>
          <cell r="L326">
            <v>0</v>
          </cell>
          <cell r="M326">
            <v>0</v>
          </cell>
          <cell r="N326">
            <v>9971.9</v>
          </cell>
          <cell r="O326">
            <v>0</v>
          </cell>
          <cell r="P326">
            <v>0</v>
          </cell>
          <cell r="Q326">
            <v>5874.1</v>
          </cell>
          <cell r="R326">
            <v>0</v>
          </cell>
          <cell r="S326">
            <v>0</v>
          </cell>
          <cell r="T326">
            <v>0</v>
          </cell>
          <cell r="U326">
            <v>6579.4</v>
          </cell>
          <cell r="V326">
            <v>0</v>
          </cell>
          <cell r="W326">
            <v>14236.2</v>
          </cell>
          <cell r="X326">
            <v>0</v>
          </cell>
          <cell r="Y326">
            <v>0</v>
          </cell>
          <cell r="Z326">
            <v>8836.2999999999993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15456.1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27095.9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29543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16227.4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EK326" t="str">
            <v>Model</v>
          </cell>
          <cell r="EL326" t="str">
            <v>A_2380720</v>
          </cell>
        </row>
        <row r="327">
          <cell r="A327" t="str">
            <v>Dividends Declared</v>
          </cell>
          <cell r="C327" t="str">
            <v>Dividends Declared</v>
          </cell>
          <cell r="D327" t="str">
            <v/>
          </cell>
          <cell r="F327" t="str">
            <v>Dividends payable CALCULATION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EK327" t="str">
            <v>Model</v>
          </cell>
        </row>
        <row r="328">
          <cell r="D328" t="str">
            <v>238</v>
          </cell>
          <cell r="E328">
            <v>238</v>
          </cell>
          <cell r="F328" t="str">
            <v>Dividends payable</v>
          </cell>
          <cell r="G328">
            <v>0</v>
          </cell>
          <cell r="H328">
            <v>7357.3</v>
          </cell>
          <cell r="I328">
            <v>0</v>
          </cell>
          <cell r="J328">
            <v>0</v>
          </cell>
          <cell r="K328">
            <v>11948.6</v>
          </cell>
          <cell r="L328">
            <v>0</v>
          </cell>
          <cell r="M328">
            <v>0</v>
          </cell>
          <cell r="N328">
            <v>9971.9</v>
          </cell>
          <cell r="O328">
            <v>0</v>
          </cell>
          <cell r="P328">
            <v>0</v>
          </cell>
          <cell r="Q328">
            <v>5874.1</v>
          </cell>
          <cell r="R328">
            <v>0</v>
          </cell>
          <cell r="S328">
            <v>0</v>
          </cell>
          <cell r="T328">
            <v>0</v>
          </cell>
          <cell r="U328">
            <v>6579.4</v>
          </cell>
          <cell r="V328">
            <v>0</v>
          </cell>
          <cell r="W328">
            <v>14236.2</v>
          </cell>
          <cell r="X328">
            <v>0</v>
          </cell>
          <cell r="Y328">
            <v>0</v>
          </cell>
          <cell r="Z328">
            <v>8836.2999999999993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15456.1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27095.9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29543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16227.4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</row>
        <row r="329">
          <cell r="A329" t="str">
            <v>Tax Collections Payable</v>
          </cell>
          <cell r="B329" t="str">
            <v>Accounts Payable - External</v>
          </cell>
          <cell r="C329" t="str">
            <v>Tax Collections Payable 241 + 2360606</v>
          </cell>
          <cell r="D329" t="str">
            <v>2410000</v>
          </cell>
          <cell r="E329" t="str">
            <v>A_2410000</v>
          </cell>
          <cell r="F329" t="str">
            <v>Taxes Payable - Sales Use Tax (CIS)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168.3</v>
          </cell>
          <cell r="AS329">
            <v>172</v>
          </cell>
          <cell r="AT329">
            <v>163.19999999999999</v>
          </cell>
          <cell r="AU329">
            <v>165.6</v>
          </cell>
          <cell r="AV329">
            <v>147.30000000000001</v>
          </cell>
          <cell r="AW329">
            <v>142.80000000000001</v>
          </cell>
          <cell r="AX329">
            <v>132.69999999999999</v>
          </cell>
          <cell r="AY329">
            <v>132.9</v>
          </cell>
          <cell r="AZ329">
            <v>147.5</v>
          </cell>
          <cell r="BA329">
            <v>148.4</v>
          </cell>
          <cell r="BB329">
            <v>176.3</v>
          </cell>
          <cell r="BC329">
            <v>206.7</v>
          </cell>
          <cell r="BD329">
            <v>260.8</v>
          </cell>
          <cell r="BE329">
            <v>227</v>
          </cell>
          <cell r="BF329">
            <v>193.7</v>
          </cell>
          <cell r="BG329">
            <v>203.8</v>
          </cell>
          <cell r="BH329">
            <v>170.2</v>
          </cell>
          <cell r="BI329">
            <v>183.7</v>
          </cell>
          <cell r="BJ329">
            <v>163.30000000000001</v>
          </cell>
          <cell r="BK329">
            <v>154.69999999999999</v>
          </cell>
          <cell r="BL329">
            <v>163.69999999999999</v>
          </cell>
          <cell r="BM329">
            <v>145.9</v>
          </cell>
          <cell r="BN329">
            <v>164.5</v>
          </cell>
          <cell r="BO329">
            <v>182.9</v>
          </cell>
          <cell r="BP329">
            <v>253.6</v>
          </cell>
          <cell r="BQ329">
            <v>223.3</v>
          </cell>
          <cell r="BR329">
            <v>224.2</v>
          </cell>
          <cell r="BS329">
            <v>217.5</v>
          </cell>
          <cell r="BT329">
            <v>180</v>
          </cell>
          <cell r="BU329">
            <v>182.7</v>
          </cell>
          <cell r="BV329">
            <v>165.1</v>
          </cell>
          <cell r="BW329">
            <v>139.69999999999999</v>
          </cell>
          <cell r="BX329">
            <v>160.1</v>
          </cell>
          <cell r="BY329">
            <v>128.69999999999999</v>
          </cell>
          <cell r="BZ329">
            <v>177</v>
          </cell>
          <cell r="CA329">
            <v>217.6</v>
          </cell>
          <cell r="CB329">
            <v>244.5</v>
          </cell>
          <cell r="CC329">
            <v>239.7</v>
          </cell>
          <cell r="CD329">
            <v>226.2</v>
          </cell>
          <cell r="CE329">
            <v>201.4</v>
          </cell>
          <cell r="CF329">
            <v>180.3</v>
          </cell>
          <cell r="CG329">
            <v>97</v>
          </cell>
          <cell r="CH329">
            <v>154.4</v>
          </cell>
          <cell r="CI329">
            <v>138.4</v>
          </cell>
          <cell r="CJ329">
            <v>122</v>
          </cell>
          <cell r="CK329">
            <v>154.9</v>
          </cell>
          <cell r="CL329">
            <v>187.7</v>
          </cell>
          <cell r="CM329">
            <v>195.3</v>
          </cell>
          <cell r="CN329">
            <v>307.5</v>
          </cell>
          <cell r="CO329">
            <v>283.3</v>
          </cell>
          <cell r="CP329">
            <v>287.39999999999998</v>
          </cell>
          <cell r="CQ329">
            <v>296.60000000000002</v>
          </cell>
          <cell r="CR329">
            <v>233.5</v>
          </cell>
          <cell r="CS329">
            <v>236.9</v>
          </cell>
          <cell r="CT329">
            <v>244.3</v>
          </cell>
          <cell r="CU329">
            <v>226.1</v>
          </cell>
          <cell r="CV329">
            <v>275.2</v>
          </cell>
          <cell r="CW329">
            <v>218.8</v>
          </cell>
          <cell r="CX329">
            <v>252.4</v>
          </cell>
          <cell r="CY329">
            <v>304.8</v>
          </cell>
          <cell r="CZ329">
            <v>359</v>
          </cell>
          <cell r="DA329">
            <v>374.6</v>
          </cell>
          <cell r="DB329">
            <v>352.6</v>
          </cell>
          <cell r="DC329">
            <v>322.2</v>
          </cell>
          <cell r="DD329">
            <v>304.3</v>
          </cell>
          <cell r="DE329">
            <v>333.8</v>
          </cell>
          <cell r="DF329">
            <v>226.7</v>
          </cell>
          <cell r="DG329">
            <v>334.4</v>
          </cell>
          <cell r="DH329">
            <v>356.4</v>
          </cell>
          <cell r="DI329">
            <v>366.8</v>
          </cell>
          <cell r="DJ329">
            <v>273.2</v>
          </cell>
          <cell r="DK329">
            <v>289.89999999999998</v>
          </cell>
          <cell r="DL329">
            <v>320.7</v>
          </cell>
          <cell r="DM329">
            <v>320.2</v>
          </cell>
          <cell r="DN329">
            <v>307.8</v>
          </cell>
          <cell r="DO329">
            <v>290.39999999999998</v>
          </cell>
          <cell r="DP329">
            <v>258.3</v>
          </cell>
          <cell r="DQ329">
            <v>257.39999999999998</v>
          </cell>
          <cell r="DR329">
            <v>217.5</v>
          </cell>
          <cell r="DS329">
            <v>165.1</v>
          </cell>
          <cell r="DT329">
            <v>179.3</v>
          </cell>
          <cell r="DU329">
            <v>166.8</v>
          </cell>
          <cell r="DV329">
            <v>200.1</v>
          </cell>
          <cell r="DW329">
            <v>228.9</v>
          </cell>
          <cell r="EK329" t="str">
            <v>3 yr Avg (2020 to 2022 8+4F)</v>
          </cell>
          <cell r="EL329" t="str">
            <v>A_2410000</v>
          </cell>
          <cell r="EM329">
            <v>320650</v>
          </cell>
          <cell r="EN329">
            <v>320230</v>
          </cell>
          <cell r="EO329">
            <v>307760</v>
          </cell>
          <cell r="EP329">
            <v>290360</v>
          </cell>
          <cell r="EQ329">
            <v>258260</v>
          </cell>
          <cell r="ER329">
            <v>257370</v>
          </cell>
          <cell r="ES329">
            <v>217519.99999999997</v>
          </cell>
          <cell r="ET329">
            <v>262710</v>
          </cell>
          <cell r="EU329">
            <v>285159.99999999994</v>
          </cell>
          <cell r="EV329">
            <v>280020</v>
          </cell>
          <cell r="EW329">
            <v>249859.99999999997</v>
          </cell>
          <cell r="EX329">
            <v>275450</v>
          </cell>
        </row>
        <row r="330">
          <cell r="A330" t="str">
            <v>Tax Collections Payable</v>
          </cell>
          <cell r="B330" t="str">
            <v>Accounts Payable - External</v>
          </cell>
          <cell r="C330" t="str">
            <v>Tax Collections Payable 241 + 2360606</v>
          </cell>
          <cell r="D330" t="str">
            <v>2410005</v>
          </cell>
          <cell r="E330" t="str">
            <v>A_2410005</v>
          </cell>
          <cell r="F330" t="str">
            <v>Taxes Payable - Sales Surtax (CIS)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19.8</v>
          </cell>
          <cell r="AS330">
            <v>20</v>
          </cell>
          <cell r="AT330">
            <v>19.399999999999999</v>
          </cell>
          <cell r="AU330">
            <v>19.100000000000001</v>
          </cell>
          <cell r="AV330">
            <v>18.3</v>
          </cell>
          <cell r="AW330">
            <v>16.899999999999999</v>
          </cell>
          <cell r="AX330">
            <v>15.7</v>
          </cell>
          <cell r="AY330">
            <v>15.1</v>
          </cell>
          <cell r="AZ330">
            <v>17.3</v>
          </cell>
          <cell r="BA330">
            <v>17.3</v>
          </cell>
          <cell r="BB330">
            <v>18.7</v>
          </cell>
          <cell r="BC330">
            <v>25</v>
          </cell>
          <cell r="BD330">
            <v>29</v>
          </cell>
          <cell r="BE330">
            <v>27.2</v>
          </cell>
          <cell r="BF330">
            <v>22.7</v>
          </cell>
          <cell r="BG330">
            <v>23.6</v>
          </cell>
          <cell r="BH330">
            <v>20.8</v>
          </cell>
          <cell r="BI330">
            <v>20.3</v>
          </cell>
          <cell r="BJ330">
            <v>19</v>
          </cell>
          <cell r="BK330">
            <v>18.3</v>
          </cell>
          <cell r="BL330">
            <v>19.8</v>
          </cell>
          <cell r="BM330">
            <v>17.399999999999999</v>
          </cell>
          <cell r="BN330">
            <v>18.600000000000001</v>
          </cell>
          <cell r="BO330">
            <v>21.9</v>
          </cell>
          <cell r="BP330">
            <v>33</v>
          </cell>
          <cell r="BQ330">
            <v>36.700000000000003</v>
          </cell>
          <cell r="BR330">
            <v>35.1</v>
          </cell>
          <cell r="BS330">
            <v>36.4</v>
          </cell>
          <cell r="BT330">
            <v>33.6</v>
          </cell>
          <cell r="BU330">
            <v>31.7</v>
          </cell>
          <cell r="BV330">
            <v>28.4</v>
          </cell>
          <cell r="BW330">
            <v>26.5</v>
          </cell>
          <cell r="BX330">
            <v>29.1</v>
          </cell>
          <cell r="BY330">
            <v>27.8</v>
          </cell>
          <cell r="BZ330">
            <v>31.1</v>
          </cell>
          <cell r="CA330">
            <v>37.299999999999997</v>
          </cell>
          <cell r="CB330">
            <v>39.4</v>
          </cell>
          <cell r="CC330">
            <v>37.5</v>
          </cell>
          <cell r="CD330">
            <v>34.799999999999997</v>
          </cell>
          <cell r="CE330">
            <v>25</v>
          </cell>
          <cell r="CF330">
            <v>21.7</v>
          </cell>
          <cell r="CG330">
            <v>25.6</v>
          </cell>
          <cell r="CH330">
            <v>25.6</v>
          </cell>
          <cell r="CI330">
            <v>26.4</v>
          </cell>
          <cell r="CJ330">
            <v>26.2</v>
          </cell>
          <cell r="CK330">
            <v>27.9</v>
          </cell>
          <cell r="CL330">
            <v>33.299999999999997</v>
          </cell>
          <cell r="CM330">
            <v>36.9</v>
          </cell>
          <cell r="CN330">
            <v>50.5</v>
          </cell>
          <cell r="CO330">
            <v>48.2</v>
          </cell>
          <cell r="CP330">
            <v>47.3</v>
          </cell>
          <cell r="CQ330">
            <v>44.1</v>
          </cell>
          <cell r="CR330">
            <v>40.200000000000003</v>
          </cell>
          <cell r="CS330">
            <v>37.4</v>
          </cell>
          <cell r="CT330">
            <v>39.799999999999997</v>
          </cell>
          <cell r="CU330">
            <v>37.5</v>
          </cell>
          <cell r="CV330">
            <v>38.799999999999997</v>
          </cell>
          <cell r="CW330">
            <v>36.799999999999997</v>
          </cell>
          <cell r="CX330">
            <v>39.700000000000003</v>
          </cell>
          <cell r="CY330">
            <v>46.8</v>
          </cell>
          <cell r="CZ330">
            <v>54.5</v>
          </cell>
          <cell r="DA330">
            <v>56</v>
          </cell>
          <cell r="DB330">
            <v>52.7</v>
          </cell>
          <cell r="DC330">
            <v>50</v>
          </cell>
          <cell r="DD330">
            <v>48.4</v>
          </cell>
          <cell r="DE330">
            <v>45.2</v>
          </cell>
          <cell r="DF330">
            <v>41</v>
          </cell>
          <cell r="DG330">
            <v>52.9</v>
          </cell>
          <cell r="DH330">
            <v>55.3</v>
          </cell>
          <cell r="DI330">
            <v>54</v>
          </cell>
          <cell r="DJ330">
            <v>41.9</v>
          </cell>
          <cell r="DK330">
            <v>46.3</v>
          </cell>
          <cell r="DL330">
            <v>50.3</v>
          </cell>
          <cell r="DM330">
            <v>50</v>
          </cell>
          <cell r="DN330">
            <v>47.5</v>
          </cell>
          <cell r="DO330">
            <v>43.2</v>
          </cell>
          <cell r="DP330">
            <v>40.6</v>
          </cell>
          <cell r="DQ330">
            <v>38.9</v>
          </cell>
          <cell r="DR330">
            <v>37.6</v>
          </cell>
          <cell r="DS330">
            <v>28</v>
          </cell>
          <cell r="DT330">
            <v>29</v>
          </cell>
          <cell r="DU330">
            <v>28.6</v>
          </cell>
          <cell r="DV330">
            <v>32.1</v>
          </cell>
          <cell r="DW330">
            <v>37.200000000000003</v>
          </cell>
          <cell r="EK330" t="str">
            <v>3 yr Avg (2020 to 2022 8+4F)</v>
          </cell>
          <cell r="EL330" t="str">
            <v>A_2410005</v>
          </cell>
          <cell r="EM330">
            <v>50280</v>
          </cell>
          <cell r="EN330">
            <v>49960</v>
          </cell>
          <cell r="EO330">
            <v>47500</v>
          </cell>
          <cell r="EP330">
            <v>43230.000000000007</v>
          </cell>
          <cell r="EQ330">
            <v>40600</v>
          </cell>
          <cell r="ER330">
            <v>38940</v>
          </cell>
          <cell r="ES330">
            <v>37560</v>
          </cell>
          <cell r="ET330">
            <v>42980.000000000007</v>
          </cell>
          <cell r="EU330">
            <v>44529.999999999993</v>
          </cell>
          <cell r="EV330">
            <v>43620</v>
          </cell>
          <cell r="EW330">
            <v>39519.999999999993</v>
          </cell>
          <cell r="EX330">
            <v>44570</v>
          </cell>
        </row>
        <row r="331">
          <cell r="A331" t="str">
            <v>Tax Collections Payable</v>
          </cell>
          <cell r="B331" t="str">
            <v>Accounts Payable - External</v>
          </cell>
          <cell r="C331" t="str">
            <v>Tax Collections Payable 241 + 2360606</v>
          </cell>
          <cell r="D331" t="str">
            <v>2410300</v>
          </cell>
          <cell r="E331" t="str">
            <v>A_2410300</v>
          </cell>
          <cell r="F331" t="str">
            <v>Taxes Payable - Sales and Use Tax (AP)</v>
          </cell>
          <cell r="G331">
            <v>69.90719</v>
          </cell>
          <cell r="H331">
            <v>156.5</v>
          </cell>
          <cell r="I331">
            <v>150.9</v>
          </cell>
          <cell r="J331">
            <v>114.2</v>
          </cell>
          <cell r="K331">
            <v>74.8</v>
          </cell>
          <cell r="L331">
            <v>79.900000000000006</v>
          </cell>
          <cell r="M331">
            <v>78</v>
          </cell>
          <cell r="N331">
            <v>97.7</v>
          </cell>
          <cell r="O331">
            <v>62.8</v>
          </cell>
          <cell r="P331">
            <v>71.099999999999994</v>
          </cell>
          <cell r="Q331">
            <v>89.8</v>
          </cell>
          <cell r="R331">
            <v>68.7</v>
          </cell>
          <cell r="S331">
            <v>96.9</v>
          </cell>
          <cell r="T331">
            <v>156.30000000000001</v>
          </cell>
          <cell r="U331">
            <v>129.80000000000001</v>
          </cell>
          <cell r="V331">
            <v>119.4</v>
          </cell>
          <cell r="W331">
            <v>76.8</v>
          </cell>
          <cell r="X331">
            <v>57.5</v>
          </cell>
          <cell r="Y331">
            <v>91</v>
          </cell>
          <cell r="Z331">
            <v>69.3</v>
          </cell>
          <cell r="AA331">
            <v>65.2</v>
          </cell>
          <cell r="AB331">
            <v>49.8</v>
          </cell>
          <cell r="AC331">
            <v>46.6</v>
          </cell>
          <cell r="AD331">
            <v>58.5</v>
          </cell>
          <cell r="AE331">
            <v>133.5</v>
          </cell>
          <cell r="AF331">
            <v>121.5</v>
          </cell>
          <cell r="AG331">
            <v>126.1</v>
          </cell>
          <cell r="AH331">
            <v>112.7</v>
          </cell>
          <cell r="AI331">
            <v>118.9</v>
          </cell>
          <cell r="AJ331">
            <v>70.8</v>
          </cell>
          <cell r="AK331">
            <v>51.7</v>
          </cell>
          <cell r="AL331">
            <v>53.2</v>
          </cell>
          <cell r="AM331">
            <v>44.3</v>
          </cell>
          <cell r="AN331">
            <v>44.5</v>
          </cell>
          <cell r="AO331">
            <v>54.3</v>
          </cell>
          <cell r="AP331">
            <v>57.7</v>
          </cell>
          <cell r="AQ331">
            <v>92.7</v>
          </cell>
          <cell r="AR331">
            <v>-96.2</v>
          </cell>
          <cell r="AS331">
            <v>-89.5</v>
          </cell>
          <cell r="AT331">
            <v>-93.4</v>
          </cell>
          <cell r="AU331">
            <v>-89.6</v>
          </cell>
          <cell r="AV331">
            <v>-86.1</v>
          </cell>
          <cell r="AW331">
            <v>-95.1</v>
          </cell>
          <cell r="AX331">
            <v>-96.3</v>
          </cell>
          <cell r="AY331">
            <v>-87.2</v>
          </cell>
          <cell r="AZ331">
            <v>-92.5</v>
          </cell>
          <cell r="BA331">
            <v>-81.400000000000006</v>
          </cell>
          <cell r="BB331">
            <v>-85.2</v>
          </cell>
          <cell r="BC331">
            <v>-92.4</v>
          </cell>
          <cell r="BD331">
            <v>-94.1</v>
          </cell>
          <cell r="BE331">
            <v>-86</v>
          </cell>
          <cell r="BF331">
            <v>-37.799999999999997</v>
          </cell>
          <cell r="BG331">
            <v>-98.1</v>
          </cell>
          <cell r="BH331">
            <v>-91.4</v>
          </cell>
          <cell r="BI331">
            <v>-65.400000000000006</v>
          </cell>
          <cell r="BJ331">
            <v>-97.5</v>
          </cell>
          <cell r="BK331">
            <v>-66.599999999999994</v>
          </cell>
          <cell r="BL331">
            <v>-130.6</v>
          </cell>
          <cell r="BM331">
            <v>-97.3</v>
          </cell>
          <cell r="BN331">
            <v>-98.5</v>
          </cell>
          <cell r="BO331">
            <v>-81.3</v>
          </cell>
          <cell r="BP331">
            <v>-106.2</v>
          </cell>
          <cell r="BQ331">
            <v>-100.4</v>
          </cell>
          <cell r="BR331">
            <v>-111.3</v>
          </cell>
          <cell r="BS331">
            <v>-115.8</v>
          </cell>
          <cell r="BT331">
            <v>-110.7</v>
          </cell>
          <cell r="BU331">
            <v>-92.8</v>
          </cell>
          <cell r="BV331">
            <v>-98</v>
          </cell>
          <cell r="BW331">
            <v>-106.4</v>
          </cell>
          <cell r="BX331">
            <v>-113.2</v>
          </cell>
          <cell r="BY331">
            <v>-102.5</v>
          </cell>
          <cell r="BZ331">
            <v>-119.7</v>
          </cell>
          <cell r="CA331">
            <v>-107.8</v>
          </cell>
          <cell r="CB331">
            <v>-116.9</v>
          </cell>
          <cell r="CC331">
            <v>-116.9</v>
          </cell>
          <cell r="CD331">
            <v>-114.3</v>
          </cell>
          <cell r="CE331">
            <v>-119</v>
          </cell>
          <cell r="CF331">
            <v>-111.8</v>
          </cell>
          <cell r="CG331">
            <v>-116</v>
          </cell>
          <cell r="CH331">
            <v>-118.3</v>
          </cell>
          <cell r="CI331">
            <v>-118.4</v>
          </cell>
          <cell r="CJ331">
            <v>-117.8</v>
          </cell>
          <cell r="CK331">
            <v>-117.1</v>
          </cell>
          <cell r="CL331">
            <v>-119.2</v>
          </cell>
          <cell r="CM331">
            <v>-118.2</v>
          </cell>
          <cell r="CN331">
            <v>-104.8</v>
          </cell>
          <cell r="CO331">
            <v>-103.4</v>
          </cell>
          <cell r="CP331">
            <v>-109.4</v>
          </cell>
          <cell r="CQ331">
            <v>-107.4</v>
          </cell>
          <cell r="CR331">
            <v>-100.4</v>
          </cell>
          <cell r="CS331">
            <v>-107</v>
          </cell>
          <cell r="CT331">
            <v>-108.2</v>
          </cell>
          <cell r="CU331">
            <v>-107.2</v>
          </cell>
          <cell r="CV331">
            <v>-104.9</v>
          </cell>
          <cell r="CW331">
            <v>-109.4</v>
          </cell>
          <cell r="CX331">
            <v>-109.3</v>
          </cell>
          <cell r="CY331">
            <v>-110.5</v>
          </cell>
          <cell r="CZ331">
            <v>-156.69999999999999</v>
          </cell>
          <cell r="DA331">
            <v>-158.9</v>
          </cell>
          <cell r="DB331">
            <v>-160.30000000000001</v>
          </cell>
          <cell r="DC331">
            <v>-160.4</v>
          </cell>
          <cell r="DD331">
            <v>-152.19999999999999</v>
          </cell>
          <cell r="DE331">
            <v>-150.69999999999999</v>
          </cell>
          <cell r="DF331">
            <v>-160.19999999999999</v>
          </cell>
          <cell r="DG331">
            <v>-159.4</v>
          </cell>
          <cell r="DH331">
            <v>-160.30000000000001</v>
          </cell>
          <cell r="DI331">
            <v>-159.5</v>
          </cell>
          <cell r="DJ331">
            <v>-160.4</v>
          </cell>
          <cell r="DK331">
            <v>-160.4</v>
          </cell>
          <cell r="DL331">
            <v>-133.19999999999999</v>
          </cell>
          <cell r="DM331">
            <v>-133.9</v>
          </cell>
          <cell r="DN331">
            <v>-135.80000000000001</v>
          </cell>
          <cell r="DO331">
            <v>-136.19999999999999</v>
          </cell>
          <cell r="DP331">
            <v>-128.6</v>
          </cell>
          <cell r="DQ331">
            <v>-130.69999999999999</v>
          </cell>
          <cell r="DR331">
            <v>-136.19999999999999</v>
          </cell>
          <cell r="DS331">
            <v>-103.7</v>
          </cell>
          <cell r="DT331">
            <v>-110.1</v>
          </cell>
          <cell r="DU331">
            <v>-105.5</v>
          </cell>
          <cell r="DV331">
            <v>-109.5</v>
          </cell>
          <cell r="DW331">
            <v>-105.8</v>
          </cell>
          <cell r="EK331" t="str">
            <v>3 yr Avg (2020 to 2022 8+4F)</v>
          </cell>
          <cell r="EL331" t="str">
            <v>A_2410300</v>
          </cell>
          <cell r="EM331">
            <v>-133170.00000000003</v>
          </cell>
          <cell r="EN331">
            <v>-133850</v>
          </cell>
          <cell r="EO331">
            <v>-135830</v>
          </cell>
          <cell r="EP331">
            <v>-136220</v>
          </cell>
          <cell r="EQ331">
            <v>-128580.00000000001</v>
          </cell>
          <cell r="ER331">
            <v>-130650</v>
          </cell>
          <cell r="ES331">
            <v>-136220</v>
          </cell>
          <cell r="ET331">
            <v>-135540.00000000003</v>
          </cell>
          <cell r="EU331">
            <v>-135180</v>
          </cell>
          <cell r="EV331">
            <v>-135990</v>
          </cell>
          <cell r="EW331">
            <v>-136829.99999999997</v>
          </cell>
          <cell r="EX331">
            <v>-136990</v>
          </cell>
        </row>
        <row r="332">
          <cell r="A332" t="str">
            <v>Tax Collections Payable</v>
          </cell>
          <cell r="B332" t="str">
            <v>Accounts Payable - External</v>
          </cell>
          <cell r="C332" t="str">
            <v>Tax Collections Payable 241 + 2360606</v>
          </cell>
          <cell r="D332" t="str">
            <v>2410305</v>
          </cell>
          <cell r="E332" t="str">
            <v>A_2410305</v>
          </cell>
          <cell r="F332" t="str">
            <v>Taxes Payable - Sales Surtax (AP)</v>
          </cell>
          <cell r="G332">
            <v>0.77725999999999995</v>
          </cell>
          <cell r="H332">
            <v>0.6</v>
          </cell>
          <cell r="I332">
            <v>1</v>
          </cell>
          <cell r="J332">
            <v>0.8</v>
          </cell>
          <cell r="K332">
            <v>0.8</v>
          </cell>
          <cell r="L332">
            <v>1</v>
          </cell>
          <cell r="M332">
            <v>0.6</v>
          </cell>
          <cell r="N332">
            <v>1.4</v>
          </cell>
          <cell r="O332">
            <v>0.8</v>
          </cell>
          <cell r="P332">
            <v>0.8</v>
          </cell>
          <cell r="Q332">
            <v>1.3</v>
          </cell>
          <cell r="R332">
            <v>0.5</v>
          </cell>
          <cell r="S332">
            <v>1.1000000000000001</v>
          </cell>
          <cell r="T332">
            <v>0.8</v>
          </cell>
          <cell r="U332">
            <v>0.6</v>
          </cell>
          <cell r="V332">
            <v>1</v>
          </cell>
          <cell r="W332">
            <v>0.8</v>
          </cell>
          <cell r="X332">
            <v>0.6</v>
          </cell>
          <cell r="Y332">
            <v>0.8</v>
          </cell>
          <cell r="Z332">
            <v>1.2</v>
          </cell>
          <cell r="AA332">
            <v>0.5</v>
          </cell>
          <cell r="AB332">
            <v>0.9</v>
          </cell>
          <cell r="AC332">
            <v>1</v>
          </cell>
          <cell r="AD332">
            <v>0.9</v>
          </cell>
          <cell r="AE332">
            <v>2.1</v>
          </cell>
          <cell r="AF332">
            <v>0.9</v>
          </cell>
          <cell r="AG332">
            <v>0.7</v>
          </cell>
          <cell r="AH332">
            <v>1.6</v>
          </cell>
          <cell r="AI332">
            <v>1.8</v>
          </cell>
          <cell r="AJ332">
            <v>0.7</v>
          </cell>
          <cell r="AK332">
            <v>1.6</v>
          </cell>
          <cell r="AL332">
            <v>0.8</v>
          </cell>
          <cell r="AM332">
            <v>1.1000000000000001</v>
          </cell>
          <cell r="AN332">
            <v>1.6</v>
          </cell>
          <cell r="AO332">
            <v>2.6</v>
          </cell>
          <cell r="AP332">
            <v>2</v>
          </cell>
          <cell r="AQ332">
            <v>3</v>
          </cell>
          <cell r="AR332">
            <v>0.6</v>
          </cell>
          <cell r="AS332">
            <v>1.9</v>
          </cell>
          <cell r="AT332">
            <v>1.2</v>
          </cell>
          <cell r="AU332">
            <v>1.3</v>
          </cell>
          <cell r="AV332">
            <v>2.4</v>
          </cell>
          <cell r="AW332">
            <v>1</v>
          </cell>
          <cell r="AX332">
            <v>0.9</v>
          </cell>
          <cell r="AY332">
            <v>1.1000000000000001</v>
          </cell>
          <cell r="AZ332">
            <v>1.2</v>
          </cell>
          <cell r="BA332">
            <v>1.6</v>
          </cell>
          <cell r="BB332">
            <v>1</v>
          </cell>
          <cell r="BC332">
            <v>1.3</v>
          </cell>
          <cell r="BD332">
            <v>0.9</v>
          </cell>
          <cell r="BE332">
            <v>0.7</v>
          </cell>
          <cell r="BF332">
            <v>1.1000000000000001</v>
          </cell>
          <cell r="BG332">
            <v>0.5</v>
          </cell>
          <cell r="BH332">
            <v>1.4</v>
          </cell>
          <cell r="BI332">
            <v>1.4</v>
          </cell>
          <cell r="BJ332">
            <v>0.6</v>
          </cell>
          <cell r="BK332">
            <v>0.8</v>
          </cell>
          <cell r="BL332">
            <v>0.5</v>
          </cell>
          <cell r="BM332">
            <v>0.3</v>
          </cell>
          <cell r="BN332">
            <v>0.5</v>
          </cell>
          <cell r="BO332">
            <v>1.7</v>
          </cell>
          <cell r="BP332">
            <v>1.5</v>
          </cell>
          <cell r="BQ332">
            <v>1.8</v>
          </cell>
          <cell r="BR332">
            <v>1.1000000000000001</v>
          </cell>
          <cell r="BS332">
            <v>0.7</v>
          </cell>
          <cell r="BT332">
            <v>1.6</v>
          </cell>
          <cell r="BU332">
            <v>2</v>
          </cell>
          <cell r="BV332">
            <v>1.6</v>
          </cell>
          <cell r="BW332">
            <v>2.8</v>
          </cell>
          <cell r="BX332">
            <v>1.2</v>
          </cell>
          <cell r="BY332">
            <v>2.8</v>
          </cell>
          <cell r="BZ332">
            <v>0.9</v>
          </cell>
          <cell r="CA332">
            <v>2</v>
          </cell>
          <cell r="CB332">
            <v>0.7</v>
          </cell>
          <cell r="CC332">
            <v>1</v>
          </cell>
          <cell r="CD332">
            <v>1.9</v>
          </cell>
          <cell r="CE332">
            <v>0.3</v>
          </cell>
          <cell r="CF332">
            <v>1.4</v>
          </cell>
          <cell r="CG332">
            <v>0.9</v>
          </cell>
          <cell r="CH332">
            <v>0.5</v>
          </cell>
          <cell r="CI332">
            <v>0.4</v>
          </cell>
          <cell r="CJ332">
            <v>0.6</v>
          </cell>
          <cell r="CK332">
            <v>0.5</v>
          </cell>
          <cell r="CL332">
            <v>0.1</v>
          </cell>
          <cell r="CM332">
            <v>0.5</v>
          </cell>
          <cell r="CN332">
            <v>1.2</v>
          </cell>
          <cell r="CO332">
            <v>1.3</v>
          </cell>
          <cell r="CP332">
            <v>0.1</v>
          </cell>
          <cell r="CQ332">
            <v>0.6</v>
          </cell>
          <cell r="CR332">
            <v>1.7</v>
          </cell>
          <cell r="CS332">
            <v>0.3</v>
          </cell>
          <cell r="CT332">
            <v>0.3</v>
          </cell>
          <cell r="CU332">
            <v>0.5</v>
          </cell>
          <cell r="CV332">
            <v>1</v>
          </cell>
          <cell r="CW332">
            <v>0.2</v>
          </cell>
          <cell r="CX332">
            <v>0.2</v>
          </cell>
          <cell r="CY332">
            <v>0.1</v>
          </cell>
          <cell r="CZ332">
            <v>0.2</v>
          </cell>
          <cell r="DA332">
            <v>0.4</v>
          </cell>
          <cell r="DB332">
            <v>0.1</v>
          </cell>
          <cell r="DC332">
            <v>0.1</v>
          </cell>
          <cell r="DD332">
            <v>1.5</v>
          </cell>
          <cell r="DE332">
            <v>2.4</v>
          </cell>
          <cell r="DF332">
            <v>0.1</v>
          </cell>
          <cell r="DG332">
            <v>0.2</v>
          </cell>
          <cell r="DH332">
            <v>0.1</v>
          </cell>
          <cell r="DI332">
            <v>0.3</v>
          </cell>
          <cell r="DJ332">
            <v>0.1</v>
          </cell>
          <cell r="DK332">
            <v>0.1</v>
          </cell>
          <cell r="DL332">
            <v>0.6</v>
          </cell>
          <cell r="DM332">
            <v>0.8</v>
          </cell>
          <cell r="DN332">
            <v>0.5</v>
          </cell>
          <cell r="DO332">
            <v>0.3</v>
          </cell>
          <cell r="DP332">
            <v>1.5</v>
          </cell>
          <cell r="DQ332">
            <v>1.5</v>
          </cell>
          <cell r="DR332">
            <v>0.2</v>
          </cell>
          <cell r="DS332">
            <v>0.9</v>
          </cell>
          <cell r="DT332">
            <v>0.9</v>
          </cell>
          <cell r="DU332">
            <v>0.9</v>
          </cell>
          <cell r="DV332">
            <v>0.4</v>
          </cell>
          <cell r="DW332">
            <v>0.9</v>
          </cell>
          <cell r="EK332" t="str">
            <v>3 yr Avg (2020 to 2022 8+4F)</v>
          </cell>
          <cell r="EL332" t="str">
            <v>A_2410305</v>
          </cell>
          <cell r="EM332">
            <v>600</v>
          </cell>
          <cell r="EN332">
            <v>790</v>
          </cell>
          <cell r="EO332">
            <v>459.99999999999994</v>
          </cell>
          <cell r="EP332">
            <v>290</v>
          </cell>
          <cell r="EQ332">
            <v>1539.9999999999998</v>
          </cell>
          <cell r="ER332">
            <v>1470</v>
          </cell>
          <cell r="ES332">
            <v>240</v>
          </cell>
          <cell r="ET332">
            <v>329.99999999999994</v>
          </cell>
          <cell r="EU332">
            <v>470.00000000000006</v>
          </cell>
          <cell r="EV332">
            <v>310</v>
          </cell>
          <cell r="EW332">
            <v>130</v>
          </cell>
          <cell r="EX332">
            <v>180</v>
          </cell>
        </row>
        <row r="333">
          <cell r="A333" t="str">
            <v>Tax Collections Payable</v>
          </cell>
          <cell r="B333" t="str">
            <v>Accounts Payable - External</v>
          </cell>
          <cell r="C333" t="str">
            <v>Tax Collections Payable 241 + 2360606</v>
          </cell>
          <cell r="D333" t="str">
            <v>2410310</v>
          </cell>
          <cell r="E333" t="str">
            <v>A_2410310</v>
          </cell>
          <cell r="F333" t="str">
            <v>Taxes Payable - Utility Tax</v>
          </cell>
          <cell r="G333">
            <v>542.39297999999997</v>
          </cell>
          <cell r="H333">
            <v>678.2</v>
          </cell>
          <cell r="I333">
            <v>704.6</v>
          </cell>
          <cell r="J333">
            <v>606.29999999999995</v>
          </cell>
          <cell r="K333">
            <v>567.5</v>
          </cell>
          <cell r="L333">
            <v>507.3</v>
          </cell>
          <cell r="M333">
            <v>491.4</v>
          </cell>
          <cell r="N333">
            <v>474.8</v>
          </cell>
          <cell r="O333">
            <v>456.3</v>
          </cell>
          <cell r="P333">
            <v>469.8</v>
          </cell>
          <cell r="Q333">
            <v>473.7</v>
          </cell>
          <cell r="R333">
            <v>512.6</v>
          </cell>
          <cell r="S333">
            <v>605.9</v>
          </cell>
          <cell r="T333">
            <v>663</v>
          </cell>
          <cell r="U333">
            <v>689.5</v>
          </cell>
          <cell r="V333">
            <v>655.8</v>
          </cell>
          <cell r="W333">
            <v>547.79999999999995</v>
          </cell>
          <cell r="X333">
            <v>489.3</v>
          </cell>
          <cell r="Y333">
            <v>496.5</v>
          </cell>
          <cell r="Z333">
            <v>475</v>
          </cell>
          <cell r="AA333">
            <v>475.4</v>
          </cell>
          <cell r="AB333">
            <v>469.9</v>
          </cell>
          <cell r="AC333">
            <v>475</v>
          </cell>
          <cell r="AD333">
            <v>503.9</v>
          </cell>
          <cell r="AE333">
            <v>536.9</v>
          </cell>
          <cell r="AF333">
            <v>621</v>
          </cell>
          <cell r="AG333">
            <v>680</v>
          </cell>
          <cell r="AH333">
            <v>611</v>
          </cell>
          <cell r="AI333">
            <v>557.20000000000005</v>
          </cell>
          <cell r="AJ333">
            <v>510.8</v>
          </cell>
          <cell r="AK333">
            <v>482.3</v>
          </cell>
          <cell r="AL333">
            <v>456.1</v>
          </cell>
          <cell r="AM333">
            <v>452.1</v>
          </cell>
          <cell r="AN333">
            <v>458.7</v>
          </cell>
          <cell r="AO333">
            <v>457.9</v>
          </cell>
          <cell r="AP333">
            <v>492.7</v>
          </cell>
          <cell r="AQ333">
            <v>553.79999999999995</v>
          </cell>
          <cell r="AR333">
            <v>609</v>
          </cell>
          <cell r="AS333">
            <v>599.4</v>
          </cell>
          <cell r="AT333">
            <v>570.70000000000005</v>
          </cell>
          <cell r="AU333">
            <v>561.70000000000005</v>
          </cell>
          <cell r="AV333">
            <v>531.1</v>
          </cell>
          <cell r="AW333">
            <v>495.3</v>
          </cell>
          <cell r="AX333">
            <v>472.1</v>
          </cell>
          <cell r="AY333">
            <v>474.5</v>
          </cell>
          <cell r="AZ333">
            <v>478.9</v>
          </cell>
          <cell r="BA333">
            <v>480.1</v>
          </cell>
          <cell r="BB333">
            <v>521</v>
          </cell>
          <cell r="BC333">
            <v>586.70000000000005</v>
          </cell>
          <cell r="BD333">
            <v>772.6</v>
          </cell>
          <cell r="BE333">
            <v>712.4</v>
          </cell>
          <cell r="BF333">
            <v>611</v>
          </cell>
          <cell r="BG333">
            <v>619.9</v>
          </cell>
          <cell r="BH333">
            <v>552</v>
          </cell>
          <cell r="BI333">
            <v>554.20000000000005</v>
          </cell>
          <cell r="BJ333">
            <v>514.5</v>
          </cell>
          <cell r="BK333">
            <v>491</v>
          </cell>
          <cell r="BL333">
            <v>512.4</v>
          </cell>
          <cell r="BM333">
            <v>497.6</v>
          </cell>
          <cell r="BN333">
            <v>515.6</v>
          </cell>
          <cell r="BO333">
            <v>636.79999999999995</v>
          </cell>
          <cell r="BP333">
            <v>700.6</v>
          </cell>
          <cell r="BQ333">
            <v>706.1</v>
          </cell>
          <cell r="BR333">
            <v>618.9</v>
          </cell>
          <cell r="BS333">
            <v>663.5</v>
          </cell>
          <cell r="BT333">
            <v>550.79999999999995</v>
          </cell>
          <cell r="BU333">
            <v>474.3</v>
          </cell>
          <cell r="BV333">
            <v>418.6</v>
          </cell>
          <cell r="BW333">
            <v>457.5</v>
          </cell>
          <cell r="BX333">
            <v>386.8</v>
          </cell>
          <cell r="BY333">
            <v>432.9</v>
          </cell>
          <cell r="BZ333">
            <v>501.7</v>
          </cell>
          <cell r="CA333">
            <v>678.6</v>
          </cell>
          <cell r="CB333">
            <v>698.3</v>
          </cell>
          <cell r="CC333">
            <v>693.1</v>
          </cell>
          <cell r="CD333">
            <v>671.3</v>
          </cell>
          <cell r="CE333">
            <v>614</v>
          </cell>
          <cell r="CF333">
            <v>581.1</v>
          </cell>
          <cell r="CG333">
            <v>542.79999999999995</v>
          </cell>
          <cell r="CH333">
            <v>535</v>
          </cell>
          <cell r="CI333">
            <v>533.1</v>
          </cell>
          <cell r="CJ333">
            <v>505.9</v>
          </cell>
          <cell r="CK333">
            <v>511.1</v>
          </cell>
          <cell r="CL333">
            <v>568.79999999999995</v>
          </cell>
          <cell r="CM333">
            <v>650.5</v>
          </cell>
          <cell r="CN333">
            <v>895</v>
          </cell>
          <cell r="CO333">
            <v>938.2</v>
          </cell>
          <cell r="CP333">
            <v>781.3</v>
          </cell>
          <cell r="CQ333">
            <v>780</v>
          </cell>
          <cell r="CR333">
            <v>703.2</v>
          </cell>
          <cell r="CS333">
            <v>670.1</v>
          </cell>
          <cell r="CT333">
            <v>661.3</v>
          </cell>
          <cell r="CU333">
            <v>641.9</v>
          </cell>
          <cell r="CV333">
            <v>664.6</v>
          </cell>
          <cell r="CW333">
            <v>640.20000000000005</v>
          </cell>
          <cell r="CX333">
            <v>706.9</v>
          </cell>
          <cell r="CY333">
            <v>813.3</v>
          </cell>
          <cell r="CZ333">
            <v>881.3</v>
          </cell>
          <cell r="DA333">
            <v>998.7</v>
          </cell>
          <cell r="DB333">
            <v>849</v>
          </cell>
          <cell r="DC333">
            <v>799</v>
          </cell>
          <cell r="DD333">
            <v>754.4</v>
          </cell>
          <cell r="DE333">
            <v>730.6</v>
          </cell>
          <cell r="DF333">
            <v>659.7</v>
          </cell>
          <cell r="DG333">
            <v>681.7</v>
          </cell>
          <cell r="DH333">
            <v>696.9</v>
          </cell>
          <cell r="DI333">
            <v>729.6</v>
          </cell>
          <cell r="DJ333">
            <v>740</v>
          </cell>
          <cell r="DK333">
            <v>819.8</v>
          </cell>
          <cell r="DL333">
            <v>848.8</v>
          </cell>
          <cell r="DM333">
            <v>919.4</v>
          </cell>
          <cell r="DN333">
            <v>793.2</v>
          </cell>
          <cell r="DO333">
            <v>756.3</v>
          </cell>
          <cell r="DP333">
            <v>704.4</v>
          </cell>
          <cell r="DQ333">
            <v>674.9</v>
          </cell>
          <cell r="DR333">
            <v>635.20000000000005</v>
          </cell>
          <cell r="DS333">
            <v>543.20000000000005</v>
          </cell>
          <cell r="DT333">
            <v>530.5</v>
          </cell>
          <cell r="DU333">
            <v>531.79999999999995</v>
          </cell>
          <cell r="DV333">
            <v>589</v>
          </cell>
          <cell r="DW333">
            <v>696.9</v>
          </cell>
          <cell r="EK333" t="str">
            <v>3 yr Avg (2020 to 2022 8+4F)</v>
          </cell>
          <cell r="EL333" t="str">
            <v>A_2410310</v>
          </cell>
          <cell r="EM333">
            <v>848810.00000000012</v>
          </cell>
          <cell r="EN333">
            <v>919430</v>
          </cell>
          <cell r="EO333">
            <v>793150</v>
          </cell>
          <cell r="EP333">
            <v>756300</v>
          </cell>
          <cell r="EQ333">
            <v>704380</v>
          </cell>
          <cell r="ER333">
            <v>674890</v>
          </cell>
          <cell r="ES333">
            <v>635240</v>
          </cell>
          <cell r="ET333">
            <v>640040</v>
          </cell>
          <cell r="EU333">
            <v>649010</v>
          </cell>
          <cell r="EV333">
            <v>659080</v>
          </cell>
          <cell r="EW333">
            <v>695829.99999999988</v>
          </cell>
          <cell r="EX333">
            <v>783990</v>
          </cell>
        </row>
        <row r="334">
          <cell r="A334" t="str">
            <v>Tax Collections Payable</v>
          </cell>
          <cell r="B334" t="str">
            <v>Accounts Payable - External</v>
          </cell>
          <cell r="C334" t="str">
            <v>Tax Collections Payable 241 + 2360606</v>
          </cell>
          <cell r="D334" t="str">
            <v>2410320</v>
          </cell>
          <cell r="E334" t="str">
            <v>A_2410320</v>
          </cell>
          <cell r="F334" t="str">
            <v>Taxes Payable - FICA</v>
          </cell>
          <cell r="G334">
            <v>8.9549999999999991E-2</v>
          </cell>
          <cell r="H334">
            <v>239.7</v>
          </cell>
          <cell r="I334">
            <v>0.1</v>
          </cell>
          <cell r="J334">
            <v>0.1</v>
          </cell>
          <cell r="K334">
            <v>0.1</v>
          </cell>
          <cell r="L334">
            <v>0.1</v>
          </cell>
          <cell r="M334">
            <v>0.1</v>
          </cell>
          <cell r="N334">
            <v>0.1</v>
          </cell>
          <cell r="O334">
            <v>0.1</v>
          </cell>
          <cell r="P334">
            <v>0.1</v>
          </cell>
          <cell r="Q334">
            <v>0.1</v>
          </cell>
          <cell r="R334">
            <v>0.1</v>
          </cell>
          <cell r="S334">
            <v>0.1</v>
          </cell>
          <cell r="T334">
            <v>0.1</v>
          </cell>
          <cell r="U334">
            <v>0.1</v>
          </cell>
          <cell r="V334">
            <v>0.1</v>
          </cell>
          <cell r="W334">
            <v>95.8</v>
          </cell>
          <cell r="X334">
            <v>90.4</v>
          </cell>
          <cell r="Y334">
            <v>0.1</v>
          </cell>
          <cell r="Z334">
            <v>0.1</v>
          </cell>
          <cell r="AA334">
            <v>0.1</v>
          </cell>
          <cell r="AB334">
            <v>0.1</v>
          </cell>
          <cell r="AC334">
            <v>0.1</v>
          </cell>
          <cell r="AD334">
            <v>0.1</v>
          </cell>
          <cell r="AE334">
            <v>0.1</v>
          </cell>
          <cell r="AF334">
            <v>0.1</v>
          </cell>
          <cell r="AG334">
            <v>0.1</v>
          </cell>
          <cell r="AH334">
            <v>0.1</v>
          </cell>
          <cell r="AI334">
            <v>0.1</v>
          </cell>
          <cell r="AJ334">
            <v>0.1</v>
          </cell>
          <cell r="AK334">
            <v>0.1</v>
          </cell>
          <cell r="AL334">
            <v>0.1</v>
          </cell>
          <cell r="AM334">
            <v>0.1</v>
          </cell>
          <cell r="AN334">
            <v>0.1</v>
          </cell>
          <cell r="AO334">
            <v>0.1</v>
          </cell>
          <cell r="AP334">
            <v>0.1</v>
          </cell>
          <cell r="AQ334">
            <v>0.1</v>
          </cell>
          <cell r="AR334">
            <v>0.1</v>
          </cell>
          <cell r="AS334">
            <v>0.1</v>
          </cell>
          <cell r="AT334">
            <v>8</v>
          </cell>
          <cell r="AU334">
            <v>8</v>
          </cell>
          <cell r="AV334">
            <v>0.1</v>
          </cell>
          <cell r="AW334">
            <v>10.1</v>
          </cell>
          <cell r="AX334">
            <v>10.1</v>
          </cell>
          <cell r="AY334">
            <v>120</v>
          </cell>
          <cell r="AZ334">
            <v>10.1</v>
          </cell>
          <cell r="BA334">
            <v>10.1</v>
          </cell>
          <cell r="BB334">
            <v>10</v>
          </cell>
          <cell r="BC334">
            <v>10</v>
          </cell>
          <cell r="BD334">
            <v>0</v>
          </cell>
          <cell r="BE334">
            <v>0</v>
          </cell>
          <cell r="BF334">
            <v>-0.4</v>
          </cell>
          <cell r="BG334">
            <v>-0.4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125.9</v>
          </cell>
          <cell r="BQ334">
            <v>118.8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0.1</v>
          </cell>
          <cell r="CC334">
            <v>10.199999999999999</v>
          </cell>
          <cell r="CD334">
            <v>0</v>
          </cell>
          <cell r="CE334">
            <v>0</v>
          </cell>
          <cell r="CF334">
            <v>0.2</v>
          </cell>
          <cell r="CG334">
            <v>0.2</v>
          </cell>
          <cell r="CH334">
            <v>0.2</v>
          </cell>
          <cell r="CI334">
            <v>0.2</v>
          </cell>
          <cell r="CJ334">
            <v>0.2</v>
          </cell>
          <cell r="CK334">
            <v>0.2</v>
          </cell>
          <cell r="CL334">
            <v>0.2</v>
          </cell>
          <cell r="CM334">
            <v>131.19999999999999</v>
          </cell>
          <cell r="CN334">
            <v>0.2</v>
          </cell>
          <cell r="CO334">
            <v>0.2</v>
          </cell>
          <cell r="CP334">
            <v>0.2</v>
          </cell>
          <cell r="CQ334">
            <v>0.2</v>
          </cell>
          <cell r="CR334">
            <v>0.8</v>
          </cell>
          <cell r="CS334">
            <v>0.2</v>
          </cell>
          <cell r="CT334">
            <v>0.2</v>
          </cell>
          <cell r="CU334">
            <v>0.6</v>
          </cell>
          <cell r="CV334">
            <v>0.4</v>
          </cell>
          <cell r="CW334">
            <v>0.4</v>
          </cell>
          <cell r="CX334">
            <v>0.4</v>
          </cell>
          <cell r="CY334">
            <v>0.4</v>
          </cell>
          <cell r="CZ334">
            <v>0.8</v>
          </cell>
          <cell r="DA334">
            <v>0.4</v>
          </cell>
          <cell r="DB334">
            <v>0.4</v>
          </cell>
          <cell r="DC334">
            <v>3.4</v>
          </cell>
          <cell r="DD334">
            <v>0.4</v>
          </cell>
          <cell r="DE334">
            <v>164.1</v>
          </cell>
          <cell r="DF334">
            <v>156.6</v>
          </cell>
          <cell r="DG334">
            <v>-0.8</v>
          </cell>
          <cell r="DH334">
            <v>-1</v>
          </cell>
          <cell r="DI334">
            <v>-0.7</v>
          </cell>
          <cell r="DJ334">
            <v>-0.7</v>
          </cell>
          <cell r="DK334">
            <v>9</v>
          </cell>
          <cell r="DL334">
            <v>0.5</v>
          </cell>
          <cell r="DM334">
            <v>2.2999999999999998</v>
          </cell>
          <cell r="DN334">
            <v>0.3</v>
          </cell>
          <cell r="DO334">
            <v>1.8</v>
          </cell>
          <cell r="DP334">
            <v>0.5</v>
          </cell>
          <cell r="DQ334">
            <v>82.2</v>
          </cell>
          <cell r="DR334">
            <v>78.400000000000006</v>
          </cell>
          <cell r="DS334">
            <v>6.9</v>
          </cell>
          <cell r="DT334">
            <v>0.8</v>
          </cell>
          <cell r="DU334">
            <v>0.8</v>
          </cell>
          <cell r="DV334">
            <v>0.8</v>
          </cell>
          <cell r="DW334">
            <v>46.6</v>
          </cell>
          <cell r="EK334" t="str">
            <v>3 yr Avg (2020 to 2022 8+4F)</v>
          </cell>
          <cell r="EL334" t="str">
            <v>A_2410320</v>
          </cell>
          <cell r="EM334">
            <v>480</v>
          </cell>
          <cell r="EN334">
            <v>2300</v>
          </cell>
          <cell r="EO334">
            <v>260</v>
          </cell>
          <cell r="EP334">
            <v>1760.0000000000002</v>
          </cell>
          <cell r="EQ334">
            <v>480.00000000000011</v>
          </cell>
          <cell r="ER334">
            <v>82150</v>
          </cell>
          <cell r="ES334">
            <v>78400</v>
          </cell>
          <cell r="ET334">
            <v>-180.00000000000003</v>
          </cell>
          <cell r="EU334">
            <v>-339.99999999999994</v>
          </cell>
          <cell r="EV334">
            <v>-190</v>
          </cell>
          <cell r="EW334">
            <v>-190</v>
          </cell>
          <cell r="EX334">
            <v>30859.999999999996</v>
          </cell>
        </row>
        <row r="335">
          <cell r="A335" t="str">
            <v>Tax Collections Payable</v>
          </cell>
          <cell r="B335" t="str">
            <v>Accounts Payable - External</v>
          </cell>
          <cell r="C335" t="str">
            <v>Tax Collections Payable 241 + 2360606</v>
          </cell>
          <cell r="D335" t="str">
            <v>2410330</v>
          </cell>
          <cell r="E335" t="str">
            <v>A_2410330</v>
          </cell>
          <cell r="F335" t="str">
            <v>Taxes Payable - FIT Withholding</v>
          </cell>
          <cell r="G335">
            <v>1.3371300000000002</v>
          </cell>
          <cell r="H335">
            <v>736.4</v>
          </cell>
          <cell r="I335">
            <v>1.3</v>
          </cell>
          <cell r="J335">
            <v>1.3</v>
          </cell>
          <cell r="K335">
            <v>1.3</v>
          </cell>
          <cell r="L335">
            <v>1.3</v>
          </cell>
          <cell r="M335">
            <v>1.3</v>
          </cell>
          <cell r="N335">
            <v>1.3</v>
          </cell>
          <cell r="O335">
            <v>1.3</v>
          </cell>
          <cell r="P335">
            <v>1.3</v>
          </cell>
          <cell r="Q335">
            <v>1.3</v>
          </cell>
          <cell r="R335">
            <v>1.3</v>
          </cell>
          <cell r="S335">
            <v>1.3</v>
          </cell>
          <cell r="T335">
            <v>1.3</v>
          </cell>
          <cell r="U335">
            <v>1.3</v>
          </cell>
          <cell r="V335">
            <v>1.3</v>
          </cell>
          <cell r="W335">
            <v>155.6</v>
          </cell>
          <cell r="X335">
            <v>145.1</v>
          </cell>
          <cell r="Y335">
            <v>1.3</v>
          </cell>
          <cell r="Z335">
            <v>1.3</v>
          </cell>
          <cell r="AA335">
            <v>1.3</v>
          </cell>
          <cell r="AB335">
            <v>1.3</v>
          </cell>
          <cell r="AC335">
            <v>1.3</v>
          </cell>
          <cell r="AD335">
            <v>1.3</v>
          </cell>
          <cell r="AE335">
            <v>1.3</v>
          </cell>
          <cell r="AF335">
            <v>1.3</v>
          </cell>
          <cell r="AG335">
            <v>1.3</v>
          </cell>
          <cell r="AH335">
            <v>1.3</v>
          </cell>
          <cell r="AI335">
            <v>1.3</v>
          </cell>
          <cell r="AJ335">
            <v>1.3</v>
          </cell>
          <cell r="AK335">
            <v>1.3</v>
          </cell>
          <cell r="AL335">
            <v>1.3</v>
          </cell>
          <cell r="AM335">
            <v>1.3</v>
          </cell>
          <cell r="AN335">
            <v>1.3</v>
          </cell>
          <cell r="AO335">
            <v>1.3</v>
          </cell>
          <cell r="AP335">
            <v>1.3</v>
          </cell>
          <cell r="AQ335">
            <v>1.3</v>
          </cell>
          <cell r="AR335">
            <v>1.3</v>
          </cell>
          <cell r="AS335">
            <v>1.3</v>
          </cell>
          <cell r="AT335">
            <v>25.2</v>
          </cell>
          <cell r="AU335">
            <v>25.2</v>
          </cell>
          <cell r="AV335">
            <v>25.2</v>
          </cell>
          <cell r="AW335">
            <v>25.2</v>
          </cell>
          <cell r="AX335">
            <v>1.3</v>
          </cell>
          <cell r="AY335">
            <v>195.5</v>
          </cell>
          <cell r="AZ335">
            <v>1.3</v>
          </cell>
          <cell r="BA335">
            <v>1.3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-1</v>
          </cell>
          <cell r="BG335">
            <v>-1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-0.3</v>
          </cell>
          <cell r="BM335">
            <v>0</v>
          </cell>
          <cell r="BN335">
            <v>-0.3</v>
          </cell>
          <cell r="BO335">
            <v>-0.3</v>
          </cell>
          <cell r="BP335">
            <v>181.6</v>
          </cell>
          <cell r="BQ335">
            <v>170.8</v>
          </cell>
          <cell r="BR335">
            <v>-0.3</v>
          </cell>
          <cell r="BS335">
            <v>-0.3</v>
          </cell>
          <cell r="BT335">
            <v>-0.3</v>
          </cell>
          <cell r="BU335">
            <v>-0.3</v>
          </cell>
          <cell r="BV335">
            <v>-0.3</v>
          </cell>
          <cell r="BW335">
            <v>-0.3</v>
          </cell>
          <cell r="BX335">
            <v>-0.3</v>
          </cell>
          <cell r="BY335">
            <v>-0.3</v>
          </cell>
          <cell r="BZ335">
            <v>-0.3</v>
          </cell>
          <cell r="CA335">
            <v>-0.3</v>
          </cell>
          <cell r="CB335">
            <v>-0.2</v>
          </cell>
          <cell r="CC335">
            <v>29.1</v>
          </cell>
          <cell r="CD335">
            <v>-0.3</v>
          </cell>
          <cell r="CE335">
            <v>-0.3</v>
          </cell>
          <cell r="CF335">
            <v>0</v>
          </cell>
          <cell r="CG335">
            <v>-0.3</v>
          </cell>
          <cell r="CH335">
            <v>-0.3</v>
          </cell>
          <cell r="CI335">
            <v>-0.3</v>
          </cell>
          <cell r="CJ335">
            <v>-0.3</v>
          </cell>
          <cell r="CK335">
            <v>-0.3</v>
          </cell>
          <cell r="CL335">
            <v>-0.3</v>
          </cell>
          <cell r="CM335">
            <v>215.9</v>
          </cell>
          <cell r="CN335">
            <v>-0.3</v>
          </cell>
          <cell r="CO335">
            <v>-0.3</v>
          </cell>
          <cell r="CP335">
            <v>-0.3</v>
          </cell>
          <cell r="CQ335">
            <v>-0.6</v>
          </cell>
          <cell r="CR335">
            <v>1.9</v>
          </cell>
          <cell r="CS335">
            <v>-0.6</v>
          </cell>
          <cell r="CT335">
            <v>-0.6</v>
          </cell>
          <cell r="CU335">
            <v>0</v>
          </cell>
          <cell r="CV335">
            <v>-0.3</v>
          </cell>
          <cell r="CW335">
            <v>-0.3</v>
          </cell>
          <cell r="CX335">
            <v>-0.3</v>
          </cell>
          <cell r="CY335">
            <v>-0.3</v>
          </cell>
          <cell r="CZ335">
            <v>0.5</v>
          </cell>
          <cell r="DA335">
            <v>-0.3</v>
          </cell>
          <cell r="DB335">
            <v>-0.3</v>
          </cell>
          <cell r="DC335">
            <v>7.4</v>
          </cell>
          <cell r="DD335">
            <v>-0.1</v>
          </cell>
          <cell r="DE335">
            <v>245.7</v>
          </cell>
          <cell r="DF335">
            <v>227.8</v>
          </cell>
          <cell r="DG335">
            <v>-3.1</v>
          </cell>
          <cell r="DH335">
            <v>-3.3</v>
          </cell>
          <cell r="DI335">
            <v>-3.1</v>
          </cell>
          <cell r="DJ335">
            <v>-3.2</v>
          </cell>
          <cell r="DK335">
            <v>2.2000000000000002</v>
          </cell>
          <cell r="DL335">
            <v>0.1</v>
          </cell>
          <cell r="DM335">
            <v>5.6</v>
          </cell>
          <cell r="DN335">
            <v>-0.3</v>
          </cell>
          <cell r="DO335">
            <v>3.5</v>
          </cell>
          <cell r="DP335">
            <v>0.5</v>
          </cell>
          <cell r="DQ335">
            <v>122.6</v>
          </cell>
          <cell r="DR335">
            <v>113.7</v>
          </cell>
          <cell r="DS335">
            <v>10.7</v>
          </cell>
          <cell r="DT335">
            <v>-0.2</v>
          </cell>
          <cell r="DU335">
            <v>-0.1</v>
          </cell>
          <cell r="DV335">
            <v>-0.3</v>
          </cell>
          <cell r="DW335">
            <v>75.400000000000006</v>
          </cell>
          <cell r="EK335" t="str">
            <v>3 yr Avg (2020 to 2022 8+4F)</v>
          </cell>
          <cell r="EL335" t="str">
            <v>A_2410330</v>
          </cell>
          <cell r="EM335">
            <v>120.00000000000003</v>
          </cell>
          <cell r="EN335">
            <v>5580</v>
          </cell>
          <cell r="EO335">
            <v>-300</v>
          </cell>
          <cell r="EP335">
            <v>3460</v>
          </cell>
          <cell r="EQ335">
            <v>519.99999999999989</v>
          </cell>
          <cell r="ER335">
            <v>122609.99999999999</v>
          </cell>
          <cell r="ES335">
            <v>113660</v>
          </cell>
          <cell r="ET335">
            <v>-1610</v>
          </cell>
          <cell r="EU335">
            <v>-1800</v>
          </cell>
          <cell r="EV335">
            <v>-1700</v>
          </cell>
          <cell r="EW335">
            <v>-1750</v>
          </cell>
          <cell r="EX335">
            <v>44190.000000000007</v>
          </cell>
        </row>
        <row r="336">
          <cell r="A336" t="str">
            <v>Tax Collections Payable</v>
          </cell>
          <cell r="B336" t="str">
            <v>Accounts Payable - External</v>
          </cell>
          <cell r="C336" t="str">
            <v>Tax Collections Payable 241 + 2360606</v>
          </cell>
          <cell r="D336" t="str">
            <v>2410430</v>
          </cell>
          <cell r="E336" t="str">
            <v>A_2410430</v>
          </cell>
          <cell r="F336" t="str">
            <v>Taxes Payable - SIT Withholding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0.5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0.2</v>
          </cell>
          <cell r="CN336">
            <v>0.5</v>
          </cell>
          <cell r="CO336">
            <v>0.5</v>
          </cell>
          <cell r="CP336">
            <v>1.4</v>
          </cell>
          <cell r="CQ336">
            <v>0.5</v>
          </cell>
          <cell r="CR336">
            <v>-0.3</v>
          </cell>
          <cell r="CS336">
            <v>-0.3</v>
          </cell>
          <cell r="CT336">
            <v>-0.3</v>
          </cell>
          <cell r="CU336">
            <v>-0.3</v>
          </cell>
          <cell r="CV336">
            <v>-0.3</v>
          </cell>
          <cell r="CW336">
            <v>-0.3</v>
          </cell>
          <cell r="CX336">
            <v>-0.3</v>
          </cell>
          <cell r="CY336">
            <v>-0.3</v>
          </cell>
          <cell r="CZ336">
            <v>-0.3</v>
          </cell>
          <cell r="DA336">
            <v>-0.3</v>
          </cell>
          <cell r="DB336">
            <v>-0.3</v>
          </cell>
          <cell r="DC336">
            <v>1.1000000000000001</v>
          </cell>
          <cell r="DD336">
            <v>1.5</v>
          </cell>
          <cell r="DE336">
            <v>2.4</v>
          </cell>
          <cell r="DF336">
            <v>3.6</v>
          </cell>
          <cell r="DG336">
            <v>1.7</v>
          </cell>
          <cell r="DH336">
            <v>2.5</v>
          </cell>
          <cell r="DI336">
            <v>0.9</v>
          </cell>
          <cell r="DJ336">
            <v>2.1</v>
          </cell>
          <cell r="DK336">
            <v>4</v>
          </cell>
          <cell r="DL336">
            <v>0</v>
          </cell>
          <cell r="DM336">
            <v>0</v>
          </cell>
          <cell r="DN336">
            <v>0.3</v>
          </cell>
          <cell r="DO336">
            <v>0.7</v>
          </cell>
          <cell r="DP336">
            <v>0.7</v>
          </cell>
          <cell r="DQ336">
            <v>1.1000000000000001</v>
          </cell>
          <cell r="DR336">
            <v>1.7</v>
          </cell>
          <cell r="DS336">
            <v>-0.1</v>
          </cell>
          <cell r="DT336">
            <v>-0.1</v>
          </cell>
          <cell r="DU336">
            <v>-0.1</v>
          </cell>
          <cell r="DV336">
            <v>-0.1</v>
          </cell>
          <cell r="DW336">
            <v>0</v>
          </cell>
          <cell r="EK336" t="str">
            <v>3 yr Avg (2020 to 2022 8+4F)</v>
          </cell>
          <cell r="EL336" t="str">
            <v>A_2410430</v>
          </cell>
          <cell r="EM336">
            <v>0</v>
          </cell>
          <cell r="EN336">
            <v>0</v>
          </cell>
          <cell r="EO336">
            <v>269.99999999999989</v>
          </cell>
          <cell r="EP336">
            <v>700</v>
          </cell>
          <cell r="EQ336">
            <v>659.99999999999989</v>
          </cell>
          <cell r="ER336">
            <v>1109.9999999999998</v>
          </cell>
          <cell r="ES336">
            <v>1710.0000000000002</v>
          </cell>
          <cell r="ET336">
            <v>760</v>
          </cell>
          <cell r="EU336">
            <v>1160</v>
          </cell>
          <cell r="EV336">
            <v>360</v>
          </cell>
          <cell r="EW336">
            <v>960</v>
          </cell>
          <cell r="EX336">
            <v>1950</v>
          </cell>
        </row>
        <row r="337">
          <cell r="D337" t="str">
            <v>241</v>
          </cell>
          <cell r="E337">
            <v>241</v>
          </cell>
          <cell r="G337">
            <v>614.50410999999997</v>
          </cell>
          <cell r="H337">
            <v>1811.4</v>
          </cell>
          <cell r="I337">
            <v>857.9</v>
          </cell>
          <cell r="J337">
            <v>722.69999999999993</v>
          </cell>
          <cell r="K337">
            <v>644.5</v>
          </cell>
          <cell r="L337">
            <v>589.6</v>
          </cell>
          <cell r="M337">
            <v>571.4</v>
          </cell>
          <cell r="N337">
            <v>575.29999999999995</v>
          </cell>
          <cell r="O337">
            <v>521.29999999999995</v>
          </cell>
          <cell r="P337">
            <v>543.1</v>
          </cell>
          <cell r="Q337">
            <v>566.19999999999993</v>
          </cell>
          <cell r="R337">
            <v>583.20000000000005</v>
          </cell>
          <cell r="S337">
            <v>705.3</v>
          </cell>
          <cell r="T337">
            <v>821.5</v>
          </cell>
          <cell r="U337">
            <v>821.3</v>
          </cell>
          <cell r="V337">
            <v>777.59999999999991</v>
          </cell>
          <cell r="W337">
            <v>876.8</v>
          </cell>
          <cell r="X337">
            <v>782.9</v>
          </cell>
          <cell r="Y337">
            <v>589.69999999999993</v>
          </cell>
          <cell r="Z337">
            <v>546.9</v>
          </cell>
          <cell r="AA337">
            <v>542.5</v>
          </cell>
          <cell r="AB337">
            <v>522</v>
          </cell>
          <cell r="AC337">
            <v>524</v>
          </cell>
          <cell r="AD337">
            <v>565.19999999999993</v>
          </cell>
          <cell r="AE337">
            <v>673.9</v>
          </cell>
          <cell r="AF337">
            <v>744.8</v>
          </cell>
          <cell r="AG337">
            <v>808.19999999999993</v>
          </cell>
          <cell r="AH337">
            <v>726.69999999999993</v>
          </cell>
          <cell r="AI337">
            <v>679.30000000000007</v>
          </cell>
          <cell r="AJ337">
            <v>583.69999999999993</v>
          </cell>
          <cell r="AK337">
            <v>537</v>
          </cell>
          <cell r="AL337">
            <v>511.50000000000006</v>
          </cell>
          <cell r="AM337">
            <v>498.90000000000003</v>
          </cell>
          <cell r="AN337">
            <v>506.20000000000005</v>
          </cell>
          <cell r="AO337">
            <v>516.19999999999993</v>
          </cell>
          <cell r="AP337">
            <v>553.79999999999995</v>
          </cell>
          <cell r="AQ337">
            <v>650.9</v>
          </cell>
          <cell r="AR337">
            <v>702.9</v>
          </cell>
          <cell r="AS337">
            <v>705.19999999999993</v>
          </cell>
          <cell r="AT337">
            <v>694.30000000000007</v>
          </cell>
          <cell r="AU337">
            <v>691.30000000000007</v>
          </cell>
          <cell r="AV337">
            <v>638.30000000000007</v>
          </cell>
          <cell r="AW337">
            <v>596.20000000000016</v>
          </cell>
          <cell r="AX337">
            <v>536.5</v>
          </cell>
          <cell r="AY337">
            <v>851.9</v>
          </cell>
          <cell r="AZ337">
            <v>563.79999999999995</v>
          </cell>
          <cell r="BA337">
            <v>577.4</v>
          </cell>
          <cell r="BB337">
            <v>641.79999999999995</v>
          </cell>
          <cell r="BC337">
            <v>737.30000000000007</v>
          </cell>
          <cell r="BD337">
            <v>969.2</v>
          </cell>
          <cell r="BE337">
            <v>881.3</v>
          </cell>
          <cell r="BF337">
            <v>789.3</v>
          </cell>
          <cell r="BG337">
            <v>748.30000000000007</v>
          </cell>
          <cell r="BH337">
            <v>653</v>
          </cell>
          <cell r="BI337">
            <v>694.2</v>
          </cell>
          <cell r="BJ337">
            <v>599.9</v>
          </cell>
          <cell r="BK337">
            <v>598.20000000000005</v>
          </cell>
          <cell r="BL337">
            <v>565.5</v>
          </cell>
          <cell r="BM337">
            <v>563.90000000000009</v>
          </cell>
          <cell r="BN337">
            <v>600.40000000000009</v>
          </cell>
          <cell r="BO337">
            <v>761.7</v>
          </cell>
          <cell r="BP337">
            <v>1190</v>
          </cell>
          <cell r="BQ337">
            <v>1157.0999999999999</v>
          </cell>
          <cell r="BR337">
            <v>767.7</v>
          </cell>
          <cell r="BS337">
            <v>802</v>
          </cell>
          <cell r="BT337">
            <v>655</v>
          </cell>
          <cell r="BU337">
            <v>597.6</v>
          </cell>
          <cell r="BV337">
            <v>515.40000000000009</v>
          </cell>
          <cell r="BW337">
            <v>519.80000000000007</v>
          </cell>
          <cell r="BX337">
            <v>463.7</v>
          </cell>
          <cell r="BY337">
            <v>489.4</v>
          </cell>
          <cell r="BZ337">
            <v>590.70000000000005</v>
          </cell>
          <cell r="CA337">
            <v>827.40000000000009</v>
          </cell>
          <cell r="CB337">
            <v>865.89999999999986</v>
          </cell>
          <cell r="CC337">
            <v>893.7</v>
          </cell>
          <cell r="CD337">
            <v>819.6</v>
          </cell>
          <cell r="CE337">
            <v>721.40000000000009</v>
          </cell>
          <cell r="CF337">
            <v>672.90000000000009</v>
          </cell>
          <cell r="CG337">
            <v>550.20000000000005</v>
          </cell>
          <cell r="CH337">
            <v>597.10000000000014</v>
          </cell>
          <cell r="CI337">
            <v>579.80000000000007</v>
          </cell>
          <cell r="CJ337">
            <v>536.80000000000007</v>
          </cell>
          <cell r="CK337">
            <v>577.20000000000016</v>
          </cell>
          <cell r="CL337">
            <v>670.6</v>
          </cell>
          <cell r="CM337">
            <v>1112.3000000000002</v>
          </cell>
          <cell r="CN337">
            <v>1149.8000000000002</v>
          </cell>
          <cell r="CO337">
            <v>1168.0000000000002</v>
          </cell>
          <cell r="CP337">
            <v>1008</v>
          </cell>
          <cell r="CQ337">
            <v>1014.0000000000001</v>
          </cell>
          <cell r="CR337">
            <v>880.6</v>
          </cell>
          <cell r="CS337">
            <v>837.00000000000011</v>
          </cell>
          <cell r="CT337">
            <v>836.80000000000007</v>
          </cell>
          <cell r="CU337">
            <v>799.1</v>
          </cell>
          <cell r="CV337">
            <v>874.50000000000011</v>
          </cell>
          <cell r="CW337">
            <v>786.40000000000009</v>
          </cell>
          <cell r="CX337">
            <v>889.7</v>
          </cell>
          <cell r="CY337">
            <v>1054.3000000000002</v>
          </cell>
          <cell r="CZ337">
            <v>1139.3</v>
          </cell>
          <cell r="DA337">
            <v>1270.6000000000004</v>
          </cell>
          <cell r="DB337">
            <v>1093.9000000000001</v>
          </cell>
          <cell r="DC337">
            <v>1022.8</v>
          </cell>
          <cell r="DD337">
            <v>958.19999999999993</v>
          </cell>
          <cell r="DE337">
            <v>1373.5000000000002</v>
          </cell>
          <cell r="DF337">
            <v>1155.3</v>
          </cell>
          <cell r="DG337">
            <v>907.6</v>
          </cell>
          <cell r="DH337">
            <v>946.6</v>
          </cell>
          <cell r="DI337">
            <v>988.3</v>
          </cell>
          <cell r="DJ337">
            <v>892.99999999999989</v>
          </cell>
          <cell r="DK337">
            <v>1010.9</v>
          </cell>
          <cell r="DL337">
            <v>1087.8</v>
          </cell>
          <cell r="DM337">
            <v>1164.3999999999999</v>
          </cell>
          <cell r="DN337">
            <v>1013.5</v>
          </cell>
          <cell r="DO337">
            <v>960</v>
          </cell>
          <cell r="DP337">
            <v>877.90000000000009</v>
          </cell>
          <cell r="DQ337">
            <v>1047.8999999999999</v>
          </cell>
          <cell r="DR337">
            <v>948.10000000000014</v>
          </cell>
          <cell r="DS337">
            <v>651</v>
          </cell>
          <cell r="DT337">
            <v>630.09999999999991</v>
          </cell>
          <cell r="DU337">
            <v>623.19999999999982</v>
          </cell>
          <cell r="DV337">
            <v>712.5</v>
          </cell>
          <cell r="DW337">
            <v>980.1</v>
          </cell>
          <cell r="EJ337" t="str">
            <v>.</v>
          </cell>
        </row>
        <row r="338">
          <cell r="A338" t="str">
            <v>Pen &amp; Ben Related Liabilities - Current</v>
          </cell>
          <cell r="B338" t="str">
            <v>Other Liabilities</v>
          </cell>
          <cell r="D338" t="str">
            <v>2420101</v>
          </cell>
          <cell r="E338" t="str">
            <v>A_2420101</v>
          </cell>
          <cell r="F338" t="str">
            <v>Pension Liability FAS158 - Current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EK338" t="str">
            <v>2021 8&amp;4 Dec Balance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</row>
        <row r="339">
          <cell r="A339" t="str">
            <v>Pen &amp; Ben Related Liabilities - Current</v>
          </cell>
          <cell r="B339" t="str">
            <v>Pensions and Benefits</v>
          </cell>
          <cell r="C339" t="str">
            <v>Pensions &amp; Benefits Reserve</v>
          </cell>
          <cell r="D339" t="str">
            <v>2420111</v>
          </cell>
          <cell r="E339" t="str">
            <v>A_2420111</v>
          </cell>
          <cell r="F339" t="str">
            <v>SERP Liability FAS158 - Current</v>
          </cell>
          <cell r="G339">
            <v>777.01800000000003</v>
          </cell>
          <cell r="H339">
            <v>777</v>
          </cell>
          <cell r="I339">
            <v>777</v>
          </cell>
          <cell r="J339">
            <v>777</v>
          </cell>
          <cell r="K339">
            <v>777</v>
          </cell>
          <cell r="L339">
            <v>777</v>
          </cell>
          <cell r="M339">
            <v>777</v>
          </cell>
          <cell r="N339">
            <v>777</v>
          </cell>
          <cell r="O339">
            <v>777</v>
          </cell>
          <cell r="P339">
            <v>777</v>
          </cell>
          <cell r="Q339">
            <v>777</v>
          </cell>
          <cell r="R339">
            <v>777</v>
          </cell>
          <cell r="S339">
            <v>440.4</v>
          </cell>
          <cell r="T339">
            <v>440.4</v>
          </cell>
          <cell r="U339">
            <v>440.4</v>
          </cell>
          <cell r="V339">
            <v>440.4</v>
          </cell>
          <cell r="W339">
            <v>440.4</v>
          </cell>
          <cell r="X339">
            <v>440.4</v>
          </cell>
          <cell r="Y339">
            <v>440.4</v>
          </cell>
          <cell r="Z339">
            <v>440.4</v>
          </cell>
          <cell r="AA339">
            <v>440.4</v>
          </cell>
          <cell r="AB339">
            <v>440.4</v>
          </cell>
          <cell r="AC339">
            <v>440.4</v>
          </cell>
          <cell r="AD339">
            <v>440.4</v>
          </cell>
          <cell r="AE339">
            <v>450.2</v>
          </cell>
          <cell r="AF339">
            <v>450.2</v>
          </cell>
          <cell r="AG339">
            <v>450.2</v>
          </cell>
          <cell r="AH339">
            <v>450.2</v>
          </cell>
          <cell r="AI339">
            <v>450.2</v>
          </cell>
          <cell r="AJ339">
            <v>450.2</v>
          </cell>
          <cell r="AK339">
            <v>450.2</v>
          </cell>
          <cell r="AL339">
            <v>450.2</v>
          </cell>
          <cell r="AM339">
            <v>450.2</v>
          </cell>
          <cell r="AN339">
            <v>450.2</v>
          </cell>
          <cell r="AO339">
            <v>450.2</v>
          </cell>
          <cell r="AP339">
            <v>450.2</v>
          </cell>
          <cell r="AQ339">
            <v>388.5</v>
          </cell>
          <cell r="AR339">
            <v>388.5</v>
          </cell>
          <cell r="AS339">
            <v>388.5</v>
          </cell>
          <cell r="AT339">
            <v>388.5</v>
          </cell>
          <cell r="AU339">
            <v>388.5</v>
          </cell>
          <cell r="AV339">
            <v>388.5</v>
          </cell>
          <cell r="AW339">
            <v>388.5</v>
          </cell>
          <cell r="AX339">
            <v>388.5</v>
          </cell>
          <cell r="AY339">
            <v>388.5</v>
          </cell>
          <cell r="AZ339">
            <v>388.5</v>
          </cell>
          <cell r="BA339">
            <v>388.5</v>
          </cell>
          <cell r="BB339">
            <v>388.5</v>
          </cell>
          <cell r="BC339">
            <v>388.5</v>
          </cell>
          <cell r="BD339">
            <v>388.5</v>
          </cell>
          <cell r="BE339">
            <v>388.5</v>
          </cell>
          <cell r="BF339">
            <v>388.5</v>
          </cell>
          <cell r="BG339">
            <v>388.5</v>
          </cell>
          <cell r="BH339">
            <v>388.5</v>
          </cell>
          <cell r="BI339">
            <v>366</v>
          </cell>
          <cell r="BJ339">
            <v>366</v>
          </cell>
          <cell r="BK339">
            <v>366</v>
          </cell>
          <cell r="BL339">
            <v>366</v>
          </cell>
          <cell r="BM339">
            <v>366</v>
          </cell>
          <cell r="BN339">
            <v>366</v>
          </cell>
          <cell r="BO339">
            <v>259.8</v>
          </cell>
          <cell r="BP339">
            <v>259.8</v>
          </cell>
          <cell r="BQ339">
            <v>259.8</v>
          </cell>
          <cell r="BR339">
            <v>259.8</v>
          </cell>
          <cell r="BS339">
            <v>259.8</v>
          </cell>
          <cell r="BT339">
            <v>259.8</v>
          </cell>
          <cell r="BU339">
            <v>259.8</v>
          </cell>
          <cell r="BV339">
            <v>259.8</v>
          </cell>
          <cell r="BW339">
            <v>259.8</v>
          </cell>
          <cell r="BX339">
            <v>259.8</v>
          </cell>
          <cell r="BY339">
            <v>259.8</v>
          </cell>
          <cell r="BZ339">
            <v>259.8</v>
          </cell>
          <cell r="CA339">
            <v>249.9</v>
          </cell>
          <cell r="CB339">
            <v>249.9</v>
          </cell>
          <cell r="CC339">
            <v>249.9</v>
          </cell>
          <cell r="CD339">
            <v>249.9</v>
          </cell>
          <cell r="CE339">
            <v>249.9</v>
          </cell>
          <cell r="CF339">
            <v>249.9</v>
          </cell>
          <cell r="CG339">
            <v>249.9</v>
          </cell>
          <cell r="CH339">
            <v>249.9</v>
          </cell>
          <cell r="CI339">
            <v>249.9</v>
          </cell>
          <cell r="CJ339">
            <v>249.9</v>
          </cell>
          <cell r="CK339">
            <v>249.9</v>
          </cell>
          <cell r="CL339">
            <v>249.9</v>
          </cell>
          <cell r="CM339">
            <v>249.9</v>
          </cell>
          <cell r="CN339">
            <v>249.9</v>
          </cell>
          <cell r="CO339">
            <v>249.9</v>
          </cell>
          <cell r="CP339">
            <v>249.9</v>
          </cell>
          <cell r="CQ339">
            <v>249.9</v>
          </cell>
          <cell r="CR339">
            <v>249.9</v>
          </cell>
          <cell r="CS339">
            <v>249.9</v>
          </cell>
          <cell r="CT339">
            <v>249.9</v>
          </cell>
          <cell r="CU339">
            <v>249.9</v>
          </cell>
          <cell r="CV339">
            <v>249.9</v>
          </cell>
          <cell r="CW339">
            <v>249.9</v>
          </cell>
          <cell r="CX339">
            <v>249.9</v>
          </cell>
          <cell r="CY339">
            <v>215.7</v>
          </cell>
          <cell r="CZ339">
            <v>215.7</v>
          </cell>
          <cell r="DA339">
            <v>215.7</v>
          </cell>
          <cell r="DB339">
            <v>215.7</v>
          </cell>
          <cell r="DC339">
            <v>215.7</v>
          </cell>
          <cell r="DD339">
            <v>215.7</v>
          </cell>
          <cell r="DE339">
            <v>215.7</v>
          </cell>
          <cell r="DF339">
            <v>215.7</v>
          </cell>
          <cell r="DG339">
            <v>215.7</v>
          </cell>
          <cell r="DH339">
            <v>215.7</v>
          </cell>
          <cell r="DI339">
            <v>215.7</v>
          </cell>
          <cell r="DJ339">
            <v>215.7</v>
          </cell>
          <cell r="DK339">
            <v>301.2</v>
          </cell>
          <cell r="DL339">
            <v>301.2</v>
          </cell>
          <cell r="DM339">
            <v>301.2</v>
          </cell>
          <cell r="DN339">
            <v>301.2</v>
          </cell>
          <cell r="DO339">
            <v>301.2</v>
          </cell>
          <cell r="DP339">
            <v>301.2</v>
          </cell>
          <cell r="DQ339">
            <v>301.2</v>
          </cell>
          <cell r="DR339">
            <v>301.2</v>
          </cell>
          <cell r="DS339">
            <v>301.2</v>
          </cell>
          <cell r="DT339">
            <v>301.2</v>
          </cell>
          <cell r="DU339">
            <v>301.2</v>
          </cell>
          <cell r="DV339">
            <v>301.2</v>
          </cell>
          <cell r="DW339">
            <v>301.2</v>
          </cell>
          <cell r="EK339" t="str">
            <v>2021 8&amp;4 Dec Balance</v>
          </cell>
          <cell r="EL339" t="str">
            <v>A_2420111</v>
          </cell>
          <cell r="EM339">
            <v>249900</v>
          </cell>
          <cell r="EN339">
            <v>249900</v>
          </cell>
          <cell r="EO339">
            <v>249900</v>
          </cell>
          <cell r="EP339">
            <v>249900</v>
          </cell>
          <cell r="EQ339">
            <v>249900</v>
          </cell>
          <cell r="ER339">
            <v>249900</v>
          </cell>
          <cell r="ES339">
            <v>249900</v>
          </cell>
          <cell r="ET339">
            <v>249900</v>
          </cell>
          <cell r="EU339">
            <v>249900</v>
          </cell>
          <cell r="EV339">
            <v>249900</v>
          </cell>
          <cell r="EW339">
            <v>249900</v>
          </cell>
          <cell r="EX339">
            <v>249900</v>
          </cell>
        </row>
        <row r="340">
          <cell r="A340" t="str">
            <v>Pen &amp; Ben Related Liabilities - Current</v>
          </cell>
          <cell r="B340" t="str">
            <v>Pensions and Benefits</v>
          </cell>
          <cell r="C340" t="str">
            <v>Pensions &amp; Benefits Reserve</v>
          </cell>
          <cell r="D340" t="str">
            <v>2420121</v>
          </cell>
          <cell r="E340" t="str">
            <v>A_2420121</v>
          </cell>
          <cell r="F340" t="str">
            <v>Resotration Benefit Plan Liability FAS158 - Current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0.6</v>
          </cell>
          <cell r="AO340">
            <v>0.6</v>
          </cell>
          <cell r="AP340">
            <v>0.6</v>
          </cell>
          <cell r="AQ340">
            <v>0.5</v>
          </cell>
          <cell r="AR340">
            <v>0.5</v>
          </cell>
          <cell r="AS340">
            <v>0.5</v>
          </cell>
          <cell r="AT340">
            <v>0.5</v>
          </cell>
          <cell r="AU340">
            <v>0.5</v>
          </cell>
          <cell r="AV340">
            <v>0.5</v>
          </cell>
          <cell r="AW340">
            <v>0.5</v>
          </cell>
          <cell r="AX340">
            <v>0.5</v>
          </cell>
          <cell r="AY340">
            <v>0.5</v>
          </cell>
          <cell r="AZ340">
            <v>0.5</v>
          </cell>
          <cell r="BA340">
            <v>0.5</v>
          </cell>
          <cell r="BB340">
            <v>0.5</v>
          </cell>
          <cell r="BC340">
            <v>4.2</v>
          </cell>
          <cell r="BD340">
            <v>4.2</v>
          </cell>
          <cell r="BE340">
            <v>4.2</v>
          </cell>
          <cell r="BF340">
            <v>4.2</v>
          </cell>
          <cell r="BG340">
            <v>4.2</v>
          </cell>
          <cell r="BH340">
            <v>4.2</v>
          </cell>
          <cell r="BI340">
            <v>4.2</v>
          </cell>
          <cell r="BJ340">
            <v>4.2</v>
          </cell>
          <cell r="BK340">
            <v>4.2</v>
          </cell>
          <cell r="BL340">
            <v>4.2</v>
          </cell>
          <cell r="BM340">
            <v>4.2</v>
          </cell>
          <cell r="BN340">
            <v>4.2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2003.4</v>
          </cell>
          <cell r="CZ340">
            <v>2003.4</v>
          </cell>
          <cell r="DA340">
            <v>2003.4</v>
          </cell>
          <cell r="DB340">
            <v>2003.4</v>
          </cell>
          <cell r="DC340">
            <v>2003.4</v>
          </cell>
          <cell r="DD340">
            <v>2003.4</v>
          </cell>
          <cell r="DE340">
            <v>860</v>
          </cell>
          <cell r="DF340">
            <v>860</v>
          </cell>
          <cell r="DG340">
            <v>860</v>
          </cell>
          <cell r="DH340">
            <v>860</v>
          </cell>
          <cell r="DI340">
            <v>860</v>
          </cell>
          <cell r="DJ340">
            <v>860</v>
          </cell>
          <cell r="DK340">
            <v>132</v>
          </cell>
          <cell r="DL340">
            <v>132</v>
          </cell>
          <cell r="DM340">
            <v>132</v>
          </cell>
          <cell r="DN340">
            <v>132</v>
          </cell>
          <cell r="DO340">
            <v>132</v>
          </cell>
          <cell r="DP340">
            <v>132</v>
          </cell>
          <cell r="DQ340">
            <v>132</v>
          </cell>
          <cell r="DR340">
            <v>132</v>
          </cell>
          <cell r="DS340">
            <v>132</v>
          </cell>
          <cell r="DT340">
            <v>132</v>
          </cell>
          <cell r="DU340">
            <v>132</v>
          </cell>
          <cell r="DV340">
            <v>132</v>
          </cell>
          <cell r="DW340">
            <v>132</v>
          </cell>
          <cell r="EK340" t="str">
            <v>2021 8&amp;4 Dec Balance</v>
          </cell>
          <cell r="EL340" t="str">
            <v>A_2420121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</row>
        <row r="341">
          <cell r="A341" t="str">
            <v>Pen &amp; Ben Related Liabilities - Current</v>
          </cell>
          <cell r="B341" t="str">
            <v>Pensions and Benefits</v>
          </cell>
          <cell r="C341" t="str">
            <v>Pensions &amp; Benefits Reserve</v>
          </cell>
          <cell r="D341" t="str">
            <v>2420131</v>
          </cell>
          <cell r="E341" t="str">
            <v>A_2420131</v>
          </cell>
          <cell r="F341" t="str">
            <v>FAS106 Liability FAS158 - Current</v>
          </cell>
          <cell r="G341">
            <v>606.93499999999995</v>
          </cell>
          <cell r="H341">
            <v>606.9</v>
          </cell>
          <cell r="I341">
            <v>606.9</v>
          </cell>
          <cell r="J341">
            <v>606.9</v>
          </cell>
          <cell r="K341">
            <v>606.9</v>
          </cell>
          <cell r="L341">
            <v>606.9</v>
          </cell>
          <cell r="M341">
            <v>606.9</v>
          </cell>
          <cell r="N341">
            <v>606.9</v>
          </cell>
          <cell r="O341">
            <v>606.9</v>
          </cell>
          <cell r="P341">
            <v>606.9</v>
          </cell>
          <cell r="Q341">
            <v>606.9</v>
          </cell>
          <cell r="R341">
            <v>606.9</v>
          </cell>
          <cell r="S341">
            <v>670.5</v>
          </cell>
          <cell r="T341">
            <v>670.5</v>
          </cell>
          <cell r="U341">
            <v>670.5</v>
          </cell>
          <cell r="V341">
            <v>670.5</v>
          </cell>
          <cell r="W341">
            <v>670.5</v>
          </cell>
          <cell r="X341">
            <v>670.5</v>
          </cell>
          <cell r="Y341">
            <v>670.5</v>
          </cell>
          <cell r="Z341">
            <v>670.5</v>
          </cell>
          <cell r="AA341">
            <v>670.5</v>
          </cell>
          <cell r="AB341">
            <v>670.5</v>
          </cell>
          <cell r="AC341">
            <v>670.5</v>
          </cell>
          <cell r="AD341">
            <v>670.5</v>
          </cell>
          <cell r="AE341">
            <v>684.6</v>
          </cell>
          <cell r="AF341">
            <v>684.6</v>
          </cell>
          <cell r="AG341">
            <v>684.6</v>
          </cell>
          <cell r="AH341">
            <v>684.6</v>
          </cell>
          <cell r="AI341">
            <v>684.6</v>
          </cell>
          <cell r="AJ341">
            <v>684.6</v>
          </cell>
          <cell r="AK341">
            <v>684.6</v>
          </cell>
          <cell r="AL341">
            <v>684.6</v>
          </cell>
          <cell r="AM341">
            <v>684.6</v>
          </cell>
          <cell r="AN341">
            <v>704.4</v>
          </cell>
          <cell r="AO341">
            <v>704.4</v>
          </cell>
          <cell r="AP341">
            <v>704.4</v>
          </cell>
          <cell r="AQ341">
            <v>735</v>
          </cell>
          <cell r="AR341">
            <v>735</v>
          </cell>
          <cell r="AS341">
            <v>735</v>
          </cell>
          <cell r="AT341">
            <v>735</v>
          </cell>
          <cell r="AU341">
            <v>735</v>
          </cell>
          <cell r="AV341">
            <v>735</v>
          </cell>
          <cell r="AW341">
            <v>735</v>
          </cell>
          <cell r="AX341">
            <v>735</v>
          </cell>
          <cell r="AY341">
            <v>735</v>
          </cell>
          <cell r="AZ341">
            <v>735</v>
          </cell>
          <cell r="BA341">
            <v>735</v>
          </cell>
          <cell r="BB341">
            <v>735</v>
          </cell>
          <cell r="BC341">
            <v>825.9</v>
          </cell>
          <cell r="BD341">
            <v>825.9</v>
          </cell>
          <cell r="BE341">
            <v>825.9</v>
          </cell>
          <cell r="BF341">
            <v>825.9</v>
          </cell>
          <cell r="BG341">
            <v>825.9</v>
          </cell>
          <cell r="BH341">
            <v>825.9</v>
          </cell>
          <cell r="BI341">
            <v>825.9</v>
          </cell>
          <cell r="BJ341">
            <v>825.9</v>
          </cell>
          <cell r="BK341">
            <v>825.9</v>
          </cell>
          <cell r="BL341">
            <v>825.9</v>
          </cell>
          <cell r="BM341">
            <v>825.9</v>
          </cell>
          <cell r="BN341">
            <v>825.9</v>
          </cell>
          <cell r="BO341">
            <v>872.5</v>
          </cell>
          <cell r="BP341">
            <v>872.5</v>
          </cell>
          <cell r="BQ341">
            <v>872.5</v>
          </cell>
          <cell r="BR341">
            <v>872.5</v>
          </cell>
          <cell r="BS341">
            <v>872.5</v>
          </cell>
          <cell r="BT341">
            <v>872.5</v>
          </cell>
          <cell r="BU341">
            <v>872.5</v>
          </cell>
          <cell r="BV341">
            <v>872.5</v>
          </cell>
          <cell r="BW341">
            <v>872.5</v>
          </cell>
          <cell r="BX341">
            <v>872.5</v>
          </cell>
          <cell r="BY341">
            <v>872.5</v>
          </cell>
          <cell r="BZ341">
            <v>872.5</v>
          </cell>
          <cell r="CA341">
            <v>917.2</v>
          </cell>
          <cell r="CB341">
            <v>917.2</v>
          </cell>
          <cell r="CC341">
            <v>917.2</v>
          </cell>
          <cell r="CD341">
            <v>917.2</v>
          </cell>
          <cell r="CE341">
            <v>917.2</v>
          </cell>
          <cell r="CF341">
            <v>917.2</v>
          </cell>
          <cell r="CG341">
            <v>917.2</v>
          </cell>
          <cell r="CH341">
            <v>917.2</v>
          </cell>
          <cell r="CI341">
            <v>917.2</v>
          </cell>
          <cell r="CJ341">
            <v>917.2</v>
          </cell>
          <cell r="CK341">
            <v>917.2</v>
          </cell>
          <cell r="CL341">
            <v>917.2</v>
          </cell>
          <cell r="CM341">
            <v>1090</v>
          </cell>
          <cell r="CN341">
            <v>1090</v>
          </cell>
          <cell r="CO341">
            <v>1090</v>
          </cell>
          <cell r="CP341">
            <v>1090</v>
          </cell>
          <cell r="CQ341">
            <v>1090</v>
          </cell>
          <cell r="CR341">
            <v>1090</v>
          </cell>
          <cell r="CS341">
            <v>1090</v>
          </cell>
          <cell r="CT341">
            <v>1090</v>
          </cell>
          <cell r="CU341">
            <v>1090</v>
          </cell>
          <cell r="CV341">
            <v>1090</v>
          </cell>
          <cell r="CW341">
            <v>1090</v>
          </cell>
          <cell r="CX341">
            <v>1090</v>
          </cell>
          <cell r="CY341">
            <v>1188.7</v>
          </cell>
          <cell r="CZ341">
            <v>1188.7</v>
          </cell>
          <cell r="DA341">
            <v>1188.7</v>
          </cell>
          <cell r="DB341">
            <v>1188.7</v>
          </cell>
          <cell r="DC341">
            <v>1188.7</v>
          </cell>
          <cell r="DD341">
            <v>1188.7</v>
          </cell>
          <cell r="DE341">
            <v>1188.7</v>
          </cell>
          <cell r="DF341">
            <v>1188.7</v>
          </cell>
          <cell r="DG341">
            <v>1188.7</v>
          </cell>
          <cell r="DH341">
            <v>1188.7</v>
          </cell>
          <cell r="DI341">
            <v>1188.7</v>
          </cell>
          <cell r="DJ341">
            <v>1188.7</v>
          </cell>
          <cell r="DK341">
            <v>1139.9000000000001</v>
          </cell>
          <cell r="DL341">
            <v>1139.9000000000001</v>
          </cell>
          <cell r="DM341">
            <v>1139.9000000000001</v>
          </cell>
          <cell r="DN341">
            <v>1139.9000000000001</v>
          </cell>
          <cell r="DO341">
            <v>1139.9000000000001</v>
          </cell>
          <cell r="DP341">
            <v>1139.9000000000001</v>
          </cell>
          <cell r="DQ341">
            <v>1139.9000000000001</v>
          </cell>
          <cell r="DR341">
            <v>1139.9000000000001</v>
          </cell>
          <cell r="DS341">
            <v>1139.9000000000001</v>
          </cell>
          <cell r="DT341">
            <v>1139.9000000000001</v>
          </cell>
          <cell r="DU341">
            <v>1139.9000000000001</v>
          </cell>
          <cell r="DV341">
            <v>1139.9000000000001</v>
          </cell>
          <cell r="DW341">
            <v>1139.9000000000001</v>
          </cell>
          <cell r="EK341" t="str">
            <v>2021 8&amp;4 Dec Balance</v>
          </cell>
          <cell r="EL341" t="str">
            <v>A_2420131</v>
          </cell>
          <cell r="EM341">
            <v>1090000</v>
          </cell>
          <cell r="EN341">
            <v>1090000</v>
          </cell>
          <cell r="EO341">
            <v>1090000</v>
          </cell>
          <cell r="EP341">
            <v>1090000</v>
          </cell>
          <cell r="EQ341">
            <v>1090000</v>
          </cell>
          <cell r="ER341">
            <v>1090000</v>
          </cell>
          <cell r="ES341">
            <v>1090000</v>
          </cell>
          <cell r="ET341">
            <v>1090000</v>
          </cell>
          <cell r="EU341">
            <v>1090000</v>
          </cell>
          <cell r="EV341">
            <v>1090000</v>
          </cell>
          <cell r="EW341">
            <v>1090000</v>
          </cell>
          <cell r="EX341">
            <v>1090000</v>
          </cell>
        </row>
        <row r="342">
          <cell r="A342" t="str">
            <v>Misc. Current Liabilities</v>
          </cell>
          <cell r="B342" t="str">
            <v>Pensions and Benefits</v>
          </cell>
          <cell r="C342" t="str">
            <v>Misc. Current Liabilities</v>
          </cell>
          <cell r="D342" t="str">
            <v>2420191</v>
          </cell>
          <cell r="E342" t="str">
            <v>A_2420191</v>
          </cell>
          <cell r="F342" t="str">
            <v>Long-Term Incentive - Current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1527.7</v>
          </cell>
          <cell r="CB342">
            <v>1527.7</v>
          </cell>
          <cell r="CC342">
            <v>49.5</v>
          </cell>
          <cell r="CD342">
            <v>1263.7</v>
          </cell>
          <cell r="CE342">
            <v>1263.7</v>
          </cell>
          <cell r="CF342">
            <v>1263.7</v>
          </cell>
          <cell r="CG342">
            <v>1344.8</v>
          </cell>
          <cell r="CH342">
            <v>1344.8</v>
          </cell>
          <cell r="CI342">
            <v>1344.8</v>
          </cell>
          <cell r="CJ342">
            <v>1498.9</v>
          </cell>
          <cell r="CK342">
            <v>1498.9</v>
          </cell>
          <cell r="CL342">
            <v>1498.9</v>
          </cell>
          <cell r="CM342">
            <v>1958.2</v>
          </cell>
          <cell r="CN342">
            <v>1958.2</v>
          </cell>
          <cell r="CO342">
            <v>1958.2</v>
          </cell>
          <cell r="CP342">
            <v>1176.9000000000001</v>
          </cell>
          <cell r="CQ342">
            <v>1176.9000000000001</v>
          </cell>
          <cell r="CR342">
            <v>1176.9000000000001</v>
          </cell>
          <cell r="CS342">
            <v>1439.6</v>
          </cell>
          <cell r="CT342">
            <v>1439.6</v>
          </cell>
          <cell r="CU342">
            <v>1439.6</v>
          </cell>
          <cell r="CV342">
            <v>1241.5</v>
          </cell>
          <cell r="CW342">
            <v>1241.5</v>
          </cell>
          <cell r="CX342">
            <v>1241.5</v>
          </cell>
          <cell r="CY342">
            <v>1382</v>
          </cell>
          <cell r="CZ342">
            <v>1382</v>
          </cell>
          <cell r="DA342">
            <v>1337</v>
          </cell>
          <cell r="DB342">
            <v>1054.2</v>
          </cell>
          <cell r="DC342">
            <v>1054.2</v>
          </cell>
          <cell r="DD342">
            <v>1054.2</v>
          </cell>
          <cell r="DE342">
            <v>1240.7</v>
          </cell>
          <cell r="DF342">
            <v>1240.7</v>
          </cell>
          <cell r="DG342">
            <v>1240.7</v>
          </cell>
          <cell r="DH342">
            <v>1336.2</v>
          </cell>
          <cell r="DI342">
            <v>1336.2</v>
          </cell>
          <cell r="DJ342">
            <v>1336.2</v>
          </cell>
          <cell r="DK342">
            <v>1588.6</v>
          </cell>
          <cell r="DL342">
            <v>1594.2</v>
          </cell>
          <cell r="DM342">
            <v>1594.2</v>
          </cell>
          <cell r="DN342">
            <v>1235</v>
          </cell>
          <cell r="DO342">
            <v>1235</v>
          </cell>
          <cell r="DP342">
            <v>1235</v>
          </cell>
          <cell r="DQ342">
            <v>1379.5</v>
          </cell>
          <cell r="DR342">
            <v>1379.5</v>
          </cell>
          <cell r="DS342">
            <v>1379.5</v>
          </cell>
          <cell r="DT342">
            <v>1524</v>
          </cell>
          <cell r="DU342">
            <v>1524</v>
          </cell>
          <cell r="DV342">
            <v>1524</v>
          </cell>
          <cell r="DW342">
            <v>1668.5</v>
          </cell>
        </row>
        <row r="343">
          <cell r="A343" t="str">
            <v>Misc. Current Liabilities</v>
          </cell>
          <cell r="B343" t="str">
            <v>Other Liabilities</v>
          </cell>
          <cell r="C343" t="str">
            <v>Misc. Current Liabilities</v>
          </cell>
          <cell r="D343" t="str">
            <v>2420192</v>
          </cell>
          <cell r="E343" t="str">
            <v>A_2420192</v>
          </cell>
          <cell r="F343" t="str">
            <v>Deferred Compensation - Current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71.099999999999994</v>
          </cell>
          <cell r="CD343">
            <v>75.5</v>
          </cell>
          <cell r="CE343">
            <v>75.5</v>
          </cell>
          <cell r="CF343">
            <v>75.5</v>
          </cell>
          <cell r="CG343">
            <v>72.3</v>
          </cell>
          <cell r="CH343">
            <v>72.3</v>
          </cell>
          <cell r="CI343">
            <v>72.3</v>
          </cell>
          <cell r="CJ343">
            <v>73.099999999999994</v>
          </cell>
          <cell r="CK343">
            <v>73.099999999999994</v>
          </cell>
          <cell r="CL343">
            <v>73.099999999999994</v>
          </cell>
          <cell r="CM343">
            <v>74.7</v>
          </cell>
          <cell r="CN343">
            <v>74.7</v>
          </cell>
          <cell r="CO343">
            <v>74.7</v>
          </cell>
          <cell r="CP343">
            <v>241.7</v>
          </cell>
          <cell r="CQ343">
            <v>241.7</v>
          </cell>
          <cell r="CR343">
            <v>241.7</v>
          </cell>
          <cell r="CS343">
            <v>269.10000000000002</v>
          </cell>
          <cell r="CT343">
            <v>269.10000000000002</v>
          </cell>
          <cell r="CU343">
            <v>269.10000000000002</v>
          </cell>
          <cell r="CV343">
            <v>283.89999999999998</v>
          </cell>
          <cell r="CW343">
            <v>283.89999999999998</v>
          </cell>
          <cell r="CX343">
            <v>283.89999999999998</v>
          </cell>
          <cell r="CY343">
            <v>289.60000000000002</v>
          </cell>
          <cell r="CZ343">
            <v>289.60000000000002</v>
          </cell>
          <cell r="DA343">
            <v>289.60000000000002</v>
          </cell>
          <cell r="DB343">
            <v>340.5</v>
          </cell>
          <cell r="DC343">
            <v>340.5</v>
          </cell>
          <cell r="DD343">
            <v>340.5</v>
          </cell>
          <cell r="DE343">
            <v>113.7</v>
          </cell>
          <cell r="DF343">
            <v>113.7</v>
          </cell>
          <cell r="DG343">
            <v>113.7</v>
          </cell>
          <cell r="DH343">
            <v>112.1</v>
          </cell>
          <cell r="DI343">
            <v>112.1</v>
          </cell>
          <cell r="DJ343">
            <v>112.1</v>
          </cell>
          <cell r="DK343">
            <v>96.1</v>
          </cell>
          <cell r="DL343">
            <v>116.5</v>
          </cell>
          <cell r="DM343">
            <v>116.5</v>
          </cell>
          <cell r="DN343">
            <v>123.2</v>
          </cell>
          <cell r="DO343">
            <v>123.2</v>
          </cell>
          <cell r="DP343">
            <v>123.2</v>
          </cell>
          <cell r="DQ343">
            <v>127.7</v>
          </cell>
          <cell r="DR343">
            <v>127.7</v>
          </cell>
          <cell r="DS343">
            <v>127.7</v>
          </cell>
          <cell r="DT343">
            <v>127.7</v>
          </cell>
          <cell r="DU343">
            <v>127.7</v>
          </cell>
          <cell r="DV343">
            <v>127.7</v>
          </cell>
          <cell r="DW343">
            <v>127.7</v>
          </cell>
        </row>
        <row r="344">
          <cell r="A344" t="str">
            <v>Misc. Current Liabilities</v>
          </cell>
          <cell r="B344" t="str">
            <v>Pensions and Benefits</v>
          </cell>
          <cell r="C344" t="str">
            <v>Misc. Current Liabilities</v>
          </cell>
          <cell r="D344" t="str">
            <v>2420199</v>
          </cell>
          <cell r="E344" t="str">
            <v>A_2420199</v>
          </cell>
          <cell r="F344" t="str">
            <v>Current Miscellaneous Liabilities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1205.4000000000001</v>
          </cell>
          <cell r="BP344">
            <v>0</v>
          </cell>
          <cell r="BQ344">
            <v>0</v>
          </cell>
          <cell r="BR344">
            <v>1014.3</v>
          </cell>
          <cell r="BS344">
            <v>1014.3</v>
          </cell>
          <cell r="BT344">
            <v>1014.3</v>
          </cell>
          <cell r="BU344">
            <v>1223.0999999999999</v>
          </cell>
          <cell r="BV344">
            <v>777.4</v>
          </cell>
          <cell r="BW344">
            <v>777.4</v>
          </cell>
          <cell r="BX344">
            <v>1879.8</v>
          </cell>
          <cell r="BY344">
            <v>1879.8</v>
          </cell>
          <cell r="BZ344">
            <v>1879.8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</row>
        <row r="345">
          <cell r="A345" t="str">
            <v>Accounts Payable</v>
          </cell>
          <cell r="B345" t="str">
            <v>Accounts Payable - External</v>
          </cell>
          <cell r="C345" t="str">
            <v>Accounts Payable</v>
          </cell>
          <cell r="D345" t="str">
            <v>2420300</v>
          </cell>
          <cell r="E345" t="str">
            <v>A_2420300</v>
          </cell>
          <cell r="F345" t="str">
            <v>Misc Accru Liab-Vacation Liability</v>
          </cell>
          <cell r="G345">
            <v>2622.1713100000002</v>
          </cell>
          <cell r="H345">
            <v>2627.2</v>
          </cell>
          <cell r="I345">
            <v>2632.2</v>
          </cell>
          <cell r="J345">
            <v>2637.2</v>
          </cell>
          <cell r="K345">
            <v>2642.2</v>
          </cell>
          <cell r="L345">
            <v>2647.2</v>
          </cell>
          <cell r="M345">
            <v>2652.2</v>
          </cell>
          <cell r="N345">
            <v>2657.2</v>
          </cell>
          <cell r="O345">
            <v>2662.2</v>
          </cell>
          <cell r="P345">
            <v>2667.2</v>
          </cell>
          <cell r="Q345">
            <v>2672.2</v>
          </cell>
          <cell r="R345">
            <v>2677.2</v>
          </cell>
          <cell r="S345">
            <v>2682.2</v>
          </cell>
          <cell r="T345">
            <v>2687.2</v>
          </cell>
          <cell r="U345">
            <v>2690.6</v>
          </cell>
          <cell r="V345">
            <v>2692.4</v>
          </cell>
          <cell r="W345">
            <v>2694.6</v>
          </cell>
          <cell r="X345">
            <v>2692.3</v>
          </cell>
          <cell r="Y345">
            <v>2691.1</v>
          </cell>
          <cell r="Z345">
            <v>2681.4</v>
          </cell>
          <cell r="AA345">
            <v>2677.8</v>
          </cell>
          <cell r="AB345">
            <v>2682.8</v>
          </cell>
          <cell r="AC345">
            <v>2687.8</v>
          </cell>
          <cell r="AD345">
            <v>2692.8</v>
          </cell>
          <cell r="AE345">
            <v>2614.8000000000002</v>
          </cell>
          <cell r="AF345">
            <v>2600.4</v>
          </cell>
          <cell r="AG345">
            <v>2604.9</v>
          </cell>
          <cell r="AH345">
            <v>2607.6999999999998</v>
          </cell>
          <cell r="AI345">
            <v>2611.6999999999998</v>
          </cell>
          <cell r="AJ345">
            <v>2612.9</v>
          </cell>
          <cell r="AK345">
            <v>2616.5</v>
          </cell>
          <cell r="AL345">
            <v>2636.5</v>
          </cell>
          <cell r="AM345">
            <v>2649.1</v>
          </cell>
          <cell r="AN345">
            <v>2669.1</v>
          </cell>
          <cell r="AO345">
            <v>2689.1</v>
          </cell>
          <cell r="AP345">
            <v>2706.2</v>
          </cell>
          <cell r="AQ345">
            <v>3066.7</v>
          </cell>
          <cell r="AR345">
            <v>3911.4</v>
          </cell>
          <cell r="AS345">
            <v>3049.4</v>
          </cell>
          <cell r="AT345">
            <v>3063.3</v>
          </cell>
          <cell r="AU345">
            <v>3066.9</v>
          </cell>
          <cell r="AV345">
            <v>3074.5</v>
          </cell>
          <cell r="AW345">
            <v>3083.2</v>
          </cell>
          <cell r="AX345">
            <v>3082.7</v>
          </cell>
          <cell r="AY345">
            <v>3097.7</v>
          </cell>
          <cell r="AZ345">
            <v>3107.8</v>
          </cell>
          <cell r="BA345">
            <v>3122.8</v>
          </cell>
          <cell r="BB345">
            <v>3132.3</v>
          </cell>
          <cell r="BC345">
            <v>3123.2</v>
          </cell>
          <cell r="BD345">
            <v>3119.5</v>
          </cell>
          <cell r="BE345">
            <v>3133</v>
          </cell>
          <cell r="BF345">
            <v>3146.7</v>
          </cell>
          <cell r="BG345">
            <v>3159.6</v>
          </cell>
          <cell r="BH345">
            <v>3170.7</v>
          </cell>
          <cell r="BI345">
            <v>3173.9</v>
          </cell>
          <cell r="BJ345">
            <v>3188.9</v>
          </cell>
          <cell r="BK345">
            <v>3203.9</v>
          </cell>
          <cell r="BL345">
            <v>3206.6</v>
          </cell>
          <cell r="BM345">
            <v>3221.6</v>
          </cell>
          <cell r="BN345">
            <v>3231</v>
          </cell>
          <cell r="BO345">
            <v>3300</v>
          </cell>
          <cell r="BP345">
            <v>3298.3</v>
          </cell>
          <cell r="BQ345">
            <v>3312.2</v>
          </cell>
          <cell r="BR345">
            <v>3322.9</v>
          </cell>
          <cell r="BS345">
            <v>3335.3</v>
          </cell>
          <cell r="BT345">
            <v>3347.2</v>
          </cell>
          <cell r="BU345">
            <v>3355.2</v>
          </cell>
          <cell r="BV345">
            <v>3351.6</v>
          </cell>
          <cell r="BW345">
            <v>3361.5</v>
          </cell>
          <cell r="BX345">
            <v>3376.5</v>
          </cell>
          <cell r="BY345">
            <v>3383.8</v>
          </cell>
          <cell r="BZ345">
            <v>3393.4</v>
          </cell>
          <cell r="CA345">
            <v>3500</v>
          </cell>
          <cell r="CB345">
            <v>3485.2</v>
          </cell>
          <cell r="CC345">
            <v>3497.9</v>
          </cell>
          <cell r="CD345">
            <v>3511.2</v>
          </cell>
          <cell r="CE345">
            <v>3525.7</v>
          </cell>
          <cell r="CF345">
            <v>3537</v>
          </cell>
          <cell r="CG345">
            <v>3711.5</v>
          </cell>
          <cell r="CH345">
            <v>3726.5</v>
          </cell>
          <cell r="CI345">
            <v>3741.5</v>
          </cell>
          <cell r="CJ345">
            <v>3923.2</v>
          </cell>
          <cell r="CK345">
            <v>3938.2</v>
          </cell>
          <cell r="CL345">
            <v>3923</v>
          </cell>
          <cell r="CM345">
            <v>4225.2</v>
          </cell>
          <cell r="CN345">
            <v>4213.2</v>
          </cell>
          <cell r="CO345">
            <v>4228.7</v>
          </cell>
          <cell r="CP345">
            <v>3859.6</v>
          </cell>
          <cell r="CQ345">
            <v>3867.8</v>
          </cell>
          <cell r="CR345">
            <v>3881.5</v>
          </cell>
          <cell r="CS345">
            <v>3884.6</v>
          </cell>
          <cell r="CT345">
            <v>3888.5</v>
          </cell>
          <cell r="CU345">
            <v>3904</v>
          </cell>
          <cell r="CV345">
            <v>3912.4</v>
          </cell>
          <cell r="CW345">
            <v>3913.9</v>
          </cell>
          <cell r="CX345">
            <v>3929.4</v>
          </cell>
          <cell r="CY345">
            <v>3906.4</v>
          </cell>
          <cell r="CZ345">
            <v>3922.3</v>
          </cell>
          <cell r="DA345">
            <v>3935.8</v>
          </cell>
          <cell r="DB345">
            <v>3951.7</v>
          </cell>
          <cell r="DC345">
            <v>3964.5</v>
          </cell>
          <cell r="DD345">
            <v>3980.4</v>
          </cell>
          <cell r="DE345">
            <v>3986</v>
          </cell>
          <cell r="DF345">
            <v>3997.1</v>
          </cell>
          <cell r="DG345">
            <v>4007.7</v>
          </cell>
          <cell r="DH345">
            <v>4023.7</v>
          </cell>
          <cell r="DI345">
            <v>4039.7</v>
          </cell>
          <cell r="DJ345">
            <v>4055.6</v>
          </cell>
          <cell r="DK345">
            <v>4471.3999999999996</v>
          </cell>
          <cell r="DL345">
            <v>3979.8</v>
          </cell>
          <cell r="DM345">
            <v>3984.8</v>
          </cell>
          <cell r="DN345">
            <v>3989.8</v>
          </cell>
          <cell r="DO345">
            <v>3994.8</v>
          </cell>
          <cell r="DP345">
            <v>3999.8</v>
          </cell>
          <cell r="DQ345">
            <v>4004.8</v>
          </cell>
          <cell r="DR345">
            <v>4009.8</v>
          </cell>
          <cell r="DS345">
            <v>4014.8</v>
          </cell>
          <cell r="DT345">
            <v>4019.8</v>
          </cell>
          <cell r="DU345">
            <v>4024.8</v>
          </cell>
          <cell r="DV345">
            <v>4029.8</v>
          </cell>
          <cell r="DW345">
            <v>4034.8</v>
          </cell>
          <cell r="EK345" t="str">
            <v>Budget based on how actuals are trending</v>
          </cell>
          <cell r="EL345" t="str">
            <v>A_2420300</v>
          </cell>
          <cell r="EM345">
            <v>3974842.8571428568</v>
          </cell>
          <cell r="EN345">
            <v>3974842.8571428568</v>
          </cell>
          <cell r="EO345">
            <v>3974842.8571428568</v>
          </cell>
          <cell r="EP345">
            <v>3974842.8571428568</v>
          </cell>
          <cell r="EQ345">
            <v>3974842.8571428568</v>
          </cell>
          <cell r="ER345">
            <v>3974842.8571428568</v>
          </cell>
          <cell r="ES345">
            <v>3974842.8571428568</v>
          </cell>
          <cell r="ET345">
            <v>3974842.8571428568</v>
          </cell>
          <cell r="EU345">
            <v>3974842.8571428568</v>
          </cell>
          <cell r="EV345">
            <v>3974842.8571428568</v>
          </cell>
          <cell r="EW345">
            <v>3974842.8571428568</v>
          </cell>
          <cell r="EX345">
            <v>3974842.8571428568</v>
          </cell>
        </row>
        <row r="346">
          <cell r="A346" t="str">
            <v>Misc. Current Liabilities</v>
          </cell>
          <cell r="B346" t="str">
            <v>Other Liabilities</v>
          </cell>
          <cell r="C346" t="str">
            <v>Misc. Current Liabilities</v>
          </cell>
          <cell r="D346" t="str">
            <v>2420310</v>
          </cell>
          <cell r="E346" t="str">
            <v>A_2420310</v>
          </cell>
          <cell r="F346" t="str">
            <v>Misc Accru Liab-Cashier Over/Short</v>
          </cell>
          <cell r="G346">
            <v>12.109110000000001</v>
          </cell>
          <cell r="H346">
            <v>6.4</v>
          </cell>
          <cell r="I346">
            <v>12.1</v>
          </cell>
          <cell r="J346">
            <v>12.1</v>
          </cell>
          <cell r="K346">
            <v>23.6</v>
          </cell>
          <cell r="L346">
            <v>8.1</v>
          </cell>
          <cell r="M346">
            <v>8.8000000000000007</v>
          </cell>
          <cell r="N346">
            <v>10.3</v>
          </cell>
          <cell r="O346">
            <v>26.5</v>
          </cell>
          <cell r="P346">
            <v>28.8</v>
          </cell>
          <cell r="Q346">
            <v>26.2</v>
          </cell>
          <cell r="R346">
            <v>40.9</v>
          </cell>
          <cell r="S346">
            <v>20.5</v>
          </cell>
          <cell r="T346">
            <v>17.8</v>
          </cell>
          <cell r="U346">
            <v>27.9</v>
          </cell>
          <cell r="V346">
            <v>17.899999999999999</v>
          </cell>
          <cell r="W346">
            <v>21.5</v>
          </cell>
          <cell r="X346">
            <v>24.8</v>
          </cell>
          <cell r="Y346">
            <v>19.2</v>
          </cell>
          <cell r="Z346">
            <v>17.899999999999999</v>
          </cell>
          <cell r="AA346">
            <v>32.799999999999997</v>
          </cell>
          <cell r="AB346">
            <v>23.7</v>
          </cell>
          <cell r="AC346">
            <v>24.4</v>
          </cell>
          <cell r="AD346">
            <v>33.1</v>
          </cell>
          <cell r="AE346">
            <v>30.9</v>
          </cell>
          <cell r="AF346">
            <v>30.7</v>
          </cell>
          <cell r="AG346">
            <v>25.5</v>
          </cell>
          <cell r="AH346">
            <v>29.3</v>
          </cell>
          <cell r="AI346">
            <v>22.5</v>
          </cell>
          <cell r="AJ346">
            <v>8</v>
          </cell>
          <cell r="AK346">
            <v>18.3</v>
          </cell>
          <cell r="AL346">
            <v>29.2</v>
          </cell>
          <cell r="AM346">
            <v>22.3</v>
          </cell>
          <cell r="AN346">
            <v>30.8</v>
          </cell>
          <cell r="AO346">
            <v>28.2</v>
          </cell>
          <cell r="AP346">
            <v>35.9</v>
          </cell>
          <cell r="AQ346">
            <v>24.7</v>
          </cell>
          <cell r="AR346">
            <v>26.4</v>
          </cell>
          <cell r="AS346">
            <v>24.6</v>
          </cell>
          <cell r="AT346">
            <v>24.2</v>
          </cell>
          <cell r="AU346">
            <v>26.7</v>
          </cell>
          <cell r="AV346">
            <v>47.7</v>
          </cell>
          <cell r="AW346">
            <v>29.9</v>
          </cell>
          <cell r="AX346">
            <v>25.6</v>
          </cell>
          <cell r="AY346">
            <v>19.899999999999999</v>
          </cell>
          <cell r="AZ346">
            <v>19.600000000000001</v>
          </cell>
          <cell r="BA346">
            <v>21.3</v>
          </cell>
          <cell r="BB346">
            <v>54.4</v>
          </cell>
          <cell r="BC346">
            <v>65.3</v>
          </cell>
          <cell r="BD346">
            <v>71.900000000000006</v>
          </cell>
          <cell r="BE346">
            <v>52</v>
          </cell>
          <cell r="BF346">
            <v>51.5</v>
          </cell>
          <cell r="BG346">
            <v>39.5</v>
          </cell>
          <cell r="BH346">
            <v>15.7</v>
          </cell>
          <cell r="BI346">
            <v>-22.8</v>
          </cell>
          <cell r="BJ346">
            <v>-38.299999999999997</v>
          </cell>
          <cell r="BK346">
            <v>-30.9</v>
          </cell>
          <cell r="BL346">
            <v>-31.2</v>
          </cell>
          <cell r="BM346">
            <v>-31.6</v>
          </cell>
          <cell r="BN346">
            <v>-32.1</v>
          </cell>
          <cell r="BO346">
            <v>-9.1</v>
          </cell>
          <cell r="BP346">
            <v>-9.5</v>
          </cell>
          <cell r="BQ346">
            <v>-13.3</v>
          </cell>
          <cell r="BR346">
            <v>-13.1</v>
          </cell>
          <cell r="BS346">
            <v>-9.6</v>
          </cell>
          <cell r="BT346">
            <v>-9.4</v>
          </cell>
          <cell r="BU346">
            <v>-8.5</v>
          </cell>
          <cell r="BV346">
            <v>-7.8</v>
          </cell>
          <cell r="BW346">
            <v>-9.1999999999999993</v>
          </cell>
          <cell r="BX346">
            <v>-8.5</v>
          </cell>
          <cell r="BY346">
            <v>-8.6999999999999993</v>
          </cell>
          <cell r="BZ346">
            <v>-8.5</v>
          </cell>
          <cell r="CA346">
            <v>-8.8000000000000007</v>
          </cell>
          <cell r="CB346">
            <v>-19.7</v>
          </cell>
          <cell r="CC346">
            <v>-7.4</v>
          </cell>
          <cell r="CD346">
            <v>-6</v>
          </cell>
          <cell r="CE346">
            <v>-6.1</v>
          </cell>
          <cell r="CF346">
            <v>-6.1</v>
          </cell>
          <cell r="CG346">
            <v>-6.2</v>
          </cell>
          <cell r="CH346">
            <v>-6.2</v>
          </cell>
          <cell r="CI346">
            <v>170.9</v>
          </cell>
          <cell r="CJ346">
            <v>169.3</v>
          </cell>
          <cell r="CK346">
            <v>-6.1</v>
          </cell>
          <cell r="CL346">
            <v>-7.4</v>
          </cell>
          <cell r="CM346">
            <v>-7.9</v>
          </cell>
          <cell r="CN346">
            <v>-6.9</v>
          </cell>
          <cell r="CO346">
            <v>-6.8</v>
          </cell>
          <cell r="CP346">
            <v>-6.9</v>
          </cell>
          <cell r="CQ346">
            <v>-8.4</v>
          </cell>
          <cell r="CR346">
            <v>-9.1</v>
          </cell>
          <cell r="CS346">
            <v>-8.9</v>
          </cell>
          <cell r="CT346">
            <v>-10.5</v>
          </cell>
          <cell r="CU346">
            <v>-11.6</v>
          </cell>
          <cell r="CV346">
            <v>-11.6</v>
          </cell>
          <cell r="CW346">
            <v>-11.4</v>
          </cell>
          <cell r="CX346">
            <v>-11.4</v>
          </cell>
          <cell r="CY346">
            <v>-13.8</v>
          </cell>
          <cell r="CZ346">
            <v>-14.8</v>
          </cell>
          <cell r="DA346">
            <v>-15.8</v>
          </cell>
          <cell r="DB346">
            <v>-16.399999999999999</v>
          </cell>
          <cell r="DC346">
            <v>-16</v>
          </cell>
          <cell r="DD346">
            <v>-16.899999999999999</v>
          </cell>
          <cell r="DE346">
            <v>-17.399999999999999</v>
          </cell>
          <cell r="DF346">
            <v>-16.399999999999999</v>
          </cell>
          <cell r="DG346">
            <v>-15.9</v>
          </cell>
          <cell r="DH346">
            <v>-16.2</v>
          </cell>
          <cell r="DI346">
            <v>-14.6</v>
          </cell>
          <cell r="DJ346">
            <v>-16.5</v>
          </cell>
          <cell r="DK346">
            <v>-16.399999999999999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EK346" t="str">
            <v>Budget based on how actuals are trending (zero out Forecast/Budget)</v>
          </cell>
          <cell r="EL346" t="str">
            <v>A_2420310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</row>
        <row r="347">
          <cell r="A347" t="str">
            <v>Inactive Depos/Unclaim Funds 2420320</v>
          </cell>
          <cell r="B347" t="str">
            <v>Other Liabilities</v>
          </cell>
          <cell r="C347" t="str">
            <v>Inactive Deposits 2420320</v>
          </cell>
          <cell r="D347" t="str">
            <v>2420320</v>
          </cell>
          <cell r="E347" t="str">
            <v>A_2420320</v>
          </cell>
          <cell r="F347" t="str">
            <v>Misc Accru Liab-Unclaimed Funds</v>
          </cell>
          <cell r="G347">
            <v>302.56991999999997</v>
          </cell>
          <cell r="H347">
            <v>312.2</v>
          </cell>
          <cell r="I347">
            <v>331.7</v>
          </cell>
          <cell r="J347">
            <v>331.5</v>
          </cell>
          <cell r="K347">
            <v>165.2</v>
          </cell>
          <cell r="L347">
            <v>193</v>
          </cell>
          <cell r="M347">
            <v>247.6</v>
          </cell>
          <cell r="N347">
            <v>271.89999999999998</v>
          </cell>
          <cell r="O347">
            <v>329.6</v>
          </cell>
          <cell r="P347">
            <v>380.3</v>
          </cell>
          <cell r="Q347">
            <v>415.1</v>
          </cell>
          <cell r="R347">
            <v>448.4</v>
          </cell>
          <cell r="S347">
            <v>466.8</v>
          </cell>
          <cell r="T347">
            <v>490.5</v>
          </cell>
          <cell r="U347">
            <v>511.2</v>
          </cell>
          <cell r="V347">
            <v>388.9</v>
          </cell>
          <cell r="W347">
            <v>195.8</v>
          </cell>
          <cell r="X347">
            <v>220.4</v>
          </cell>
          <cell r="Y347">
            <v>236.5</v>
          </cell>
          <cell r="Z347">
            <v>256.7</v>
          </cell>
          <cell r="AA347">
            <v>280.3</v>
          </cell>
          <cell r="AB347">
            <v>290.39999999999998</v>
          </cell>
          <cell r="AC347">
            <v>308.5</v>
          </cell>
          <cell r="AD347">
            <v>329.9</v>
          </cell>
          <cell r="AE347">
            <v>365.7</v>
          </cell>
          <cell r="AF347">
            <v>390.4</v>
          </cell>
          <cell r="AG347">
            <v>427.5</v>
          </cell>
          <cell r="AH347">
            <v>466.5</v>
          </cell>
          <cell r="AI347">
            <v>303.5</v>
          </cell>
          <cell r="AJ347">
            <v>291.39999999999998</v>
          </cell>
          <cell r="AK347">
            <v>315.5</v>
          </cell>
          <cell r="AL347">
            <v>336.3</v>
          </cell>
          <cell r="AM347">
            <v>350</v>
          </cell>
          <cell r="AN347">
            <v>372.5</v>
          </cell>
          <cell r="AO347">
            <v>396.2</v>
          </cell>
          <cell r="AP347">
            <v>416.8</v>
          </cell>
          <cell r="AQ347">
            <v>482.4</v>
          </cell>
          <cell r="AR347">
            <v>506.1</v>
          </cell>
          <cell r="AS347">
            <v>516.9</v>
          </cell>
          <cell r="AT347">
            <v>551.20000000000005</v>
          </cell>
          <cell r="AU347">
            <v>337.6</v>
          </cell>
          <cell r="AV347">
            <v>364.8</v>
          </cell>
          <cell r="AW347">
            <v>425.1</v>
          </cell>
          <cell r="AX347">
            <v>424.7</v>
          </cell>
          <cell r="AY347">
            <v>472.3</v>
          </cell>
          <cell r="AZ347">
            <v>470.3</v>
          </cell>
          <cell r="BA347">
            <v>467.3</v>
          </cell>
          <cell r="BB347">
            <v>467.2</v>
          </cell>
          <cell r="BC347">
            <v>418.2</v>
          </cell>
          <cell r="BD347">
            <v>418.3</v>
          </cell>
          <cell r="BE347">
            <v>420.3</v>
          </cell>
          <cell r="BF347">
            <v>398.1</v>
          </cell>
          <cell r="BG347">
            <v>18.5</v>
          </cell>
          <cell r="BH347">
            <v>18</v>
          </cell>
          <cell r="BI347">
            <v>11.9</v>
          </cell>
          <cell r="BJ347">
            <v>11.9</v>
          </cell>
          <cell r="BK347">
            <v>11.9</v>
          </cell>
          <cell r="BL347">
            <v>10.199999999999999</v>
          </cell>
          <cell r="BM347">
            <v>0.6</v>
          </cell>
          <cell r="BN347">
            <v>0.6</v>
          </cell>
          <cell r="BO347">
            <v>0.6</v>
          </cell>
          <cell r="BP347">
            <v>0.6</v>
          </cell>
          <cell r="BQ347">
            <v>0.5</v>
          </cell>
          <cell r="BR347">
            <v>0.5</v>
          </cell>
          <cell r="BS347">
            <v>-2.2999999999999998</v>
          </cell>
          <cell r="BT347">
            <v>1.2</v>
          </cell>
          <cell r="BU347">
            <v>1.4</v>
          </cell>
          <cell r="BV347">
            <v>1.4</v>
          </cell>
          <cell r="BW347">
            <v>4.2</v>
          </cell>
          <cell r="BX347">
            <v>-2.4</v>
          </cell>
          <cell r="BY347">
            <v>2.1</v>
          </cell>
          <cell r="BZ347">
            <v>5.9</v>
          </cell>
          <cell r="CA347">
            <v>5.9</v>
          </cell>
          <cell r="CB347">
            <v>5.9</v>
          </cell>
          <cell r="CC347">
            <v>7.5</v>
          </cell>
          <cell r="CD347">
            <v>37.4</v>
          </cell>
          <cell r="CE347">
            <v>37.4</v>
          </cell>
          <cell r="CF347">
            <v>32.1</v>
          </cell>
          <cell r="CG347">
            <v>31.5</v>
          </cell>
          <cell r="CH347">
            <v>31.2</v>
          </cell>
          <cell r="CI347">
            <v>34.6</v>
          </cell>
          <cell r="CJ347">
            <v>29</v>
          </cell>
          <cell r="CK347">
            <v>26.6</v>
          </cell>
          <cell r="CL347">
            <v>26.6</v>
          </cell>
          <cell r="CM347">
            <v>26.4</v>
          </cell>
          <cell r="CN347">
            <v>35.6</v>
          </cell>
          <cell r="CO347">
            <v>49.1</v>
          </cell>
          <cell r="CP347">
            <v>48.9</v>
          </cell>
          <cell r="CQ347">
            <v>48.9</v>
          </cell>
          <cell r="CR347">
            <v>46.6</v>
          </cell>
          <cell r="CS347">
            <v>47.9</v>
          </cell>
          <cell r="CT347">
            <v>48.2</v>
          </cell>
          <cell r="CU347">
            <v>48.2</v>
          </cell>
          <cell r="CV347">
            <v>48.2</v>
          </cell>
          <cell r="CW347">
            <v>51.4</v>
          </cell>
          <cell r="CX347">
            <v>51.3</v>
          </cell>
          <cell r="CY347">
            <v>51.3</v>
          </cell>
          <cell r="CZ347">
            <v>51.3</v>
          </cell>
          <cell r="DA347">
            <v>52</v>
          </cell>
          <cell r="DB347">
            <v>87.4</v>
          </cell>
          <cell r="DC347">
            <v>87.4</v>
          </cell>
          <cell r="DD347">
            <v>87.4</v>
          </cell>
          <cell r="DE347">
            <v>91.3</v>
          </cell>
          <cell r="DF347">
            <v>91.3</v>
          </cell>
          <cell r="DG347">
            <v>91.3</v>
          </cell>
          <cell r="DH347">
            <v>93.9</v>
          </cell>
          <cell r="DI347">
            <v>93.7</v>
          </cell>
          <cell r="DJ347">
            <v>93.2</v>
          </cell>
          <cell r="DK347">
            <v>93.2</v>
          </cell>
          <cell r="DL347">
            <v>46.5</v>
          </cell>
          <cell r="DM347">
            <v>46.5</v>
          </cell>
          <cell r="DN347">
            <v>46.5</v>
          </cell>
          <cell r="DO347">
            <v>46.5</v>
          </cell>
          <cell r="DP347">
            <v>46.5</v>
          </cell>
          <cell r="DQ347">
            <v>46.5</v>
          </cell>
          <cell r="DR347">
            <v>46.5</v>
          </cell>
          <cell r="DS347">
            <v>46.5</v>
          </cell>
          <cell r="DT347">
            <v>46.5</v>
          </cell>
          <cell r="DU347">
            <v>46.5</v>
          </cell>
          <cell r="DV347">
            <v>46.5</v>
          </cell>
          <cell r="DW347">
            <v>46.5</v>
          </cell>
          <cell r="EK347" t="str">
            <v>Budget based on how actuals are trending</v>
          </cell>
          <cell r="EL347" t="str">
            <v>A_2420320</v>
          </cell>
          <cell r="EM347">
            <v>46457.142857142855</v>
          </cell>
          <cell r="EN347">
            <v>46457.142857142855</v>
          </cell>
          <cell r="EO347">
            <v>46457.142857142855</v>
          </cell>
          <cell r="EP347">
            <v>46457.142857142855</v>
          </cell>
          <cell r="EQ347">
            <v>46457.142857142855</v>
          </cell>
          <cell r="ER347">
            <v>46457.142857142855</v>
          </cell>
          <cell r="ES347">
            <v>46457.142857142855</v>
          </cell>
          <cell r="ET347">
            <v>46457.142857142855</v>
          </cell>
          <cell r="EU347">
            <v>46457.142857142855</v>
          </cell>
          <cell r="EV347">
            <v>46457.142857142855</v>
          </cell>
          <cell r="EW347">
            <v>46457.142857142855</v>
          </cell>
          <cell r="EX347">
            <v>46457.142857142855</v>
          </cell>
        </row>
        <row r="348">
          <cell r="A348" t="str">
            <v>Other Deferred Credits</v>
          </cell>
          <cell r="B348" t="str">
            <v>Other Liabilities</v>
          </cell>
          <cell r="C348" t="str">
            <v>Misc. Current Liabilities</v>
          </cell>
          <cell r="D348" t="str">
            <v>2420321</v>
          </cell>
          <cell r="E348" t="str">
            <v>A_2420321</v>
          </cell>
          <cell r="F348" t="str">
            <v>Misc Accru Liab-PGS MGP Environmental Liab</v>
          </cell>
          <cell r="G348">
            <v>40439.944000000003</v>
          </cell>
          <cell r="H348">
            <v>40439.9</v>
          </cell>
          <cell r="I348">
            <v>40439.9</v>
          </cell>
          <cell r="J348">
            <v>38439.9</v>
          </cell>
          <cell r="K348">
            <v>38439.9</v>
          </cell>
          <cell r="L348">
            <v>38439.9</v>
          </cell>
          <cell r="M348">
            <v>35939.9</v>
          </cell>
          <cell r="N348">
            <v>35939.9</v>
          </cell>
          <cell r="O348">
            <v>35939.9</v>
          </cell>
          <cell r="P348">
            <v>33284.400000000001</v>
          </cell>
          <cell r="Q348">
            <v>33284.400000000001</v>
          </cell>
          <cell r="R348">
            <v>33284.400000000001</v>
          </cell>
          <cell r="S348">
            <v>33295.599999999999</v>
          </cell>
          <cell r="T348">
            <v>33295.599999999999</v>
          </cell>
          <cell r="U348">
            <v>33295.599999999999</v>
          </cell>
          <cell r="V348">
            <v>33295.599999999999</v>
          </cell>
          <cell r="W348">
            <v>33295.599999999999</v>
          </cell>
          <cell r="X348">
            <v>33295.599999999999</v>
          </cell>
          <cell r="Y348">
            <v>33295.599999999999</v>
          </cell>
          <cell r="Z348">
            <v>33295.599999999999</v>
          </cell>
          <cell r="AA348">
            <v>33295.599999999999</v>
          </cell>
          <cell r="AB348">
            <v>33295.599999999999</v>
          </cell>
          <cell r="AC348">
            <v>33295.599999999999</v>
          </cell>
          <cell r="AD348">
            <v>33295.599999999999</v>
          </cell>
          <cell r="AE348">
            <v>33938.1</v>
          </cell>
          <cell r="AF348">
            <v>33938.1</v>
          </cell>
          <cell r="AG348">
            <v>33938.1</v>
          </cell>
          <cell r="AH348">
            <v>33938.1</v>
          </cell>
          <cell r="AI348">
            <v>33938.1</v>
          </cell>
          <cell r="AJ348">
            <v>33938.1</v>
          </cell>
          <cell r="AK348">
            <v>33938.1</v>
          </cell>
          <cell r="AL348">
            <v>33938.1</v>
          </cell>
          <cell r="AM348">
            <v>33938.1</v>
          </cell>
          <cell r="AN348">
            <v>33938.1</v>
          </cell>
          <cell r="AO348">
            <v>33938.1</v>
          </cell>
          <cell r="AP348">
            <v>33938.1</v>
          </cell>
          <cell r="AQ348">
            <v>31563.3</v>
          </cell>
          <cell r="AR348">
            <v>31563.3</v>
          </cell>
          <cell r="AS348">
            <v>31563.3</v>
          </cell>
          <cell r="AT348">
            <v>30390.799999999999</v>
          </cell>
          <cell r="AU348">
            <v>30390.799999999999</v>
          </cell>
          <cell r="AV348">
            <v>30390.799999999999</v>
          </cell>
          <cell r="AW348">
            <v>30390.799999999999</v>
          </cell>
          <cell r="AX348">
            <v>30390.799999999999</v>
          </cell>
          <cell r="AY348">
            <v>30390.799999999999</v>
          </cell>
          <cell r="AZ348">
            <v>30390.799999999999</v>
          </cell>
          <cell r="BA348">
            <v>30390.799999999999</v>
          </cell>
          <cell r="BB348">
            <v>30390.799999999999</v>
          </cell>
          <cell r="BC348">
            <v>30039.3</v>
          </cell>
          <cell r="BD348">
            <v>30039.3</v>
          </cell>
          <cell r="BE348">
            <v>30039.3</v>
          </cell>
          <cell r="BF348">
            <v>27963.7</v>
          </cell>
          <cell r="BG348">
            <v>27963.7</v>
          </cell>
          <cell r="BH348">
            <v>27963.7</v>
          </cell>
          <cell r="BI348">
            <v>27963.7</v>
          </cell>
          <cell r="BJ348">
            <v>27963.7</v>
          </cell>
          <cell r="BK348">
            <v>27963.7</v>
          </cell>
          <cell r="BL348">
            <v>27963.7</v>
          </cell>
          <cell r="BM348">
            <v>27963.7</v>
          </cell>
          <cell r="BN348">
            <v>27963.7</v>
          </cell>
          <cell r="BO348">
            <v>27962.1</v>
          </cell>
          <cell r="BP348">
            <v>27962.1</v>
          </cell>
          <cell r="BQ348">
            <v>27962.1</v>
          </cell>
          <cell r="BR348">
            <v>27962.1</v>
          </cell>
          <cell r="BS348">
            <v>27962.1</v>
          </cell>
          <cell r="BT348">
            <v>27962.1</v>
          </cell>
          <cell r="BU348">
            <v>27962.1</v>
          </cell>
          <cell r="BV348">
            <v>27962.1</v>
          </cell>
          <cell r="BW348">
            <v>27962.1</v>
          </cell>
          <cell r="BX348">
            <v>27962.1</v>
          </cell>
          <cell r="BY348">
            <v>27962.1</v>
          </cell>
          <cell r="BZ348">
            <v>27962.1</v>
          </cell>
          <cell r="CA348">
            <v>20805.099999999999</v>
          </cell>
          <cell r="CB348">
            <v>20805.099999999999</v>
          </cell>
          <cell r="CC348">
            <v>20805.099999999999</v>
          </cell>
          <cell r="CD348">
            <v>20805.099999999999</v>
          </cell>
          <cell r="CE348">
            <v>20805.099999999999</v>
          </cell>
          <cell r="CF348">
            <v>20805.099999999999</v>
          </cell>
          <cell r="CG348">
            <v>20805.099999999999</v>
          </cell>
          <cell r="CH348">
            <v>20805.099999999999</v>
          </cell>
          <cell r="CI348">
            <v>20805.099999999999</v>
          </cell>
          <cell r="CJ348">
            <v>20805.099999999999</v>
          </cell>
          <cell r="CK348">
            <v>20805.099999999999</v>
          </cell>
          <cell r="CL348">
            <v>20805.099999999999</v>
          </cell>
          <cell r="CM348">
            <v>17404.099999999999</v>
          </cell>
          <cell r="CN348">
            <v>17404.099999999999</v>
          </cell>
          <cell r="CO348">
            <v>17404.099999999999</v>
          </cell>
          <cell r="CP348">
            <v>17404.099999999999</v>
          </cell>
          <cell r="CQ348">
            <v>17404.099999999999</v>
          </cell>
          <cell r="CR348">
            <v>17404.099999999999</v>
          </cell>
          <cell r="CS348">
            <v>17404.099999999999</v>
          </cell>
          <cell r="CT348">
            <v>17404.099999999999</v>
          </cell>
          <cell r="CU348">
            <v>17404.099999999999</v>
          </cell>
          <cell r="CV348">
            <v>17404.099999999999</v>
          </cell>
          <cell r="CW348">
            <v>17404.099999999999</v>
          </cell>
          <cell r="CX348">
            <v>17404.099999999999</v>
          </cell>
          <cell r="CY348">
            <v>13903.9</v>
          </cell>
          <cell r="CZ348">
            <v>13903.9</v>
          </cell>
          <cell r="DA348">
            <v>13903.9</v>
          </cell>
          <cell r="DB348">
            <v>13903.9</v>
          </cell>
          <cell r="DC348">
            <v>13903.9</v>
          </cell>
          <cell r="DD348">
            <v>13903.9</v>
          </cell>
          <cell r="DE348">
            <v>13903.9</v>
          </cell>
          <cell r="DF348">
            <v>13903.9</v>
          </cell>
          <cell r="DG348">
            <v>13903.9</v>
          </cell>
          <cell r="DH348">
            <v>13903.9</v>
          </cell>
          <cell r="DI348">
            <v>13903.9</v>
          </cell>
          <cell r="DJ348">
            <v>13903.9</v>
          </cell>
          <cell r="DK348">
            <v>12618.6</v>
          </cell>
          <cell r="DL348">
            <v>12618.6</v>
          </cell>
          <cell r="DM348">
            <v>12618.6</v>
          </cell>
          <cell r="DN348">
            <v>12618.6</v>
          </cell>
          <cell r="DO348">
            <v>12618.6</v>
          </cell>
          <cell r="DP348">
            <v>12618.6</v>
          </cell>
          <cell r="DQ348">
            <v>12618.6</v>
          </cell>
          <cell r="DR348">
            <v>12618.6</v>
          </cell>
          <cell r="DS348">
            <v>12618.6</v>
          </cell>
          <cell r="DT348">
            <v>12618.6</v>
          </cell>
          <cell r="DU348">
            <v>12618.6</v>
          </cell>
          <cell r="DV348">
            <v>12618.6</v>
          </cell>
          <cell r="DW348">
            <v>11000</v>
          </cell>
        </row>
        <row r="349">
          <cell r="A349" t="str">
            <v>Other Deferred Credits</v>
          </cell>
          <cell r="B349" t="str">
            <v>Other Liabilities</v>
          </cell>
          <cell r="C349" t="str">
            <v>Misc. Current Liabilities</v>
          </cell>
          <cell r="D349" t="str">
            <v>2420800</v>
          </cell>
          <cell r="E349" t="str">
            <v>A_2420800</v>
          </cell>
          <cell r="F349" t="str">
            <v>Misc Accru Liab-Miscellaneous</v>
          </cell>
          <cell r="G349">
            <v>170.911</v>
          </cell>
          <cell r="H349">
            <v>181.1</v>
          </cell>
          <cell r="I349">
            <v>181.1</v>
          </cell>
          <cell r="J349">
            <v>193.7</v>
          </cell>
          <cell r="K349">
            <v>200.2</v>
          </cell>
          <cell r="L349">
            <v>206.7</v>
          </cell>
          <cell r="M349">
            <v>42.4</v>
          </cell>
          <cell r="N349">
            <v>48.9</v>
          </cell>
          <cell r="O349">
            <v>89.7</v>
          </cell>
          <cell r="P349">
            <v>89.7</v>
          </cell>
          <cell r="Q349">
            <v>89.7</v>
          </cell>
          <cell r="R349">
            <v>89.7</v>
          </cell>
          <cell r="S349">
            <v>89.7</v>
          </cell>
          <cell r="T349">
            <v>89.7</v>
          </cell>
          <cell r="U349">
            <v>89.7</v>
          </cell>
          <cell r="V349">
            <v>91.5</v>
          </cell>
          <cell r="W349">
            <v>91.5</v>
          </cell>
          <cell r="X349">
            <v>91.5</v>
          </cell>
          <cell r="Y349">
            <v>91.5</v>
          </cell>
          <cell r="Z349">
            <v>121.9</v>
          </cell>
          <cell r="AA349">
            <v>121.9</v>
          </cell>
          <cell r="AB349">
            <v>121.9</v>
          </cell>
          <cell r="AC349">
            <v>132.30000000000001</v>
          </cell>
          <cell r="AD349">
            <v>132.30000000000001</v>
          </cell>
          <cell r="AE349">
            <v>1132.3</v>
          </cell>
          <cell r="AF349">
            <v>1132.3</v>
          </cell>
          <cell r="AG349">
            <v>1132.3</v>
          </cell>
          <cell r="AH349">
            <v>3133.5</v>
          </cell>
          <cell r="AI349">
            <v>3133.5</v>
          </cell>
          <cell r="AJ349">
            <v>2133.5</v>
          </cell>
          <cell r="AK349">
            <v>133.5</v>
          </cell>
          <cell r="AL349">
            <v>133.5</v>
          </cell>
          <cell r="AM349">
            <v>174.4</v>
          </cell>
          <cell r="AN349">
            <v>174.4</v>
          </cell>
          <cell r="AO349">
            <v>174.4</v>
          </cell>
          <cell r="AP349">
            <v>174.4</v>
          </cell>
          <cell r="AQ349">
            <v>174.4</v>
          </cell>
          <cell r="AR349">
            <v>174.4</v>
          </cell>
          <cell r="AS349">
            <v>175.9</v>
          </cell>
          <cell r="AT349">
            <v>175.9</v>
          </cell>
          <cell r="AU349">
            <v>175.9</v>
          </cell>
          <cell r="AV349">
            <v>175.9</v>
          </cell>
          <cell r="AW349">
            <v>175.9</v>
          </cell>
          <cell r="AX349">
            <v>175.9</v>
          </cell>
          <cell r="AY349">
            <v>175.9</v>
          </cell>
          <cell r="AZ349">
            <v>175.9</v>
          </cell>
          <cell r="BA349">
            <v>228.4</v>
          </cell>
          <cell r="BB349">
            <v>228.4</v>
          </cell>
          <cell r="BC349">
            <v>228.4</v>
          </cell>
          <cell r="BD349">
            <v>228.4</v>
          </cell>
          <cell r="BE349">
            <v>228.4</v>
          </cell>
          <cell r="BF349">
            <v>229.3</v>
          </cell>
          <cell r="BG349">
            <v>229.3</v>
          </cell>
          <cell r="BH349">
            <v>229.3</v>
          </cell>
          <cell r="BI349">
            <v>229.3</v>
          </cell>
          <cell r="BJ349">
            <v>229.3</v>
          </cell>
          <cell r="BK349">
            <v>229.3</v>
          </cell>
          <cell r="BL349">
            <v>229.3</v>
          </cell>
          <cell r="BM349">
            <v>36.200000000000003</v>
          </cell>
          <cell r="BN349">
            <v>36.200000000000003</v>
          </cell>
          <cell r="BO349">
            <v>36.200000000000003</v>
          </cell>
          <cell r="BP349">
            <v>97.8</v>
          </cell>
          <cell r="BQ349">
            <v>102.1</v>
          </cell>
          <cell r="BR349">
            <v>102.1</v>
          </cell>
          <cell r="BS349">
            <v>102.1</v>
          </cell>
          <cell r="BT349">
            <v>102.1</v>
          </cell>
          <cell r="BU349">
            <v>102.1</v>
          </cell>
          <cell r="BV349">
            <v>102.1</v>
          </cell>
          <cell r="BW349">
            <v>102.1</v>
          </cell>
          <cell r="BX349">
            <v>102.1</v>
          </cell>
          <cell r="BY349">
            <v>102.1</v>
          </cell>
          <cell r="BZ349">
            <v>102.1</v>
          </cell>
          <cell r="CA349">
            <v>102.1</v>
          </cell>
          <cell r="CB349">
            <v>102.1</v>
          </cell>
          <cell r="CC349">
            <v>181.1</v>
          </cell>
          <cell r="CD349">
            <v>181.1</v>
          </cell>
          <cell r="CE349">
            <v>181.1</v>
          </cell>
          <cell r="CF349">
            <v>181.1</v>
          </cell>
          <cell r="CG349">
            <v>181.1</v>
          </cell>
          <cell r="CH349">
            <v>181.1</v>
          </cell>
          <cell r="CI349">
            <v>181.1</v>
          </cell>
          <cell r="CJ349">
            <v>181.1</v>
          </cell>
          <cell r="CK349">
            <v>181.1</v>
          </cell>
          <cell r="CL349">
            <v>181.1</v>
          </cell>
          <cell r="CM349">
            <v>181.1</v>
          </cell>
          <cell r="CN349">
            <v>181.1</v>
          </cell>
          <cell r="CO349">
            <v>181.1</v>
          </cell>
          <cell r="CP349">
            <v>261</v>
          </cell>
          <cell r="CQ349">
            <v>261</v>
          </cell>
          <cell r="CR349">
            <v>261</v>
          </cell>
          <cell r="CS349">
            <v>261</v>
          </cell>
          <cell r="CT349">
            <v>261</v>
          </cell>
          <cell r="CU349">
            <v>261</v>
          </cell>
          <cell r="CV349">
            <v>261</v>
          </cell>
          <cell r="CW349">
            <v>261</v>
          </cell>
          <cell r="CX349">
            <v>261</v>
          </cell>
          <cell r="CY349">
            <v>261</v>
          </cell>
          <cell r="CZ349">
            <v>261</v>
          </cell>
          <cell r="DA349">
            <v>336.2</v>
          </cell>
          <cell r="DB349">
            <v>343.1</v>
          </cell>
          <cell r="DC349">
            <v>343.1</v>
          </cell>
          <cell r="DD349">
            <v>343.1</v>
          </cell>
          <cell r="DE349">
            <v>343.1</v>
          </cell>
          <cell r="DF349">
            <v>343.1</v>
          </cell>
          <cell r="DG349">
            <v>343.1</v>
          </cell>
          <cell r="DH349">
            <v>343.1</v>
          </cell>
          <cell r="DI349">
            <v>343.1</v>
          </cell>
          <cell r="DJ349">
            <v>343.1</v>
          </cell>
          <cell r="DK349">
            <v>343.1</v>
          </cell>
          <cell r="DL349">
            <v>205.3</v>
          </cell>
          <cell r="DM349">
            <v>258.7</v>
          </cell>
          <cell r="DN349">
            <v>286.10000000000002</v>
          </cell>
          <cell r="DO349">
            <v>286.10000000000002</v>
          </cell>
          <cell r="DP349">
            <v>286.10000000000002</v>
          </cell>
          <cell r="DQ349">
            <v>286.10000000000002</v>
          </cell>
          <cell r="DR349">
            <v>286.10000000000002</v>
          </cell>
          <cell r="DS349">
            <v>195.6</v>
          </cell>
          <cell r="DT349">
            <v>195.6</v>
          </cell>
          <cell r="DU349">
            <v>180.8</v>
          </cell>
          <cell r="DV349">
            <v>180.8</v>
          </cell>
          <cell r="DW349">
            <v>180.4</v>
          </cell>
          <cell r="EK349" t="str">
            <v>3 yr Avg (2020 to 2022 8+4F)</v>
          </cell>
          <cell r="EL349" t="str">
            <v>A_2420800</v>
          </cell>
          <cell r="EM349">
            <v>205250</v>
          </cell>
          <cell r="EN349">
            <v>258649.99999999997</v>
          </cell>
          <cell r="EO349">
            <v>286070</v>
          </cell>
          <cell r="EP349">
            <v>286070</v>
          </cell>
          <cell r="EQ349">
            <v>286070</v>
          </cell>
          <cell r="ER349">
            <v>286070</v>
          </cell>
          <cell r="ES349">
            <v>286070</v>
          </cell>
          <cell r="ET349">
            <v>286070</v>
          </cell>
          <cell r="EU349">
            <v>286070</v>
          </cell>
          <cell r="EV349">
            <v>286070</v>
          </cell>
          <cell r="EW349">
            <v>286070</v>
          </cell>
          <cell r="EX349">
            <v>286070</v>
          </cell>
        </row>
        <row r="350">
          <cell r="D350" t="str">
            <v>242</v>
          </cell>
          <cell r="E350">
            <v>242</v>
          </cell>
          <cell r="G350">
            <v>44931.658340000002</v>
          </cell>
          <cell r="H350">
            <v>44950.7</v>
          </cell>
          <cell r="I350">
            <v>44980.9</v>
          </cell>
          <cell r="J350">
            <v>42998.299999999996</v>
          </cell>
          <cell r="K350">
            <v>42855</v>
          </cell>
          <cell r="L350">
            <v>42878.799999999996</v>
          </cell>
          <cell r="M350">
            <v>40274.800000000003</v>
          </cell>
          <cell r="N350">
            <v>40312.100000000006</v>
          </cell>
          <cell r="O350">
            <v>40431.799999999996</v>
          </cell>
          <cell r="P350">
            <v>37834.299999999996</v>
          </cell>
          <cell r="Q350">
            <v>37871.5</v>
          </cell>
          <cell r="R350">
            <v>37924.5</v>
          </cell>
          <cell r="S350">
            <v>37665.699999999997</v>
          </cell>
          <cell r="T350">
            <v>37691.699999999997</v>
          </cell>
          <cell r="U350">
            <v>37725.899999999994</v>
          </cell>
          <cell r="V350">
            <v>37597.199999999997</v>
          </cell>
          <cell r="W350">
            <v>37409.9</v>
          </cell>
          <cell r="X350">
            <v>37435.5</v>
          </cell>
          <cell r="Y350">
            <v>37444.799999999996</v>
          </cell>
          <cell r="Z350">
            <v>37484.400000000001</v>
          </cell>
          <cell r="AA350">
            <v>37519.300000000003</v>
          </cell>
          <cell r="AB350">
            <v>37525.300000000003</v>
          </cell>
          <cell r="AC350">
            <v>37559.5</v>
          </cell>
          <cell r="AD350">
            <v>37594.6</v>
          </cell>
          <cell r="AE350">
            <v>39216.600000000006</v>
          </cell>
          <cell r="AF350">
            <v>39226.699999999997</v>
          </cell>
          <cell r="AG350">
            <v>39263.1</v>
          </cell>
          <cell r="AH350">
            <v>41309.9</v>
          </cell>
          <cell r="AI350">
            <v>41144.1</v>
          </cell>
          <cell r="AJ350">
            <v>40118.699999999997</v>
          </cell>
          <cell r="AK350">
            <v>38156.699999999997</v>
          </cell>
          <cell r="AL350">
            <v>38208.400000000001</v>
          </cell>
          <cell r="AM350">
            <v>38268.699999999997</v>
          </cell>
          <cell r="AN350">
            <v>38340.1</v>
          </cell>
          <cell r="AO350">
            <v>38381.199999999997</v>
          </cell>
          <cell r="AP350">
            <v>38426.6</v>
          </cell>
          <cell r="AQ350">
            <v>36435.5</v>
          </cell>
          <cell r="AR350">
            <v>37305.599999999999</v>
          </cell>
          <cell r="AS350">
            <v>36454.1</v>
          </cell>
          <cell r="AT350">
            <v>35329.4</v>
          </cell>
          <cell r="AU350">
            <v>35121.9</v>
          </cell>
          <cell r="AV350">
            <v>35177.700000000004</v>
          </cell>
          <cell r="AW350">
            <v>35228.9</v>
          </cell>
          <cell r="AX350">
            <v>35223.700000000004</v>
          </cell>
          <cell r="AY350">
            <v>35280.6</v>
          </cell>
          <cell r="AZ350">
            <v>35288.400000000001</v>
          </cell>
          <cell r="BA350">
            <v>35354.6</v>
          </cell>
          <cell r="BB350">
            <v>35397.1</v>
          </cell>
          <cell r="BC350">
            <v>35093</v>
          </cell>
          <cell r="BD350">
            <v>35096</v>
          </cell>
          <cell r="BE350">
            <v>35091.599999999999</v>
          </cell>
          <cell r="BF350">
            <v>33007.9</v>
          </cell>
          <cell r="BG350">
            <v>32629.200000000001</v>
          </cell>
          <cell r="BH350">
            <v>32616</v>
          </cell>
          <cell r="BI350">
            <v>32552.1</v>
          </cell>
          <cell r="BJ350">
            <v>32551.599999999999</v>
          </cell>
          <cell r="BK350">
            <v>32574</v>
          </cell>
          <cell r="BL350">
            <v>32574.7</v>
          </cell>
          <cell r="BM350">
            <v>32386.600000000002</v>
          </cell>
          <cell r="BN350">
            <v>32395.500000000004</v>
          </cell>
          <cell r="BO350">
            <v>33627.499999999993</v>
          </cell>
          <cell r="BP350">
            <v>32481.599999999999</v>
          </cell>
          <cell r="BQ350">
            <v>32495.899999999998</v>
          </cell>
          <cell r="BR350">
            <v>33521.1</v>
          </cell>
          <cell r="BS350">
            <v>33534.199999999997</v>
          </cell>
          <cell r="BT350">
            <v>33549.799999999996</v>
          </cell>
          <cell r="BU350">
            <v>33767.699999999997</v>
          </cell>
          <cell r="BV350">
            <v>33319.1</v>
          </cell>
          <cell r="BW350">
            <v>33330.399999999994</v>
          </cell>
          <cell r="BX350">
            <v>34441.9</v>
          </cell>
          <cell r="BY350">
            <v>34453.5</v>
          </cell>
          <cell r="BZ350">
            <v>34467.1</v>
          </cell>
          <cell r="CA350">
            <v>27099.1</v>
          </cell>
          <cell r="CB350">
            <v>27073.399999999998</v>
          </cell>
          <cell r="CC350">
            <v>25771.899999999998</v>
          </cell>
          <cell r="CD350">
            <v>27035.1</v>
          </cell>
          <cell r="CE350">
            <v>27049.499999999996</v>
          </cell>
          <cell r="CF350">
            <v>27055.499999999996</v>
          </cell>
          <cell r="CG350">
            <v>27307.199999999997</v>
          </cell>
          <cell r="CH350">
            <v>27321.899999999998</v>
          </cell>
          <cell r="CI350">
            <v>27517.399999999998</v>
          </cell>
          <cell r="CJ350">
            <v>27846.799999999996</v>
          </cell>
          <cell r="CK350">
            <v>27683.999999999996</v>
          </cell>
          <cell r="CL350">
            <v>27667.5</v>
          </cell>
          <cell r="CM350">
            <v>25201.699999999997</v>
          </cell>
          <cell r="CN350">
            <v>25199.899999999998</v>
          </cell>
          <cell r="CO350">
            <v>25228.999999999996</v>
          </cell>
          <cell r="CP350">
            <v>24325.199999999997</v>
          </cell>
          <cell r="CQ350">
            <v>24331.899999999998</v>
          </cell>
          <cell r="CR350">
            <v>24342.6</v>
          </cell>
          <cell r="CS350">
            <v>24637.3</v>
          </cell>
          <cell r="CT350">
            <v>24639.899999999998</v>
          </cell>
          <cell r="CU350">
            <v>24654.3</v>
          </cell>
          <cell r="CV350">
            <v>24479.399999999998</v>
          </cell>
          <cell r="CW350">
            <v>24484.3</v>
          </cell>
          <cell r="CX350">
            <v>24499.7</v>
          </cell>
          <cell r="CY350">
            <v>23188.2</v>
          </cell>
          <cell r="CZ350">
            <v>23203.1</v>
          </cell>
          <cell r="DA350">
            <v>23246.500000000004</v>
          </cell>
          <cell r="DB350">
            <v>23072.199999999997</v>
          </cell>
          <cell r="DC350">
            <v>23085.399999999998</v>
          </cell>
          <cell r="DD350">
            <v>23100.399999999998</v>
          </cell>
          <cell r="DE350">
            <v>21925.699999999997</v>
          </cell>
          <cell r="DF350">
            <v>21937.8</v>
          </cell>
          <cell r="DG350">
            <v>21948.899999999998</v>
          </cell>
          <cell r="DH350">
            <v>22061.1</v>
          </cell>
          <cell r="DI350">
            <v>22078.499999999996</v>
          </cell>
          <cell r="DJ350">
            <v>22092</v>
          </cell>
          <cell r="DK350">
            <v>20767.699999999997</v>
          </cell>
          <cell r="DL350">
            <v>20134</v>
          </cell>
          <cell r="DM350">
            <v>20192.400000000001</v>
          </cell>
          <cell r="DN350">
            <v>19872.3</v>
          </cell>
          <cell r="DO350">
            <v>19877.3</v>
          </cell>
          <cell r="DP350">
            <v>19882.3</v>
          </cell>
          <cell r="DQ350">
            <v>20036.3</v>
          </cell>
          <cell r="DR350">
            <v>20041.3</v>
          </cell>
          <cell r="DS350">
            <v>19955.8</v>
          </cell>
          <cell r="DT350">
            <v>20105.3</v>
          </cell>
          <cell r="DU350">
            <v>20095.5</v>
          </cell>
          <cell r="DV350">
            <v>20100.5</v>
          </cell>
          <cell r="DW350">
            <v>18631</v>
          </cell>
          <cell r="EJ350" t="str">
            <v>.</v>
          </cell>
        </row>
        <row r="351">
          <cell r="A351" t="str">
            <v>Current Regualtory &amp; Derivative Liability</v>
          </cell>
          <cell r="B351" t="str">
            <v>Derivative &amp; Reg Assts/Liabl</v>
          </cell>
          <cell r="C351" t="str">
            <v>Derivative Liability 245****</v>
          </cell>
          <cell r="D351" t="str">
            <v>2450100</v>
          </cell>
          <cell r="E351" t="str">
            <v>A_2450100</v>
          </cell>
          <cell r="F351" t="str">
            <v>Current Derivative Liability</v>
          </cell>
          <cell r="G351">
            <v>7.12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38.700000000000003</v>
          </cell>
          <cell r="M351">
            <v>128.9</v>
          </cell>
          <cell r="N351">
            <v>2468.6</v>
          </cell>
          <cell r="O351">
            <v>1173.4000000000001</v>
          </cell>
          <cell r="P351">
            <v>1223.0999999999999</v>
          </cell>
          <cell r="Q351">
            <v>2881.7</v>
          </cell>
          <cell r="R351">
            <v>2014.4</v>
          </cell>
          <cell r="S351">
            <v>7392.2</v>
          </cell>
          <cell r="T351">
            <v>7790.1</v>
          </cell>
          <cell r="U351">
            <v>6393.7</v>
          </cell>
          <cell r="V351">
            <v>6342.5</v>
          </cell>
          <cell r="W351">
            <v>5637.3</v>
          </cell>
          <cell r="X351">
            <v>5755.9</v>
          </cell>
          <cell r="Y351">
            <v>4880.2</v>
          </cell>
          <cell r="Z351">
            <v>4858.7</v>
          </cell>
          <cell r="AA351">
            <v>5110.6000000000004</v>
          </cell>
          <cell r="AB351">
            <v>5737.9</v>
          </cell>
          <cell r="AC351">
            <v>7190.7</v>
          </cell>
          <cell r="AD351">
            <v>7185.1</v>
          </cell>
          <cell r="AE351">
            <v>5677.1</v>
          </cell>
          <cell r="AF351">
            <v>4421.2</v>
          </cell>
          <cell r="AG351">
            <v>5029.2</v>
          </cell>
          <cell r="AH351">
            <v>3317.6</v>
          </cell>
          <cell r="AI351">
            <v>1955.5</v>
          </cell>
          <cell r="AJ351">
            <v>1672.8</v>
          </cell>
          <cell r="AK351">
            <v>343.6</v>
          </cell>
          <cell r="AL351">
            <v>335</v>
          </cell>
          <cell r="AM351">
            <v>322.89999999999998</v>
          </cell>
          <cell r="AN351">
            <v>385.9</v>
          </cell>
          <cell r="AO351">
            <v>408</v>
          </cell>
          <cell r="AP351">
            <v>74</v>
          </cell>
          <cell r="AQ351">
            <v>0</v>
          </cell>
          <cell r="AR351">
            <v>55.5</v>
          </cell>
          <cell r="AS351">
            <v>358.4</v>
          </cell>
          <cell r="AT351">
            <v>0</v>
          </cell>
          <cell r="AU351">
            <v>0</v>
          </cell>
          <cell r="AV351">
            <v>3.4</v>
          </cell>
          <cell r="AW351">
            <v>20.3</v>
          </cell>
          <cell r="AX351">
            <v>132.1</v>
          </cell>
          <cell r="AY351">
            <v>4.7</v>
          </cell>
          <cell r="AZ351">
            <v>9.1999999999999993</v>
          </cell>
          <cell r="BA351">
            <v>138.19999999999999</v>
          </cell>
          <cell r="BB351">
            <v>60.6</v>
          </cell>
          <cell r="BC351">
            <v>181.1</v>
          </cell>
          <cell r="BD351">
            <v>1.8</v>
          </cell>
          <cell r="BE351">
            <v>113.1</v>
          </cell>
          <cell r="BF351">
            <v>32.6</v>
          </cell>
          <cell r="BG351">
            <v>25.7</v>
          </cell>
          <cell r="BH351">
            <v>0</v>
          </cell>
          <cell r="BI351">
            <v>0.3</v>
          </cell>
          <cell r="BJ351">
            <v>11.7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EK351" t="str">
            <v>2021 8&amp;4 Dec Balance</v>
          </cell>
          <cell r="EL351" t="str">
            <v>A_2450100</v>
          </cell>
        </row>
        <row r="352">
          <cell r="A352" t="str">
            <v>Other LT Regulatory Deriviates &amp; Liabilities</v>
          </cell>
          <cell r="B352" t="str">
            <v>Derivative &amp; Reg Assts/Liabl</v>
          </cell>
          <cell r="C352" t="str">
            <v>Derivative Liability 245****</v>
          </cell>
          <cell r="D352" t="str">
            <v>2450200</v>
          </cell>
          <cell r="E352" t="str">
            <v>A_2450200</v>
          </cell>
          <cell r="F352" t="str">
            <v>Long-Term Derivative Liability</v>
          </cell>
          <cell r="G352">
            <v>28.565000000000001</v>
          </cell>
          <cell r="H352">
            <v>16.8</v>
          </cell>
          <cell r="I352">
            <v>11.2</v>
          </cell>
          <cell r="J352">
            <v>18.5</v>
          </cell>
          <cell r="K352">
            <v>0.8</v>
          </cell>
          <cell r="L352">
            <v>49</v>
          </cell>
          <cell r="M352">
            <v>58.8</v>
          </cell>
          <cell r="N352">
            <v>780</v>
          </cell>
          <cell r="O352">
            <v>352.4</v>
          </cell>
          <cell r="P352">
            <v>394.8</v>
          </cell>
          <cell r="Q352">
            <v>777.3</v>
          </cell>
          <cell r="R352">
            <v>688.8</v>
          </cell>
          <cell r="S352">
            <v>1593.3</v>
          </cell>
          <cell r="T352">
            <v>1274.9000000000001</v>
          </cell>
          <cell r="U352">
            <v>1033.9000000000001</v>
          </cell>
          <cell r="V352">
            <v>879.6</v>
          </cell>
          <cell r="W352">
            <v>655.20000000000005</v>
          </cell>
          <cell r="X352">
            <v>552.1</v>
          </cell>
          <cell r="Y352">
            <v>314.10000000000002</v>
          </cell>
          <cell r="Z352">
            <v>359.7</v>
          </cell>
          <cell r="AA352">
            <v>439.1</v>
          </cell>
          <cell r="AB352">
            <v>594.5</v>
          </cell>
          <cell r="AC352">
            <v>853.4</v>
          </cell>
          <cell r="AD352">
            <v>880.5</v>
          </cell>
          <cell r="AE352">
            <v>668.8</v>
          </cell>
          <cell r="AF352">
            <v>461.9</v>
          </cell>
          <cell r="AG352">
            <v>401.9</v>
          </cell>
          <cell r="AH352">
            <v>134.9</v>
          </cell>
          <cell r="AI352">
            <v>16.3</v>
          </cell>
          <cell r="AJ352">
            <v>15.8</v>
          </cell>
          <cell r="AK352">
            <v>0</v>
          </cell>
          <cell r="AL352">
            <v>0</v>
          </cell>
          <cell r="AM352">
            <v>0.5</v>
          </cell>
          <cell r="AN352">
            <v>18.3</v>
          </cell>
          <cell r="AO352">
            <v>0.5</v>
          </cell>
          <cell r="AP352">
            <v>2.8</v>
          </cell>
          <cell r="AQ352">
            <v>0</v>
          </cell>
          <cell r="AR352">
            <v>0.6</v>
          </cell>
          <cell r="AS352">
            <v>31.1</v>
          </cell>
          <cell r="AT352">
            <v>4.2</v>
          </cell>
          <cell r="AU352">
            <v>0</v>
          </cell>
          <cell r="AV352">
            <v>0.5</v>
          </cell>
          <cell r="AW352">
            <v>2</v>
          </cell>
          <cell r="AX352">
            <v>8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EK352" t="str">
            <v>2021 8&amp;4 Dec Balance</v>
          </cell>
          <cell r="EL352" t="str">
            <v>A_2450200</v>
          </cell>
        </row>
        <row r="353">
          <cell r="D353" t="str">
            <v>245</v>
          </cell>
          <cell r="E353">
            <v>245</v>
          </cell>
          <cell r="G353">
            <v>35.685000000000002</v>
          </cell>
          <cell r="H353">
            <v>16.8</v>
          </cell>
          <cell r="I353">
            <v>11.2</v>
          </cell>
          <cell r="J353">
            <v>18.5</v>
          </cell>
          <cell r="K353">
            <v>0.8</v>
          </cell>
          <cell r="L353">
            <v>87.7</v>
          </cell>
          <cell r="M353">
            <v>187.7</v>
          </cell>
          <cell r="N353">
            <v>3248.6</v>
          </cell>
          <cell r="O353">
            <v>1525.8000000000002</v>
          </cell>
          <cell r="P353">
            <v>1617.8999999999999</v>
          </cell>
          <cell r="Q353">
            <v>3659</v>
          </cell>
          <cell r="R353">
            <v>2703.2</v>
          </cell>
          <cell r="S353">
            <v>8985.5</v>
          </cell>
          <cell r="T353">
            <v>9065</v>
          </cell>
          <cell r="U353">
            <v>7427.6</v>
          </cell>
          <cell r="V353">
            <v>7222.1</v>
          </cell>
          <cell r="W353">
            <v>6292.5</v>
          </cell>
          <cell r="X353">
            <v>6308</v>
          </cell>
          <cell r="Y353">
            <v>5194.3</v>
          </cell>
          <cell r="Z353">
            <v>5218.3999999999996</v>
          </cell>
          <cell r="AA353">
            <v>5549.7000000000007</v>
          </cell>
          <cell r="AB353">
            <v>6332.4</v>
          </cell>
          <cell r="AC353">
            <v>8044.0999999999995</v>
          </cell>
          <cell r="AD353">
            <v>8065.6</v>
          </cell>
          <cell r="AE353">
            <v>6345.9000000000005</v>
          </cell>
          <cell r="AF353">
            <v>4883.0999999999995</v>
          </cell>
          <cell r="AG353">
            <v>5431.0999999999995</v>
          </cell>
          <cell r="AH353">
            <v>3452.5</v>
          </cell>
          <cell r="AI353">
            <v>1971.8</v>
          </cell>
          <cell r="AJ353">
            <v>1688.6</v>
          </cell>
          <cell r="AK353">
            <v>343.6</v>
          </cell>
          <cell r="AL353">
            <v>335</v>
          </cell>
          <cell r="AM353">
            <v>323.39999999999998</v>
          </cell>
          <cell r="AN353">
            <v>404.2</v>
          </cell>
          <cell r="AO353">
            <v>408.5</v>
          </cell>
          <cell r="AP353">
            <v>76.8</v>
          </cell>
          <cell r="AQ353">
            <v>0</v>
          </cell>
          <cell r="AR353">
            <v>56.1</v>
          </cell>
          <cell r="AS353">
            <v>389.5</v>
          </cell>
          <cell r="AT353">
            <v>4.2</v>
          </cell>
          <cell r="AU353">
            <v>0</v>
          </cell>
          <cell r="AV353">
            <v>3.9</v>
          </cell>
          <cell r="AW353">
            <v>22.3</v>
          </cell>
          <cell r="AX353">
            <v>140.1</v>
          </cell>
          <cell r="AY353">
            <v>4.7</v>
          </cell>
          <cell r="AZ353">
            <v>9.1999999999999993</v>
          </cell>
          <cell r="BA353">
            <v>138.19999999999999</v>
          </cell>
          <cell r="BB353">
            <v>60.6</v>
          </cell>
          <cell r="BC353">
            <v>181.1</v>
          </cell>
          <cell r="BD353">
            <v>1.8</v>
          </cell>
          <cell r="BE353">
            <v>113.1</v>
          </cell>
          <cell r="BF353">
            <v>32.6</v>
          </cell>
          <cell r="BG353">
            <v>25.7</v>
          </cell>
          <cell r="BH353">
            <v>0</v>
          </cell>
          <cell r="BI353">
            <v>0.3</v>
          </cell>
          <cell r="BJ353">
            <v>11.7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EJ353" t="str">
            <v>.</v>
          </cell>
        </row>
        <row r="354">
          <cell r="A354" t="str">
            <v>Customer Advances for Constr.2520000</v>
          </cell>
          <cell r="B354" t="str">
            <v>Other Liabilities</v>
          </cell>
          <cell r="C354" t="str">
            <v>Customer Advances for Constr.</v>
          </cell>
          <cell r="D354" t="str">
            <v>2520000</v>
          </cell>
          <cell r="E354" t="str">
            <v>A_2520000</v>
          </cell>
          <cell r="F354" t="str">
            <v>Customer Advances for Construction</v>
          </cell>
          <cell r="G354">
            <v>7564.1442999999999</v>
          </cell>
          <cell r="H354">
            <v>7714.3</v>
          </cell>
          <cell r="I354">
            <v>7765</v>
          </cell>
          <cell r="J354">
            <v>7827.9</v>
          </cell>
          <cell r="K354">
            <v>7873.6</v>
          </cell>
          <cell r="L354">
            <v>7945.6</v>
          </cell>
          <cell r="M354">
            <v>8035.6</v>
          </cell>
          <cell r="N354">
            <v>8825.6</v>
          </cell>
          <cell r="O354">
            <v>8912.6</v>
          </cell>
          <cell r="P354">
            <v>8956</v>
          </cell>
          <cell r="Q354">
            <v>9025</v>
          </cell>
          <cell r="R354">
            <v>9823</v>
          </cell>
          <cell r="S354">
            <v>9842.4</v>
          </cell>
          <cell r="T354">
            <v>9945</v>
          </cell>
          <cell r="U354">
            <v>10017.5</v>
          </cell>
          <cell r="V354">
            <v>10092.200000000001</v>
          </cell>
          <cell r="W354">
            <v>10903.3</v>
          </cell>
          <cell r="X354">
            <v>11184.5</v>
          </cell>
          <cell r="Y354">
            <v>11269.3</v>
          </cell>
          <cell r="Z354">
            <v>11293.1</v>
          </cell>
          <cell r="AA354">
            <v>11468.2</v>
          </cell>
          <cell r="AB354">
            <v>11498.1</v>
          </cell>
          <cell r="AC354">
            <v>11549.8</v>
          </cell>
          <cell r="AD354">
            <v>11593.6</v>
          </cell>
          <cell r="AE354">
            <v>11625.4</v>
          </cell>
          <cell r="AF354">
            <v>11656.5</v>
          </cell>
          <cell r="AG354">
            <v>11952.7</v>
          </cell>
          <cell r="AH354">
            <v>11992.2</v>
          </cell>
          <cell r="AI354">
            <v>12090.7</v>
          </cell>
          <cell r="AJ354">
            <v>12161.2</v>
          </cell>
          <cell r="AK354">
            <v>12372.7</v>
          </cell>
          <cell r="AL354">
            <v>12480.5</v>
          </cell>
          <cell r="AM354">
            <v>12590.7</v>
          </cell>
          <cell r="AN354">
            <v>12662.9</v>
          </cell>
          <cell r="AO354">
            <v>12745.8</v>
          </cell>
          <cell r="AP354">
            <v>12438.2</v>
          </cell>
          <cell r="AQ354">
            <v>12639.7</v>
          </cell>
          <cell r="AR354">
            <v>12165.1</v>
          </cell>
          <cell r="AS354">
            <v>12044.1</v>
          </cell>
          <cell r="AT354">
            <v>12175</v>
          </cell>
          <cell r="AU354">
            <v>12309.2</v>
          </cell>
          <cell r="AV354">
            <v>12446.2</v>
          </cell>
          <cell r="AW354">
            <v>11296.2</v>
          </cell>
          <cell r="AX354">
            <v>9914.5</v>
          </cell>
          <cell r="AY354">
            <v>9831.1</v>
          </cell>
          <cell r="AZ354">
            <v>9936.9</v>
          </cell>
          <cell r="BA354">
            <v>10007.4</v>
          </cell>
          <cell r="BB354">
            <v>10047.299999999999</v>
          </cell>
          <cell r="BC354">
            <v>9607.1</v>
          </cell>
          <cell r="BD354">
            <v>9573.7999999999993</v>
          </cell>
          <cell r="BE354">
            <v>9729</v>
          </cell>
          <cell r="BF354">
            <v>9807.1</v>
          </cell>
          <cell r="BG354">
            <v>9950.7000000000007</v>
          </cell>
          <cell r="BH354">
            <v>10073.200000000001</v>
          </cell>
          <cell r="BI354">
            <v>10218.9</v>
          </cell>
          <cell r="BJ354">
            <v>9921.7999999999993</v>
          </cell>
          <cell r="BK354">
            <v>10073.799999999999</v>
          </cell>
          <cell r="BL354">
            <v>10228.4</v>
          </cell>
          <cell r="BM354">
            <v>10362.9</v>
          </cell>
          <cell r="BN354">
            <v>10539.3</v>
          </cell>
          <cell r="BO354">
            <v>10635</v>
          </cell>
          <cell r="BP354">
            <v>10826.7</v>
          </cell>
          <cell r="BQ354">
            <v>11003.8</v>
          </cell>
          <cell r="BR354">
            <v>11120.2</v>
          </cell>
          <cell r="BS354">
            <v>11325.5</v>
          </cell>
          <cell r="BT354">
            <v>11511.8</v>
          </cell>
          <cell r="BU354">
            <v>11785.5</v>
          </cell>
          <cell r="BV354">
            <v>11862.6</v>
          </cell>
          <cell r="BW354">
            <v>12925.4</v>
          </cell>
          <cell r="BX354">
            <v>12406</v>
          </cell>
          <cell r="BY354">
            <v>12710.8</v>
          </cell>
          <cell r="BZ354">
            <v>12794.8</v>
          </cell>
          <cell r="CA354">
            <v>12952.7</v>
          </cell>
          <cell r="CB354">
            <v>13089.1</v>
          </cell>
          <cell r="CC354">
            <v>13337.6</v>
          </cell>
          <cell r="CD354">
            <v>13479.1</v>
          </cell>
          <cell r="CE354">
            <v>13776.6</v>
          </cell>
          <cell r="CF354">
            <v>13915.9</v>
          </cell>
          <cell r="CG354">
            <v>14332</v>
          </cell>
          <cell r="CH354">
            <v>14545.1</v>
          </cell>
          <cell r="CI354">
            <v>14665</v>
          </cell>
          <cell r="CJ354">
            <v>14788.2</v>
          </cell>
          <cell r="CK354">
            <v>14958.4</v>
          </cell>
          <cell r="CL354">
            <v>15370.5</v>
          </cell>
          <cell r="CM354">
            <v>15681.3</v>
          </cell>
          <cell r="CN354">
            <v>15814.3</v>
          </cell>
          <cell r="CO354">
            <v>15923.8</v>
          </cell>
          <cell r="CP354">
            <v>16390.099999999999</v>
          </cell>
          <cell r="CQ354">
            <v>16722.2</v>
          </cell>
          <cell r="CR354">
            <v>16873.599999999999</v>
          </cell>
          <cell r="CS354">
            <v>17005.2</v>
          </cell>
          <cell r="CT354">
            <v>17164.3</v>
          </cell>
          <cell r="CU354">
            <v>17243.8</v>
          </cell>
          <cell r="CV354">
            <v>17573.599999999999</v>
          </cell>
          <cell r="CW354">
            <v>17895.8</v>
          </cell>
          <cell r="CX354">
            <v>18117.2</v>
          </cell>
          <cell r="CY354">
            <v>18210.099999999999</v>
          </cell>
          <cell r="CZ354">
            <v>18325.3</v>
          </cell>
          <cell r="DA354">
            <v>18692</v>
          </cell>
          <cell r="DB354">
            <v>18995.2</v>
          </cell>
          <cell r="DC354">
            <v>19514.099999999999</v>
          </cell>
          <cell r="DD354">
            <v>19823.400000000001</v>
          </cell>
          <cell r="DE354">
            <v>20211.8</v>
          </cell>
          <cell r="DF354">
            <v>20537.7</v>
          </cell>
          <cell r="DG354">
            <v>21002.3</v>
          </cell>
          <cell r="DH354">
            <v>21468.799999999999</v>
          </cell>
          <cell r="DI354">
            <v>21711.7</v>
          </cell>
          <cell r="DJ354">
            <v>21948.6</v>
          </cell>
          <cell r="DK354">
            <v>22520.3</v>
          </cell>
          <cell r="DL354">
            <v>20000</v>
          </cell>
          <cell r="DM354">
            <v>20000</v>
          </cell>
          <cell r="DN354">
            <v>20000</v>
          </cell>
          <cell r="DO354">
            <v>20000</v>
          </cell>
          <cell r="DP354">
            <v>20000</v>
          </cell>
          <cell r="DQ354">
            <v>20000</v>
          </cell>
          <cell r="DR354">
            <v>20000</v>
          </cell>
          <cell r="DS354">
            <v>20000</v>
          </cell>
          <cell r="DT354">
            <v>20000</v>
          </cell>
          <cell r="DU354">
            <v>20000</v>
          </cell>
          <cell r="DV354">
            <v>20000</v>
          </cell>
          <cell r="DW354">
            <v>20000</v>
          </cell>
          <cell r="EK354" t="str">
            <v>Budget based on how actuals are trending</v>
          </cell>
          <cell r="EL354" t="str">
            <v>A_2520000</v>
          </cell>
          <cell r="EM354">
            <v>16556214.285714285</v>
          </cell>
          <cell r="EN354">
            <v>16556214.285714285</v>
          </cell>
          <cell r="EO354">
            <v>16556214.285714285</v>
          </cell>
          <cell r="EP354">
            <v>16556214.285714285</v>
          </cell>
          <cell r="EQ354">
            <v>16556214.285714285</v>
          </cell>
          <cell r="ER354">
            <v>16556214.285714285</v>
          </cell>
          <cell r="ES354">
            <v>16556214.285714285</v>
          </cell>
          <cell r="ET354">
            <v>16556214.285714285</v>
          </cell>
          <cell r="EU354">
            <v>16556214.285714285</v>
          </cell>
          <cell r="EV354">
            <v>16556214.285714285</v>
          </cell>
          <cell r="EW354">
            <v>16556214.285714285</v>
          </cell>
          <cell r="EX354">
            <v>16556214.285714285</v>
          </cell>
        </row>
        <row r="355">
          <cell r="D355" t="str">
            <v>252</v>
          </cell>
          <cell r="E355">
            <v>252</v>
          </cell>
          <cell r="G355">
            <v>7564.1442999999999</v>
          </cell>
          <cell r="H355">
            <v>7714.3</v>
          </cell>
          <cell r="I355">
            <v>7765</v>
          </cell>
          <cell r="J355">
            <v>7827.9</v>
          </cell>
          <cell r="K355">
            <v>7873.6</v>
          </cell>
          <cell r="L355">
            <v>7945.6</v>
          </cell>
          <cell r="M355">
            <v>8035.6</v>
          </cell>
          <cell r="N355">
            <v>8825.6</v>
          </cell>
          <cell r="O355">
            <v>8912.6</v>
          </cell>
          <cell r="P355">
            <v>8956</v>
          </cell>
          <cell r="Q355">
            <v>9025</v>
          </cell>
          <cell r="R355">
            <v>9823</v>
          </cell>
          <cell r="S355">
            <v>9842.4</v>
          </cell>
          <cell r="T355">
            <v>9945</v>
          </cell>
          <cell r="U355">
            <v>10017.5</v>
          </cell>
          <cell r="V355">
            <v>10092.200000000001</v>
          </cell>
          <cell r="W355">
            <v>10903.3</v>
          </cell>
          <cell r="X355">
            <v>11184.5</v>
          </cell>
          <cell r="Y355">
            <v>11269.3</v>
          </cell>
          <cell r="Z355">
            <v>11293.1</v>
          </cell>
          <cell r="AA355">
            <v>11468.2</v>
          </cell>
          <cell r="AB355">
            <v>11498.1</v>
          </cell>
          <cell r="AC355">
            <v>11549.8</v>
          </cell>
          <cell r="AD355">
            <v>11593.6</v>
          </cell>
          <cell r="AE355">
            <v>11625.4</v>
          </cell>
          <cell r="AF355">
            <v>11656.5</v>
          </cell>
          <cell r="AG355">
            <v>11952.7</v>
          </cell>
          <cell r="AH355">
            <v>11992.2</v>
          </cell>
          <cell r="AI355">
            <v>12090.7</v>
          </cell>
          <cell r="AJ355">
            <v>12161.2</v>
          </cell>
          <cell r="AK355">
            <v>12372.7</v>
          </cell>
          <cell r="AL355">
            <v>12480.5</v>
          </cell>
          <cell r="AM355">
            <v>12590.7</v>
          </cell>
          <cell r="AN355">
            <v>12662.9</v>
          </cell>
          <cell r="AO355">
            <v>12745.8</v>
          </cell>
          <cell r="AP355">
            <v>12438.2</v>
          </cell>
          <cell r="AQ355">
            <v>12639.7</v>
          </cell>
          <cell r="AR355">
            <v>12165.1</v>
          </cell>
          <cell r="AS355">
            <v>12044.1</v>
          </cell>
          <cell r="AT355">
            <v>12175</v>
          </cell>
          <cell r="AU355">
            <v>12309.2</v>
          </cell>
          <cell r="AV355">
            <v>12446.2</v>
          </cell>
          <cell r="AW355">
            <v>11296.2</v>
          </cell>
          <cell r="AX355">
            <v>9914.5</v>
          </cell>
          <cell r="AY355">
            <v>9831.1</v>
          </cell>
          <cell r="AZ355">
            <v>9936.9</v>
          </cell>
          <cell r="BA355">
            <v>10007.4</v>
          </cell>
          <cell r="BB355">
            <v>10047.299999999999</v>
          </cell>
          <cell r="BC355">
            <v>9607.1</v>
          </cell>
          <cell r="BD355">
            <v>9573.7999999999993</v>
          </cell>
          <cell r="BE355">
            <v>9729</v>
          </cell>
          <cell r="BF355">
            <v>9807.1</v>
          </cell>
          <cell r="BG355">
            <v>9950.7000000000007</v>
          </cell>
          <cell r="BH355">
            <v>10073.200000000001</v>
          </cell>
          <cell r="BI355">
            <v>10218.9</v>
          </cell>
          <cell r="BJ355">
            <v>9921.7999999999993</v>
          </cell>
          <cell r="BK355">
            <v>10073.799999999999</v>
          </cell>
          <cell r="BL355">
            <v>10228.4</v>
          </cell>
          <cell r="BM355">
            <v>10362.9</v>
          </cell>
          <cell r="BN355">
            <v>10539.3</v>
          </cell>
          <cell r="BO355">
            <v>10635</v>
          </cell>
          <cell r="BP355">
            <v>10826.7</v>
          </cell>
          <cell r="BQ355">
            <v>11003.8</v>
          </cell>
          <cell r="BR355">
            <v>11120.2</v>
          </cell>
          <cell r="BS355">
            <v>11325.5</v>
          </cell>
          <cell r="BT355">
            <v>11511.8</v>
          </cell>
          <cell r="BU355">
            <v>11785.5</v>
          </cell>
          <cell r="BV355">
            <v>11862.6</v>
          </cell>
          <cell r="BW355">
            <v>12925.4</v>
          </cell>
          <cell r="BX355">
            <v>12406</v>
          </cell>
          <cell r="BY355">
            <v>12710.8</v>
          </cell>
          <cell r="BZ355">
            <v>12794.8</v>
          </cell>
          <cell r="CA355">
            <v>12952.7</v>
          </cell>
          <cell r="CB355">
            <v>13089.1</v>
          </cell>
          <cell r="CC355">
            <v>13337.6</v>
          </cell>
          <cell r="CD355">
            <v>13479.1</v>
          </cell>
          <cell r="CE355">
            <v>13776.6</v>
          </cell>
          <cell r="CF355">
            <v>13915.9</v>
          </cell>
          <cell r="CG355">
            <v>14332</v>
          </cell>
          <cell r="CH355">
            <v>14545.1</v>
          </cell>
          <cell r="CI355">
            <v>14665</v>
          </cell>
          <cell r="CJ355">
            <v>14788.2</v>
          </cell>
          <cell r="CK355">
            <v>14958.4</v>
          </cell>
          <cell r="CL355">
            <v>15370.5</v>
          </cell>
          <cell r="CM355">
            <v>15681.3</v>
          </cell>
          <cell r="CN355">
            <v>15814.3</v>
          </cell>
          <cell r="CO355">
            <v>15923.8</v>
          </cell>
          <cell r="CP355">
            <v>16390.099999999999</v>
          </cell>
          <cell r="CQ355">
            <v>16722.2</v>
          </cell>
          <cell r="CR355">
            <v>16873.599999999999</v>
          </cell>
          <cell r="CS355">
            <v>17005.2</v>
          </cell>
          <cell r="CT355">
            <v>17164.3</v>
          </cell>
          <cell r="CU355">
            <v>17243.8</v>
          </cell>
          <cell r="CV355">
            <v>17573.599999999999</v>
          </cell>
          <cell r="CW355">
            <v>17895.8</v>
          </cell>
          <cell r="CX355">
            <v>18117.2</v>
          </cell>
          <cell r="CY355">
            <v>18210.099999999999</v>
          </cell>
          <cell r="CZ355">
            <v>18325.3</v>
          </cell>
          <cell r="DA355">
            <v>18692</v>
          </cell>
          <cell r="DB355">
            <v>18995.2</v>
          </cell>
          <cell r="DC355">
            <v>19514.099999999999</v>
          </cell>
          <cell r="DD355">
            <v>19823.400000000001</v>
          </cell>
          <cell r="DE355">
            <v>20211.8</v>
          </cell>
          <cell r="DF355">
            <v>20537.7</v>
          </cell>
          <cell r="DG355">
            <v>21002.3</v>
          </cell>
          <cell r="DH355">
            <v>21468.799999999999</v>
          </cell>
          <cell r="DI355">
            <v>21711.7</v>
          </cell>
          <cell r="DJ355">
            <v>21948.6</v>
          </cell>
          <cell r="DK355">
            <v>22520.3</v>
          </cell>
          <cell r="DL355">
            <v>20000</v>
          </cell>
          <cell r="DM355">
            <v>20000</v>
          </cell>
          <cell r="DN355">
            <v>20000</v>
          </cell>
          <cell r="DO355">
            <v>20000</v>
          </cell>
          <cell r="DP355">
            <v>20000</v>
          </cell>
          <cell r="DQ355">
            <v>20000</v>
          </cell>
          <cell r="DR355">
            <v>20000</v>
          </cell>
          <cell r="DS355">
            <v>20000</v>
          </cell>
          <cell r="DT355">
            <v>20000</v>
          </cell>
          <cell r="DU355">
            <v>20000</v>
          </cell>
          <cell r="DV355">
            <v>20000</v>
          </cell>
          <cell r="DW355">
            <v>20000</v>
          </cell>
          <cell r="EJ355" t="str">
            <v>.</v>
          </cell>
        </row>
        <row r="356">
          <cell r="A356" t="str">
            <v>Misc. Current Liabilities</v>
          </cell>
          <cell r="B356" t="str">
            <v>Other Liabilities</v>
          </cell>
          <cell r="C356" t="str">
            <v>Other Deferred Credits</v>
          </cell>
          <cell r="D356" t="str">
            <v>2530110</v>
          </cell>
          <cell r="E356" t="str">
            <v>A_2530110</v>
          </cell>
          <cell r="F356" t="str">
            <v>Oth Defd CR-Penalty Liability-FIN 48 - Current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660</v>
          </cell>
          <cell r="AS356">
            <v>709.6</v>
          </cell>
          <cell r="AT356">
            <v>540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10</v>
          </cell>
          <cell r="BI356">
            <v>10</v>
          </cell>
          <cell r="BJ356">
            <v>10</v>
          </cell>
          <cell r="BK356">
            <v>10</v>
          </cell>
          <cell r="BL356">
            <v>10</v>
          </cell>
          <cell r="BM356">
            <v>10</v>
          </cell>
          <cell r="BN356">
            <v>10</v>
          </cell>
          <cell r="BO356">
            <v>10</v>
          </cell>
          <cell r="BP356">
            <v>10</v>
          </cell>
          <cell r="BQ356">
            <v>10</v>
          </cell>
          <cell r="BR356">
            <v>10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</row>
        <row r="357">
          <cell r="A357" t="str">
            <v>Misc. Current Liabilities</v>
          </cell>
          <cell r="B357" t="str">
            <v>Other Liabilities</v>
          </cell>
          <cell r="C357" t="str">
            <v>Other Deferred Credits</v>
          </cell>
          <cell r="D357" t="str">
            <v>2530130</v>
          </cell>
          <cell r="E357" t="str">
            <v>A_2530130</v>
          </cell>
          <cell r="F357" t="str">
            <v>Contract Retentions - Current (Posting)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660</v>
          </cell>
          <cell r="AS357">
            <v>709.6</v>
          </cell>
          <cell r="AT357">
            <v>540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2291.8000000000002</v>
          </cell>
          <cell r="BO357">
            <v>2421.3000000000002</v>
          </cell>
          <cell r="BP357">
            <v>2234.1999999999998</v>
          </cell>
          <cell r="BQ357">
            <v>2259.3000000000002</v>
          </cell>
          <cell r="BR357">
            <v>2535.6999999999998</v>
          </cell>
          <cell r="BS357">
            <v>2642.9</v>
          </cell>
          <cell r="BT357">
            <v>2208.9</v>
          </cell>
          <cell r="BU357">
            <v>2655.9</v>
          </cell>
          <cell r="BV357">
            <v>3000.4</v>
          </cell>
          <cell r="BW357">
            <v>3387</v>
          </cell>
          <cell r="BX357">
            <v>3647.2</v>
          </cell>
          <cell r="BY357">
            <v>3874.7</v>
          </cell>
          <cell r="BZ357">
            <v>3828.3</v>
          </cell>
          <cell r="CA357">
            <v>4133</v>
          </cell>
          <cell r="CB357">
            <v>4483.6000000000004</v>
          </cell>
          <cell r="CC357">
            <v>4189</v>
          </cell>
          <cell r="CD357">
            <v>4494</v>
          </cell>
          <cell r="CE357">
            <v>5561.3</v>
          </cell>
          <cell r="CF357">
            <v>6435.5</v>
          </cell>
          <cell r="CG357">
            <v>6601.2</v>
          </cell>
          <cell r="CH357">
            <v>6638</v>
          </cell>
          <cell r="CI357">
            <v>6410.5</v>
          </cell>
          <cell r="CJ357">
            <v>6307.7</v>
          </cell>
          <cell r="CK357">
            <v>6187.3</v>
          </cell>
          <cell r="CL357">
            <v>6136.5</v>
          </cell>
          <cell r="CM357">
            <v>5957.9</v>
          </cell>
          <cell r="CN357">
            <v>6184.1</v>
          </cell>
          <cell r="CO357">
            <v>4482.3</v>
          </cell>
          <cell r="CP357">
            <v>1499.4</v>
          </cell>
          <cell r="CQ357">
            <v>1474.9</v>
          </cell>
          <cell r="CR357">
            <v>1357.7</v>
          </cell>
          <cell r="CS357">
            <v>1234.7</v>
          </cell>
          <cell r="CT357">
            <v>1447.9</v>
          </cell>
          <cell r="CU357">
            <v>1450.1</v>
          </cell>
          <cell r="CV357">
            <v>1517.1</v>
          </cell>
          <cell r="CW357">
            <v>1590.9</v>
          </cell>
          <cell r="CX357">
            <v>1409.5</v>
          </cell>
          <cell r="CY357">
            <v>1514.9</v>
          </cell>
          <cell r="CZ357">
            <v>1516.7</v>
          </cell>
          <cell r="DA357">
            <v>1533.5</v>
          </cell>
          <cell r="DB357">
            <v>1533.6</v>
          </cell>
          <cell r="DC357">
            <v>1533.5</v>
          </cell>
          <cell r="DD357">
            <v>1349.6</v>
          </cell>
          <cell r="DE357">
            <v>1347.2</v>
          </cell>
          <cell r="DF357">
            <v>1289</v>
          </cell>
          <cell r="DG357">
            <v>1232.4000000000001</v>
          </cell>
          <cell r="DH357">
            <v>1350.2</v>
          </cell>
          <cell r="DI357">
            <v>1448.5</v>
          </cell>
          <cell r="DJ357">
            <v>931</v>
          </cell>
          <cell r="DK357">
            <v>902.6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</row>
        <row r="358">
          <cell r="A358" t="str">
            <v>Other Deferred Credits</v>
          </cell>
          <cell r="B358" t="str">
            <v>Other Liabilities</v>
          </cell>
          <cell r="C358" t="str">
            <v>Other Deferred Credits</v>
          </cell>
          <cell r="D358" t="str">
            <v>2530299</v>
          </cell>
          <cell r="E358" t="str">
            <v>A_2530299</v>
          </cell>
          <cell r="F358" t="str">
            <v>Oth Defd CR-Contract Retentions (RECON)</v>
          </cell>
          <cell r="G358">
            <v>566.50437999999997</v>
          </cell>
          <cell r="H358">
            <v>531.5</v>
          </cell>
          <cell r="I358">
            <v>605.5</v>
          </cell>
          <cell r="J358">
            <v>678.1</v>
          </cell>
          <cell r="K358">
            <v>607.70000000000005</v>
          </cell>
          <cell r="L358">
            <v>710.3</v>
          </cell>
          <cell r="M358">
            <v>636.6</v>
          </cell>
          <cell r="N358">
            <v>629.6</v>
          </cell>
          <cell r="O358">
            <v>723.9</v>
          </cell>
          <cell r="P358">
            <v>661.9</v>
          </cell>
          <cell r="Q358">
            <v>773.9</v>
          </cell>
          <cell r="R358">
            <v>764.5</v>
          </cell>
          <cell r="S358">
            <v>878.8</v>
          </cell>
          <cell r="T358">
            <v>965.5</v>
          </cell>
          <cell r="U358">
            <v>721.5</v>
          </cell>
          <cell r="V358">
            <v>683.4</v>
          </cell>
          <cell r="W358">
            <v>579.20000000000005</v>
          </cell>
          <cell r="X358">
            <v>536.70000000000005</v>
          </cell>
          <cell r="Y358">
            <v>490.5</v>
          </cell>
          <cell r="Z358">
            <v>369</v>
          </cell>
          <cell r="AA358">
            <v>309.7</v>
          </cell>
          <cell r="AB358">
            <v>352.6</v>
          </cell>
          <cell r="AC358">
            <v>356</v>
          </cell>
          <cell r="AD358">
            <v>440.8</v>
          </cell>
          <cell r="AE358">
            <v>550.79999999999995</v>
          </cell>
          <cell r="AF358">
            <v>572.4</v>
          </cell>
          <cell r="AG358">
            <v>621.29999999999995</v>
          </cell>
          <cell r="AH358">
            <v>570.20000000000005</v>
          </cell>
          <cell r="AI358">
            <v>549.9</v>
          </cell>
          <cell r="AJ358">
            <v>630.79999999999995</v>
          </cell>
          <cell r="AK358">
            <v>279.10000000000002</v>
          </cell>
          <cell r="AL358">
            <v>491.5</v>
          </cell>
          <cell r="AM358">
            <v>531.20000000000005</v>
          </cell>
          <cell r="AN358">
            <v>646.1</v>
          </cell>
          <cell r="AO358">
            <v>721.7</v>
          </cell>
          <cell r="AP358">
            <v>912.5</v>
          </cell>
          <cell r="AQ358">
            <v>983.6</v>
          </cell>
          <cell r="AR358">
            <v>660</v>
          </cell>
          <cell r="AS358">
            <v>709.6</v>
          </cell>
          <cell r="AT358">
            <v>540</v>
          </cell>
          <cell r="AU358">
            <v>596.29999999999995</v>
          </cell>
          <cell r="AV358">
            <v>605.9</v>
          </cell>
          <cell r="AW358">
            <v>638.4</v>
          </cell>
          <cell r="AX358">
            <v>655.20000000000005</v>
          </cell>
          <cell r="AY358">
            <v>829.3</v>
          </cell>
          <cell r="AZ358">
            <v>911.9</v>
          </cell>
          <cell r="BA358">
            <v>1098.9000000000001</v>
          </cell>
          <cell r="BB358">
            <v>1123.7</v>
          </cell>
          <cell r="BC358">
            <v>951.9</v>
          </cell>
          <cell r="BD358">
            <v>813.7</v>
          </cell>
          <cell r="BE358">
            <v>954.8</v>
          </cell>
          <cell r="BF358">
            <v>1111.8</v>
          </cell>
          <cell r="BG358">
            <v>1132.5</v>
          </cell>
          <cell r="BH358">
            <v>1258.3</v>
          </cell>
          <cell r="BI358">
            <v>1355.4</v>
          </cell>
          <cell r="BJ358">
            <v>1489.6</v>
          </cell>
          <cell r="BK358">
            <v>1684.5</v>
          </cell>
          <cell r="BL358">
            <v>1763.7</v>
          </cell>
          <cell r="BM358">
            <v>1991.5</v>
          </cell>
          <cell r="BN358">
            <v>2291.8000000000002</v>
          </cell>
          <cell r="BO358">
            <v>2421.3000000000002</v>
          </cell>
          <cell r="BP358">
            <v>2234.1999999999998</v>
          </cell>
          <cell r="BQ358">
            <v>2259.3000000000002</v>
          </cell>
          <cell r="BR358">
            <v>2535.6999999999998</v>
          </cell>
          <cell r="BS358">
            <v>2642.9</v>
          </cell>
          <cell r="BT358">
            <v>2208.9</v>
          </cell>
          <cell r="BU358">
            <v>2655.9</v>
          </cell>
          <cell r="BV358">
            <v>3000.4</v>
          </cell>
          <cell r="BW358">
            <v>3387</v>
          </cell>
          <cell r="BX358">
            <v>3647.2</v>
          </cell>
          <cell r="BY358">
            <v>3874.7</v>
          </cell>
          <cell r="BZ358">
            <v>3828.3</v>
          </cell>
          <cell r="CA358">
            <v>4133</v>
          </cell>
          <cell r="CB358">
            <v>4483.6000000000004</v>
          </cell>
          <cell r="CC358">
            <v>4189</v>
          </cell>
          <cell r="CD358">
            <v>4494</v>
          </cell>
          <cell r="CE358">
            <v>5561.3</v>
          </cell>
          <cell r="CF358">
            <v>6435.5</v>
          </cell>
          <cell r="CG358">
            <v>6601.2</v>
          </cell>
          <cell r="CH358">
            <v>6638</v>
          </cell>
          <cell r="CI358">
            <v>6410.5</v>
          </cell>
          <cell r="CJ358">
            <v>6307.7</v>
          </cell>
          <cell r="CK358">
            <v>6187.3</v>
          </cell>
          <cell r="CL358">
            <v>6136.5</v>
          </cell>
          <cell r="CM358">
            <v>5957.9</v>
          </cell>
          <cell r="CN358">
            <v>6184.1</v>
          </cell>
          <cell r="CO358">
            <v>4482.3</v>
          </cell>
          <cell r="CP358">
            <v>1499.4</v>
          </cell>
          <cell r="CQ358">
            <v>1474.9</v>
          </cell>
          <cell r="CR358">
            <v>1357.7</v>
          </cell>
          <cell r="CS358">
            <v>1234.7</v>
          </cell>
          <cell r="CT358">
            <v>1447.9</v>
          </cell>
          <cell r="CU358">
            <v>1450.1</v>
          </cell>
          <cell r="CV358">
            <v>1517.1</v>
          </cell>
          <cell r="CW358">
            <v>1590.9</v>
          </cell>
          <cell r="CX358">
            <v>1409.5</v>
          </cell>
          <cell r="CY358">
            <v>1514.9</v>
          </cell>
          <cell r="CZ358">
            <v>1516.7</v>
          </cell>
          <cell r="DA358">
            <v>1533.5</v>
          </cell>
          <cell r="DB358">
            <v>1533.6</v>
          </cell>
          <cell r="DC358">
            <v>1533.5</v>
          </cell>
          <cell r="DD358">
            <v>1349.6</v>
          </cell>
          <cell r="DE358">
            <v>1347.2</v>
          </cell>
          <cell r="DF358">
            <v>1289</v>
          </cell>
          <cell r="DG358">
            <v>1232.4000000000001</v>
          </cell>
          <cell r="DH358">
            <v>1350.2</v>
          </cell>
          <cell r="DI358">
            <v>1448.5</v>
          </cell>
          <cell r="DJ358">
            <v>931</v>
          </cell>
          <cell r="DK358">
            <v>902.6</v>
          </cell>
          <cell r="DL358">
            <v>3510.3</v>
          </cell>
          <cell r="DM358">
            <v>2949.2</v>
          </cell>
          <cell r="DN358">
            <v>2115.4</v>
          </cell>
          <cell r="DO358">
            <v>2321.5</v>
          </cell>
          <cell r="DP358">
            <v>2369.1999999999998</v>
          </cell>
          <cell r="DQ358">
            <v>2364.3000000000002</v>
          </cell>
          <cell r="DR358">
            <v>2406.5</v>
          </cell>
          <cell r="DS358">
            <v>3500.1</v>
          </cell>
          <cell r="DT358">
            <v>3543.2</v>
          </cell>
          <cell r="DU358">
            <v>3595.4</v>
          </cell>
          <cell r="DV358">
            <v>2900.2</v>
          </cell>
          <cell r="DW358">
            <v>2396.1</v>
          </cell>
          <cell r="EK358" t="str">
            <v>3 yr Avg (2020 to 2022 8+4F)</v>
          </cell>
          <cell r="EL358" t="str">
            <v>A_2530299</v>
          </cell>
          <cell r="EM358">
            <v>3510300</v>
          </cell>
          <cell r="EN358">
            <v>2949240.0000000005</v>
          </cell>
          <cell r="EO358">
            <v>2115420</v>
          </cell>
          <cell r="EP358">
            <v>2321480.0000000005</v>
          </cell>
          <cell r="EQ358">
            <v>2369210</v>
          </cell>
          <cell r="ER358">
            <v>2364250</v>
          </cell>
          <cell r="ES358">
            <v>2406470.0000000005</v>
          </cell>
          <cell r="ET358">
            <v>2333330</v>
          </cell>
          <cell r="EU358">
            <v>2391769.9999999995</v>
          </cell>
          <cell r="EV358">
            <v>2438980.0000000005</v>
          </cell>
          <cell r="EW358">
            <v>2115650</v>
          </cell>
          <cell r="EX358">
            <v>2097350</v>
          </cell>
        </row>
        <row r="359">
          <cell r="A359" t="str">
            <v>Other Deferred Credits</v>
          </cell>
          <cell r="B359" t="str">
            <v>Other Liabilities</v>
          </cell>
          <cell r="C359" t="str">
            <v>Other Deferred Credits</v>
          </cell>
          <cell r="D359" t="str">
            <v>2530300</v>
          </cell>
          <cell r="E359" t="str">
            <v>A_2530300</v>
          </cell>
          <cell r="F359" t="str">
            <v>Oth Defd CR-Contract Retentions (Posting)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660</v>
          </cell>
          <cell r="AS359">
            <v>709.6</v>
          </cell>
          <cell r="AT359">
            <v>540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-2291.8000000000002</v>
          </cell>
          <cell r="BO359">
            <v>-2421.3000000000002</v>
          </cell>
          <cell r="BP359">
            <v>-2234.1999999999998</v>
          </cell>
          <cell r="BQ359">
            <v>-2259.3000000000002</v>
          </cell>
          <cell r="BR359">
            <v>-2535.6999999999998</v>
          </cell>
          <cell r="BS359">
            <v>-2642.9</v>
          </cell>
          <cell r="BT359">
            <v>-2208.9</v>
          </cell>
          <cell r="BU359">
            <v>-2655.9</v>
          </cell>
          <cell r="BV359">
            <v>-3000.4</v>
          </cell>
          <cell r="BW359">
            <v>-3387</v>
          </cell>
          <cell r="BX359">
            <v>-3647.2</v>
          </cell>
          <cell r="BY359">
            <v>-3874.7</v>
          </cell>
          <cell r="BZ359">
            <v>-3828.3</v>
          </cell>
          <cell r="CA359">
            <v>-4133</v>
          </cell>
          <cell r="CB359">
            <v>-4483.6000000000004</v>
          </cell>
          <cell r="CC359">
            <v>-4189</v>
          </cell>
          <cell r="CD359">
            <v>-4494</v>
          </cell>
          <cell r="CE359">
            <v>-5561.3</v>
          </cell>
          <cell r="CF359">
            <v>-6435.5</v>
          </cell>
          <cell r="CG359">
            <v>-6601.2</v>
          </cell>
          <cell r="CH359">
            <v>-6638</v>
          </cell>
          <cell r="CI359">
            <v>-6410.5</v>
          </cell>
          <cell r="CJ359">
            <v>-6307.7</v>
          </cell>
          <cell r="CK359">
            <v>-6187.3</v>
          </cell>
          <cell r="CL359">
            <v>-6136.5</v>
          </cell>
          <cell r="CM359">
            <v>-5957.9</v>
          </cell>
          <cell r="CN359">
            <v>-6184.1</v>
          </cell>
          <cell r="CO359">
            <v>-4482.3</v>
          </cell>
          <cell r="CP359">
            <v>-1499.4</v>
          </cell>
          <cell r="CQ359">
            <v>-1474.9</v>
          </cell>
          <cell r="CR359">
            <v>-1357.7</v>
          </cell>
          <cell r="CS359">
            <v>-1234.7</v>
          </cell>
          <cell r="CT359">
            <v>-1447.9</v>
          </cell>
          <cell r="CU359">
            <v>-1450.1</v>
          </cell>
          <cell r="CV359">
            <v>-1517.1</v>
          </cell>
          <cell r="CW359">
            <v>-1590.9</v>
          </cell>
          <cell r="CX359">
            <v>-1409.5</v>
          </cell>
          <cell r="CY359">
            <v>-1514.9</v>
          </cell>
          <cell r="CZ359">
            <v>-1516.7</v>
          </cell>
          <cell r="DA359">
            <v>-1533.5</v>
          </cell>
          <cell r="DB359">
            <v>-1533.6</v>
          </cell>
          <cell r="DC359">
            <v>-1533.5</v>
          </cell>
          <cell r="DD359">
            <v>-1349.6</v>
          </cell>
          <cell r="DE359">
            <v>-1347.2</v>
          </cell>
          <cell r="DF359">
            <v>-1289</v>
          </cell>
          <cell r="DG359">
            <v>-1232.4000000000001</v>
          </cell>
          <cell r="DH359">
            <v>-1350.2</v>
          </cell>
          <cell r="DI359">
            <v>-1448.5</v>
          </cell>
          <cell r="DJ359">
            <v>-931</v>
          </cell>
          <cell r="DK359">
            <v>-902.6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</row>
        <row r="360">
          <cell r="A360" t="str">
            <v>Other Deferred Credits</v>
          </cell>
          <cell r="B360" t="str">
            <v>Other Liabilities</v>
          </cell>
          <cell r="C360" t="str">
            <v>Other Deferred Credits</v>
          </cell>
          <cell r="D360" t="str">
            <v>2530310</v>
          </cell>
          <cell r="E360" t="str">
            <v>A_2530310</v>
          </cell>
          <cell r="F360" t="str">
            <v>Oth Defd CR-Unclaimed Items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-0.6</v>
          </cell>
          <cell r="AW360">
            <v>-0.6</v>
          </cell>
          <cell r="AX360">
            <v>-0.6</v>
          </cell>
          <cell r="AY360">
            <v>-0.6</v>
          </cell>
          <cell r="AZ360">
            <v>-0.6</v>
          </cell>
          <cell r="BA360">
            <v>-0.6</v>
          </cell>
          <cell r="BB360">
            <v>-0.6</v>
          </cell>
          <cell r="BC360">
            <v>-0.8</v>
          </cell>
          <cell r="BD360">
            <v>0</v>
          </cell>
          <cell r="BE360">
            <v>0.7</v>
          </cell>
          <cell r="BF360">
            <v>2</v>
          </cell>
          <cell r="BG360">
            <v>2.4</v>
          </cell>
          <cell r="BH360">
            <v>2.9</v>
          </cell>
          <cell r="BI360">
            <v>2.1</v>
          </cell>
          <cell r="BJ360">
            <v>2.6</v>
          </cell>
          <cell r="BK360">
            <v>3</v>
          </cell>
          <cell r="BL360">
            <v>3.5</v>
          </cell>
          <cell r="BM360">
            <v>-10.7</v>
          </cell>
          <cell r="BN360">
            <v>-9.6999999999999993</v>
          </cell>
          <cell r="BO360">
            <v>-8.9</v>
          </cell>
          <cell r="BP360">
            <v>-8</v>
          </cell>
          <cell r="BQ360">
            <v>-7.7</v>
          </cell>
          <cell r="BR360">
            <v>-5.7</v>
          </cell>
          <cell r="BS360">
            <v>-13.6</v>
          </cell>
          <cell r="BT360">
            <v>-12.1</v>
          </cell>
          <cell r="BU360">
            <v>-11.6</v>
          </cell>
          <cell r="BV360">
            <v>-11.4</v>
          </cell>
          <cell r="BW360">
            <v>5.7</v>
          </cell>
          <cell r="BX360">
            <v>6.4</v>
          </cell>
          <cell r="BY360">
            <v>6.5</v>
          </cell>
          <cell r="BZ360">
            <v>6.6</v>
          </cell>
          <cell r="CA360">
            <v>7.1</v>
          </cell>
          <cell r="CB360">
            <v>8.6</v>
          </cell>
          <cell r="CC360">
            <v>9.6</v>
          </cell>
          <cell r="CD360">
            <v>10.1</v>
          </cell>
          <cell r="CE360">
            <v>10.5</v>
          </cell>
          <cell r="CF360">
            <v>10.7</v>
          </cell>
          <cell r="CG360">
            <v>10.9</v>
          </cell>
          <cell r="CH360">
            <v>11.3</v>
          </cell>
          <cell r="CI360">
            <v>11.7</v>
          </cell>
          <cell r="CJ360">
            <v>12.2</v>
          </cell>
          <cell r="CK360">
            <v>12.6</v>
          </cell>
          <cell r="CL360">
            <v>12.7</v>
          </cell>
          <cell r="CM360">
            <v>12.8</v>
          </cell>
          <cell r="CN360">
            <v>12.8</v>
          </cell>
          <cell r="CO360">
            <v>13.3</v>
          </cell>
          <cell r="CP360">
            <v>13.7</v>
          </cell>
          <cell r="CQ360">
            <v>8.9</v>
          </cell>
          <cell r="CR360">
            <v>9.1</v>
          </cell>
          <cell r="CS360">
            <v>9.3000000000000007</v>
          </cell>
          <cell r="CT360">
            <v>9.3000000000000007</v>
          </cell>
          <cell r="CU360">
            <v>10</v>
          </cell>
          <cell r="CV360">
            <v>10.3</v>
          </cell>
          <cell r="CW360">
            <v>10.7</v>
          </cell>
          <cell r="CX360">
            <v>10.9</v>
          </cell>
          <cell r="CY360">
            <v>11.3</v>
          </cell>
          <cell r="CZ360">
            <v>11.7</v>
          </cell>
          <cell r="DA360">
            <v>13</v>
          </cell>
          <cell r="DB360">
            <v>14.2</v>
          </cell>
          <cell r="DC360">
            <v>11.3</v>
          </cell>
          <cell r="DD360">
            <v>13.8</v>
          </cell>
          <cell r="DE360">
            <v>16.3</v>
          </cell>
          <cell r="DF360">
            <v>16.8</v>
          </cell>
          <cell r="DG360">
            <v>19.100000000000001</v>
          </cell>
          <cell r="DH360">
            <v>19.100000000000001</v>
          </cell>
          <cell r="DI360">
            <v>19.2</v>
          </cell>
          <cell r="DJ360">
            <v>19.5</v>
          </cell>
          <cell r="DK360">
            <v>17.8</v>
          </cell>
          <cell r="DL360">
            <v>10</v>
          </cell>
          <cell r="DM360">
            <v>10</v>
          </cell>
          <cell r="DN360">
            <v>10</v>
          </cell>
          <cell r="DO360">
            <v>10</v>
          </cell>
          <cell r="DP360">
            <v>10</v>
          </cell>
          <cell r="DQ360">
            <v>10</v>
          </cell>
          <cell r="DR360">
            <v>10</v>
          </cell>
          <cell r="DS360">
            <v>10</v>
          </cell>
          <cell r="DT360">
            <v>10</v>
          </cell>
          <cell r="DU360">
            <v>10</v>
          </cell>
          <cell r="DV360">
            <v>10</v>
          </cell>
          <cell r="DW360">
            <v>10</v>
          </cell>
        </row>
        <row r="361">
          <cell r="A361" t="str">
            <v>Other Deferred Credits</v>
          </cell>
          <cell r="B361" t="str">
            <v>Other Liabilities</v>
          </cell>
          <cell r="C361" t="str">
            <v>Other Deferred Credits</v>
          </cell>
          <cell r="D361" t="str">
            <v>2530340</v>
          </cell>
          <cell r="E361" t="str">
            <v>A_2530340</v>
          </cell>
          <cell r="F361" t="str">
            <v>Oth Defd CR Long-term incentive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92.2</v>
          </cell>
          <cell r="AU361">
            <v>90.9</v>
          </cell>
          <cell r="AV361">
            <v>90.9</v>
          </cell>
          <cell r="AW361">
            <v>186.5</v>
          </cell>
          <cell r="AX361">
            <v>187.7</v>
          </cell>
          <cell r="AY361">
            <v>187.7</v>
          </cell>
          <cell r="AZ361">
            <v>282.39999999999998</v>
          </cell>
          <cell r="BA361">
            <v>283.7</v>
          </cell>
          <cell r="BB361">
            <v>283.7</v>
          </cell>
          <cell r="BC361">
            <v>381.5</v>
          </cell>
          <cell r="BD361">
            <v>381.5</v>
          </cell>
          <cell r="BE361">
            <v>381.5</v>
          </cell>
          <cell r="BF361">
            <v>497.9</v>
          </cell>
          <cell r="BG361">
            <v>497.9</v>
          </cell>
          <cell r="BH361">
            <v>497.9</v>
          </cell>
          <cell r="BI361">
            <v>705.1</v>
          </cell>
          <cell r="BJ361">
            <v>705.1</v>
          </cell>
          <cell r="BK361">
            <v>705.1</v>
          </cell>
          <cell r="BL361">
            <v>849.2</v>
          </cell>
          <cell r="BM361">
            <v>849.2</v>
          </cell>
          <cell r="BN361">
            <v>849.2</v>
          </cell>
          <cell r="BO361">
            <v>1142.9000000000001</v>
          </cell>
          <cell r="BP361">
            <v>1142.9000000000001</v>
          </cell>
          <cell r="BQ361">
            <v>1142.9000000000001</v>
          </cell>
          <cell r="BR361">
            <v>644</v>
          </cell>
          <cell r="BS361">
            <v>644</v>
          </cell>
          <cell r="BT361">
            <v>644</v>
          </cell>
          <cell r="BU361">
            <v>937.3</v>
          </cell>
          <cell r="BV361">
            <v>1383</v>
          </cell>
          <cell r="BW361">
            <v>1383</v>
          </cell>
          <cell r="BX361">
            <v>1285.8</v>
          </cell>
          <cell r="BY361">
            <v>1285.8</v>
          </cell>
          <cell r="BZ361">
            <v>1285.8</v>
          </cell>
          <cell r="CA361">
            <v>1484.1</v>
          </cell>
          <cell r="CB361">
            <v>1484.1</v>
          </cell>
          <cell r="CC361">
            <v>1484.1</v>
          </cell>
          <cell r="CD361">
            <v>778.6</v>
          </cell>
          <cell r="CE361">
            <v>778.6</v>
          </cell>
          <cell r="CF361">
            <v>778.6</v>
          </cell>
          <cell r="CG361">
            <v>971.1</v>
          </cell>
          <cell r="CH361">
            <v>971.1</v>
          </cell>
          <cell r="CI361">
            <v>971.1</v>
          </cell>
          <cell r="CJ361">
            <v>1217.8</v>
          </cell>
          <cell r="CK361">
            <v>1217.8</v>
          </cell>
          <cell r="CL361">
            <v>1217.8</v>
          </cell>
          <cell r="CM361">
            <v>1484.9</v>
          </cell>
          <cell r="CN361">
            <v>1484.9</v>
          </cell>
          <cell r="CO361">
            <v>1484.9</v>
          </cell>
          <cell r="CP361">
            <v>540.1</v>
          </cell>
          <cell r="CQ361">
            <v>540.1</v>
          </cell>
          <cell r="CR361">
            <v>540.1</v>
          </cell>
          <cell r="CS361">
            <v>805</v>
          </cell>
          <cell r="CT361">
            <v>805</v>
          </cell>
          <cell r="CU361">
            <v>805</v>
          </cell>
          <cell r="CV361">
            <v>1078.5</v>
          </cell>
          <cell r="CW361">
            <v>1078.5</v>
          </cell>
          <cell r="CX361">
            <v>1078.5</v>
          </cell>
          <cell r="CY361">
            <v>1333.9</v>
          </cell>
          <cell r="CZ361">
            <v>1333.9</v>
          </cell>
          <cell r="DA361">
            <v>1333.9</v>
          </cell>
          <cell r="DB361">
            <v>661.5</v>
          </cell>
          <cell r="DC361">
            <v>661.5</v>
          </cell>
          <cell r="DD361">
            <v>661.5</v>
          </cell>
          <cell r="DE361">
            <v>931.6</v>
          </cell>
          <cell r="DF361">
            <v>931.6</v>
          </cell>
          <cell r="DG361">
            <v>931.6</v>
          </cell>
          <cell r="DH361">
            <v>1093.0999999999999</v>
          </cell>
          <cell r="DI361">
            <v>1093.0999999999999</v>
          </cell>
          <cell r="DJ361">
            <v>1093.0999999999999</v>
          </cell>
          <cell r="DK361">
            <v>1122.5999999999999</v>
          </cell>
          <cell r="DL361">
            <v>1635.8</v>
          </cell>
          <cell r="DM361">
            <v>1635.8</v>
          </cell>
          <cell r="DN361">
            <v>834.2</v>
          </cell>
          <cell r="DO361">
            <v>834.2</v>
          </cell>
          <cell r="DP361">
            <v>834.2</v>
          </cell>
          <cell r="DQ361">
            <v>1123.2</v>
          </cell>
          <cell r="DR361">
            <v>1123.2</v>
          </cell>
          <cell r="DS361">
            <v>1123.2</v>
          </cell>
          <cell r="DT361">
            <v>1412.2</v>
          </cell>
          <cell r="DU361">
            <v>1412.2</v>
          </cell>
          <cell r="DV361">
            <v>1412.2</v>
          </cell>
          <cell r="DW361">
            <v>1701.2</v>
          </cell>
        </row>
        <row r="362">
          <cell r="A362" t="str">
            <v>Other Deferred Credits</v>
          </cell>
          <cell r="B362" t="str">
            <v>Other Liabilities</v>
          </cell>
          <cell r="C362" t="str">
            <v>Other Deferred Credits SUB</v>
          </cell>
          <cell r="D362" t="str">
            <v>2530360</v>
          </cell>
          <cell r="E362" t="str">
            <v>A_2530360</v>
          </cell>
          <cell r="F362" t="str">
            <v>Oth Defd CR-Deferred Interest Revenue - GAAP adj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199.7</v>
          </cell>
          <cell r="AL362">
            <v>266.8</v>
          </cell>
          <cell r="AM362">
            <v>334.2</v>
          </cell>
          <cell r="AN362">
            <v>401.9</v>
          </cell>
          <cell r="AO362">
            <v>469.9</v>
          </cell>
          <cell r="AP362">
            <v>584.6</v>
          </cell>
          <cell r="AQ362">
            <v>676.6</v>
          </cell>
          <cell r="AR362">
            <v>768.5</v>
          </cell>
          <cell r="AS362">
            <v>860.8</v>
          </cell>
          <cell r="AT362">
            <v>953.5</v>
          </cell>
          <cell r="AU362">
            <v>989.8</v>
          </cell>
          <cell r="AV362">
            <v>1026.0999999999999</v>
          </cell>
          <cell r="AW362">
            <v>1062.3</v>
          </cell>
          <cell r="AX362">
            <v>1098.4000000000001</v>
          </cell>
          <cell r="AY362">
            <v>1134.4000000000001</v>
          </cell>
          <cell r="AZ362">
            <v>1170.4000000000001</v>
          </cell>
          <cell r="BA362">
            <v>1186.5</v>
          </cell>
          <cell r="BB362">
            <v>1202.3</v>
          </cell>
          <cell r="BC362">
            <v>1217.9000000000001</v>
          </cell>
          <cell r="BD362">
            <v>1232.5</v>
          </cell>
          <cell r="BE362">
            <v>1247</v>
          </cell>
          <cell r="BF362">
            <v>1261.2</v>
          </cell>
          <cell r="BG362">
            <v>1275.0999999999999</v>
          </cell>
          <cell r="BH362">
            <v>1288.8</v>
          </cell>
          <cell r="BI362">
            <v>1302.3</v>
          </cell>
          <cell r="BJ362">
            <v>1315.5</v>
          </cell>
          <cell r="BK362">
            <v>1328.4</v>
          </cell>
          <cell r="BL362">
            <v>1341.1</v>
          </cell>
          <cell r="BM362">
            <v>1353.5</v>
          </cell>
          <cell r="BN362">
            <v>1365.7</v>
          </cell>
          <cell r="BO362">
            <v>1377.5</v>
          </cell>
          <cell r="BP362">
            <v>1388.5</v>
          </cell>
          <cell r="BQ362">
            <v>1399.2</v>
          </cell>
          <cell r="BR362">
            <v>1409.6</v>
          </cell>
          <cell r="BS362">
            <v>1419.7</v>
          </cell>
          <cell r="BT362">
            <v>1429.6</v>
          </cell>
          <cell r="BU362">
            <v>1439.2</v>
          </cell>
          <cell r="BV362">
            <v>1448.4</v>
          </cell>
          <cell r="BW362">
            <v>1457.4</v>
          </cell>
          <cell r="BX362">
            <v>1466.1</v>
          </cell>
          <cell r="BY362">
            <v>1474.6</v>
          </cell>
          <cell r="BZ362">
            <v>1482.7</v>
          </cell>
          <cell r="CA362">
            <v>1490.5</v>
          </cell>
          <cell r="CB362">
            <v>1497.3</v>
          </cell>
          <cell r="CC362">
            <v>1503.9</v>
          </cell>
          <cell r="CD362">
            <v>1510.1</v>
          </cell>
          <cell r="CE362">
            <v>1531.7</v>
          </cell>
          <cell r="CF362">
            <v>1553.1</v>
          </cell>
          <cell r="CG362">
            <v>1574.4</v>
          </cell>
          <cell r="CH362">
            <v>1595.4</v>
          </cell>
          <cell r="CI362">
            <v>1616.2</v>
          </cell>
          <cell r="CJ362">
            <v>1636.9</v>
          </cell>
          <cell r="CK362">
            <v>1662.8</v>
          </cell>
          <cell r="CL362">
            <v>1688.6</v>
          </cell>
          <cell r="CM362">
            <v>1714.4</v>
          </cell>
          <cell r="CN362">
            <v>1739.1</v>
          </cell>
          <cell r="CO362">
            <v>1763.8</v>
          </cell>
          <cell r="CP362">
            <v>1788.3</v>
          </cell>
          <cell r="CQ362">
            <v>1812.6</v>
          </cell>
          <cell r="CR362">
            <v>1836.8</v>
          </cell>
          <cell r="CS362">
            <v>1860.8</v>
          </cell>
          <cell r="CT362">
            <v>1884.6</v>
          </cell>
          <cell r="CU362">
            <v>1908.3</v>
          </cell>
          <cell r="CV362">
            <v>1931.8</v>
          </cell>
          <cell r="CW362">
            <v>1955.2</v>
          </cell>
          <cell r="CX362">
            <v>1978.3</v>
          </cell>
          <cell r="CY362">
            <v>2001.3</v>
          </cell>
          <cell r="CZ362">
            <v>2023.5</v>
          </cell>
          <cell r="DA362">
            <v>2045.5</v>
          </cell>
          <cell r="DB362">
            <v>1557.2</v>
          </cell>
          <cell r="DC362">
            <v>1572.9</v>
          </cell>
          <cell r="DD362">
            <v>1588.5</v>
          </cell>
          <cell r="DE362">
            <v>1604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-1.6</v>
          </cell>
          <cell r="DO362">
            <v>-4</v>
          </cell>
          <cell r="DP362">
            <v>-7</v>
          </cell>
          <cell r="DQ362">
            <v>-10.7</v>
          </cell>
          <cell r="DR362">
            <v>-15.1</v>
          </cell>
          <cell r="DS362">
            <v>-20.2</v>
          </cell>
          <cell r="DT362">
            <v>-25.9</v>
          </cell>
          <cell r="DU362">
            <v>-32.4</v>
          </cell>
          <cell r="DV362">
            <v>-39.6</v>
          </cell>
          <cell r="DW362">
            <v>-47.6</v>
          </cell>
        </row>
        <row r="363">
          <cell r="A363" t="str">
            <v>Other Deferred Credits</v>
          </cell>
          <cell r="B363" t="str">
            <v>Other Liabilities</v>
          </cell>
          <cell r="C363" t="str">
            <v>Other Deferred Credits</v>
          </cell>
          <cell r="D363" t="str">
            <v>2530800</v>
          </cell>
          <cell r="E363" t="str">
            <v>A_2530800</v>
          </cell>
          <cell r="F363" t="str">
            <v>Oth Defd CR-Miscellaneous</v>
          </cell>
          <cell r="G363">
            <v>1970.9981200000002</v>
          </cell>
          <cell r="H363">
            <v>1959.6</v>
          </cell>
          <cell r="I363">
            <v>1956.6</v>
          </cell>
          <cell r="J363">
            <v>1956.6</v>
          </cell>
          <cell r="K363">
            <v>1950.4</v>
          </cell>
          <cell r="L363">
            <v>2719.9</v>
          </cell>
          <cell r="M363">
            <v>2634.4</v>
          </cell>
          <cell r="N363">
            <v>2791.5</v>
          </cell>
          <cell r="O363">
            <v>2595</v>
          </cell>
          <cell r="P363">
            <v>2535.1999999999998</v>
          </cell>
          <cell r="Q363">
            <v>2475.4</v>
          </cell>
          <cell r="R363">
            <v>2415.5</v>
          </cell>
          <cell r="S363">
            <v>2550.4</v>
          </cell>
          <cell r="T363">
            <v>2490.5</v>
          </cell>
          <cell r="U363">
            <v>2430.6999999999998</v>
          </cell>
          <cell r="V363">
            <v>2370.9</v>
          </cell>
          <cell r="W363">
            <v>573.70000000000005</v>
          </cell>
          <cell r="X363">
            <v>503.6</v>
          </cell>
          <cell r="Y363">
            <v>443.7</v>
          </cell>
          <cell r="Z363">
            <v>383.9</v>
          </cell>
          <cell r="AA363">
            <v>322</v>
          </cell>
          <cell r="AB363">
            <v>262.2</v>
          </cell>
          <cell r="AC363">
            <v>202.3</v>
          </cell>
          <cell r="AD363">
            <v>532.79999999999995</v>
          </cell>
          <cell r="AE363">
            <v>703.2</v>
          </cell>
          <cell r="AF363">
            <v>936.1</v>
          </cell>
          <cell r="AG363">
            <v>1062.5999999999999</v>
          </cell>
          <cell r="AH363">
            <v>1045.5999999999999</v>
          </cell>
          <cell r="AI363">
            <v>1016</v>
          </cell>
          <cell r="AJ363">
            <v>669.2</v>
          </cell>
          <cell r="AK363">
            <v>652.1</v>
          </cell>
          <cell r="AL363">
            <v>682.6</v>
          </cell>
          <cell r="AM363">
            <v>713.2</v>
          </cell>
          <cell r="AN363">
            <v>744</v>
          </cell>
          <cell r="AO363">
            <v>774.7</v>
          </cell>
          <cell r="AP363">
            <v>805.5</v>
          </cell>
          <cell r="AQ363">
            <v>1028.5</v>
          </cell>
          <cell r="AR363">
            <v>1059.2</v>
          </cell>
          <cell r="AS363">
            <v>1131</v>
          </cell>
          <cell r="AT363">
            <v>1115.9000000000001</v>
          </cell>
          <cell r="AU363">
            <v>1144.5</v>
          </cell>
          <cell r="AV363">
            <v>1158.5999999999999</v>
          </cell>
          <cell r="AW363">
            <v>1187.0999999999999</v>
          </cell>
          <cell r="AX363">
            <v>1198.4000000000001</v>
          </cell>
          <cell r="AY363">
            <v>795.3</v>
          </cell>
          <cell r="AZ363">
            <v>823.7</v>
          </cell>
          <cell r="BA363">
            <v>852.1</v>
          </cell>
          <cell r="BB363">
            <v>880.5</v>
          </cell>
          <cell r="BC363">
            <v>1108.5999999999999</v>
          </cell>
          <cell r="BD363">
            <v>1114.4000000000001</v>
          </cell>
          <cell r="BE363">
            <v>1141.5999999999999</v>
          </cell>
          <cell r="BF363">
            <v>1168.8</v>
          </cell>
          <cell r="BG363">
            <v>1196</v>
          </cell>
          <cell r="BH363">
            <v>1223.2</v>
          </cell>
          <cell r="BI363">
            <v>1250.3</v>
          </cell>
          <cell r="BJ363">
            <v>1244.5</v>
          </cell>
          <cell r="BK363">
            <v>1271.7</v>
          </cell>
          <cell r="BL363">
            <v>1244.7</v>
          </cell>
          <cell r="BM363">
            <v>1271.0999999999999</v>
          </cell>
          <cell r="BN363">
            <v>1297.5</v>
          </cell>
          <cell r="BO363">
            <v>265.2</v>
          </cell>
          <cell r="BP363">
            <v>401.6</v>
          </cell>
          <cell r="BQ363">
            <v>231</v>
          </cell>
          <cell r="BR363">
            <v>214</v>
          </cell>
          <cell r="BS363">
            <v>196.9</v>
          </cell>
          <cell r="BT363">
            <v>179.8</v>
          </cell>
          <cell r="BU363">
            <v>162.69999999999999</v>
          </cell>
          <cell r="BV363">
            <v>145.6</v>
          </cell>
          <cell r="BW363">
            <v>114.4</v>
          </cell>
          <cell r="BX363">
            <v>97.3</v>
          </cell>
          <cell r="BY363">
            <v>80.2</v>
          </cell>
          <cell r="BZ363">
            <v>63.2</v>
          </cell>
          <cell r="CA363">
            <v>372.2</v>
          </cell>
          <cell r="CB363">
            <v>355.2</v>
          </cell>
          <cell r="CC363">
            <v>338.1</v>
          </cell>
          <cell r="CD363">
            <v>522.1</v>
          </cell>
          <cell r="CE363">
            <v>505</v>
          </cell>
          <cell r="CF363">
            <v>479.4</v>
          </cell>
          <cell r="CG363">
            <v>962.3</v>
          </cell>
          <cell r="CH363">
            <v>936.8</v>
          </cell>
          <cell r="CI363">
            <v>919.7</v>
          </cell>
          <cell r="CJ363">
            <v>902.6</v>
          </cell>
          <cell r="CK363">
            <v>885.5</v>
          </cell>
          <cell r="CL363">
            <v>868.4</v>
          </cell>
          <cell r="CM363">
            <v>806.4</v>
          </cell>
          <cell r="CN363">
            <v>789.3</v>
          </cell>
          <cell r="CO363">
            <v>752.4</v>
          </cell>
          <cell r="CP363">
            <v>735.3</v>
          </cell>
          <cell r="CQ363">
            <v>718.2</v>
          </cell>
          <cell r="CR363">
            <v>701.2</v>
          </cell>
          <cell r="CS363">
            <v>184.1</v>
          </cell>
          <cell r="CT363">
            <v>167</v>
          </cell>
          <cell r="CU363">
            <v>143.30000000000001</v>
          </cell>
          <cell r="CV363">
            <v>1126.2</v>
          </cell>
          <cell r="CW363">
            <v>1109.0999999999999</v>
          </cell>
          <cell r="CX363">
            <v>1092</v>
          </cell>
          <cell r="CY363">
            <v>1279.9000000000001</v>
          </cell>
          <cell r="CZ363">
            <v>3262.8</v>
          </cell>
          <cell r="DA363">
            <v>3245.8</v>
          </cell>
          <cell r="DB363">
            <v>3228.7</v>
          </cell>
          <cell r="DC363">
            <v>1211.5999999999999</v>
          </cell>
          <cell r="DD363">
            <v>1194.5</v>
          </cell>
          <cell r="DE363">
            <v>1177.4000000000001</v>
          </cell>
          <cell r="DF363">
            <v>1160.3</v>
          </cell>
          <cell r="DG363">
            <v>1143.3</v>
          </cell>
          <cell r="DH363">
            <v>1126.2</v>
          </cell>
          <cell r="DI363">
            <v>1109.0999999999999</v>
          </cell>
          <cell r="DJ363">
            <v>1092</v>
          </cell>
          <cell r="DK363">
            <v>1279.9000000000001</v>
          </cell>
          <cell r="DL363">
            <v>269.5</v>
          </cell>
          <cell r="DM363">
            <v>252.4</v>
          </cell>
          <cell r="DN363">
            <v>235.3</v>
          </cell>
          <cell r="DO363">
            <v>218.3</v>
          </cell>
          <cell r="DP363">
            <v>201.2</v>
          </cell>
          <cell r="DQ363">
            <v>184.1</v>
          </cell>
          <cell r="DR363">
            <v>167</v>
          </cell>
          <cell r="DS363">
            <v>149.9</v>
          </cell>
          <cell r="DT363">
            <v>132.80000000000001</v>
          </cell>
          <cell r="DU363">
            <v>115.8</v>
          </cell>
          <cell r="DV363">
            <v>98.7</v>
          </cell>
          <cell r="DW363">
            <v>286.60000000000002</v>
          </cell>
          <cell r="EK363" t="str">
            <v>$200k goes in at Dec and Amort $25k a month to zero</v>
          </cell>
          <cell r="EL363" t="str">
            <v>A_2530800</v>
          </cell>
          <cell r="EM363">
            <v>217000</v>
          </cell>
          <cell r="EN363">
            <v>192000</v>
          </cell>
          <cell r="EO363">
            <v>167000</v>
          </cell>
          <cell r="EP363">
            <v>142000</v>
          </cell>
          <cell r="EQ363">
            <v>117000</v>
          </cell>
          <cell r="ER363">
            <v>92000</v>
          </cell>
          <cell r="ES363">
            <v>67000</v>
          </cell>
          <cell r="ET363">
            <v>42000</v>
          </cell>
          <cell r="EU363">
            <v>17000</v>
          </cell>
          <cell r="EV363">
            <v>-8000</v>
          </cell>
          <cell r="EW363">
            <v>-33000</v>
          </cell>
          <cell r="EX363">
            <v>142000</v>
          </cell>
        </row>
        <row r="364">
          <cell r="D364" t="str">
            <v>253</v>
          </cell>
          <cell r="E364">
            <v>253</v>
          </cell>
          <cell r="G364">
            <v>2537.5025000000001</v>
          </cell>
          <cell r="H364">
            <v>2491.1</v>
          </cell>
          <cell r="I364">
            <v>2562.1</v>
          </cell>
          <cell r="J364">
            <v>2634.7</v>
          </cell>
          <cell r="K364">
            <v>2558.1000000000004</v>
          </cell>
          <cell r="L364">
            <v>3430.2</v>
          </cell>
          <cell r="M364">
            <v>3271</v>
          </cell>
          <cell r="N364">
            <v>3421.1</v>
          </cell>
          <cell r="O364">
            <v>3318.9</v>
          </cell>
          <cell r="P364">
            <v>3197.1</v>
          </cell>
          <cell r="Q364">
            <v>3249.3</v>
          </cell>
          <cell r="R364">
            <v>3180</v>
          </cell>
          <cell r="S364">
            <v>3429.2</v>
          </cell>
          <cell r="T364">
            <v>3456</v>
          </cell>
          <cell r="U364">
            <v>3152.2</v>
          </cell>
          <cell r="V364">
            <v>3054.3</v>
          </cell>
          <cell r="W364">
            <v>1152.9000000000001</v>
          </cell>
          <cell r="X364">
            <v>1040.3000000000002</v>
          </cell>
          <cell r="Y364">
            <v>934.2</v>
          </cell>
          <cell r="Z364">
            <v>752.9</v>
          </cell>
          <cell r="AA364">
            <v>631.70000000000005</v>
          </cell>
          <cell r="AB364">
            <v>614.79999999999995</v>
          </cell>
          <cell r="AC364">
            <v>558.29999999999995</v>
          </cell>
          <cell r="AD364">
            <v>973.59999999999991</v>
          </cell>
          <cell r="AE364">
            <v>1254</v>
          </cell>
          <cell r="AF364">
            <v>1508.5</v>
          </cell>
          <cell r="AG364">
            <v>1683.8999999999999</v>
          </cell>
          <cell r="AH364">
            <v>1615.8</v>
          </cell>
          <cell r="AI364">
            <v>1565.9</v>
          </cell>
          <cell r="AJ364">
            <v>1300</v>
          </cell>
          <cell r="AK364">
            <v>1130.9000000000001</v>
          </cell>
          <cell r="AL364">
            <v>1440.9</v>
          </cell>
          <cell r="AM364">
            <v>1578.6000000000001</v>
          </cell>
          <cell r="AN364">
            <v>1792</v>
          </cell>
          <cell r="AO364">
            <v>1966.3</v>
          </cell>
          <cell r="AP364">
            <v>2302.6</v>
          </cell>
          <cell r="AQ364">
            <v>2688.7</v>
          </cell>
          <cell r="AR364">
            <v>2487.6999999999998</v>
          </cell>
          <cell r="AS364">
            <v>2701.4</v>
          </cell>
          <cell r="AT364">
            <v>2701.6000000000004</v>
          </cell>
          <cell r="AU364">
            <v>2821.5</v>
          </cell>
          <cell r="AV364">
            <v>2880.8999999999996</v>
          </cell>
          <cell r="AW364">
            <v>3073.7</v>
          </cell>
          <cell r="AX364">
            <v>3139.1000000000004</v>
          </cell>
          <cell r="AY364">
            <v>2946.1000000000004</v>
          </cell>
          <cell r="AZ364">
            <v>3187.8</v>
          </cell>
          <cell r="BA364">
            <v>3420.6</v>
          </cell>
          <cell r="BB364">
            <v>3489.6000000000004</v>
          </cell>
          <cell r="BC364">
            <v>3659.1</v>
          </cell>
          <cell r="BD364">
            <v>3542.1</v>
          </cell>
          <cell r="BE364">
            <v>3725.6</v>
          </cell>
          <cell r="BF364">
            <v>4041.7</v>
          </cell>
          <cell r="BG364">
            <v>4103.8999999999996</v>
          </cell>
          <cell r="BH364">
            <v>4281.0999999999995</v>
          </cell>
          <cell r="BI364">
            <v>4625.2</v>
          </cell>
          <cell r="BJ364">
            <v>4767.2999999999993</v>
          </cell>
          <cell r="BK364">
            <v>5002.7</v>
          </cell>
          <cell r="BL364">
            <v>5212.2</v>
          </cell>
          <cell r="BM364">
            <v>5464.6</v>
          </cell>
          <cell r="BN364">
            <v>5804.5</v>
          </cell>
          <cell r="BO364">
            <v>5208</v>
          </cell>
          <cell r="BP364">
            <v>5169.2000000000007</v>
          </cell>
          <cell r="BQ364">
            <v>5034.7000000000007</v>
          </cell>
          <cell r="BR364">
            <v>4807.6000000000004</v>
          </cell>
          <cell r="BS364">
            <v>4889.8999999999996</v>
          </cell>
          <cell r="BT364">
            <v>4450.2</v>
          </cell>
          <cell r="BU364">
            <v>5183.5</v>
          </cell>
          <cell r="BV364">
            <v>5966</v>
          </cell>
          <cell r="BW364">
            <v>6347.5</v>
          </cell>
          <cell r="BX364">
            <v>6502.8</v>
          </cell>
          <cell r="BY364">
            <v>6721.8</v>
          </cell>
          <cell r="BZ364">
            <v>6666.5999999999995</v>
          </cell>
          <cell r="CA364">
            <v>7486.9000000000005</v>
          </cell>
          <cell r="CB364">
            <v>7828.8000000000011</v>
          </cell>
          <cell r="CC364">
            <v>7524.7000000000007</v>
          </cell>
          <cell r="CD364">
            <v>7314.9000000000015</v>
          </cell>
          <cell r="CE364">
            <v>8387.1</v>
          </cell>
          <cell r="CF364">
            <v>9257.2999999999993</v>
          </cell>
          <cell r="CG364">
            <v>10119.9</v>
          </cell>
          <cell r="CH364">
            <v>10152.6</v>
          </cell>
          <cell r="CI364">
            <v>9929.2000000000007</v>
          </cell>
          <cell r="CJ364">
            <v>10077.200000000001</v>
          </cell>
          <cell r="CK364">
            <v>9966</v>
          </cell>
          <cell r="CL364">
            <v>9924</v>
          </cell>
          <cell r="CM364">
            <v>9976.4</v>
          </cell>
          <cell r="CN364">
            <v>10210.200000000001</v>
          </cell>
          <cell r="CO364">
            <v>8496.7000000000007</v>
          </cell>
          <cell r="CP364">
            <v>4576.8</v>
          </cell>
          <cell r="CQ364">
            <v>4554.7</v>
          </cell>
          <cell r="CR364">
            <v>4444.8999999999996</v>
          </cell>
          <cell r="CS364">
            <v>4093.9</v>
          </cell>
          <cell r="CT364">
            <v>4313.7999999999993</v>
          </cell>
          <cell r="CU364">
            <v>4316.7</v>
          </cell>
          <cell r="CV364">
            <v>5663.9</v>
          </cell>
          <cell r="CW364">
            <v>5744.4</v>
          </cell>
          <cell r="CX364">
            <v>5569.2</v>
          </cell>
          <cell r="CY364">
            <v>6141.3000000000011</v>
          </cell>
          <cell r="CZ364">
            <v>8148.6</v>
          </cell>
          <cell r="DA364">
            <v>8171.7</v>
          </cell>
          <cell r="DB364">
            <v>6995.2</v>
          </cell>
          <cell r="DC364">
            <v>4990.8</v>
          </cell>
          <cell r="DD364">
            <v>4807.8999999999996</v>
          </cell>
          <cell r="DE364">
            <v>5076.5</v>
          </cell>
          <cell r="DF364">
            <v>3397.7</v>
          </cell>
          <cell r="DG364">
            <v>3326.3999999999996</v>
          </cell>
          <cell r="DH364">
            <v>3588.5999999999995</v>
          </cell>
          <cell r="DI364">
            <v>3669.9</v>
          </cell>
          <cell r="DJ364">
            <v>3135.6</v>
          </cell>
          <cell r="DK364">
            <v>3322.9</v>
          </cell>
          <cell r="DL364">
            <v>5425.6</v>
          </cell>
          <cell r="DM364">
            <v>4847.3999999999996</v>
          </cell>
          <cell r="DN364">
            <v>3193.3000000000006</v>
          </cell>
          <cell r="DO364">
            <v>3380</v>
          </cell>
          <cell r="DP364">
            <v>3407.5999999999995</v>
          </cell>
          <cell r="DQ364">
            <v>3670.9</v>
          </cell>
          <cell r="DR364">
            <v>3691.6</v>
          </cell>
          <cell r="DS364">
            <v>4763</v>
          </cell>
          <cell r="DT364">
            <v>5072.3</v>
          </cell>
          <cell r="DU364">
            <v>5101.0000000000009</v>
          </cell>
          <cell r="DV364">
            <v>4381.4999999999991</v>
          </cell>
          <cell r="DW364">
            <v>4346.3</v>
          </cell>
          <cell r="EJ364" t="str">
            <v>.</v>
          </cell>
          <cell r="ET364">
            <v>142000</v>
          </cell>
          <cell r="EU364">
            <v>117000</v>
          </cell>
          <cell r="EV364">
            <v>92000</v>
          </cell>
          <cell r="EW364">
            <v>67000</v>
          </cell>
          <cell r="EX364">
            <v>242000</v>
          </cell>
          <cell r="EY364" t="str">
            <v>7+5F</v>
          </cell>
        </row>
        <row r="365">
          <cell r="A365" t="str">
            <v>Conservation Cost True Up</v>
          </cell>
          <cell r="B365" t="str">
            <v>Deferred Clause Revenues (Expenses)</v>
          </cell>
          <cell r="C365" t="str">
            <v>Conservation Cost True Up (2540040)</v>
          </cell>
          <cell r="D365" t="str">
            <v>2540040</v>
          </cell>
          <cell r="E365" t="str">
            <v>A_2540040</v>
          </cell>
          <cell r="F365" t="str">
            <v>Oth Reg Liab-Conservation Clause</v>
          </cell>
          <cell r="G365">
            <v>0</v>
          </cell>
          <cell r="H365">
            <v>0</v>
          </cell>
          <cell r="I365">
            <v>0</v>
          </cell>
          <cell r="J365">
            <v>241.6</v>
          </cell>
          <cell r="K365">
            <v>601.9</v>
          </cell>
          <cell r="L365">
            <v>738.7</v>
          </cell>
          <cell r="M365">
            <v>841.5</v>
          </cell>
          <cell r="N365">
            <v>329.5</v>
          </cell>
          <cell r="O365">
            <v>126.6</v>
          </cell>
          <cell r="P365">
            <v>0</v>
          </cell>
          <cell r="Q365">
            <v>0</v>
          </cell>
          <cell r="R365">
            <v>0</v>
          </cell>
          <cell r="S365">
            <v>309.5</v>
          </cell>
          <cell r="T365">
            <v>659.5</v>
          </cell>
          <cell r="U365">
            <v>1475.8</v>
          </cell>
          <cell r="V365">
            <v>2041.8</v>
          </cell>
          <cell r="W365">
            <v>2465.8000000000002</v>
          </cell>
          <cell r="X365">
            <v>2375.1</v>
          </cell>
          <cell r="Y365">
            <v>2413.8000000000002</v>
          </cell>
          <cell r="Z365">
            <v>2368.4</v>
          </cell>
          <cell r="AA365">
            <v>2133.9</v>
          </cell>
          <cell r="AB365">
            <v>2017.8</v>
          </cell>
          <cell r="AC365">
            <v>1611.8</v>
          </cell>
          <cell r="AD365">
            <v>1765.4</v>
          </cell>
          <cell r="AE365">
            <v>2136.5</v>
          </cell>
          <cell r="AF365">
            <v>2294.6</v>
          </cell>
          <cell r="AG365">
            <v>2704</v>
          </cell>
          <cell r="AH365">
            <v>2839.1</v>
          </cell>
          <cell r="AI365">
            <v>2933.5</v>
          </cell>
          <cell r="AJ365">
            <v>2612.1</v>
          </cell>
          <cell r="AK365">
            <v>2239.9</v>
          </cell>
          <cell r="AL365">
            <v>1934.4</v>
          </cell>
          <cell r="AM365">
            <v>1137.0999999999999</v>
          </cell>
          <cell r="AN365">
            <v>917.7</v>
          </cell>
          <cell r="AO365">
            <v>312.2</v>
          </cell>
          <cell r="AP365">
            <v>290.60000000000002</v>
          </cell>
          <cell r="AQ365">
            <v>0</v>
          </cell>
          <cell r="AR365">
            <v>771.9</v>
          </cell>
          <cell r="AS365">
            <v>1322.9</v>
          </cell>
          <cell r="AT365">
            <v>1614.7</v>
          </cell>
          <cell r="AU365">
            <v>1899.2</v>
          </cell>
          <cell r="AV365">
            <v>1462.2</v>
          </cell>
          <cell r="AW365">
            <v>838.5</v>
          </cell>
          <cell r="AX365">
            <v>182.6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511.4</v>
          </cell>
          <cell r="DA365">
            <v>2149.5</v>
          </cell>
          <cell r="DB365">
            <v>1757</v>
          </cell>
          <cell r="DC365">
            <v>2533.9</v>
          </cell>
          <cell r="DD365">
            <v>3256</v>
          </cell>
          <cell r="DE365">
            <v>4198.7</v>
          </cell>
          <cell r="DF365">
            <v>2816.1</v>
          </cell>
          <cell r="DG365">
            <v>2530.1999999999998</v>
          </cell>
          <cell r="DH365">
            <v>1877.8</v>
          </cell>
          <cell r="DI365">
            <v>1636.7</v>
          </cell>
          <cell r="DJ365">
            <v>1405.1</v>
          </cell>
          <cell r="DK365">
            <v>1548.4</v>
          </cell>
          <cell r="DL365">
            <v>2009.7</v>
          </cell>
          <cell r="DM365">
            <v>2238</v>
          </cell>
          <cell r="DN365">
            <v>2163.1999999999998</v>
          </cell>
          <cell r="DO365">
            <v>2081.9</v>
          </cell>
          <cell r="DP365">
            <v>1659.2</v>
          </cell>
          <cell r="DQ365">
            <v>1122.2</v>
          </cell>
          <cell r="DR365">
            <v>525.6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</row>
        <row r="366">
          <cell r="A366" t="str">
            <v>Current Regualtory &amp; Derivative Liability</v>
          </cell>
          <cell r="B366" t="str">
            <v>Deferred Clause Revenues (Expenses)</v>
          </cell>
          <cell r="C366" t="str">
            <v>CIBSR Cost True Up (2540071)</v>
          </cell>
          <cell r="D366" t="str">
            <v>2540071</v>
          </cell>
          <cell r="E366" t="str">
            <v>A_2540071</v>
          </cell>
          <cell r="F366" t="str">
            <v>Oth Reg Liab-CIBSR Rider</v>
          </cell>
          <cell r="G366">
            <v>34.014000000000003</v>
          </cell>
          <cell r="H366">
            <v>168.8</v>
          </cell>
          <cell r="I366">
            <v>294.8</v>
          </cell>
          <cell r="J366">
            <v>362.1</v>
          </cell>
          <cell r="K366">
            <v>407.1</v>
          </cell>
          <cell r="L366">
            <v>408.6</v>
          </cell>
          <cell r="M366">
            <v>391.9</v>
          </cell>
          <cell r="N366">
            <v>352.6</v>
          </cell>
          <cell r="O366">
            <v>287.7</v>
          </cell>
          <cell r="P366">
            <v>217.8</v>
          </cell>
          <cell r="Q366">
            <v>138.9</v>
          </cell>
          <cell r="R366">
            <v>67</v>
          </cell>
          <cell r="S366">
            <v>36.5</v>
          </cell>
          <cell r="T366">
            <v>247.7</v>
          </cell>
          <cell r="U366">
            <v>396.5</v>
          </cell>
          <cell r="V366">
            <v>519.6</v>
          </cell>
          <cell r="W366">
            <v>533.79999999999995</v>
          </cell>
          <cell r="X366">
            <v>485.3</v>
          </cell>
          <cell r="Y366">
            <v>432.3</v>
          </cell>
          <cell r="Z366">
            <v>347.3</v>
          </cell>
          <cell r="AA366">
            <v>259</v>
          </cell>
          <cell r="AB366">
            <v>156.80000000000001</v>
          </cell>
          <cell r="AC366">
            <v>53.8</v>
          </cell>
          <cell r="AD366">
            <v>0</v>
          </cell>
          <cell r="AE366">
            <v>0</v>
          </cell>
          <cell r="AF366">
            <v>26.9</v>
          </cell>
          <cell r="AG366">
            <v>203.1</v>
          </cell>
          <cell r="AH366">
            <v>305.2</v>
          </cell>
          <cell r="AI366">
            <v>337.2</v>
          </cell>
          <cell r="AJ366">
            <v>309.7</v>
          </cell>
          <cell r="AK366">
            <v>2235.3000000000002</v>
          </cell>
          <cell r="AL366">
            <v>2133.6999999999998</v>
          </cell>
          <cell r="AM366">
            <v>1996.9</v>
          </cell>
          <cell r="AN366">
            <v>1873.2</v>
          </cell>
          <cell r="AO366">
            <v>1697.5</v>
          </cell>
          <cell r="AP366">
            <v>1569.6</v>
          </cell>
          <cell r="AQ366">
            <v>1709.4</v>
          </cell>
          <cell r="AR366">
            <v>1651.1</v>
          </cell>
          <cell r="AS366">
            <v>1606.8</v>
          </cell>
          <cell r="AT366">
            <v>1497.9</v>
          </cell>
          <cell r="AU366">
            <v>1361</v>
          </cell>
          <cell r="AV366">
            <v>1147.3</v>
          </cell>
          <cell r="AW366">
            <v>888.9</v>
          </cell>
          <cell r="AX366">
            <v>593.6</v>
          </cell>
          <cell r="AY366">
            <v>277.2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48.9</v>
          </cell>
          <cell r="BF366">
            <v>265.8</v>
          </cell>
          <cell r="BG366">
            <v>496.1</v>
          </cell>
          <cell r="BH366">
            <v>872.1</v>
          </cell>
          <cell r="BI366">
            <v>800.1</v>
          </cell>
          <cell r="BJ366">
            <v>704.9</v>
          </cell>
          <cell r="BK366">
            <v>566.9</v>
          </cell>
          <cell r="BL366">
            <v>459.3</v>
          </cell>
          <cell r="BM366">
            <v>240.2</v>
          </cell>
          <cell r="BN366">
            <v>63.3</v>
          </cell>
          <cell r="BO366">
            <v>102.1</v>
          </cell>
          <cell r="BP366">
            <v>349.9</v>
          </cell>
          <cell r="BQ366">
            <v>466.3</v>
          </cell>
          <cell r="BR366">
            <v>451.7</v>
          </cell>
          <cell r="BS366">
            <v>335.1</v>
          </cell>
          <cell r="BT366">
            <v>98.5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54.9</v>
          </cell>
          <cell r="DD366">
            <v>64.2</v>
          </cell>
          <cell r="DE366">
            <v>303.3</v>
          </cell>
          <cell r="DF366">
            <v>203.3</v>
          </cell>
          <cell r="DG366">
            <v>79.900000000000006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61.8</v>
          </cell>
          <cell r="DN366">
            <v>344.5</v>
          </cell>
          <cell r="DO366">
            <v>508.3</v>
          </cell>
          <cell r="DP366">
            <v>561.4</v>
          </cell>
          <cell r="DQ366">
            <v>550.29999999999995</v>
          </cell>
          <cell r="DR366">
            <v>489.9</v>
          </cell>
          <cell r="DS366">
            <v>392.1</v>
          </cell>
          <cell r="DT366">
            <v>294.60000000000002</v>
          </cell>
          <cell r="DU366">
            <v>191.6</v>
          </cell>
          <cell r="DV366">
            <v>154.30000000000001</v>
          </cell>
          <cell r="DW366">
            <v>298.60000000000002</v>
          </cell>
        </row>
        <row r="367">
          <cell r="A367" t="str">
            <v>Misc. Current Liabilities</v>
          </cell>
          <cell r="B367" t="str">
            <v>Derivative &amp; Reg Assts/Liabl</v>
          </cell>
          <cell r="C367" t="str">
            <v>Misc. Current Liabilities</v>
          </cell>
          <cell r="D367" t="str">
            <v>2540105</v>
          </cell>
          <cell r="E367" t="str">
            <v>A_2540105</v>
          </cell>
          <cell r="F367" t="str">
            <v>Current Derivative Liability - Regulatory</v>
          </cell>
          <cell r="G367">
            <v>1083.9100000000001</v>
          </cell>
          <cell r="H367">
            <v>3450.7</v>
          </cell>
          <cell r="I367">
            <v>2417.9</v>
          </cell>
          <cell r="J367">
            <v>1479.8</v>
          </cell>
          <cell r="K367">
            <v>2608.3000000000002</v>
          </cell>
          <cell r="L367">
            <v>1045.5999999999999</v>
          </cell>
          <cell r="M367">
            <v>579.5</v>
          </cell>
          <cell r="N367">
            <v>0</v>
          </cell>
          <cell r="O367">
            <v>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2.5</v>
          </cell>
          <cell r="AG367">
            <v>0</v>
          </cell>
          <cell r="AH367">
            <v>0</v>
          </cell>
          <cell r="AI367">
            <v>0</v>
          </cell>
          <cell r="AJ367">
            <v>3.7</v>
          </cell>
          <cell r="AK367">
            <v>235.3</v>
          </cell>
          <cell r="AL367">
            <v>215.6</v>
          </cell>
          <cell r="AM367">
            <v>103.7</v>
          </cell>
          <cell r="AN367">
            <v>63.2</v>
          </cell>
          <cell r="AO367">
            <v>24.5</v>
          </cell>
          <cell r="AP367">
            <v>383</v>
          </cell>
          <cell r="AQ367">
            <v>1721.8</v>
          </cell>
          <cell r="AR367">
            <v>428.6</v>
          </cell>
          <cell r="AS367">
            <v>31.5</v>
          </cell>
          <cell r="AT367">
            <v>481</v>
          </cell>
          <cell r="AU367">
            <v>504.4</v>
          </cell>
          <cell r="AV367">
            <v>161.80000000000001</v>
          </cell>
          <cell r="AW367">
            <v>86.8</v>
          </cell>
          <cell r="AX367">
            <v>8.5</v>
          </cell>
          <cell r="AY367">
            <v>94.1</v>
          </cell>
          <cell r="AZ367">
            <v>72.2</v>
          </cell>
          <cell r="BA367">
            <v>0</v>
          </cell>
          <cell r="BB367">
            <v>7.2</v>
          </cell>
          <cell r="BC367">
            <v>0</v>
          </cell>
          <cell r="BD367">
            <v>77.900000000000006</v>
          </cell>
          <cell r="BE367">
            <v>0</v>
          </cell>
          <cell r="BF367">
            <v>0</v>
          </cell>
          <cell r="BG367">
            <v>2</v>
          </cell>
          <cell r="BH367">
            <v>20</v>
          </cell>
          <cell r="BI367">
            <v>15.3</v>
          </cell>
          <cell r="BJ367">
            <v>0</v>
          </cell>
          <cell r="BK367">
            <v>3.5</v>
          </cell>
          <cell r="BL367">
            <v>10</v>
          </cell>
          <cell r="BM367">
            <v>14.7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EK367" t="str">
            <v>2021 8&amp;4 Dec Balance</v>
          </cell>
          <cell r="EL367" t="str">
            <v>A_2540105</v>
          </cell>
        </row>
        <row r="368">
          <cell r="A368" t="str">
            <v>Other LT Regulatory Deriviates &amp; Liabilities</v>
          </cell>
          <cell r="B368" t="str">
            <v>Derivative &amp; Reg Assts/Liabl</v>
          </cell>
          <cell r="C368" t="str">
            <v>Misc. Current Liabilities</v>
          </cell>
          <cell r="D368" t="str">
            <v>2540205</v>
          </cell>
          <cell r="E368" t="str">
            <v>A_2540205</v>
          </cell>
          <cell r="F368" t="str">
            <v>Long-Term Derivative Liability - Regulatory</v>
          </cell>
          <cell r="G368">
            <v>51.234999999999999</v>
          </cell>
          <cell r="H368">
            <v>113.8</v>
          </cell>
          <cell r="I368">
            <v>71.599999999999994</v>
          </cell>
          <cell r="J368">
            <v>25.2</v>
          </cell>
          <cell r="K368">
            <v>481.9</v>
          </cell>
          <cell r="L368">
            <v>135</v>
          </cell>
          <cell r="M368">
            <v>98.2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0.4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2.8</v>
          </cell>
          <cell r="AI368">
            <v>56.3</v>
          </cell>
          <cell r="AJ368">
            <v>75</v>
          </cell>
          <cell r="AK368">
            <v>123.3</v>
          </cell>
          <cell r="AL368">
            <v>136.1</v>
          </cell>
          <cell r="AM368">
            <v>97.9</v>
          </cell>
          <cell r="AN368">
            <v>55.1</v>
          </cell>
          <cell r="AO368">
            <v>128.9</v>
          </cell>
          <cell r="AP368">
            <v>149.19999999999999</v>
          </cell>
          <cell r="AQ368">
            <v>267.39999999999998</v>
          </cell>
          <cell r="AR368">
            <v>106.8</v>
          </cell>
          <cell r="AS368">
            <v>0</v>
          </cell>
          <cell r="AT368">
            <v>1.9</v>
          </cell>
          <cell r="AU368">
            <v>34.4</v>
          </cell>
          <cell r="AV368">
            <v>7.7</v>
          </cell>
          <cell r="AW368">
            <v>1.5</v>
          </cell>
          <cell r="AX368">
            <v>0</v>
          </cell>
          <cell r="AY368">
            <v>7.1</v>
          </cell>
          <cell r="AZ368">
            <v>7.6</v>
          </cell>
          <cell r="BA368">
            <v>4.8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EK368" t="str">
            <v>2021 8&amp;4 Dec Balance</v>
          </cell>
          <cell r="EL368" t="str">
            <v>A_2540205</v>
          </cell>
        </row>
        <row r="369">
          <cell r="A369" t="str">
            <v>Other LT Regulatory Deriviates &amp; Liabilities</v>
          </cell>
          <cell r="B369" t="str">
            <v>Derivative &amp; Reg Assts/Liabl</v>
          </cell>
          <cell r="C369" t="str">
            <v>Misc. Current Liabilities</v>
          </cell>
          <cell r="D369" t="str">
            <v>2540280</v>
          </cell>
          <cell r="E369" t="str">
            <v>A_2540280</v>
          </cell>
          <cell r="F369" t="str">
            <v>Oth Reg Liab-Defd Gain Prop Sales-NonCurrent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8562.2999999999993</v>
          </cell>
          <cell r="AL369">
            <v>8428.5</v>
          </cell>
          <cell r="AM369">
            <v>8205.6</v>
          </cell>
          <cell r="AN369">
            <v>8027.2</v>
          </cell>
          <cell r="AO369">
            <v>7848.8</v>
          </cell>
          <cell r="AP369">
            <v>7670.4</v>
          </cell>
          <cell r="AQ369">
            <v>7492</v>
          </cell>
          <cell r="AR369">
            <v>7313.7</v>
          </cell>
          <cell r="AS369">
            <v>7135.3</v>
          </cell>
          <cell r="AT369">
            <v>6956.9</v>
          </cell>
          <cell r="AU369">
            <v>6778.5</v>
          </cell>
          <cell r="AV369">
            <v>6600.1</v>
          </cell>
          <cell r="AW369">
            <v>6421.8</v>
          </cell>
          <cell r="AX369">
            <v>6243.4</v>
          </cell>
          <cell r="AY369">
            <v>6065</v>
          </cell>
          <cell r="AZ369">
            <v>5886.6</v>
          </cell>
          <cell r="BA369">
            <v>5708.2</v>
          </cell>
          <cell r="BB369">
            <v>5529.8</v>
          </cell>
          <cell r="BC369">
            <v>5351.5</v>
          </cell>
          <cell r="BD369">
            <v>5173.1000000000004</v>
          </cell>
          <cell r="BE369">
            <v>4994.7</v>
          </cell>
          <cell r="BF369">
            <v>4816.3</v>
          </cell>
          <cell r="BG369">
            <v>4637.8999999999996</v>
          </cell>
          <cell r="BH369">
            <v>4459.6000000000004</v>
          </cell>
          <cell r="BI369">
            <v>4281.2</v>
          </cell>
          <cell r="BJ369">
            <v>4102.8</v>
          </cell>
          <cell r="BK369">
            <v>3924.4</v>
          </cell>
          <cell r="BL369">
            <v>3746</v>
          </cell>
          <cell r="BM369">
            <v>3567.6</v>
          </cell>
          <cell r="BN369">
            <v>3389.3</v>
          </cell>
          <cell r="BO369">
            <v>3210.9</v>
          </cell>
          <cell r="BP369">
            <v>3032.5</v>
          </cell>
          <cell r="BQ369">
            <v>2854.1</v>
          </cell>
          <cell r="BR369">
            <v>2675.7</v>
          </cell>
          <cell r="BS369">
            <v>2497.3000000000002</v>
          </cell>
          <cell r="BT369">
            <v>2319</v>
          </cell>
          <cell r="BU369">
            <v>2140.6</v>
          </cell>
          <cell r="BV369">
            <v>1962.2</v>
          </cell>
          <cell r="BW369">
            <v>1783.8</v>
          </cell>
          <cell r="BX369">
            <v>1605.4</v>
          </cell>
          <cell r="BY369">
            <v>1427.1</v>
          </cell>
          <cell r="BZ369">
            <v>1248.7</v>
          </cell>
          <cell r="CA369">
            <v>1070.3</v>
          </cell>
          <cell r="CB369">
            <v>891.9</v>
          </cell>
          <cell r="CC369">
            <v>713.5</v>
          </cell>
          <cell r="CD369">
            <v>535.1</v>
          </cell>
          <cell r="CE369">
            <v>356.8</v>
          </cell>
          <cell r="CF369">
            <v>177.4</v>
          </cell>
          <cell r="CG369">
            <v>21.4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645.6</v>
          </cell>
          <cell r="DC369">
            <v>632.20000000000005</v>
          </cell>
          <cell r="DD369">
            <v>618.70000000000005</v>
          </cell>
          <cell r="DE369">
            <v>605.29999999999995</v>
          </cell>
          <cell r="DF369">
            <v>2173.5</v>
          </cell>
          <cell r="DG369">
            <v>2127.1</v>
          </cell>
          <cell r="DH369">
            <v>2080.6999999999998</v>
          </cell>
          <cell r="DI369">
            <v>2034.3</v>
          </cell>
          <cell r="DJ369">
            <v>1987.9</v>
          </cell>
          <cell r="DK369">
            <v>1941.5</v>
          </cell>
          <cell r="DL369">
            <v>1895.1</v>
          </cell>
          <cell r="DM369">
            <v>1848.7</v>
          </cell>
          <cell r="DN369">
            <v>1802.3</v>
          </cell>
          <cell r="DO369">
            <v>1755.9</v>
          </cell>
          <cell r="DP369">
            <v>1709.5</v>
          </cell>
          <cell r="DQ369">
            <v>1663.1</v>
          </cell>
          <cell r="DR369">
            <v>1616.7</v>
          </cell>
          <cell r="DS369">
            <v>1570.3</v>
          </cell>
          <cell r="DT369">
            <v>1523.9</v>
          </cell>
          <cell r="DU369">
            <v>1477.5</v>
          </cell>
          <cell r="DV369">
            <v>1431.1</v>
          </cell>
          <cell r="DW369">
            <v>1384.7</v>
          </cell>
          <cell r="EK369" t="str">
            <v>Ended June 2021</v>
          </cell>
          <cell r="EL369" t="str">
            <v>A_2540280</v>
          </cell>
          <cell r="EM369">
            <v>1895100</v>
          </cell>
          <cell r="EN369">
            <v>1895053.6</v>
          </cell>
          <cell r="EO369">
            <v>1895007.2000000002</v>
          </cell>
          <cell r="EP369">
            <v>1894960.8000000003</v>
          </cell>
          <cell r="EQ369">
            <v>1894914.4000000004</v>
          </cell>
          <cell r="ER369">
            <v>1894868.0000000005</v>
          </cell>
          <cell r="ES369">
            <v>1894821.6000000006</v>
          </cell>
          <cell r="ET369">
            <v>1894775.2000000007</v>
          </cell>
          <cell r="EU369">
            <v>1894728.8000000007</v>
          </cell>
          <cell r="EV369">
            <v>1894682.4000000008</v>
          </cell>
          <cell r="EW369">
            <v>1894636.0000000009</v>
          </cell>
          <cell r="EX369">
            <v>1894589.600000001</v>
          </cell>
        </row>
        <row r="370">
          <cell r="A370" t="str">
            <v>Other LT Regulatory Deriviates &amp; Liabilities</v>
          </cell>
          <cell r="B370" t="str">
            <v>Derivative &amp; Reg Assts/Liabl</v>
          </cell>
          <cell r="C370" t="str">
            <v>Other Deferred Credits</v>
          </cell>
          <cell r="D370" t="str">
            <v>2540281</v>
          </cell>
          <cell r="E370" t="str">
            <v>A_2540281</v>
          </cell>
          <cell r="F370" t="str">
            <v>Oth Reg Liab-Defd Gain Prop Sale-Distrb-NonCurrent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</row>
        <row r="371">
          <cell r="A371" t="str">
            <v>Current Regualtory &amp; Derivative Liability</v>
          </cell>
          <cell r="B371" t="str">
            <v>Derivative &amp; Reg Assts/Liabl</v>
          </cell>
          <cell r="C371" t="str">
            <v>Other Deferred Credits</v>
          </cell>
          <cell r="D371" t="str">
            <v>2540330</v>
          </cell>
          <cell r="E371" t="str">
            <v>A_2540330</v>
          </cell>
          <cell r="F371" t="str">
            <v>Oth Reg Liab-Gas Research Regulatory Liability</v>
          </cell>
          <cell r="G371">
            <v>676.67804000000001</v>
          </cell>
          <cell r="H371">
            <v>718.3</v>
          </cell>
          <cell r="I371">
            <v>760</v>
          </cell>
          <cell r="J371">
            <v>662.1</v>
          </cell>
          <cell r="K371">
            <v>690.2</v>
          </cell>
          <cell r="L371">
            <v>731.9</v>
          </cell>
          <cell r="M371">
            <v>773.6</v>
          </cell>
          <cell r="N371">
            <v>815.2</v>
          </cell>
          <cell r="O371">
            <v>776.2</v>
          </cell>
          <cell r="P371">
            <v>817.8</v>
          </cell>
          <cell r="Q371">
            <v>859.5</v>
          </cell>
          <cell r="R371">
            <v>887.7</v>
          </cell>
          <cell r="S371">
            <v>929.3</v>
          </cell>
          <cell r="T371">
            <v>764.3</v>
          </cell>
          <cell r="U371">
            <v>764.3</v>
          </cell>
          <cell r="V371">
            <v>610</v>
          </cell>
          <cell r="W371">
            <v>565.1</v>
          </cell>
          <cell r="X371">
            <v>547.29999999999995</v>
          </cell>
          <cell r="Y371">
            <v>560.29999999999995</v>
          </cell>
          <cell r="Z371">
            <v>546.29999999999995</v>
          </cell>
          <cell r="AA371">
            <v>546.29999999999995</v>
          </cell>
          <cell r="AB371">
            <v>507.5</v>
          </cell>
          <cell r="AC371">
            <v>507.5</v>
          </cell>
          <cell r="AD371">
            <v>507.5</v>
          </cell>
          <cell r="AE371">
            <v>482.5</v>
          </cell>
          <cell r="AF371">
            <v>459</v>
          </cell>
          <cell r="AG371">
            <v>459</v>
          </cell>
          <cell r="AH371">
            <v>294</v>
          </cell>
          <cell r="AI371">
            <v>160.4</v>
          </cell>
          <cell r="AJ371">
            <v>160.4</v>
          </cell>
          <cell r="AK371">
            <v>160.4</v>
          </cell>
          <cell r="AL371">
            <v>160.4</v>
          </cell>
          <cell r="AM371">
            <v>157.9</v>
          </cell>
          <cell r="AN371">
            <v>157.9</v>
          </cell>
          <cell r="AO371">
            <v>157.9</v>
          </cell>
          <cell r="AP371">
            <v>157.9</v>
          </cell>
          <cell r="AQ371">
            <v>0</v>
          </cell>
          <cell r="AR371">
            <v>41.7</v>
          </cell>
          <cell r="AS371">
            <v>58.3</v>
          </cell>
          <cell r="AT371">
            <v>77.5</v>
          </cell>
          <cell r="AU371">
            <v>-37.5</v>
          </cell>
          <cell r="AV371">
            <v>-9.4</v>
          </cell>
          <cell r="AW371">
            <v>6.9</v>
          </cell>
          <cell r="AX371">
            <v>36</v>
          </cell>
          <cell r="AY371">
            <v>64.599999999999994</v>
          </cell>
          <cell r="AZ371">
            <v>93.8</v>
          </cell>
          <cell r="BA371">
            <v>123</v>
          </cell>
          <cell r="BB371">
            <v>145.4</v>
          </cell>
          <cell r="BC371">
            <v>0</v>
          </cell>
          <cell r="BD371">
            <v>33.299999999999997</v>
          </cell>
          <cell r="BE371">
            <v>66.7</v>
          </cell>
          <cell r="BF371">
            <v>100</v>
          </cell>
          <cell r="BG371">
            <v>133.30000000000001</v>
          </cell>
          <cell r="BH371">
            <v>148.9</v>
          </cell>
          <cell r="BI371">
            <v>-0.3</v>
          </cell>
          <cell r="BJ371">
            <v>30.5</v>
          </cell>
          <cell r="BK371">
            <v>63.8</v>
          </cell>
          <cell r="BL371">
            <v>97.1</v>
          </cell>
          <cell r="BM371">
            <v>109</v>
          </cell>
          <cell r="BN371">
            <v>142.4</v>
          </cell>
          <cell r="BO371">
            <v>10.7</v>
          </cell>
          <cell r="BP371">
            <v>52.4</v>
          </cell>
          <cell r="BQ371">
            <v>94</v>
          </cell>
          <cell r="BR371">
            <v>-46.8</v>
          </cell>
          <cell r="BS371">
            <v>-6.1</v>
          </cell>
          <cell r="BT371">
            <v>34.6</v>
          </cell>
          <cell r="BU371">
            <v>76.3</v>
          </cell>
          <cell r="BV371">
            <v>91.6</v>
          </cell>
          <cell r="BW371">
            <v>133.19999999999999</v>
          </cell>
          <cell r="BX371">
            <v>174.9</v>
          </cell>
          <cell r="BY371">
            <v>216.6</v>
          </cell>
          <cell r="BZ371">
            <v>258.2</v>
          </cell>
          <cell r="CA371">
            <v>128.5</v>
          </cell>
          <cell r="CB371">
            <v>170.2</v>
          </cell>
          <cell r="CC371">
            <v>211.8</v>
          </cell>
          <cell r="CD371">
            <v>53.5</v>
          </cell>
          <cell r="CE371">
            <v>95.2</v>
          </cell>
          <cell r="CF371">
            <v>111.8</v>
          </cell>
          <cell r="CG371">
            <v>153.5</v>
          </cell>
          <cell r="CH371">
            <v>195.2</v>
          </cell>
          <cell r="CI371">
            <v>172.8</v>
          </cell>
          <cell r="CJ371">
            <v>172.8</v>
          </cell>
          <cell r="CK371">
            <v>172.8</v>
          </cell>
          <cell r="CL371">
            <v>172.8</v>
          </cell>
          <cell r="CM371">
            <v>372.8</v>
          </cell>
          <cell r="CN371">
            <v>182.8</v>
          </cell>
          <cell r="CO371">
            <v>182.8</v>
          </cell>
          <cell r="CP371">
            <v>-17.2</v>
          </cell>
          <cell r="CQ371">
            <v>-17.2</v>
          </cell>
          <cell r="CR371">
            <v>-17.2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-200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</row>
        <row r="372">
          <cell r="A372" t="str">
            <v>Current Regualtory &amp; Derivative Liability</v>
          </cell>
          <cell r="B372" t="str">
            <v>Derivative &amp; Reg Assts/Liabl</v>
          </cell>
          <cell r="C372" t="str">
            <v>Other Deferred Credits</v>
          </cell>
          <cell r="D372" t="str">
            <v>2540331</v>
          </cell>
          <cell r="E372" t="str">
            <v>A_2540331</v>
          </cell>
          <cell r="F372" t="str">
            <v>Oth Reg Liab-TIMP Accrual - Current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186.2</v>
          </cell>
          <cell r="DI372">
            <v>258.8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</row>
        <row r="373">
          <cell r="A373" t="str">
            <v>Other Reserves &amp; Reg Liabilities</v>
          </cell>
          <cell r="B373" t="str">
            <v>Derivative &amp; Reg Assts/Liabl</v>
          </cell>
          <cell r="C373" t="str">
            <v>Other Deferred Credits</v>
          </cell>
          <cell r="D373" t="str">
            <v>2540340</v>
          </cell>
          <cell r="E373" t="str">
            <v>A_2540340</v>
          </cell>
          <cell r="F373" t="str">
            <v>Oth Reg Liab-MGP Environmental Remediation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</row>
        <row r="374">
          <cell r="A374" t="str">
            <v>Other LT Regulatory Deriviates &amp; Liabilities</v>
          </cell>
          <cell r="B374" t="str">
            <v>Deferred Taxes - BS Change</v>
          </cell>
          <cell r="C374" t="str">
            <v>Regulatory Liabilities  - Tax Related</v>
          </cell>
          <cell r="D374" t="str">
            <v>2540610</v>
          </cell>
          <cell r="E374" t="str">
            <v>A_2540610</v>
          </cell>
          <cell r="F374" t="str">
            <v>Oth Reg Liab-FAS 109 Income Tax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89215.2</v>
          </cell>
          <cell r="BD374">
            <v>88993.600000000006</v>
          </cell>
          <cell r="BE374">
            <v>88772.7</v>
          </cell>
          <cell r="BF374">
            <v>88827.8</v>
          </cell>
          <cell r="BG374">
            <v>88698.7</v>
          </cell>
          <cell r="BH374">
            <v>89028.6</v>
          </cell>
          <cell r="BI374">
            <v>88991.3</v>
          </cell>
          <cell r="BJ374">
            <v>88954</v>
          </cell>
          <cell r="BK374">
            <v>88929.4</v>
          </cell>
          <cell r="BL374">
            <v>88893.7</v>
          </cell>
          <cell r="BM374">
            <v>88858</v>
          </cell>
          <cell r="BN374">
            <v>90723.7</v>
          </cell>
          <cell r="BO374">
            <v>90688</v>
          </cell>
          <cell r="BP374">
            <v>90707.199999999997</v>
          </cell>
          <cell r="BQ374">
            <v>90773.6</v>
          </cell>
          <cell r="BR374">
            <v>90817</v>
          </cell>
          <cell r="BS374">
            <v>90859.1</v>
          </cell>
          <cell r="BT374">
            <v>90901.9</v>
          </cell>
          <cell r="BU374">
            <v>90944.7</v>
          </cell>
          <cell r="BV374">
            <v>90987.5</v>
          </cell>
          <cell r="BW374">
            <v>91073.7</v>
          </cell>
          <cell r="BX374">
            <v>89875.6</v>
          </cell>
          <cell r="BY374">
            <v>89923</v>
          </cell>
          <cell r="BZ374">
            <v>89970.4</v>
          </cell>
          <cell r="CA374">
            <v>90472.8</v>
          </cell>
          <cell r="CB374">
            <v>90500</v>
          </cell>
          <cell r="CC374">
            <v>90518.8</v>
          </cell>
          <cell r="CD374">
            <v>90372.7</v>
          </cell>
          <cell r="CE374">
            <v>90395.199999999997</v>
          </cell>
          <cell r="CF374">
            <v>90417.600000000006</v>
          </cell>
          <cell r="CG374">
            <v>90530.8</v>
          </cell>
          <cell r="CH374">
            <v>90553.3</v>
          </cell>
          <cell r="CI374">
            <v>90531.8</v>
          </cell>
          <cell r="CJ374">
            <v>90637.4</v>
          </cell>
          <cell r="CK374">
            <v>93142.2</v>
          </cell>
          <cell r="CL374">
            <v>93187.199999999997</v>
          </cell>
          <cell r="CM374">
            <v>93201.3</v>
          </cell>
          <cell r="CN374">
            <v>93223.4</v>
          </cell>
          <cell r="CO374">
            <v>93198.1</v>
          </cell>
          <cell r="CP374">
            <v>93042.9</v>
          </cell>
          <cell r="CQ374">
            <v>93138.4</v>
          </cell>
          <cell r="CR374">
            <v>93162.2</v>
          </cell>
          <cell r="CS374">
            <v>92987.9</v>
          </cell>
          <cell r="CT374">
            <v>93010.8</v>
          </cell>
          <cell r="CU374">
            <v>93034.1</v>
          </cell>
          <cell r="CV374">
            <v>92792.7</v>
          </cell>
          <cell r="CW374">
            <v>92761.600000000006</v>
          </cell>
          <cell r="CX374">
            <v>93212.3</v>
          </cell>
          <cell r="CY374">
            <v>88446.1</v>
          </cell>
          <cell r="CZ374">
            <v>88506.5</v>
          </cell>
          <cell r="DA374">
            <v>88566.3</v>
          </cell>
          <cell r="DB374">
            <v>88307.199999999997</v>
          </cell>
          <cell r="DC374">
            <v>88362.3</v>
          </cell>
          <cell r="DD374">
            <v>88416.5</v>
          </cell>
          <cell r="DE374">
            <v>88290.7</v>
          </cell>
          <cell r="DF374">
            <v>88341.3</v>
          </cell>
          <cell r="DG374">
            <v>88539.6</v>
          </cell>
          <cell r="DH374">
            <v>88612.2</v>
          </cell>
          <cell r="DI374">
            <v>88681.9</v>
          </cell>
          <cell r="DJ374">
            <v>88752.4</v>
          </cell>
          <cell r="DK374">
            <v>88659.8</v>
          </cell>
          <cell r="DL374">
            <v>89616.5</v>
          </cell>
          <cell r="DM374">
            <v>89641.2</v>
          </cell>
          <cell r="DN374">
            <v>89295.6</v>
          </cell>
          <cell r="DO374">
            <v>89320.3</v>
          </cell>
          <cell r="DP374">
            <v>89345</v>
          </cell>
          <cell r="DQ374">
            <v>89273.1</v>
          </cell>
          <cell r="DR374">
            <v>89297.8</v>
          </cell>
          <cell r="DS374">
            <v>89322.5</v>
          </cell>
          <cell r="DT374">
            <v>89364.3</v>
          </cell>
          <cell r="DU374">
            <v>89389</v>
          </cell>
          <cell r="DV374">
            <v>89413.6</v>
          </cell>
          <cell r="DW374">
            <v>89265.3</v>
          </cell>
        </row>
        <row r="375">
          <cell r="A375" t="str">
            <v>Current Regualtory &amp; Derivative Liability</v>
          </cell>
          <cell r="B375" t="str">
            <v>Derivative &amp; Reg Assts/Liabl</v>
          </cell>
          <cell r="C375" t="str">
            <v>Misc. Current Liabilities</v>
          </cell>
          <cell r="D375" t="str">
            <v>2540612</v>
          </cell>
          <cell r="E375" t="str">
            <v>A_2540612</v>
          </cell>
          <cell r="F375" t="str">
            <v>Oth Reg Liab-Deferred Tax Reform Impact Current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1338.2</v>
          </cell>
          <cell r="BF375">
            <v>2469.6999999999998</v>
          </cell>
          <cell r="BG375">
            <v>3636.9</v>
          </cell>
          <cell r="BH375">
            <v>3920.5</v>
          </cell>
          <cell r="BI375">
            <v>4641.8999999999996</v>
          </cell>
          <cell r="BJ375">
            <v>5353.7</v>
          </cell>
          <cell r="BK375">
            <v>6054.1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720.5</v>
          </cell>
          <cell r="CW375">
            <v>689.1</v>
          </cell>
          <cell r="CX375">
            <v>755.6</v>
          </cell>
          <cell r="CY375">
            <v>851.6</v>
          </cell>
          <cell r="CZ375">
            <v>851.6</v>
          </cell>
          <cell r="DA375">
            <v>851.6</v>
          </cell>
          <cell r="DB375">
            <v>851.6</v>
          </cell>
          <cell r="DC375">
            <v>851.6</v>
          </cell>
          <cell r="DD375">
            <v>843.8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EL375" t="str">
            <v>A_2540612</v>
          </cell>
        </row>
        <row r="376">
          <cell r="A376" t="str">
            <v>Other Reserves &amp; Reg Liabilities</v>
          </cell>
          <cell r="B376" t="str">
            <v>Derivative &amp; Reg Assts/Liabl</v>
          </cell>
          <cell r="D376" t="str">
            <v>2540800</v>
          </cell>
          <cell r="E376" t="str">
            <v>A_2540800</v>
          </cell>
          <cell r="F376" t="str">
            <v>Oth Reg Liab-Miscellaneous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</row>
        <row r="377">
          <cell r="D377" t="str">
            <v>254</v>
          </cell>
          <cell r="E377">
            <v>254</v>
          </cell>
          <cell r="G377">
            <v>1845.8370399999999</v>
          </cell>
          <cell r="H377">
            <v>4451.6000000000004</v>
          </cell>
          <cell r="I377">
            <v>3544.3</v>
          </cell>
          <cell r="J377">
            <v>2770.7999999999997</v>
          </cell>
          <cell r="K377">
            <v>4789.3999999999996</v>
          </cell>
          <cell r="L377">
            <v>3059.8</v>
          </cell>
          <cell r="M377">
            <v>2684.7000000000003</v>
          </cell>
          <cell r="N377">
            <v>1497.3000000000002</v>
          </cell>
          <cell r="O377">
            <v>1195.5</v>
          </cell>
          <cell r="P377">
            <v>1035.5999999999999</v>
          </cell>
          <cell r="Q377">
            <v>998.4</v>
          </cell>
          <cell r="R377">
            <v>954.7</v>
          </cell>
          <cell r="S377">
            <v>1275.3</v>
          </cell>
          <cell r="T377">
            <v>1671.5</v>
          </cell>
          <cell r="U377">
            <v>2636.6</v>
          </cell>
          <cell r="V377">
            <v>3171.4</v>
          </cell>
          <cell r="W377">
            <v>3564.7000000000003</v>
          </cell>
          <cell r="X377">
            <v>3407.7</v>
          </cell>
          <cell r="Y377">
            <v>3406.8</v>
          </cell>
          <cell r="Z377">
            <v>3262</v>
          </cell>
          <cell r="AA377">
            <v>2939.2</v>
          </cell>
          <cell r="AB377">
            <v>2682.1</v>
          </cell>
          <cell r="AC377">
            <v>2173.1</v>
          </cell>
          <cell r="AD377">
            <v>2272.9</v>
          </cell>
          <cell r="AE377">
            <v>2619</v>
          </cell>
          <cell r="AF377">
            <v>2783</v>
          </cell>
          <cell r="AG377">
            <v>3366.1</v>
          </cell>
          <cell r="AH377">
            <v>3441.1</v>
          </cell>
          <cell r="AI377">
            <v>3487.4</v>
          </cell>
          <cell r="AJ377">
            <v>3160.8999999999996</v>
          </cell>
          <cell r="AK377">
            <v>13556.5</v>
          </cell>
          <cell r="AL377">
            <v>13008.699999999999</v>
          </cell>
          <cell r="AM377">
            <v>11699.1</v>
          </cell>
          <cell r="AN377">
            <v>11094.3</v>
          </cell>
          <cell r="AO377">
            <v>10169.799999999999</v>
          </cell>
          <cell r="AP377">
            <v>10220.699999999999</v>
          </cell>
          <cell r="AQ377">
            <v>11190.6</v>
          </cell>
          <cell r="AR377">
            <v>10313.800000000001</v>
          </cell>
          <cell r="AS377">
            <v>10154.799999999999</v>
          </cell>
          <cell r="AT377">
            <v>10629.9</v>
          </cell>
          <cell r="AU377">
            <v>10540</v>
          </cell>
          <cell r="AV377">
            <v>9369.7000000000007</v>
          </cell>
          <cell r="AW377">
            <v>8244.4</v>
          </cell>
          <cell r="AX377">
            <v>7064.0999999999995</v>
          </cell>
          <cell r="AY377">
            <v>6508</v>
          </cell>
          <cell r="AZ377">
            <v>6060.2000000000007</v>
          </cell>
          <cell r="BA377">
            <v>5836</v>
          </cell>
          <cell r="BB377">
            <v>5682.4</v>
          </cell>
          <cell r="BC377">
            <v>94566.7</v>
          </cell>
          <cell r="BD377">
            <v>94277.900000000009</v>
          </cell>
          <cell r="BE377">
            <v>95221.2</v>
          </cell>
          <cell r="BF377">
            <v>96479.6</v>
          </cell>
          <cell r="BG377">
            <v>97604.9</v>
          </cell>
          <cell r="BH377">
            <v>98449.700000000012</v>
          </cell>
          <cell r="BI377">
            <v>98729.5</v>
          </cell>
          <cell r="BJ377">
            <v>99145.9</v>
          </cell>
          <cell r="BK377">
            <v>99542.1</v>
          </cell>
          <cell r="BL377">
            <v>93206.099999999991</v>
          </cell>
          <cell r="BM377">
            <v>92789.5</v>
          </cell>
          <cell r="BN377">
            <v>94318.7</v>
          </cell>
          <cell r="BO377">
            <v>94011.7</v>
          </cell>
          <cell r="BP377">
            <v>94142</v>
          </cell>
          <cell r="BQ377">
            <v>94188</v>
          </cell>
          <cell r="BR377">
            <v>93897.600000000006</v>
          </cell>
          <cell r="BS377">
            <v>93685.400000000009</v>
          </cell>
          <cell r="BT377">
            <v>93354</v>
          </cell>
          <cell r="BU377">
            <v>93161.599999999991</v>
          </cell>
          <cell r="BV377">
            <v>93041.3</v>
          </cell>
          <cell r="BW377">
            <v>92990.7</v>
          </cell>
          <cell r="BX377">
            <v>91655.900000000009</v>
          </cell>
          <cell r="BY377">
            <v>91566.7</v>
          </cell>
          <cell r="BZ377">
            <v>91477.299999999988</v>
          </cell>
          <cell r="CA377">
            <v>91671.6</v>
          </cell>
          <cell r="CB377">
            <v>91562.1</v>
          </cell>
          <cell r="CC377">
            <v>91444.1</v>
          </cell>
          <cell r="CD377">
            <v>90961.3</v>
          </cell>
          <cell r="CE377">
            <v>90847.2</v>
          </cell>
          <cell r="CF377">
            <v>90706.8</v>
          </cell>
          <cell r="CG377">
            <v>90705.7</v>
          </cell>
          <cell r="CH377">
            <v>90748.5</v>
          </cell>
          <cell r="CI377">
            <v>90704.6</v>
          </cell>
          <cell r="CJ377">
            <v>90810.2</v>
          </cell>
          <cell r="CK377">
            <v>93315</v>
          </cell>
          <cell r="CL377">
            <v>93360</v>
          </cell>
          <cell r="CM377">
            <v>93574.1</v>
          </cell>
          <cell r="CN377">
            <v>93406.2</v>
          </cell>
          <cell r="CO377">
            <v>93380.900000000009</v>
          </cell>
          <cell r="CP377">
            <v>93025.7</v>
          </cell>
          <cell r="CQ377">
            <v>93121.2</v>
          </cell>
          <cell r="CR377">
            <v>93145</v>
          </cell>
          <cell r="CS377">
            <v>92987.9</v>
          </cell>
          <cell r="CT377">
            <v>93010.8</v>
          </cell>
          <cell r="CU377">
            <v>93034.1</v>
          </cell>
          <cell r="CV377">
            <v>93513.2</v>
          </cell>
          <cell r="CW377">
            <v>93450.700000000012</v>
          </cell>
          <cell r="CX377">
            <v>93967.900000000009</v>
          </cell>
          <cell r="CY377">
            <v>89297.700000000012</v>
          </cell>
          <cell r="CZ377">
            <v>89869.5</v>
          </cell>
          <cell r="DA377">
            <v>91567.400000000009</v>
          </cell>
          <cell r="DB377">
            <v>91361.400000000009</v>
          </cell>
          <cell r="DC377">
            <v>92434.900000000009</v>
          </cell>
          <cell r="DD377">
            <v>93199.2</v>
          </cell>
          <cell r="DE377">
            <v>93398</v>
          </cell>
          <cell r="DF377">
            <v>93534.2</v>
          </cell>
          <cell r="DG377">
            <v>93276.800000000003</v>
          </cell>
          <cell r="DH377">
            <v>92756.9</v>
          </cell>
          <cell r="DI377">
            <v>92611.7</v>
          </cell>
          <cell r="DJ377">
            <v>92145.4</v>
          </cell>
          <cell r="DK377">
            <v>92149.7</v>
          </cell>
          <cell r="DL377">
            <v>93521.3</v>
          </cell>
          <cell r="DM377">
            <v>93789.7</v>
          </cell>
          <cell r="DN377">
            <v>93605.6</v>
          </cell>
          <cell r="DO377">
            <v>93666.400000000009</v>
          </cell>
          <cell r="DP377">
            <v>93275.1</v>
          </cell>
          <cell r="DQ377">
            <v>92608.700000000012</v>
          </cell>
          <cell r="DR377">
            <v>91930</v>
          </cell>
          <cell r="DS377">
            <v>91284.9</v>
          </cell>
          <cell r="DT377">
            <v>91182.8</v>
          </cell>
          <cell r="DU377">
            <v>91058.1</v>
          </cell>
          <cell r="DV377">
            <v>90999</v>
          </cell>
          <cell r="DW377">
            <v>90948.6</v>
          </cell>
          <cell r="EJ377" t="str">
            <v>.</v>
          </cell>
        </row>
        <row r="378">
          <cell r="A378" t="str">
            <v>Def. Inc. Tax Credit</v>
          </cell>
          <cell r="B378" t="str">
            <v>Derivative &amp; Reg Assts/Liabl</v>
          </cell>
          <cell r="C378" t="str">
            <v>Other Deferred Credits</v>
          </cell>
          <cell r="D378" t="str">
            <v>2550000</v>
          </cell>
          <cell r="E378" t="str">
            <v>A_2550000</v>
          </cell>
          <cell r="F378" t="str">
            <v>Accumulated Deferred Investment Tax Credits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3313.3</v>
          </cell>
          <cell r="DM378">
            <v>3313.3</v>
          </cell>
          <cell r="DN378">
            <v>3313.3</v>
          </cell>
          <cell r="DO378">
            <v>3313.3</v>
          </cell>
          <cell r="DP378">
            <v>3313.3</v>
          </cell>
          <cell r="DQ378">
            <v>3313.3</v>
          </cell>
          <cell r="DR378">
            <v>3313.3</v>
          </cell>
          <cell r="DS378">
            <v>3313.3</v>
          </cell>
          <cell r="DT378">
            <v>3313.3</v>
          </cell>
          <cell r="DU378">
            <v>3313.3</v>
          </cell>
          <cell r="DV378">
            <v>3313.3</v>
          </cell>
          <cell r="DW378">
            <v>3313.3</v>
          </cell>
        </row>
        <row r="379">
          <cell r="D379">
            <v>255</v>
          </cell>
          <cell r="E379">
            <v>255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3313.3</v>
          </cell>
          <cell r="DM379">
            <v>3313.3</v>
          </cell>
          <cell r="DN379">
            <v>3313.3</v>
          </cell>
          <cell r="DO379">
            <v>3313.3</v>
          </cell>
          <cell r="DP379">
            <v>3313.3</v>
          </cell>
          <cell r="DQ379">
            <v>3313.3</v>
          </cell>
          <cell r="DR379">
            <v>3313.3</v>
          </cell>
          <cell r="DS379">
            <v>3313.3</v>
          </cell>
          <cell r="DT379">
            <v>3313.3</v>
          </cell>
          <cell r="DU379">
            <v>3313.3</v>
          </cell>
          <cell r="DV379">
            <v>3313.3</v>
          </cell>
          <cell r="DW379">
            <v>3313.3</v>
          </cell>
        </row>
        <row r="380">
          <cell r="A380" t="str">
            <v>Deferred Income Tax</v>
          </cell>
          <cell r="B380" t="str">
            <v>T_282</v>
          </cell>
          <cell r="C380" t="str">
            <v>Accumulated Deferred Income Tax</v>
          </cell>
          <cell r="D380" t="str">
            <v>2820300</v>
          </cell>
          <cell r="E380" t="str">
            <v>A_2820300</v>
          </cell>
          <cell r="F380" t="str">
            <v>Defd Inc Tax Other Property - Federal</v>
          </cell>
          <cell r="G380">
            <v>122615.85390999999</v>
          </cell>
          <cell r="H380">
            <v>123076.2</v>
          </cell>
          <cell r="I380">
            <v>123327.9</v>
          </cell>
          <cell r="J380">
            <v>123565.4</v>
          </cell>
          <cell r="K380">
            <v>123799.4</v>
          </cell>
          <cell r="L380">
            <v>124039.4</v>
          </cell>
          <cell r="M380">
            <v>124210</v>
          </cell>
          <cell r="N380">
            <v>124422</v>
          </cell>
          <cell r="O380">
            <v>124667</v>
          </cell>
          <cell r="P380">
            <v>126254.39999999999</v>
          </cell>
          <cell r="Q380">
            <v>126024.7</v>
          </cell>
          <cell r="R380">
            <v>125344.4</v>
          </cell>
          <cell r="S380">
            <v>133327.5</v>
          </cell>
          <cell r="T380">
            <v>133675.6</v>
          </cell>
          <cell r="U380">
            <v>134052.4</v>
          </cell>
          <cell r="V380">
            <v>134448.70000000001</v>
          </cell>
          <cell r="W380">
            <v>134826.70000000001</v>
          </cell>
          <cell r="X380">
            <v>135100.29999999999</v>
          </cell>
          <cell r="Y380">
            <v>135486.39999999999</v>
          </cell>
          <cell r="Z380">
            <v>135370.6</v>
          </cell>
          <cell r="AA380">
            <v>135680.20000000001</v>
          </cell>
          <cell r="AB380">
            <v>137237.1</v>
          </cell>
          <cell r="AC380">
            <v>137816.70000000001</v>
          </cell>
          <cell r="AD380">
            <v>138275.79999999999</v>
          </cell>
          <cell r="AE380">
            <v>147756.20000000001</v>
          </cell>
          <cell r="AF380">
            <v>149187.29999999999</v>
          </cell>
          <cell r="AG380">
            <v>150392.5</v>
          </cell>
          <cell r="AH380">
            <v>151606</v>
          </cell>
          <cell r="AI380">
            <v>152854.70000000001</v>
          </cell>
          <cell r="AJ380">
            <v>154128.6</v>
          </cell>
          <cell r="AK380">
            <v>154864.79999999999</v>
          </cell>
          <cell r="AL380">
            <v>156022.29999999999</v>
          </cell>
          <cell r="AM380">
            <v>157598.70000000001</v>
          </cell>
          <cell r="AN380">
            <v>157639.29999999999</v>
          </cell>
          <cell r="AO380">
            <v>159096.79999999999</v>
          </cell>
          <cell r="AP380">
            <v>160685</v>
          </cell>
          <cell r="AQ380">
            <v>169921.1</v>
          </cell>
          <cell r="AR380">
            <v>171565.7</v>
          </cell>
          <cell r="AS380">
            <v>173167.4</v>
          </cell>
          <cell r="AT380">
            <v>175913.60000000001</v>
          </cell>
          <cell r="AU380">
            <v>177720.3</v>
          </cell>
          <cell r="AV380">
            <v>180342.7</v>
          </cell>
          <cell r="AW380">
            <v>182827.2</v>
          </cell>
          <cell r="AX380">
            <v>185170.7</v>
          </cell>
          <cell r="AY380">
            <v>187263.1</v>
          </cell>
          <cell r="AZ380">
            <v>189282</v>
          </cell>
          <cell r="BA380">
            <v>191379.1</v>
          </cell>
          <cell r="BB380">
            <v>193643.6</v>
          </cell>
          <cell r="BC380">
            <v>188795</v>
          </cell>
          <cell r="BD380">
            <v>189363.6</v>
          </cell>
          <cell r="BE380">
            <v>189971.7</v>
          </cell>
          <cell r="BF380">
            <v>190805.6</v>
          </cell>
          <cell r="BG380">
            <v>191365.8</v>
          </cell>
          <cell r="BH380">
            <v>192348.79999999999</v>
          </cell>
          <cell r="BI380">
            <v>192979.3</v>
          </cell>
          <cell r="BJ380">
            <v>193661.2</v>
          </cell>
          <cell r="BK380">
            <v>195222.9</v>
          </cell>
          <cell r="BL380">
            <v>196003.4</v>
          </cell>
          <cell r="BM380">
            <v>196840.7</v>
          </cell>
          <cell r="BN380">
            <v>201608.6</v>
          </cell>
          <cell r="BO380">
            <v>200049.1</v>
          </cell>
          <cell r="BP380">
            <v>200665.8</v>
          </cell>
          <cell r="BQ380">
            <v>201755.8</v>
          </cell>
          <cell r="BR380">
            <v>202560.2</v>
          </cell>
          <cell r="BS380">
            <v>203394.9</v>
          </cell>
          <cell r="BT380">
            <v>204230</v>
          </cell>
          <cell r="BU380">
            <v>205101.3</v>
          </cell>
          <cell r="BV380">
            <v>205950.9</v>
          </cell>
          <cell r="BW380">
            <v>206814.3</v>
          </cell>
          <cell r="BX380">
            <v>207614</v>
          </cell>
          <cell r="BY380">
            <v>208303.1</v>
          </cell>
          <cell r="BZ380">
            <v>209137.2</v>
          </cell>
          <cell r="CA380">
            <v>210576.2</v>
          </cell>
          <cell r="CB380">
            <v>210367.8</v>
          </cell>
          <cell r="CC380">
            <v>212616.3</v>
          </cell>
          <cell r="CD380">
            <v>213769.2</v>
          </cell>
          <cell r="CE380">
            <v>214568.9</v>
          </cell>
          <cell r="CF380">
            <v>215642.9</v>
          </cell>
          <cell r="CG380">
            <v>216611.5</v>
          </cell>
          <cell r="CH380">
            <v>217659.6</v>
          </cell>
          <cell r="CI380">
            <v>218084.7</v>
          </cell>
          <cell r="CJ380">
            <v>219157.5</v>
          </cell>
          <cell r="CK380">
            <v>221209.8</v>
          </cell>
          <cell r="CL380">
            <v>222049.3</v>
          </cell>
          <cell r="CM380">
            <v>223534.2</v>
          </cell>
          <cell r="CN380">
            <v>224520.9</v>
          </cell>
          <cell r="CO380">
            <v>225664.3</v>
          </cell>
          <cell r="CP380">
            <v>226608.9</v>
          </cell>
          <cell r="CQ380">
            <v>227992.5</v>
          </cell>
          <cell r="CR380">
            <v>229401.8</v>
          </cell>
          <cell r="CS380">
            <v>229391</v>
          </cell>
          <cell r="CT380">
            <v>230599.7</v>
          </cell>
          <cell r="CU380">
            <v>231348.7</v>
          </cell>
          <cell r="CV380">
            <v>232161.7</v>
          </cell>
          <cell r="CW380">
            <v>233043.20000000001</v>
          </cell>
          <cell r="CX380">
            <v>235254.9</v>
          </cell>
          <cell r="CY380">
            <v>233873.5</v>
          </cell>
          <cell r="CZ380">
            <v>235397.7</v>
          </cell>
          <cell r="DA380">
            <v>237024.7</v>
          </cell>
          <cell r="DB380">
            <v>238021.8</v>
          </cell>
          <cell r="DC380">
            <v>239624.2</v>
          </cell>
          <cell r="DD380">
            <v>241063.7</v>
          </cell>
          <cell r="DE380">
            <v>242511.3</v>
          </cell>
          <cell r="DF380">
            <v>243680.7</v>
          </cell>
          <cell r="DG380">
            <v>247340.79999999999</v>
          </cell>
          <cell r="DH380">
            <v>248841.7</v>
          </cell>
          <cell r="DI380">
            <v>250569.7</v>
          </cell>
          <cell r="DJ380">
            <v>252352.1</v>
          </cell>
          <cell r="DK380">
            <v>253908.1</v>
          </cell>
          <cell r="DL380">
            <v>256235.6</v>
          </cell>
          <cell r="DM380">
            <v>258057.8</v>
          </cell>
          <cell r="DN380">
            <v>259859.20000000001</v>
          </cell>
          <cell r="DO380">
            <v>261658.9</v>
          </cell>
          <cell r="DP380">
            <v>263458.40000000002</v>
          </cell>
          <cell r="DQ380">
            <v>265219.7</v>
          </cell>
          <cell r="DR380">
            <v>266977.7</v>
          </cell>
          <cell r="DS380">
            <v>268733.59999999998</v>
          </cell>
          <cell r="DT380">
            <v>270489.2</v>
          </cell>
          <cell r="DU380">
            <v>272244.7</v>
          </cell>
          <cell r="DV380">
            <v>274000.09999999998</v>
          </cell>
          <cell r="DW380">
            <v>275754.59999999998</v>
          </cell>
          <cell r="EK380" t="str">
            <v>Tax</v>
          </cell>
        </row>
        <row r="381">
          <cell r="A381" t="str">
            <v>Deferred Income Tax</v>
          </cell>
          <cell r="B381" t="str">
            <v>T_282</v>
          </cell>
          <cell r="C381" t="str">
            <v>Accumulated Deferred Income Tax</v>
          </cell>
          <cell r="D381" t="str">
            <v>2820400</v>
          </cell>
          <cell r="E381" t="str">
            <v>A_2820400</v>
          </cell>
          <cell r="F381" t="str">
            <v>Defd Inc Tax Other Property - State</v>
          </cell>
          <cell r="G381">
            <v>13402.68204</v>
          </cell>
          <cell r="H381">
            <v>13575.6</v>
          </cell>
          <cell r="I381">
            <v>13713.8</v>
          </cell>
          <cell r="J381">
            <v>13849.6</v>
          </cell>
          <cell r="K381">
            <v>13984.9</v>
          </cell>
          <cell r="L381">
            <v>14121.1</v>
          </cell>
          <cell r="M381">
            <v>14245.9</v>
          </cell>
          <cell r="N381">
            <v>14377.5</v>
          </cell>
          <cell r="O381">
            <v>14514.5</v>
          </cell>
          <cell r="P381">
            <v>14632.1</v>
          </cell>
          <cell r="Q381">
            <v>14831.6</v>
          </cell>
          <cell r="R381">
            <v>14956.2</v>
          </cell>
          <cell r="S381">
            <v>15386.9</v>
          </cell>
          <cell r="T381">
            <v>15539.7</v>
          </cell>
          <cell r="U381">
            <v>15697.4</v>
          </cell>
          <cell r="V381">
            <v>15858.3</v>
          </cell>
          <cell r="W381">
            <v>16016.1</v>
          </cell>
          <cell r="X381">
            <v>16156.6</v>
          </cell>
          <cell r="Y381">
            <v>16315.8</v>
          </cell>
          <cell r="Z381">
            <v>16391.5</v>
          </cell>
          <cell r="AA381">
            <v>16538</v>
          </cell>
          <cell r="AB381">
            <v>16704.599999999999</v>
          </cell>
          <cell r="AC381">
            <v>16894.3</v>
          </cell>
          <cell r="AD381">
            <v>17063.900000000001</v>
          </cell>
          <cell r="AE381">
            <v>17381.5</v>
          </cell>
          <cell r="AF381">
            <v>17598.7</v>
          </cell>
          <cell r="AG381">
            <v>17778.400000000001</v>
          </cell>
          <cell r="AH381">
            <v>17959.400000000001</v>
          </cell>
          <cell r="AI381">
            <v>18146.3</v>
          </cell>
          <cell r="AJ381">
            <v>18337.3</v>
          </cell>
          <cell r="AK381">
            <v>18274.400000000001</v>
          </cell>
          <cell r="AL381">
            <v>18446.2</v>
          </cell>
          <cell r="AM381">
            <v>18707.400000000001</v>
          </cell>
          <cell r="AN381">
            <v>18897.099999999999</v>
          </cell>
          <cell r="AO381">
            <v>19138.5</v>
          </cell>
          <cell r="AP381">
            <v>19401.7</v>
          </cell>
          <cell r="AQ381">
            <v>20737.3</v>
          </cell>
          <cell r="AR381">
            <v>21010.400000000001</v>
          </cell>
          <cell r="AS381">
            <v>21276.400000000001</v>
          </cell>
          <cell r="AT381">
            <v>21584.6</v>
          </cell>
          <cell r="AU381">
            <v>21835.3</v>
          </cell>
          <cell r="AV381">
            <v>22292</v>
          </cell>
          <cell r="AW381">
            <v>22669.5</v>
          </cell>
          <cell r="AX381">
            <v>23023.599999999999</v>
          </cell>
          <cell r="AY381">
            <v>23335.9</v>
          </cell>
          <cell r="AZ381">
            <v>23635.9</v>
          </cell>
          <cell r="BA381">
            <v>23949</v>
          </cell>
          <cell r="BB381">
            <v>24289.9</v>
          </cell>
          <cell r="BC381">
            <v>24319.8</v>
          </cell>
          <cell r="BD381">
            <v>24641.4</v>
          </cell>
          <cell r="BE381">
            <v>24973.8</v>
          </cell>
          <cell r="BF381">
            <v>25320</v>
          </cell>
          <cell r="BG381">
            <v>25623</v>
          </cell>
          <cell r="BH381">
            <v>25948.1</v>
          </cell>
          <cell r="BI381">
            <v>26251.5</v>
          </cell>
          <cell r="BJ381">
            <v>26569.200000000001</v>
          </cell>
          <cell r="BK381">
            <v>26724.400000000001</v>
          </cell>
          <cell r="BL381">
            <v>27018.6</v>
          </cell>
          <cell r="BM381">
            <v>27328.6</v>
          </cell>
          <cell r="BN381">
            <v>27745.4</v>
          </cell>
          <cell r="BO381">
            <v>28398.7</v>
          </cell>
          <cell r="BP381">
            <v>28728.3</v>
          </cell>
          <cell r="BQ381">
            <v>29150.5</v>
          </cell>
          <cell r="BR381">
            <v>29512.9</v>
          </cell>
          <cell r="BS381">
            <v>29883.599999999999</v>
          </cell>
          <cell r="BT381">
            <v>30254.5</v>
          </cell>
          <cell r="BU381">
            <v>30635.3</v>
          </cell>
          <cell r="BV381">
            <v>31010.2</v>
          </cell>
          <cell r="BW381">
            <v>31379.9</v>
          </cell>
          <cell r="BX381">
            <v>31077.5</v>
          </cell>
          <cell r="BY381">
            <v>31341.599999999999</v>
          </cell>
          <cell r="BZ381">
            <v>31637.9</v>
          </cell>
          <cell r="CA381">
            <v>32014.2</v>
          </cell>
          <cell r="CB381">
            <v>32061.599999999999</v>
          </cell>
          <cell r="CC381">
            <v>32656.3</v>
          </cell>
          <cell r="CD381">
            <v>33006.800000000003</v>
          </cell>
          <cell r="CE381">
            <v>33279</v>
          </cell>
          <cell r="CF381">
            <v>33612.300000000003</v>
          </cell>
          <cell r="CG381">
            <v>33921.699999999997</v>
          </cell>
          <cell r="CH381">
            <v>34249.1</v>
          </cell>
          <cell r="CI381">
            <v>34379.599999999999</v>
          </cell>
          <cell r="CJ381">
            <v>34779</v>
          </cell>
          <cell r="CK381">
            <v>35343.4</v>
          </cell>
          <cell r="CL381">
            <v>35620.800000000003</v>
          </cell>
          <cell r="CM381">
            <v>36178.5</v>
          </cell>
          <cell r="CN381">
            <v>36475.5</v>
          </cell>
          <cell r="CO381">
            <v>36815.300000000003</v>
          </cell>
          <cell r="CP381">
            <v>37025.1</v>
          </cell>
          <cell r="CQ381">
            <v>37398.300000000003</v>
          </cell>
          <cell r="CR381">
            <v>37788.9</v>
          </cell>
          <cell r="CS381">
            <v>37781.199999999997</v>
          </cell>
          <cell r="CT381">
            <v>38127.599999999999</v>
          </cell>
          <cell r="CU381">
            <v>38371.699999999997</v>
          </cell>
          <cell r="CV381">
            <v>37959.800000000003</v>
          </cell>
          <cell r="CW381">
            <v>38220.400000000001</v>
          </cell>
          <cell r="CX381">
            <v>38641.199999999997</v>
          </cell>
          <cell r="CY381">
            <v>38597.199999999997</v>
          </cell>
          <cell r="CZ381">
            <v>39071.599999999999</v>
          </cell>
          <cell r="DA381">
            <v>39574.800000000003</v>
          </cell>
          <cell r="DB381">
            <v>39906.800000000003</v>
          </cell>
          <cell r="DC381">
            <v>40403.800000000003</v>
          </cell>
          <cell r="DD381">
            <v>40856.400000000001</v>
          </cell>
          <cell r="DE381">
            <v>41151</v>
          </cell>
          <cell r="DF381">
            <v>41529.4</v>
          </cell>
          <cell r="DG381">
            <v>42567.1</v>
          </cell>
          <cell r="DH381">
            <v>43030.9</v>
          </cell>
          <cell r="DI381">
            <v>43560.4</v>
          </cell>
          <cell r="DJ381">
            <v>44104.3</v>
          </cell>
          <cell r="DK381">
            <v>44305</v>
          </cell>
          <cell r="DL381">
            <v>44980.9</v>
          </cell>
          <cell r="DM381">
            <v>45516.800000000003</v>
          </cell>
          <cell r="DN381">
            <v>46047</v>
          </cell>
          <cell r="DO381">
            <v>46576.7</v>
          </cell>
          <cell r="DP381">
            <v>47106.3</v>
          </cell>
          <cell r="DQ381">
            <v>47461.1</v>
          </cell>
          <cell r="DR381">
            <v>47979.199999999997</v>
          </cell>
          <cell r="DS381">
            <v>48496.800000000003</v>
          </cell>
          <cell r="DT381">
            <v>49014.2</v>
          </cell>
          <cell r="DU381">
            <v>49531.7</v>
          </cell>
          <cell r="DV381">
            <v>50049</v>
          </cell>
          <cell r="DW381">
            <v>50402</v>
          </cell>
          <cell r="EK381" t="str">
            <v>Tax</v>
          </cell>
        </row>
        <row r="382">
          <cell r="A382" t="str">
            <v>Deferred Income Tax</v>
          </cell>
          <cell r="B382" t="str">
            <v>T_282</v>
          </cell>
          <cell r="C382" t="str">
            <v>Accumulated Deferred Income Tax</v>
          </cell>
          <cell r="D382" t="str">
            <v>2820610</v>
          </cell>
          <cell r="E382" t="str">
            <v>A_2820610</v>
          </cell>
          <cell r="F382" t="str">
            <v>Defd Inc Tax Other Property - FAS109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-66603.600000000006</v>
          </cell>
          <cell r="BD382">
            <v>-66438.2</v>
          </cell>
          <cell r="BE382">
            <v>-66273.2</v>
          </cell>
          <cell r="BF382">
            <v>-66314.399999999994</v>
          </cell>
          <cell r="BG382">
            <v>-66218</v>
          </cell>
          <cell r="BH382">
            <v>-66464.3</v>
          </cell>
          <cell r="BI382">
            <v>-66436.5</v>
          </cell>
          <cell r="BJ382">
            <v>-66408.600000000006</v>
          </cell>
          <cell r="BK382">
            <v>-66390.3</v>
          </cell>
          <cell r="BL382">
            <v>-66363.600000000006</v>
          </cell>
          <cell r="BM382">
            <v>-66336.899999999994</v>
          </cell>
          <cell r="BN382">
            <v>-67729.8</v>
          </cell>
          <cell r="BO382">
            <v>-67703.100000000006</v>
          </cell>
          <cell r="BP382">
            <v>-67717.5</v>
          </cell>
          <cell r="BQ382">
            <v>-67767</v>
          </cell>
          <cell r="BR382">
            <v>-67799.600000000006</v>
          </cell>
          <cell r="BS382">
            <v>-67830.899999999994</v>
          </cell>
          <cell r="BT382">
            <v>-67862.8</v>
          </cell>
          <cell r="BU382">
            <v>-67894.8</v>
          </cell>
          <cell r="BV382">
            <v>-67926.7</v>
          </cell>
          <cell r="BW382">
            <v>-67957</v>
          </cell>
          <cell r="BX382">
            <v>-67030.3</v>
          </cell>
          <cell r="BY382">
            <v>-67048.2</v>
          </cell>
          <cell r="BZ382">
            <v>-67064</v>
          </cell>
          <cell r="CA382">
            <v>-67414.100000000006</v>
          </cell>
          <cell r="CB382">
            <v>-67402.8</v>
          </cell>
          <cell r="CC382">
            <v>-67376.800000000003</v>
          </cell>
          <cell r="CD382">
            <v>-67220.7</v>
          </cell>
          <cell r="CE382">
            <v>-67184.399999999994</v>
          </cell>
          <cell r="CF382">
            <v>-67136.600000000006</v>
          </cell>
          <cell r="CG382">
            <v>-67146.7</v>
          </cell>
          <cell r="CH382">
            <v>-67083.8</v>
          </cell>
          <cell r="CI382">
            <v>-66978.899999999994</v>
          </cell>
          <cell r="CJ382">
            <v>-66957.7</v>
          </cell>
          <cell r="CK382">
            <v>-68769.5</v>
          </cell>
          <cell r="CL382">
            <v>-68745.399999999994</v>
          </cell>
          <cell r="CM382">
            <v>-68688.899999999994</v>
          </cell>
          <cell r="CN382">
            <v>-68629.7</v>
          </cell>
          <cell r="CO382">
            <v>-68518.7</v>
          </cell>
          <cell r="CP382">
            <v>-68304.100000000006</v>
          </cell>
          <cell r="CQ382">
            <v>-68294.5</v>
          </cell>
          <cell r="CR382">
            <v>-68257.5</v>
          </cell>
          <cell r="CS382">
            <v>-68069.100000000006</v>
          </cell>
          <cell r="CT382">
            <v>-68024.899999999994</v>
          </cell>
          <cell r="CU382">
            <v>-67973</v>
          </cell>
          <cell r="CV382">
            <v>-67715.5</v>
          </cell>
          <cell r="CW382">
            <v>-67610.8</v>
          </cell>
          <cell r="CX382">
            <v>-67919.5</v>
          </cell>
          <cell r="CY382">
            <v>-64288.800000000003</v>
          </cell>
          <cell r="CZ382">
            <v>-64289.9</v>
          </cell>
          <cell r="DA382">
            <v>-64287</v>
          </cell>
          <cell r="DB382">
            <v>-64041.4</v>
          </cell>
          <cell r="DC382">
            <v>-64024.5</v>
          </cell>
          <cell r="DD382">
            <v>-64001.3</v>
          </cell>
          <cell r="DE382">
            <v>-63832.6</v>
          </cell>
          <cell r="DF382">
            <v>-63790.2</v>
          </cell>
          <cell r="DG382">
            <v>-63851</v>
          </cell>
          <cell r="DH382">
            <v>-63812.9</v>
          </cell>
          <cell r="DI382">
            <v>-63825</v>
          </cell>
          <cell r="DJ382">
            <v>-63817.4</v>
          </cell>
          <cell r="DK382">
            <v>-63683.1</v>
          </cell>
          <cell r="DL382">
            <v>-63201.4</v>
          </cell>
          <cell r="DM382">
            <v>-63138</v>
          </cell>
          <cell r="DN382">
            <v>-62793.3</v>
          </cell>
          <cell r="DO382">
            <v>-62707.5</v>
          </cell>
          <cell r="DP382">
            <v>-62625.9</v>
          </cell>
          <cell r="DQ382">
            <v>-62483.8</v>
          </cell>
          <cell r="DR382">
            <v>-62408.5</v>
          </cell>
          <cell r="DS382">
            <v>-62324.800000000003</v>
          </cell>
          <cell r="DT382">
            <v>-62245.9</v>
          </cell>
          <cell r="DU382">
            <v>-62147.1</v>
          </cell>
          <cell r="DV382">
            <v>-62077.3</v>
          </cell>
          <cell r="DW382">
            <v>-61906.2</v>
          </cell>
          <cell r="EK382" t="str">
            <v>Tax</v>
          </cell>
        </row>
        <row r="383">
          <cell r="D383" t="str">
            <v>282</v>
          </cell>
          <cell r="E383">
            <v>282</v>
          </cell>
          <cell r="G383">
            <v>136018.53594999999</v>
          </cell>
          <cell r="H383">
            <v>136651.79999999999</v>
          </cell>
          <cell r="I383">
            <v>137041.69999999998</v>
          </cell>
          <cell r="J383">
            <v>137415</v>
          </cell>
          <cell r="K383">
            <v>137784.29999999999</v>
          </cell>
          <cell r="L383">
            <v>138160.5</v>
          </cell>
          <cell r="M383">
            <v>138455.9</v>
          </cell>
          <cell r="N383">
            <v>138799.5</v>
          </cell>
          <cell r="O383">
            <v>139181.5</v>
          </cell>
          <cell r="P383">
            <v>140886.5</v>
          </cell>
          <cell r="Q383">
            <v>140856.29999999999</v>
          </cell>
          <cell r="R383">
            <v>140300.6</v>
          </cell>
          <cell r="S383">
            <v>148714.4</v>
          </cell>
          <cell r="T383">
            <v>149215.30000000002</v>
          </cell>
          <cell r="U383">
            <v>149749.79999999999</v>
          </cell>
          <cell r="V383">
            <v>150307</v>
          </cell>
          <cell r="W383">
            <v>150842.80000000002</v>
          </cell>
          <cell r="X383">
            <v>151256.9</v>
          </cell>
          <cell r="Y383">
            <v>151802.19999999998</v>
          </cell>
          <cell r="Z383">
            <v>151762.1</v>
          </cell>
          <cell r="AA383">
            <v>152218.20000000001</v>
          </cell>
          <cell r="AB383">
            <v>153941.70000000001</v>
          </cell>
          <cell r="AC383">
            <v>154711</v>
          </cell>
          <cell r="AD383">
            <v>155339.69999999998</v>
          </cell>
          <cell r="AE383">
            <v>165137.70000000001</v>
          </cell>
          <cell r="AF383">
            <v>166786</v>
          </cell>
          <cell r="AG383">
            <v>168170.9</v>
          </cell>
          <cell r="AH383">
            <v>169565.4</v>
          </cell>
          <cell r="AI383">
            <v>171001</v>
          </cell>
          <cell r="AJ383">
            <v>172465.9</v>
          </cell>
          <cell r="AK383">
            <v>173139.19999999998</v>
          </cell>
          <cell r="AL383">
            <v>174468.5</v>
          </cell>
          <cell r="AM383">
            <v>176306.1</v>
          </cell>
          <cell r="AN383">
            <v>176536.4</v>
          </cell>
          <cell r="AO383">
            <v>178235.3</v>
          </cell>
          <cell r="AP383">
            <v>180086.7</v>
          </cell>
          <cell r="AQ383">
            <v>190658.4</v>
          </cell>
          <cell r="AR383">
            <v>192576.1</v>
          </cell>
          <cell r="AS383">
            <v>194443.8</v>
          </cell>
          <cell r="AT383">
            <v>197498.2</v>
          </cell>
          <cell r="AU383">
            <v>199555.59999999998</v>
          </cell>
          <cell r="AV383">
            <v>202634.7</v>
          </cell>
          <cell r="AW383">
            <v>205496.7</v>
          </cell>
          <cell r="AX383">
            <v>208194.30000000002</v>
          </cell>
          <cell r="AY383">
            <v>210599</v>
          </cell>
          <cell r="AZ383">
            <v>212917.9</v>
          </cell>
          <cell r="BA383">
            <v>215328.1</v>
          </cell>
          <cell r="BB383">
            <v>217933.5</v>
          </cell>
          <cell r="BC383">
            <v>146511.19999999998</v>
          </cell>
          <cell r="BD383">
            <v>147566.79999999999</v>
          </cell>
          <cell r="BE383">
            <v>148672.29999999999</v>
          </cell>
          <cell r="BF383">
            <v>149811.20000000001</v>
          </cell>
          <cell r="BG383">
            <v>150770.79999999999</v>
          </cell>
          <cell r="BH383">
            <v>151832.59999999998</v>
          </cell>
          <cell r="BI383">
            <v>152794.29999999999</v>
          </cell>
          <cell r="BJ383">
            <v>153821.80000000002</v>
          </cell>
          <cell r="BK383">
            <v>155557</v>
          </cell>
          <cell r="BL383">
            <v>156658.4</v>
          </cell>
          <cell r="BM383">
            <v>157832.40000000002</v>
          </cell>
          <cell r="BN383">
            <v>161624.20000000001</v>
          </cell>
          <cell r="BO383">
            <v>160744.70000000001</v>
          </cell>
          <cell r="BP383">
            <v>161676.59999999998</v>
          </cell>
          <cell r="BQ383">
            <v>163139.29999999999</v>
          </cell>
          <cell r="BR383">
            <v>164273.5</v>
          </cell>
          <cell r="BS383">
            <v>165447.6</v>
          </cell>
          <cell r="BT383">
            <v>166621.70000000001</v>
          </cell>
          <cell r="BU383">
            <v>167841.8</v>
          </cell>
          <cell r="BV383">
            <v>169034.40000000002</v>
          </cell>
          <cell r="BW383">
            <v>170237.19999999998</v>
          </cell>
          <cell r="BX383">
            <v>171661.2</v>
          </cell>
          <cell r="BY383">
            <v>172596.5</v>
          </cell>
          <cell r="BZ383">
            <v>173711.1</v>
          </cell>
          <cell r="CA383">
            <v>175176.30000000002</v>
          </cell>
          <cell r="CB383">
            <v>175026.59999999998</v>
          </cell>
          <cell r="CC383">
            <v>177895.8</v>
          </cell>
          <cell r="CD383">
            <v>179555.3</v>
          </cell>
          <cell r="CE383">
            <v>180663.5</v>
          </cell>
          <cell r="CF383">
            <v>182118.6</v>
          </cell>
          <cell r="CG383">
            <v>183386.5</v>
          </cell>
          <cell r="CH383">
            <v>184824.90000000002</v>
          </cell>
          <cell r="CI383">
            <v>185485.40000000002</v>
          </cell>
          <cell r="CJ383">
            <v>186978.8</v>
          </cell>
          <cell r="CK383">
            <v>187783.69999999998</v>
          </cell>
          <cell r="CL383">
            <v>188924.69999999998</v>
          </cell>
          <cell r="CM383">
            <v>191023.80000000002</v>
          </cell>
          <cell r="CN383">
            <v>192366.7</v>
          </cell>
          <cell r="CO383">
            <v>193960.89999999997</v>
          </cell>
          <cell r="CP383">
            <v>195329.9</v>
          </cell>
          <cell r="CQ383">
            <v>197096.3</v>
          </cell>
          <cell r="CR383">
            <v>198933.2</v>
          </cell>
          <cell r="CS383">
            <v>199103.1</v>
          </cell>
          <cell r="CT383">
            <v>200702.4</v>
          </cell>
          <cell r="CU383">
            <v>201747.40000000002</v>
          </cell>
          <cell r="CV383">
            <v>202406</v>
          </cell>
          <cell r="CW383">
            <v>203652.80000000005</v>
          </cell>
          <cell r="CX383">
            <v>205976.59999999998</v>
          </cell>
          <cell r="CY383">
            <v>208181.90000000002</v>
          </cell>
          <cell r="CZ383">
            <v>210179.4</v>
          </cell>
          <cell r="DA383">
            <v>212312.5</v>
          </cell>
          <cell r="DB383">
            <v>213887.19999999998</v>
          </cell>
          <cell r="DC383">
            <v>216003.5</v>
          </cell>
          <cell r="DD383">
            <v>217918.80000000005</v>
          </cell>
          <cell r="DE383">
            <v>219829.69999999998</v>
          </cell>
          <cell r="DF383">
            <v>221419.90000000002</v>
          </cell>
          <cell r="DG383">
            <v>226056.89999999997</v>
          </cell>
          <cell r="DH383">
            <v>228059.70000000004</v>
          </cell>
          <cell r="DI383">
            <v>230305.10000000003</v>
          </cell>
          <cell r="DJ383">
            <v>232639.00000000003</v>
          </cell>
          <cell r="DK383">
            <v>234529.99999999997</v>
          </cell>
          <cell r="DL383">
            <v>238015.1</v>
          </cell>
          <cell r="DM383">
            <v>240436.59999999998</v>
          </cell>
          <cell r="DN383">
            <v>243112.90000000002</v>
          </cell>
          <cell r="DO383">
            <v>245528.09999999998</v>
          </cell>
          <cell r="DP383">
            <v>247938.80000000002</v>
          </cell>
          <cell r="DQ383">
            <v>250197</v>
          </cell>
          <cell r="DR383">
            <v>252548.40000000002</v>
          </cell>
          <cell r="DS383">
            <v>254905.59999999998</v>
          </cell>
          <cell r="DT383">
            <v>257257.50000000003</v>
          </cell>
          <cell r="DU383">
            <v>259629.30000000002</v>
          </cell>
          <cell r="DV383">
            <v>261971.8</v>
          </cell>
          <cell r="DW383">
            <v>264250.39999999997</v>
          </cell>
          <cell r="EJ383" t="str">
            <v>.</v>
          </cell>
        </row>
        <row r="384">
          <cell r="A384" t="str">
            <v>Deferred Income Tax</v>
          </cell>
          <cell r="B384" t="str">
            <v>T_283</v>
          </cell>
          <cell r="C384" t="str">
            <v>Accumulated Deferred Income Tax</v>
          </cell>
          <cell r="D384" t="str">
            <v>2830300</v>
          </cell>
          <cell r="E384" t="str">
            <v>A_2830300</v>
          </cell>
          <cell r="F384" t="str">
            <v>DIT Liab-Federal</v>
          </cell>
          <cell r="G384">
            <v>7598.25</v>
          </cell>
          <cell r="H384">
            <v>7368.6</v>
          </cell>
          <cell r="I384">
            <v>6597.9</v>
          </cell>
          <cell r="J384">
            <v>6608.4</v>
          </cell>
          <cell r="K384">
            <v>6634.9</v>
          </cell>
          <cell r="L384">
            <v>6120.4</v>
          </cell>
          <cell r="M384">
            <v>6107.5</v>
          </cell>
          <cell r="N384">
            <v>6058.2</v>
          </cell>
          <cell r="O384">
            <v>6008.6</v>
          </cell>
          <cell r="P384">
            <v>7098.4</v>
          </cell>
          <cell r="Q384">
            <v>7160.7</v>
          </cell>
          <cell r="R384">
            <v>8219.7999999999993</v>
          </cell>
          <cell r="S384">
            <v>8387.7000000000007</v>
          </cell>
          <cell r="T384">
            <v>8125.2</v>
          </cell>
          <cell r="U384">
            <v>8286</v>
          </cell>
          <cell r="V384">
            <v>8066.8</v>
          </cell>
          <cell r="W384">
            <v>8159.4</v>
          </cell>
          <cell r="X384">
            <v>8108.8</v>
          </cell>
          <cell r="Y384">
            <v>7695.6</v>
          </cell>
          <cell r="Z384">
            <v>7732.6</v>
          </cell>
          <cell r="AA384">
            <v>7961.3</v>
          </cell>
          <cell r="AB384">
            <v>7693.4</v>
          </cell>
          <cell r="AC384">
            <v>8462.5</v>
          </cell>
          <cell r="AD384">
            <v>9175.7999999999993</v>
          </cell>
          <cell r="AE384">
            <v>10312.200000000001</v>
          </cell>
          <cell r="AF384">
            <v>9950.4</v>
          </cell>
          <cell r="AG384">
            <v>8646.9</v>
          </cell>
          <cell r="AH384">
            <v>8617.4</v>
          </cell>
          <cell r="AI384">
            <v>8580.6</v>
          </cell>
          <cell r="AJ384">
            <v>8587</v>
          </cell>
          <cell r="AK384">
            <v>8292.6</v>
          </cell>
          <cell r="AL384">
            <v>8267.2000000000007</v>
          </cell>
          <cell r="AM384">
            <v>8253.2999999999993</v>
          </cell>
          <cell r="AN384">
            <v>8088.9</v>
          </cell>
          <cell r="AO384">
            <v>8127.6</v>
          </cell>
          <cell r="AP384">
            <v>8108</v>
          </cell>
          <cell r="AQ384">
            <v>8084.7</v>
          </cell>
          <cell r="AR384">
            <v>8082.7</v>
          </cell>
          <cell r="AS384">
            <v>8042.2</v>
          </cell>
          <cell r="AT384">
            <v>8080</v>
          </cell>
          <cell r="AU384">
            <v>8079.4</v>
          </cell>
          <cell r="AV384">
            <v>8084.6</v>
          </cell>
          <cell r="AW384">
            <v>8061.1</v>
          </cell>
          <cell r="AX384">
            <v>8059.9</v>
          </cell>
          <cell r="AY384">
            <v>8083.2</v>
          </cell>
          <cell r="AZ384">
            <v>8049</v>
          </cell>
          <cell r="BA384">
            <v>8872.2000000000007</v>
          </cell>
          <cell r="BB384">
            <v>9272.1</v>
          </cell>
          <cell r="BC384">
            <v>9866.2000000000007</v>
          </cell>
          <cell r="BD384">
            <v>9318.5</v>
          </cell>
          <cell r="BE384">
            <v>8967.2000000000007</v>
          </cell>
          <cell r="BF384">
            <v>8729.1</v>
          </cell>
          <cell r="BG384">
            <v>8475.9</v>
          </cell>
          <cell r="BH384">
            <v>8376.4</v>
          </cell>
          <cell r="BI384">
            <v>8209.2000000000007</v>
          </cell>
          <cell r="BJ384">
            <v>8045.4</v>
          </cell>
          <cell r="BK384">
            <v>7999.5</v>
          </cell>
          <cell r="BL384">
            <v>9189.2999999999993</v>
          </cell>
          <cell r="BM384">
            <v>9258.7999999999993</v>
          </cell>
          <cell r="BN384">
            <v>9092.7000000000007</v>
          </cell>
          <cell r="BO384">
            <v>9598</v>
          </cell>
          <cell r="BP384">
            <v>9231.7999999999993</v>
          </cell>
          <cell r="BQ384">
            <v>9012.5</v>
          </cell>
          <cell r="BR384">
            <v>9094.6</v>
          </cell>
          <cell r="BS384">
            <v>9091.1</v>
          </cell>
          <cell r="BT384">
            <v>9097.5</v>
          </cell>
          <cell r="BU384">
            <v>9113.2000000000007</v>
          </cell>
          <cell r="BV384">
            <v>9122.4</v>
          </cell>
          <cell r="BW384">
            <v>9151.6</v>
          </cell>
          <cell r="BX384">
            <v>9175.7999999999993</v>
          </cell>
          <cell r="BY384">
            <v>9240.1</v>
          </cell>
          <cell r="BZ384">
            <v>9250.9</v>
          </cell>
          <cell r="CA384">
            <v>9390.7000000000007</v>
          </cell>
          <cell r="CB384">
            <v>9424.6</v>
          </cell>
          <cell r="CC384">
            <v>9432</v>
          </cell>
          <cell r="CD384">
            <v>9243.6</v>
          </cell>
          <cell r="CE384">
            <v>9258.1</v>
          </cell>
          <cell r="CF384">
            <v>9277</v>
          </cell>
          <cell r="CG384">
            <v>9336.6</v>
          </cell>
          <cell r="CH384">
            <v>9340.9</v>
          </cell>
          <cell r="CI384">
            <v>9675.2999999999993</v>
          </cell>
          <cell r="CJ384">
            <v>9781.2999999999993</v>
          </cell>
          <cell r="CK384">
            <v>9561.2000000000007</v>
          </cell>
          <cell r="CL384">
            <v>9571.5</v>
          </cell>
          <cell r="CM384">
            <v>9816.6</v>
          </cell>
          <cell r="CN384">
            <v>9857.5</v>
          </cell>
          <cell r="CO384">
            <v>9896.2000000000007</v>
          </cell>
          <cell r="CP384">
            <v>9888.4</v>
          </cell>
          <cell r="CQ384">
            <v>9914.6</v>
          </cell>
          <cell r="CR384">
            <v>9954.5</v>
          </cell>
          <cell r="CS384">
            <v>9987.5</v>
          </cell>
          <cell r="CT384">
            <v>10130.799999999999</v>
          </cell>
          <cell r="CU384">
            <v>10145.799999999999</v>
          </cell>
          <cell r="CV384">
            <v>9901.2000000000007</v>
          </cell>
          <cell r="CW384">
            <v>10967.1</v>
          </cell>
          <cell r="CX384">
            <v>12545.3</v>
          </cell>
          <cell r="CY384">
            <v>12303</v>
          </cell>
          <cell r="CZ384">
            <v>11370.3</v>
          </cell>
          <cell r="DA384">
            <v>10247.6</v>
          </cell>
          <cell r="DB384">
            <v>10176.9</v>
          </cell>
          <cell r="DC384">
            <v>9601.7000000000007</v>
          </cell>
          <cell r="DD384">
            <v>9520.2999999999993</v>
          </cell>
          <cell r="DE384">
            <v>9881.5</v>
          </cell>
          <cell r="DF384">
            <v>9843</v>
          </cell>
          <cell r="DG384">
            <v>9814.1</v>
          </cell>
          <cell r="DH384">
            <v>9934.2000000000007</v>
          </cell>
          <cell r="DI384">
            <v>9988.5</v>
          </cell>
          <cell r="DJ384">
            <v>9958.7999999999993</v>
          </cell>
          <cell r="DK384">
            <v>10676.6</v>
          </cell>
          <cell r="DL384">
            <v>10622.6</v>
          </cell>
          <cell r="DM384">
            <v>10575.4</v>
          </cell>
          <cell r="DN384">
            <v>10279.200000000001</v>
          </cell>
          <cell r="DO384">
            <v>10144.299999999999</v>
          </cell>
          <cell r="DP384">
            <v>10092.6</v>
          </cell>
          <cell r="DQ384">
            <v>10357</v>
          </cell>
          <cell r="DR384">
            <v>10363.5</v>
          </cell>
          <cell r="DS384">
            <v>10383</v>
          </cell>
          <cell r="DT384">
            <v>10549</v>
          </cell>
          <cell r="DU384">
            <v>10613</v>
          </cell>
          <cell r="DV384">
            <v>10599.7</v>
          </cell>
          <cell r="DW384">
            <v>11157.9</v>
          </cell>
          <cell r="EK384" t="str">
            <v>Tax</v>
          </cell>
        </row>
        <row r="385">
          <cell r="A385" t="str">
            <v>Deferred Income Tax</v>
          </cell>
          <cell r="B385" t="str">
            <v>T_283</v>
          </cell>
          <cell r="C385" t="str">
            <v>Accumulated Deferred Income Tax</v>
          </cell>
          <cell r="D385" t="str">
            <v>2830330</v>
          </cell>
          <cell r="E385" t="str">
            <v>A_2830330</v>
          </cell>
          <cell r="F385" t="str">
            <v>DIT Liab-FAS 158 - Federal</v>
          </cell>
          <cell r="G385">
            <v>5715.07906</v>
          </cell>
          <cell r="H385">
            <v>5715.1</v>
          </cell>
          <cell r="I385">
            <v>5715.1</v>
          </cell>
          <cell r="J385">
            <v>5589.4</v>
          </cell>
          <cell r="K385">
            <v>5589.4</v>
          </cell>
          <cell r="L385">
            <v>5589.4</v>
          </cell>
          <cell r="M385">
            <v>5460</v>
          </cell>
          <cell r="N385">
            <v>5460</v>
          </cell>
          <cell r="O385">
            <v>5460</v>
          </cell>
          <cell r="P385">
            <v>5391.8</v>
          </cell>
          <cell r="Q385">
            <v>5391.8</v>
          </cell>
          <cell r="R385">
            <v>5391.8</v>
          </cell>
          <cell r="S385">
            <v>6394.1</v>
          </cell>
          <cell r="T385">
            <v>6394.1</v>
          </cell>
          <cell r="U385">
            <v>6394.1</v>
          </cell>
          <cell r="V385">
            <v>6514</v>
          </cell>
          <cell r="W385">
            <v>6514</v>
          </cell>
          <cell r="X385">
            <v>6514</v>
          </cell>
          <cell r="Y385">
            <v>6120.2</v>
          </cell>
          <cell r="Z385">
            <v>6120.2</v>
          </cell>
          <cell r="AA385">
            <v>6018.8</v>
          </cell>
          <cell r="AB385">
            <v>5881.8</v>
          </cell>
          <cell r="AC385">
            <v>5881.8</v>
          </cell>
          <cell r="AD385">
            <v>5881.8</v>
          </cell>
          <cell r="AE385">
            <v>8305.2000000000007</v>
          </cell>
          <cell r="AF385">
            <v>8305.2000000000007</v>
          </cell>
          <cell r="AG385">
            <v>8305.2000000000007</v>
          </cell>
          <cell r="AH385">
            <v>8188.2</v>
          </cell>
          <cell r="AI385">
            <v>8188.2</v>
          </cell>
          <cell r="AJ385">
            <v>8191.3</v>
          </cell>
          <cell r="AK385">
            <v>8035.2</v>
          </cell>
          <cell r="AL385">
            <v>8035.2</v>
          </cell>
          <cell r="AM385">
            <v>8035.2</v>
          </cell>
          <cell r="AN385">
            <v>10827</v>
          </cell>
          <cell r="AO385">
            <v>10827</v>
          </cell>
          <cell r="AP385">
            <v>10827</v>
          </cell>
          <cell r="AQ385">
            <v>9370.1</v>
          </cell>
          <cell r="AR385">
            <v>9370.1</v>
          </cell>
          <cell r="AS385">
            <v>9370.1</v>
          </cell>
          <cell r="AT385">
            <v>9230</v>
          </cell>
          <cell r="AU385">
            <v>9230</v>
          </cell>
          <cell r="AV385">
            <v>9230</v>
          </cell>
          <cell r="AW385">
            <v>9483.1</v>
          </cell>
          <cell r="AX385">
            <v>9483.1</v>
          </cell>
          <cell r="AY385">
            <v>9483.1</v>
          </cell>
          <cell r="AZ385">
            <v>9331.1</v>
          </cell>
          <cell r="BA385">
            <v>9331.1</v>
          </cell>
          <cell r="BB385">
            <v>9331.1</v>
          </cell>
          <cell r="BC385">
            <v>8964.5</v>
          </cell>
          <cell r="BD385">
            <v>8964.5</v>
          </cell>
          <cell r="BE385">
            <v>8964.5</v>
          </cell>
          <cell r="BF385">
            <v>8868.6</v>
          </cell>
          <cell r="BG385">
            <v>8868.6</v>
          </cell>
          <cell r="BH385">
            <v>8868.6</v>
          </cell>
          <cell r="BI385">
            <v>8761.7999999999993</v>
          </cell>
          <cell r="BJ385">
            <v>8761.7999999999993</v>
          </cell>
          <cell r="BK385">
            <v>8761.7999999999993</v>
          </cell>
          <cell r="BL385">
            <v>8665.1</v>
          </cell>
          <cell r="BM385">
            <v>8665.1</v>
          </cell>
          <cell r="BN385">
            <v>8665.1</v>
          </cell>
          <cell r="BO385">
            <v>9847.9</v>
          </cell>
          <cell r="BP385">
            <v>9847.9</v>
          </cell>
          <cell r="BQ385">
            <v>9847.9</v>
          </cell>
          <cell r="BR385">
            <v>9769.2000000000007</v>
          </cell>
          <cell r="BS385">
            <v>9769.2000000000007</v>
          </cell>
          <cell r="BT385">
            <v>9769.2000000000007</v>
          </cell>
          <cell r="BU385">
            <v>9682.9</v>
          </cell>
          <cell r="BV385">
            <v>9682.9</v>
          </cell>
          <cell r="BW385">
            <v>9682.9</v>
          </cell>
          <cell r="BX385">
            <v>9600.2999999999993</v>
          </cell>
          <cell r="BY385">
            <v>9600.2999999999993</v>
          </cell>
          <cell r="BZ385">
            <v>9600.2999999999993</v>
          </cell>
          <cell r="CA385">
            <v>9643</v>
          </cell>
          <cell r="CB385">
            <v>9643</v>
          </cell>
          <cell r="CC385">
            <v>9643</v>
          </cell>
          <cell r="CD385">
            <v>9539.7999999999993</v>
          </cell>
          <cell r="CE385">
            <v>9539.7999999999993</v>
          </cell>
          <cell r="CF385">
            <v>9539.7999999999993</v>
          </cell>
          <cell r="CG385">
            <v>9430.9</v>
          </cell>
          <cell r="CH385">
            <v>9430.9</v>
          </cell>
          <cell r="CI385">
            <v>9430.9</v>
          </cell>
          <cell r="CJ385">
            <v>9324.9</v>
          </cell>
          <cell r="CK385">
            <v>9324.9</v>
          </cell>
          <cell r="CL385">
            <v>9324.9</v>
          </cell>
          <cell r="CM385">
            <v>10561.2</v>
          </cell>
          <cell r="CN385">
            <v>10561.2</v>
          </cell>
          <cell r="CO385">
            <v>10561.2</v>
          </cell>
          <cell r="CP385">
            <v>10423.1</v>
          </cell>
          <cell r="CQ385">
            <v>10423.1</v>
          </cell>
          <cell r="CR385">
            <v>10423.1</v>
          </cell>
          <cell r="CS385">
            <v>10285</v>
          </cell>
          <cell r="CT385">
            <v>10285</v>
          </cell>
          <cell r="CU385">
            <v>10285</v>
          </cell>
          <cell r="CV385">
            <v>10070.700000000001</v>
          </cell>
          <cell r="CW385">
            <v>10070.700000000001</v>
          </cell>
          <cell r="CX385">
            <v>10070.700000000001</v>
          </cell>
          <cell r="CY385">
            <v>8799.9</v>
          </cell>
          <cell r="CZ385">
            <v>8799.9</v>
          </cell>
          <cell r="DA385">
            <v>8799.9</v>
          </cell>
          <cell r="DB385">
            <v>8689.9</v>
          </cell>
          <cell r="DC385">
            <v>8689.9</v>
          </cell>
          <cell r="DD385">
            <v>8689.9</v>
          </cell>
          <cell r="DE385">
            <v>8351</v>
          </cell>
          <cell r="DF385">
            <v>8351</v>
          </cell>
          <cell r="DG385">
            <v>8351</v>
          </cell>
          <cell r="DH385">
            <v>8240</v>
          </cell>
          <cell r="DI385">
            <v>8240</v>
          </cell>
          <cell r="DJ385">
            <v>8240</v>
          </cell>
          <cell r="DK385">
            <v>9743.5</v>
          </cell>
          <cell r="DL385">
            <v>9743.5</v>
          </cell>
          <cell r="DM385">
            <v>9743.5</v>
          </cell>
          <cell r="DN385">
            <v>9743.5</v>
          </cell>
          <cell r="DO385">
            <v>9743.5</v>
          </cell>
          <cell r="DP385">
            <v>9743.5</v>
          </cell>
          <cell r="DQ385">
            <v>9743.5</v>
          </cell>
          <cell r="DR385">
            <v>9743.5</v>
          </cell>
          <cell r="DS385">
            <v>9743.5</v>
          </cell>
          <cell r="DT385">
            <v>9743.5</v>
          </cell>
          <cell r="DU385">
            <v>9743.5</v>
          </cell>
          <cell r="DV385">
            <v>9743.5</v>
          </cell>
          <cell r="DW385">
            <v>9743.5</v>
          </cell>
          <cell r="EK385" t="str">
            <v>Tax</v>
          </cell>
        </row>
        <row r="386">
          <cell r="A386" t="str">
            <v>Deferred Income Tax</v>
          </cell>
          <cell r="B386" t="str">
            <v>T_283</v>
          </cell>
          <cell r="C386" t="str">
            <v>Accumulated Deferred Income Tax</v>
          </cell>
          <cell r="D386" t="str">
            <v>2830331</v>
          </cell>
          <cell r="E386" t="str">
            <v>A_2830331</v>
          </cell>
          <cell r="F386" t="str">
            <v>DIT Liab-FAS 158 - Medicare Part D - Federal</v>
          </cell>
          <cell r="G386">
            <v>31.991</v>
          </cell>
          <cell r="H386">
            <v>32</v>
          </cell>
          <cell r="I386">
            <v>32</v>
          </cell>
          <cell r="J386">
            <v>32</v>
          </cell>
          <cell r="K386">
            <v>32</v>
          </cell>
          <cell r="L386">
            <v>32</v>
          </cell>
          <cell r="M386">
            <v>32</v>
          </cell>
          <cell r="N386">
            <v>32</v>
          </cell>
          <cell r="O386">
            <v>32</v>
          </cell>
          <cell r="P386">
            <v>32</v>
          </cell>
          <cell r="Q386">
            <v>32</v>
          </cell>
          <cell r="R386">
            <v>32</v>
          </cell>
          <cell r="S386">
            <v>32</v>
          </cell>
          <cell r="T386">
            <v>32</v>
          </cell>
          <cell r="U386">
            <v>32</v>
          </cell>
          <cell r="V386">
            <v>32</v>
          </cell>
          <cell r="W386">
            <v>32</v>
          </cell>
          <cell r="X386">
            <v>32</v>
          </cell>
          <cell r="Y386">
            <v>32</v>
          </cell>
          <cell r="Z386">
            <v>32</v>
          </cell>
          <cell r="AA386">
            <v>32</v>
          </cell>
          <cell r="AB386">
            <v>32</v>
          </cell>
          <cell r="AC386">
            <v>32</v>
          </cell>
          <cell r="AD386">
            <v>32</v>
          </cell>
          <cell r="AE386">
            <v>32</v>
          </cell>
          <cell r="AF386">
            <v>32</v>
          </cell>
          <cell r="AG386">
            <v>32</v>
          </cell>
          <cell r="AH386">
            <v>32</v>
          </cell>
          <cell r="AI386">
            <v>32</v>
          </cell>
          <cell r="AJ386">
            <v>32</v>
          </cell>
          <cell r="AK386">
            <v>32</v>
          </cell>
          <cell r="AL386">
            <v>32</v>
          </cell>
          <cell r="AM386">
            <v>32</v>
          </cell>
          <cell r="AN386">
            <v>32</v>
          </cell>
          <cell r="AO386">
            <v>32</v>
          </cell>
          <cell r="AP386">
            <v>32</v>
          </cell>
          <cell r="AQ386">
            <v>32</v>
          </cell>
          <cell r="AR386">
            <v>32</v>
          </cell>
          <cell r="AS386">
            <v>32</v>
          </cell>
          <cell r="AT386">
            <v>32</v>
          </cell>
          <cell r="AU386">
            <v>32</v>
          </cell>
          <cell r="AV386">
            <v>32</v>
          </cell>
          <cell r="AW386">
            <v>32</v>
          </cell>
          <cell r="AX386">
            <v>32</v>
          </cell>
          <cell r="AY386">
            <v>32</v>
          </cell>
          <cell r="AZ386">
            <v>32</v>
          </cell>
          <cell r="BA386">
            <v>32</v>
          </cell>
          <cell r="BB386">
            <v>32</v>
          </cell>
          <cell r="BC386">
            <v>32</v>
          </cell>
          <cell r="BD386">
            <v>32</v>
          </cell>
          <cell r="BE386">
            <v>32</v>
          </cell>
          <cell r="BF386">
            <v>32</v>
          </cell>
          <cell r="BG386">
            <v>32</v>
          </cell>
          <cell r="BH386">
            <v>32</v>
          </cell>
          <cell r="BI386">
            <v>32</v>
          </cell>
          <cell r="BJ386">
            <v>32</v>
          </cell>
          <cell r="BK386">
            <v>32</v>
          </cell>
          <cell r="BL386">
            <v>32</v>
          </cell>
          <cell r="BM386">
            <v>32</v>
          </cell>
          <cell r="BN386">
            <v>32</v>
          </cell>
          <cell r="BO386">
            <v>32</v>
          </cell>
          <cell r="BP386">
            <v>32</v>
          </cell>
          <cell r="BQ386">
            <v>32</v>
          </cell>
          <cell r="BR386">
            <v>32</v>
          </cell>
          <cell r="BS386">
            <v>32</v>
          </cell>
          <cell r="BT386">
            <v>32</v>
          </cell>
          <cell r="BU386">
            <v>32</v>
          </cell>
          <cell r="BV386">
            <v>32</v>
          </cell>
          <cell r="BW386">
            <v>32</v>
          </cell>
          <cell r="BX386">
            <v>32</v>
          </cell>
          <cell r="BY386">
            <v>32</v>
          </cell>
          <cell r="BZ386">
            <v>32</v>
          </cell>
          <cell r="CA386">
            <v>32</v>
          </cell>
          <cell r="CB386">
            <v>32</v>
          </cell>
          <cell r="CC386">
            <v>32</v>
          </cell>
          <cell r="CD386">
            <v>32</v>
          </cell>
          <cell r="CE386">
            <v>32</v>
          </cell>
          <cell r="CF386">
            <v>32</v>
          </cell>
          <cell r="CG386">
            <v>32</v>
          </cell>
          <cell r="CH386">
            <v>32</v>
          </cell>
          <cell r="CI386">
            <v>32</v>
          </cell>
          <cell r="CJ386">
            <v>32</v>
          </cell>
          <cell r="CK386">
            <v>32</v>
          </cell>
          <cell r="CL386">
            <v>32</v>
          </cell>
          <cell r="CM386">
            <v>32</v>
          </cell>
          <cell r="CN386">
            <v>32</v>
          </cell>
          <cell r="CO386">
            <v>32</v>
          </cell>
          <cell r="CP386">
            <v>32</v>
          </cell>
          <cell r="CQ386">
            <v>32</v>
          </cell>
          <cell r="CR386">
            <v>32</v>
          </cell>
          <cell r="CS386">
            <v>32</v>
          </cell>
          <cell r="CT386">
            <v>32</v>
          </cell>
          <cell r="CU386">
            <v>32</v>
          </cell>
          <cell r="CV386">
            <v>32</v>
          </cell>
          <cell r="CW386">
            <v>32</v>
          </cell>
          <cell r="CX386">
            <v>32</v>
          </cell>
          <cell r="CY386">
            <v>32</v>
          </cell>
          <cell r="CZ386">
            <v>32</v>
          </cell>
          <cell r="DA386">
            <v>32</v>
          </cell>
          <cell r="DB386">
            <v>32</v>
          </cell>
          <cell r="DC386">
            <v>32</v>
          </cell>
          <cell r="DD386">
            <v>32</v>
          </cell>
          <cell r="DE386">
            <v>32</v>
          </cell>
          <cell r="DF386">
            <v>32</v>
          </cell>
          <cell r="DG386">
            <v>32</v>
          </cell>
          <cell r="DH386">
            <v>32</v>
          </cell>
          <cell r="DI386">
            <v>32</v>
          </cell>
          <cell r="DJ386">
            <v>32</v>
          </cell>
          <cell r="DK386">
            <v>32</v>
          </cell>
          <cell r="DL386">
            <v>32</v>
          </cell>
          <cell r="DM386">
            <v>32</v>
          </cell>
          <cell r="DN386">
            <v>32</v>
          </cell>
          <cell r="DO386">
            <v>32</v>
          </cell>
          <cell r="DP386">
            <v>32</v>
          </cell>
          <cell r="DQ386">
            <v>32</v>
          </cell>
          <cell r="DR386">
            <v>32</v>
          </cell>
          <cell r="DS386">
            <v>32</v>
          </cell>
          <cell r="DT386">
            <v>32</v>
          </cell>
          <cell r="DU386">
            <v>32</v>
          </cell>
          <cell r="DV386">
            <v>32</v>
          </cell>
          <cell r="DW386">
            <v>32</v>
          </cell>
          <cell r="EK386" t="str">
            <v>Tax</v>
          </cell>
        </row>
        <row r="387">
          <cell r="A387" t="str">
            <v>Deferred Income Tax</v>
          </cell>
          <cell r="B387" t="str">
            <v>T_283</v>
          </cell>
          <cell r="C387" t="str">
            <v>Accumulated Deferred Income Tax</v>
          </cell>
          <cell r="D387" t="str">
            <v>2830340</v>
          </cell>
          <cell r="E387" t="str">
            <v>A_2830340</v>
          </cell>
          <cell r="F387" t="str">
            <v>DIT Liab-FAS 133 - Federal</v>
          </cell>
          <cell r="G387">
            <v>387.25205999999997</v>
          </cell>
          <cell r="H387">
            <v>1184.5</v>
          </cell>
          <cell r="I387">
            <v>827.1</v>
          </cell>
          <cell r="J387">
            <v>503.9</v>
          </cell>
          <cell r="K387">
            <v>1023.1</v>
          </cell>
          <cell r="L387">
            <v>419.5</v>
          </cell>
          <cell r="M387">
            <v>286.2</v>
          </cell>
          <cell r="N387">
            <v>1074.5</v>
          </cell>
          <cell r="O387">
            <v>506.3</v>
          </cell>
          <cell r="P387">
            <v>535.1</v>
          </cell>
          <cell r="Q387">
            <v>1210.2</v>
          </cell>
          <cell r="R387">
            <v>894.1</v>
          </cell>
          <cell r="S387">
            <v>2972</v>
          </cell>
          <cell r="T387">
            <v>2998.2</v>
          </cell>
          <cell r="U387">
            <v>2456.6999999999998</v>
          </cell>
          <cell r="V387">
            <v>2397.8000000000002</v>
          </cell>
          <cell r="W387">
            <v>2081.1999999999998</v>
          </cell>
          <cell r="X387">
            <v>2024.2</v>
          </cell>
          <cell r="Y387">
            <v>1718.1</v>
          </cell>
          <cell r="Z387">
            <v>1726</v>
          </cell>
          <cell r="AA387">
            <v>1835.6</v>
          </cell>
          <cell r="AB387">
            <v>2094.4</v>
          </cell>
          <cell r="AC387">
            <v>2660.6</v>
          </cell>
          <cell r="AD387">
            <v>2667.7</v>
          </cell>
          <cell r="AE387">
            <v>2098.9</v>
          </cell>
          <cell r="AF387">
            <v>1615.9</v>
          </cell>
          <cell r="AG387">
            <v>1796.3</v>
          </cell>
          <cell r="AH387">
            <v>1142.9000000000001</v>
          </cell>
          <cell r="AI387">
            <v>670.8</v>
          </cell>
          <cell r="AJ387">
            <v>584.5</v>
          </cell>
          <cell r="AK387">
            <v>232.3</v>
          </cell>
          <cell r="AL387">
            <v>227.1</v>
          </cell>
          <cell r="AM387">
            <v>173.7</v>
          </cell>
          <cell r="AN387">
            <v>172.8</v>
          </cell>
          <cell r="AO387">
            <v>185.9</v>
          </cell>
          <cell r="AP387">
            <v>201.4</v>
          </cell>
          <cell r="AQ387">
            <v>657.9</v>
          </cell>
          <cell r="AR387">
            <v>195.6</v>
          </cell>
          <cell r="AS387">
            <v>139.30000000000001</v>
          </cell>
          <cell r="AT387">
            <v>161.1</v>
          </cell>
          <cell r="AU387">
            <v>178.2</v>
          </cell>
          <cell r="AV387">
            <v>57.4</v>
          </cell>
          <cell r="AW387">
            <v>36.6</v>
          </cell>
          <cell r="AX387">
            <v>49.1</v>
          </cell>
          <cell r="AY387">
            <v>35</v>
          </cell>
          <cell r="AZ387">
            <v>29.4</v>
          </cell>
          <cell r="BA387">
            <v>47.3</v>
          </cell>
          <cell r="BB387">
            <v>22.4</v>
          </cell>
          <cell r="BC387">
            <v>299.10000000000002</v>
          </cell>
          <cell r="BD387">
            <v>279</v>
          </cell>
          <cell r="BE387">
            <v>285.60000000000002</v>
          </cell>
          <cell r="BF387">
            <v>269.7</v>
          </cell>
          <cell r="BG387">
            <v>268.7</v>
          </cell>
          <cell r="BH387">
            <v>267.10000000000002</v>
          </cell>
          <cell r="BI387">
            <v>266.3</v>
          </cell>
          <cell r="BJ387">
            <v>265.5</v>
          </cell>
          <cell r="BK387">
            <v>263.89999999999998</v>
          </cell>
          <cell r="BL387">
            <v>265.2</v>
          </cell>
          <cell r="BM387">
            <v>266.10000000000002</v>
          </cell>
          <cell r="BN387">
            <v>263.2</v>
          </cell>
          <cell r="BO387">
            <v>263.2</v>
          </cell>
          <cell r="BP387">
            <v>263.2</v>
          </cell>
          <cell r="BQ387">
            <v>263.2</v>
          </cell>
          <cell r="BR387">
            <v>263.2</v>
          </cell>
          <cell r="BS387">
            <v>263.2</v>
          </cell>
          <cell r="BT387">
            <v>263.2</v>
          </cell>
          <cell r="BU387">
            <v>263.2</v>
          </cell>
          <cell r="BV387">
            <v>263.2</v>
          </cell>
          <cell r="BW387">
            <v>263.2</v>
          </cell>
          <cell r="BX387">
            <v>263.2</v>
          </cell>
          <cell r="BY387">
            <v>263.2</v>
          </cell>
          <cell r="BZ387">
            <v>263.2</v>
          </cell>
          <cell r="CA387">
            <v>263.2</v>
          </cell>
          <cell r="CB387">
            <v>263.2</v>
          </cell>
          <cell r="CC387">
            <v>263.2</v>
          </cell>
          <cell r="CD387">
            <v>263.2</v>
          </cell>
          <cell r="CE387">
            <v>263.2</v>
          </cell>
          <cell r="CF387">
            <v>263.2</v>
          </cell>
          <cell r="CG387">
            <v>263.2</v>
          </cell>
          <cell r="CH387">
            <v>263.2</v>
          </cell>
          <cell r="CI387">
            <v>263.2</v>
          </cell>
          <cell r="CJ387">
            <v>263.2</v>
          </cell>
          <cell r="CK387">
            <v>263.2</v>
          </cell>
          <cell r="CL387">
            <v>263.2</v>
          </cell>
          <cell r="CM387">
            <v>263.2</v>
          </cell>
          <cell r="CN387">
            <v>263.2</v>
          </cell>
          <cell r="CO387">
            <v>263.2</v>
          </cell>
          <cell r="CP387">
            <v>263.2</v>
          </cell>
          <cell r="CQ387">
            <v>263.2</v>
          </cell>
          <cell r="CR387">
            <v>263.2</v>
          </cell>
          <cell r="CS387">
            <v>263.2</v>
          </cell>
          <cell r="CT387">
            <v>263.2</v>
          </cell>
          <cell r="CU387">
            <v>263.2</v>
          </cell>
          <cell r="CV387">
            <v>263.2</v>
          </cell>
          <cell r="CW387">
            <v>263.2</v>
          </cell>
          <cell r="CX387">
            <v>263.2</v>
          </cell>
          <cell r="CY387">
            <v>263.2</v>
          </cell>
          <cell r="CZ387">
            <v>263.2</v>
          </cell>
          <cell r="DA387">
            <v>263.2</v>
          </cell>
          <cell r="DB387">
            <v>263.2</v>
          </cell>
          <cell r="DC387">
            <v>263.2</v>
          </cell>
          <cell r="DD387">
            <v>263.2</v>
          </cell>
          <cell r="DE387">
            <v>263.2</v>
          </cell>
          <cell r="DF387">
            <v>263.2</v>
          </cell>
          <cell r="DG387">
            <v>263.2</v>
          </cell>
          <cell r="DH387">
            <v>263.2</v>
          </cell>
          <cell r="DI387">
            <v>263.2</v>
          </cell>
          <cell r="DJ387">
            <v>263.2</v>
          </cell>
          <cell r="DK387">
            <v>263.2</v>
          </cell>
          <cell r="DL387">
            <v>263.2</v>
          </cell>
          <cell r="DM387">
            <v>263.2</v>
          </cell>
          <cell r="DN387">
            <v>263.2</v>
          </cell>
          <cell r="DO387">
            <v>263.2</v>
          </cell>
          <cell r="DP387">
            <v>263.2</v>
          </cell>
          <cell r="DQ387">
            <v>263.2</v>
          </cell>
          <cell r="DR387">
            <v>263.2</v>
          </cell>
          <cell r="DS387">
            <v>263.2</v>
          </cell>
          <cell r="DT387">
            <v>263.2</v>
          </cell>
          <cell r="DU387">
            <v>263.2</v>
          </cell>
          <cell r="DV387">
            <v>263.2</v>
          </cell>
          <cell r="DW387">
            <v>263.2</v>
          </cell>
          <cell r="EK387" t="str">
            <v>Tax</v>
          </cell>
        </row>
        <row r="388">
          <cell r="A388" t="str">
            <v>Deferred Income Tax</v>
          </cell>
          <cell r="B388" t="str">
            <v>T_283</v>
          </cell>
          <cell r="C388" t="str">
            <v>Accumulated Deferred Income Tax</v>
          </cell>
          <cell r="D388" t="str">
            <v>2830400</v>
          </cell>
          <cell r="E388" t="str">
            <v>A_2830400</v>
          </cell>
          <cell r="F388" t="str">
            <v>DIT Liab-State</v>
          </cell>
          <cell r="G388">
            <v>1263.50278</v>
          </cell>
          <cell r="H388">
            <v>1225.3</v>
          </cell>
          <cell r="I388">
            <v>1097.2</v>
          </cell>
          <cell r="J388">
            <v>1098.9000000000001</v>
          </cell>
          <cell r="K388">
            <v>1103.3</v>
          </cell>
          <cell r="L388">
            <v>1017.7</v>
          </cell>
          <cell r="M388">
            <v>1015.6</v>
          </cell>
          <cell r="N388">
            <v>1007.4</v>
          </cell>
          <cell r="O388">
            <v>999.2</v>
          </cell>
          <cell r="P388">
            <v>1180.4000000000001</v>
          </cell>
          <cell r="Q388">
            <v>1190.7</v>
          </cell>
          <cell r="R388">
            <v>1366.9</v>
          </cell>
          <cell r="S388">
            <v>1394.8</v>
          </cell>
          <cell r="T388">
            <v>1351.1</v>
          </cell>
          <cell r="U388">
            <v>1377.9</v>
          </cell>
          <cell r="V388">
            <v>1341.4</v>
          </cell>
          <cell r="W388">
            <v>1356.8</v>
          </cell>
          <cell r="X388">
            <v>1348.4</v>
          </cell>
          <cell r="Y388">
            <v>1279.7</v>
          </cell>
          <cell r="Z388">
            <v>1285.8</v>
          </cell>
          <cell r="AA388">
            <v>1278.0999999999999</v>
          </cell>
          <cell r="AB388">
            <v>1233.5</v>
          </cell>
          <cell r="AC388">
            <v>1361.4</v>
          </cell>
          <cell r="AD388">
            <v>1480.1</v>
          </cell>
          <cell r="AE388">
            <v>1669</v>
          </cell>
          <cell r="AF388">
            <v>1608.9</v>
          </cell>
          <cell r="AG388">
            <v>1392.1</v>
          </cell>
          <cell r="AH388">
            <v>1387.2</v>
          </cell>
          <cell r="AI388">
            <v>1381.1</v>
          </cell>
          <cell r="AJ388">
            <v>1382.1</v>
          </cell>
          <cell r="AK388">
            <v>1379</v>
          </cell>
          <cell r="AL388">
            <v>1374.7</v>
          </cell>
          <cell r="AM388">
            <v>1372.4</v>
          </cell>
          <cell r="AN388">
            <v>1345.1</v>
          </cell>
          <cell r="AO388">
            <v>1351.5</v>
          </cell>
          <cell r="AP388">
            <v>1348.3</v>
          </cell>
          <cell r="AQ388">
            <v>1344.4</v>
          </cell>
          <cell r="AR388">
            <v>1344.1</v>
          </cell>
          <cell r="AS388">
            <v>1337.3</v>
          </cell>
          <cell r="AT388">
            <v>1343.6</v>
          </cell>
          <cell r="AU388">
            <v>1343.5</v>
          </cell>
          <cell r="AV388">
            <v>1344.4</v>
          </cell>
          <cell r="AW388">
            <v>1340.5</v>
          </cell>
          <cell r="AX388">
            <v>1340.3</v>
          </cell>
          <cell r="AY388">
            <v>1344.2</v>
          </cell>
          <cell r="AZ388">
            <v>1338.5</v>
          </cell>
          <cell r="BA388">
            <v>1475.4</v>
          </cell>
          <cell r="BB388">
            <v>1541.8</v>
          </cell>
          <cell r="BC388">
            <v>1640.6</v>
          </cell>
          <cell r="BD388">
            <v>1488.9</v>
          </cell>
          <cell r="BE388">
            <v>1391.5</v>
          </cell>
          <cell r="BF388">
            <v>1325.5</v>
          </cell>
          <cell r="BG388">
            <v>1255.3</v>
          </cell>
          <cell r="BH388">
            <v>1227.8</v>
          </cell>
          <cell r="BI388">
            <v>1181.4000000000001</v>
          </cell>
          <cell r="BJ388">
            <v>1136</v>
          </cell>
          <cell r="BK388">
            <v>1123.3</v>
          </cell>
          <cell r="BL388">
            <v>1453</v>
          </cell>
          <cell r="BM388">
            <v>1472.3</v>
          </cell>
          <cell r="BN388">
            <v>1443.5</v>
          </cell>
          <cell r="BO388">
            <v>1583.5</v>
          </cell>
          <cell r="BP388">
            <v>1482</v>
          </cell>
          <cell r="BQ388">
            <v>1421.2</v>
          </cell>
          <cell r="BR388">
            <v>1444</v>
          </cell>
          <cell r="BS388">
            <v>1443</v>
          </cell>
          <cell r="BT388">
            <v>1444.8</v>
          </cell>
          <cell r="BU388">
            <v>1449.2</v>
          </cell>
          <cell r="BV388">
            <v>1451.7</v>
          </cell>
          <cell r="BW388">
            <v>1459.8</v>
          </cell>
          <cell r="BX388">
            <v>1489.7</v>
          </cell>
          <cell r="BY388">
            <v>1504</v>
          </cell>
          <cell r="BZ388">
            <v>1506.4</v>
          </cell>
          <cell r="CA388">
            <v>1544.3</v>
          </cell>
          <cell r="CB388">
            <v>1551.9</v>
          </cell>
          <cell r="CC388">
            <v>1553.5</v>
          </cell>
          <cell r="CD388">
            <v>1539.7</v>
          </cell>
          <cell r="CE388">
            <v>1542.9</v>
          </cell>
          <cell r="CF388">
            <v>1547.1</v>
          </cell>
          <cell r="CG388">
            <v>1545.4</v>
          </cell>
          <cell r="CH388">
            <v>1546.3</v>
          </cell>
          <cell r="CI388">
            <v>1620.6</v>
          </cell>
          <cell r="CJ388">
            <v>1629.6</v>
          </cell>
          <cell r="CK388">
            <v>1580.7</v>
          </cell>
          <cell r="CL388">
            <v>1583</v>
          </cell>
          <cell r="CM388">
            <v>1639</v>
          </cell>
          <cell r="CN388">
            <v>1648.1</v>
          </cell>
          <cell r="CO388">
            <v>1656.7</v>
          </cell>
          <cell r="CP388">
            <v>1656.9</v>
          </cell>
          <cell r="CQ388">
            <v>1661.4</v>
          </cell>
          <cell r="CR388">
            <v>1669.1</v>
          </cell>
          <cell r="CS388">
            <v>1688.6</v>
          </cell>
          <cell r="CT388">
            <v>1724.8</v>
          </cell>
          <cell r="CU388">
            <v>1728.4</v>
          </cell>
          <cell r="CV388">
            <v>1662.3</v>
          </cell>
          <cell r="CW388">
            <v>1848.3</v>
          </cell>
          <cell r="CX388">
            <v>2123.6999999999998</v>
          </cell>
          <cell r="CY388">
            <v>2074.6999999999998</v>
          </cell>
          <cell r="CZ388">
            <v>1816.2</v>
          </cell>
          <cell r="DA388">
            <v>1505</v>
          </cell>
          <cell r="DB388">
            <v>1548.1</v>
          </cell>
          <cell r="DC388">
            <v>1388.7</v>
          </cell>
          <cell r="DD388">
            <v>1366.1</v>
          </cell>
          <cell r="DE388">
            <v>1432.4</v>
          </cell>
          <cell r="DF388">
            <v>1421.7</v>
          </cell>
          <cell r="DG388">
            <v>1413.7</v>
          </cell>
          <cell r="DH388">
            <v>1448.5</v>
          </cell>
          <cell r="DI388">
            <v>1463.6</v>
          </cell>
          <cell r="DJ388">
            <v>1455.3</v>
          </cell>
          <cell r="DK388">
            <v>1619.6</v>
          </cell>
          <cell r="DL388">
            <v>1604.6</v>
          </cell>
          <cell r="DM388">
            <v>1591.5</v>
          </cell>
          <cell r="DN388">
            <v>1586</v>
          </cell>
          <cell r="DO388">
            <v>1548.7</v>
          </cell>
          <cell r="DP388">
            <v>1534.3</v>
          </cell>
          <cell r="DQ388">
            <v>1561</v>
          </cell>
          <cell r="DR388">
            <v>1562.8</v>
          </cell>
          <cell r="DS388">
            <v>1568.2</v>
          </cell>
          <cell r="DT388">
            <v>1610.6</v>
          </cell>
          <cell r="DU388">
            <v>1628.4</v>
          </cell>
          <cell r="DV388">
            <v>1624.7</v>
          </cell>
          <cell r="DW388">
            <v>1748.6</v>
          </cell>
          <cell r="EK388" t="str">
            <v>Tax</v>
          </cell>
        </row>
        <row r="389">
          <cell r="A389" t="str">
            <v>Deferred Income Tax</v>
          </cell>
          <cell r="B389" t="str">
            <v>T_283</v>
          </cell>
          <cell r="C389" t="str">
            <v>Accumulated Deferred Income Tax</v>
          </cell>
          <cell r="D389" t="str">
            <v>2830430</v>
          </cell>
          <cell r="E389" t="str">
            <v>A_2830430</v>
          </cell>
          <cell r="F389" t="str">
            <v>DIT Liab-FAS 158 - State</v>
          </cell>
          <cell r="G389">
            <v>950.35037999999997</v>
          </cell>
          <cell r="H389">
            <v>950.4</v>
          </cell>
          <cell r="I389">
            <v>950.4</v>
          </cell>
          <cell r="J389">
            <v>929.4</v>
          </cell>
          <cell r="K389">
            <v>929.4</v>
          </cell>
          <cell r="L389">
            <v>929.4</v>
          </cell>
          <cell r="M389">
            <v>907.9</v>
          </cell>
          <cell r="N389">
            <v>907.9</v>
          </cell>
          <cell r="O389">
            <v>907.9</v>
          </cell>
          <cell r="P389">
            <v>896.6</v>
          </cell>
          <cell r="Q389">
            <v>896.6</v>
          </cell>
          <cell r="R389">
            <v>896.6</v>
          </cell>
          <cell r="S389">
            <v>1063.3</v>
          </cell>
          <cell r="T389">
            <v>1063.3</v>
          </cell>
          <cell r="U389">
            <v>1063.3</v>
          </cell>
          <cell r="V389">
            <v>1083.2</v>
          </cell>
          <cell r="W389">
            <v>1083.2</v>
          </cell>
          <cell r="X389">
            <v>1083.2</v>
          </cell>
          <cell r="Y389">
            <v>1017.7</v>
          </cell>
          <cell r="Z389">
            <v>1017.7</v>
          </cell>
          <cell r="AA389">
            <v>1000.9</v>
          </cell>
          <cell r="AB389">
            <v>978.1</v>
          </cell>
          <cell r="AC389">
            <v>978.1</v>
          </cell>
          <cell r="AD389">
            <v>978.1</v>
          </cell>
          <cell r="AE389">
            <v>1381.1</v>
          </cell>
          <cell r="AF389">
            <v>1381.1</v>
          </cell>
          <cell r="AG389">
            <v>1381.1</v>
          </cell>
          <cell r="AH389">
            <v>1361.6</v>
          </cell>
          <cell r="AI389">
            <v>1361.6</v>
          </cell>
          <cell r="AJ389">
            <v>1362.1</v>
          </cell>
          <cell r="AK389">
            <v>1336.2</v>
          </cell>
          <cell r="AL389">
            <v>1336.2</v>
          </cell>
          <cell r="AM389">
            <v>1336.2</v>
          </cell>
          <cell r="AN389">
            <v>1800.4</v>
          </cell>
          <cell r="AO389">
            <v>1800.4</v>
          </cell>
          <cell r="AP389">
            <v>1800.4</v>
          </cell>
          <cell r="AQ389">
            <v>1558.1</v>
          </cell>
          <cell r="AR389">
            <v>1558.1</v>
          </cell>
          <cell r="AS389">
            <v>1558.1</v>
          </cell>
          <cell r="AT389">
            <v>1534.8</v>
          </cell>
          <cell r="AU389">
            <v>1534.8</v>
          </cell>
          <cell r="AV389">
            <v>1534.8</v>
          </cell>
          <cell r="AW389">
            <v>1576.9</v>
          </cell>
          <cell r="AX389">
            <v>1576.9</v>
          </cell>
          <cell r="AY389">
            <v>1576.9</v>
          </cell>
          <cell r="AZ389">
            <v>1551.7</v>
          </cell>
          <cell r="BA389">
            <v>1551.7</v>
          </cell>
          <cell r="BB389">
            <v>1551.7</v>
          </cell>
          <cell r="BC389">
            <v>1445.7</v>
          </cell>
          <cell r="BD389">
            <v>1445.7</v>
          </cell>
          <cell r="BE389">
            <v>1445.7</v>
          </cell>
          <cell r="BF389">
            <v>1419.1</v>
          </cell>
          <cell r="BG389">
            <v>1419.1</v>
          </cell>
          <cell r="BH389">
            <v>1419.1</v>
          </cell>
          <cell r="BI389">
            <v>1389.6</v>
          </cell>
          <cell r="BJ389">
            <v>1389.6</v>
          </cell>
          <cell r="BK389">
            <v>1389.6</v>
          </cell>
          <cell r="BL389">
            <v>1362.8</v>
          </cell>
          <cell r="BM389">
            <v>1362.8</v>
          </cell>
          <cell r="BN389">
            <v>1362.8</v>
          </cell>
          <cell r="BO389">
            <v>1690.6</v>
          </cell>
          <cell r="BP389">
            <v>1690.6</v>
          </cell>
          <cell r="BQ389">
            <v>1690.6</v>
          </cell>
          <cell r="BR389">
            <v>1668.7</v>
          </cell>
          <cell r="BS389">
            <v>1668.7</v>
          </cell>
          <cell r="BT389">
            <v>1668.7</v>
          </cell>
          <cell r="BU389">
            <v>1644.8</v>
          </cell>
          <cell r="BV389">
            <v>1644.8</v>
          </cell>
          <cell r="BW389">
            <v>1644.8</v>
          </cell>
          <cell r="BX389">
            <v>1622</v>
          </cell>
          <cell r="BY389">
            <v>1622</v>
          </cell>
          <cell r="BZ389">
            <v>1622</v>
          </cell>
          <cell r="CA389">
            <v>1633.8</v>
          </cell>
          <cell r="CB389">
            <v>1633.8</v>
          </cell>
          <cell r="CC389">
            <v>1633.8</v>
          </cell>
          <cell r="CD389">
            <v>1605.2</v>
          </cell>
          <cell r="CE389">
            <v>1605.2</v>
          </cell>
          <cell r="CF389">
            <v>1605.2</v>
          </cell>
          <cell r="CG389">
            <v>1575</v>
          </cell>
          <cell r="CH389">
            <v>1575</v>
          </cell>
          <cell r="CI389">
            <v>1575</v>
          </cell>
          <cell r="CJ389">
            <v>1545.6</v>
          </cell>
          <cell r="CK389">
            <v>1545.6</v>
          </cell>
          <cell r="CL389">
            <v>1545.6</v>
          </cell>
          <cell r="CM389">
            <v>1888.3</v>
          </cell>
          <cell r="CN389">
            <v>1888.3</v>
          </cell>
          <cell r="CO389">
            <v>1888.3</v>
          </cell>
          <cell r="CP389">
            <v>1850</v>
          </cell>
          <cell r="CQ389">
            <v>1850</v>
          </cell>
          <cell r="CR389">
            <v>1850</v>
          </cell>
          <cell r="CS389">
            <v>1811.7</v>
          </cell>
          <cell r="CT389">
            <v>1811.7</v>
          </cell>
          <cell r="CU389">
            <v>1811.7</v>
          </cell>
          <cell r="CV389">
            <v>1752.3</v>
          </cell>
          <cell r="CW389">
            <v>1752.3</v>
          </cell>
          <cell r="CX389">
            <v>1752.3</v>
          </cell>
          <cell r="CY389">
            <v>1400.1</v>
          </cell>
          <cell r="CZ389">
            <v>1400.1</v>
          </cell>
          <cell r="DA389">
            <v>1400.1</v>
          </cell>
          <cell r="DB389">
            <v>1369.6</v>
          </cell>
          <cell r="DC389">
            <v>1369.6</v>
          </cell>
          <cell r="DD389">
            <v>1369.6</v>
          </cell>
          <cell r="DE389">
            <v>1275.7</v>
          </cell>
          <cell r="DF389">
            <v>1275.7</v>
          </cell>
          <cell r="DG389">
            <v>1275.7</v>
          </cell>
          <cell r="DH389">
            <v>1244.9000000000001</v>
          </cell>
          <cell r="DI389">
            <v>1244.9000000000001</v>
          </cell>
          <cell r="DJ389">
            <v>1244.9000000000001</v>
          </cell>
          <cell r="DK389">
            <v>1661.6</v>
          </cell>
          <cell r="DL389">
            <v>1661.6</v>
          </cell>
          <cell r="DM389">
            <v>1661.6</v>
          </cell>
          <cell r="DN389">
            <v>1661.6</v>
          </cell>
          <cell r="DO389">
            <v>1661.6</v>
          </cell>
          <cell r="DP389">
            <v>1661.6</v>
          </cell>
          <cell r="DQ389">
            <v>1661.6</v>
          </cell>
          <cell r="DR389">
            <v>1661.6</v>
          </cell>
          <cell r="DS389">
            <v>1661.6</v>
          </cell>
          <cell r="DT389">
            <v>1661.6</v>
          </cell>
          <cell r="DU389">
            <v>1661.6</v>
          </cell>
          <cell r="DV389">
            <v>1661.6</v>
          </cell>
          <cell r="DW389">
            <v>1661.6</v>
          </cell>
          <cell r="EK389" t="str">
            <v>Tax</v>
          </cell>
        </row>
        <row r="390">
          <cell r="A390" t="str">
            <v>Deferred Income Tax</v>
          </cell>
          <cell r="B390" t="str">
            <v>T_283</v>
          </cell>
          <cell r="C390" t="str">
            <v>Accumulated Deferred Income Tax</v>
          </cell>
          <cell r="D390" t="str">
            <v>2830431</v>
          </cell>
          <cell r="E390" t="str">
            <v>A_2830431</v>
          </cell>
          <cell r="F390" t="str">
            <v>DIT Liab-FAS 158 - Medicare Part D - State</v>
          </cell>
          <cell r="G390">
            <v>5.32</v>
          </cell>
          <cell r="H390">
            <v>5.3</v>
          </cell>
          <cell r="I390">
            <v>5.3</v>
          </cell>
          <cell r="J390">
            <v>5.3</v>
          </cell>
          <cell r="K390">
            <v>5.3</v>
          </cell>
          <cell r="L390">
            <v>5.3</v>
          </cell>
          <cell r="M390">
            <v>5.3</v>
          </cell>
          <cell r="N390">
            <v>5.3</v>
          </cell>
          <cell r="O390">
            <v>5.3</v>
          </cell>
          <cell r="P390">
            <v>5.3</v>
          </cell>
          <cell r="Q390">
            <v>5.3</v>
          </cell>
          <cell r="R390">
            <v>5.3</v>
          </cell>
          <cell r="S390">
            <v>5.3</v>
          </cell>
          <cell r="T390">
            <v>5.3</v>
          </cell>
          <cell r="U390">
            <v>5.3</v>
          </cell>
          <cell r="V390">
            <v>5.3</v>
          </cell>
          <cell r="W390">
            <v>5.3</v>
          </cell>
          <cell r="X390">
            <v>5.3</v>
          </cell>
          <cell r="Y390">
            <v>5.3</v>
          </cell>
          <cell r="Z390">
            <v>5.3</v>
          </cell>
          <cell r="AA390">
            <v>5.3</v>
          </cell>
          <cell r="AB390">
            <v>5.3</v>
          </cell>
          <cell r="AC390">
            <v>5.3</v>
          </cell>
          <cell r="AD390">
            <v>5.3</v>
          </cell>
          <cell r="AE390">
            <v>5.3</v>
          </cell>
          <cell r="AF390">
            <v>5.3</v>
          </cell>
          <cell r="AG390">
            <v>5.3</v>
          </cell>
          <cell r="AH390">
            <v>5.3</v>
          </cell>
          <cell r="AI390">
            <v>5.3</v>
          </cell>
          <cell r="AJ390">
            <v>5.3</v>
          </cell>
          <cell r="AK390">
            <v>5.3</v>
          </cell>
          <cell r="AL390">
            <v>5.3</v>
          </cell>
          <cell r="AM390">
            <v>5.3</v>
          </cell>
          <cell r="AN390">
            <v>5.3</v>
          </cell>
          <cell r="AO390">
            <v>5.3</v>
          </cell>
          <cell r="AP390">
            <v>5.3</v>
          </cell>
          <cell r="AQ390">
            <v>5.3</v>
          </cell>
          <cell r="AR390">
            <v>5.3</v>
          </cell>
          <cell r="AS390">
            <v>5.3</v>
          </cell>
          <cell r="AT390">
            <v>5.3</v>
          </cell>
          <cell r="AU390">
            <v>5.3</v>
          </cell>
          <cell r="AV390">
            <v>5.3</v>
          </cell>
          <cell r="AW390">
            <v>5.3</v>
          </cell>
          <cell r="AX390">
            <v>5.3</v>
          </cell>
          <cell r="AY390">
            <v>5.3</v>
          </cell>
          <cell r="AZ390">
            <v>5.3</v>
          </cell>
          <cell r="BA390">
            <v>5.3</v>
          </cell>
          <cell r="BB390">
            <v>5.3</v>
          </cell>
          <cell r="BC390">
            <v>5.3</v>
          </cell>
          <cell r="BD390">
            <v>5.3</v>
          </cell>
          <cell r="BE390">
            <v>5.3</v>
          </cell>
          <cell r="BF390">
            <v>5.3</v>
          </cell>
          <cell r="BG390">
            <v>5.3</v>
          </cell>
          <cell r="BH390">
            <v>5.3</v>
          </cell>
          <cell r="BI390">
            <v>5.3</v>
          </cell>
          <cell r="BJ390">
            <v>5.3</v>
          </cell>
          <cell r="BK390">
            <v>5.3</v>
          </cell>
          <cell r="BL390">
            <v>5.3</v>
          </cell>
          <cell r="BM390">
            <v>5.3</v>
          </cell>
          <cell r="BN390">
            <v>5.3</v>
          </cell>
          <cell r="BO390">
            <v>5.3</v>
          </cell>
          <cell r="BP390">
            <v>5.3</v>
          </cell>
          <cell r="BQ390">
            <v>5.3</v>
          </cell>
          <cell r="BR390">
            <v>5.3</v>
          </cell>
          <cell r="BS390">
            <v>5.3</v>
          </cell>
          <cell r="BT390">
            <v>5.3</v>
          </cell>
          <cell r="BU390">
            <v>5.3</v>
          </cell>
          <cell r="BV390">
            <v>5.3</v>
          </cell>
          <cell r="BW390">
            <v>5.3</v>
          </cell>
          <cell r="BX390">
            <v>5.3</v>
          </cell>
          <cell r="BY390">
            <v>5.3</v>
          </cell>
          <cell r="BZ390">
            <v>5.3</v>
          </cell>
          <cell r="CA390">
            <v>5.3</v>
          </cell>
          <cell r="CB390">
            <v>5.3</v>
          </cell>
          <cell r="CC390">
            <v>5.3</v>
          </cell>
          <cell r="CD390">
            <v>5.3</v>
          </cell>
          <cell r="CE390">
            <v>5.3</v>
          </cell>
          <cell r="CF390">
            <v>5.3</v>
          </cell>
          <cell r="CG390">
            <v>5.3</v>
          </cell>
          <cell r="CH390">
            <v>5.3</v>
          </cell>
          <cell r="CI390">
            <v>5.3</v>
          </cell>
          <cell r="CJ390">
            <v>5.3</v>
          </cell>
          <cell r="CK390">
            <v>5.3</v>
          </cell>
          <cell r="CL390">
            <v>5.3</v>
          </cell>
          <cell r="CM390">
            <v>5.3</v>
          </cell>
          <cell r="CN390">
            <v>5.3</v>
          </cell>
          <cell r="CO390">
            <v>5.3</v>
          </cell>
          <cell r="CP390">
            <v>5.3</v>
          </cell>
          <cell r="CQ390">
            <v>5.3</v>
          </cell>
          <cell r="CR390">
            <v>5.3</v>
          </cell>
          <cell r="CS390">
            <v>5.3</v>
          </cell>
          <cell r="CT390">
            <v>5.3</v>
          </cell>
          <cell r="CU390">
            <v>5.3</v>
          </cell>
          <cell r="CV390">
            <v>5.3</v>
          </cell>
          <cell r="CW390">
            <v>5.3</v>
          </cell>
          <cell r="CX390">
            <v>5.3</v>
          </cell>
          <cell r="CY390">
            <v>5.3</v>
          </cell>
          <cell r="CZ390">
            <v>5.3</v>
          </cell>
          <cell r="DA390">
            <v>5.3</v>
          </cell>
          <cell r="DB390">
            <v>5.3</v>
          </cell>
          <cell r="DC390">
            <v>5.3</v>
          </cell>
          <cell r="DD390">
            <v>5.3</v>
          </cell>
          <cell r="DE390">
            <v>5.3</v>
          </cell>
          <cell r="DF390">
            <v>5.3</v>
          </cell>
          <cell r="DG390">
            <v>5.3</v>
          </cell>
          <cell r="DH390">
            <v>5.3</v>
          </cell>
          <cell r="DI390">
            <v>5.3</v>
          </cell>
          <cell r="DJ390">
            <v>5.3</v>
          </cell>
          <cell r="DK390">
            <v>5.3</v>
          </cell>
          <cell r="DL390">
            <v>5.3</v>
          </cell>
          <cell r="DM390">
            <v>5.3</v>
          </cell>
          <cell r="DN390">
            <v>5.3</v>
          </cell>
          <cell r="DO390">
            <v>5.3</v>
          </cell>
          <cell r="DP390">
            <v>5.3</v>
          </cell>
          <cell r="DQ390">
            <v>5.3</v>
          </cell>
          <cell r="DR390">
            <v>5.3</v>
          </cell>
          <cell r="DS390">
            <v>5.3</v>
          </cell>
          <cell r="DT390">
            <v>5.3</v>
          </cell>
          <cell r="DU390">
            <v>5.3</v>
          </cell>
          <cell r="DV390">
            <v>5.3</v>
          </cell>
          <cell r="DW390">
            <v>5.3</v>
          </cell>
          <cell r="EK390" t="str">
            <v>Tax</v>
          </cell>
        </row>
        <row r="391">
          <cell r="A391" t="str">
            <v>Deferred Income Tax</v>
          </cell>
          <cell r="B391" t="str">
            <v>T_283</v>
          </cell>
          <cell r="C391" t="str">
            <v>Accumulated Deferred Income Tax</v>
          </cell>
          <cell r="D391" t="str">
            <v>2830440</v>
          </cell>
          <cell r="E391" t="str">
            <v>A_2830440</v>
          </cell>
          <cell r="F391" t="str">
            <v>DIT Liab-FAS 133 - State</v>
          </cell>
          <cell r="G391">
            <v>64.395260000000007</v>
          </cell>
          <cell r="H391">
            <v>197</v>
          </cell>
          <cell r="I391">
            <v>137.5</v>
          </cell>
          <cell r="J391">
            <v>83.8</v>
          </cell>
          <cell r="K391">
            <v>170.1</v>
          </cell>
          <cell r="L391">
            <v>69.8</v>
          </cell>
          <cell r="M391">
            <v>47.6</v>
          </cell>
          <cell r="N391">
            <v>178.7</v>
          </cell>
          <cell r="O391">
            <v>84.2</v>
          </cell>
          <cell r="P391">
            <v>89</v>
          </cell>
          <cell r="Q391">
            <v>201.2</v>
          </cell>
          <cell r="R391">
            <v>148.69999999999999</v>
          </cell>
          <cell r="S391">
            <v>494.2</v>
          </cell>
          <cell r="T391">
            <v>498.6</v>
          </cell>
          <cell r="U391">
            <v>408.5</v>
          </cell>
          <cell r="V391">
            <v>398.7</v>
          </cell>
          <cell r="W391">
            <v>346.1</v>
          </cell>
          <cell r="X391">
            <v>336.6</v>
          </cell>
          <cell r="Y391">
            <v>285.7</v>
          </cell>
          <cell r="Z391">
            <v>287</v>
          </cell>
          <cell r="AA391">
            <v>305.2</v>
          </cell>
          <cell r="AB391">
            <v>348.3</v>
          </cell>
          <cell r="AC391">
            <v>442.4</v>
          </cell>
          <cell r="AD391">
            <v>443.6</v>
          </cell>
          <cell r="AE391">
            <v>349</v>
          </cell>
          <cell r="AF391">
            <v>268.7</v>
          </cell>
          <cell r="AG391">
            <v>298.7</v>
          </cell>
          <cell r="AH391">
            <v>190</v>
          </cell>
          <cell r="AI391">
            <v>111.5</v>
          </cell>
          <cell r="AJ391">
            <v>97.2</v>
          </cell>
          <cell r="AK391">
            <v>38.6</v>
          </cell>
          <cell r="AL391">
            <v>37.799999999999997</v>
          </cell>
          <cell r="AM391">
            <v>28.9</v>
          </cell>
          <cell r="AN391">
            <v>28.7</v>
          </cell>
          <cell r="AO391">
            <v>30.9</v>
          </cell>
          <cell r="AP391">
            <v>33.5</v>
          </cell>
          <cell r="AQ391">
            <v>109.4</v>
          </cell>
          <cell r="AR391">
            <v>32.5</v>
          </cell>
          <cell r="AS391">
            <v>23.2</v>
          </cell>
          <cell r="AT391">
            <v>26.8</v>
          </cell>
          <cell r="AU391">
            <v>29.6</v>
          </cell>
          <cell r="AV391">
            <v>9.5</v>
          </cell>
          <cell r="AW391">
            <v>6.1</v>
          </cell>
          <cell r="AX391">
            <v>8.1999999999999993</v>
          </cell>
          <cell r="AY391">
            <v>5.8</v>
          </cell>
          <cell r="AZ391">
            <v>4.9000000000000004</v>
          </cell>
          <cell r="BA391">
            <v>7.9</v>
          </cell>
          <cell r="BB391">
            <v>3.7</v>
          </cell>
          <cell r="BC391">
            <v>10</v>
          </cell>
          <cell r="BD391">
            <v>4.4000000000000004</v>
          </cell>
          <cell r="BE391">
            <v>6.2</v>
          </cell>
          <cell r="BF391">
            <v>1.8</v>
          </cell>
          <cell r="BG391">
            <v>1.5</v>
          </cell>
          <cell r="BH391">
            <v>1.1000000000000001</v>
          </cell>
          <cell r="BI391">
            <v>0.9</v>
          </cell>
          <cell r="BJ391">
            <v>0.6</v>
          </cell>
          <cell r="BK391">
            <v>0.2</v>
          </cell>
          <cell r="BL391">
            <v>0.6</v>
          </cell>
          <cell r="BM391">
            <v>0.8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EK391" t="str">
            <v>Tax</v>
          </cell>
        </row>
        <row r="392">
          <cell r="A392" t="str">
            <v>Deferred Income Tax</v>
          </cell>
          <cell r="B392" t="str">
            <v>T_283</v>
          </cell>
          <cell r="C392" t="str">
            <v>Accumulated Deferred Income Tax</v>
          </cell>
          <cell r="D392" t="str">
            <v>2830610</v>
          </cell>
          <cell r="E392" t="str">
            <v>A_2830610</v>
          </cell>
          <cell r="F392" t="str">
            <v>DIT Liab-FAS109 - Other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-22611.599999999999</v>
          </cell>
          <cell r="BD392">
            <v>-22555.4</v>
          </cell>
          <cell r="BE392">
            <v>-22499.5</v>
          </cell>
          <cell r="BF392">
            <v>-22513.4</v>
          </cell>
          <cell r="BG392">
            <v>-22480.7</v>
          </cell>
          <cell r="BH392">
            <v>-22564.3</v>
          </cell>
          <cell r="BI392">
            <v>-22554.9</v>
          </cell>
          <cell r="BJ392">
            <v>-22545.4</v>
          </cell>
          <cell r="BK392">
            <v>-22539.200000000001</v>
          </cell>
          <cell r="BL392">
            <v>-22530.1</v>
          </cell>
          <cell r="BM392">
            <v>-22521.1</v>
          </cell>
          <cell r="BN392">
            <v>-22993.9</v>
          </cell>
          <cell r="BO392">
            <v>-22984.9</v>
          </cell>
          <cell r="BP392">
            <v>-22989.8</v>
          </cell>
          <cell r="BQ392">
            <v>-23006.6</v>
          </cell>
          <cell r="BR392">
            <v>-23017.4</v>
          </cell>
          <cell r="BS392">
            <v>-23028.3</v>
          </cell>
          <cell r="BT392">
            <v>-23039.1</v>
          </cell>
          <cell r="BU392">
            <v>-23049.9</v>
          </cell>
          <cell r="BV392">
            <v>-23060.799999999999</v>
          </cell>
          <cell r="BW392">
            <v>-23071.1</v>
          </cell>
          <cell r="BX392">
            <v>-22770.2</v>
          </cell>
          <cell r="BY392">
            <v>-22776.3</v>
          </cell>
          <cell r="BZ392">
            <v>-22781.599999999999</v>
          </cell>
          <cell r="CA392">
            <v>-22900.3</v>
          </cell>
          <cell r="CB392">
            <v>-22896.400000000001</v>
          </cell>
          <cell r="CC392">
            <v>-22887.7</v>
          </cell>
          <cell r="CD392">
            <v>-22835</v>
          </cell>
          <cell r="CE392">
            <v>-22822.5</v>
          </cell>
          <cell r="CF392">
            <v>-22806</v>
          </cell>
          <cell r="CG392">
            <v>-22809.8</v>
          </cell>
          <cell r="CH392">
            <v>-22788.400000000001</v>
          </cell>
          <cell r="CI392">
            <v>-22752.6</v>
          </cell>
          <cell r="CJ392">
            <v>-22745.599999999999</v>
          </cell>
          <cell r="CK392">
            <v>-23333.200000000001</v>
          </cell>
          <cell r="CL392">
            <v>-23324.9</v>
          </cell>
          <cell r="CM392">
            <v>-23305.7</v>
          </cell>
          <cell r="CN392">
            <v>-23285.8</v>
          </cell>
          <cell r="CO392">
            <v>-23248</v>
          </cell>
          <cell r="CP392">
            <v>-23176.9</v>
          </cell>
          <cell r="CQ392">
            <v>-23173.4</v>
          </cell>
          <cell r="CR392">
            <v>-23161</v>
          </cell>
          <cell r="CS392">
            <v>-23099</v>
          </cell>
          <cell r="CT392">
            <v>-23083.8</v>
          </cell>
          <cell r="CU392">
            <v>-23066.2</v>
          </cell>
          <cell r="CV392">
            <v>-22980.6</v>
          </cell>
          <cell r="CW392">
            <v>-22944.9</v>
          </cell>
          <cell r="CX392">
            <v>-23050</v>
          </cell>
          <cell r="CY392">
            <v>-21862.3</v>
          </cell>
          <cell r="CZ392">
            <v>-21863</v>
          </cell>
          <cell r="DA392">
            <v>-21861.9</v>
          </cell>
          <cell r="DB392">
            <v>-21778.2</v>
          </cell>
          <cell r="DC392">
            <v>-21773</v>
          </cell>
          <cell r="DD392">
            <v>-21764.6</v>
          </cell>
          <cell r="DE392">
            <v>-21711.200000000001</v>
          </cell>
          <cell r="DF392">
            <v>-21696.6</v>
          </cell>
          <cell r="DG392">
            <v>-21717.5</v>
          </cell>
          <cell r="DH392">
            <v>-21705</v>
          </cell>
          <cell r="DI392">
            <v>-21708.400000000001</v>
          </cell>
          <cell r="DJ392">
            <v>-21706</v>
          </cell>
          <cell r="DK392">
            <v>-21663.7</v>
          </cell>
          <cell r="DL392">
            <v>-21500.1</v>
          </cell>
          <cell r="DM392">
            <v>-21478.6</v>
          </cell>
          <cell r="DN392">
            <v>-21361.599999999999</v>
          </cell>
          <cell r="DO392">
            <v>-21332.5</v>
          </cell>
          <cell r="DP392">
            <v>-21304.7</v>
          </cell>
          <cell r="DQ392">
            <v>-21259.9</v>
          </cell>
          <cell r="DR392">
            <v>-21234.400000000001</v>
          </cell>
          <cell r="DS392">
            <v>-21206</v>
          </cell>
          <cell r="DT392">
            <v>-21179.200000000001</v>
          </cell>
          <cell r="DU392">
            <v>-21145.7</v>
          </cell>
          <cell r="DV392">
            <v>-21121.9</v>
          </cell>
          <cell r="DW392">
            <v>-21067.3</v>
          </cell>
          <cell r="EK392" t="str">
            <v>Tax</v>
          </cell>
        </row>
        <row r="393">
          <cell r="D393" t="str">
            <v>283</v>
          </cell>
          <cell r="E393">
            <v>283</v>
          </cell>
          <cell r="G393">
            <v>16016.14054</v>
          </cell>
          <cell r="H393">
            <v>16678.2</v>
          </cell>
          <cell r="I393">
            <v>15362.5</v>
          </cell>
          <cell r="J393">
            <v>14851.099999999997</v>
          </cell>
          <cell r="K393">
            <v>15487.499999999998</v>
          </cell>
          <cell r="L393">
            <v>14183.499999999998</v>
          </cell>
          <cell r="M393">
            <v>13862.1</v>
          </cell>
          <cell r="N393">
            <v>14724</v>
          </cell>
          <cell r="O393">
            <v>14003.5</v>
          </cell>
          <cell r="P393">
            <v>15228.6</v>
          </cell>
          <cell r="Q393">
            <v>16088.500000000002</v>
          </cell>
          <cell r="R393">
            <v>16955.199999999997</v>
          </cell>
          <cell r="S393">
            <v>20743.400000000001</v>
          </cell>
          <cell r="T393">
            <v>20467.799999999996</v>
          </cell>
          <cell r="U393">
            <v>20023.8</v>
          </cell>
          <cell r="V393">
            <v>19839.2</v>
          </cell>
          <cell r="W393">
            <v>19577.999999999996</v>
          </cell>
          <cell r="X393">
            <v>19452.5</v>
          </cell>
          <cell r="Y393">
            <v>18154.3</v>
          </cell>
          <cell r="Z393">
            <v>18206.599999999999</v>
          </cell>
          <cell r="AA393">
            <v>18437.2</v>
          </cell>
          <cell r="AB393">
            <v>18266.799999999996</v>
          </cell>
          <cell r="AC393">
            <v>19824.099999999999</v>
          </cell>
          <cell r="AD393">
            <v>20664.399999999994</v>
          </cell>
          <cell r="AE393">
            <v>24152.7</v>
          </cell>
          <cell r="AF393">
            <v>23167.5</v>
          </cell>
          <cell r="AG393">
            <v>21857.599999999995</v>
          </cell>
          <cell r="AH393">
            <v>20924.599999999999</v>
          </cell>
          <cell r="AI393">
            <v>20331.099999999995</v>
          </cell>
          <cell r="AJ393">
            <v>20241.499999999996</v>
          </cell>
          <cell r="AK393">
            <v>19351.199999999997</v>
          </cell>
          <cell r="AL393">
            <v>19315.5</v>
          </cell>
          <cell r="AM393">
            <v>19237.000000000004</v>
          </cell>
          <cell r="AN393">
            <v>22300.2</v>
          </cell>
          <cell r="AO393">
            <v>22360.600000000002</v>
          </cell>
          <cell r="AP393">
            <v>22355.9</v>
          </cell>
          <cell r="AQ393">
            <v>21161.9</v>
          </cell>
          <cell r="AR393">
            <v>20620.399999999994</v>
          </cell>
          <cell r="AS393">
            <v>20507.499999999996</v>
          </cell>
          <cell r="AT393">
            <v>20413.599999999995</v>
          </cell>
          <cell r="AU393">
            <v>20432.8</v>
          </cell>
          <cell r="AV393">
            <v>20298</v>
          </cell>
          <cell r="AW393">
            <v>20541.599999999999</v>
          </cell>
          <cell r="AX393">
            <v>20554.8</v>
          </cell>
          <cell r="AY393">
            <v>20565.5</v>
          </cell>
          <cell r="AZ393">
            <v>20341.900000000001</v>
          </cell>
          <cell r="BA393">
            <v>21322.900000000005</v>
          </cell>
          <cell r="BB393">
            <v>21760.100000000002</v>
          </cell>
          <cell r="BC393">
            <v>-348.20000000000073</v>
          </cell>
          <cell r="BD393">
            <v>-1017.0999999999985</v>
          </cell>
          <cell r="BE393">
            <v>-1401.5</v>
          </cell>
          <cell r="BF393">
            <v>-1862.3000000000029</v>
          </cell>
          <cell r="BG393">
            <v>-2154.3000000000029</v>
          </cell>
          <cell r="BH393">
            <v>-2366.9000000000051</v>
          </cell>
          <cell r="BI393">
            <v>-2708.4000000000015</v>
          </cell>
          <cell r="BJ393">
            <v>-2909.200000000008</v>
          </cell>
          <cell r="BK393">
            <v>-2963.6000000000022</v>
          </cell>
          <cell r="BL393">
            <v>-1556.7999999999993</v>
          </cell>
          <cell r="BM393">
            <v>-1457.9000000000015</v>
          </cell>
          <cell r="BN393">
            <v>-2129.2999999999993</v>
          </cell>
          <cell r="BO393">
            <v>35.599999999998545</v>
          </cell>
          <cell r="BP393">
            <v>-437.00000000000364</v>
          </cell>
          <cell r="BQ393">
            <v>-733.89999999999782</v>
          </cell>
          <cell r="BR393">
            <v>-740.39999999999782</v>
          </cell>
          <cell r="BS393">
            <v>-755.79999999999563</v>
          </cell>
          <cell r="BT393">
            <v>-758.39999999999782</v>
          </cell>
          <cell r="BU393">
            <v>-859.30000000000291</v>
          </cell>
          <cell r="BV393">
            <v>-858.5</v>
          </cell>
          <cell r="BW393">
            <v>-831.5</v>
          </cell>
          <cell r="BX393">
            <v>-581.90000000000146</v>
          </cell>
          <cell r="BY393">
            <v>-509.39999999999782</v>
          </cell>
          <cell r="BZ393">
            <v>-501.5</v>
          </cell>
          <cell r="CA393">
            <v>-388</v>
          </cell>
          <cell r="CB393">
            <v>-342.60000000000218</v>
          </cell>
          <cell r="CC393">
            <v>-324.90000000000146</v>
          </cell>
          <cell r="CD393">
            <v>-606.19999999999709</v>
          </cell>
          <cell r="CE393">
            <v>-575.99999999999636</v>
          </cell>
          <cell r="CF393">
            <v>-536.40000000000146</v>
          </cell>
          <cell r="CG393">
            <v>-621.39999999999782</v>
          </cell>
          <cell r="CH393">
            <v>-594.80000000000291</v>
          </cell>
          <cell r="CI393">
            <v>-150.30000000000291</v>
          </cell>
          <cell r="CJ393">
            <v>-163.70000000000437</v>
          </cell>
          <cell r="CK393">
            <v>-1020.3000000000029</v>
          </cell>
          <cell r="CL393">
            <v>-999.40000000000146</v>
          </cell>
          <cell r="CM393">
            <v>899.90000000000146</v>
          </cell>
          <cell r="CN393">
            <v>969.79999999999927</v>
          </cell>
          <cell r="CO393">
            <v>1054.9000000000015</v>
          </cell>
          <cell r="CP393">
            <v>942</v>
          </cell>
          <cell r="CQ393">
            <v>976.20000000000073</v>
          </cell>
          <cell r="CR393">
            <v>1036.1999999999971</v>
          </cell>
          <cell r="CS393">
            <v>974.29999999999927</v>
          </cell>
          <cell r="CT393">
            <v>1169</v>
          </cell>
          <cell r="CU393">
            <v>1205.2000000000007</v>
          </cell>
          <cell r="CV393">
            <v>706.40000000000146</v>
          </cell>
          <cell r="CW393">
            <v>1994</v>
          </cell>
          <cell r="CX393">
            <v>3742.5</v>
          </cell>
          <cell r="CY393">
            <v>3015.9000000000015</v>
          </cell>
          <cell r="CZ393">
            <v>1823.9999999999964</v>
          </cell>
          <cell r="DA393">
            <v>391.19999999999709</v>
          </cell>
          <cell r="DB393">
            <v>306.79999999999563</v>
          </cell>
          <cell r="DC393">
            <v>-422.60000000000218</v>
          </cell>
          <cell r="DD393">
            <v>-518.20000000000437</v>
          </cell>
          <cell r="DE393">
            <v>-470.09999999999854</v>
          </cell>
          <cell r="DF393">
            <v>-504.69999999999709</v>
          </cell>
          <cell r="DG393">
            <v>-562.5</v>
          </cell>
          <cell r="DH393">
            <v>-536.89999999999782</v>
          </cell>
          <cell r="DI393">
            <v>-470.90000000000146</v>
          </cell>
          <cell r="DJ393">
            <v>-506.5</v>
          </cell>
          <cell r="DK393">
            <v>2338.0999999999949</v>
          </cell>
          <cell r="DL393">
            <v>2432.6999999999971</v>
          </cell>
          <cell r="DM393">
            <v>2393.9000000000015</v>
          </cell>
          <cell r="DN393">
            <v>2209.2000000000007</v>
          </cell>
          <cell r="DO393">
            <v>2066.0999999999985</v>
          </cell>
          <cell r="DP393">
            <v>2027.7999999999956</v>
          </cell>
          <cell r="DQ393">
            <v>2363.6999999999971</v>
          </cell>
          <cell r="DR393">
            <v>2397.4999999999964</v>
          </cell>
          <cell r="DS393">
            <v>2450.7999999999993</v>
          </cell>
          <cell r="DT393">
            <v>2685.9999999999964</v>
          </cell>
          <cell r="DU393">
            <v>2801.2999999999993</v>
          </cell>
          <cell r="DV393">
            <v>2808.0999999999985</v>
          </cell>
          <cell r="DW393">
            <v>3544.7999999999993</v>
          </cell>
          <cell r="EJ393" t="str">
            <v>.</v>
          </cell>
        </row>
        <row r="395">
          <cell r="F395" t="str">
            <v>Total Assets</v>
          </cell>
          <cell r="G395">
            <v>856468.89258999994</v>
          </cell>
          <cell r="H395">
            <v>870114.20000000019</v>
          </cell>
          <cell r="I395">
            <v>867599.50000000012</v>
          </cell>
          <cell r="J395">
            <v>863255.10000000009</v>
          </cell>
          <cell r="K395">
            <v>862453.40000000037</v>
          </cell>
          <cell r="L395">
            <v>878003.39999999979</v>
          </cell>
          <cell r="M395">
            <v>863922.59999999986</v>
          </cell>
          <cell r="N395">
            <v>864346.40000000049</v>
          </cell>
          <cell r="O395">
            <v>863074.2</v>
          </cell>
          <cell r="P395">
            <v>862526.89999999967</v>
          </cell>
          <cell r="Q395">
            <v>870317.30000000016</v>
          </cell>
          <cell r="R395">
            <v>876086.79999999993</v>
          </cell>
          <cell r="S395">
            <v>914627.60000000009</v>
          </cell>
          <cell r="T395">
            <v>909311</v>
          </cell>
          <cell r="U395">
            <v>909859.00000000023</v>
          </cell>
          <cell r="V395">
            <v>915951.5</v>
          </cell>
          <cell r="W395">
            <v>913073.39999999991</v>
          </cell>
          <cell r="X395">
            <v>927907.29999999981</v>
          </cell>
          <cell r="Y395">
            <v>919594.79999999993</v>
          </cell>
          <cell r="Z395">
            <v>924202.7</v>
          </cell>
          <cell r="AA395">
            <v>930173.00000000012</v>
          </cell>
          <cell r="AB395">
            <v>929778.60000000021</v>
          </cell>
          <cell r="AC395">
            <v>940120.39999999991</v>
          </cell>
          <cell r="AD395">
            <v>944592.2</v>
          </cell>
          <cell r="AE395">
            <v>967348.39999999991</v>
          </cell>
          <cell r="AF395">
            <v>961822</v>
          </cell>
          <cell r="AG395">
            <v>966485.20000000007</v>
          </cell>
          <cell r="AH395">
            <v>977170.10000000033</v>
          </cell>
          <cell r="AI395">
            <v>978701.30000000016</v>
          </cell>
          <cell r="AJ395">
            <v>962582.4</v>
          </cell>
          <cell r="AK395">
            <v>960112.90000000014</v>
          </cell>
          <cell r="AL395">
            <v>966844.60000000009</v>
          </cell>
          <cell r="AM395">
            <v>967683.60000000009</v>
          </cell>
          <cell r="AN395">
            <v>983993.10000000009</v>
          </cell>
          <cell r="AO395">
            <v>993654.5</v>
          </cell>
          <cell r="AP395">
            <v>996694.7</v>
          </cell>
          <cell r="AQ395">
            <v>1019762.6000000001</v>
          </cell>
          <cell r="AR395">
            <v>1028205.9000000006</v>
          </cell>
          <cell r="AS395">
            <v>1036605.7999999999</v>
          </cell>
          <cell r="AT395">
            <v>1037286.1000000003</v>
          </cell>
          <cell r="AU395">
            <v>1047973.2999999999</v>
          </cell>
          <cell r="AV395">
            <v>1053161.1000000001</v>
          </cell>
          <cell r="AW395">
            <v>1048614.1000000001</v>
          </cell>
          <cell r="AX395">
            <v>1057460.6000000001</v>
          </cell>
          <cell r="AY395">
            <v>1076761.8000000003</v>
          </cell>
          <cell r="AZ395">
            <v>1078630.5999999999</v>
          </cell>
          <cell r="BA395">
            <v>1082847.9000000001</v>
          </cell>
          <cell r="BB395">
            <v>1093441.1000000003</v>
          </cell>
          <cell r="BC395">
            <v>1110304.6000000001</v>
          </cell>
          <cell r="BD395">
            <v>1125452.8</v>
          </cell>
          <cell r="BE395">
            <v>1118450.9000000004</v>
          </cell>
          <cell r="BF395">
            <v>1116155.1000000003</v>
          </cell>
          <cell r="BG395">
            <v>1119947.7</v>
          </cell>
          <cell r="BH395">
            <v>1127682.1000000001</v>
          </cell>
          <cell r="BI395">
            <v>1134835.8999999999</v>
          </cell>
          <cell r="BJ395">
            <v>1142152.1000000003</v>
          </cell>
          <cell r="BK395">
            <v>1149094.3</v>
          </cell>
          <cell r="BL395">
            <v>1162175.4999999995</v>
          </cell>
          <cell r="BM395">
            <v>1182289.1000000001</v>
          </cell>
          <cell r="BN395">
            <v>1202725.4000000008</v>
          </cell>
          <cell r="BO395">
            <v>1226063.7000000002</v>
          </cell>
          <cell r="BP395">
            <v>1247240.6000000003</v>
          </cell>
          <cell r="BQ395">
            <v>1247808.2000000002</v>
          </cell>
          <cell r="BR395">
            <v>1259003.3999999999</v>
          </cell>
          <cell r="BS395">
            <v>1262871.8000000003</v>
          </cell>
          <cell r="BT395">
            <v>1275354.6999999997</v>
          </cell>
          <cell r="BU395">
            <v>1286690.2</v>
          </cell>
          <cell r="BV395">
            <v>1300347.3999999997</v>
          </cell>
          <cell r="BW395">
            <v>1319239.9999999995</v>
          </cell>
          <cell r="BX395">
            <v>1342230.3999999997</v>
          </cell>
          <cell r="BY395">
            <v>1358665</v>
          </cell>
          <cell r="BZ395">
            <v>1383623.1</v>
          </cell>
          <cell r="CA395">
            <v>1408247.7</v>
          </cell>
          <cell r="CB395">
            <v>1430100.5000000002</v>
          </cell>
          <cell r="CC395">
            <v>1442161.2000000002</v>
          </cell>
          <cell r="CD395">
            <v>1453225.5999999999</v>
          </cell>
          <cell r="CE395">
            <v>1471552.5999999996</v>
          </cell>
          <cell r="CF395">
            <v>1494766.0999999996</v>
          </cell>
          <cell r="CG395">
            <v>1516746.0999999996</v>
          </cell>
          <cell r="CH395">
            <v>1537467.9</v>
          </cell>
          <cell r="CI395">
            <v>1574439.8000000005</v>
          </cell>
          <cell r="CJ395">
            <v>1599775.7</v>
          </cell>
          <cell r="CK395">
            <v>1631707.9999999998</v>
          </cell>
          <cell r="CL395">
            <v>1666187.6999999995</v>
          </cell>
          <cell r="CM395">
            <v>1713802.7999999998</v>
          </cell>
          <cell r="CN395">
            <v>1744349.9999999993</v>
          </cell>
          <cell r="CO395">
            <v>1767184.2999999993</v>
          </cell>
          <cell r="CP395">
            <v>1783156.9000000001</v>
          </cell>
          <cell r="CQ395">
            <v>1799578.2999999993</v>
          </cell>
          <cell r="CR395">
            <v>1807991.2000000002</v>
          </cell>
          <cell r="CS395">
            <v>1827442.2</v>
          </cell>
          <cell r="CT395">
            <v>1853524.1000000006</v>
          </cell>
          <cell r="CU395">
            <v>1871610.5</v>
          </cell>
          <cell r="CV395">
            <v>1894780.7</v>
          </cell>
          <cell r="CW395">
            <v>1929460.8999999997</v>
          </cell>
          <cell r="CX395">
            <v>1960889.8</v>
          </cell>
          <cell r="CY395">
            <v>1992226.7</v>
          </cell>
          <cell r="CZ395">
            <v>2023947.4000000001</v>
          </cell>
          <cell r="DA395">
            <v>2043153.7999999998</v>
          </cell>
          <cell r="DB395">
            <v>2052420.9000000004</v>
          </cell>
          <cell r="DC395">
            <v>2067951.8000000003</v>
          </cell>
          <cell r="DD395">
            <v>2094493.2000000002</v>
          </cell>
          <cell r="DE395">
            <v>2120545.1</v>
          </cell>
          <cell r="DF395">
            <v>2136862.6999999988</v>
          </cell>
          <cell r="DG395">
            <v>2152934.8000000007</v>
          </cell>
          <cell r="DH395">
            <v>2168239.2999999998</v>
          </cell>
          <cell r="DI395">
            <v>2180323.2000000002</v>
          </cell>
          <cell r="DJ395">
            <v>2206020.3000000003</v>
          </cell>
          <cell r="DK395">
            <v>2267449.7000000011</v>
          </cell>
          <cell r="DL395">
            <v>2302710.3999999994</v>
          </cell>
          <cell r="DM395">
            <v>2364867.7000000007</v>
          </cell>
          <cell r="DN395">
            <v>2384395.9999999995</v>
          </cell>
          <cell r="DO395">
            <v>2422812.5</v>
          </cell>
          <cell r="DP395">
            <v>2442148.5</v>
          </cell>
          <cell r="DQ395">
            <v>2471208.0999999996</v>
          </cell>
          <cell r="DR395">
            <v>2498529.7999999998</v>
          </cell>
          <cell r="DS395">
            <v>2516952.9</v>
          </cell>
          <cell r="DT395">
            <v>2540552.2999999998</v>
          </cell>
          <cell r="DU395">
            <v>2561363.7000000007</v>
          </cell>
          <cell r="DV395">
            <v>2576056.6</v>
          </cell>
          <cell r="DW395">
            <v>2615653.5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F396" t="str">
            <v>Total Liabilities &amp; Equity</v>
          </cell>
          <cell r="G396">
            <v>856468.89259000006</v>
          </cell>
          <cell r="H396">
            <v>870114.3</v>
          </cell>
          <cell r="I396">
            <v>867599.2</v>
          </cell>
          <cell r="J396">
            <v>863255.2</v>
          </cell>
          <cell r="K396">
            <v>862453.29999999993</v>
          </cell>
          <cell r="L396">
            <v>878003.3</v>
          </cell>
          <cell r="M396">
            <v>863922.7</v>
          </cell>
          <cell r="N396">
            <v>864345.79999999993</v>
          </cell>
          <cell r="O396">
            <v>863074.20000000007</v>
          </cell>
          <cell r="P396">
            <v>862527.5</v>
          </cell>
          <cell r="Q396">
            <v>870317.00000000012</v>
          </cell>
          <cell r="R396">
            <v>876086.69999999972</v>
          </cell>
          <cell r="S396">
            <v>914628.20000000019</v>
          </cell>
          <cell r="T396">
            <v>909311.1</v>
          </cell>
          <cell r="U396">
            <v>909859.00000000012</v>
          </cell>
          <cell r="V396">
            <v>915951.6</v>
          </cell>
          <cell r="W396">
            <v>913073.10000000009</v>
          </cell>
          <cell r="X396">
            <v>927907.40000000014</v>
          </cell>
          <cell r="Y396">
            <v>919594.8</v>
          </cell>
          <cell r="Z396">
            <v>924202.8</v>
          </cell>
          <cell r="AA396">
            <v>930173.09999999963</v>
          </cell>
          <cell r="AB396">
            <v>929778</v>
          </cell>
          <cell r="AC396">
            <v>940120.20000000007</v>
          </cell>
          <cell r="AD396">
            <v>944592.1</v>
          </cell>
          <cell r="AE396">
            <v>967348.8</v>
          </cell>
          <cell r="AF396">
            <v>961821.69999999984</v>
          </cell>
          <cell r="AG396">
            <v>966484.59999999986</v>
          </cell>
          <cell r="AH396">
            <v>977169.40000000014</v>
          </cell>
          <cell r="AI396">
            <v>978701.2</v>
          </cell>
          <cell r="AJ396">
            <v>962582.2</v>
          </cell>
          <cell r="AK396">
            <v>960113.19999999972</v>
          </cell>
          <cell r="AL396">
            <v>966844.4</v>
          </cell>
          <cell r="AM396">
            <v>967683.39999999991</v>
          </cell>
          <cell r="AN396">
            <v>983993.39999999979</v>
          </cell>
          <cell r="AO396">
            <v>993654.49999999988</v>
          </cell>
          <cell r="AP396">
            <v>996694.49999999988</v>
          </cell>
          <cell r="AQ396">
            <v>1019762.5000000001</v>
          </cell>
          <cell r="AR396">
            <v>1028205.6999999998</v>
          </cell>
          <cell r="AS396">
            <v>1036606.0000000002</v>
          </cell>
          <cell r="AT396">
            <v>1037285.7999999997</v>
          </cell>
          <cell r="AU396">
            <v>1047972.8999999999</v>
          </cell>
          <cell r="AV396">
            <v>1053161.1000000001</v>
          </cell>
          <cell r="AW396">
            <v>1048613.6000000001</v>
          </cell>
          <cell r="AX396">
            <v>1057461</v>
          </cell>
          <cell r="AY396">
            <v>1076761.3999999999</v>
          </cell>
          <cell r="AZ396">
            <v>1078630.3999999999</v>
          </cell>
          <cell r="BA396">
            <v>1082847.5999999999</v>
          </cell>
          <cell r="BB396">
            <v>1093440.8</v>
          </cell>
          <cell r="BC396">
            <v>1110304.1000000001</v>
          </cell>
          <cell r="BD396">
            <v>1125452.8999999999</v>
          </cell>
          <cell r="BE396">
            <v>1118451</v>
          </cell>
          <cell r="BF396">
            <v>1116154.7000000002</v>
          </cell>
          <cell r="BG396">
            <v>1119947.3999999999</v>
          </cell>
          <cell r="BH396">
            <v>1127682.1000000003</v>
          </cell>
          <cell r="BI396">
            <v>1134835.6000000001</v>
          </cell>
          <cell r="BJ396">
            <v>1142151.5000000002</v>
          </cell>
          <cell r="BK396">
            <v>1149094.5</v>
          </cell>
          <cell r="BL396">
            <v>1162174.8</v>
          </cell>
          <cell r="BM396">
            <v>1182288.9000000001</v>
          </cell>
          <cell r="BN396">
            <v>1202725.5</v>
          </cell>
          <cell r="BO396">
            <v>1226064</v>
          </cell>
          <cell r="BP396">
            <v>1247240.7999999998</v>
          </cell>
          <cell r="BQ396">
            <v>1247808</v>
          </cell>
          <cell r="BR396">
            <v>1259002.8</v>
          </cell>
          <cell r="BS396">
            <v>1262871.5</v>
          </cell>
          <cell r="BT396">
            <v>1275354.6000000003</v>
          </cell>
          <cell r="BU396">
            <v>1286690.7</v>
          </cell>
          <cell r="BV396">
            <v>1300347.7999999998</v>
          </cell>
          <cell r="BW396">
            <v>1319240.2</v>
          </cell>
          <cell r="BX396">
            <v>1342229.9999999998</v>
          </cell>
          <cell r="BY396">
            <v>1358664.3000000003</v>
          </cell>
          <cell r="BZ396">
            <v>1383622.7</v>
          </cell>
          <cell r="CA396">
            <v>1408247.5000000002</v>
          </cell>
          <cell r="CB396">
            <v>1430101.4000000004</v>
          </cell>
          <cell r="CC396">
            <v>1442160.8000000005</v>
          </cell>
          <cell r="CD396">
            <v>1453225.4000000001</v>
          </cell>
          <cell r="CE396">
            <v>1471552.7</v>
          </cell>
          <cell r="CF396">
            <v>1494765.9000000001</v>
          </cell>
          <cell r="CG396">
            <v>1516746.2999999998</v>
          </cell>
          <cell r="CH396">
            <v>1537467.5999999999</v>
          </cell>
          <cell r="CI396">
            <v>1574439.2000000004</v>
          </cell>
          <cell r="CJ396">
            <v>1599775.4000000001</v>
          </cell>
          <cell r="CK396">
            <v>1631708</v>
          </cell>
          <cell r="CL396">
            <v>1666187.4000000004</v>
          </cell>
          <cell r="CM396">
            <v>1713802.5000000002</v>
          </cell>
          <cell r="CN396">
            <v>1744349.3</v>
          </cell>
          <cell r="CO396">
            <v>1767183.6999999995</v>
          </cell>
          <cell r="CP396">
            <v>1783156.8</v>
          </cell>
          <cell r="CQ396">
            <v>1799578.5999999999</v>
          </cell>
          <cell r="CR396">
            <v>1807990.6</v>
          </cell>
          <cell r="CS396">
            <v>1827442.4000000001</v>
          </cell>
          <cell r="CT396">
            <v>1853523.9</v>
          </cell>
          <cell r="CU396">
            <v>1871609.9000000001</v>
          </cell>
          <cell r="CV396">
            <v>1894780.4</v>
          </cell>
          <cell r="CW396">
            <v>1929461.0999999996</v>
          </cell>
          <cell r="CX396">
            <v>1960889.4</v>
          </cell>
          <cell r="CY396">
            <v>1992226.7999999998</v>
          </cell>
          <cell r="CZ396">
            <v>2023947.2000000004</v>
          </cell>
          <cell r="DA396">
            <v>2043153.1999999997</v>
          </cell>
          <cell r="DB396">
            <v>2052420.5999999996</v>
          </cell>
          <cell r="DC396">
            <v>2067951.5</v>
          </cell>
          <cell r="DD396">
            <v>2094492.5999999999</v>
          </cell>
          <cell r="DE396">
            <v>2120544.9</v>
          </cell>
          <cell r="DF396">
            <v>2136862.4000000004</v>
          </cell>
          <cell r="DG396">
            <v>2152934.7000000002</v>
          </cell>
          <cell r="DH396">
            <v>2168238.7000000007</v>
          </cell>
          <cell r="DI396">
            <v>2180322.5</v>
          </cell>
          <cell r="DJ396">
            <v>2206020</v>
          </cell>
          <cell r="DK396">
            <v>2267448.6999999997</v>
          </cell>
          <cell r="DL396">
            <v>2302709.4000000004</v>
          </cell>
          <cell r="DM396">
            <v>2364866.7000000002</v>
          </cell>
          <cell r="DN396">
            <v>2384394.9999999995</v>
          </cell>
          <cell r="DO396">
            <v>2422811.5</v>
          </cell>
          <cell r="DP396">
            <v>2442147.5999999996</v>
          </cell>
          <cell r="DQ396">
            <v>2471207.1999999997</v>
          </cell>
          <cell r="DR396">
            <v>2498528.8999999994</v>
          </cell>
          <cell r="DS396">
            <v>2516951.9999999995</v>
          </cell>
          <cell r="DT396">
            <v>2540551.3999999994</v>
          </cell>
          <cell r="DU396">
            <v>2561362.7999999993</v>
          </cell>
          <cell r="DV396">
            <v>2576055.7999999998</v>
          </cell>
          <cell r="DW396">
            <v>2615652.7000000002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G397">
            <v>-1.1641532182693481E-10</v>
          </cell>
          <cell r="H397">
            <v>-9.9999999860301614E-2</v>
          </cell>
          <cell r="I397">
            <v>0.30000000016298145</v>
          </cell>
          <cell r="J397">
            <v>-9.9999999860301614E-2</v>
          </cell>
          <cell r="K397">
            <v>0.10000000044237822</v>
          </cell>
          <cell r="L397">
            <v>9.9999999743886292E-2</v>
          </cell>
          <cell r="M397">
            <v>-0.10000000009313226</v>
          </cell>
          <cell r="N397">
            <v>0.60000000055879354</v>
          </cell>
          <cell r="O397">
            <v>-1.1641532182693481E-10</v>
          </cell>
          <cell r="P397">
            <v>-0.6000000003259629</v>
          </cell>
          <cell r="Q397">
            <v>0.30000000004656613</v>
          </cell>
          <cell r="R397">
            <v>0.10000000020954758</v>
          </cell>
          <cell r="S397">
            <v>-0.60000000009313226</v>
          </cell>
          <cell r="T397">
            <v>-9.9999999976716936E-2</v>
          </cell>
          <cell r="U397">
            <v>1.1641532182693481E-10</v>
          </cell>
          <cell r="V397">
            <v>-9.9999999976716936E-2</v>
          </cell>
          <cell r="W397">
            <v>0.29999999981373549</v>
          </cell>
          <cell r="X397">
            <v>-0.1000000003259629</v>
          </cell>
          <cell r="Y397">
            <v>-1.1641532182693481E-10</v>
          </cell>
          <cell r="Z397">
            <v>-0.10000000009313226</v>
          </cell>
          <cell r="AA397">
            <v>-9.9999999511055648E-2</v>
          </cell>
          <cell r="AB397">
            <v>0.60000000020954758</v>
          </cell>
          <cell r="AC397">
            <v>0.19999999983701855</v>
          </cell>
          <cell r="AD397">
            <v>9.9999999976716936E-2</v>
          </cell>
          <cell r="AE397">
            <v>-0.40000000013969839</v>
          </cell>
          <cell r="AF397">
            <v>0.30000000016298145</v>
          </cell>
          <cell r="AG397">
            <v>0.60000000020954758</v>
          </cell>
          <cell r="AH397">
            <v>0.70000000018626451</v>
          </cell>
          <cell r="AI397">
            <v>0.10000000020954758</v>
          </cell>
          <cell r="AJ397">
            <v>0.20000000006984919</v>
          </cell>
          <cell r="AK397">
            <v>-0.29999999958090484</v>
          </cell>
          <cell r="AL397">
            <v>0.20000000006984919</v>
          </cell>
          <cell r="AM397">
            <v>0.20000000018626451</v>
          </cell>
          <cell r="AN397">
            <v>-0.29999999969732016</v>
          </cell>
          <cell r="AO397">
            <v>1.1641532182693481E-10</v>
          </cell>
          <cell r="AP397">
            <v>0.20000000006984919</v>
          </cell>
          <cell r="AQ397">
            <v>9.9999999976716936E-2</v>
          </cell>
          <cell r="AR397">
            <v>0.20000000076834112</v>
          </cell>
          <cell r="AS397">
            <v>-0.20000000030267984</v>
          </cell>
          <cell r="AT397">
            <v>0.30000000062864274</v>
          </cell>
          <cell r="AU397">
            <v>0.40000000002328306</v>
          </cell>
          <cell r="AV397">
            <v>0</v>
          </cell>
          <cell r="AW397">
            <v>0.5</v>
          </cell>
          <cell r="AX397">
            <v>-0.39999999990686774</v>
          </cell>
          <cell r="AY397">
            <v>0.40000000037252903</v>
          </cell>
          <cell r="AZ397">
            <v>0.19999999995343387</v>
          </cell>
          <cell r="BA397">
            <v>0.30000000027939677</v>
          </cell>
          <cell r="BB397">
            <v>0.30000000027939677</v>
          </cell>
          <cell r="BC397">
            <v>0.5</v>
          </cell>
          <cell r="BD397">
            <v>-9.9999999860301614E-2</v>
          </cell>
          <cell r="BE397">
            <v>-9.999999962747097E-2</v>
          </cell>
          <cell r="BF397">
            <v>0.40000000013969839</v>
          </cell>
          <cell r="BG397">
            <v>0.30000000004656613</v>
          </cell>
          <cell r="BH397">
            <v>-2.3283064365386963E-10</v>
          </cell>
          <cell r="BI397">
            <v>0.29999999981373549</v>
          </cell>
          <cell r="BJ397">
            <v>0.60000000009313226</v>
          </cell>
          <cell r="BK397">
            <v>-0.19999999995343387</v>
          </cell>
          <cell r="BL397">
            <v>0.69999999948777258</v>
          </cell>
          <cell r="BM397">
            <v>0.19999999995343387</v>
          </cell>
          <cell r="BN397">
            <v>-9.9999999161809683E-2</v>
          </cell>
          <cell r="BO397">
            <v>-0.29999999981373549</v>
          </cell>
          <cell r="BP397">
            <v>-0.19999999948777258</v>
          </cell>
          <cell r="BQ397">
            <v>0.20000000018626451</v>
          </cell>
          <cell r="BR397">
            <v>0.59999999986030161</v>
          </cell>
          <cell r="BS397">
            <v>0.30000000027939677</v>
          </cell>
          <cell r="BT397">
            <v>9.9999999394640326E-2</v>
          </cell>
          <cell r="BU397">
            <v>-0.5</v>
          </cell>
          <cell r="BV397">
            <v>-0.40000000013969839</v>
          </cell>
          <cell r="BW397">
            <v>-0.20000000041909516</v>
          </cell>
          <cell r="BX397">
            <v>0.39999999990686774</v>
          </cell>
          <cell r="BY397">
            <v>0.69999999972060323</v>
          </cell>
          <cell r="BZ397">
            <v>0.40000000013969839</v>
          </cell>
          <cell r="CA397">
            <v>0.19999999972060323</v>
          </cell>
          <cell r="CB397">
            <v>-0.90000000013969839</v>
          </cell>
          <cell r="CC397">
            <v>0.3999999996740371</v>
          </cell>
          <cell r="CD397">
            <v>0.19999999972060323</v>
          </cell>
          <cell r="CE397">
            <v>-0.1000000003259629</v>
          </cell>
          <cell r="CF397">
            <v>0.19999999948777258</v>
          </cell>
          <cell r="CG397">
            <v>-0.20000000018626451</v>
          </cell>
          <cell r="CH397">
            <v>0.30000000004656613</v>
          </cell>
          <cell r="CI397">
            <v>0.60000000009313226</v>
          </cell>
          <cell r="CJ397">
            <v>0.29999999981373549</v>
          </cell>
          <cell r="CK397">
            <v>-2.3283064365386963E-10</v>
          </cell>
          <cell r="CL397">
            <v>0.29999999911524355</v>
          </cell>
          <cell r="CM397">
            <v>0.29999999958090484</v>
          </cell>
          <cell r="CN397">
            <v>0.69999999925494194</v>
          </cell>
          <cell r="CO397">
            <v>0.59999999986030161</v>
          </cell>
          <cell r="CP397">
            <v>0.10000000009313226</v>
          </cell>
          <cell r="CQ397">
            <v>-0.30000000051222742</v>
          </cell>
          <cell r="CR397">
            <v>0.60000000009313226</v>
          </cell>
          <cell r="CS397">
            <v>-0.20000000018626451</v>
          </cell>
          <cell r="CT397">
            <v>0.2000000006519258</v>
          </cell>
          <cell r="CU397">
            <v>0.59999999986030161</v>
          </cell>
          <cell r="CV397">
            <v>0.30000000004656613</v>
          </cell>
          <cell r="CW397">
            <v>-0.19999999995343387</v>
          </cell>
          <cell r="CX397">
            <v>0.40000000013969839</v>
          </cell>
          <cell r="CY397">
            <v>-9.9999999860301614E-2</v>
          </cell>
          <cell r="CZ397">
            <v>0.19999999972060323</v>
          </cell>
          <cell r="DA397">
            <v>0.60000000009313226</v>
          </cell>
          <cell r="DB397">
            <v>0.30000000074505806</v>
          </cell>
          <cell r="DC397">
            <v>0.30000000027939677</v>
          </cell>
          <cell r="DD397">
            <v>0.6000000003259629</v>
          </cell>
          <cell r="DE397">
            <v>0.20000000018626451</v>
          </cell>
          <cell r="DF397">
            <v>0.29999999841675162</v>
          </cell>
          <cell r="DG397">
            <v>0.10000000055879354</v>
          </cell>
          <cell r="DH397">
            <v>0.59999999916180968</v>
          </cell>
          <cell r="DI397">
            <v>0.70000000018626451</v>
          </cell>
          <cell r="DJ397">
            <v>0.30000000027939677</v>
          </cell>
          <cell r="DK397">
            <v>1.0000000013969839</v>
          </cell>
          <cell r="DL397">
            <v>0.99999999906867743</v>
          </cell>
          <cell r="DM397">
            <v>1.0000000004656613</v>
          </cell>
          <cell r="DN397">
            <v>1</v>
          </cell>
          <cell r="DO397">
            <v>1</v>
          </cell>
          <cell r="DP397">
            <v>0.90000000037252903</v>
          </cell>
          <cell r="DQ397">
            <v>0.89999999990686774</v>
          </cell>
          <cell r="DR397">
            <v>0.90000000037252903</v>
          </cell>
          <cell r="DS397">
            <v>0.90000000037252903</v>
          </cell>
          <cell r="DT397">
            <v>0.90000000037252903</v>
          </cell>
          <cell r="DU397">
            <v>0.9000000013038516</v>
          </cell>
          <cell r="DV397">
            <v>0.80000000027939677</v>
          </cell>
          <cell r="DW397">
            <v>0.79999999981373549</v>
          </cell>
        </row>
        <row r="400">
          <cell r="F400" t="str">
            <v>Change in Cash 131****</v>
          </cell>
          <cell r="H400">
            <v>-454.6226099999999</v>
          </cell>
          <cell r="I400">
            <v>549.70000000000027</v>
          </cell>
          <cell r="J400">
            <v>1158.5999999999995</v>
          </cell>
          <cell r="K400">
            <v>-2126.5999999999995</v>
          </cell>
          <cell r="L400">
            <v>13685.300000000001</v>
          </cell>
          <cell r="M400">
            <v>-2935.2000000000025</v>
          </cell>
          <cell r="N400">
            <v>-6783.5999999999985</v>
          </cell>
          <cell r="O400">
            <v>-3924.0000000000009</v>
          </cell>
          <cell r="P400">
            <v>398.10000000000036</v>
          </cell>
          <cell r="Q400">
            <v>-1200.7000000000003</v>
          </cell>
          <cell r="R400">
            <v>-529.599999999999</v>
          </cell>
          <cell r="S400">
            <v>2722.5999999999995</v>
          </cell>
          <cell r="T400">
            <v>-1254</v>
          </cell>
          <cell r="U400">
            <v>-254.40000000000009</v>
          </cell>
          <cell r="V400">
            <v>4332.8999999999996</v>
          </cell>
          <cell r="W400">
            <v>-4290</v>
          </cell>
          <cell r="X400">
            <v>29319.500000000004</v>
          </cell>
          <cell r="Y400">
            <v>-9046.8000000000029</v>
          </cell>
          <cell r="Z400">
            <v>1366.2999999999993</v>
          </cell>
          <cell r="AA400">
            <v>2613.3999999999978</v>
          </cell>
          <cell r="AB400">
            <v>-1453.2000000000007</v>
          </cell>
          <cell r="AC400">
            <v>-2791.7999999999956</v>
          </cell>
          <cell r="AD400">
            <v>-19015.7</v>
          </cell>
          <cell r="AE400">
            <v>771.10000000000127</v>
          </cell>
          <cell r="AF400">
            <v>-607.20000000000118</v>
          </cell>
          <cell r="AG400">
            <v>-94.599999999999909</v>
          </cell>
          <cell r="AH400">
            <v>17535.499999999996</v>
          </cell>
          <cell r="AI400">
            <v>-19024.699999999997</v>
          </cell>
          <cell r="AJ400">
            <v>1768.1999999999998</v>
          </cell>
          <cell r="AK400">
            <v>-432.80000000000018</v>
          </cell>
          <cell r="AL400">
            <v>-88.399999999999636</v>
          </cell>
          <cell r="AM400">
            <v>-277.5</v>
          </cell>
          <cell r="AN400">
            <v>-662.60000000000036</v>
          </cell>
          <cell r="AO400">
            <v>1096.7999999999997</v>
          </cell>
          <cell r="AP400">
            <v>-1309.3999999999992</v>
          </cell>
          <cell r="AQ400">
            <v>821</v>
          </cell>
          <cell r="AR400">
            <v>-4154.5</v>
          </cell>
          <cell r="AS400">
            <v>8994.8999999999978</v>
          </cell>
          <cell r="AT400">
            <v>-2154.9999999999991</v>
          </cell>
          <cell r="AU400">
            <v>5204.3999999999996</v>
          </cell>
          <cell r="AV400">
            <v>2376.6000000000004</v>
          </cell>
          <cell r="AW400">
            <v>-5873.9</v>
          </cell>
          <cell r="AX400">
            <v>2219.5</v>
          </cell>
          <cell r="AY400">
            <v>-5471.7000000000007</v>
          </cell>
          <cell r="AZ400">
            <v>5312.6</v>
          </cell>
          <cell r="BA400">
            <v>261.30000000000109</v>
          </cell>
          <cell r="BB400">
            <v>-271.30000000000109</v>
          </cell>
          <cell r="BC400">
            <v>391.89999999999964</v>
          </cell>
          <cell r="BD400">
            <v>-1988.8999999999996</v>
          </cell>
          <cell r="BE400">
            <v>3221.6999999999989</v>
          </cell>
          <cell r="BF400">
            <v>-2231.6000000000004</v>
          </cell>
          <cell r="BG400">
            <v>-1473.3999999999987</v>
          </cell>
          <cell r="BH400">
            <v>2319.3000000000002</v>
          </cell>
          <cell r="BI400">
            <v>-542.89999999999964</v>
          </cell>
          <cell r="BJ400">
            <v>-344.40000000000146</v>
          </cell>
          <cell r="BK400">
            <v>507.80000000000109</v>
          </cell>
          <cell r="BL400">
            <v>274.19999999999891</v>
          </cell>
          <cell r="BM400">
            <v>-457.89999999999964</v>
          </cell>
          <cell r="BN400">
            <v>23.600000000002183</v>
          </cell>
          <cell r="BO400">
            <v>-503</v>
          </cell>
          <cell r="BP400">
            <v>701.29999999999927</v>
          </cell>
          <cell r="BQ400">
            <v>-433.10000000000036</v>
          </cell>
          <cell r="BR400">
            <v>-278.60000000000036</v>
          </cell>
          <cell r="BS400">
            <v>-439.69999999999891</v>
          </cell>
          <cell r="BT400">
            <v>406.59999999999854</v>
          </cell>
          <cell r="BU400">
            <v>-317</v>
          </cell>
          <cell r="BV400">
            <v>-212.69999999999982</v>
          </cell>
          <cell r="BW400">
            <v>600.09999999999945</v>
          </cell>
          <cell r="BX400">
            <v>25.899999999999636</v>
          </cell>
          <cell r="BY400">
            <v>-753.79999999999654</v>
          </cell>
          <cell r="BZ400">
            <v>304.69999999999982</v>
          </cell>
          <cell r="CA400">
            <v>218.29999999999745</v>
          </cell>
          <cell r="CB400">
            <v>-1001.3999999999978</v>
          </cell>
          <cell r="CC400">
            <v>985.49999999999818</v>
          </cell>
          <cell r="CD400">
            <v>-962.09999999999854</v>
          </cell>
          <cell r="CE400">
            <v>1253.2999999999975</v>
          </cell>
          <cell r="CF400">
            <v>-639.40000000000146</v>
          </cell>
          <cell r="CG400">
            <v>1277.5000000000018</v>
          </cell>
          <cell r="CH400">
            <v>-468.29999999999927</v>
          </cell>
          <cell r="CI400">
            <v>342.20000000000073</v>
          </cell>
          <cell r="CJ400">
            <v>-397.39999999999964</v>
          </cell>
          <cell r="CK400">
            <v>-784.50000000000182</v>
          </cell>
          <cell r="CL400">
            <v>-10238.499999999998</v>
          </cell>
          <cell r="CM400">
            <v>-187.80000000000109</v>
          </cell>
          <cell r="CN400">
            <v>-172.89999999999964</v>
          </cell>
          <cell r="CO400">
            <v>-472</v>
          </cell>
          <cell r="CP400">
            <v>-8239.5000000000018</v>
          </cell>
          <cell r="CQ400">
            <v>5892.1</v>
          </cell>
          <cell r="CR400">
            <v>-951.79999999999927</v>
          </cell>
          <cell r="CS400">
            <v>-487.79999999999927</v>
          </cell>
          <cell r="CT400">
            <v>-449.60000000000036</v>
          </cell>
          <cell r="CU400">
            <v>-829</v>
          </cell>
          <cell r="CV400">
            <v>461.59999999999945</v>
          </cell>
          <cell r="CW400">
            <v>295.50000000000182</v>
          </cell>
          <cell r="CX400">
            <v>-264.90000000000055</v>
          </cell>
          <cell r="CY400">
            <v>9839.5999999999985</v>
          </cell>
          <cell r="CZ400">
            <v>317.09999999999854</v>
          </cell>
          <cell r="DA400">
            <v>492.60000000000218</v>
          </cell>
          <cell r="DB400">
            <v>2.8999999999987267</v>
          </cell>
          <cell r="DC400">
            <v>169.20000000000073</v>
          </cell>
          <cell r="DD400">
            <v>8.1999999999998181</v>
          </cell>
          <cell r="DE400">
            <v>84.100000000000364</v>
          </cell>
          <cell r="DF400">
            <v>348.19999999999982</v>
          </cell>
          <cell r="DG400">
            <v>65.099999999999454</v>
          </cell>
          <cell r="DH400">
            <v>92.199999999999818</v>
          </cell>
          <cell r="DI400">
            <v>435.39999999999964</v>
          </cell>
          <cell r="DJ400">
            <v>-426.09999999999854</v>
          </cell>
          <cell r="DK400">
            <v>-294.40000000000055</v>
          </cell>
          <cell r="DL400">
            <v>-2398.8000000000002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</row>
        <row r="402">
          <cell r="G402">
            <v>856468892.58999991</v>
          </cell>
          <cell r="H402">
            <v>870114200.00000024</v>
          </cell>
          <cell r="I402">
            <v>867599500.00000012</v>
          </cell>
          <cell r="J402">
            <v>863255100.00000012</v>
          </cell>
          <cell r="K402">
            <v>862453400.00000036</v>
          </cell>
          <cell r="L402">
            <v>878003399.99999976</v>
          </cell>
          <cell r="M402">
            <v>863922599.99999988</v>
          </cell>
          <cell r="N402">
            <v>864346400.00000048</v>
          </cell>
          <cell r="O402">
            <v>863074200</v>
          </cell>
          <cell r="P402">
            <v>862526899.99999964</v>
          </cell>
          <cell r="Q402">
            <v>870317300.00000012</v>
          </cell>
          <cell r="R402">
            <v>876086799.99999988</v>
          </cell>
          <cell r="S402">
            <v>914627600.00000012</v>
          </cell>
          <cell r="T402">
            <v>909311000</v>
          </cell>
          <cell r="U402">
            <v>909859000.00000024</v>
          </cell>
          <cell r="V402">
            <v>915951500</v>
          </cell>
          <cell r="W402">
            <v>913073399.99999988</v>
          </cell>
          <cell r="X402">
            <v>927907299.99999976</v>
          </cell>
          <cell r="Y402">
            <v>919594799.99999988</v>
          </cell>
          <cell r="Z402">
            <v>924202700</v>
          </cell>
          <cell r="AA402">
            <v>930173000.00000012</v>
          </cell>
          <cell r="AB402">
            <v>929778600.00000024</v>
          </cell>
          <cell r="AC402">
            <v>940120399.99999988</v>
          </cell>
          <cell r="AD402">
            <v>944592200</v>
          </cell>
          <cell r="AE402">
            <v>967348399.99999988</v>
          </cell>
          <cell r="AF402">
            <v>961822000</v>
          </cell>
          <cell r="AG402">
            <v>966485200.00000012</v>
          </cell>
          <cell r="AH402">
            <v>977170100.00000036</v>
          </cell>
          <cell r="AI402">
            <v>978701300.00000012</v>
          </cell>
          <cell r="AJ402">
            <v>962582400</v>
          </cell>
          <cell r="AK402">
            <v>960112900.00000012</v>
          </cell>
          <cell r="AL402">
            <v>966844600.00000012</v>
          </cell>
          <cell r="AM402">
            <v>967683600.00000012</v>
          </cell>
          <cell r="AN402">
            <v>983993100.00000012</v>
          </cell>
          <cell r="AO402">
            <v>993654500</v>
          </cell>
          <cell r="AP402">
            <v>996694700</v>
          </cell>
          <cell r="AQ402">
            <v>1019762600.0000001</v>
          </cell>
          <cell r="AR402">
            <v>1028205900.0000006</v>
          </cell>
          <cell r="AS402">
            <v>1036605799.9999999</v>
          </cell>
          <cell r="AT402">
            <v>1037286100.0000004</v>
          </cell>
          <cell r="AU402">
            <v>1047973299.9999999</v>
          </cell>
          <cell r="AV402">
            <v>1053161100.0000001</v>
          </cell>
          <cell r="AW402">
            <v>1048614100.0000001</v>
          </cell>
          <cell r="AX402">
            <v>1057460600.0000001</v>
          </cell>
          <cell r="AY402">
            <v>1076761800.0000002</v>
          </cell>
          <cell r="AZ402">
            <v>1078630599.9999998</v>
          </cell>
          <cell r="BA402">
            <v>1082847900.0000002</v>
          </cell>
          <cell r="BB402">
            <v>1093441100.0000002</v>
          </cell>
          <cell r="BC402">
            <v>1110304600</v>
          </cell>
          <cell r="BD402">
            <v>1125452800</v>
          </cell>
          <cell r="BE402">
            <v>1118450900.0000005</v>
          </cell>
          <cell r="BF402">
            <v>1116155100.0000002</v>
          </cell>
          <cell r="BG402">
            <v>1119947700</v>
          </cell>
          <cell r="BH402">
            <v>1127682100</v>
          </cell>
          <cell r="BI402">
            <v>1134835900</v>
          </cell>
          <cell r="BJ402">
            <v>1142152100.0000002</v>
          </cell>
          <cell r="BK402">
            <v>1149094300</v>
          </cell>
          <cell r="BL402">
            <v>1162175499.9999995</v>
          </cell>
          <cell r="BM402">
            <v>1182289100</v>
          </cell>
          <cell r="BN402">
            <v>1202725400.000001</v>
          </cell>
          <cell r="BO402">
            <v>1226063700.0000002</v>
          </cell>
          <cell r="BP402">
            <v>1247240600.0000002</v>
          </cell>
          <cell r="BQ402">
            <v>1247808200.0000002</v>
          </cell>
          <cell r="BR402">
            <v>1259003400</v>
          </cell>
          <cell r="BS402">
            <v>1262871800.0000002</v>
          </cell>
          <cell r="BT402">
            <v>1275354699.9999998</v>
          </cell>
          <cell r="BU402">
            <v>1286690200</v>
          </cell>
          <cell r="BV402">
            <v>1300347399.9999998</v>
          </cell>
          <cell r="BW402">
            <v>1319239999.9999995</v>
          </cell>
          <cell r="BX402">
            <v>1342230399.9999998</v>
          </cell>
          <cell r="BY402">
            <v>1358665000</v>
          </cell>
          <cell r="BZ402">
            <v>1383623100</v>
          </cell>
          <cell r="CA402">
            <v>1408247700</v>
          </cell>
          <cell r="CB402">
            <v>1430100500.0000002</v>
          </cell>
          <cell r="CC402">
            <v>1442161200.0000002</v>
          </cell>
          <cell r="CD402">
            <v>1453225599.9999998</v>
          </cell>
          <cell r="CE402">
            <v>1471552599.9999995</v>
          </cell>
          <cell r="CF402">
            <v>1494766099.9999995</v>
          </cell>
          <cell r="CG402">
            <v>1516746099.9999995</v>
          </cell>
          <cell r="CH402">
            <v>1537467900</v>
          </cell>
          <cell r="CI402">
            <v>1574439800.0000005</v>
          </cell>
          <cell r="CJ402">
            <v>1599775700</v>
          </cell>
          <cell r="CK402">
            <v>1631707999.9999998</v>
          </cell>
          <cell r="CL402">
            <v>1666187699.9999995</v>
          </cell>
          <cell r="CM402">
            <v>1713802799.9999998</v>
          </cell>
          <cell r="CN402">
            <v>1744349999.9999993</v>
          </cell>
          <cell r="CO402">
            <v>1767184299.9999993</v>
          </cell>
          <cell r="CP402">
            <v>1783156900.0000002</v>
          </cell>
          <cell r="CQ402">
            <v>1799578299.9999993</v>
          </cell>
          <cell r="CR402">
            <v>1807991200.0000002</v>
          </cell>
          <cell r="CS402">
            <v>1827442200</v>
          </cell>
          <cell r="CT402">
            <v>1853524100.0000005</v>
          </cell>
          <cell r="CU402">
            <v>1871610500</v>
          </cell>
          <cell r="CV402">
            <v>1894780700</v>
          </cell>
          <cell r="CW402">
            <v>1929460899.9999998</v>
          </cell>
          <cell r="CX402">
            <v>1960889800</v>
          </cell>
          <cell r="CY402">
            <v>1992226700</v>
          </cell>
          <cell r="CZ402">
            <v>2023947400.0000002</v>
          </cell>
          <cell r="DA402">
            <v>2043153799.9999998</v>
          </cell>
          <cell r="DB402">
            <v>2052420900.0000005</v>
          </cell>
          <cell r="DC402">
            <v>2067951800.0000002</v>
          </cell>
          <cell r="DD402">
            <v>2094493200.0000002</v>
          </cell>
          <cell r="DE402">
            <v>2120545100</v>
          </cell>
          <cell r="DF402">
            <v>2136862699.9999988</v>
          </cell>
          <cell r="DG402">
            <v>2152934800.000001</v>
          </cell>
          <cell r="DH402">
            <v>2168239300</v>
          </cell>
          <cell r="DI402">
            <v>2180323200</v>
          </cell>
          <cell r="DJ402">
            <v>2206020300.0000005</v>
          </cell>
          <cell r="DK402">
            <v>2267449700.000001</v>
          </cell>
          <cell r="DL402">
            <v>2302710399.9999995</v>
          </cell>
          <cell r="DM402">
            <v>2364867700.0000005</v>
          </cell>
          <cell r="DN402">
            <v>2384395999.9999995</v>
          </cell>
          <cell r="DO402">
            <v>2422812500</v>
          </cell>
          <cell r="DP402">
            <v>2442148500</v>
          </cell>
          <cell r="DQ402">
            <v>2471208099.9999995</v>
          </cell>
          <cell r="DR402">
            <v>2498529800</v>
          </cell>
          <cell r="DS402">
            <v>2516952900</v>
          </cell>
          <cell r="DT402">
            <v>2540552300</v>
          </cell>
          <cell r="DU402">
            <v>2561363700.0000005</v>
          </cell>
          <cell r="DV402">
            <v>2576056600</v>
          </cell>
          <cell r="DW402">
            <v>2615653500</v>
          </cell>
        </row>
        <row r="403">
          <cell r="G403">
            <v>856468892.59000003</v>
          </cell>
          <cell r="H403">
            <v>870114300</v>
          </cell>
          <cell r="I403">
            <v>867599200</v>
          </cell>
          <cell r="J403">
            <v>863255200</v>
          </cell>
          <cell r="K403">
            <v>862453299.99999988</v>
          </cell>
          <cell r="L403">
            <v>878003300</v>
          </cell>
          <cell r="M403">
            <v>863922700</v>
          </cell>
          <cell r="N403">
            <v>864345799.99999988</v>
          </cell>
          <cell r="O403">
            <v>863074200.00000012</v>
          </cell>
          <cell r="P403">
            <v>862527500</v>
          </cell>
          <cell r="Q403">
            <v>870317000.00000012</v>
          </cell>
          <cell r="R403">
            <v>876086699.99999976</v>
          </cell>
          <cell r="S403">
            <v>914628200.00000024</v>
          </cell>
          <cell r="T403">
            <v>909311100</v>
          </cell>
          <cell r="U403">
            <v>909859000.00000012</v>
          </cell>
          <cell r="V403">
            <v>915951600</v>
          </cell>
          <cell r="W403">
            <v>913073100.00000012</v>
          </cell>
          <cell r="X403">
            <v>927907400.00000012</v>
          </cell>
          <cell r="Y403">
            <v>919594800</v>
          </cell>
          <cell r="Z403">
            <v>924202800</v>
          </cell>
          <cell r="AA403">
            <v>930173099.99999964</v>
          </cell>
          <cell r="AB403">
            <v>929778000</v>
          </cell>
          <cell r="AC403">
            <v>940120200.00000012</v>
          </cell>
          <cell r="AD403">
            <v>944592100</v>
          </cell>
          <cell r="AE403">
            <v>967348800</v>
          </cell>
          <cell r="AF403">
            <v>961821699.99999988</v>
          </cell>
          <cell r="AG403">
            <v>966484599.99999988</v>
          </cell>
          <cell r="AH403">
            <v>977169400.00000012</v>
          </cell>
          <cell r="AI403">
            <v>978701200</v>
          </cell>
          <cell r="AJ403">
            <v>962582200</v>
          </cell>
          <cell r="AK403">
            <v>960113199.99999976</v>
          </cell>
          <cell r="AL403">
            <v>966844400</v>
          </cell>
          <cell r="AM403">
            <v>967683399.99999988</v>
          </cell>
          <cell r="AN403">
            <v>983993399.99999976</v>
          </cell>
          <cell r="AO403">
            <v>993654499.99999988</v>
          </cell>
          <cell r="AP403">
            <v>996694499.99999988</v>
          </cell>
          <cell r="AQ403">
            <v>1019762500.0000001</v>
          </cell>
          <cell r="AR403">
            <v>1028205699.9999999</v>
          </cell>
          <cell r="AS403">
            <v>1036606000.0000002</v>
          </cell>
          <cell r="AT403">
            <v>1037285799.9999996</v>
          </cell>
          <cell r="AU403">
            <v>1047972899.9999999</v>
          </cell>
          <cell r="AV403">
            <v>1053161100.0000001</v>
          </cell>
          <cell r="AW403">
            <v>1048613600.0000001</v>
          </cell>
          <cell r="AX403">
            <v>1057461000</v>
          </cell>
          <cell r="AY403">
            <v>1076761400</v>
          </cell>
          <cell r="AZ403">
            <v>1078630400</v>
          </cell>
          <cell r="BA403">
            <v>1082847599.9999998</v>
          </cell>
          <cell r="BB403">
            <v>1093440800</v>
          </cell>
          <cell r="BC403">
            <v>1110304100</v>
          </cell>
          <cell r="BD403">
            <v>1125452900</v>
          </cell>
          <cell r="BE403">
            <v>1118451000</v>
          </cell>
          <cell r="BF403">
            <v>1116154700.0000002</v>
          </cell>
          <cell r="BG403">
            <v>1119947400</v>
          </cell>
          <cell r="BH403">
            <v>1127682100.0000002</v>
          </cell>
          <cell r="BI403">
            <v>1134835600</v>
          </cell>
          <cell r="BJ403">
            <v>1142151500.0000002</v>
          </cell>
          <cell r="BK403">
            <v>1149094500</v>
          </cell>
          <cell r="BL403">
            <v>1162174800</v>
          </cell>
          <cell r="BM403">
            <v>1182288900.0000002</v>
          </cell>
          <cell r="BN403">
            <v>1202725500</v>
          </cell>
          <cell r="BO403">
            <v>1226064000</v>
          </cell>
          <cell r="BP403">
            <v>1247240799.9999998</v>
          </cell>
          <cell r="BQ403">
            <v>1247808000</v>
          </cell>
          <cell r="BR403">
            <v>1259002800</v>
          </cell>
          <cell r="BS403">
            <v>1262871500</v>
          </cell>
          <cell r="BT403">
            <v>1275354600.0000002</v>
          </cell>
          <cell r="BU403">
            <v>1286690700</v>
          </cell>
          <cell r="BV403">
            <v>1300347799.9999998</v>
          </cell>
          <cell r="BW403">
            <v>1319240200</v>
          </cell>
          <cell r="BX403">
            <v>1342229999.9999998</v>
          </cell>
          <cell r="BY403">
            <v>1358664300.0000002</v>
          </cell>
          <cell r="BZ403">
            <v>1383622700</v>
          </cell>
          <cell r="CA403">
            <v>1408247500.0000002</v>
          </cell>
          <cell r="CB403">
            <v>1430101400.0000005</v>
          </cell>
          <cell r="CC403">
            <v>1442160800.0000005</v>
          </cell>
          <cell r="CD403">
            <v>1453225400.0000002</v>
          </cell>
          <cell r="CE403">
            <v>1471552700</v>
          </cell>
          <cell r="CF403">
            <v>1494765900.0000002</v>
          </cell>
          <cell r="CG403">
            <v>1516746299.9999998</v>
          </cell>
          <cell r="CH403">
            <v>1537467599.9999998</v>
          </cell>
          <cell r="CI403">
            <v>1574439200.0000005</v>
          </cell>
          <cell r="CJ403">
            <v>1599775400.0000002</v>
          </cell>
          <cell r="CK403">
            <v>1631708000</v>
          </cell>
          <cell r="CL403">
            <v>1666187400.0000005</v>
          </cell>
          <cell r="CM403">
            <v>1713802500.0000002</v>
          </cell>
          <cell r="CN403">
            <v>1744349300</v>
          </cell>
          <cell r="CO403">
            <v>1767183699.9999995</v>
          </cell>
          <cell r="CP403">
            <v>1783156800</v>
          </cell>
          <cell r="CQ403">
            <v>1799578599.9999998</v>
          </cell>
          <cell r="CR403">
            <v>1807990600</v>
          </cell>
          <cell r="CS403">
            <v>1827442400.0000002</v>
          </cell>
          <cell r="CT403">
            <v>1853523900</v>
          </cell>
          <cell r="CU403">
            <v>1871609900.0000002</v>
          </cell>
          <cell r="CV403">
            <v>1894780400</v>
          </cell>
          <cell r="CW403">
            <v>1929461099.9999995</v>
          </cell>
          <cell r="CX403">
            <v>1960889400</v>
          </cell>
          <cell r="CY403">
            <v>1992226799.9999998</v>
          </cell>
          <cell r="CZ403">
            <v>2023947200.0000005</v>
          </cell>
          <cell r="DA403">
            <v>2043153199.9999998</v>
          </cell>
          <cell r="DB403">
            <v>2052420599.9999995</v>
          </cell>
          <cell r="DC403">
            <v>2067951500</v>
          </cell>
          <cell r="DD403">
            <v>2094492599.9999998</v>
          </cell>
          <cell r="DE403">
            <v>2120544900</v>
          </cell>
          <cell r="DF403">
            <v>2136862400.0000005</v>
          </cell>
          <cell r="DG403">
            <v>2152934700</v>
          </cell>
          <cell r="DH403">
            <v>2168238700.0000005</v>
          </cell>
          <cell r="DI403">
            <v>2180322500</v>
          </cell>
          <cell r="DJ403">
            <v>2206020000</v>
          </cell>
          <cell r="DK403">
            <v>2267448699.9999995</v>
          </cell>
          <cell r="DL403">
            <v>2302709400.0000005</v>
          </cell>
          <cell r="DM403">
            <v>2364866700</v>
          </cell>
          <cell r="DN403">
            <v>2384394999.9999995</v>
          </cell>
          <cell r="DO403">
            <v>2422811500</v>
          </cell>
          <cell r="DP403">
            <v>2442147599.9999995</v>
          </cell>
          <cell r="DQ403">
            <v>2471207199.9999995</v>
          </cell>
          <cell r="DR403">
            <v>2498528899.9999995</v>
          </cell>
          <cell r="DS403">
            <v>2516951999.9999995</v>
          </cell>
          <cell r="DT403">
            <v>2540551399.9999995</v>
          </cell>
          <cell r="DU403">
            <v>2561362799.9999995</v>
          </cell>
          <cell r="DV403">
            <v>2576055800</v>
          </cell>
          <cell r="DW403">
            <v>2615652700</v>
          </cell>
        </row>
        <row r="404">
          <cell r="G404">
            <v>-1.1641532182693481E-7</v>
          </cell>
          <cell r="H404">
            <v>-9.9999999860301614E-2</v>
          </cell>
          <cell r="I404">
            <v>0.30000000016298145</v>
          </cell>
          <cell r="J404">
            <v>-9.9999999860301614E-2</v>
          </cell>
          <cell r="K404">
            <v>0.10000000044237822</v>
          </cell>
          <cell r="L404">
            <v>9.9999999743886292E-2</v>
          </cell>
          <cell r="M404">
            <v>-0.10000000009313226</v>
          </cell>
          <cell r="N404">
            <v>0.60000000055879354</v>
          </cell>
          <cell r="O404">
            <v>-1.1641532182693481E-10</v>
          </cell>
          <cell r="P404">
            <v>-0.6000000003259629</v>
          </cell>
          <cell r="Q404">
            <v>0.30000000004656613</v>
          </cell>
          <cell r="R404">
            <v>0.10000000020954758</v>
          </cell>
          <cell r="S404">
            <v>-0.60000000009313226</v>
          </cell>
          <cell r="T404">
            <v>-9.9999999976716936E-2</v>
          </cell>
          <cell r="U404">
            <v>1.1641532182693481E-10</v>
          </cell>
          <cell r="V404">
            <v>-9.9999999976716936E-2</v>
          </cell>
          <cell r="W404">
            <v>0.29999999981373549</v>
          </cell>
          <cell r="X404">
            <v>-0.1000000003259629</v>
          </cell>
          <cell r="Y404">
            <v>-1.1641532182693481E-10</v>
          </cell>
          <cell r="Z404">
            <v>-0.10000000009313226</v>
          </cell>
          <cell r="AA404">
            <v>-9.9999999511055648E-2</v>
          </cell>
          <cell r="AB404">
            <v>0.60000000020954758</v>
          </cell>
          <cell r="AC404">
            <v>0.19999999983701855</v>
          </cell>
          <cell r="AD404">
            <v>9.9999999976716936E-2</v>
          </cell>
          <cell r="AE404">
            <v>-0.40000000013969839</v>
          </cell>
          <cell r="AF404">
            <v>0.30000000016298145</v>
          </cell>
          <cell r="AG404">
            <v>0.60000000020954758</v>
          </cell>
          <cell r="AH404">
            <v>0.70000000018626451</v>
          </cell>
          <cell r="AI404">
            <v>0.10000000020954758</v>
          </cell>
          <cell r="AJ404">
            <v>0.20000000006984919</v>
          </cell>
          <cell r="AK404">
            <v>-0.29999999958090484</v>
          </cell>
          <cell r="AL404">
            <v>0.20000000006984919</v>
          </cell>
          <cell r="AM404">
            <v>0.20000000018626451</v>
          </cell>
          <cell r="AN404">
            <v>-0.29999999969732016</v>
          </cell>
          <cell r="AO404">
            <v>1.1641532182693481E-10</v>
          </cell>
          <cell r="AP404">
            <v>0.20000000006984919</v>
          </cell>
          <cell r="AQ404">
            <v>9.9999999976716936E-2</v>
          </cell>
          <cell r="AR404">
            <v>0.20000000076834112</v>
          </cell>
          <cell r="AS404">
            <v>-0.20000000030267984</v>
          </cell>
          <cell r="AT404">
            <v>0.30000000062864274</v>
          </cell>
          <cell r="AU404">
            <v>0.40000000002328306</v>
          </cell>
          <cell r="AV404">
            <v>0</v>
          </cell>
          <cell r="AW404">
            <v>0.5</v>
          </cell>
          <cell r="AX404">
            <v>-0.39999999990686774</v>
          </cell>
          <cell r="AY404">
            <v>0.40000000037252903</v>
          </cell>
          <cell r="AZ404">
            <v>0.19999999995343387</v>
          </cell>
          <cell r="BA404">
            <v>0.30000000027939677</v>
          </cell>
          <cell r="BB404">
            <v>0.30000000027939677</v>
          </cell>
          <cell r="BC404">
            <v>0.5</v>
          </cell>
          <cell r="BD404">
            <v>-9.9999999860301614E-2</v>
          </cell>
          <cell r="BE404">
            <v>-9.999999962747097E-2</v>
          </cell>
          <cell r="BF404">
            <v>0.40000000013969839</v>
          </cell>
          <cell r="BG404">
            <v>0.30000000004656613</v>
          </cell>
          <cell r="BH404">
            <v>-2.3283064365386963E-10</v>
          </cell>
          <cell r="BI404">
            <v>0.29999999981373549</v>
          </cell>
          <cell r="BJ404">
            <v>0.60000000009313226</v>
          </cell>
          <cell r="BK404">
            <v>-0.19999999995343387</v>
          </cell>
          <cell r="BL404">
            <v>0.69999999948777258</v>
          </cell>
          <cell r="BM404">
            <v>0.19999999995343387</v>
          </cell>
          <cell r="BN404">
            <v>-9.9999999161809683E-2</v>
          </cell>
          <cell r="BO404">
            <v>-0.29999999981373549</v>
          </cell>
          <cell r="BP404">
            <v>-0.19999999948777258</v>
          </cell>
          <cell r="BQ404">
            <v>0.20000000018626451</v>
          </cell>
          <cell r="BR404">
            <v>0.59999999986030161</v>
          </cell>
          <cell r="BS404">
            <v>0.30000000027939677</v>
          </cell>
          <cell r="BT404">
            <v>9.9999999394640326E-2</v>
          </cell>
          <cell r="BU404">
            <v>-0.5</v>
          </cell>
          <cell r="BV404">
            <v>-0.40000000013969839</v>
          </cell>
          <cell r="BW404">
            <v>-0.20000000041909516</v>
          </cell>
          <cell r="BX404">
            <v>0.39999999990686774</v>
          </cell>
          <cell r="BY404">
            <v>0.69999999972060323</v>
          </cell>
          <cell r="BZ404">
            <v>0.40000000013969839</v>
          </cell>
          <cell r="CA404">
            <v>0.19999999972060323</v>
          </cell>
          <cell r="CB404">
            <v>-0.90000000013969839</v>
          </cell>
          <cell r="CC404">
            <v>0.3999999996740371</v>
          </cell>
          <cell r="CD404">
            <v>0.19999999972060323</v>
          </cell>
          <cell r="CE404">
            <v>-0.1000000003259629</v>
          </cell>
          <cell r="CF404">
            <v>0.19999999948777258</v>
          </cell>
          <cell r="CG404">
            <v>-0.20000000018626451</v>
          </cell>
          <cell r="CH404">
            <v>0.30000000004656613</v>
          </cell>
          <cell r="CI404">
            <v>0.60000000009313226</v>
          </cell>
          <cell r="CJ404">
            <v>0.29999999981373549</v>
          </cell>
          <cell r="CK404">
            <v>-2.3283064365386963E-10</v>
          </cell>
          <cell r="CL404">
            <v>0.29999999911524355</v>
          </cell>
          <cell r="CM404">
            <v>0.29999999958090484</v>
          </cell>
          <cell r="CN404">
            <v>0.69999999925494194</v>
          </cell>
          <cell r="CO404">
            <v>0.59999999986030161</v>
          </cell>
          <cell r="CP404">
            <v>0.10000000009313226</v>
          </cell>
          <cell r="CQ404">
            <v>-0.30000000051222742</v>
          </cell>
          <cell r="CR404">
            <v>0.60000000009313226</v>
          </cell>
          <cell r="CS404">
            <v>-0.20000000018626451</v>
          </cell>
          <cell r="CT404">
            <v>0.2000000006519258</v>
          </cell>
          <cell r="CU404">
            <v>0.59999999986030161</v>
          </cell>
          <cell r="CV404">
            <v>0.30000000004656613</v>
          </cell>
          <cell r="CW404">
            <v>-0.19999999995343387</v>
          </cell>
          <cell r="CX404">
            <v>0.40000000013969839</v>
          </cell>
          <cell r="CY404">
            <v>-9.9999999860301614E-2</v>
          </cell>
          <cell r="CZ404">
            <v>0.19999999972060323</v>
          </cell>
          <cell r="DA404">
            <v>0.60000000009313226</v>
          </cell>
          <cell r="DB404">
            <v>0.30000000074505806</v>
          </cell>
          <cell r="DC404">
            <v>0.30000000027939677</v>
          </cell>
          <cell r="DD404">
            <v>0.6000000003259629</v>
          </cell>
          <cell r="DE404">
            <v>0.20000000018626451</v>
          </cell>
          <cell r="DF404">
            <v>0.29999999841675162</v>
          </cell>
          <cell r="DG404">
            <v>0.10000000055879354</v>
          </cell>
          <cell r="DH404">
            <v>0.59999999916180968</v>
          </cell>
          <cell r="DI404">
            <v>0.70000000018626451</v>
          </cell>
          <cell r="DJ404">
            <v>0.30000000027939677</v>
          </cell>
          <cell r="DK404">
            <v>1.0000000013969839</v>
          </cell>
          <cell r="DL404">
            <v>0.99999999906867743</v>
          </cell>
          <cell r="DM404">
            <v>1.0000000004656613</v>
          </cell>
          <cell r="DN404">
            <v>1</v>
          </cell>
          <cell r="DO404">
            <v>1</v>
          </cell>
          <cell r="DP404">
            <v>0.90000000037252903</v>
          </cell>
          <cell r="DQ404">
            <v>0.89999999990686774</v>
          </cell>
          <cell r="DR404">
            <v>0.90000000037252903</v>
          </cell>
          <cell r="DS404">
            <v>0.90000000037252903</v>
          </cell>
          <cell r="DT404">
            <v>0.90000000037252903</v>
          </cell>
          <cell r="DU404">
            <v>0.9000000013038516</v>
          </cell>
          <cell r="DV404">
            <v>0.80000000027939677</v>
          </cell>
          <cell r="DW404">
            <v>0.79999999981373549</v>
          </cell>
        </row>
        <row r="406">
          <cell r="E406" t="str">
            <v>Total Assets/Liabilities per BPC/ECC</v>
          </cell>
          <cell r="G406">
            <v>1021551249.15</v>
          </cell>
          <cell r="H406">
            <v>1035270044.96</v>
          </cell>
          <cell r="I406">
            <v>1035743715.0599999</v>
          </cell>
          <cell r="J406">
            <v>1030659768.48</v>
          </cell>
          <cell r="K406">
            <v>1031822239.41</v>
          </cell>
          <cell r="L406">
            <v>1045540649.73</v>
          </cell>
          <cell r="M406">
            <v>1034168311.8200001</v>
          </cell>
          <cell r="N406">
            <v>1035492656.13</v>
          </cell>
          <cell r="O406">
            <v>1034479731.4400001</v>
          </cell>
          <cell r="P406">
            <v>1034067633.84</v>
          </cell>
          <cell r="Q406">
            <v>1039904153.58</v>
          </cell>
          <cell r="R406">
            <v>1043560386.97</v>
          </cell>
          <cell r="S406">
            <v>1082949923.0699999</v>
          </cell>
          <cell r="T406">
            <v>1077876558.4300001</v>
          </cell>
          <cell r="U406">
            <v>1077904505.4400001</v>
          </cell>
          <cell r="V406">
            <v>1085495502.6199999</v>
          </cell>
          <cell r="W406">
            <v>1081670533.77</v>
          </cell>
          <cell r="X406">
            <v>1096576070.9400001</v>
          </cell>
          <cell r="Y406">
            <v>1089117076.03</v>
          </cell>
          <cell r="Z406">
            <v>1092896886.7</v>
          </cell>
          <cell r="AA406">
            <v>1099888962.8499999</v>
          </cell>
          <cell r="AB406">
            <v>1099373167.98</v>
          </cell>
          <cell r="AC406">
            <v>1110000334.6400001</v>
          </cell>
          <cell r="AD406">
            <v>1114955350.73</v>
          </cell>
          <cell r="AE406">
            <v>1138187437.6099999</v>
          </cell>
          <cell r="AF406">
            <v>1130993534.7</v>
          </cell>
          <cell r="AG406">
            <v>1136368892.1500001</v>
          </cell>
          <cell r="AH406">
            <v>1148051961.78</v>
          </cell>
          <cell r="AI406">
            <v>1151575038.4000001</v>
          </cell>
          <cell r="AJ406">
            <v>1137321676.5999999</v>
          </cell>
          <cell r="AK406">
            <v>1136946933.45</v>
          </cell>
          <cell r="AL406">
            <v>1144507761.79</v>
          </cell>
          <cell r="AM406">
            <v>1146530369.3099999</v>
          </cell>
          <cell r="AN406">
            <v>1162301702.0899999</v>
          </cell>
          <cell r="AO406">
            <v>1169117847.6600001</v>
          </cell>
          <cell r="AP406">
            <v>1169344030.3199999</v>
          </cell>
          <cell r="AQ406">
            <v>1191963773.0699999</v>
          </cell>
          <cell r="AR406">
            <v>1202844810.28</v>
          </cell>
          <cell r="AS406">
            <v>1214990249.3299999</v>
          </cell>
          <cell r="AT406">
            <v>1212605497.9100001</v>
          </cell>
          <cell r="AU406">
            <v>1224515297.4200001</v>
          </cell>
          <cell r="AV406">
            <v>1230445388.97</v>
          </cell>
          <cell r="AW406">
            <v>1228802179.3499999</v>
          </cell>
          <cell r="AX406">
            <v>1236017068.5599999</v>
          </cell>
          <cell r="AY406">
            <v>1254351978.7</v>
          </cell>
          <cell r="AZ406">
            <v>1254290933.71</v>
          </cell>
          <cell r="BA406">
            <v>1256555995.23</v>
          </cell>
          <cell r="BB406">
            <v>1267295272.98</v>
          </cell>
          <cell r="BC406">
            <v>1285492644.24</v>
          </cell>
          <cell r="BD406">
            <v>1302381218.6099999</v>
          </cell>
          <cell r="BE406">
            <v>1302283330.73</v>
          </cell>
          <cell r="BF406">
            <v>1297470711.3199999</v>
          </cell>
          <cell r="BG406">
            <v>1304624160.51</v>
          </cell>
          <cell r="BH406">
            <v>1312764651.1300001</v>
          </cell>
          <cell r="BI406">
            <v>1320421699.21</v>
          </cell>
          <cell r="BJ406">
            <v>1327908423.95</v>
          </cell>
          <cell r="BK406">
            <v>1335258036.3199999</v>
          </cell>
          <cell r="BL406">
            <v>1349045916.1300001</v>
          </cell>
          <cell r="BM406">
            <v>1366283586.02</v>
          </cell>
          <cell r="BN406">
            <v>1381139051.4300001</v>
          </cell>
          <cell r="BO406">
            <v>1407383463.01</v>
          </cell>
          <cell r="BP406">
            <v>1428335561.21</v>
          </cell>
          <cell r="BQ406">
            <v>1432344895.3599999</v>
          </cell>
          <cell r="BR406">
            <v>1443989676.8</v>
          </cell>
          <cell r="BS406">
            <v>1451611919.48</v>
          </cell>
          <cell r="BT406">
            <v>1466517006.48</v>
          </cell>
          <cell r="BU406">
            <v>1479334986.6900001</v>
          </cell>
          <cell r="BV406">
            <v>1491858992.54</v>
          </cell>
          <cell r="BW406">
            <v>1508867340.04</v>
          </cell>
          <cell r="BX406">
            <v>1532106428.8800001</v>
          </cell>
          <cell r="BY406">
            <v>1545983565.48</v>
          </cell>
          <cell r="BZ406">
            <v>1568090323.78</v>
          </cell>
          <cell r="CA406">
            <v>1593585300.0599999</v>
          </cell>
          <cell r="CB406">
            <v>1616784249.8800001</v>
          </cell>
          <cell r="CC406">
            <v>1632538892.1900001</v>
          </cell>
          <cell r="CD406">
            <v>1645601784.8499999</v>
          </cell>
          <cell r="CE406">
            <v>1665146842.72</v>
          </cell>
          <cell r="CF406">
            <v>1688396470.95</v>
          </cell>
          <cell r="CG406">
            <v>1710988607.8399999</v>
          </cell>
          <cell r="CH406">
            <v>1730140392.1500001</v>
          </cell>
          <cell r="CI406">
            <v>1765212302.8299999</v>
          </cell>
          <cell r="CJ406">
            <v>1794262028.1800001</v>
          </cell>
          <cell r="CK406">
            <v>1822308317.48</v>
          </cell>
          <cell r="CL406">
            <v>1853977712.9100001</v>
          </cell>
          <cell r="CM406">
            <v>1901672474.3099999</v>
          </cell>
          <cell r="CN406">
            <v>1938429062.9200001</v>
          </cell>
          <cell r="CO406">
            <v>1954692860.4000001</v>
          </cell>
          <cell r="CP406">
            <v>1968224077.8</v>
          </cell>
          <cell r="CQ406">
            <v>1989473672.3399999</v>
          </cell>
          <cell r="CR406">
            <v>1998831468.45</v>
          </cell>
          <cell r="CS406">
            <v>2020771402.6800001</v>
          </cell>
          <cell r="CT406">
            <v>2047545949.6199999</v>
          </cell>
          <cell r="CU406">
            <v>2065645717.5699999</v>
          </cell>
          <cell r="CV406">
            <v>2095167523.45</v>
          </cell>
          <cell r="CW406">
            <v>2126510594.73</v>
          </cell>
          <cell r="CX406">
            <v>2157596597.0100002</v>
          </cell>
          <cell r="CY406">
            <v>2198832944</v>
          </cell>
          <cell r="CZ406">
            <v>2237670676.1900001</v>
          </cell>
          <cell r="DA406">
            <v>2255535148.1100001</v>
          </cell>
          <cell r="DB406">
            <v>2261310596.6799998</v>
          </cell>
          <cell r="DC406">
            <v>2280410793.6599998</v>
          </cell>
          <cell r="DD406">
            <v>2306025522.8099999</v>
          </cell>
          <cell r="DE406">
            <v>2333569610.6100001</v>
          </cell>
          <cell r="DF406">
            <v>2351181254.9699998</v>
          </cell>
          <cell r="DG406">
            <v>2371340760.7600002</v>
          </cell>
          <cell r="DH406">
            <v>2390596293.54</v>
          </cell>
          <cell r="DI406">
            <v>2406967414.5599999</v>
          </cell>
          <cell r="DJ406">
            <v>2423981080.3000002</v>
          </cell>
          <cell r="DK406">
            <v>2468038201.5100002</v>
          </cell>
          <cell r="DL406">
            <v>2534951767.2177935</v>
          </cell>
          <cell r="DM406">
            <v>2597091514.6363935</v>
          </cell>
          <cell r="DN406">
            <v>2616602598.7653441</v>
          </cell>
          <cell r="DO406">
            <v>2655661655.9631796</v>
          </cell>
          <cell r="DP406">
            <v>2674980236.6544232</v>
          </cell>
          <cell r="DQ406">
            <v>2704022604.8977418</v>
          </cell>
          <cell r="DR406">
            <v>2731986837.0699816</v>
          </cell>
          <cell r="DS406">
            <v>2750392628.3027506</v>
          </cell>
          <cell r="DT406">
            <v>2774634950.9193282</v>
          </cell>
          <cell r="DU406">
            <v>2795428766.9350305</v>
          </cell>
          <cell r="DV406">
            <v>2810103805.5319624</v>
          </cell>
          <cell r="DW406">
            <v>2849683848.5909185</v>
          </cell>
        </row>
        <row r="407">
          <cell r="E407" t="str">
            <v>Less Accum Reserve Cost of Removal - Curr (1080110)</v>
          </cell>
          <cell r="G407">
            <v>-8308846.6599999992</v>
          </cell>
          <cell r="H407">
            <v>-8312200.0000000009</v>
          </cell>
          <cell r="I407">
            <v>-8326700.0000000009</v>
          </cell>
          <cell r="J407">
            <v>-8330299.9999999991</v>
          </cell>
          <cell r="K407">
            <v>-8330500</v>
          </cell>
          <cell r="L407">
            <v>-8340900</v>
          </cell>
          <cell r="M407">
            <v>-8334700.0000000009</v>
          </cell>
          <cell r="N407">
            <v>-8341299.9999999991</v>
          </cell>
          <cell r="O407">
            <v>-8344400</v>
          </cell>
          <cell r="P407">
            <v>-8368900</v>
          </cell>
          <cell r="Q407">
            <v>-8370299.9999999991</v>
          </cell>
          <cell r="R407">
            <v>-8385600</v>
          </cell>
          <cell r="S407">
            <v>-8393800</v>
          </cell>
          <cell r="T407">
            <v>-8405600</v>
          </cell>
          <cell r="U407">
            <v>-8379200.0000000009</v>
          </cell>
          <cell r="V407">
            <v>-8400700</v>
          </cell>
          <cell r="W407">
            <v>-8408800</v>
          </cell>
          <cell r="X407">
            <v>-8421500</v>
          </cell>
          <cell r="Y407">
            <v>-8407900</v>
          </cell>
          <cell r="Z407">
            <v>-8422900</v>
          </cell>
          <cell r="AA407">
            <v>-8449600</v>
          </cell>
          <cell r="AB407">
            <v>-8477400</v>
          </cell>
          <cell r="AC407">
            <v>-8499500</v>
          </cell>
          <cell r="AD407">
            <v>-8523300</v>
          </cell>
          <cell r="AE407">
            <v>-8547000</v>
          </cell>
          <cell r="AF407">
            <v>-8463200</v>
          </cell>
          <cell r="AG407">
            <v>-8442200</v>
          </cell>
          <cell r="AH407">
            <v>-8422600</v>
          </cell>
          <cell r="AI407">
            <v>-8486200</v>
          </cell>
          <cell r="AJ407">
            <v>-8502800</v>
          </cell>
          <cell r="AK407">
            <v>-8519200</v>
          </cell>
          <cell r="AL407">
            <v>-8498900</v>
          </cell>
          <cell r="AM407">
            <v>-8519200</v>
          </cell>
          <cell r="AN407">
            <v>-8528700</v>
          </cell>
          <cell r="AO407">
            <v>-8522900</v>
          </cell>
          <cell r="AP407">
            <v>-8526200</v>
          </cell>
          <cell r="AQ407">
            <v>-8538600</v>
          </cell>
          <cell r="AR407">
            <v>-8636800</v>
          </cell>
          <cell r="AS407">
            <v>-8665600</v>
          </cell>
          <cell r="AT407">
            <v>-8698700</v>
          </cell>
          <cell r="AU407">
            <v>-8711600</v>
          </cell>
          <cell r="AV407">
            <v>-8747900</v>
          </cell>
          <cell r="AW407">
            <v>-8765700</v>
          </cell>
          <cell r="AX407">
            <v>-8743400</v>
          </cell>
          <cell r="AY407">
            <v>-8751700</v>
          </cell>
          <cell r="AZ407">
            <v>-8780300</v>
          </cell>
          <cell r="BA407">
            <v>-8738500</v>
          </cell>
          <cell r="BB407">
            <v>-8745400</v>
          </cell>
          <cell r="BC407">
            <v>-8780600</v>
          </cell>
          <cell r="BD407">
            <v>-8748000</v>
          </cell>
          <cell r="BE407">
            <v>-8784800</v>
          </cell>
          <cell r="BF407">
            <v>-8795300</v>
          </cell>
          <cell r="BG407">
            <v>-8779900</v>
          </cell>
          <cell r="BH407">
            <v>-8805700</v>
          </cell>
          <cell r="BI407">
            <v>-8842800</v>
          </cell>
          <cell r="BJ407">
            <v>-8844400</v>
          </cell>
          <cell r="BK407">
            <v>-8884600</v>
          </cell>
          <cell r="BL407">
            <v>-8896400</v>
          </cell>
          <cell r="BM407">
            <v>-8916700</v>
          </cell>
          <cell r="BN407">
            <v>-8953100</v>
          </cell>
          <cell r="BO407">
            <v>-8990500</v>
          </cell>
          <cell r="BP407">
            <v>-8977800</v>
          </cell>
          <cell r="BQ407">
            <v>-9005200</v>
          </cell>
          <cell r="BR407">
            <v>-9015600</v>
          </cell>
          <cell r="BS407">
            <v>-9016800</v>
          </cell>
          <cell r="BT407">
            <v>-9016600</v>
          </cell>
          <cell r="BU407">
            <v>-9032800</v>
          </cell>
          <cell r="BV407">
            <v>-8978700</v>
          </cell>
          <cell r="BW407">
            <v>-8993100</v>
          </cell>
          <cell r="BX407">
            <v>-9025200</v>
          </cell>
          <cell r="BY407">
            <v>-9058100</v>
          </cell>
          <cell r="BZ407">
            <v>-9065700</v>
          </cell>
          <cell r="CA407">
            <v>-9090000</v>
          </cell>
          <cell r="CB407">
            <v>-8987400</v>
          </cell>
          <cell r="CC407">
            <v>-9018000</v>
          </cell>
          <cell r="CD407">
            <v>-9053500</v>
          </cell>
          <cell r="CE407">
            <v>-9084500</v>
          </cell>
          <cell r="CF407">
            <v>-9112600</v>
          </cell>
          <cell r="CG407">
            <v>-9110200</v>
          </cell>
          <cell r="CH407">
            <v>-9060400</v>
          </cell>
          <cell r="CI407">
            <v>-9090300</v>
          </cell>
          <cell r="CJ407">
            <v>-9130100</v>
          </cell>
          <cell r="CK407">
            <v>-9136000</v>
          </cell>
          <cell r="CL407">
            <v>-9169800</v>
          </cell>
          <cell r="CM407">
            <v>-9210400</v>
          </cell>
          <cell r="CN407">
            <v>-9339400</v>
          </cell>
          <cell r="CO407">
            <v>-9136800</v>
          </cell>
          <cell r="CP407">
            <v>-9182500</v>
          </cell>
          <cell r="CQ407">
            <v>-9238800</v>
          </cell>
          <cell r="CR407">
            <v>-9272800</v>
          </cell>
          <cell r="CS407">
            <v>-9330900</v>
          </cell>
          <cell r="CT407">
            <v>-9348900</v>
          </cell>
          <cell r="CU407">
            <v>-9399100</v>
          </cell>
          <cell r="CV407">
            <v>-9458200</v>
          </cell>
          <cell r="CW407">
            <v>-9439200</v>
          </cell>
          <cell r="CX407">
            <v>-9421000</v>
          </cell>
          <cell r="CY407">
            <v>-9459200</v>
          </cell>
          <cell r="CZ407">
            <v>-9344600</v>
          </cell>
          <cell r="DA407">
            <v>-9392300</v>
          </cell>
          <cell r="DB407">
            <v>-9408500</v>
          </cell>
          <cell r="DC407">
            <v>-9455300</v>
          </cell>
          <cell r="DD407">
            <v>-9492500</v>
          </cell>
          <cell r="DE407">
            <v>-9540000</v>
          </cell>
          <cell r="DF407">
            <v>-9557100</v>
          </cell>
          <cell r="DG407">
            <v>-9591000</v>
          </cell>
          <cell r="DH407">
            <v>-9673500</v>
          </cell>
          <cell r="DI407">
            <v>-9701700</v>
          </cell>
          <cell r="DJ407">
            <v>-9762100</v>
          </cell>
          <cell r="DK407">
            <v>-9822000</v>
          </cell>
          <cell r="DL407">
            <v>-9881900</v>
          </cell>
          <cell r="DM407">
            <v>-9906900</v>
          </cell>
          <cell r="DN407">
            <v>-9931900</v>
          </cell>
          <cell r="DO407">
            <v>-9956900</v>
          </cell>
          <cell r="DP407">
            <v>-9981900</v>
          </cell>
          <cell r="DQ407">
            <v>-10006900</v>
          </cell>
          <cell r="DR407">
            <v>-10031900</v>
          </cell>
          <cell r="DS407">
            <v>-10056900</v>
          </cell>
          <cell r="DT407">
            <v>-10081900</v>
          </cell>
          <cell r="DU407">
            <v>-10106900</v>
          </cell>
          <cell r="DV407">
            <v>-10131900</v>
          </cell>
          <cell r="DW407">
            <v>-10156900</v>
          </cell>
        </row>
        <row r="408">
          <cell r="E408" t="str">
            <v>Less Accum Reserve Cost of Removal - Non-Curr (1080210)</v>
          </cell>
          <cell r="G408">
            <v>-157868086.47999999</v>
          </cell>
          <cell r="H408">
            <v>-157930900</v>
          </cell>
          <cell r="I408">
            <v>-158207600</v>
          </cell>
          <cell r="J408">
            <v>-158275700</v>
          </cell>
          <cell r="K408">
            <v>-158278600</v>
          </cell>
          <cell r="L408">
            <v>-158476500</v>
          </cell>
          <cell r="M408">
            <v>-158359800</v>
          </cell>
          <cell r="N408">
            <v>-158485400</v>
          </cell>
          <cell r="O408">
            <v>-158544300</v>
          </cell>
          <cell r="P408">
            <v>-159008700</v>
          </cell>
          <cell r="Q408">
            <v>-159035800</v>
          </cell>
          <cell r="R408">
            <v>-159326500</v>
          </cell>
          <cell r="S408">
            <v>-159481600</v>
          </cell>
          <cell r="T408">
            <v>-159705600</v>
          </cell>
          <cell r="U408">
            <v>-159204600</v>
          </cell>
          <cell r="V408">
            <v>-159613700</v>
          </cell>
          <cell r="W408">
            <v>-159767300</v>
          </cell>
          <cell r="X408">
            <v>-160007900</v>
          </cell>
          <cell r="Y408">
            <v>-159750200</v>
          </cell>
          <cell r="Z408">
            <v>-160035600</v>
          </cell>
          <cell r="AA408">
            <v>-160542000</v>
          </cell>
          <cell r="AB408">
            <v>-161070500</v>
          </cell>
          <cell r="AC408">
            <v>-161490800</v>
          </cell>
          <cell r="AD408">
            <v>-161942000</v>
          </cell>
          <cell r="AE408">
            <v>-162393100</v>
          </cell>
          <cell r="AF408">
            <v>-160801700</v>
          </cell>
          <cell r="AG408">
            <v>-160402400</v>
          </cell>
          <cell r="AH408">
            <v>-160029200</v>
          </cell>
          <cell r="AI408">
            <v>-161238200</v>
          </cell>
          <cell r="AJ408">
            <v>-161552700</v>
          </cell>
          <cell r="AK408">
            <v>-161864900</v>
          </cell>
          <cell r="AL408">
            <v>-161479400</v>
          </cell>
          <cell r="AM408">
            <v>-161864600</v>
          </cell>
          <cell r="AN408">
            <v>-162044800</v>
          </cell>
          <cell r="AO408">
            <v>-161935300</v>
          </cell>
          <cell r="AP408">
            <v>-161997900</v>
          </cell>
          <cell r="AQ408">
            <v>-162233900</v>
          </cell>
          <cell r="AR408">
            <v>-164099700</v>
          </cell>
          <cell r="AS408">
            <v>-164645600</v>
          </cell>
          <cell r="AT408">
            <v>-165274800</v>
          </cell>
          <cell r="AU408">
            <v>-165520000</v>
          </cell>
          <cell r="AV408">
            <v>-166209700</v>
          </cell>
          <cell r="AW408">
            <v>-166548000</v>
          </cell>
          <cell r="AX408">
            <v>-166123900</v>
          </cell>
          <cell r="AY408">
            <v>-166281700</v>
          </cell>
          <cell r="AZ408">
            <v>-166825100</v>
          </cell>
          <cell r="BA408">
            <v>-166032300</v>
          </cell>
          <cell r="BB408">
            <v>-166163200</v>
          </cell>
          <cell r="BC408">
            <v>-166832300</v>
          </cell>
          <cell r="BD408">
            <v>-166212400</v>
          </cell>
          <cell r="BE408">
            <v>-166910400</v>
          </cell>
          <cell r="BF408">
            <v>-167111400</v>
          </cell>
          <cell r="BG408">
            <v>-166818200</v>
          </cell>
          <cell r="BH408">
            <v>-167308000</v>
          </cell>
          <cell r="BI408">
            <v>-168013000</v>
          </cell>
          <cell r="BJ408">
            <v>-168043300</v>
          </cell>
          <cell r="BK408">
            <v>-168807800</v>
          </cell>
          <cell r="BL408">
            <v>-169031400</v>
          </cell>
          <cell r="BM408">
            <v>-169418000</v>
          </cell>
          <cell r="BN408">
            <v>-170108500</v>
          </cell>
          <cell r="BO408">
            <v>-170820000</v>
          </cell>
          <cell r="BP408">
            <v>-170579000</v>
          </cell>
          <cell r="BQ408">
            <v>-171098800</v>
          </cell>
          <cell r="BR408">
            <v>-171296000</v>
          </cell>
          <cell r="BS408">
            <v>-171318500</v>
          </cell>
          <cell r="BT408">
            <v>-171314500</v>
          </cell>
          <cell r="BU408">
            <v>-171623800</v>
          </cell>
          <cell r="BV408">
            <v>-170596200</v>
          </cell>
          <cell r="BW408">
            <v>-170868800</v>
          </cell>
          <cell r="BX408">
            <v>-171478600</v>
          </cell>
          <cell r="BY408">
            <v>-172104000</v>
          </cell>
          <cell r="BZ408">
            <v>-172248200</v>
          </cell>
          <cell r="CA408">
            <v>-172710200</v>
          </cell>
          <cell r="CB408">
            <v>-170759700</v>
          </cell>
          <cell r="CC408">
            <v>-171341700</v>
          </cell>
          <cell r="CD408">
            <v>-172016100</v>
          </cell>
          <cell r="CE408">
            <v>-172605800</v>
          </cell>
          <cell r="CF408">
            <v>-173139400</v>
          </cell>
          <cell r="CG408">
            <v>-173093800</v>
          </cell>
          <cell r="CH408">
            <v>-172147300</v>
          </cell>
          <cell r="CI408">
            <v>-172715600</v>
          </cell>
          <cell r="CJ408">
            <v>-173471500</v>
          </cell>
          <cell r="CK408">
            <v>-173584900</v>
          </cell>
          <cell r="CL408">
            <v>-174226700</v>
          </cell>
          <cell r="CM408">
            <v>-174998100</v>
          </cell>
          <cell r="CN408">
            <v>-177447800</v>
          </cell>
          <cell r="CO408">
            <v>-173599200</v>
          </cell>
          <cell r="CP408">
            <v>-174466900</v>
          </cell>
          <cell r="CQ408">
            <v>-175537300</v>
          </cell>
          <cell r="CR408">
            <v>-176183900</v>
          </cell>
          <cell r="CS408">
            <v>-177286400</v>
          </cell>
          <cell r="CT408">
            <v>-177629200</v>
          </cell>
          <cell r="CU408">
            <v>-178582400</v>
          </cell>
          <cell r="CV408">
            <v>-179704900</v>
          </cell>
          <cell r="CW408">
            <v>-179344900</v>
          </cell>
          <cell r="CX408">
            <v>-178999200</v>
          </cell>
          <cell r="CY408">
            <v>-179725500</v>
          </cell>
          <cell r="CZ408">
            <v>-177547200</v>
          </cell>
          <cell r="DA408">
            <v>-178453900</v>
          </cell>
          <cell r="DB408">
            <v>-178761000</v>
          </cell>
          <cell r="DC408">
            <v>-179649900</v>
          </cell>
          <cell r="DD408">
            <v>-180356700</v>
          </cell>
          <cell r="DE408">
            <v>-181260300</v>
          </cell>
          <cell r="DF408">
            <v>-181585300</v>
          </cell>
          <cell r="DG408">
            <v>-182229300</v>
          </cell>
          <cell r="DH408">
            <v>-183796800</v>
          </cell>
          <cell r="DI408">
            <v>-184332700</v>
          </cell>
          <cell r="DJ408">
            <v>-185479800</v>
          </cell>
          <cell r="DK408">
            <v>-186617600</v>
          </cell>
          <cell r="DL408">
            <v>-186677500</v>
          </cell>
          <cell r="DM408">
            <v>-186702500</v>
          </cell>
          <cell r="DN408">
            <v>-186727500</v>
          </cell>
          <cell r="DO408">
            <v>-186752500</v>
          </cell>
          <cell r="DP408">
            <v>-186777500</v>
          </cell>
          <cell r="DQ408">
            <v>-186802500</v>
          </cell>
          <cell r="DR408">
            <v>-186827500</v>
          </cell>
          <cell r="DS408">
            <v>-186852500</v>
          </cell>
          <cell r="DT408">
            <v>-186877500</v>
          </cell>
          <cell r="DU408">
            <v>-186902500</v>
          </cell>
          <cell r="DV408">
            <v>-186927500</v>
          </cell>
          <cell r="DW408">
            <v>-186952500</v>
          </cell>
        </row>
        <row r="409">
          <cell r="E409" t="str">
            <v>Less I&amp;D Gen Liab Expected Recoveries - Current (2282110)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-965500</v>
          </cell>
          <cell r="N409">
            <v>-965500</v>
          </cell>
          <cell r="O409">
            <v>-965500</v>
          </cell>
          <cell r="P409">
            <v>-884100</v>
          </cell>
          <cell r="Q409">
            <v>-884100</v>
          </cell>
          <cell r="R409">
            <v>-884100</v>
          </cell>
          <cell r="S409">
            <v>-1561300</v>
          </cell>
          <cell r="T409">
            <v>-1561300</v>
          </cell>
          <cell r="U409">
            <v>-1561300</v>
          </cell>
          <cell r="V409">
            <v>-1505500</v>
          </cell>
          <cell r="W409">
            <v>-1505500</v>
          </cell>
          <cell r="X409">
            <v>-1505500</v>
          </cell>
          <cell r="Y409">
            <v>-1400600</v>
          </cell>
          <cell r="Z409">
            <v>-1400600</v>
          </cell>
          <cell r="AA409">
            <v>-1400600</v>
          </cell>
          <cell r="AB409">
            <v>-1146600</v>
          </cell>
          <cell r="AC409">
            <v>-1146600</v>
          </cell>
          <cell r="AD409">
            <v>-1146600</v>
          </cell>
          <cell r="AE409">
            <v>-1139300</v>
          </cell>
          <cell r="AF409">
            <v>-1139300</v>
          </cell>
          <cell r="AG409">
            <v>-1139300</v>
          </cell>
          <cell r="AH409">
            <v>-965800</v>
          </cell>
          <cell r="AI409">
            <v>-965800</v>
          </cell>
          <cell r="AJ409">
            <v>-965800</v>
          </cell>
          <cell r="AK409">
            <v>-817000</v>
          </cell>
          <cell r="AL409">
            <v>-817000</v>
          </cell>
          <cell r="AM409">
            <v>-817000</v>
          </cell>
          <cell r="AN409">
            <v>-619000</v>
          </cell>
          <cell r="AO409">
            <v>-619000</v>
          </cell>
          <cell r="AP409">
            <v>-619000</v>
          </cell>
          <cell r="AQ409">
            <v>-395500</v>
          </cell>
          <cell r="AR409">
            <v>-395500</v>
          </cell>
          <cell r="AS409">
            <v>-395500</v>
          </cell>
          <cell r="AT409">
            <v>-170300</v>
          </cell>
          <cell r="AU409">
            <v>-170300</v>
          </cell>
          <cell r="AV409">
            <v>-170300</v>
          </cell>
          <cell r="AW409">
            <v>-3635700</v>
          </cell>
          <cell r="AX409">
            <v>-3635700</v>
          </cell>
          <cell r="AY409">
            <v>-3635700</v>
          </cell>
          <cell r="AZ409">
            <v>0</v>
          </cell>
          <cell r="BA409">
            <v>0</v>
          </cell>
          <cell r="BB409">
            <v>0</v>
          </cell>
          <cell r="BC409">
            <v>-621900</v>
          </cell>
          <cell r="BD409">
            <v>-621900</v>
          </cell>
          <cell r="BE409">
            <v>-621900</v>
          </cell>
          <cell r="BF409">
            <v>-608700</v>
          </cell>
          <cell r="BG409">
            <v>-608700</v>
          </cell>
          <cell r="BH409">
            <v>-608700</v>
          </cell>
          <cell r="BI409">
            <v>-562100</v>
          </cell>
          <cell r="BJ409">
            <v>-562100</v>
          </cell>
          <cell r="BK409">
            <v>-562100</v>
          </cell>
          <cell r="BL409">
            <v>-547800</v>
          </cell>
          <cell r="BM409">
            <v>-547800</v>
          </cell>
          <cell r="BN409">
            <v>-547800</v>
          </cell>
          <cell r="BO409">
            <v>-498900</v>
          </cell>
          <cell r="BP409">
            <v>-498900</v>
          </cell>
          <cell r="BQ409">
            <v>-498900</v>
          </cell>
          <cell r="BR409">
            <v>295300</v>
          </cell>
          <cell r="BS409">
            <v>-498900</v>
          </cell>
          <cell r="BT409">
            <v>-498900</v>
          </cell>
          <cell r="BU409">
            <v>-498900</v>
          </cell>
          <cell r="BV409">
            <v>-498900</v>
          </cell>
          <cell r="BW409">
            <v>-498900</v>
          </cell>
          <cell r="BX409">
            <v>-160000</v>
          </cell>
          <cell r="BY409">
            <v>-160000</v>
          </cell>
          <cell r="BZ409">
            <v>-160000</v>
          </cell>
          <cell r="CA409">
            <v>-160000</v>
          </cell>
          <cell r="CB409">
            <v>-160000</v>
          </cell>
          <cell r="CC409">
            <v>-160000</v>
          </cell>
          <cell r="CD409">
            <v>-160000</v>
          </cell>
          <cell r="CE409">
            <v>-160000</v>
          </cell>
          <cell r="CF409">
            <v>-160000</v>
          </cell>
          <cell r="CG409">
            <v>-160000</v>
          </cell>
          <cell r="CH409">
            <v>-160000</v>
          </cell>
          <cell r="CI409">
            <v>-160000</v>
          </cell>
          <cell r="CJ409">
            <v>-3862000</v>
          </cell>
          <cell r="CK409">
            <v>-3862000</v>
          </cell>
          <cell r="CL409">
            <v>-3862000</v>
          </cell>
          <cell r="CM409">
            <v>-3904600</v>
          </cell>
          <cell r="CN409">
            <v>-3904600</v>
          </cell>
          <cell r="CO409">
            <v>-3904600</v>
          </cell>
          <cell r="CP409">
            <v>-3703200</v>
          </cell>
          <cell r="CQ409">
            <v>-3703200</v>
          </cell>
          <cell r="CR409">
            <v>-3703200</v>
          </cell>
          <cell r="CS409">
            <v>-5917100</v>
          </cell>
          <cell r="CT409">
            <v>-5917100</v>
          </cell>
          <cell r="CU409">
            <v>-5917100</v>
          </cell>
          <cell r="CV409">
            <v>-12542000</v>
          </cell>
          <cell r="CW409">
            <v>-12542000</v>
          </cell>
          <cell r="CX409">
            <v>-12542000</v>
          </cell>
          <cell r="CY409">
            <v>-1000000</v>
          </cell>
          <cell r="CZ409">
            <v>-1000000</v>
          </cell>
          <cell r="DA409">
            <v>-1000000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</row>
        <row r="410">
          <cell r="E410" t="str">
            <v>Less I&amp;D Gen Liab Expected Recoveries - Non-Current (2282210)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-20670500</v>
          </cell>
          <cell r="CZ410">
            <v>-20670500</v>
          </cell>
          <cell r="DA410">
            <v>-20670500</v>
          </cell>
          <cell r="DB410">
            <v>-17520000</v>
          </cell>
          <cell r="DC410">
            <v>-17520000</v>
          </cell>
          <cell r="DD410">
            <v>-17520000</v>
          </cell>
          <cell r="DE410">
            <v>-17459000</v>
          </cell>
          <cell r="DF410">
            <v>-17459000</v>
          </cell>
          <cell r="DG410">
            <v>-17459000</v>
          </cell>
          <cell r="DH410">
            <v>-13448800</v>
          </cell>
          <cell r="DI410">
            <v>-13448800</v>
          </cell>
          <cell r="DJ410">
            <v>-13448800</v>
          </cell>
          <cell r="DK410">
            <v>-11720200</v>
          </cell>
          <cell r="DL410">
            <v>-11720200</v>
          </cell>
          <cell r="DM410">
            <v>-11720200</v>
          </cell>
          <cell r="DN410">
            <v>-11720200</v>
          </cell>
          <cell r="DO410">
            <v>-11720200</v>
          </cell>
          <cell r="DP410">
            <v>-11720200</v>
          </cell>
          <cell r="DQ410">
            <v>-11720200</v>
          </cell>
          <cell r="DR410">
            <v>-11720200</v>
          </cell>
          <cell r="DS410">
            <v>-11720200</v>
          </cell>
          <cell r="DT410">
            <v>-11720200</v>
          </cell>
          <cell r="DU410">
            <v>-11720200</v>
          </cell>
          <cell r="DV410">
            <v>-11720200</v>
          </cell>
          <cell r="DW410">
            <v>-11720200</v>
          </cell>
        </row>
        <row r="411">
          <cell r="E411" t="str">
            <v>Accum Provision for Property Insurance-Debit-Curr (2281100)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-3038500</v>
          </cell>
          <cell r="BP411">
            <v>-3059400</v>
          </cell>
          <cell r="BQ411">
            <v>-3181700</v>
          </cell>
          <cell r="BR411">
            <v>-3181700</v>
          </cell>
          <cell r="BS411">
            <v>-3181700</v>
          </cell>
          <cell r="BT411">
            <v>-3181700</v>
          </cell>
          <cell r="BU411">
            <v>-3181700</v>
          </cell>
          <cell r="BV411">
            <v>-3181700</v>
          </cell>
          <cell r="BW411">
            <v>-2606800</v>
          </cell>
          <cell r="BX411">
            <v>-2000800</v>
          </cell>
          <cell r="BY411">
            <v>-1396800</v>
          </cell>
          <cell r="BZ411">
            <v>-712800</v>
          </cell>
          <cell r="CA411">
            <v>0</v>
          </cell>
          <cell r="CB411">
            <v>0</v>
          </cell>
          <cell r="CC411">
            <v>0</v>
          </cell>
          <cell r="CD411">
            <v>-53700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-688600</v>
          </cell>
          <cell r="DJ411">
            <v>-837400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</row>
        <row r="412">
          <cell r="E412" t="str">
            <v>Pension Asset - Non-Current (2283202)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-25566800</v>
          </cell>
          <cell r="DA412">
            <v>-23248200</v>
          </cell>
          <cell r="DB412">
            <v>-23137900</v>
          </cell>
          <cell r="DC412">
            <v>-23791500</v>
          </cell>
          <cell r="DD412">
            <v>-23681200</v>
          </cell>
          <cell r="DE412">
            <v>-23504500</v>
          </cell>
          <cell r="DF412">
            <v>-24146600</v>
          </cell>
          <cell r="DG412">
            <v>-24024700</v>
          </cell>
          <cell r="DH412">
            <v>-24666700</v>
          </cell>
          <cell r="DI412">
            <v>-24547000</v>
          </cell>
          <cell r="DJ412">
            <v>-24425600</v>
          </cell>
          <cell r="DK412">
            <v>3027900</v>
          </cell>
          <cell r="DL412">
            <v>-24893600</v>
          </cell>
          <cell r="DM412">
            <v>-24826200</v>
          </cell>
          <cell r="DN412">
            <v>-24758900</v>
          </cell>
          <cell r="DO412">
            <v>-25351500</v>
          </cell>
          <cell r="DP412">
            <v>-25284200</v>
          </cell>
          <cell r="DQ412">
            <v>-25216800</v>
          </cell>
          <cell r="DR412">
            <v>-25809500</v>
          </cell>
          <cell r="DS412">
            <v>-25742100</v>
          </cell>
          <cell r="DT412">
            <v>-26334700</v>
          </cell>
          <cell r="DU412">
            <v>-26267400</v>
          </cell>
          <cell r="DV412">
            <v>-26200000</v>
          </cell>
          <cell r="DW412">
            <v>-26132700</v>
          </cell>
        </row>
        <row r="413">
          <cell r="E413" t="str">
            <v>Pension Asset FAS158 - Non-Current (2283203)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16179000</v>
          </cell>
          <cell r="DA413">
            <v>16179000</v>
          </cell>
          <cell r="DB413">
            <v>15755400</v>
          </cell>
          <cell r="DC413">
            <v>15755400</v>
          </cell>
          <cell r="DD413">
            <v>15755400</v>
          </cell>
          <cell r="DE413">
            <v>15299000</v>
          </cell>
          <cell r="DF413">
            <v>15299000</v>
          </cell>
          <cell r="DG413">
            <v>15299000</v>
          </cell>
          <cell r="DH413">
            <v>14858900</v>
          </cell>
          <cell r="DI413">
            <v>14858900</v>
          </cell>
          <cell r="DJ413">
            <v>14858900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</row>
        <row r="414">
          <cell r="E414" t="str">
            <v>Unamortized Debt Expense - Recourse (1810100)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45900</v>
          </cell>
          <cell r="BG414">
            <v>39300</v>
          </cell>
          <cell r="BH414">
            <v>32800</v>
          </cell>
          <cell r="BI414">
            <v>26200</v>
          </cell>
          <cell r="BJ414">
            <v>19700</v>
          </cell>
          <cell r="BK414">
            <v>13100</v>
          </cell>
          <cell r="BL414">
            <v>6600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11300</v>
          </cell>
          <cell r="CD414">
            <v>14700</v>
          </cell>
          <cell r="CE414">
            <v>13200</v>
          </cell>
          <cell r="CF414">
            <v>11700</v>
          </cell>
          <cell r="CG414">
            <v>10300</v>
          </cell>
          <cell r="CH414">
            <v>8800</v>
          </cell>
          <cell r="CI414">
            <v>7300</v>
          </cell>
          <cell r="CJ414">
            <v>5900</v>
          </cell>
          <cell r="CK414">
            <v>4400</v>
          </cell>
          <cell r="CL414">
            <v>2900</v>
          </cell>
          <cell r="CM414">
            <v>1500</v>
          </cell>
          <cell r="CN414">
            <v>6600</v>
          </cell>
          <cell r="CO414">
            <v>4400</v>
          </cell>
          <cell r="CP414">
            <v>2500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14500</v>
          </cell>
          <cell r="CZ414">
            <v>13100</v>
          </cell>
          <cell r="DA414">
            <v>11900</v>
          </cell>
          <cell r="DB414">
            <v>10700</v>
          </cell>
          <cell r="DC414">
            <v>10500</v>
          </cell>
          <cell r="DD414">
            <v>9200</v>
          </cell>
          <cell r="DE414">
            <v>7900</v>
          </cell>
          <cell r="DF414">
            <v>6500</v>
          </cell>
          <cell r="DG414">
            <v>5200</v>
          </cell>
          <cell r="DH414">
            <v>3900</v>
          </cell>
          <cell r="DI414">
            <v>2600</v>
          </cell>
          <cell r="DJ414">
            <v>1300</v>
          </cell>
          <cell r="DK414">
            <v>38300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</row>
        <row r="415">
          <cell r="E415" t="str">
            <v>Unamortized Debt Expense - Recourse (1810200)</v>
          </cell>
          <cell r="G415">
            <v>1094576.58</v>
          </cell>
          <cell r="H415">
            <v>1087400</v>
          </cell>
          <cell r="I415">
            <v>1080200</v>
          </cell>
          <cell r="J415">
            <v>1073000</v>
          </cell>
          <cell r="K415">
            <v>1065900</v>
          </cell>
          <cell r="L415">
            <v>1151500</v>
          </cell>
          <cell r="M415">
            <v>1146300</v>
          </cell>
          <cell r="N415">
            <v>1141400</v>
          </cell>
          <cell r="O415">
            <v>1134100</v>
          </cell>
          <cell r="P415">
            <v>1136900</v>
          </cell>
          <cell r="Q415">
            <v>1129600</v>
          </cell>
          <cell r="R415">
            <v>1122100</v>
          </cell>
          <cell r="S415">
            <v>1114600</v>
          </cell>
          <cell r="T415">
            <v>1107100</v>
          </cell>
          <cell r="U415">
            <v>1099600</v>
          </cell>
          <cell r="V415">
            <v>1092200</v>
          </cell>
          <cell r="W415">
            <v>1084700</v>
          </cell>
          <cell r="X415">
            <v>1266200</v>
          </cell>
          <cell r="Y415">
            <v>1278000</v>
          </cell>
          <cell r="Z415">
            <v>1271100</v>
          </cell>
          <cell r="AA415">
            <v>1263000</v>
          </cell>
          <cell r="AB415">
            <v>1264800</v>
          </cell>
          <cell r="AC415">
            <v>1256700</v>
          </cell>
          <cell r="AD415">
            <v>1248600</v>
          </cell>
          <cell r="AE415">
            <v>1240600</v>
          </cell>
          <cell r="AF415">
            <v>1232500</v>
          </cell>
          <cell r="AG415">
            <v>1224400</v>
          </cell>
          <cell r="AH415">
            <v>1216300</v>
          </cell>
          <cell r="AI415">
            <v>1208200</v>
          </cell>
          <cell r="AJ415">
            <v>1200100</v>
          </cell>
          <cell r="AK415">
            <v>1192000</v>
          </cell>
          <cell r="AL415">
            <v>1183900</v>
          </cell>
          <cell r="AM415">
            <v>1175800</v>
          </cell>
          <cell r="AN415">
            <v>1167700</v>
          </cell>
          <cell r="AO415">
            <v>1159600</v>
          </cell>
          <cell r="AP415">
            <v>1151500</v>
          </cell>
          <cell r="AQ415">
            <v>1143400</v>
          </cell>
          <cell r="AR415">
            <v>1135300</v>
          </cell>
          <cell r="AS415">
            <v>1127200</v>
          </cell>
          <cell r="AT415">
            <v>1119100</v>
          </cell>
          <cell r="AU415">
            <v>1111100</v>
          </cell>
          <cell r="AV415">
            <v>1103000</v>
          </cell>
          <cell r="AW415">
            <v>1094900</v>
          </cell>
          <cell r="AX415">
            <v>1086800</v>
          </cell>
          <cell r="AY415">
            <v>1078700</v>
          </cell>
          <cell r="AZ415">
            <v>1070600</v>
          </cell>
          <cell r="BA415">
            <v>1062500</v>
          </cell>
          <cell r="BB415">
            <v>1054400</v>
          </cell>
          <cell r="BC415">
            <v>1046300</v>
          </cell>
          <cell r="BD415">
            <v>1038200</v>
          </cell>
          <cell r="BE415">
            <v>1030099.9999999999</v>
          </cell>
          <cell r="BF415">
            <v>1022000</v>
          </cell>
          <cell r="BG415">
            <v>1013900</v>
          </cell>
          <cell r="BH415">
            <v>1007400</v>
          </cell>
          <cell r="BI415">
            <v>1758900</v>
          </cell>
          <cell r="BJ415">
            <v>1768000</v>
          </cell>
          <cell r="BK415">
            <v>1766000</v>
          </cell>
          <cell r="BL415">
            <v>1800500</v>
          </cell>
          <cell r="BM415">
            <v>2037100</v>
          </cell>
          <cell r="BN415">
            <v>2030600</v>
          </cell>
          <cell r="BO415">
            <v>2028000</v>
          </cell>
          <cell r="BP415">
            <v>2020100</v>
          </cell>
          <cell r="BQ415">
            <v>2012200</v>
          </cell>
          <cell r="BR415">
            <v>2018000</v>
          </cell>
          <cell r="BS415">
            <v>2010100</v>
          </cell>
          <cell r="BT415">
            <v>2002200</v>
          </cell>
          <cell r="BU415">
            <v>1994200</v>
          </cell>
          <cell r="BV415">
            <v>2205600</v>
          </cell>
          <cell r="BW415">
            <v>2242200</v>
          </cell>
          <cell r="BX415">
            <v>2244400</v>
          </cell>
          <cell r="BY415">
            <v>2235800</v>
          </cell>
          <cell r="BZ415">
            <v>2227100</v>
          </cell>
          <cell r="CA415">
            <v>2233100</v>
          </cell>
          <cell r="CB415">
            <v>2224300</v>
          </cell>
          <cell r="CC415">
            <v>2215600</v>
          </cell>
          <cell r="CD415">
            <v>2207300</v>
          </cell>
          <cell r="CE415">
            <v>2198600</v>
          </cell>
          <cell r="CF415">
            <v>2189900</v>
          </cell>
          <cell r="CG415">
            <v>2181200</v>
          </cell>
          <cell r="CH415">
            <v>2172400</v>
          </cell>
          <cell r="CI415">
            <v>2163700</v>
          </cell>
          <cell r="CJ415">
            <v>2155000</v>
          </cell>
          <cell r="CK415">
            <v>2146300</v>
          </cell>
          <cell r="CL415">
            <v>2137500</v>
          </cell>
          <cell r="CM415">
            <v>2128800</v>
          </cell>
          <cell r="CN415">
            <v>2120100</v>
          </cell>
          <cell r="CO415">
            <v>2111300</v>
          </cell>
          <cell r="CP415">
            <v>3960400</v>
          </cell>
          <cell r="CQ415">
            <v>4083400</v>
          </cell>
          <cell r="CR415">
            <v>4215000</v>
          </cell>
          <cell r="CS415">
            <v>4360200</v>
          </cell>
          <cell r="CT415">
            <v>4339300</v>
          </cell>
          <cell r="CU415">
            <v>4318300</v>
          </cell>
          <cell r="CV415">
            <v>4297300</v>
          </cell>
          <cell r="CW415">
            <v>4276400</v>
          </cell>
          <cell r="CX415">
            <v>4255400</v>
          </cell>
          <cell r="CY415">
            <v>4234400</v>
          </cell>
          <cell r="CZ415">
            <v>4213500</v>
          </cell>
          <cell r="DA415">
            <v>4192500</v>
          </cell>
          <cell r="DB415">
            <v>4171500</v>
          </cell>
          <cell r="DC415">
            <v>4150600.0000000005</v>
          </cell>
          <cell r="DD415">
            <v>4129600.0000000005</v>
          </cell>
          <cell r="DE415">
            <v>4108600.0000000005</v>
          </cell>
          <cell r="DF415">
            <v>4561700</v>
          </cell>
          <cell r="DG415">
            <v>4601800</v>
          </cell>
          <cell r="DH415">
            <v>4573900</v>
          </cell>
          <cell r="DI415">
            <v>4559600</v>
          </cell>
          <cell r="DJ415">
            <v>4532300</v>
          </cell>
          <cell r="DK415">
            <v>4505000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</row>
        <row r="416">
          <cell r="E416" t="str">
            <v>Other Reg Liab Pur Gas Adj Reclass - Curr (1910165)</v>
          </cell>
          <cell r="G416">
            <v>0</v>
          </cell>
          <cell r="H416">
            <v>0</v>
          </cell>
          <cell r="I416">
            <v>-2690400</v>
          </cell>
          <cell r="J416">
            <v>-1871200</v>
          </cell>
          <cell r="K416">
            <v>-3825500</v>
          </cell>
          <cell r="L416">
            <v>-1871400</v>
          </cell>
          <cell r="M416">
            <v>-3731600</v>
          </cell>
          <cell r="N416">
            <v>-4495700</v>
          </cell>
          <cell r="O416">
            <v>-4685300</v>
          </cell>
          <cell r="P416">
            <v>-4415600</v>
          </cell>
          <cell r="Q416">
            <v>-2426500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-1116100</v>
          </cell>
          <cell r="W416">
            <v>0</v>
          </cell>
          <cell r="X416">
            <v>0</v>
          </cell>
          <cell r="Y416">
            <v>-1241500</v>
          </cell>
          <cell r="Z416">
            <v>-106100</v>
          </cell>
          <cell r="AA416">
            <v>-587000</v>
          </cell>
          <cell r="AB416">
            <v>-165100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-1124500</v>
          </cell>
          <cell r="AH416">
            <v>-2680700</v>
          </cell>
          <cell r="AI416">
            <v>-3391800</v>
          </cell>
          <cell r="AJ416">
            <v>-4918200</v>
          </cell>
          <cell r="AK416">
            <v>-6825000</v>
          </cell>
          <cell r="AL416">
            <v>-8051700</v>
          </cell>
          <cell r="AM416">
            <v>-8822000</v>
          </cell>
          <cell r="AN416">
            <v>-8283900</v>
          </cell>
          <cell r="AO416">
            <v>-5545700</v>
          </cell>
          <cell r="AP416">
            <v>-2658000</v>
          </cell>
          <cell r="AQ416">
            <v>-2176700</v>
          </cell>
          <cell r="AR416">
            <v>-2642300</v>
          </cell>
          <cell r="AS416">
            <v>-5805000</v>
          </cell>
          <cell r="AT416">
            <v>-2294900</v>
          </cell>
          <cell r="AU416">
            <v>-3251300</v>
          </cell>
          <cell r="AV416">
            <v>-3259400</v>
          </cell>
          <cell r="AW416">
            <v>-2333800</v>
          </cell>
          <cell r="AX416">
            <v>-1140400</v>
          </cell>
          <cell r="AY416">
            <v>0</v>
          </cell>
          <cell r="AZ416">
            <v>-1125300</v>
          </cell>
          <cell r="BA416">
            <v>0</v>
          </cell>
          <cell r="BB416">
            <v>0</v>
          </cell>
          <cell r="BC416">
            <v>0</v>
          </cell>
          <cell r="BD416">
            <v>-2384100</v>
          </cell>
          <cell r="BE416">
            <v>-8545600</v>
          </cell>
          <cell r="BF416">
            <v>-5868100</v>
          </cell>
          <cell r="BG416">
            <v>-9523000</v>
          </cell>
          <cell r="BH416">
            <v>-9400200</v>
          </cell>
          <cell r="BI416">
            <v>-9953200</v>
          </cell>
          <cell r="BJ416">
            <v>-10094400</v>
          </cell>
          <cell r="BK416">
            <v>-9688300</v>
          </cell>
          <cell r="BL416">
            <v>-10202200</v>
          </cell>
          <cell r="BM416">
            <v>-7149400</v>
          </cell>
          <cell r="BN416">
            <v>-835000</v>
          </cell>
          <cell r="BO416">
            <v>0</v>
          </cell>
          <cell r="BP416">
            <v>0</v>
          </cell>
          <cell r="BQ416">
            <v>-2764300</v>
          </cell>
          <cell r="BR416">
            <v>-3806500</v>
          </cell>
          <cell r="BS416">
            <v>-6734300</v>
          </cell>
          <cell r="BT416">
            <v>-9153100</v>
          </cell>
          <cell r="BU416">
            <v>-10301400</v>
          </cell>
          <cell r="BV416">
            <v>-10461700</v>
          </cell>
          <cell r="BW416">
            <v>-8902100</v>
          </cell>
          <cell r="BX416">
            <v>-9455800</v>
          </cell>
          <cell r="BY416">
            <v>-6835500</v>
          </cell>
          <cell r="BZ416">
            <v>-4507600</v>
          </cell>
          <cell r="CA416">
            <v>-5610500</v>
          </cell>
          <cell r="CB416">
            <v>-9000600</v>
          </cell>
          <cell r="CC416">
            <v>-12085300</v>
          </cell>
          <cell r="CD416">
            <v>-13315300</v>
          </cell>
          <cell r="CE416">
            <v>-13955900</v>
          </cell>
          <cell r="CF416">
            <v>-13419800</v>
          </cell>
          <cell r="CG416">
            <v>-14069900</v>
          </cell>
          <cell r="CH416">
            <v>-13486400</v>
          </cell>
          <cell r="CI416">
            <v>-10977900</v>
          </cell>
          <cell r="CJ416">
            <v>-10183900</v>
          </cell>
          <cell r="CK416">
            <v>-6168100</v>
          </cell>
          <cell r="CL416">
            <v>-2672300</v>
          </cell>
          <cell r="CM416">
            <v>-1887400</v>
          </cell>
          <cell r="CN416">
            <v>-5514400</v>
          </cell>
          <cell r="CO416">
            <v>-2984200</v>
          </cell>
          <cell r="CP416">
            <v>-1677600</v>
          </cell>
          <cell r="CQ416">
            <v>-5499500</v>
          </cell>
          <cell r="CR416">
            <v>-5895500</v>
          </cell>
          <cell r="CS416">
            <v>-5155000</v>
          </cell>
          <cell r="CT416">
            <v>-5465900</v>
          </cell>
          <cell r="CU416">
            <v>-4455300</v>
          </cell>
          <cell r="CV416">
            <v>-2979200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-1958600</v>
          </cell>
          <cell r="DD416">
            <v>-376200</v>
          </cell>
          <cell r="DE416">
            <v>-676000</v>
          </cell>
          <cell r="DF416">
            <v>-1437700</v>
          </cell>
          <cell r="DG416">
            <v>-5007900</v>
          </cell>
          <cell r="DH416">
            <v>-10208100</v>
          </cell>
          <cell r="DI416">
            <v>-13346900</v>
          </cell>
          <cell r="DJ416">
            <v>-3400000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</row>
        <row r="417">
          <cell r="E417" t="str">
            <v>Total Assets/Liabilities per BPC/ECC Less Adjustments</v>
          </cell>
          <cell r="G417">
            <v>856468892.59000003</v>
          </cell>
          <cell r="H417">
            <v>870114344.96000004</v>
          </cell>
          <cell r="I417">
            <v>867599215.05999994</v>
          </cell>
          <cell r="J417">
            <v>863255568.48000002</v>
          </cell>
          <cell r="K417">
            <v>862453539.40999997</v>
          </cell>
          <cell r="L417">
            <v>878003349.73000002</v>
          </cell>
          <cell r="M417">
            <v>863923011.82000005</v>
          </cell>
          <cell r="N417">
            <v>864346156.13</v>
          </cell>
          <cell r="O417">
            <v>863074331.44000006</v>
          </cell>
          <cell r="P417">
            <v>862527233.84000003</v>
          </cell>
          <cell r="Q417">
            <v>870317053.58000004</v>
          </cell>
          <cell r="R417">
            <v>876086286.97000003</v>
          </cell>
          <cell r="S417">
            <v>914627823.06999993</v>
          </cell>
          <cell r="T417">
            <v>909311158.43000007</v>
          </cell>
          <cell r="U417">
            <v>909859005.44000006</v>
          </cell>
          <cell r="V417">
            <v>915951702.61999989</v>
          </cell>
          <cell r="W417">
            <v>913073633.76999998</v>
          </cell>
          <cell r="X417">
            <v>927907370.94000006</v>
          </cell>
          <cell r="Y417">
            <v>919594876.02999997</v>
          </cell>
          <cell r="Z417">
            <v>924202786.70000005</v>
          </cell>
          <cell r="AA417">
            <v>930172762.8499999</v>
          </cell>
          <cell r="AB417">
            <v>929778367.98000002</v>
          </cell>
          <cell r="AC417">
            <v>940120134.6400001</v>
          </cell>
          <cell r="AD417">
            <v>944592050.73000002</v>
          </cell>
          <cell r="AE417">
            <v>967348637.6099999</v>
          </cell>
          <cell r="AF417">
            <v>961821834.70000005</v>
          </cell>
          <cell r="AG417">
            <v>966484892.1500001</v>
          </cell>
          <cell r="AH417">
            <v>977169961.77999997</v>
          </cell>
          <cell r="AI417">
            <v>978701238.4000001</v>
          </cell>
          <cell r="AJ417">
            <v>962582276.5999999</v>
          </cell>
          <cell r="AK417">
            <v>960112833.45000005</v>
          </cell>
          <cell r="AL417">
            <v>966844661.78999996</v>
          </cell>
          <cell r="AM417">
            <v>967683369.30999994</v>
          </cell>
          <cell r="AN417">
            <v>983993002.08999991</v>
          </cell>
          <cell r="AO417">
            <v>993654547.66000009</v>
          </cell>
          <cell r="AP417">
            <v>996694430.31999993</v>
          </cell>
          <cell r="AQ417">
            <v>1019762473.0699999</v>
          </cell>
          <cell r="AR417">
            <v>1028205810.28</v>
          </cell>
          <cell r="AS417">
            <v>1036605749.3299999</v>
          </cell>
          <cell r="AT417">
            <v>1037285897.9100001</v>
          </cell>
          <cell r="AU417">
            <v>1047973197.4200001</v>
          </cell>
          <cell r="AV417">
            <v>1053161088.97</v>
          </cell>
          <cell r="AW417">
            <v>1048613879.3499999</v>
          </cell>
          <cell r="AX417">
            <v>1057460468.5599999</v>
          </cell>
          <cell r="AY417">
            <v>1076761578.7</v>
          </cell>
          <cell r="AZ417">
            <v>1078630833.71</v>
          </cell>
          <cell r="BA417">
            <v>1082847695.23</v>
          </cell>
          <cell r="BB417">
            <v>1093441072.98</v>
          </cell>
          <cell r="BC417">
            <v>1110304144.24</v>
          </cell>
          <cell r="BD417">
            <v>1125453018.6099999</v>
          </cell>
          <cell r="BE417">
            <v>1118450730.73</v>
          </cell>
          <cell r="BF417">
            <v>1116155111.3199999</v>
          </cell>
          <cell r="BG417">
            <v>1119947560.51</v>
          </cell>
          <cell r="BH417">
            <v>1127682251.1300001</v>
          </cell>
          <cell r="BI417">
            <v>1134835699.21</v>
          </cell>
          <cell r="BJ417">
            <v>1142151923.95</v>
          </cell>
          <cell r="BK417">
            <v>1149094336.3199999</v>
          </cell>
          <cell r="BL417">
            <v>1162175216.1300001</v>
          </cell>
          <cell r="BM417">
            <v>1182288786.02</v>
          </cell>
          <cell r="BN417">
            <v>1202725251.4300001</v>
          </cell>
          <cell r="BO417">
            <v>1226063563.01</v>
          </cell>
          <cell r="BP417">
            <v>1247240561.21</v>
          </cell>
          <cell r="BQ417">
            <v>1247808195.3599999</v>
          </cell>
          <cell r="BR417">
            <v>1259003176.8</v>
          </cell>
          <cell r="BS417">
            <v>1262871819.48</v>
          </cell>
          <cell r="BT417">
            <v>1275354406.48</v>
          </cell>
          <cell r="BU417">
            <v>1286690586.6900001</v>
          </cell>
          <cell r="BV417">
            <v>1300347392.54</v>
          </cell>
          <cell r="BW417">
            <v>1319239840.04</v>
          </cell>
          <cell r="BX417">
            <v>1342230428.8800001</v>
          </cell>
          <cell r="BY417">
            <v>1358664965.48</v>
          </cell>
          <cell r="BZ417">
            <v>1383623123.78</v>
          </cell>
          <cell r="CA417">
            <v>1408247700.0599999</v>
          </cell>
          <cell r="CB417">
            <v>1430100849.8800001</v>
          </cell>
          <cell r="CC417">
            <v>1442160792.1900001</v>
          </cell>
          <cell r="CD417">
            <v>1453225184.8499999</v>
          </cell>
          <cell r="CE417">
            <v>1471552442.72</v>
          </cell>
          <cell r="CF417">
            <v>1494766270.95</v>
          </cell>
          <cell r="CG417">
            <v>1516746207.8399999</v>
          </cell>
          <cell r="CH417">
            <v>1537467492.1500001</v>
          </cell>
          <cell r="CI417">
            <v>1574439502.8299999</v>
          </cell>
          <cell r="CJ417">
            <v>1599775428.1800001</v>
          </cell>
          <cell r="CK417">
            <v>1631708017.48</v>
          </cell>
          <cell r="CL417">
            <v>1666187312.9100001</v>
          </cell>
          <cell r="CM417">
            <v>1713802274.3099999</v>
          </cell>
          <cell r="CN417">
            <v>1744349562.9200001</v>
          </cell>
          <cell r="CO417">
            <v>1767183760.4000001</v>
          </cell>
          <cell r="CP417">
            <v>1783156777.8</v>
          </cell>
          <cell r="CQ417">
            <v>1799578272.3399999</v>
          </cell>
          <cell r="CR417">
            <v>1807991068.45</v>
          </cell>
          <cell r="CS417">
            <v>1827442202.6800001</v>
          </cell>
          <cell r="CT417">
            <v>1853524149.6199999</v>
          </cell>
          <cell r="CU417">
            <v>1871610117.5699999</v>
          </cell>
          <cell r="CV417">
            <v>1894780523.45</v>
          </cell>
          <cell r="CW417">
            <v>1929460894.73</v>
          </cell>
          <cell r="CX417">
            <v>1960889797.0100002</v>
          </cell>
          <cell r="CY417">
            <v>1992226644</v>
          </cell>
          <cell r="CZ417">
            <v>2023947176.1900001</v>
          </cell>
          <cell r="DA417">
            <v>2043153648.1100001</v>
          </cell>
          <cell r="DB417">
            <v>2052420796.6799998</v>
          </cell>
          <cell r="DC417">
            <v>2067951993.6599998</v>
          </cell>
          <cell r="DD417">
            <v>2094493122.8099999</v>
          </cell>
          <cell r="DE417">
            <v>2120545310.6100001</v>
          </cell>
          <cell r="DF417">
            <v>2136862754.9699998</v>
          </cell>
          <cell r="DG417">
            <v>2152934860.7600002</v>
          </cell>
          <cell r="DH417">
            <v>2168239093.54</v>
          </cell>
          <cell r="DI417">
            <v>2180322814.5599999</v>
          </cell>
          <cell r="DJ417">
            <v>2206019880.3000002</v>
          </cell>
          <cell r="DK417">
            <v>2267449601.5100002</v>
          </cell>
          <cell r="DL417">
            <v>2301778567.2177935</v>
          </cell>
          <cell r="DM417">
            <v>2363935714.6363935</v>
          </cell>
          <cell r="DN417">
            <v>2383464098.7653441</v>
          </cell>
          <cell r="DO417">
            <v>2421880555.9631796</v>
          </cell>
          <cell r="DP417">
            <v>2441216436.6544232</v>
          </cell>
          <cell r="DQ417">
            <v>2470276204.8977418</v>
          </cell>
          <cell r="DR417">
            <v>2497597737.0699816</v>
          </cell>
          <cell r="DS417">
            <v>2516020928.3027506</v>
          </cell>
          <cell r="DT417">
            <v>2539620650.9193282</v>
          </cell>
          <cell r="DU417">
            <v>2560431766.9350305</v>
          </cell>
          <cell r="DV417">
            <v>2575124205.5319624</v>
          </cell>
          <cell r="DW417">
            <v>2614721548.5909185</v>
          </cell>
        </row>
        <row r="418">
          <cell r="E418" t="str">
            <v>VARIANCE</v>
          </cell>
          <cell r="G418">
            <v>0</v>
          </cell>
          <cell r="H418">
            <v>-4.4960000038146972E-2</v>
          </cell>
          <cell r="I418">
            <v>-1.5059999942779541E-2</v>
          </cell>
          <cell r="J418">
            <v>-0.36848000001907349</v>
          </cell>
          <cell r="K418">
            <v>-0.23941000008583069</v>
          </cell>
          <cell r="L418">
            <v>-4.9730000019073489E-2</v>
          </cell>
          <cell r="M418">
            <v>-0.31182000005245208</v>
          </cell>
          <cell r="N418">
            <v>-0.3561300001144409</v>
          </cell>
          <cell r="O418">
            <v>-0.13143999993801117</v>
          </cell>
          <cell r="P418">
            <v>0.26615999996662137</v>
          </cell>
          <cell r="Q418">
            <v>-5.3579999923706052E-2</v>
          </cell>
          <cell r="R418">
            <v>0.41302999973297116</v>
          </cell>
          <cell r="S418">
            <v>0.37693000030517576</v>
          </cell>
          <cell r="T418">
            <v>-5.84300000667572E-2</v>
          </cell>
          <cell r="U418">
            <v>-5.4399999380111697E-3</v>
          </cell>
          <cell r="V418">
            <v>-0.10261999988555909</v>
          </cell>
          <cell r="W418">
            <v>-0.53376999986171725</v>
          </cell>
          <cell r="X418">
            <v>2.906000006198883E-2</v>
          </cell>
          <cell r="Y418">
            <v>-7.6029999971389775E-2</v>
          </cell>
          <cell r="Z418">
            <v>1.3299999952316285E-2</v>
          </cell>
          <cell r="AA418">
            <v>0.33714999973773957</v>
          </cell>
          <cell r="AB418">
            <v>-0.36798000001907349</v>
          </cell>
          <cell r="AC418">
            <v>6.5360000014305114E-2</v>
          </cell>
          <cell r="AD418">
            <v>4.9269999980926515E-2</v>
          </cell>
          <cell r="AE418">
            <v>0.16239000010490418</v>
          </cell>
          <cell r="AF418">
            <v>-0.13470000016689301</v>
          </cell>
          <cell r="AG418">
            <v>-0.29215000021457671</v>
          </cell>
          <cell r="AH418">
            <v>-0.56177999985218052</v>
          </cell>
          <cell r="AI418">
            <v>-3.8400000095367433E-2</v>
          </cell>
          <cell r="AJ418">
            <v>-7.6599999904632565E-2</v>
          </cell>
          <cell r="AK418">
            <v>0.36654999971389768</v>
          </cell>
          <cell r="AL418">
            <v>-0.26178999996185304</v>
          </cell>
          <cell r="AM418">
            <v>3.0689999938011168E-2</v>
          </cell>
          <cell r="AN418">
            <v>0.3979099998474121</v>
          </cell>
          <cell r="AO418">
            <v>-4.7660000205039979E-2</v>
          </cell>
          <cell r="AP418">
            <v>6.9679999947547908E-2</v>
          </cell>
          <cell r="AQ418">
            <v>2.6930000185966491E-2</v>
          </cell>
          <cell r="AR418">
            <v>-0.11028000009059906</v>
          </cell>
          <cell r="AS418">
            <v>0.25067000031471254</v>
          </cell>
          <cell r="AT418">
            <v>-9.7910000443458559E-2</v>
          </cell>
          <cell r="AU418">
            <v>-0.29742000019550324</v>
          </cell>
          <cell r="AV418">
            <v>1.1030000090599059E-2</v>
          </cell>
          <cell r="AW418">
            <v>-0.2793499997854233</v>
          </cell>
          <cell r="AX418">
            <v>0.53144000005722047</v>
          </cell>
          <cell r="AY418">
            <v>-0.17870000004768372</v>
          </cell>
          <cell r="AZ418">
            <v>-0.43371000003814697</v>
          </cell>
          <cell r="BA418">
            <v>-9.5230000257492065E-2</v>
          </cell>
          <cell r="BB418">
            <v>-0.27298000001907347</v>
          </cell>
          <cell r="BC418">
            <v>-4.4240000009536741E-2</v>
          </cell>
          <cell r="BD418">
            <v>-0.11860999989509582</v>
          </cell>
          <cell r="BE418">
            <v>0.26926999998092649</v>
          </cell>
          <cell r="BF418">
            <v>-0.41131999969482425</v>
          </cell>
          <cell r="BG418">
            <v>-0.16050999999046325</v>
          </cell>
          <cell r="BH418">
            <v>-0.15112999987602233</v>
          </cell>
          <cell r="BI418">
            <v>-9.9210000038146978E-2</v>
          </cell>
          <cell r="BJ418">
            <v>-0.42394999980926512</v>
          </cell>
          <cell r="BK418">
            <v>0.1636800000667572</v>
          </cell>
          <cell r="BL418">
            <v>-0.4161300001144409</v>
          </cell>
          <cell r="BM418">
            <v>0.11398000025749207</v>
          </cell>
          <cell r="BN418">
            <v>0.2485699999332428</v>
          </cell>
          <cell r="BO418">
            <v>0.43699000000953675</v>
          </cell>
          <cell r="BP418">
            <v>0.23878999972343445</v>
          </cell>
          <cell r="BQ418">
            <v>-0.19535999989509584</v>
          </cell>
          <cell r="BR418">
            <v>-0.37679999995231628</v>
          </cell>
          <cell r="BS418">
            <v>-0.31948000001907351</v>
          </cell>
          <cell r="BT418">
            <v>0.1935200002193451</v>
          </cell>
          <cell r="BU418">
            <v>0.11330999994277954</v>
          </cell>
          <cell r="BV418">
            <v>0.40745999979972841</v>
          </cell>
          <cell r="BW418">
            <v>0.35996000003814699</v>
          </cell>
          <cell r="BX418">
            <v>-0.4288800003528595</v>
          </cell>
          <cell r="BY418">
            <v>-0.66547999978065486</v>
          </cell>
          <cell r="BZ418">
            <v>-0.42377999997138976</v>
          </cell>
          <cell r="CA418">
            <v>-0.20005999970436097</v>
          </cell>
          <cell r="CB418">
            <v>0.55012000036239628</v>
          </cell>
          <cell r="CC418">
            <v>7.8100004196166991E-3</v>
          </cell>
          <cell r="CD418">
            <v>0.21515000033378601</v>
          </cell>
          <cell r="CE418">
            <v>0.25727999997138978</v>
          </cell>
          <cell r="CF418">
            <v>-0.37094999980926513</v>
          </cell>
          <cell r="CG418">
            <v>9.2159999847412105E-2</v>
          </cell>
          <cell r="CH418">
            <v>0.10784999966621399</v>
          </cell>
          <cell r="CI418">
            <v>-0.30282999944686889</v>
          </cell>
          <cell r="CJ418">
            <v>-2.8179999828338624E-2</v>
          </cell>
          <cell r="CK418">
            <v>-1.7480000019073485E-2</v>
          </cell>
          <cell r="CL418">
            <v>8.7090000391006464E-2</v>
          </cell>
          <cell r="CM418">
            <v>0.22569000029563904</v>
          </cell>
          <cell r="CN418">
            <v>-0.26292000007629396</v>
          </cell>
          <cell r="CO418">
            <v>-6.0400000572204592E-2</v>
          </cell>
          <cell r="CP418">
            <v>2.2200000047683716E-2</v>
          </cell>
          <cell r="CQ418">
            <v>0.32765999984741212</v>
          </cell>
          <cell r="CR418">
            <v>-0.46845000004768372</v>
          </cell>
          <cell r="CS418">
            <v>0.19732000017166137</v>
          </cell>
          <cell r="CT418">
            <v>-0.24961999988555908</v>
          </cell>
          <cell r="CU418">
            <v>-0.21756999969482421</v>
          </cell>
          <cell r="CV418">
            <v>-0.12345000004768372</v>
          </cell>
          <cell r="CW418">
            <v>0.20526999950408936</v>
          </cell>
          <cell r="CX418">
            <v>-0.39701000022888183</v>
          </cell>
          <cell r="CY418">
            <v>0.15599999976158141</v>
          </cell>
          <cell r="CZ418">
            <v>2.38100004196167E-2</v>
          </cell>
          <cell r="DA418">
            <v>-0.44811000037193299</v>
          </cell>
          <cell r="DB418">
            <v>-0.1966800003051758</v>
          </cell>
          <cell r="DC418">
            <v>-0.4936599998474121</v>
          </cell>
          <cell r="DD418">
            <v>-0.52281000018119816</v>
          </cell>
          <cell r="DE418">
            <v>-0.4106100001335144</v>
          </cell>
          <cell r="DF418">
            <v>-0.35496999931335449</v>
          </cell>
          <cell r="DG418">
            <v>-0.16076000022888184</v>
          </cell>
          <cell r="DH418">
            <v>-0.39353999948501589</v>
          </cell>
          <cell r="DI418">
            <v>-0.31455999994277956</v>
          </cell>
          <cell r="DJ418">
            <v>0.11969999980926514</v>
          </cell>
          <cell r="DK418">
            <v>-0.90151000070571896</v>
          </cell>
          <cell r="DL418">
            <v>930.8327822070122</v>
          </cell>
          <cell r="DM418">
            <v>930.98536360645289</v>
          </cell>
          <cell r="DN418">
            <v>930.90123465538022</v>
          </cell>
          <cell r="DO418">
            <v>930.94403682041172</v>
          </cell>
          <cell r="DP418">
            <v>931.16334557628636</v>
          </cell>
          <cell r="DQ418">
            <v>930.9951022577286</v>
          </cell>
          <cell r="DR418">
            <v>931.16293001794816</v>
          </cell>
          <cell r="DS418">
            <v>931.07169724893572</v>
          </cell>
          <cell r="DT418">
            <v>930.74908067131048</v>
          </cell>
          <cell r="DU418">
            <v>931.03306496906282</v>
          </cell>
          <cell r="DV418">
            <v>931.59446803760534</v>
          </cell>
          <cell r="DW418">
            <v>931.15140908145906</v>
          </cell>
        </row>
        <row r="421">
          <cell r="E421" t="str">
            <v>BPC ENTRY</v>
          </cell>
        </row>
        <row r="422">
          <cell r="E422" t="str">
            <v>A_1360010</v>
          </cell>
          <cell r="F422" t="str">
            <v>Cash Equivalents - Investments (0 To 90 Days)</v>
          </cell>
          <cell r="BD422">
            <v>7826100</v>
          </cell>
          <cell r="BE422">
            <v>10366400</v>
          </cell>
          <cell r="BF422">
            <v>4144100.0000000005</v>
          </cell>
          <cell r="BG422">
            <v>5989600</v>
          </cell>
          <cell r="BH422">
            <v>5378500</v>
          </cell>
          <cell r="BI422">
            <v>5402800</v>
          </cell>
          <cell r="BJ422">
            <v>6414000</v>
          </cell>
          <cell r="BK422">
            <v>7025100</v>
          </cell>
          <cell r="BL422">
            <v>7039900</v>
          </cell>
          <cell r="BM422">
            <v>6855700</v>
          </cell>
          <cell r="BN422">
            <v>17691200</v>
          </cell>
          <cell r="BO422">
            <v>3759200</v>
          </cell>
          <cell r="BP422">
            <v>6747100</v>
          </cell>
          <cell r="BQ422">
            <v>3644600</v>
          </cell>
          <cell r="BR422">
            <v>7055100</v>
          </cell>
          <cell r="BS422">
            <v>3804100</v>
          </cell>
          <cell r="BT422">
            <v>5420400</v>
          </cell>
          <cell r="BU422">
            <v>4353700</v>
          </cell>
          <cell r="BV422">
            <v>3877100</v>
          </cell>
          <cell r="BW422">
            <v>5982700</v>
          </cell>
          <cell r="BX422">
            <v>2177500</v>
          </cell>
          <cell r="BY422">
            <v>3471300</v>
          </cell>
          <cell r="BZ422">
            <v>6032000</v>
          </cell>
          <cell r="CA422">
            <v>3059900</v>
          </cell>
          <cell r="CB422">
            <v>6220600</v>
          </cell>
          <cell r="CC422">
            <v>8029300</v>
          </cell>
          <cell r="CD422">
            <v>1363900</v>
          </cell>
          <cell r="CE422">
            <v>9038200</v>
          </cell>
          <cell r="CF422">
            <v>8598800</v>
          </cell>
          <cell r="CG422">
            <v>4145600.0000000005</v>
          </cell>
          <cell r="CH422">
            <v>4181500</v>
          </cell>
          <cell r="CI422">
            <v>5288500</v>
          </cell>
          <cell r="CJ422">
            <v>6155600</v>
          </cell>
          <cell r="CK422">
            <v>10279400</v>
          </cell>
          <cell r="CL422">
            <v>12028400</v>
          </cell>
          <cell r="CM422">
            <v>2444300</v>
          </cell>
          <cell r="CN422">
            <v>6381100</v>
          </cell>
          <cell r="CO422">
            <v>4731200</v>
          </cell>
          <cell r="CP422">
            <v>-2240000</v>
          </cell>
          <cell r="CQ422">
            <v>306400</v>
          </cell>
          <cell r="CR422">
            <v>-2555700</v>
          </cell>
          <cell r="CS422">
            <v>-2242900</v>
          </cell>
          <cell r="CT422">
            <v>-2379200</v>
          </cell>
          <cell r="CU422">
            <v>-3300500</v>
          </cell>
          <cell r="CV422">
            <v>-3019200</v>
          </cell>
          <cell r="CW422">
            <v>-3348700</v>
          </cell>
          <cell r="CX422">
            <v>9248700</v>
          </cell>
          <cell r="CY422">
            <v>2519300</v>
          </cell>
          <cell r="CZ422">
            <v>10270300</v>
          </cell>
          <cell r="DA422">
            <v>8351100</v>
          </cell>
          <cell r="DB422">
            <v>7872500</v>
          </cell>
          <cell r="DC422">
            <v>7559300</v>
          </cell>
          <cell r="DD422">
            <v>8606500</v>
          </cell>
          <cell r="DE422">
            <v>8203000</v>
          </cell>
          <cell r="DF422">
            <v>8213299.9999999991</v>
          </cell>
          <cell r="DG422">
            <v>6370700</v>
          </cell>
          <cell r="DH422">
            <v>8307799.9999999991</v>
          </cell>
          <cell r="DI422">
            <v>7121000</v>
          </cell>
          <cell r="DJ422">
            <v>22811600</v>
          </cell>
          <cell r="DK422">
            <v>8060800</v>
          </cell>
          <cell r="DL422">
            <v>1000000</v>
          </cell>
          <cell r="DM422">
            <v>1000000</v>
          </cell>
          <cell r="DN422">
            <v>1000000</v>
          </cell>
          <cell r="DO422">
            <v>1000000</v>
          </cell>
          <cell r="DP422">
            <v>1000000</v>
          </cell>
          <cell r="DQ422">
            <v>1000000</v>
          </cell>
          <cell r="DR422">
            <v>1000000</v>
          </cell>
          <cell r="DS422">
            <v>1000000</v>
          </cell>
          <cell r="DT422">
            <v>1000000</v>
          </cell>
          <cell r="DU422">
            <v>1000000</v>
          </cell>
          <cell r="DV422">
            <v>1000000</v>
          </cell>
          <cell r="DW422">
            <v>1000000</v>
          </cell>
        </row>
        <row r="423">
          <cell r="E423" t="str">
            <v>A_2160000</v>
          </cell>
          <cell r="F423" t="str">
            <v>Retained Earnings CALCULATION/ACTUAL</v>
          </cell>
          <cell r="BD423">
            <v>127882300</v>
          </cell>
          <cell r="BE423">
            <v>118020200.00000001</v>
          </cell>
          <cell r="BF423">
            <v>119670700</v>
          </cell>
          <cell r="BG423">
            <v>124975700</v>
          </cell>
          <cell r="BH423">
            <v>112207600</v>
          </cell>
          <cell r="BI423">
            <v>115304100</v>
          </cell>
          <cell r="BJ423">
            <v>118409300</v>
          </cell>
          <cell r="BK423">
            <v>109851900</v>
          </cell>
          <cell r="BL423">
            <v>113549900</v>
          </cell>
          <cell r="BM423">
            <v>116353200.00000001</v>
          </cell>
          <cell r="BN423">
            <v>110539700</v>
          </cell>
          <cell r="BO423">
            <v>116033100</v>
          </cell>
          <cell r="BP423">
            <v>122651099.99999999</v>
          </cell>
          <cell r="BQ423">
            <v>116699200</v>
          </cell>
          <cell r="BR423">
            <v>122195300</v>
          </cell>
          <cell r="BS423">
            <v>127422200</v>
          </cell>
          <cell r="BT423">
            <v>114024700</v>
          </cell>
          <cell r="BU423">
            <v>117789800</v>
          </cell>
          <cell r="BV423">
            <v>120848700</v>
          </cell>
          <cell r="BW423">
            <v>111115300</v>
          </cell>
          <cell r="BX423">
            <v>114799100</v>
          </cell>
          <cell r="BY423">
            <v>118224700</v>
          </cell>
          <cell r="BZ423">
            <v>112041900.00000001</v>
          </cell>
          <cell r="CA423">
            <v>116103299.99999999</v>
          </cell>
          <cell r="CB423">
            <v>123778800</v>
          </cell>
          <cell r="CC423">
            <v>117830700</v>
          </cell>
          <cell r="CD423">
            <v>122675500</v>
          </cell>
          <cell r="CE423">
            <v>126386200</v>
          </cell>
          <cell r="CF423">
            <v>111533700.00000001</v>
          </cell>
          <cell r="CG423">
            <v>114743500</v>
          </cell>
          <cell r="CH423">
            <v>117839600</v>
          </cell>
          <cell r="CI423">
            <v>111068600</v>
          </cell>
          <cell r="CJ423">
            <v>114483900.00000001</v>
          </cell>
          <cell r="CK423">
            <v>117430800</v>
          </cell>
          <cell r="CL423">
            <v>112251400.00000001</v>
          </cell>
          <cell r="CM423">
            <v>116871000</v>
          </cell>
          <cell r="CN423">
            <v>128266400.00000001</v>
          </cell>
          <cell r="CO423">
            <v>123619700</v>
          </cell>
          <cell r="CP423">
            <v>131310500</v>
          </cell>
          <cell r="CQ423">
            <v>111908400.00000001</v>
          </cell>
          <cell r="CR423">
            <v>117431800</v>
          </cell>
          <cell r="CS423">
            <v>122874400.00000001</v>
          </cell>
          <cell r="CT423">
            <v>127309000</v>
          </cell>
          <cell r="CU423">
            <v>113416800</v>
          </cell>
          <cell r="CV423">
            <v>118972700</v>
          </cell>
          <cell r="CW423">
            <v>124078300</v>
          </cell>
          <cell r="CX423">
            <v>115121100</v>
          </cell>
          <cell r="CY423">
            <v>120983800</v>
          </cell>
          <cell r="CZ423">
            <v>130771700.00000001</v>
          </cell>
          <cell r="DA423">
            <v>122851000</v>
          </cell>
          <cell r="DB423">
            <v>133757600</v>
          </cell>
          <cell r="DC423">
            <v>110923800</v>
          </cell>
          <cell r="DD423">
            <v>117179099.99999999</v>
          </cell>
          <cell r="DE423">
            <v>123837600</v>
          </cell>
          <cell r="DF423">
            <v>128232900.00000001</v>
          </cell>
          <cell r="DG423">
            <v>113172000</v>
          </cell>
          <cell r="DH423">
            <v>120441900</v>
          </cell>
          <cell r="DI423">
            <v>109018700</v>
          </cell>
          <cell r="DJ423">
            <v>114951700</v>
          </cell>
          <cell r="DK423">
            <v>121058800</v>
          </cell>
          <cell r="DL423">
            <v>130628499.99999997</v>
          </cell>
          <cell r="DM423">
            <v>122444699.99999999</v>
          </cell>
          <cell r="DN423">
            <v>133245099.99999997</v>
          </cell>
          <cell r="DO423">
            <v>140249199.99999994</v>
          </cell>
          <cell r="DP423">
            <v>116529299.99999999</v>
          </cell>
          <cell r="DQ423">
            <v>123407199.99999999</v>
          </cell>
          <cell r="DR423">
            <v>127830199.99999997</v>
          </cell>
          <cell r="DS423">
            <v>112854500.00000001</v>
          </cell>
          <cell r="DT423">
            <v>119116799.99999999</v>
          </cell>
          <cell r="DU423">
            <v>122310391.69154298</v>
          </cell>
          <cell r="DV423">
            <v>113209228.13335656</v>
          </cell>
          <cell r="DW423">
            <v>125794150.42864481</v>
          </cell>
        </row>
        <row r="424">
          <cell r="E424" t="str">
            <v>A_2070000</v>
          </cell>
          <cell r="F424" t="str">
            <v>Premium on Capital Stock</v>
          </cell>
          <cell r="BD424">
            <v>5575300</v>
          </cell>
          <cell r="BE424">
            <v>5575300</v>
          </cell>
          <cell r="BF424">
            <v>5575300</v>
          </cell>
          <cell r="BG424">
            <v>5575300</v>
          </cell>
          <cell r="BH424">
            <v>5575300</v>
          </cell>
          <cell r="BI424">
            <v>5575300</v>
          </cell>
          <cell r="BJ424">
            <v>5575300</v>
          </cell>
          <cell r="BK424">
            <v>5575300</v>
          </cell>
          <cell r="BL424">
            <v>5575300</v>
          </cell>
          <cell r="BM424">
            <v>5575300</v>
          </cell>
          <cell r="BN424">
            <v>5575300</v>
          </cell>
          <cell r="BO424">
            <v>5575300</v>
          </cell>
          <cell r="BP424">
            <v>5575300</v>
          </cell>
          <cell r="BQ424">
            <v>5575300</v>
          </cell>
          <cell r="BR424">
            <v>5575300</v>
          </cell>
          <cell r="BS424">
            <v>5575300</v>
          </cell>
          <cell r="BT424">
            <v>5575300</v>
          </cell>
          <cell r="BU424">
            <v>5575300</v>
          </cell>
          <cell r="BV424">
            <v>5575300</v>
          </cell>
          <cell r="BW424">
            <v>5575300</v>
          </cell>
          <cell r="BX424">
            <v>5575300</v>
          </cell>
          <cell r="BY424">
            <v>5575300</v>
          </cell>
          <cell r="BZ424">
            <v>5575300</v>
          </cell>
          <cell r="CA424">
            <v>5575300</v>
          </cell>
          <cell r="CB424">
            <v>5575300</v>
          </cell>
          <cell r="CC424">
            <v>5575300</v>
          </cell>
          <cell r="CD424">
            <v>5575300</v>
          </cell>
          <cell r="CE424">
            <v>5575300</v>
          </cell>
          <cell r="CF424">
            <v>5575300</v>
          </cell>
          <cell r="CG424">
            <v>5575300</v>
          </cell>
          <cell r="CH424">
            <v>5575300</v>
          </cell>
          <cell r="CI424">
            <v>5575300</v>
          </cell>
          <cell r="CJ424">
            <v>5575300</v>
          </cell>
          <cell r="CK424">
            <v>5575300</v>
          </cell>
          <cell r="CL424">
            <v>5575300</v>
          </cell>
          <cell r="CM424">
            <v>5575300</v>
          </cell>
          <cell r="CN424">
            <v>5575300</v>
          </cell>
          <cell r="CO424">
            <v>5575300</v>
          </cell>
          <cell r="CP424">
            <v>5575300</v>
          </cell>
          <cell r="CQ424">
            <v>5575300</v>
          </cell>
          <cell r="CR424">
            <v>5575300</v>
          </cell>
          <cell r="CS424">
            <v>5575300</v>
          </cell>
          <cell r="CT424">
            <v>5575300</v>
          </cell>
          <cell r="CU424">
            <v>5575300</v>
          </cell>
          <cell r="CV424">
            <v>5575300</v>
          </cell>
          <cell r="CW424">
            <v>5575300</v>
          </cell>
          <cell r="CX424">
            <v>5575300</v>
          </cell>
          <cell r="CY424">
            <v>5575300</v>
          </cell>
          <cell r="CZ424">
            <v>5575300</v>
          </cell>
          <cell r="DA424">
            <v>5575300</v>
          </cell>
          <cell r="DB424">
            <v>5575300</v>
          </cell>
          <cell r="DC424">
            <v>5575300</v>
          </cell>
          <cell r="DD424">
            <v>5575300</v>
          </cell>
          <cell r="DE424">
            <v>5575300</v>
          </cell>
          <cell r="DF424">
            <v>5575300</v>
          </cell>
          <cell r="DG424">
            <v>5575300</v>
          </cell>
          <cell r="DH424">
            <v>5575300</v>
          </cell>
          <cell r="DI424">
            <v>5575300</v>
          </cell>
          <cell r="DJ424">
            <v>5575300</v>
          </cell>
          <cell r="DK424">
            <v>5575300</v>
          </cell>
          <cell r="DL424">
            <v>5575300</v>
          </cell>
          <cell r="DM424">
            <v>5575300</v>
          </cell>
          <cell r="DN424">
            <v>5575300</v>
          </cell>
          <cell r="DO424">
            <v>5575300</v>
          </cell>
          <cell r="DP424">
            <v>5575300</v>
          </cell>
          <cell r="DQ424">
            <v>5575300</v>
          </cell>
          <cell r="DR424">
            <v>5575300</v>
          </cell>
          <cell r="DS424">
            <v>5575300</v>
          </cell>
          <cell r="DT424">
            <v>5575300</v>
          </cell>
          <cell r="DU424">
            <v>5575300</v>
          </cell>
          <cell r="DV424">
            <v>5575300</v>
          </cell>
          <cell r="DW424">
            <v>5575300</v>
          </cell>
        </row>
        <row r="425">
          <cell r="E425" t="str">
            <v>A_2110000</v>
          </cell>
          <cell r="F425" t="str">
            <v>Miscellaneous Paid-in Capital CALCULATION/ACTUAL</v>
          </cell>
          <cell r="BD425">
            <v>269974800</v>
          </cell>
          <cell r="BE425">
            <v>279974800</v>
          </cell>
          <cell r="BF425">
            <v>279974800</v>
          </cell>
          <cell r="BG425">
            <v>279974800</v>
          </cell>
          <cell r="BH425">
            <v>294974800</v>
          </cell>
          <cell r="BI425">
            <v>294974800</v>
          </cell>
          <cell r="BJ425">
            <v>294974800</v>
          </cell>
          <cell r="BK425">
            <v>304974800</v>
          </cell>
          <cell r="BL425">
            <v>304974800</v>
          </cell>
          <cell r="BM425">
            <v>304974800</v>
          </cell>
          <cell r="BN425">
            <v>314974800</v>
          </cell>
          <cell r="BO425">
            <v>314974800</v>
          </cell>
          <cell r="BP425">
            <v>314974800</v>
          </cell>
          <cell r="BQ425">
            <v>349974800</v>
          </cell>
          <cell r="BR425">
            <v>349974800</v>
          </cell>
          <cell r="BS425">
            <v>349974800</v>
          </cell>
          <cell r="BT425">
            <v>384974800</v>
          </cell>
          <cell r="BU425">
            <v>384974800</v>
          </cell>
          <cell r="BV425">
            <v>384974800</v>
          </cell>
          <cell r="BW425">
            <v>384974800</v>
          </cell>
          <cell r="BX425">
            <v>409974800</v>
          </cell>
          <cell r="BY425">
            <v>409974800</v>
          </cell>
          <cell r="BZ425">
            <v>409974800</v>
          </cell>
          <cell r="CA425">
            <v>409974800</v>
          </cell>
          <cell r="CB425">
            <v>409974800</v>
          </cell>
          <cell r="CC425">
            <v>449974800</v>
          </cell>
          <cell r="CD425">
            <v>449974800</v>
          </cell>
          <cell r="CE425">
            <v>449974800</v>
          </cell>
          <cell r="CF425">
            <v>479974800</v>
          </cell>
          <cell r="CG425">
            <v>479974800</v>
          </cell>
          <cell r="CH425">
            <v>479974800</v>
          </cell>
          <cell r="CI425">
            <v>524974800.00000006</v>
          </cell>
          <cell r="CJ425">
            <v>524974800.00000006</v>
          </cell>
          <cell r="CK425">
            <v>524974800.00000006</v>
          </cell>
          <cell r="CL425">
            <v>539974800</v>
          </cell>
          <cell r="CM425">
            <v>539974800</v>
          </cell>
          <cell r="CN425">
            <v>539974800</v>
          </cell>
          <cell r="CO425">
            <v>579974800</v>
          </cell>
          <cell r="CP425">
            <v>579974800</v>
          </cell>
          <cell r="CQ425">
            <v>579974800</v>
          </cell>
          <cell r="CR425">
            <v>599974800</v>
          </cell>
          <cell r="CS425">
            <v>599974800</v>
          </cell>
          <cell r="CT425">
            <v>599974800</v>
          </cell>
          <cell r="CU425">
            <v>634974800</v>
          </cell>
          <cell r="CV425">
            <v>634974800</v>
          </cell>
          <cell r="CW425">
            <v>634974800</v>
          </cell>
          <cell r="CX425">
            <v>659974800</v>
          </cell>
          <cell r="CY425">
            <v>659974800</v>
          </cell>
          <cell r="CZ425">
            <v>659974800</v>
          </cell>
          <cell r="DA425">
            <v>734974800</v>
          </cell>
          <cell r="DB425">
            <v>734974800</v>
          </cell>
          <cell r="DC425">
            <v>734974800</v>
          </cell>
          <cell r="DD425">
            <v>764974800</v>
          </cell>
          <cell r="DE425">
            <v>764974800</v>
          </cell>
          <cell r="DF425">
            <v>764974800</v>
          </cell>
          <cell r="DG425">
            <v>804974800</v>
          </cell>
          <cell r="DH425">
            <v>804974800</v>
          </cell>
          <cell r="DI425">
            <v>804974800</v>
          </cell>
          <cell r="DJ425">
            <v>829974800</v>
          </cell>
          <cell r="DK425">
            <v>864974800</v>
          </cell>
          <cell r="DL425">
            <v>864974800</v>
          </cell>
          <cell r="DM425">
            <v>887474800</v>
          </cell>
          <cell r="DN425">
            <v>887474800</v>
          </cell>
          <cell r="DO425">
            <v>887474800</v>
          </cell>
          <cell r="DP425">
            <v>912474800</v>
          </cell>
          <cell r="DQ425">
            <v>912474800</v>
          </cell>
          <cell r="DR425">
            <v>912474800</v>
          </cell>
          <cell r="DS425">
            <v>942474800</v>
          </cell>
          <cell r="DT425">
            <v>942474800</v>
          </cell>
          <cell r="DU425">
            <v>942474800</v>
          </cell>
          <cell r="DV425">
            <v>999974800</v>
          </cell>
          <cell r="DW425">
            <v>999974800</v>
          </cell>
        </row>
        <row r="427">
          <cell r="E427" t="str">
            <v>A_2370900</v>
          </cell>
          <cell r="F427" t="str">
            <v>INTEREST ACCRUED-STD (IS Acct) CALCULATION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</row>
        <row r="429">
          <cell r="E429" t="str">
            <v>A_1040001</v>
          </cell>
          <cell r="F429" t="str">
            <v>Plant Leased to Others - GAAP adj</v>
          </cell>
          <cell r="AK429">
            <v>-7852</v>
          </cell>
          <cell r="AL429">
            <v>-7852</v>
          </cell>
          <cell r="AM429">
            <v>-7852</v>
          </cell>
          <cell r="AN429">
            <v>-7852</v>
          </cell>
          <cell r="AO429">
            <v>-7852</v>
          </cell>
          <cell r="AP429">
            <v>-10597</v>
          </cell>
          <cell r="AQ429">
            <v>-10597</v>
          </cell>
          <cell r="AR429">
            <v>-10597</v>
          </cell>
          <cell r="AS429">
            <v>-10597</v>
          </cell>
          <cell r="AT429">
            <v>-10597</v>
          </cell>
          <cell r="AU429">
            <v>-10597</v>
          </cell>
          <cell r="AV429">
            <v>-10597</v>
          </cell>
          <cell r="AW429">
            <v>-10597</v>
          </cell>
          <cell r="AX429">
            <v>-10597</v>
          </cell>
          <cell r="AY429">
            <v>-10597</v>
          </cell>
          <cell r="AZ429">
            <v>-10597</v>
          </cell>
          <cell r="BA429">
            <v>-10597</v>
          </cell>
          <cell r="BB429">
            <v>-10597</v>
          </cell>
          <cell r="BC429">
            <v>-10597</v>
          </cell>
          <cell r="BD429">
            <v>-10597</v>
          </cell>
          <cell r="BE429">
            <v>-10597</v>
          </cell>
          <cell r="BF429">
            <v>-10597</v>
          </cell>
          <cell r="BG429">
            <v>-10597</v>
          </cell>
          <cell r="BH429">
            <v>-10597</v>
          </cell>
          <cell r="BI429">
            <v>-10597</v>
          </cell>
          <cell r="BJ429">
            <v>-10597</v>
          </cell>
          <cell r="BK429">
            <v>-10597</v>
          </cell>
          <cell r="BL429">
            <v>-10597</v>
          </cell>
          <cell r="BM429">
            <v>-10597</v>
          </cell>
          <cell r="BN429">
            <v>-10597</v>
          </cell>
          <cell r="BO429">
            <v>-10597</v>
          </cell>
          <cell r="BP429">
            <v>-10597</v>
          </cell>
          <cell r="BQ429">
            <v>-10597</v>
          </cell>
          <cell r="BR429">
            <v>-10597</v>
          </cell>
          <cell r="BS429">
            <v>-10597</v>
          </cell>
          <cell r="BT429">
            <v>-10597</v>
          </cell>
          <cell r="BU429">
            <v>-10597</v>
          </cell>
          <cell r="BV429">
            <v>-10597</v>
          </cell>
          <cell r="BW429">
            <v>-10597</v>
          </cell>
          <cell r="BX429">
            <v>-10597</v>
          </cell>
          <cell r="BY429">
            <v>-10597</v>
          </cell>
          <cell r="BZ429">
            <v>-10597</v>
          </cell>
          <cell r="CA429">
            <v>-10597</v>
          </cell>
          <cell r="CB429">
            <v>-10597</v>
          </cell>
          <cell r="CC429">
            <v>-10597</v>
          </cell>
          <cell r="CD429">
            <v>-10597</v>
          </cell>
          <cell r="CE429">
            <v>-10597</v>
          </cell>
          <cell r="CF429">
            <v>-10597</v>
          </cell>
          <cell r="CG429">
            <v>-10597</v>
          </cell>
          <cell r="CH429">
            <v>-10597</v>
          </cell>
          <cell r="CI429">
            <v>-10597</v>
          </cell>
          <cell r="CJ429">
            <v>-10597</v>
          </cell>
          <cell r="CK429">
            <v>-10597</v>
          </cell>
          <cell r="CL429">
            <v>-10597</v>
          </cell>
          <cell r="CM429">
            <v>-10597</v>
          </cell>
          <cell r="CN429">
            <v>-10597</v>
          </cell>
          <cell r="CO429">
            <v>-10597</v>
          </cell>
          <cell r="CP429">
            <v>-10597</v>
          </cell>
          <cell r="CQ429">
            <v>-10597</v>
          </cell>
          <cell r="CR429">
            <v>-10597</v>
          </cell>
          <cell r="CS429">
            <v>-10597</v>
          </cell>
          <cell r="CT429">
            <v>-10597</v>
          </cell>
          <cell r="CU429">
            <v>-10597</v>
          </cell>
          <cell r="CV429">
            <v>-10597</v>
          </cell>
          <cell r="CW429">
            <v>-10597</v>
          </cell>
          <cell r="CX429">
            <v>-10597</v>
          </cell>
          <cell r="CY429">
            <v>-10597</v>
          </cell>
          <cell r="CZ429">
            <v>-10597</v>
          </cell>
          <cell r="DA429">
            <v>-10597</v>
          </cell>
          <cell r="DB429">
            <v>-7852</v>
          </cell>
          <cell r="DC429">
            <v>-7852</v>
          </cell>
          <cell r="DD429">
            <v>-7852</v>
          </cell>
          <cell r="DE429">
            <v>-7852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-35658.699999999997</v>
          </cell>
          <cell r="DN429">
            <v>-35658.699999999997</v>
          </cell>
          <cell r="DO429">
            <v>-35658.699999999997</v>
          </cell>
          <cell r="DP429">
            <v>-35658.699999999997</v>
          </cell>
          <cell r="DQ429">
            <v>-35658.699999999997</v>
          </cell>
          <cell r="DR429">
            <v>-35658.699999999997</v>
          </cell>
          <cell r="DS429">
            <v>-35658.699999999997</v>
          </cell>
          <cell r="DT429">
            <v>-35658.699999999997</v>
          </cell>
          <cell r="DU429">
            <v>-35658.699999999997</v>
          </cell>
          <cell r="DV429">
            <v>-35658.699999999997</v>
          </cell>
          <cell r="DW429">
            <v>-35658.699999999997</v>
          </cell>
        </row>
        <row r="430">
          <cell r="E430" t="str">
            <v>A_1080901</v>
          </cell>
          <cell r="F430" t="str">
            <v>Accumulated Provision for Depreciation - GAAP adj</v>
          </cell>
          <cell r="AK430">
            <v>98.2</v>
          </cell>
          <cell r="AL430">
            <v>130.9</v>
          </cell>
          <cell r="AM430">
            <v>163.6</v>
          </cell>
          <cell r="AN430">
            <v>196.3</v>
          </cell>
          <cell r="AO430">
            <v>229</v>
          </cell>
          <cell r="AP430">
            <v>284.60000000000002</v>
          </cell>
          <cell r="AQ430">
            <v>328.8</v>
          </cell>
          <cell r="AR430">
            <v>372.9</v>
          </cell>
          <cell r="AS430">
            <v>417.1</v>
          </cell>
          <cell r="AT430">
            <v>461.2</v>
          </cell>
          <cell r="AU430">
            <v>505.4</v>
          </cell>
          <cell r="AV430">
            <v>549.5</v>
          </cell>
          <cell r="AW430">
            <v>593.70000000000005</v>
          </cell>
          <cell r="AX430">
            <v>637.9</v>
          </cell>
          <cell r="AY430">
            <v>682</v>
          </cell>
          <cell r="AZ430">
            <v>726.2</v>
          </cell>
          <cell r="BA430">
            <v>770.3</v>
          </cell>
          <cell r="BB430">
            <v>814.5</v>
          </cell>
          <cell r="BC430">
            <v>858.6</v>
          </cell>
          <cell r="BD430">
            <v>902.8</v>
          </cell>
          <cell r="BE430">
            <v>946.9</v>
          </cell>
          <cell r="BF430">
            <v>991.1</v>
          </cell>
          <cell r="BG430">
            <v>1035.2</v>
          </cell>
          <cell r="BH430">
            <v>1079.4000000000001</v>
          </cell>
          <cell r="BI430">
            <v>1123.5999999999999</v>
          </cell>
          <cell r="BJ430">
            <v>1167.7</v>
          </cell>
          <cell r="BK430">
            <v>1211.9000000000001</v>
          </cell>
          <cell r="BL430">
            <v>1256</v>
          </cell>
          <cell r="BM430">
            <v>1300.2</v>
          </cell>
          <cell r="BN430">
            <v>1344.3</v>
          </cell>
          <cell r="BO430">
            <v>1388.5</v>
          </cell>
          <cell r="BP430">
            <v>1432.6</v>
          </cell>
          <cell r="BQ430">
            <v>1476.8</v>
          </cell>
          <cell r="BR430">
            <v>1521</v>
          </cell>
          <cell r="BS430">
            <v>1565.1</v>
          </cell>
          <cell r="BT430">
            <v>1609.3</v>
          </cell>
          <cell r="BU430">
            <v>1653.4</v>
          </cell>
          <cell r="BV430">
            <v>1697.6</v>
          </cell>
          <cell r="BW430">
            <v>1741.7</v>
          </cell>
          <cell r="BX430">
            <v>1785.9</v>
          </cell>
          <cell r="BY430">
            <v>1830</v>
          </cell>
          <cell r="BZ430">
            <v>1874.2</v>
          </cell>
          <cell r="CA430">
            <v>1918.3</v>
          </cell>
          <cell r="CB430">
            <v>1962.5</v>
          </cell>
          <cell r="CC430">
            <v>2006.7</v>
          </cell>
          <cell r="CD430">
            <v>2050.8000000000002</v>
          </cell>
          <cell r="CE430">
            <v>2095</v>
          </cell>
          <cell r="CF430">
            <v>2139.1</v>
          </cell>
          <cell r="CG430">
            <v>2183.3000000000002</v>
          </cell>
          <cell r="CH430">
            <v>2227.4</v>
          </cell>
          <cell r="CI430">
            <v>2271.6</v>
          </cell>
          <cell r="CJ430">
            <v>2315.6999999999998</v>
          </cell>
          <cell r="CK430">
            <v>2359.9</v>
          </cell>
          <cell r="CL430">
            <v>2404.1</v>
          </cell>
          <cell r="CM430">
            <v>2448.1999999999998</v>
          </cell>
          <cell r="CN430">
            <v>2492.4</v>
          </cell>
          <cell r="CO430">
            <v>2536.5</v>
          </cell>
          <cell r="CP430">
            <v>2580.6999999999998</v>
          </cell>
          <cell r="CQ430">
            <v>2624.8</v>
          </cell>
          <cell r="CR430">
            <v>2669</v>
          </cell>
          <cell r="CS430">
            <v>2713.1</v>
          </cell>
          <cell r="CT430">
            <v>2757.3</v>
          </cell>
          <cell r="CU430">
            <v>2801.4</v>
          </cell>
          <cell r="CV430">
            <v>2845.6</v>
          </cell>
          <cell r="CW430">
            <v>2889.8</v>
          </cell>
          <cell r="CX430">
            <v>2933.9</v>
          </cell>
          <cell r="CY430">
            <v>2978.1</v>
          </cell>
          <cell r="CZ430">
            <v>3022.2</v>
          </cell>
          <cell r="DA430">
            <v>3066.4</v>
          </cell>
          <cell r="DB430">
            <v>2355.6</v>
          </cell>
          <cell r="DC430">
            <v>2388.3000000000002</v>
          </cell>
          <cell r="DD430">
            <v>2421.1</v>
          </cell>
          <cell r="DE430">
            <v>2453.8000000000002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104.1</v>
          </cell>
          <cell r="DO430">
            <v>208.2</v>
          </cell>
          <cell r="DP430">
            <v>312.2</v>
          </cell>
          <cell r="DQ430">
            <v>416.3</v>
          </cell>
          <cell r="DR430">
            <v>520.4</v>
          </cell>
          <cell r="DS430">
            <v>624.5</v>
          </cell>
          <cell r="DT430">
            <v>728.6</v>
          </cell>
          <cell r="DU430">
            <v>832.7</v>
          </cell>
          <cell r="DV430">
            <v>936.7</v>
          </cell>
          <cell r="DW430">
            <v>1040.8</v>
          </cell>
        </row>
        <row r="431">
          <cell r="E431" t="str">
            <v>A_1720101</v>
          </cell>
          <cell r="F431" t="str">
            <v>Minimum Lease Payments Receivable Current-GAAP adj</v>
          </cell>
          <cell r="AK431">
            <v>454.5</v>
          </cell>
          <cell r="AL431">
            <v>480.3</v>
          </cell>
          <cell r="AM431">
            <v>506.2</v>
          </cell>
          <cell r="AN431">
            <v>719.9</v>
          </cell>
          <cell r="AO431">
            <v>777.1</v>
          </cell>
          <cell r="AP431">
            <v>984</v>
          </cell>
          <cell r="AQ431">
            <v>1050.0999999999999</v>
          </cell>
          <cell r="AR431">
            <v>1160.3</v>
          </cell>
          <cell r="AS431">
            <v>1237.7</v>
          </cell>
          <cell r="AT431">
            <v>1315</v>
          </cell>
          <cell r="AU431">
            <v>1335.5</v>
          </cell>
          <cell r="AV431">
            <v>1356.1</v>
          </cell>
          <cell r="AW431">
            <v>1376.6</v>
          </cell>
          <cell r="AX431">
            <v>1397.1</v>
          </cell>
          <cell r="AY431">
            <v>1417.7</v>
          </cell>
          <cell r="AZ431">
            <v>1438.2</v>
          </cell>
          <cell r="BA431">
            <v>1438.9</v>
          </cell>
          <cell r="BB431">
            <v>1439.5</v>
          </cell>
          <cell r="BC431">
            <v>1440.2</v>
          </cell>
          <cell r="BD431">
            <v>1440.8</v>
          </cell>
          <cell r="BE431">
            <v>1441.5</v>
          </cell>
          <cell r="BF431">
            <v>1442.2</v>
          </cell>
          <cell r="BG431">
            <v>1442.8</v>
          </cell>
          <cell r="BH431">
            <v>1443.5</v>
          </cell>
          <cell r="BI431">
            <v>1444.2</v>
          </cell>
          <cell r="BJ431">
            <v>1444.8</v>
          </cell>
          <cell r="BK431">
            <v>1445.5</v>
          </cell>
          <cell r="BL431">
            <v>1446.1</v>
          </cell>
          <cell r="BM431">
            <v>1446.8</v>
          </cell>
          <cell r="BN431">
            <v>1447.5</v>
          </cell>
          <cell r="BO431">
            <v>1448.1</v>
          </cell>
          <cell r="BP431">
            <v>1448.8</v>
          </cell>
          <cell r="BQ431">
            <v>1449.5</v>
          </cell>
          <cell r="BR431">
            <v>1450.1</v>
          </cell>
          <cell r="BS431">
            <v>1435.1</v>
          </cell>
          <cell r="BT431">
            <v>1420.1</v>
          </cell>
          <cell r="BU431">
            <v>1405.1</v>
          </cell>
          <cell r="BV431">
            <v>1390.1</v>
          </cell>
          <cell r="BW431">
            <v>1375</v>
          </cell>
          <cell r="BX431">
            <v>1360</v>
          </cell>
          <cell r="BY431">
            <v>1339.5</v>
          </cell>
          <cell r="BZ431">
            <v>1319</v>
          </cell>
          <cell r="CA431">
            <v>1298.5</v>
          </cell>
          <cell r="CB431">
            <v>1278</v>
          </cell>
          <cell r="CC431">
            <v>425.1</v>
          </cell>
          <cell r="CD431">
            <v>1237</v>
          </cell>
          <cell r="CE431">
            <v>1232.2</v>
          </cell>
          <cell r="CF431">
            <v>1227.4000000000001</v>
          </cell>
          <cell r="CG431">
            <v>1222.5999999999999</v>
          </cell>
          <cell r="CH431">
            <v>1217.7</v>
          </cell>
          <cell r="CI431">
            <v>1212.9000000000001</v>
          </cell>
          <cell r="CJ431">
            <v>1208.0999999999999</v>
          </cell>
          <cell r="CK431">
            <v>1208.8</v>
          </cell>
          <cell r="CL431">
            <v>1209.4000000000001</v>
          </cell>
          <cell r="CM431">
            <v>1210.0999999999999</v>
          </cell>
          <cell r="CN431">
            <v>1210.8</v>
          </cell>
          <cell r="CO431">
            <v>1211.4000000000001</v>
          </cell>
          <cell r="CP431">
            <v>1212.0999999999999</v>
          </cell>
          <cell r="CQ431">
            <v>1212.7</v>
          </cell>
          <cell r="CR431">
            <v>1213.4000000000001</v>
          </cell>
          <cell r="CS431">
            <v>1214.0999999999999</v>
          </cell>
          <cell r="CT431">
            <v>1214.7</v>
          </cell>
          <cell r="CU431">
            <v>1215.4000000000001</v>
          </cell>
          <cell r="CV431">
            <v>1216.0999999999999</v>
          </cell>
          <cell r="CW431">
            <v>1216.7</v>
          </cell>
          <cell r="CX431">
            <v>1217.4000000000001</v>
          </cell>
          <cell r="CY431">
            <v>1218</v>
          </cell>
          <cell r="CZ431">
            <v>1218.7</v>
          </cell>
          <cell r="DA431">
            <v>1219.4000000000001</v>
          </cell>
          <cell r="DB431">
            <v>904.7</v>
          </cell>
          <cell r="DC431">
            <v>905.2</v>
          </cell>
          <cell r="DD431">
            <v>905.6</v>
          </cell>
          <cell r="DE431">
            <v>906.1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4017.8</v>
          </cell>
          <cell r="DN431">
            <v>4017.8</v>
          </cell>
          <cell r="DO431">
            <v>4017.8</v>
          </cell>
          <cell r="DP431">
            <v>4017.8</v>
          </cell>
          <cell r="DQ431">
            <v>4017.8</v>
          </cell>
          <cell r="DR431">
            <v>4017.8</v>
          </cell>
          <cell r="DS431">
            <v>4017.8</v>
          </cell>
          <cell r="DT431">
            <v>4017.8</v>
          </cell>
          <cell r="DU431">
            <v>4017.8</v>
          </cell>
          <cell r="DV431">
            <v>4017.8</v>
          </cell>
          <cell r="DW431">
            <v>4017.8</v>
          </cell>
        </row>
        <row r="432">
          <cell r="E432" t="str">
            <v>A_1720201</v>
          </cell>
          <cell r="F432" t="str">
            <v>Minimum Lease Payments Receivable NonCurr-GAAP adj</v>
          </cell>
          <cell r="AK432">
            <v>18029</v>
          </cell>
          <cell r="AL432">
            <v>17971.8</v>
          </cell>
          <cell r="AM432">
            <v>17914.599999999999</v>
          </cell>
          <cell r="AN432">
            <v>17669.599999999999</v>
          </cell>
          <cell r="AO432">
            <v>17581.099999999999</v>
          </cell>
          <cell r="AP432">
            <v>23818.1</v>
          </cell>
          <cell r="AQ432">
            <v>23709.7</v>
          </cell>
          <cell r="AR432">
            <v>23556.799999999999</v>
          </cell>
          <cell r="AS432">
            <v>23436.799999999999</v>
          </cell>
          <cell r="AT432">
            <v>23316.799999999999</v>
          </cell>
          <cell r="AU432">
            <v>23196.799999999999</v>
          </cell>
          <cell r="AV432">
            <v>23076.799999999999</v>
          </cell>
          <cell r="AW432">
            <v>22956.7</v>
          </cell>
          <cell r="AX432">
            <v>22836.7</v>
          </cell>
          <cell r="AY432">
            <v>22716.7</v>
          </cell>
          <cell r="AZ432">
            <v>22596.7</v>
          </cell>
          <cell r="BA432">
            <v>22476.7</v>
          </cell>
          <cell r="BB432">
            <v>22356.7</v>
          </cell>
          <cell r="BC432">
            <v>22236.7</v>
          </cell>
          <cell r="BD432">
            <v>22116</v>
          </cell>
          <cell r="BE432">
            <v>21995.3</v>
          </cell>
          <cell r="BF432">
            <v>21874.6</v>
          </cell>
          <cell r="BG432">
            <v>21753.9</v>
          </cell>
          <cell r="BH432">
            <v>21633.3</v>
          </cell>
          <cell r="BI432">
            <v>21512.6</v>
          </cell>
          <cell r="BJ432">
            <v>21391.9</v>
          </cell>
          <cell r="BK432">
            <v>21271.200000000001</v>
          </cell>
          <cell r="BL432">
            <v>21150.6</v>
          </cell>
          <cell r="BM432">
            <v>21029.9</v>
          </cell>
          <cell r="BN432">
            <v>20909.2</v>
          </cell>
          <cell r="BO432">
            <v>20788.5</v>
          </cell>
          <cell r="BP432">
            <v>20667.2</v>
          </cell>
          <cell r="BQ432">
            <v>20545.8</v>
          </cell>
          <cell r="BR432">
            <v>20424.5</v>
          </cell>
          <cell r="BS432">
            <v>20318.8</v>
          </cell>
          <cell r="BT432">
            <v>20213.2</v>
          </cell>
          <cell r="BU432">
            <v>20107.5</v>
          </cell>
          <cell r="BV432">
            <v>20001.900000000001</v>
          </cell>
          <cell r="BW432">
            <v>19896.2</v>
          </cell>
          <cell r="BX432">
            <v>19790.5</v>
          </cell>
          <cell r="BY432">
            <v>19690.400000000001</v>
          </cell>
          <cell r="BZ432">
            <v>19590.2</v>
          </cell>
          <cell r="CA432">
            <v>19490</v>
          </cell>
          <cell r="CB432">
            <v>19389.099999999999</v>
          </cell>
          <cell r="CC432">
            <v>20120.7</v>
          </cell>
          <cell r="CD432">
            <v>19187.5</v>
          </cell>
          <cell r="CE432">
            <v>19086.599999999999</v>
          </cell>
          <cell r="CF432">
            <v>18985.8</v>
          </cell>
          <cell r="CG432">
            <v>18884.900000000001</v>
          </cell>
          <cell r="CH432">
            <v>18784.099999999999</v>
          </cell>
          <cell r="CI432">
            <v>18683.3</v>
          </cell>
          <cell r="CJ432">
            <v>18582.400000000001</v>
          </cell>
          <cell r="CK432">
            <v>18481.599999999999</v>
          </cell>
          <cell r="CL432">
            <v>18380.7</v>
          </cell>
          <cell r="CM432">
            <v>18279.900000000001</v>
          </cell>
          <cell r="CN432">
            <v>18178.400000000001</v>
          </cell>
          <cell r="CO432">
            <v>18076.900000000001</v>
          </cell>
          <cell r="CP432">
            <v>17975.400000000001</v>
          </cell>
          <cell r="CQ432">
            <v>17873.900000000001</v>
          </cell>
          <cell r="CR432">
            <v>17772.400000000001</v>
          </cell>
          <cell r="CS432">
            <v>17670.900000000001</v>
          </cell>
          <cell r="CT432">
            <v>17569.400000000001</v>
          </cell>
          <cell r="CU432">
            <v>17467.900000000001</v>
          </cell>
          <cell r="CV432">
            <v>17366.400000000001</v>
          </cell>
          <cell r="CW432">
            <v>17264.900000000001</v>
          </cell>
          <cell r="CX432">
            <v>17163.400000000001</v>
          </cell>
          <cell r="CY432">
            <v>17061.8</v>
          </cell>
          <cell r="CZ432">
            <v>16959.7</v>
          </cell>
          <cell r="DA432">
            <v>16857.5</v>
          </cell>
          <cell r="DB432">
            <v>12296.5</v>
          </cell>
          <cell r="DC432">
            <v>12220.7</v>
          </cell>
          <cell r="DD432">
            <v>12144.9</v>
          </cell>
          <cell r="DE432">
            <v>12069.2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56249.4</v>
          </cell>
          <cell r="DN432">
            <v>55914.6</v>
          </cell>
          <cell r="DO432">
            <v>55579.8</v>
          </cell>
          <cell r="DP432">
            <v>55245</v>
          </cell>
          <cell r="DQ432">
            <v>54910.2</v>
          </cell>
          <cell r="DR432">
            <v>54575.3</v>
          </cell>
          <cell r="DS432">
            <v>54240.5</v>
          </cell>
          <cell r="DT432">
            <v>53905.7</v>
          </cell>
          <cell r="DU432">
            <v>53570.9</v>
          </cell>
          <cell r="DV432">
            <v>53236.1</v>
          </cell>
          <cell r="DW432">
            <v>52901.2</v>
          </cell>
        </row>
        <row r="433">
          <cell r="E433" t="str">
            <v>A_1720202</v>
          </cell>
          <cell r="F433" t="str">
            <v>Lease contra-Unearned Interest Rev-GAAP adj</v>
          </cell>
          <cell r="AK433">
            <v>-10529.9</v>
          </cell>
          <cell r="AL433">
            <v>-10464.200000000001</v>
          </cell>
          <cell r="AM433">
            <v>-10398.200000000001</v>
          </cell>
          <cell r="AN433">
            <v>-10331.9</v>
          </cell>
          <cell r="AO433">
            <v>-10265.299999999999</v>
          </cell>
          <cell r="AP433">
            <v>-13905.1</v>
          </cell>
          <cell r="AQ433">
            <v>-13815.1</v>
          </cell>
          <cell r="AR433">
            <v>-13724.6</v>
          </cell>
          <cell r="AS433">
            <v>-13633.8</v>
          </cell>
          <cell r="AT433">
            <v>-13542.5</v>
          </cell>
          <cell r="AU433">
            <v>-13450.9</v>
          </cell>
          <cell r="AV433">
            <v>-13359.3</v>
          </cell>
          <cell r="AW433">
            <v>-13267.8</v>
          </cell>
          <cell r="AX433">
            <v>-13176.4</v>
          </cell>
          <cell r="AY433">
            <v>-13085</v>
          </cell>
          <cell r="AZ433">
            <v>-12993.7</v>
          </cell>
          <cell r="BA433">
            <v>-12902.4</v>
          </cell>
          <cell r="BB433">
            <v>-12811.4</v>
          </cell>
          <cell r="BC433">
            <v>-12720.6</v>
          </cell>
          <cell r="BD433">
            <v>-12630.1</v>
          </cell>
          <cell r="BE433">
            <v>-12539.8</v>
          </cell>
          <cell r="BF433">
            <v>-12449.7</v>
          </cell>
          <cell r="BG433">
            <v>-12359.9</v>
          </cell>
          <cell r="BH433">
            <v>-12270.4</v>
          </cell>
          <cell r="BI433">
            <v>-12181</v>
          </cell>
          <cell r="BJ433">
            <v>-12092</v>
          </cell>
          <cell r="BK433">
            <v>-12003.2</v>
          </cell>
          <cell r="BL433">
            <v>-11914.7</v>
          </cell>
          <cell r="BM433">
            <v>-11826.4</v>
          </cell>
          <cell r="BN433">
            <v>-11738.4</v>
          </cell>
          <cell r="BO433">
            <v>-11650.6</v>
          </cell>
          <cell r="BP433">
            <v>-11563.1</v>
          </cell>
          <cell r="BQ433">
            <v>-11475.9</v>
          </cell>
          <cell r="BR433">
            <v>-11389</v>
          </cell>
          <cell r="BS433">
            <v>-11302.3</v>
          </cell>
          <cell r="BT433">
            <v>-11215.9</v>
          </cell>
          <cell r="BU433">
            <v>-11129.9</v>
          </cell>
          <cell r="BV433">
            <v>-11044.1</v>
          </cell>
          <cell r="BW433">
            <v>-10958.5</v>
          </cell>
          <cell r="BX433">
            <v>-10873.3</v>
          </cell>
          <cell r="BY433">
            <v>-10788.4</v>
          </cell>
          <cell r="BZ433">
            <v>-10703.7</v>
          </cell>
          <cell r="CA433">
            <v>-10619.4</v>
          </cell>
          <cell r="CB433">
            <v>-10535.4</v>
          </cell>
          <cell r="CC433">
            <v>-10451.6</v>
          </cell>
          <cell r="CD433">
            <v>-10368.200000000001</v>
          </cell>
          <cell r="CE433">
            <v>-10285.1</v>
          </cell>
          <cell r="CF433">
            <v>-10202.200000000001</v>
          </cell>
          <cell r="CG433">
            <v>-10119.4</v>
          </cell>
          <cell r="CH433">
            <v>-10036.9</v>
          </cell>
          <cell r="CI433">
            <v>-9954.5</v>
          </cell>
          <cell r="CJ433">
            <v>-9872.4</v>
          </cell>
          <cell r="CK433">
            <v>-9790.4</v>
          </cell>
          <cell r="CL433">
            <v>-9708.6</v>
          </cell>
          <cell r="CM433">
            <v>-9626.7999999999993</v>
          </cell>
          <cell r="CN433">
            <v>-9545.4</v>
          </cell>
          <cell r="CO433">
            <v>-9464.1</v>
          </cell>
          <cell r="CP433">
            <v>-9382.9</v>
          </cell>
          <cell r="CQ433">
            <v>-9301.9</v>
          </cell>
          <cell r="CR433">
            <v>-9221</v>
          </cell>
          <cell r="CS433">
            <v>-9140.2999999999993</v>
          </cell>
          <cell r="CT433">
            <v>-9059.7999999999993</v>
          </cell>
          <cell r="CU433">
            <v>-8979.4</v>
          </cell>
          <cell r="CV433">
            <v>-8899.2000000000007</v>
          </cell>
          <cell r="CW433">
            <v>-8819.2000000000007</v>
          </cell>
          <cell r="CX433">
            <v>-8739.2999999999993</v>
          </cell>
          <cell r="CY433">
            <v>-8659.7000000000007</v>
          </cell>
          <cell r="CZ433">
            <v>-8580.2000000000007</v>
          </cell>
          <cell r="DA433">
            <v>-8500.7999999999993</v>
          </cell>
          <cell r="DB433">
            <v>-6147.6</v>
          </cell>
          <cell r="DC433">
            <v>-6089.3</v>
          </cell>
          <cell r="DD433">
            <v>-6031.2</v>
          </cell>
          <cell r="DE433">
            <v>-5973.2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-24608.5</v>
          </cell>
          <cell r="DN433">
            <v>-24379.4</v>
          </cell>
          <cell r="DO433">
            <v>-24151</v>
          </cell>
          <cell r="DP433">
            <v>-23923.3</v>
          </cell>
          <cell r="DQ433">
            <v>-23696.3</v>
          </cell>
          <cell r="DR433">
            <v>-23469.9</v>
          </cell>
          <cell r="DS433">
            <v>-23244.3</v>
          </cell>
          <cell r="DT433">
            <v>-23019.3</v>
          </cell>
          <cell r="DU433">
            <v>-22795.1</v>
          </cell>
          <cell r="DV433">
            <v>-22571.5</v>
          </cell>
          <cell r="DW433">
            <v>-22348.7</v>
          </cell>
        </row>
        <row r="434">
          <cell r="E434" t="str">
            <v>A_2530360</v>
          </cell>
          <cell r="F434" t="str">
            <v>Oth Defd CR-Deferred Interest Revenue - GAAP adj</v>
          </cell>
          <cell r="AK434">
            <v>199.7</v>
          </cell>
          <cell r="AL434">
            <v>266.8</v>
          </cell>
          <cell r="AM434">
            <v>334.2</v>
          </cell>
          <cell r="AN434">
            <v>401.9</v>
          </cell>
          <cell r="AO434">
            <v>469.9</v>
          </cell>
          <cell r="AP434">
            <v>584.6</v>
          </cell>
          <cell r="AQ434">
            <v>676.6</v>
          </cell>
          <cell r="AR434">
            <v>768.5</v>
          </cell>
          <cell r="AS434">
            <v>860.8</v>
          </cell>
          <cell r="AT434">
            <v>953.5</v>
          </cell>
          <cell r="AU434">
            <v>989.8</v>
          </cell>
          <cell r="AV434">
            <v>1026.0999999999999</v>
          </cell>
          <cell r="AW434">
            <v>1062.3</v>
          </cell>
          <cell r="AX434">
            <v>1098.4000000000001</v>
          </cell>
          <cell r="AY434">
            <v>1134.4000000000001</v>
          </cell>
          <cell r="AZ434">
            <v>1170.4000000000001</v>
          </cell>
          <cell r="BA434">
            <v>1186.5</v>
          </cell>
          <cell r="BB434">
            <v>1202.3</v>
          </cell>
          <cell r="BC434">
            <v>1217.9000000000001</v>
          </cell>
          <cell r="BD434">
            <v>1232.5</v>
          </cell>
          <cell r="BE434">
            <v>1247</v>
          </cell>
          <cell r="BF434">
            <v>1261.2</v>
          </cell>
          <cell r="BG434">
            <v>1275.0999999999999</v>
          </cell>
          <cell r="BH434">
            <v>1288.8</v>
          </cell>
          <cell r="BI434">
            <v>1302.3</v>
          </cell>
          <cell r="BJ434">
            <v>1315.5</v>
          </cell>
          <cell r="BK434">
            <v>1328.4</v>
          </cell>
          <cell r="BL434">
            <v>1341.1</v>
          </cell>
          <cell r="BM434">
            <v>1353.5</v>
          </cell>
          <cell r="BN434">
            <v>1365.7</v>
          </cell>
          <cell r="BO434">
            <v>1377.5</v>
          </cell>
          <cell r="BP434">
            <v>1388.5</v>
          </cell>
          <cell r="BQ434">
            <v>1399.2</v>
          </cell>
          <cell r="BR434">
            <v>1409.6</v>
          </cell>
          <cell r="BS434">
            <v>1419.7</v>
          </cell>
          <cell r="BT434">
            <v>1429.6</v>
          </cell>
          <cell r="BU434">
            <v>1439.2</v>
          </cell>
          <cell r="BV434">
            <v>1448.4</v>
          </cell>
          <cell r="BW434">
            <v>1457.4</v>
          </cell>
          <cell r="BX434">
            <v>1466.1</v>
          </cell>
          <cell r="BY434">
            <v>1474.6</v>
          </cell>
          <cell r="BZ434">
            <v>1482.7</v>
          </cell>
          <cell r="CA434">
            <v>1490.5</v>
          </cell>
          <cell r="CB434">
            <v>1497.3</v>
          </cell>
          <cell r="CC434">
            <v>1503.9</v>
          </cell>
          <cell r="CD434">
            <v>1510.1</v>
          </cell>
          <cell r="CE434">
            <v>1531.7</v>
          </cell>
          <cell r="CF434">
            <v>1553.1</v>
          </cell>
          <cell r="CG434">
            <v>1574.4</v>
          </cell>
          <cell r="CH434">
            <v>1595.4</v>
          </cell>
          <cell r="CI434">
            <v>1616.2</v>
          </cell>
          <cell r="CJ434">
            <v>1636.9</v>
          </cell>
          <cell r="CK434">
            <v>1662.8</v>
          </cell>
          <cell r="CL434">
            <v>1688.6</v>
          </cell>
          <cell r="CM434">
            <v>1714.4</v>
          </cell>
          <cell r="CN434">
            <v>1739.1</v>
          </cell>
          <cell r="CO434">
            <v>1763.8</v>
          </cell>
          <cell r="CP434">
            <v>1788.3</v>
          </cell>
          <cell r="CQ434">
            <v>1812.6</v>
          </cell>
          <cell r="CR434">
            <v>1836.8</v>
          </cell>
          <cell r="CS434">
            <v>1860.8</v>
          </cell>
          <cell r="CT434">
            <v>1884.6</v>
          </cell>
          <cell r="CU434">
            <v>1908.3</v>
          </cell>
          <cell r="CV434">
            <v>1931.8</v>
          </cell>
          <cell r="CW434">
            <v>1955.2</v>
          </cell>
          <cell r="CX434">
            <v>1978.3</v>
          </cell>
          <cell r="CY434">
            <v>2001.3</v>
          </cell>
          <cell r="CZ434">
            <v>2023.5</v>
          </cell>
          <cell r="DA434">
            <v>2045.5</v>
          </cell>
          <cell r="DB434">
            <v>1557.2</v>
          </cell>
          <cell r="DC434">
            <v>1572.9</v>
          </cell>
          <cell r="DD434">
            <v>1588.5</v>
          </cell>
          <cell r="DE434">
            <v>1604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-1.6</v>
          </cell>
          <cell r="DO434">
            <v>-4</v>
          </cell>
          <cell r="DP434">
            <v>-7</v>
          </cell>
          <cell r="DQ434">
            <v>-10.7</v>
          </cell>
          <cell r="DR434">
            <v>-15.1</v>
          </cell>
          <cell r="DS434">
            <v>-20.2</v>
          </cell>
          <cell r="DT434">
            <v>-25.9</v>
          </cell>
          <cell r="DU434">
            <v>-32.4</v>
          </cell>
          <cell r="DV434">
            <v>-39.6</v>
          </cell>
          <cell r="DW434">
            <v>-47.6</v>
          </cell>
        </row>
        <row r="436">
          <cell r="F436" t="str">
            <v>Variance</v>
          </cell>
          <cell r="AK436">
            <v>0.10000000000110276</v>
          </cell>
          <cell r="AL436">
            <v>-7.3896444519050419E-13</v>
          </cell>
          <cell r="AM436">
            <v>-2.8990143619012088E-12</v>
          </cell>
          <cell r="AN436">
            <v>0</v>
          </cell>
          <cell r="AO436">
            <v>0</v>
          </cell>
          <cell r="AP436">
            <v>-1.4779288903810084E-12</v>
          </cell>
          <cell r="AQ436">
            <v>-0.10000000000002274</v>
          </cell>
          <cell r="AR436">
            <v>-0.10000000000218279</v>
          </cell>
          <cell r="AS436">
            <v>1.1368683772161603E-12</v>
          </cell>
          <cell r="AT436">
            <v>0</v>
          </cell>
          <cell r="AU436">
            <v>0</v>
          </cell>
          <cell r="AV436">
            <v>0</v>
          </cell>
          <cell r="AW436">
            <v>-9.999999999740794E-2</v>
          </cell>
          <cell r="AX436">
            <v>-9.9999999998999556E-2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-1.8189894035458565E-12</v>
          </cell>
          <cell r="BE436">
            <v>-0.1000000000003638</v>
          </cell>
          <cell r="BF436">
            <v>-2.9558577807620168E-12</v>
          </cell>
          <cell r="BG436">
            <v>-9.9999999998090061E-2</v>
          </cell>
          <cell r="BH436">
            <v>0</v>
          </cell>
          <cell r="BI436">
            <v>9.9999999997862687E-2</v>
          </cell>
          <cell r="BJ436">
            <v>-9.9999999998544808E-2</v>
          </cell>
          <cell r="BK436">
            <v>0</v>
          </cell>
          <cell r="BL436">
            <v>-0.10000000000172804</v>
          </cell>
          <cell r="BM436">
            <v>1.8189894035458565E-12</v>
          </cell>
          <cell r="BN436">
            <v>-9.9999999999681677E-2</v>
          </cell>
          <cell r="BO436">
            <v>0</v>
          </cell>
          <cell r="BP436">
            <v>1.8189894035458565E-12</v>
          </cell>
          <cell r="BQ436">
            <v>0</v>
          </cell>
          <cell r="BR436">
            <v>0</v>
          </cell>
          <cell r="BS436">
            <v>0</v>
          </cell>
          <cell r="BT436">
            <v>0.10000000000081855</v>
          </cell>
          <cell r="BU436">
            <v>-9.9999999999681677E-2</v>
          </cell>
          <cell r="BV436">
            <v>0.10000000000172804</v>
          </cell>
          <cell r="BW436">
            <v>0</v>
          </cell>
          <cell r="BX436">
            <v>0</v>
          </cell>
          <cell r="BY436">
            <v>-9.9999999998090061E-2</v>
          </cell>
          <cell r="BZ436">
            <v>0</v>
          </cell>
          <cell r="CA436">
            <v>-0.1000000000003638</v>
          </cell>
          <cell r="CB436">
            <v>-0.10000000000104592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-0.10000000000263753</v>
          </cell>
          <cell r="CI436">
            <v>9.999999999922693E-2</v>
          </cell>
          <cell r="CJ436">
            <v>-9.9999999997180566E-2</v>
          </cell>
          <cell r="CK436">
            <v>9.9999999999681677E-2</v>
          </cell>
          <cell r="CL436">
            <v>0</v>
          </cell>
          <cell r="CM436">
            <v>0</v>
          </cell>
          <cell r="CN436">
            <v>0.10000000000263753</v>
          </cell>
          <cell r="CO436">
            <v>-9.999999999922693E-2</v>
          </cell>
          <cell r="CP436">
            <v>0</v>
          </cell>
          <cell r="CQ436">
            <v>-9.9999999998090061E-2</v>
          </cell>
          <cell r="CR436">
            <v>0</v>
          </cell>
          <cell r="CS436">
            <v>2.9558577807620168E-12</v>
          </cell>
          <cell r="CT436">
            <v>2.2737367544323206E-12</v>
          </cell>
          <cell r="CU436">
            <v>0</v>
          </cell>
          <cell r="CV436">
            <v>0.10000000000150067</v>
          </cell>
          <cell r="CW436">
            <v>0</v>
          </cell>
          <cell r="CX436">
            <v>0.10000000000150067</v>
          </cell>
          <cell r="CY436">
            <v>-0.10000000000104592</v>
          </cell>
          <cell r="CZ436">
            <v>-0.1000000000003638</v>
          </cell>
          <cell r="DA436">
            <v>0</v>
          </cell>
          <cell r="DB436">
            <v>0</v>
          </cell>
          <cell r="DC436">
            <v>0</v>
          </cell>
          <cell r="DD436">
            <v>-9.9999999999454303E-2</v>
          </cell>
          <cell r="DE436">
            <v>-9.9999999998544808E-2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3.637978807091713E-12</v>
          </cell>
          <cell r="DN436">
            <v>-2.1826984664130578E-12</v>
          </cell>
          <cell r="DO436">
            <v>0.10000000000218279</v>
          </cell>
          <cell r="DP436">
            <v>0</v>
          </cell>
          <cell r="DQ436">
            <v>2.9096725029376103E-12</v>
          </cell>
          <cell r="DR436">
            <v>5.0928150585605181E-12</v>
          </cell>
          <cell r="DS436">
            <v>2.9096725029376103E-12</v>
          </cell>
          <cell r="DT436">
            <v>-1.4566126083082054E-12</v>
          </cell>
          <cell r="DU436">
            <v>2.1813661987835076E-12</v>
          </cell>
          <cell r="DV436">
            <v>-2.1813661987835076E-12</v>
          </cell>
          <cell r="DW436">
            <v>1.4566126083082054E-12</v>
          </cell>
        </row>
        <row r="441">
          <cell r="E441" t="str">
            <v>A_1231000</v>
          </cell>
          <cell r="F441" t="str">
            <v>Investment in Subsidiary Companies</v>
          </cell>
          <cell r="BD441">
            <v>1715700</v>
          </cell>
          <cell r="BE441">
            <v>2142900</v>
          </cell>
          <cell r="BF441">
            <v>1123300</v>
          </cell>
          <cell r="BG441">
            <v>1235900</v>
          </cell>
          <cell r="BH441">
            <v>1742200</v>
          </cell>
          <cell r="BI441">
            <v>1049800</v>
          </cell>
          <cell r="BJ441">
            <v>1272500</v>
          </cell>
          <cell r="BK441">
            <v>1562000</v>
          </cell>
          <cell r="BL441">
            <v>760600</v>
          </cell>
          <cell r="BM441">
            <v>935100</v>
          </cell>
          <cell r="BN441">
            <v>1188800</v>
          </cell>
          <cell r="BO441">
            <v>777900</v>
          </cell>
          <cell r="BP441">
            <v>1195200</v>
          </cell>
          <cell r="BQ441">
            <v>1451900</v>
          </cell>
          <cell r="BR441">
            <v>823600</v>
          </cell>
          <cell r="BS441">
            <v>1284800</v>
          </cell>
          <cell r="BT441">
            <v>1701900</v>
          </cell>
          <cell r="BU441">
            <v>1022400</v>
          </cell>
          <cell r="BV441">
            <v>1256900</v>
          </cell>
          <cell r="BW441">
            <v>1595900</v>
          </cell>
          <cell r="BX441">
            <v>1079900</v>
          </cell>
          <cell r="BY441">
            <v>1299000</v>
          </cell>
          <cell r="BZ441">
            <v>1496600</v>
          </cell>
          <cell r="CA441">
            <v>673300</v>
          </cell>
          <cell r="CB441">
            <v>902000</v>
          </cell>
          <cell r="CC441">
            <v>1028300</v>
          </cell>
          <cell r="CD441">
            <v>832600</v>
          </cell>
          <cell r="CE441">
            <v>926500</v>
          </cell>
          <cell r="CF441">
            <v>1261000</v>
          </cell>
          <cell r="CG441">
            <v>1026300</v>
          </cell>
          <cell r="CH441">
            <v>1250600</v>
          </cell>
          <cell r="CI441">
            <v>1439000</v>
          </cell>
          <cell r="CJ441">
            <v>781300</v>
          </cell>
          <cell r="CK441">
            <v>1020500</v>
          </cell>
          <cell r="CL441">
            <v>1371300</v>
          </cell>
          <cell r="CM441">
            <v>841300</v>
          </cell>
          <cell r="CN441">
            <v>1208300</v>
          </cell>
          <cell r="CO441">
            <v>1542500</v>
          </cell>
          <cell r="CP441">
            <v>1003500</v>
          </cell>
          <cell r="CQ441">
            <v>1278800</v>
          </cell>
          <cell r="CR441">
            <v>612900</v>
          </cell>
          <cell r="CS441">
            <v>1003500</v>
          </cell>
          <cell r="CT441">
            <v>1274900</v>
          </cell>
          <cell r="CU441">
            <v>1549100</v>
          </cell>
          <cell r="CV441">
            <v>892700</v>
          </cell>
          <cell r="CW441">
            <v>1188500</v>
          </cell>
          <cell r="CX441">
            <v>1502200</v>
          </cell>
          <cell r="CY441">
            <v>868300</v>
          </cell>
          <cell r="CZ441">
            <v>1027800</v>
          </cell>
          <cell r="DA441">
            <v>1172800</v>
          </cell>
          <cell r="DB441">
            <v>679800</v>
          </cell>
          <cell r="DC441">
            <v>1153400</v>
          </cell>
          <cell r="DD441">
            <v>538800</v>
          </cell>
          <cell r="DE441">
            <v>814900</v>
          </cell>
          <cell r="DF441">
            <v>1037800</v>
          </cell>
          <cell r="DG441">
            <v>1474400</v>
          </cell>
          <cell r="DH441">
            <v>1006100</v>
          </cell>
          <cell r="DI441">
            <v>1343600</v>
          </cell>
          <cell r="DJ441">
            <v>533000</v>
          </cell>
          <cell r="DK441">
            <v>833100</v>
          </cell>
        </row>
        <row r="442">
          <cell r="F442" t="str">
            <v>TPI NI</v>
          </cell>
          <cell r="BD442">
            <v>427300</v>
          </cell>
          <cell r="BE442">
            <v>414600</v>
          </cell>
          <cell r="BF442">
            <v>112600</v>
          </cell>
          <cell r="BG442">
            <v>506300</v>
          </cell>
          <cell r="BH442">
            <v>262000</v>
          </cell>
          <cell r="BI442">
            <v>222700</v>
          </cell>
          <cell r="BJ442">
            <v>289500</v>
          </cell>
          <cell r="BK442">
            <v>189600</v>
          </cell>
          <cell r="BL442">
            <v>174500</v>
          </cell>
          <cell r="BM442">
            <v>253700</v>
          </cell>
          <cell r="BN442">
            <v>242700</v>
          </cell>
          <cell r="BO442">
            <v>417300</v>
          </cell>
          <cell r="BP442">
            <v>256600.00000000003</v>
          </cell>
          <cell r="BQ442">
            <v>285500</v>
          </cell>
          <cell r="BR442">
            <v>461100</v>
          </cell>
          <cell r="BS442">
            <v>417100</v>
          </cell>
          <cell r="BT442">
            <v>323800</v>
          </cell>
          <cell r="BU442">
            <v>234500</v>
          </cell>
          <cell r="BV442">
            <v>338900</v>
          </cell>
          <cell r="BW442">
            <v>459500</v>
          </cell>
          <cell r="BX442">
            <v>219200</v>
          </cell>
          <cell r="BY442">
            <v>197600</v>
          </cell>
          <cell r="BZ442">
            <v>194200</v>
          </cell>
          <cell r="CA442">
            <v>228800</v>
          </cell>
          <cell r="CB442">
            <v>126300</v>
          </cell>
          <cell r="CC442">
            <v>424900</v>
          </cell>
          <cell r="CD442">
            <v>93900</v>
          </cell>
          <cell r="CE442">
            <v>334400</v>
          </cell>
          <cell r="CF442">
            <v>410300</v>
          </cell>
          <cell r="CG442">
            <v>224300</v>
          </cell>
          <cell r="CH442">
            <v>188400</v>
          </cell>
          <cell r="CI442">
            <v>311300</v>
          </cell>
          <cell r="CJ442">
            <v>239200</v>
          </cell>
          <cell r="CK442">
            <v>350800</v>
          </cell>
          <cell r="CL442">
            <v>209000</v>
          </cell>
          <cell r="CM442">
            <v>367000</v>
          </cell>
          <cell r="CN442">
            <v>334100</v>
          </cell>
          <cell r="CO442">
            <v>387900</v>
          </cell>
          <cell r="CP442">
            <v>275400</v>
          </cell>
          <cell r="CQ442">
            <v>331500</v>
          </cell>
          <cell r="CR442">
            <v>390500</v>
          </cell>
          <cell r="CS442">
            <v>271500</v>
          </cell>
          <cell r="CT442">
            <v>274100</v>
          </cell>
          <cell r="CU442">
            <v>337100</v>
          </cell>
          <cell r="CV442">
            <v>295800</v>
          </cell>
          <cell r="CW442">
            <v>313700</v>
          </cell>
          <cell r="CX442">
            <v>273100</v>
          </cell>
          <cell r="CY442">
            <v>159400</v>
          </cell>
          <cell r="CZ442">
            <v>145000</v>
          </cell>
          <cell r="DA442">
            <v>253300</v>
          </cell>
          <cell r="DB442">
            <v>473600</v>
          </cell>
          <cell r="DC442">
            <v>257399.99999999997</v>
          </cell>
          <cell r="DD442">
            <v>276000</v>
          </cell>
          <cell r="DE442">
            <v>223000</v>
          </cell>
          <cell r="DF442">
            <v>436600</v>
          </cell>
          <cell r="DG442">
            <v>288000</v>
          </cell>
          <cell r="DH442">
            <v>337600</v>
          </cell>
          <cell r="DI442">
            <v>251500</v>
          </cell>
          <cell r="DJ442">
            <v>300100</v>
          </cell>
          <cell r="DK442">
            <v>13100</v>
          </cell>
        </row>
        <row r="443">
          <cell r="F443" t="str">
            <v>TPI DIV</v>
          </cell>
          <cell r="BD443">
            <v>0</v>
          </cell>
          <cell r="BE443">
            <v>-1434300.0000000002</v>
          </cell>
          <cell r="BF443">
            <v>0</v>
          </cell>
          <cell r="BG443">
            <v>0</v>
          </cell>
          <cell r="BH443">
            <v>-954500.00000000012</v>
          </cell>
          <cell r="BI443">
            <v>0</v>
          </cell>
          <cell r="BJ443">
            <v>0</v>
          </cell>
          <cell r="BK443">
            <v>-991000</v>
          </cell>
          <cell r="BL443">
            <v>0</v>
          </cell>
          <cell r="BM443">
            <v>0</v>
          </cell>
          <cell r="BN443">
            <v>-653600</v>
          </cell>
          <cell r="BO443">
            <v>0</v>
          </cell>
          <cell r="BP443">
            <v>0</v>
          </cell>
          <cell r="BQ443">
            <v>-913700</v>
          </cell>
          <cell r="BR443">
            <v>0</v>
          </cell>
          <cell r="BS443">
            <v>0</v>
          </cell>
          <cell r="BT443">
            <v>-1003200</v>
          </cell>
          <cell r="BU443">
            <v>0</v>
          </cell>
          <cell r="BV443">
            <v>0</v>
          </cell>
          <cell r="BW443">
            <v>-975400.00000000012</v>
          </cell>
          <cell r="BX443">
            <v>0</v>
          </cell>
          <cell r="BY443">
            <v>0</v>
          </cell>
          <cell r="BZ443">
            <v>-1017599.9999999999</v>
          </cell>
          <cell r="CA443">
            <v>0</v>
          </cell>
          <cell r="CB443">
            <v>0</v>
          </cell>
          <cell r="CC443">
            <v>-620599.99999999988</v>
          </cell>
          <cell r="CD443">
            <v>0</v>
          </cell>
          <cell r="CE443">
            <v>0</v>
          </cell>
          <cell r="CF443">
            <v>-645099.99999999988</v>
          </cell>
          <cell r="CG443">
            <v>0</v>
          </cell>
          <cell r="CH443">
            <v>0</v>
          </cell>
          <cell r="CI443">
            <v>-969000</v>
          </cell>
          <cell r="CJ443">
            <v>0</v>
          </cell>
          <cell r="CK443">
            <v>0</v>
          </cell>
          <cell r="CL443">
            <v>-738900.00000000012</v>
          </cell>
          <cell r="CM443">
            <v>0</v>
          </cell>
          <cell r="CN443">
            <v>0</v>
          </cell>
          <cell r="CO443">
            <v>-926800</v>
          </cell>
          <cell r="CP443">
            <v>0</v>
          </cell>
          <cell r="CQ443">
            <v>0</v>
          </cell>
          <cell r="CR443">
            <v>-997400</v>
          </cell>
          <cell r="CS443">
            <v>0</v>
          </cell>
          <cell r="CT443">
            <v>0</v>
          </cell>
          <cell r="CU443">
            <v>-993500</v>
          </cell>
          <cell r="CV443">
            <v>0</v>
          </cell>
          <cell r="CW443">
            <v>0</v>
          </cell>
          <cell r="CX443">
            <v>-907000</v>
          </cell>
          <cell r="CY443">
            <v>0</v>
          </cell>
          <cell r="CZ443">
            <v>0</v>
          </cell>
          <cell r="DA443">
            <v>-746199.99999999988</v>
          </cell>
          <cell r="DB443">
            <v>0</v>
          </cell>
          <cell r="DC443">
            <v>0</v>
          </cell>
          <cell r="DD443">
            <v>-871900.00000000012</v>
          </cell>
          <cell r="DE443">
            <v>0</v>
          </cell>
          <cell r="DF443">
            <v>0</v>
          </cell>
          <cell r="DG443">
            <v>-756400</v>
          </cell>
          <cell r="DH443">
            <v>0</v>
          </cell>
          <cell r="DI443">
            <v>0</v>
          </cell>
          <cell r="DJ443">
            <v>-1062200</v>
          </cell>
          <cell r="DK443">
            <v>0</v>
          </cell>
        </row>
        <row r="444">
          <cell r="E444" t="str">
            <v>A_1231000</v>
          </cell>
          <cell r="F444" t="str">
            <v>Ending Inv Balance</v>
          </cell>
          <cell r="BD444">
            <v>2143000</v>
          </cell>
          <cell r="BE444">
            <v>1123199.9999999998</v>
          </cell>
          <cell r="BF444">
            <v>1235900</v>
          </cell>
          <cell r="BG444">
            <v>1742200</v>
          </cell>
          <cell r="BH444">
            <v>1049700</v>
          </cell>
          <cell r="BI444">
            <v>1272500</v>
          </cell>
          <cell r="BJ444">
            <v>1562000</v>
          </cell>
          <cell r="BK444">
            <v>760600</v>
          </cell>
          <cell r="BL444">
            <v>935100</v>
          </cell>
          <cell r="BM444">
            <v>1188800</v>
          </cell>
          <cell r="BN444">
            <v>777900</v>
          </cell>
          <cell r="BO444">
            <v>1195200</v>
          </cell>
          <cell r="BP444">
            <v>1451800</v>
          </cell>
          <cell r="BQ444">
            <v>823700</v>
          </cell>
          <cell r="BR444">
            <v>1284700</v>
          </cell>
          <cell r="BS444">
            <v>1701900</v>
          </cell>
          <cell r="BT444">
            <v>1022500</v>
          </cell>
          <cell r="BU444">
            <v>1256900</v>
          </cell>
          <cell r="BV444">
            <v>1595800</v>
          </cell>
          <cell r="BW444">
            <v>1080000</v>
          </cell>
          <cell r="BX444">
            <v>1299100</v>
          </cell>
          <cell r="BY444">
            <v>1496600</v>
          </cell>
          <cell r="BZ444">
            <v>673200.00000000012</v>
          </cell>
          <cell r="CA444">
            <v>902100</v>
          </cell>
          <cell r="CB444">
            <v>1028300</v>
          </cell>
          <cell r="CC444">
            <v>832600.00000000012</v>
          </cell>
          <cell r="CD444">
            <v>926500</v>
          </cell>
          <cell r="CE444">
            <v>1260900</v>
          </cell>
          <cell r="CF444">
            <v>1026200.0000000001</v>
          </cell>
          <cell r="CG444">
            <v>1250600</v>
          </cell>
          <cell r="CH444">
            <v>1439000</v>
          </cell>
          <cell r="CI444">
            <v>781300</v>
          </cell>
          <cell r="CJ444">
            <v>1020500</v>
          </cell>
          <cell r="CK444">
            <v>1371300</v>
          </cell>
          <cell r="CL444">
            <v>841399.99999999988</v>
          </cell>
          <cell r="CM444">
            <v>1208300</v>
          </cell>
          <cell r="CN444">
            <v>1542400</v>
          </cell>
          <cell r="CO444">
            <v>1003600</v>
          </cell>
          <cell r="CP444">
            <v>1278900</v>
          </cell>
          <cell r="CQ444">
            <v>1610300</v>
          </cell>
          <cell r="CR444">
            <v>6000</v>
          </cell>
          <cell r="CS444">
            <v>1275000</v>
          </cell>
          <cell r="CT444">
            <v>1549000</v>
          </cell>
          <cell r="CU444">
            <v>892700</v>
          </cell>
          <cell r="CV444">
            <v>1188500</v>
          </cell>
          <cell r="CW444">
            <v>1502200</v>
          </cell>
          <cell r="CX444">
            <v>868300</v>
          </cell>
          <cell r="CY444">
            <v>1027700</v>
          </cell>
          <cell r="CZ444">
            <v>1172800</v>
          </cell>
          <cell r="DA444">
            <v>679900.00000000012</v>
          </cell>
          <cell r="DB444">
            <v>1153400</v>
          </cell>
          <cell r="DC444">
            <v>1410800</v>
          </cell>
          <cell r="DD444">
            <v>-57100.000000000116</v>
          </cell>
          <cell r="DE444">
            <v>1037900</v>
          </cell>
          <cell r="DF444">
            <v>1474400</v>
          </cell>
          <cell r="DG444">
            <v>1006000</v>
          </cell>
          <cell r="DH444">
            <v>1343700</v>
          </cell>
          <cell r="DI444">
            <v>1595100</v>
          </cell>
          <cell r="DJ444">
            <v>-229100</v>
          </cell>
          <cell r="DK444">
            <v>846200</v>
          </cell>
        </row>
        <row r="446">
          <cell r="F446" t="str">
            <v>TPI  YTD DIV</v>
          </cell>
          <cell r="BD446">
            <v>0</v>
          </cell>
          <cell r="BE446">
            <v>-1434300.0000000002</v>
          </cell>
          <cell r="BF446">
            <v>-1434300.0000000002</v>
          </cell>
          <cell r="BG446">
            <v>-1434300.0000000002</v>
          </cell>
          <cell r="BH446">
            <v>-2388800.0000000005</v>
          </cell>
          <cell r="BI446">
            <v>-2388800.0000000005</v>
          </cell>
          <cell r="BJ446">
            <v>-2388800.0000000005</v>
          </cell>
          <cell r="BK446">
            <v>-3379800.0000000005</v>
          </cell>
          <cell r="BL446">
            <v>-3379800.0000000005</v>
          </cell>
          <cell r="BM446">
            <v>-3379800.0000000005</v>
          </cell>
          <cell r="BN446">
            <v>-4033400.0000000005</v>
          </cell>
          <cell r="BO446">
            <v>-4033400.0000000005</v>
          </cell>
          <cell r="BP446">
            <v>0</v>
          </cell>
          <cell r="BQ446">
            <v>-913700</v>
          </cell>
          <cell r="BR446">
            <v>-913700</v>
          </cell>
          <cell r="BS446">
            <v>-913700</v>
          </cell>
          <cell r="BT446">
            <v>-1916900</v>
          </cell>
          <cell r="BU446">
            <v>-1916900</v>
          </cell>
          <cell r="BV446">
            <v>-1916900</v>
          </cell>
          <cell r="BW446">
            <v>-2892300</v>
          </cell>
          <cell r="BX446">
            <v>-2892300</v>
          </cell>
          <cell r="BY446">
            <v>-2892300</v>
          </cell>
          <cell r="BZ446">
            <v>-3909900</v>
          </cell>
          <cell r="CA446">
            <v>-3909900</v>
          </cell>
          <cell r="CB446">
            <v>0</v>
          </cell>
          <cell r="CC446">
            <v>-620599.99999999988</v>
          </cell>
          <cell r="CD446">
            <v>-620599.99999999988</v>
          </cell>
          <cell r="CE446">
            <v>-620599.99999999988</v>
          </cell>
          <cell r="CF446">
            <v>-1265699.9999999998</v>
          </cell>
          <cell r="CG446">
            <v>-1265699.9999999998</v>
          </cell>
          <cell r="CH446">
            <v>-1265699.9999999998</v>
          </cell>
          <cell r="CI446">
            <v>-2234700</v>
          </cell>
          <cell r="CJ446">
            <v>-2234700</v>
          </cell>
          <cell r="CK446">
            <v>-2234700</v>
          </cell>
          <cell r="CL446">
            <v>-2973600</v>
          </cell>
          <cell r="CM446">
            <v>-2973600</v>
          </cell>
          <cell r="CN446">
            <v>-2973600</v>
          </cell>
          <cell r="CO446">
            <v>-3900400</v>
          </cell>
          <cell r="CP446">
            <v>-3900400</v>
          </cell>
          <cell r="CQ446">
            <v>-3900400</v>
          </cell>
          <cell r="CR446">
            <v>-4897800</v>
          </cell>
          <cell r="CS446">
            <v>-4897800</v>
          </cell>
          <cell r="CT446">
            <v>-4897800</v>
          </cell>
          <cell r="CU446">
            <v>-5891300</v>
          </cell>
          <cell r="CV446">
            <v>-5891300</v>
          </cell>
          <cell r="CW446">
            <v>-5891300</v>
          </cell>
          <cell r="CX446">
            <v>-6798300</v>
          </cell>
          <cell r="CY446">
            <v>-6798300</v>
          </cell>
          <cell r="CZ446">
            <v>-6798300</v>
          </cell>
          <cell r="DA446">
            <v>-7544500</v>
          </cell>
          <cell r="DB446">
            <v>-7544500</v>
          </cell>
          <cell r="DC446">
            <v>-7544500</v>
          </cell>
          <cell r="DD446">
            <v>-8416400</v>
          </cell>
          <cell r="DE446">
            <v>-8416400</v>
          </cell>
          <cell r="DF446">
            <v>-8416400</v>
          </cell>
          <cell r="DG446">
            <v>-9172800</v>
          </cell>
          <cell r="DH446">
            <v>-9172800</v>
          </cell>
          <cell r="DI446">
            <v>-9172800</v>
          </cell>
          <cell r="DJ446">
            <v>-10235000</v>
          </cell>
          <cell r="DK446">
            <v>-10235000</v>
          </cell>
        </row>
        <row r="447">
          <cell r="BD447">
            <v>100</v>
          </cell>
          <cell r="BE447">
            <v>-100.00000000023283</v>
          </cell>
          <cell r="BF447">
            <v>0</v>
          </cell>
          <cell r="BG447">
            <v>0</v>
          </cell>
          <cell r="BH447">
            <v>-100</v>
          </cell>
          <cell r="BI447">
            <v>0</v>
          </cell>
          <cell r="BJ447">
            <v>0</v>
          </cell>
          <cell r="BK447">
            <v>0</v>
          </cell>
        </row>
        <row r="449">
          <cell r="BD449" t="str">
            <v>Actual</v>
          </cell>
          <cell r="BE449" t="str">
            <v>Actual</v>
          </cell>
          <cell r="BF449" t="str">
            <v>Actual</v>
          </cell>
          <cell r="BG449" t="str">
            <v>Actual</v>
          </cell>
          <cell r="BH449" t="str">
            <v>Actual</v>
          </cell>
          <cell r="BI449" t="str">
            <v>Forecast</v>
          </cell>
          <cell r="BJ449" t="str">
            <v>Forecast</v>
          </cell>
          <cell r="BK449" t="str">
            <v>Forecast</v>
          </cell>
          <cell r="BL449" t="str">
            <v>Forecast</v>
          </cell>
          <cell r="BM449" t="str">
            <v>Forecast</v>
          </cell>
          <cell r="BN449" t="str">
            <v>Forecast</v>
          </cell>
          <cell r="BO449" t="str">
            <v>Forecast</v>
          </cell>
          <cell r="BP449" t="str">
            <v>Actual</v>
          </cell>
          <cell r="BQ449" t="str">
            <v>Actual</v>
          </cell>
          <cell r="BR449" t="str">
            <v>Actual</v>
          </cell>
          <cell r="BS449" t="str">
            <v>Actual</v>
          </cell>
          <cell r="BT449" t="str">
            <v>Actual</v>
          </cell>
          <cell r="BU449" t="str">
            <v>Actual</v>
          </cell>
          <cell r="BV449" t="str">
            <v>Actual</v>
          </cell>
          <cell r="BW449" t="str">
            <v>Actual</v>
          </cell>
          <cell r="BX449" t="str">
            <v>Actual</v>
          </cell>
          <cell r="BY449" t="str">
            <v>Actual</v>
          </cell>
          <cell r="BZ449" t="str">
            <v>Actual</v>
          </cell>
          <cell r="CA449" t="str">
            <v>Actual</v>
          </cell>
          <cell r="CB449" t="str">
            <v>Actual</v>
          </cell>
          <cell r="CC449" t="str">
            <v>Actual</v>
          </cell>
          <cell r="CD449" t="str">
            <v>Actual</v>
          </cell>
          <cell r="CE449" t="str">
            <v>Actual</v>
          </cell>
          <cell r="CF449" t="str">
            <v>Actual</v>
          </cell>
          <cell r="CG449" t="str">
            <v>Actual</v>
          </cell>
          <cell r="CH449" t="str">
            <v>Actual</v>
          </cell>
          <cell r="CI449" t="str">
            <v>Actual</v>
          </cell>
          <cell r="CJ449" t="str">
            <v>Actual</v>
          </cell>
          <cell r="CK449" t="str">
            <v>Actual</v>
          </cell>
          <cell r="CL449" t="str">
            <v>Actual</v>
          </cell>
          <cell r="CM449" t="str">
            <v>Actual</v>
          </cell>
          <cell r="CN449" t="str">
            <v>Actual</v>
          </cell>
          <cell r="CO449" t="str">
            <v>Actual</v>
          </cell>
          <cell r="CP449" t="str">
            <v>Actual</v>
          </cell>
          <cell r="CQ449" t="str">
            <v>Actual</v>
          </cell>
          <cell r="CR449" t="str">
            <v>Actual</v>
          </cell>
          <cell r="CS449" t="str">
            <v>Actual</v>
          </cell>
          <cell r="CT449" t="str">
            <v>Actual</v>
          </cell>
          <cell r="CU449" t="str">
            <v>Actual</v>
          </cell>
          <cell r="CV449" t="str">
            <v>Actual</v>
          </cell>
          <cell r="CW449" t="str">
            <v>Actual</v>
          </cell>
          <cell r="CX449" t="str">
            <v>Actual</v>
          </cell>
          <cell r="CY449" t="str">
            <v>Actual</v>
          </cell>
          <cell r="CZ449" t="str">
            <v>Actual</v>
          </cell>
          <cell r="DA449" t="str">
            <v>Actual</v>
          </cell>
          <cell r="DB449" t="str">
            <v>Actual</v>
          </cell>
          <cell r="DC449" t="str">
            <v>Actual</v>
          </cell>
          <cell r="DD449" t="str">
            <v>Actual</v>
          </cell>
          <cell r="DE449" t="str">
            <v>Actual</v>
          </cell>
          <cell r="DF449" t="str">
            <v>Actual</v>
          </cell>
          <cell r="DG449" t="str">
            <v>Actual</v>
          </cell>
          <cell r="DH449" t="str">
            <v>Actual</v>
          </cell>
          <cell r="DI449" t="str">
            <v>Actual</v>
          </cell>
          <cell r="DJ449" t="str">
            <v>Actual</v>
          </cell>
          <cell r="DK449" t="str">
            <v>Actual</v>
          </cell>
        </row>
        <row r="450">
          <cell r="BD450">
            <v>43101</v>
          </cell>
          <cell r="BE450">
            <v>43132</v>
          </cell>
          <cell r="BF450">
            <v>43160</v>
          </cell>
          <cell r="BG450">
            <v>43191</v>
          </cell>
          <cell r="BH450">
            <v>43221</v>
          </cell>
          <cell r="BI450">
            <v>43252</v>
          </cell>
          <cell r="BJ450">
            <v>43282</v>
          </cell>
          <cell r="BK450">
            <v>43313</v>
          </cell>
          <cell r="BL450">
            <v>43344</v>
          </cell>
          <cell r="BM450">
            <v>43374</v>
          </cell>
          <cell r="BN450">
            <v>43405</v>
          </cell>
          <cell r="BO450">
            <v>43435</v>
          </cell>
          <cell r="BP450">
            <v>43466</v>
          </cell>
          <cell r="BQ450">
            <v>43497</v>
          </cell>
          <cell r="BR450">
            <v>43525</v>
          </cell>
          <cell r="BS450">
            <v>43556</v>
          </cell>
          <cell r="BT450">
            <v>43586</v>
          </cell>
          <cell r="BU450">
            <v>43617</v>
          </cell>
          <cell r="BV450">
            <v>43647</v>
          </cell>
          <cell r="BW450">
            <v>43678</v>
          </cell>
          <cell r="BX450">
            <v>43709</v>
          </cell>
          <cell r="BY450">
            <v>43739</v>
          </cell>
          <cell r="BZ450">
            <v>43770</v>
          </cell>
          <cell r="CA450">
            <v>43800</v>
          </cell>
          <cell r="CB450">
            <v>43831</v>
          </cell>
          <cell r="CC450">
            <v>43862</v>
          </cell>
          <cell r="CD450">
            <v>43891</v>
          </cell>
          <cell r="CE450">
            <v>43922</v>
          </cell>
          <cell r="CF450">
            <v>43952</v>
          </cell>
          <cell r="CG450">
            <v>43983</v>
          </cell>
          <cell r="CH450">
            <v>44013</v>
          </cell>
          <cell r="CI450">
            <v>44044</v>
          </cell>
          <cell r="CJ450">
            <v>44075</v>
          </cell>
          <cell r="CK450">
            <v>44105</v>
          </cell>
          <cell r="CL450">
            <v>44136</v>
          </cell>
          <cell r="CM450">
            <v>44166</v>
          </cell>
          <cell r="CN450">
            <v>44197</v>
          </cell>
          <cell r="CO450">
            <v>44228</v>
          </cell>
          <cell r="CP450">
            <v>44256</v>
          </cell>
          <cell r="CQ450">
            <v>44287</v>
          </cell>
          <cell r="CR450">
            <v>44317</v>
          </cell>
          <cell r="CS450">
            <v>44348</v>
          </cell>
          <cell r="CT450">
            <v>44378</v>
          </cell>
          <cell r="CU450">
            <v>44409</v>
          </cell>
          <cell r="CV450">
            <v>44440</v>
          </cell>
          <cell r="CW450">
            <v>44470</v>
          </cell>
          <cell r="CX450">
            <v>44501</v>
          </cell>
          <cell r="CY450">
            <v>44531</v>
          </cell>
          <cell r="CZ450">
            <v>44562</v>
          </cell>
          <cell r="DA450">
            <v>44593</v>
          </cell>
          <cell r="DB450">
            <v>44621</v>
          </cell>
          <cell r="DC450">
            <v>44652</v>
          </cell>
          <cell r="DD450">
            <v>44682</v>
          </cell>
          <cell r="DE450">
            <v>44713</v>
          </cell>
          <cell r="DF450">
            <v>44743</v>
          </cell>
          <cell r="DG450">
            <v>44774</v>
          </cell>
          <cell r="DH450">
            <v>44805</v>
          </cell>
          <cell r="DI450">
            <v>44835</v>
          </cell>
          <cell r="DJ450">
            <v>44866</v>
          </cell>
          <cell r="DK450">
            <v>44896</v>
          </cell>
        </row>
        <row r="452">
          <cell r="F452" t="str">
            <v>CASH</v>
          </cell>
          <cell r="BC452" t="str">
            <v>CASH</v>
          </cell>
          <cell r="BD452">
            <v>7688.5</v>
          </cell>
          <cell r="BE452">
            <v>10910.199999999999</v>
          </cell>
          <cell r="BF452">
            <v>8678.5999999999985</v>
          </cell>
          <cell r="BG452">
            <v>7205.2</v>
          </cell>
          <cell r="BH452">
            <v>9524.5</v>
          </cell>
          <cell r="BI452">
            <v>8981.6</v>
          </cell>
          <cell r="BJ452">
            <v>8637.1999999999989</v>
          </cell>
          <cell r="BK452">
            <v>9145</v>
          </cell>
          <cell r="BL452">
            <v>9419.1999999999989</v>
          </cell>
          <cell r="BM452">
            <v>8961.2999999999993</v>
          </cell>
          <cell r="BN452">
            <v>8984.9000000000015</v>
          </cell>
          <cell r="BO452">
            <v>8481.9000000000015</v>
          </cell>
          <cell r="BP452">
            <v>9183.2000000000007</v>
          </cell>
          <cell r="BQ452">
            <v>8750.1</v>
          </cell>
          <cell r="BR452">
            <v>8471.5</v>
          </cell>
          <cell r="BS452">
            <v>8031.8000000000011</v>
          </cell>
          <cell r="BT452">
            <v>8438.4</v>
          </cell>
          <cell r="BU452">
            <v>8121.4</v>
          </cell>
          <cell r="BV452">
            <v>7908.7</v>
          </cell>
          <cell r="BW452">
            <v>8508.7999999999993</v>
          </cell>
          <cell r="BX452">
            <v>8534.6999999999989</v>
          </cell>
          <cell r="BY452">
            <v>7780.9000000000024</v>
          </cell>
          <cell r="BZ452">
            <v>8085.6000000000022</v>
          </cell>
          <cell r="CA452">
            <v>8303.9</v>
          </cell>
          <cell r="CB452">
            <v>7302.5000000000018</v>
          </cell>
          <cell r="CC452">
            <v>8288</v>
          </cell>
          <cell r="CD452">
            <v>7325.9000000000015</v>
          </cell>
          <cell r="CE452">
            <v>8579.1999999999989</v>
          </cell>
          <cell r="CF452">
            <v>7939.7999999999975</v>
          </cell>
          <cell r="CG452">
            <v>9217.2999999999993</v>
          </cell>
          <cell r="CH452">
            <v>8749</v>
          </cell>
          <cell r="CI452">
            <v>9091.2000000000007</v>
          </cell>
          <cell r="CJ452">
            <v>8693.8000000000011</v>
          </cell>
          <cell r="CK452">
            <v>7909.2999999999993</v>
          </cell>
          <cell r="CL452">
            <v>-2329.1999999999989</v>
          </cell>
          <cell r="CM452">
            <v>-2517</v>
          </cell>
          <cell r="CN452">
            <v>-2689.8999999999996</v>
          </cell>
          <cell r="CO452">
            <v>-3161.8999999999996</v>
          </cell>
          <cell r="CP452">
            <v>-11401.400000000001</v>
          </cell>
          <cell r="CQ452">
            <v>-5509.3000000000011</v>
          </cell>
          <cell r="CR452">
            <v>-6461.1</v>
          </cell>
          <cell r="CS452">
            <v>-6948.9</v>
          </cell>
          <cell r="CT452">
            <v>-7398.5</v>
          </cell>
          <cell r="CU452">
            <v>-8227.5</v>
          </cell>
          <cell r="CV452">
            <v>-7765.9000000000005</v>
          </cell>
          <cell r="CW452">
            <v>-7470.3999999999987</v>
          </cell>
          <cell r="CX452">
            <v>-7735.2999999999993</v>
          </cell>
          <cell r="CY452">
            <v>2104.3000000000002</v>
          </cell>
          <cell r="CZ452">
            <v>2421.3999999999987</v>
          </cell>
          <cell r="DA452">
            <v>2914.0000000000009</v>
          </cell>
          <cell r="DB452">
            <v>2916.8999999999996</v>
          </cell>
          <cell r="DC452">
            <v>3086.1000000000004</v>
          </cell>
          <cell r="DD452">
            <v>3094.3</v>
          </cell>
          <cell r="DE452">
            <v>3178.4000000000005</v>
          </cell>
          <cell r="DF452">
            <v>3526.6000000000004</v>
          </cell>
          <cell r="DG452">
            <v>3591.7</v>
          </cell>
          <cell r="DH452">
            <v>3683.8999999999996</v>
          </cell>
          <cell r="DI452">
            <v>4119.2999999999993</v>
          </cell>
          <cell r="DJ452">
            <v>3693.2000000000007</v>
          </cell>
          <cell r="DK452">
            <v>3398.8</v>
          </cell>
        </row>
        <row r="454">
          <cell r="F454" t="str">
            <v>ST DEBT</v>
          </cell>
          <cell r="BC454" t="str">
            <v>ST DEBT (incl intero payable)</v>
          </cell>
          <cell r="BD454">
            <v>55045.7</v>
          </cell>
          <cell r="BE454">
            <v>58203.6</v>
          </cell>
          <cell r="BF454">
            <v>53438.3</v>
          </cell>
          <cell r="BG454">
            <v>53973.8</v>
          </cell>
          <cell r="BH454">
            <v>86871.6</v>
          </cell>
          <cell r="BI454">
            <v>32647.3</v>
          </cell>
          <cell r="BJ454">
            <v>32403.7</v>
          </cell>
          <cell r="BK454">
            <v>36635.699999999997</v>
          </cell>
          <cell r="BL454">
            <v>44924.3</v>
          </cell>
          <cell r="BM454">
            <v>26602</v>
          </cell>
          <cell r="BN454">
            <v>35033.800000000003</v>
          </cell>
          <cell r="BO454">
            <v>53651.6</v>
          </cell>
          <cell r="BP454">
            <v>70274.100000000006</v>
          </cell>
          <cell r="BQ454">
            <v>51017.8</v>
          </cell>
          <cell r="BR454">
            <v>43526.1</v>
          </cell>
          <cell r="BS454">
            <v>47854</v>
          </cell>
          <cell r="BT454">
            <v>32302.6</v>
          </cell>
          <cell r="BU454">
            <v>43946</v>
          </cell>
          <cell r="BV454">
            <v>30168.5</v>
          </cell>
          <cell r="BW454">
            <v>48717.4</v>
          </cell>
          <cell r="BX454">
            <v>44435.199999999997</v>
          </cell>
          <cell r="BY454">
            <v>47028.3</v>
          </cell>
          <cell r="BZ454">
            <v>77517.7</v>
          </cell>
          <cell r="CA454">
            <v>91139</v>
          </cell>
          <cell r="CB454">
            <v>104160.1</v>
          </cell>
          <cell r="CC454">
            <v>90190.8</v>
          </cell>
          <cell r="CD454">
            <v>91779</v>
          </cell>
          <cell r="CE454">
            <v>99145.2</v>
          </cell>
          <cell r="CF454">
            <v>104893.6</v>
          </cell>
          <cell r="CG454">
            <v>127591.4</v>
          </cell>
          <cell r="CH454">
            <v>145194.4</v>
          </cell>
          <cell r="CI454">
            <v>133998.39999999999</v>
          </cell>
          <cell r="CJ454">
            <v>144415.70000000001</v>
          </cell>
          <cell r="CK454">
            <v>162258.20000000001</v>
          </cell>
          <cell r="CL454">
            <v>179528.1</v>
          </cell>
          <cell r="CM454">
            <v>214352.1</v>
          </cell>
          <cell r="CN454">
            <v>236511.4</v>
          </cell>
          <cell r="CO454">
            <v>221147.7</v>
          </cell>
          <cell r="CP454">
            <v>14181.1</v>
          </cell>
          <cell r="CQ454">
            <v>17122.400000000001</v>
          </cell>
          <cell r="CR454">
            <v>87741.5</v>
          </cell>
          <cell r="CS454">
            <v>99244.3</v>
          </cell>
          <cell r="CT454">
            <v>111939.3</v>
          </cell>
          <cell r="CU454">
            <v>101333.5</v>
          </cell>
          <cell r="CV454">
            <v>115219</v>
          </cell>
          <cell r="CW454">
            <v>136200.9</v>
          </cell>
          <cell r="CX454">
            <v>144763.5</v>
          </cell>
          <cell r="CY454">
            <v>189522.1</v>
          </cell>
          <cell r="CZ454">
            <v>210398.8</v>
          </cell>
          <cell r="DA454">
            <v>158200.1</v>
          </cell>
          <cell r="DB454">
            <v>166329.5</v>
          </cell>
          <cell r="DC454">
            <v>174484</v>
          </cell>
          <cell r="DD454">
            <v>177717.8</v>
          </cell>
          <cell r="DE454">
            <v>198344.9</v>
          </cell>
          <cell r="DF454">
            <v>136571.20000000001</v>
          </cell>
          <cell r="DG454">
            <v>124775.7</v>
          </cell>
          <cell r="DH454">
            <v>156383.70000000001</v>
          </cell>
          <cell r="DI454">
            <v>159112.9</v>
          </cell>
          <cell r="DJ454">
            <v>161937.4</v>
          </cell>
          <cell r="DK454">
            <v>166097.20000000001</v>
          </cell>
        </row>
        <row r="456">
          <cell r="BD456" t="str">
            <v>Actual</v>
          </cell>
          <cell r="BE456" t="str">
            <v>Actual</v>
          </cell>
          <cell r="BF456" t="str">
            <v>Actual</v>
          </cell>
          <cell r="BG456" t="str">
            <v>Actual</v>
          </cell>
          <cell r="BH456" t="str">
            <v>Actual</v>
          </cell>
          <cell r="BI456" t="str">
            <v>Actual</v>
          </cell>
          <cell r="BJ456" t="str">
            <v>Actual</v>
          </cell>
          <cell r="BK456" t="str">
            <v>Actual</v>
          </cell>
          <cell r="BL456" t="str">
            <v>Actual</v>
          </cell>
          <cell r="BM456" t="str">
            <v>Actual</v>
          </cell>
          <cell r="BN456" t="str">
            <v>Actual</v>
          </cell>
          <cell r="BO456" t="str">
            <v>Actual</v>
          </cell>
          <cell r="BP456" t="str">
            <v>Actual</v>
          </cell>
          <cell r="BQ456" t="str">
            <v>Actual</v>
          </cell>
          <cell r="BR456" t="str">
            <v>Actual</v>
          </cell>
          <cell r="BS456" t="str">
            <v>Actual</v>
          </cell>
          <cell r="BT456" t="str">
            <v>Actual</v>
          </cell>
          <cell r="BU456" t="str">
            <v>Actual</v>
          </cell>
          <cell r="BV456" t="str">
            <v>Actual</v>
          </cell>
          <cell r="BW456" t="str">
            <v>Actual</v>
          </cell>
          <cell r="BX456" t="str">
            <v>Actual</v>
          </cell>
          <cell r="BY456" t="str">
            <v>Actual</v>
          </cell>
          <cell r="BZ456" t="str">
            <v>Actual</v>
          </cell>
          <cell r="CA456" t="str">
            <v>Actual</v>
          </cell>
          <cell r="CB456" t="str">
            <v>Actual</v>
          </cell>
          <cell r="CC456" t="str">
            <v>Actual</v>
          </cell>
          <cell r="CD456" t="str">
            <v>Actual</v>
          </cell>
          <cell r="CE456" t="str">
            <v>Actual</v>
          </cell>
          <cell r="CF456" t="str">
            <v>Actual</v>
          </cell>
          <cell r="CG456" t="str">
            <v>Actual</v>
          </cell>
          <cell r="CH456" t="str">
            <v>Actual</v>
          </cell>
          <cell r="CI456" t="str">
            <v>Actual</v>
          </cell>
          <cell r="CJ456" t="str">
            <v>Actual</v>
          </cell>
          <cell r="CK456" t="str">
            <v>Actual</v>
          </cell>
          <cell r="CL456" t="str">
            <v>Actual</v>
          </cell>
          <cell r="CM456" t="str">
            <v>Actual</v>
          </cell>
          <cell r="CN456" t="str">
            <v>Actual</v>
          </cell>
          <cell r="CO456" t="str">
            <v>Actual</v>
          </cell>
          <cell r="CP456" t="str">
            <v>Actual</v>
          </cell>
          <cell r="CQ456" t="str">
            <v>Actual</v>
          </cell>
          <cell r="CR456" t="str">
            <v>Actual</v>
          </cell>
          <cell r="CS456" t="str">
            <v>Actual</v>
          </cell>
          <cell r="CT456" t="str">
            <v>Actual</v>
          </cell>
          <cell r="CU456" t="str">
            <v>Actual</v>
          </cell>
          <cell r="CV456" t="str">
            <v>Actual</v>
          </cell>
          <cell r="CW456" t="str">
            <v>Actual</v>
          </cell>
          <cell r="CX456" t="str">
            <v>Actual</v>
          </cell>
          <cell r="CY456" t="str">
            <v>Actual</v>
          </cell>
          <cell r="CZ456" t="str">
            <v>Actual</v>
          </cell>
          <cell r="DA456" t="str">
            <v>Actual</v>
          </cell>
          <cell r="DB456" t="str">
            <v>Actual</v>
          </cell>
          <cell r="DC456" t="str">
            <v>Actual</v>
          </cell>
          <cell r="DD456" t="str">
            <v>Actual</v>
          </cell>
          <cell r="DE456" t="str">
            <v>Actual</v>
          </cell>
          <cell r="DF456" t="str">
            <v>Actual</v>
          </cell>
          <cell r="DG456" t="str">
            <v>Actual</v>
          </cell>
          <cell r="DH456" t="str">
            <v>Actual</v>
          </cell>
          <cell r="DI456" t="str">
            <v>Actual</v>
          </cell>
          <cell r="DJ456" t="str">
            <v>Actual</v>
          </cell>
          <cell r="DK456" t="str">
            <v>Actual</v>
          </cell>
        </row>
        <row r="457">
          <cell r="BD457">
            <v>42736</v>
          </cell>
          <cell r="BE457">
            <v>42767</v>
          </cell>
          <cell r="BF457">
            <v>42795</v>
          </cell>
          <cell r="BG457">
            <v>42826</v>
          </cell>
          <cell r="BH457">
            <v>42856</v>
          </cell>
          <cell r="BI457">
            <v>42887</v>
          </cell>
          <cell r="BJ457">
            <v>42917</v>
          </cell>
          <cell r="BK457">
            <v>42948</v>
          </cell>
          <cell r="BL457">
            <v>42979</v>
          </cell>
          <cell r="BM457">
            <v>43009</v>
          </cell>
          <cell r="BN457">
            <v>43040</v>
          </cell>
          <cell r="BO457">
            <v>43070</v>
          </cell>
          <cell r="BP457">
            <v>43101</v>
          </cell>
          <cell r="BQ457">
            <v>43132</v>
          </cell>
          <cell r="BR457">
            <v>43160</v>
          </cell>
          <cell r="BS457">
            <v>43191</v>
          </cell>
          <cell r="BT457">
            <v>43221</v>
          </cell>
          <cell r="BU457">
            <v>43252</v>
          </cell>
          <cell r="BV457">
            <v>43282</v>
          </cell>
          <cell r="BW457">
            <v>43313</v>
          </cell>
          <cell r="BX457">
            <v>43344</v>
          </cell>
          <cell r="BY457">
            <v>43374</v>
          </cell>
          <cell r="BZ457">
            <v>43405</v>
          </cell>
          <cell r="CA457">
            <v>43435</v>
          </cell>
          <cell r="CB457">
            <v>43466</v>
          </cell>
          <cell r="CC457">
            <v>43497</v>
          </cell>
          <cell r="CD457">
            <v>43525</v>
          </cell>
          <cell r="CE457">
            <v>43556</v>
          </cell>
          <cell r="CF457">
            <v>43586</v>
          </cell>
          <cell r="CG457">
            <v>43617</v>
          </cell>
          <cell r="CH457">
            <v>43647</v>
          </cell>
          <cell r="CI457">
            <v>43678</v>
          </cell>
          <cell r="CJ457">
            <v>43709</v>
          </cell>
          <cell r="CK457">
            <v>43739</v>
          </cell>
          <cell r="CL457">
            <v>43770</v>
          </cell>
          <cell r="CM457">
            <v>43800</v>
          </cell>
          <cell r="CN457">
            <v>43831</v>
          </cell>
          <cell r="CO457">
            <v>43862</v>
          </cell>
          <cell r="CP457">
            <v>43891</v>
          </cell>
          <cell r="CQ457">
            <v>43922</v>
          </cell>
          <cell r="CR457">
            <v>43952</v>
          </cell>
          <cell r="CS457">
            <v>43983</v>
          </cell>
          <cell r="CT457">
            <v>44013</v>
          </cell>
          <cell r="CU457">
            <v>44044</v>
          </cell>
          <cell r="CV457">
            <v>44075</v>
          </cell>
          <cell r="CW457">
            <v>44105</v>
          </cell>
          <cell r="CX457">
            <v>44136</v>
          </cell>
          <cell r="CY457">
            <v>44166</v>
          </cell>
          <cell r="CZ457">
            <v>44197</v>
          </cell>
          <cell r="DA457">
            <v>44228</v>
          </cell>
          <cell r="DB457">
            <v>44256</v>
          </cell>
          <cell r="DC457">
            <v>44287</v>
          </cell>
          <cell r="DD457">
            <v>44317</v>
          </cell>
          <cell r="DE457">
            <v>44348</v>
          </cell>
          <cell r="DF457">
            <v>44378</v>
          </cell>
          <cell r="DG457">
            <v>44409</v>
          </cell>
          <cell r="DH457">
            <v>44440</v>
          </cell>
          <cell r="DI457">
            <v>44470</v>
          </cell>
          <cell r="DJ457">
            <v>44501</v>
          </cell>
          <cell r="DK457">
            <v>44531</v>
          </cell>
        </row>
        <row r="459">
          <cell r="BC459" t="str">
            <v>CASH</v>
          </cell>
          <cell r="BD459">
            <v>-1311.8999999999996</v>
          </cell>
          <cell r="BE459">
            <v>7682.9999999999991</v>
          </cell>
          <cell r="BF459">
            <v>5528</v>
          </cell>
          <cell r="BG459">
            <v>10732.4</v>
          </cell>
          <cell r="BH459">
            <v>13109</v>
          </cell>
          <cell r="BI459">
            <v>7235.1</v>
          </cell>
          <cell r="BJ459">
            <v>9454.6</v>
          </cell>
          <cell r="BK459">
            <v>3982.8999999999996</v>
          </cell>
          <cell r="BL459">
            <v>9295.5</v>
          </cell>
          <cell r="BM459">
            <v>9556.8000000000011</v>
          </cell>
          <cell r="BN459">
            <v>9285.5</v>
          </cell>
          <cell r="BO459">
            <v>9677.4</v>
          </cell>
          <cell r="BP459">
            <v>7688.5</v>
          </cell>
          <cell r="BQ459">
            <v>10910.199999999999</v>
          </cell>
          <cell r="BR459">
            <v>8678.5999999999985</v>
          </cell>
          <cell r="BS459">
            <v>7205.2</v>
          </cell>
          <cell r="BT459">
            <v>9524.5</v>
          </cell>
          <cell r="BU459">
            <v>8981.6</v>
          </cell>
          <cell r="BV459">
            <v>8637.1999999999989</v>
          </cell>
          <cell r="BW459">
            <v>9145</v>
          </cell>
          <cell r="BX459">
            <v>9419.1999999999989</v>
          </cell>
          <cell r="BY459">
            <v>8961.2999999999993</v>
          </cell>
          <cell r="BZ459">
            <v>8984.9000000000015</v>
          </cell>
          <cell r="CA459">
            <v>8481.9000000000015</v>
          </cell>
          <cell r="CB459">
            <v>9183.2000000000007</v>
          </cell>
          <cell r="CC459">
            <v>8750.1</v>
          </cell>
          <cell r="CD459">
            <v>8471.5</v>
          </cell>
          <cell r="CE459">
            <v>8031.8000000000011</v>
          </cell>
          <cell r="CF459">
            <v>8438.4</v>
          </cell>
          <cell r="CG459">
            <v>8121.4</v>
          </cell>
          <cell r="CH459">
            <v>7908.7</v>
          </cell>
          <cell r="CI459">
            <v>8508.7999999999993</v>
          </cell>
          <cell r="CJ459">
            <v>8534.6999999999989</v>
          </cell>
          <cell r="CK459">
            <v>7780.9000000000024</v>
          </cell>
          <cell r="CL459">
            <v>8085.6000000000022</v>
          </cell>
          <cell r="CM459">
            <v>8303.9</v>
          </cell>
          <cell r="CN459">
            <v>7302.5000000000018</v>
          </cell>
          <cell r="CO459">
            <v>8288</v>
          </cell>
          <cell r="CP459">
            <v>7325.9000000000015</v>
          </cell>
          <cell r="CQ459">
            <v>8579.1999999999989</v>
          </cell>
          <cell r="CR459">
            <v>7939.7999999999975</v>
          </cell>
          <cell r="CS459">
            <v>9217.2999999999993</v>
          </cell>
          <cell r="CT459">
            <v>8749</v>
          </cell>
          <cell r="CU459">
            <v>9091.2000000000007</v>
          </cell>
          <cell r="CV459">
            <v>8693.8000000000011</v>
          </cell>
          <cell r="CW459">
            <v>7909.2999999999993</v>
          </cell>
          <cell r="CX459">
            <v>-2329.1999999999989</v>
          </cell>
          <cell r="CY459">
            <v>-2517</v>
          </cell>
          <cell r="CZ459">
            <v>-2689.8999999999996</v>
          </cell>
          <cell r="DA459">
            <v>-3161.8999999999996</v>
          </cell>
          <cell r="DB459">
            <v>-11401.400000000001</v>
          </cell>
          <cell r="DC459">
            <v>-5509.3000000000011</v>
          </cell>
          <cell r="DD459">
            <v>-6461.1</v>
          </cell>
          <cell r="DE459">
            <v>-6948.9</v>
          </cell>
          <cell r="DF459">
            <v>-7398.5</v>
          </cell>
          <cell r="DG459">
            <v>-8227.5</v>
          </cell>
          <cell r="DH459">
            <v>-7765.9000000000005</v>
          </cell>
          <cell r="DI459">
            <v>-7470.3999999999987</v>
          </cell>
          <cell r="DJ459">
            <v>-7735.2999999999993</v>
          </cell>
          <cell r="DK459">
            <v>2104.3000000000002</v>
          </cell>
        </row>
        <row r="461">
          <cell r="BC461" t="str">
            <v>ST DEBT (incl intero payable)</v>
          </cell>
          <cell r="BD461">
            <v>41225.800000000003</v>
          </cell>
          <cell r="BE461">
            <v>40506.800000000003</v>
          </cell>
          <cell r="BF461">
            <v>41810.800000000003</v>
          </cell>
          <cell r="BG461">
            <v>37148.300000000003</v>
          </cell>
          <cell r="BH461">
            <v>31842.1</v>
          </cell>
          <cell r="BI461">
            <v>36126.699999999997</v>
          </cell>
          <cell r="BJ461">
            <v>33325.4</v>
          </cell>
          <cell r="BK461">
            <v>46233.9</v>
          </cell>
          <cell r="BL461">
            <v>48013.8</v>
          </cell>
          <cell r="BM461">
            <v>43884.1</v>
          </cell>
          <cell r="BN461">
            <v>46059.9</v>
          </cell>
          <cell r="BO461">
            <v>57684.3</v>
          </cell>
          <cell r="BP461">
            <v>55045.7</v>
          </cell>
          <cell r="BQ461">
            <v>58203.6</v>
          </cell>
          <cell r="BR461">
            <v>53438.3</v>
          </cell>
          <cell r="BS461">
            <v>53973.8</v>
          </cell>
          <cell r="BT461">
            <v>86871.6</v>
          </cell>
          <cell r="BU461">
            <v>32647.3</v>
          </cell>
          <cell r="BV461">
            <v>32403.7</v>
          </cell>
          <cell r="BW461">
            <v>36635.699999999997</v>
          </cell>
          <cell r="BX461">
            <v>44924.3</v>
          </cell>
          <cell r="BY461">
            <v>26602</v>
          </cell>
          <cell r="BZ461">
            <v>35033.800000000003</v>
          </cell>
          <cell r="CA461">
            <v>53651.6</v>
          </cell>
          <cell r="CB461">
            <v>70274.100000000006</v>
          </cell>
          <cell r="CC461">
            <v>51017.8</v>
          </cell>
          <cell r="CD461">
            <v>43526.1</v>
          </cell>
          <cell r="CE461">
            <v>47854</v>
          </cell>
          <cell r="CF461">
            <v>32302.6</v>
          </cell>
          <cell r="CG461">
            <v>43946</v>
          </cell>
          <cell r="CH461">
            <v>30168.5</v>
          </cell>
          <cell r="CI461">
            <v>48717.4</v>
          </cell>
          <cell r="CJ461">
            <v>44435.199999999997</v>
          </cell>
          <cell r="CK461">
            <v>47028.3</v>
          </cell>
          <cell r="CL461">
            <v>77517.7</v>
          </cell>
          <cell r="CM461">
            <v>91139</v>
          </cell>
          <cell r="CN461">
            <v>104160.1</v>
          </cell>
          <cell r="CO461">
            <v>90190.8</v>
          </cell>
          <cell r="CP461">
            <v>91779</v>
          </cell>
          <cell r="CQ461">
            <v>99145.2</v>
          </cell>
          <cell r="CR461">
            <v>104893.6</v>
          </cell>
          <cell r="CS461">
            <v>127591.4</v>
          </cell>
          <cell r="CT461">
            <v>145194.4</v>
          </cell>
          <cell r="CU461">
            <v>133998.39999999999</v>
          </cell>
          <cell r="CV461">
            <v>144415.70000000001</v>
          </cell>
          <cell r="CW461">
            <v>162258.20000000001</v>
          </cell>
          <cell r="CX461">
            <v>179528.1</v>
          </cell>
          <cell r="CY461">
            <v>214352.1</v>
          </cell>
          <cell r="CZ461">
            <v>236511.4</v>
          </cell>
          <cell r="DA461">
            <v>221147.7</v>
          </cell>
          <cell r="DB461">
            <v>14181.1</v>
          </cell>
          <cell r="DC461">
            <v>17122.400000000001</v>
          </cell>
          <cell r="DD461">
            <v>87741.5</v>
          </cell>
          <cell r="DE461">
            <v>99244.3</v>
          </cell>
          <cell r="DF461">
            <v>111939.3</v>
          </cell>
          <cell r="DG461">
            <v>101333.5</v>
          </cell>
          <cell r="DH461">
            <v>115219</v>
          </cell>
          <cell r="DI461">
            <v>136200.9</v>
          </cell>
          <cell r="DJ461">
            <v>144763.5</v>
          </cell>
          <cell r="DK461">
            <v>189522.1</v>
          </cell>
        </row>
        <row r="463">
          <cell r="BD463" t="str">
            <v>Actual</v>
          </cell>
          <cell r="BE463" t="str">
            <v>Actual</v>
          </cell>
          <cell r="BF463" t="str">
            <v>Actual</v>
          </cell>
          <cell r="BG463" t="str">
            <v>Actual</v>
          </cell>
          <cell r="BH463" t="str">
            <v>Actual</v>
          </cell>
          <cell r="BI463" t="str">
            <v>Actual</v>
          </cell>
          <cell r="BJ463" t="str">
            <v>Actual</v>
          </cell>
          <cell r="BK463" t="str">
            <v>Actual</v>
          </cell>
          <cell r="BL463" t="str">
            <v>Actual</v>
          </cell>
          <cell r="BM463" t="str">
            <v>Actual</v>
          </cell>
          <cell r="BN463" t="str">
            <v>Actual</v>
          </cell>
          <cell r="BO463" t="str">
            <v>Actual</v>
          </cell>
          <cell r="BP463" t="str">
            <v>Actual</v>
          </cell>
          <cell r="BQ463" t="str">
            <v>Actual</v>
          </cell>
          <cell r="BR463" t="str">
            <v>Actual</v>
          </cell>
          <cell r="BS463" t="str">
            <v>Actual</v>
          </cell>
          <cell r="BT463" t="str">
            <v>Actual</v>
          </cell>
          <cell r="BU463" t="str">
            <v>Actual</v>
          </cell>
          <cell r="BV463" t="str">
            <v>Actual</v>
          </cell>
          <cell r="BW463" t="str">
            <v>Actual</v>
          </cell>
          <cell r="BX463" t="str">
            <v>Actual</v>
          </cell>
          <cell r="BY463" t="str">
            <v>Actual</v>
          </cell>
          <cell r="BZ463" t="str">
            <v>Actual</v>
          </cell>
          <cell r="CA463" t="str">
            <v>Actual</v>
          </cell>
          <cell r="CB463" t="str">
            <v>Actual</v>
          </cell>
          <cell r="CC463" t="str">
            <v>Actual</v>
          </cell>
          <cell r="CD463" t="str">
            <v>Actual</v>
          </cell>
          <cell r="CE463" t="str">
            <v>Actual</v>
          </cell>
          <cell r="CF463" t="str">
            <v>Actual</v>
          </cell>
          <cell r="CG463" t="str">
            <v>Actual</v>
          </cell>
          <cell r="CH463" t="str">
            <v>Actual</v>
          </cell>
          <cell r="CI463" t="str">
            <v>Actual</v>
          </cell>
          <cell r="CJ463" t="str">
            <v>Actual</v>
          </cell>
          <cell r="CK463" t="str">
            <v>Actual</v>
          </cell>
          <cell r="CL463" t="str">
            <v>Actual</v>
          </cell>
          <cell r="CM463" t="str">
            <v>Actual</v>
          </cell>
          <cell r="CN463" t="str">
            <v>Actual</v>
          </cell>
          <cell r="CO463" t="str">
            <v>Actual</v>
          </cell>
          <cell r="CP463" t="str">
            <v>Actual</v>
          </cell>
          <cell r="CQ463" t="str">
            <v>Actual</v>
          </cell>
          <cell r="CR463" t="str">
            <v>Actual</v>
          </cell>
          <cell r="CS463" t="str">
            <v>Actual</v>
          </cell>
          <cell r="CT463" t="str">
            <v>Actual</v>
          </cell>
          <cell r="CU463" t="str">
            <v>Actual</v>
          </cell>
          <cell r="CV463" t="str">
            <v>Actual</v>
          </cell>
          <cell r="CW463" t="str">
            <v>Actual</v>
          </cell>
          <cell r="CX463" t="str">
            <v>Actual</v>
          </cell>
          <cell r="CY463" t="str">
            <v>Actual</v>
          </cell>
          <cell r="CZ463" t="str">
            <v>Actual</v>
          </cell>
          <cell r="DA463" t="str">
            <v>Actual</v>
          </cell>
          <cell r="DB463" t="str">
            <v>Actual</v>
          </cell>
          <cell r="DC463" t="str">
            <v>Actual</v>
          </cell>
          <cell r="DD463" t="str">
            <v>Actual</v>
          </cell>
          <cell r="DE463" t="str">
            <v>Actual</v>
          </cell>
          <cell r="DF463" t="str">
            <v>Actual</v>
          </cell>
          <cell r="DG463" t="str">
            <v>Actual</v>
          </cell>
          <cell r="DH463" t="str">
            <v>Actual</v>
          </cell>
          <cell r="DI463" t="str">
            <v>Actual</v>
          </cell>
          <cell r="DJ463" t="str">
            <v>Actual</v>
          </cell>
          <cell r="DK463" t="str">
            <v>Actual</v>
          </cell>
        </row>
        <row r="464">
          <cell r="BD464">
            <v>42370</v>
          </cell>
          <cell r="BE464">
            <v>42401</v>
          </cell>
          <cell r="BF464">
            <v>42430</v>
          </cell>
          <cell r="BG464">
            <v>42461</v>
          </cell>
          <cell r="BH464">
            <v>42491</v>
          </cell>
          <cell r="BI464">
            <v>42522</v>
          </cell>
          <cell r="BJ464">
            <v>42552</v>
          </cell>
          <cell r="BK464">
            <v>42583</v>
          </cell>
          <cell r="BL464">
            <v>42614</v>
          </cell>
          <cell r="BM464">
            <v>42644</v>
          </cell>
          <cell r="BN464">
            <v>42675</v>
          </cell>
          <cell r="BO464">
            <v>42705</v>
          </cell>
          <cell r="BP464">
            <v>42736</v>
          </cell>
          <cell r="BQ464">
            <v>42767</v>
          </cell>
          <cell r="BR464">
            <v>42795</v>
          </cell>
          <cell r="BS464">
            <v>42826</v>
          </cell>
          <cell r="BT464">
            <v>42856</v>
          </cell>
          <cell r="BU464">
            <v>42887</v>
          </cell>
          <cell r="BV464">
            <v>42917</v>
          </cell>
          <cell r="BW464">
            <v>42948</v>
          </cell>
          <cell r="BX464">
            <v>42979</v>
          </cell>
          <cell r="BY464">
            <v>43009</v>
          </cell>
          <cell r="BZ464">
            <v>43040</v>
          </cell>
          <cell r="CA464">
            <v>43070</v>
          </cell>
          <cell r="CB464">
            <v>43101</v>
          </cell>
          <cell r="CC464">
            <v>43132</v>
          </cell>
          <cell r="CD464">
            <v>43160</v>
          </cell>
          <cell r="CE464">
            <v>43191</v>
          </cell>
          <cell r="CF464">
            <v>43221</v>
          </cell>
          <cell r="CG464">
            <v>43252</v>
          </cell>
          <cell r="CH464">
            <v>43282</v>
          </cell>
          <cell r="CI464">
            <v>43313</v>
          </cell>
          <cell r="CJ464">
            <v>43344</v>
          </cell>
          <cell r="CK464">
            <v>43374</v>
          </cell>
          <cell r="CL464">
            <v>43405</v>
          </cell>
          <cell r="CM464">
            <v>43435</v>
          </cell>
          <cell r="CN464">
            <v>43466</v>
          </cell>
          <cell r="CO464">
            <v>43497</v>
          </cell>
          <cell r="CP464">
            <v>43525</v>
          </cell>
          <cell r="CQ464">
            <v>43556</v>
          </cell>
          <cell r="CR464">
            <v>43586</v>
          </cell>
          <cell r="CS464">
            <v>43617</v>
          </cell>
          <cell r="CT464">
            <v>43647</v>
          </cell>
          <cell r="CU464">
            <v>43678</v>
          </cell>
          <cell r="CV464">
            <v>43709</v>
          </cell>
          <cell r="CW464">
            <v>43739</v>
          </cell>
          <cell r="CX464">
            <v>43770</v>
          </cell>
          <cell r="CY464">
            <v>43800</v>
          </cell>
          <cell r="CZ464">
            <v>43831</v>
          </cell>
          <cell r="DA464">
            <v>43862</v>
          </cell>
          <cell r="DB464">
            <v>43891</v>
          </cell>
          <cell r="DC464">
            <v>43922</v>
          </cell>
          <cell r="DD464">
            <v>43952</v>
          </cell>
          <cell r="DE464">
            <v>43983</v>
          </cell>
          <cell r="DF464">
            <v>44013</v>
          </cell>
          <cell r="DG464">
            <v>44044</v>
          </cell>
          <cell r="DH464">
            <v>44075</v>
          </cell>
          <cell r="DI464">
            <v>44105</v>
          </cell>
          <cell r="DJ464">
            <v>44136</v>
          </cell>
          <cell r="DK464">
            <v>44166</v>
          </cell>
        </row>
        <row r="466">
          <cell r="BC466" t="str">
            <v>CASH</v>
          </cell>
          <cell r="BD466">
            <v>3511.1</v>
          </cell>
          <cell r="BE466">
            <v>3416.5</v>
          </cell>
          <cell r="BF466">
            <v>20951.999999999996</v>
          </cell>
          <cell r="BG466">
            <v>1927.3000000000002</v>
          </cell>
          <cell r="BH466">
            <v>3695.5</v>
          </cell>
          <cell r="BI466">
            <v>3262.7</v>
          </cell>
          <cell r="BJ466">
            <v>3174.3</v>
          </cell>
          <cell r="BK466">
            <v>2896.8</v>
          </cell>
          <cell r="BL466">
            <v>2234.1999999999998</v>
          </cell>
          <cell r="BM466">
            <v>3330.9999999999995</v>
          </cell>
          <cell r="BN466">
            <v>2021.6000000000004</v>
          </cell>
          <cell r="BO466">
            <v>2842.6000000000004</v>
          </cell>
          <cell r="BP466">
            <v>-1311.8999999999996</v>
          </cell>
          <cell r="BQ466">
            <v>7682.9999999999991</v>
          </cell>
          <cell r="BR466">
            <v>5528</v>
          </cell>
          <cell r="BS466">
            <v>10732.4</v>
          </cell>
          <cell r="BT466">
            <v>13109</v>
          </cell>
          <cell r="BU466">
            <v>7235.1</v>
          </cell>
          <cell r="BV466">
            <v>9454.6</v>
          </cell>
          <cell r="BW466">
            <v>3982.8999999999996</v>
          </cell>
          <cell r="BX466">
            <v>9295.5</v>
          </cell>
          <cell r="BY466">
            <v>9556.8000000000011</v>
          </cell>
          <cell r="BZ466">
            <v>9285.5</v>
          </cell>
          <cell r="CA466">
            <v>9677.4</v>
          </cell>
          <cell r="CB466">
            <v>7688.5</v>
          </cell>
          <cell r="CC466">
            <v>10910.199999999999</v>
          </cell>
          <cell r="CD466">
            <v>8678.5999999999985</v>
          </cell>
          <cell r="CE466">
            <v>7205.2</v>
          </cell>
          <cell r="CF466">
            <v>9524.5</v>
          </cell>
          <cell r="CG466">
            <v>8981.6</v>
          </cell>
          <cell r="CH466">
            <v>8637.1999999999989</v>
          </cell>
          <cell r="CI466">
            <v>9145</v>
          </cell>
          <cell r="CJ466">
            <v>9419.1999999999989</v>
          </cell>
          <cell r="CK466">
            <v>8961.2999999999993</v>
          </cell>
          <cell r="CL466">
            <v>8984.9000000000015</v>
          </cell>
          <cell r="CM466">
            <v>8481.9000000000015</v>
          </cell>
          <cell r="CN466">
            <v>9183.2000000000007</v>
          </cell>
          <cell r="CO466">
            <v>8750.1</v>
          </cell>
          <cell r="CP466">
            <v>8471.5</v>
          </cell>
          <cell r="CQ466">
            <v>8031.8000000000011</v>
          </cell>
          <cell r="CR466">
            <v>8438.4</v>
          </cell>
          <cell r="CS466">
            <v>8121.4</v>
          </cell>
          <cell r="CT466">
            <v>7908.7</v>
          </cell>
          <cell r="CU466">
            <v>8508.7999999999993</v>
          </cell>
          <cell r="CV466">
            <v>8534.6999999999989</v>
          </cell>
          <cell r="CW466">
            <v>7780.9000000000024</v>
          </cell>
          <cell r="CX466">
            <v>8085.6000000000022</v>
          </cell>
          <cell r="CY466">
            <v>8303.9</v>
          </cell>
          <cell r="CZ466">
            <v>7302.5000000000018</v>
          </cell>
          <cell r="DA466">
            <v>8288</v>
          </cell>
          <cell r="DB466">
            <v>7325.9000000000015</v>
          </cell>
          <cell r="DC466">
            <v>8579.1999999999989</v>
          </cell>
          <cell r="DD466">
            <v>7939.7999999999975</v>
          </cell>
          <cell r="DE466">
            <v>9217.2999999999993</v>
          </cell>
          <cell r="DF466">
            <v>8749</v>
          </cell>
          <cell r="DG466">
            <v>9091.2000000000007</v>
          </cell>
          <cell r="DH466">
            <v>8693.8000000000011</v>
          </cell>
          <cell r="DI466">
            <v>7909.2999999999993</v>
          </cell>
          <cell r="DJ466">
            <v>-2329.1999999999989</v>
          </cell>
          <cell r="DK466">
            <v>-2517</v>
          </cell>
        </row>
        <row r="468">
          <cell r="BC468" t="str">
            <v>ST DEBT (incl intero payable)</v>
          </cell>
          <cell r="BD468">
            <v>0</v>
          </cell>
          <cell r="BE468">
            <v>2300</v>
          </cell>
          <cell r="BF468">
            <v>0</v>
          </cell>
          <cell r="BG468">
            <v>0</v>
          </cell>
          <cell r="BH468">
            <v>0</v>
          </cell>
          <cell r="BI468">
            <v>600</v>
          </cell>
          <cell r="BJ468">
            <v>1800</v>
          </cell>
          <cell r="BK468">
            <v>3150</v>
          </cell>
          <cell r="BL468">
            <v>700</v>
          </cell>
          <cell r="BM468">
            <v>0</v>
          </cell>
          <cell r="BN468">
            <v>9750</v>
          </cell>
          <cell r="BO468">
            <v>30050</v>
          </cell>
          <cell r="BP468">
            <v>41225.800000000003</v>
          </cell>
          <cell r="BQ468">
            <v>40506.800000000003</v>
          </cell>
          <cell r="BR468">
            <v>41810.800000000003</v>
          </cell>
          <cell r="BS468">
            <v>37148.300000000003</v>
          </cell>
          <cell r="BT468">
            <v>31842.1</v>
          </cell>
          <cell r="BU468">
            <v>36126.699999999997</v>
          </cell>
          <cell r="BV468">
            <v>33325.4</v>
          </cell>
          <cell r="BW468">
            <v>46233.9</v>
          </cell>
          <cell r="BX468">
            <v>48013.8</v>
          </cell>
          <cell r="BY468">
            <v>43884.1</v>
          </cell>
          <cell r="BZ468">
            <v>46059.9</v>
          </cell>
          <cell r="CA468">
            <v>57684.3</v>
          </cell>
          <cell r="CB468">
            <v>55045.7</v>
          </cell>
          <cell r="CC468">
            <v>58203.6</v>
          </cell>
          <cell r="CD468">
            <v>53438.3</v>
          </cell>
          <cell r="CE468">
            <v>53973.8</v>
          </cell>
          <cell r="CF468">
            <v>86871.6</v>
          </cell>
          <cell r="CG468">
            <v>32647.3</v>
          </cell>
          <cell r="CH468">
            <v>32403.7</v>
          </cell>
          <cell r="CI468">
            <v>36635.699999999997</v>
          </cell>
          <cell r="CJ468">
            <v>44924.3</v>
          </cell>
          <cell r="CK468">
            <v>26602</v>
          </cell>
          <cell r="CL468">
            <v>35033.800000000003</v>
          </cell>
          <cell r="CM468">
            <v>53651.6</v>
          </cell>
          <cell r="CN468">
            <v>70274.100000000006</v>
          </cell>
          <cell r="CO468">
            <v>51017.8</v>
          </cell>
          <cell r="CP468">
            <v>43526.1</v>
          </cell>
          <cell r="CQ468">
            <v>47854</v>
          </cell>
          <cell r="CR468">
            <v>32302.6</v>
          </cell>
          <cell r="CS468">
            <v>43946</v>
          </cell>
          <cell r="CT468">
            <v>30168.5</v>
          </cell>
          <cell r="CU468">
            <v>48717.4</v>
          </cell>
          <cell r="CV468">
            <v>44435.199999999997</v>
          </cell>
          <cell r="CW468">
            <v>47028.3</v>
          </cell>
          <cell r="CX468">
            <v>77517.7</v>
          </cell>
          <cell r="CY468">
            <v>91139</v>
          </cell>
          <cell r="CZ468">
            <v>104160.1</v>
          </cell>
          <cell r="DA468">
            <v>90190.8</v>
          </cell>
          <cell r="DB468">
            <v>91779</v>
          </cell>
          <cell r="DC468">
            <v>99145.2</v>
          </cell>
          <cell r="DD468">
            <v>104893.6</v>
          </cell>
          <cell r="DE468">
            <v>127591.4</v>
          </cell>
          <cell r="DF468">
            <v>145194.4</v>
          </cell>
          <cell r="DG468">
            <v>133998.39999999999</v>
          </cell>
          <cell r="DH468">
            <v>144415.70000000001</v>
          </cell>
          <cell r="DI468">
            <v>162258.20000000001</v>
          </cell>
          <cell r="DJ468">
            <v>179528.1</v>
          </cell>
          <cell r="DK468">
            <v>214352.1</v>
          </cell>
        </row>
        <row r="470">
          <cell r="BD470" t="str">
            <v>Actual</v>
          </cell>
          <cell r="BE470" t="str">
            <v>Actual</v>
          </cell>
          <cell r="BF470" t="str">
            <v>Actual</v>
          </cell>
          <cell r="BG470" t="str">
            <v>Actual</v>
          </cell>
          <cell r="BH470" t="str">
            <v>Actual</v>
          </cell>
          <cell r="BI470" t="str">
            <v>Actual</v>
          </cell>
          <cell r="BJ470" t="str">
            <v>Actual</v>
          </cell>
          <cell r="BK470" t="str">
            <v>Actual</v>
          </cell>
          <cell r="BL470" t="str">
            <v>Actual</v>
          </cell>
          <cell r="BM470" t="str">
            <v>Actual</v>
          </cell>
          <cell r="BN470" t="str">
            <v>Actual</v>
          </cell>
          <cell r="BO470" t="str">
            <v>Actual</v>
          </cell>
          <cell r="BP470" t="str">
            <v>Actual</v>
          </cell>
          <cell r="BQ470" t="str">
            <v>Actual</v>
          </cell>
          <cell r="BR470" t="str">
            <v>Actual</v>
          </cell>
          <cell r="BS470" t="str">
            <v>Actual</v>
          </cell>
          <cell r="BT470" t="str">
            <v>Actual</v>
          </cell>
          <cell r="BU470" t="str">
            <v>Actual</v>
          </cell>
          <cell r="BV470" t="str">
            <v>Actual</v>
          </cell>
          <cell r="BW470" t="str">
            <v>Actual</v>
          </cell>
          <cell r="BX470" t="str">
            <v>Actual</v>
          </cell>
          <cell r="BY470" t="str">
            <v>Actual</v>
          </cell>
          <cell r="BZ470" t="str">
            <v>Actual</v>
          </cell>
          <cell r="CA470" t="str">
            <v>Actual</v>
          </cell>
          <cell r="CB470" t="str">
            <v>Actual</v>
          </cell>
          <cell r="CC470" t="str">
            <v>Actual</v>
          </cell>
          <cell r="CD470" t="str">
            <v>Actual</v>
          </cell>
          <cell r="CE470" t="str">
            <v>Actual</v>
          </cell>
          <cell r="CF470" t="str">
            <v>Actual</v>
          </cell>
          <cell r="CG470" t="str">
            <v>Actual</v>
          </cell>
          <cell r="CH470" t="str">
            <v>Actual</v>
          </cell>
          <cell r="CI470" t="str">
            <v>Actual</v>
          </cell>
          <cell r="CJ470" t="str">
            <v>Actual</v>
          </cell>
          <cell r="CK470" t="str">
            <v>Actual</v>
          </cell>
          <cell r="CL470" t="str">
            <v>Actual</v>
          </cell>
          <cell r="CM470" t="str">
            <v>Actual</v>
          </cell>
          <cell r="CN470" t="str">
            <v>Actual</v>
          </cell>
          <cell r="CO470" t="str">
            <v>Actual</v>
          </cell>
          <cell r="CP470" t="str">
            <v>Actual</v>
          </cell>
          <cell r="CQ470" t="str">
            <v>Actual</v>
          </cell>
          <cell r="CR470" t="str">
            <v>Actual</v>
          </cell>
          <cell r="CS470" t="str">
            <v>Actual</v>
          </cell>
          <cell r="CT470" t="str">
            <v>Actual</v>
          </cell>
          <cell r="CU470" t="str">
            <v>Actual</v>
          </cell>
          <cell r="CV470" t="str">
            <v>Actual</v>
          </cell>
          <cell r="CW470" t="str">
            <v>Actual</v>
          </cell>
          <cell r="CX470" t="str">
            <v>Actual</v>
          </cell>
          <cell r="CY470" t="str">
            <v>Actual</v>
          </cell>
          <cell r="CZ470" t="str">
            <v>Actual</v>
          </cell>
          <cell r="DA470" t="str">
            <v>Actual</v>
          </cell>
          <cell r="DB470" t="str">
            <v>Actual</v>
          </cell>
          <cell r="DC470" t="str">
            <v>Actual</v>
          </cell>
          <cell r="DD470" t="str">
            <v>Actual</v>
          </cell>
          <cell r="DE470" t="str">
            <v>Actual</v>
          </cell>
          <cell r="DF470" t="str">
            <v>Actual</v>
          </cell>
          <cell r="DG470" t="str">
            <v>Actual</v>
          </cell>
          <cell r="DH470" t="str">
            <v>Actual</v>
          </cell>
          <cell r="DI470" t="str">
            <v>Actual</v>
          </cell>
          <cell r="DJ470" t="str">
            <v>Actual</v>
          </cell>
          <cell r="DK470" t="str">
            <v>Actual</v>
          </cell>
        </row>
        <row r="471">
          <cell r="BD471">
            <v>42005</v>
          </cell>
          <cell r="BE471">
            <v>42036</v>
          </cell>
          <cell r="BF471">
            <v>42064</v>
          </cell>
          <cell r="BG471">
            <v>42095</v>
          </cell>
          <cell r="BH471">
            <v>42125</v>
          </cell>
          <cell r="BI471">
            <v>42156</v>
          </cell>
          <cell r="BJ471">
            <v>42186</v>
          </cell>
          <cell r="BK471">
            <v>42217</v>
          </cell>
          <cell r="BL471">
            <v>42248</v>
          </cell>
          <cell r="BM471">
            <v>42278</v>
          </cell>
          <cell r="BN471">
            <v>42309</v>
          </cell>
          <cell r="BO471">
            <v>42339</v>
          </cell>
          <cell r="BP471">
            <v>42370</v>
          </cell>
          <cell r="BQ471">
            <v>42401</v>
          </cell>
          <cell r="BR471">
            <v>42430</v>
          </cell>
          <cell r="BS471">
            <v>42461</v>
          </cell>
          <cell r="BT471">
            <v>42491</v>
          </cell>
          <cell r="BU471">
            <v>42522</v>
          </cell>
          <cell r="BV471">
            <v>42552</v>
          </cell>
          <cell r="BW471">
            <v>42583</v>
          </cell>
          <cell r="BX471">
            <v>42614</v>
          </cell>
          <cell r="BY471">
            <v>42644</v>
          </cell>
          <cell r="BZ471">
            <v>42675</v>
          </cell>
          <cell r="CA471">
            <v>42705</v>
          </cell>
          <cell r="CB471">
            <v>42736</v>
          </cell>
          <cell r="CC471">
            <v>42767</v>
          </cell>
          <cell r="CD471">
            <v>42795</v>
          </cell>
          <cell r="CE471">
            <v>42826</v>
          </cell>
          <cell r="CF471">
            <v>42856</v>
          </cell>
          <cell r="CG471">
            <v>42887</v>
          </cell>
          <cell r="CH471">
            <v>42917</v>
          </cell>
          <cell r="CI471">
            <v>42948</v>
          </cell>
          <cell r="CJ471">
            <v>42979</v>
          </cell>
          <cell r="CK471">
            <v>43009</v>
          </cell>
          <cell r="CL471">
            <v>43040</v>
          </cell>
          <cell r="CM471">
            <v>43070</v>
          </cell>
          <cell r="CN471">
            <v>43101</v>
          </cell>
          <cell r="CO471">
            <v>43132</v>
          </cell>
          <cell r="CP471">
            <v>43160</v>
          </cell>
          <cell r="CQ471">
            <v>43191</v>
          </cell>
          <cell r="CR471">
            <v>43221</v>
          </cell>
          <cell r="CS471">
            <v>43252</v>
          </cell>
          <cell r="CT471">
            <v>43282</v>
          </cell>
          <cell r="CU471">
            <v>43313</v>
          </cell>
          <cell r="CV471">
            <v>43344</v>
          </cell>
          <cell r="CW471">
            <v>43374</v>
          </cell>
          <cell r="CX471">
            <v>43405</v>
          </cell>
          <cell r="CY471">
            <v>43435</v>
          </cell>
          <cell r="CZ471">
            <v>43466</v>
          </cell>
          <cell r="DA471">
            <v>43497</v>
          </cell>
          <cell r="DB471">
            <v>43525</v>
          </cell>
          <cell r="DC471">
            <v>43556</v>
          </cell>
          <cell r="DD471">
            <v>43586</v>
          </cell>
          <cell r="DE471">
            <v>43617</v>
          </cell>
          <cell r="DF471">
            <v>43647</v>
          </cell>
          <cell r="DG471">
            <v>43678</v>
          </cell>
          <cell r="DH471">
            <v>43709</v>
          </cell>
          <cell r="DI471">
            <v>43739</v>
          </cell>
          <cell r="DJ471">
            <v>43770</v>
          </cell>
          <cell r="DK471">
            <v>43800</v>
          </cell>
        </row>
        <row r="473">
          <cell r="BC473" t="str">
            <v>CASH</v>
          </cell>
          <cell r="BD473">
            <v>2567</v>
          </cell>
          <cell r="BE473">
            <v>2312.6</v>
          </cell>
          <cell r="BF473">
            <v>6645.5</v>
          </cell>
          <cell r="BG473">
            <v>2355.5000000000005</v>
          </cell>
          <cell r="BH473">
            <v>31675.000000000004</v>
          </cell>
          <cell r="BI473">
            <v>22628.2</v>
          </cell>
          <cell r="BJ473">
            <v>23994.5</v>
          </cell>
          <cell r="BK473">
            <v>26607.899999999998</v>
          </cell>
          <cell r="BL473">
            <v>25154.699999999997</v>
          </cell>
          <cell r="BM473">
            <v>22362.9</v>
          </cell>
          <cell r="BN473">
            <v>3347.2</v>
          </cell>
          <cell r="BO473">
            <v>4118.3000000000011</v>
          </cell>
          <cell r="BP473">
            <v>3511.1</v>
          </cell>
          <cell r="BQ473">
            <v>3416.5</v>
          </cell>
          <cell r="BR473">
            <v>20951.999999999996</v>
          </cell>
          <cell r="BS473">
            <v>1927.3000000000002</v>
          </cell>
          <cell r="BT473">
            <v>3695.5</v>
          </cell>
          <cell r="BU473">
            <v>3262.7</v>
          </cell>
          <cell r="BV473">
            <v>3174.3</v>
          </cell>
          <cell r="BW473">
            <v>2896.8</v>
          </cell>
          <cell r="BX473">
            <v>2234.1999999999998</v>
          </cell>
          <cell r="BY473">
            <v>3330.9999999999995</v>
          </cell>
          <cell r="BZ473">
            <v>2021.6000000000004</v>
          </cell>
          <cell r="CA473">
            <v>2842.6000000000004</v>
          </cell>
          <cell r="CB473">
            <v>-1311.8999999999996</v>
          </cell>
          <cell r="CC473">
            <v>7682.9999999999991</v>
          </cell>
          <cell r="CD473">
            <v>5528</v>
          </cell>
          <cell r="CE473">
            <v>10732.4</v>
          </cell>
          <cell r="CF473">
            <v>13109</v>
          </cell>
          <cell r="CG473">
            <v>7235.1</v>
          </cell>
          <cell r="CH473">
            <v>9454.6</v>
          </cell>
          <cell r="CI473">
            <v>3982.8999999999996</v>
          </cell>
          <cell r="CJ473">
            <v>9295.5</v>
          </cell>
          <cell r="CK473">
            <v>9556.8000000000011</v>
          </cell>
          <cell r="CL473">
            <v>9285.5</v>
          </cell>
          <cell r="CM473">
            <v>9677.4</v>
          </cell>
          <cell r="CN473">
            <v>7688.5</v>
          </cell>
          <cell r="CO473">
            <v>10910.199999999999</v>
          </cell>
          <cell r="CP473">
            <v>8678.5999999999985</v>
          </cell>
          <cell r="CQ473">
            <v>7205.2</v>
          </cell>
          <cell r="CR473">
            <v>9524.5</v>
          </cell>
          <cell r="CS473">
            <v>8981.6</v>
          </cell>
          <cell r="CT473">
            <v>8637.1999999999989</v>
          </cell>
          <cell r="CU473">
            <v>9145</v>
          </cell>
          <cell r="CV473">
            <v>9419.1999999999989</v>
          </cell>
          <cell r="CW473">
            <v>8961.2999999999993</v>
          </cell>
          <cell r="CX473">
            <v>8984.9000000000015</v>
          </cell>
          <cell r="CY473">
            <v>8481.9000000000015</v>
          </cell>
          <cell r="CZ473">
            <v>9183.2000000000007</v>
          </cell>
          <cell r="DA473">
            <v>8750.1</v>
          </cell>
          <cell r="DB473">
            <v>8471.5</v>
          </cell>
          <cell r="DC473">
            <v>8031.8000000000011</v>
          </cell>
          <cell r="DD473">
            <v>8438.4</v>
          </cell>
          <cell r="DE473">
            <v>8121.4</v>
          </cell>
          <cell r="DF473">
            <v>7908.7</v>
          </cell>
          <cell r="DG473">
            <v>8508.7999999999993</v>
          </cell>
          <cell r="DH473">
            <v>8534.6999999999989</v>
          </cell>
          <cell r="DI473">
            <v>7780.9000000000024</v>
          </cell>
          <cell r="DJ473">
            <v>8085.6000000000022</v>
          </cell>
          <cell r="DK473">
            <v>8303.9</v>
          </cell>
        </row>
        <row r="475">
          <cell r="BC475" t="str">
            <v>ST DEBT (incl intero payable)</v>
          </cell>
          <cell r="BD475">
            <v>8350</v>
          </cell>
          <cell r="BE475">
            <v>5800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2300</v>
          </cell>
          <cell r="BR475">
            <v>0</v>
          </cell>
          <cell r="BS475">
            <v>0</v>
          </cell>
          <cell r="BT475">
            <v>0</v>
          </cell>
          <cell r="BU475">
            <v>600</v>
          </cell>
          <cell r="BV475">
            <v>1800</v>
          </cell>
          <cell r="BW475">
            <v>3150</v>
          </cell>
          <cell r="BX475">
            <v>700</v>
          </cell>
          <cell r="BY475">
            <v>0</v>
          </cell>
          <cell r="BZ475">
            <v>9750</v>
          </cell>
          <cell r="CA475">
            <v>30050</v>
          </cell>
          <cell r="CB475">
            <v>41225.800000000003</v>
          </cell>
          <cell r="CC475">
            <v>40506.800000000003</v>
          </cell>
          <cell r="CD475">
            <v>41810.800000000003</v>
          </cell>
          <cell r="CE475">
            <v>37148.300000000003</v>
          </cell>
          <cell r="CF475">
            <v>31842.1</v>
          </cell>
          <cell r="CG475">
            <v>36126.699999999997</v>
          </cell>
          <cell r="CH475">
            <v>33325.4</v>
          </cell>
          <cell r="CI475">
            <v>46233.9</v>
          </cell>
          <cell r="CJ475">
            <v>48013.8</v>
          </cell>
          <cell r="CK475">
            <v>43884.1</v>
          </cell>
          <cell r="CL475">
            <v>46059.9</v>
          </cell>
          <cell r="CM475">
            <v>57684.3</v>
          </cell>
          <cell r="CN475">
            <v>55045.7</v>
          </cell>
          <cell r="CO475">
            <v>58203.6</v>
          </cell>
          <cell r="CP475">
            <v>53438.3</v>
          </cell>
          <cell r="CQ475">
            <v>53973.8</v>
          </cell>
          <cell r="CR475">
            <v>86871.6</v>
          </cell>
          <cell r="CS475">
            <v>32647.3</v>
          </cell>
          <cell r="CT475">
            <v>32403.7</v>
          </cell>
          <cell r="CU475">
            <v>36635.699999999997</v>
          </cell>
          <cell r="CV475">
            <v>44924.3</v>
          </cell>
          <cell r="CW475">
            <v>26602</v>
          </cell>
          <cell r="CX475">
            <v>35033.800000000003</v>
          </cell>
          <cell r="CY475">
            <v>53651.6</v>
          </cell>
          <cell r="CZ475">
            <v>70274.100000000006</v>
          </cell>
          <cell r="DA475">
            <v>51017.8</v>
          </cell>
          <cell r="DB475">
            <v>43526.1</v>
          </cell>
          <cell r="DC475">
            <v>47854</v>
          </cell>
          <cell r="DD475">
            <v>32302.6</v>
          </cell>
          <cell r="DE475">
            <v>43946</v>
          </cell>
          <cell r="DF475">
            <v>30168.5</v>
          </cell>
          <cell r="DG475">
            <v>48717.4</v>
          </cell>
          <cell r="DH475">
            <v>44435.199999999997</v>
          </cell>
          <cell r="DI475">
            <v>47028.3</v>
          </cell>
          <cell r="DJ475">
            <v>77517.7</v>
          </cell>
          <cell r="DK475">
            <v>91139</v>
          </cell>
        </row>
        <row r="478">
          <cell r="F478" t="str">
            <v>4+8F May to Dec to $50M (June to $45M so ST Debt wouldn't have negative balance)</v>
          </cell>
          <cell r="CF478">
            <v>50000</v>
          </cell>
          <cell r="CG478">
            <v>50000</v>
          </cell>
          <cell r="CH478">
            <v>50000</v>
          </cell>
          <cell r="CI478">
            <v>50000</v>
          </cell>
          <cell r="CJ478">
            <v>50000</v>
          </cell>
          <cell r="CK478">
            <v>50000</v>
          </cell>
          <cell r="CL478">
            <v>50000</v>
          </cell>
          <cell r="CM478">
            <v>50000</v>
          </cell>
        </row>
        <row r="479">
          <cell r="F479" t="str">
            <v>Addition to 2320001 AP Accruals to get to $50M ($50M - Total AP)</v>
          </cell>
          <cell r="CF479">
            <v>19753.600000000009</v>
          </cell>
          <cell r="CG479">
            <v>21382.399999999998</v>
          </cell>
          <cell r="CH479">
            <v>19033.5</v>
          </cell>
          <cell r="CI479">
            <v>16596.199999999997</v>
          </cell>
          <cell r="CJ479">
            <v>17785.7</v>
          </cell>
          <cell r="CK479">
            <v>13080.500000000007</v>
          </cell>
          <cell r="CL479">
            <v>2727</v>
          </cell>
          <cell r="CM479">
            <v>1840.8000000000029</v>
          </cell>
        </row>
        <row r="480">
          <cell r="F480" t="str">
            <v>New Balances</v>
          </cell>
          <cell r="CF480">
            <v>26925.600000000009</v>
          </cell>
          <cell r="CG480">
            <v>29462.399999999998</v>
          </cell>
          <cell r="CH480">
            <v>27121</v>
          </cell>
          <cell r="CI480">
            <v>26234.1</v>
          </cell>
          <cell r="CJ480">
            <v>25599.4</v>
          </cell>
          <cell r="CK480">
            <v>21011.400000000009</v>
          </cell>
          <cell r="CL480">
            <v>20809.900000000001</v>
          </cell>
          <cell r="CM480">
            <v>13170.900000000003</v>
          </cell>
        </row>
        <row r="481">
          <cell r="F481" t="str">
            <v>EPM Input</v>
          </cell>
          <cell r="CF481">
            <v>26925600.000000011</v>
          </cell>
          <cell r="CG481">
            <v>24462399.999999996</v>
          </cell>
          <cell r="CH481">
            <v>27121000</v>
          </cell>
          <cell r="CI481">
            <v>26234100</v>
          </cell>
          <cell r="CJ481">
            <v>25599400</v>
          </cell>
          <cell r="CK481">
            <v>21011400.000000007</v>
          </cell>
          <cell r="CL481">
            <v>20809900</v>
          </cell>
          <cell r="CM481">
            <v>13170900.000000004</v>
          </cell>
        </row>
        <row r="488">
          <cell r="DL488">
            <v>13.100000000034925</v>
          </cell>
          <cell r="DM488">
            <v>26.899999999834108</v>
          </cell>
          <cell r="DN488">
            <v>313.50000000026557</v>
          </cell>
          <cell r="DO488">
            <v>331.90000000012515</v>
          </cell>
          <cell r="DP488">
            <v>53.599999999943975</v>
          </cell>
          <cell r="DQ488">
            <v>-90.5999999997548</v>
          </cell>
          <cell r="DR488">
            <v>-76.899999999910506</v>
          </cell>
          <cell r="DS488">
            <v>63.399999999961437</v>
          </cell>
          <cell r="DT488">
            <v>41.200000000178989</v>
          </cell>
          <cell r="DU488">
            <v>-112693.70830845693</v>
          </cell>
          <cell r="DV488">
            <v>-91589.771866643408</v>
          </cell>
          <cell r="DW488">
            <v>-107765.54957135532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91">
          <cell r="E491">
            <v>1</v>
          </cell>
          <cell r="DL491">
            <v>112</v>
          </cell>
        </row>
        <row r="497">
          <cell r="DL497">
            <v>-13100.000000034925</v>
          </cell>
          <cell r="DM497">
            <v>-26899.999999834108</v>
          </cell>
          <cell r="DN497">
            <v>-313500.00000026554</v>
          </cell>
          <cell r="DO497">
            <v>-331900.00000012515</v>
          </cell>
          <cell r="DP497">
            <v>-53599.999999943975</v>
          </cell>
        </row>
        <row r="498">
          <cell r="DL498">
            <v>17279000</v>
          </cell>
          <cell r="DM498">
            <v>13711100</v>
          </cell>
          <cell r="DN498">
            <v>10980700</v>
          </cell>
          <cell r="DO498">
            <v>11538800</v>
          </cell>
          <cell r="DP498">
            <v>20118500</v>
          </cell>
        </row>
        <row r="499">
          <cell r="DL499">
            <v>17265899.999999966</v>
          </cell>
          <cell r="DM499">
            <v>13684200.000000166</v>
          </cell>
          <cell r="DN499">
            <v>10667199.999999734</v>
          </cell>
          <cell r="DO499">
            <v>11206899.999999875</v>
          </cell>
          <cell r="DP499">
            <v>20064900.000000056</v>
          </cell>
        </row>
        <row r="501">
          <cell r="DL501">
            <v>17209897.183873363</v>
          </cell>
          <cell r="DM501">
            <v>13635870.39611043</v>
          </cell>
          <cell r="DN501">
            <v>10907512.931916647</v>
          </cell>
          <cell r="DO501">
            <v>11478909.925123096</v>
          </cell>
          <cell r="DP501">
            <v>20112571.795122277</v>
          </cell>
        </row>
        <row r="523">
          <cell r="DP523" t="str">
            <v>A_1810200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</row>
        <row r="525">
          <cell r="DP525" t="str">
            <v>A_2240200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825000000</v>
          </cell>
          <cell r="DV525">
            <v>825000000</v>
          </cell>
          <cell r="DW525">
            <v>825000000</v>
          </cell>
        </row>
        <row r="527">
          <cell r="DP527" t="str">
            <v>A_2370400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3815600</v>
          </cell>
          <cell r="DW527">
            <v>7631300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scroft, Sean M." id="{BB286386-0124-4E35-BA00-AE8185AB9D44}" userId="S::SMAscroft@tecoenergy.com::3f076bc3-aa2e-48f8-8935-dbde864a2c4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09" dT="2019-09-24T15:01:35.85" personId="{BB286386-0124-4E35-BA00-AE8185AB9D44}" id="{07356C62-FDED-4CD5-ABF3-A072C0795739}">
    <text>Taking out all lease accounts (1040001, 1080901, 1720101, 1720201, 1720202, 2530360) They all zero out in the end.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7" Type="http://schemas.openxmlformats.org/officeDocument/2006/relationships/image" Target="../media/image6.emf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2:DX194"/>
  <sheetViews>
    <sheetView showGridLines="0" zoomScale="85" zoomScaleNormal="85" workbookViewId="0">
      <pane xSplit="8" ySplit="5" topLeftCell="I55" activePane="bottomRight" state="frozen"/>
      <selection pane="topRight" activeCell="I1" sqref="I1"/>
      <selection pane="bottomLeft" activeCell="A7" sqref="A7"/>
      <selection pane="bottomRight" activeCell="D16" sqref="D16"/>
    </sheetView>
  </sheetViews>
  <sheetFormatPr defaultColWidth="0" defaultRowHeight="12.75" outlineLevelRow="1" outlineLevelCol="2"/>
  <cols>
    <col min="1" max="1" width="3.7109375" customWidth="1"/>
    <col min="2" max="2" width="23.28515625" customWidth="1"/>
    <col min="3" max="3" width="25.7109375" customWidth="1"/>
    <col min="4" max="4" width="9.7109375" customWidth="1"/>
    <col min="5" max="5" width="6.28515625" bestFit="1" customWidth="1"/>
    <col min="6" max="6" width="5.28515625" customWidth="1"/>
    <col min="7" max="7" width="3.85546875" customWidth="1"/>
    <col min="8" max="8" width="6.85546875" bestFit="1" customWidth="1"/>
    <col min="9" max="9" width="3.7109375" customWidth="1"/>
    <col min="10" max="17" width="13.7109375" customWidth="1" outlineLevel="1"/>
    <col min="18" max="18" width="3.7109375" customWidth="1"/>
    <col min="19" max="114" width="13.7109375" hidden="1" customWidth="1" outlineLevel="2"/>
    <col min="115" max="115" width="3.7109375" customWidth="1" collapsed="1"/>
    <col min="116" max="128" width="0" hidden="1" customWidth="1"/>
    <col min="129" max="16384" width="8.85546875" hidden="1"/>
  </cols>
  <sheetData>
    <row r="2" spans="1:114" ht="15.75">
      <c r="B2" s="914" t="s">
        <v>0</v>
      </c>
      <c r="C2" s="914"/>
      <c r="D2" s="1019" t="e">
        <f ca="1">SUM(H24,H30,H35,H42,H46,H51,H58,H76,H86,H91,H104,H111,H118,H141,H148,H157,H169,H179,H188)</f>
        <v>#NAME?</v>
      </c>
      <c r="E2" s="915"/>
      <c r="F2" s="916"/>
      <c r="J2" s="917">
        <f>YEAR(J4)</f>
        <v>2020</v>
      </c>
      <c r="K2" s="917">
        <f>J2+1</f>
        <v>2021</v>
      </c>
      <c r="L2" s="917">
        <f t="shared" ref="L2:Q2" si="0">K2+1</f>
        <v>2022</v>
      </c>
      <c r="M2" s="917">
        <f t="shared" si="0"/>
        <v>2023</v>
      </c>
      <c r="N2" s="917">
        <f t="shared" si="0"/>
        <v>2024</v>
      </c>
      <c r="O2" s="917">
        <f t="shared" si="0"/>
        <v>2025</v>
      </c>
      <c r="P2" s="917">
        <f t="shared" si="0"/>
        <v>2026</v>
      </c>
      <c r="Q2" s="917">
        <f t="shared" si="0"/>
        <v>2027</v>
      </c>
      <c r="S2" s="917" t="str">
        <f t="shared" ref="S2:CD2" si="1">TEXT(S4,"mmm yy")</f>
        <v>Jan 20</v>
      </c>
      <c r="T2" s="917" t="str">
        <f t="shared" si="1"/>
        <v>Feb 20</v>
      </c>
      <c r="U2" s="917" t="str">
        <f t="shared" si="1"/>
        <v>Mar 20</v>
      </c>
      <c r="V2" s="917" t="str">
        <f t="shared" si="1"/>
        <v>Apr 20</v>
      </c>
      <c r="W2" s="917" t="str">
        <f t="shared" si="1"/>
        <v>May 20</v>
      </c>
      <c r="X2" s="917" t="str">
        <f t="shared" si="1"/>
        <v>Jun 20</v>
      </c>
      <c r="Y2" s="917" t="str">
        <f t="shared" si="1"/>
        <v>Jul 20</v>
      </c>
      <c r="Z2" s="917" t="str">
        <f t="shared" si="1"/>
        <v>Aug 20</v>
      </c>
      <c r="AA2" s="917" t="str">
        <f t="shared" si="1"/>
        <v>Sep 20</v>
      </c>
      <c r="AB2" s="917" t="str">
        <f t="shared" si="1"/>
        <v>Oct 20</v>
      </c>
      <c r="AC2" s="917" t="str">
        <f t="shared" si="1"/>
        <v>Nov 20</v>
      </c>
      <c r="AD2" s="917" t="str">
        <f t="shared" si="1"/>
        <v>Dec 20</v>
      </c>
      <c r="AE2" s="917" t="str">
        <f t="shared" si="1"/>
        <v>Jan 21</v>
      </c>
      <c r="AF2" s="917" t="str">
        <f t="shared" si="1"/>
        <v>Feb 21</v>
      </c>
      <c r="AG2" s="917" t="str">
        <f t="shared" si="1"/>
        <v>Mar 21</v>
      </c>
      <c r="AH2" s="917" t="str">
        <f t="shared" si="1"/>
        <v>Apr 21</v>
      </c>
      <c r="AI2" s="917" t="str">
        <f t="shared" si="1"/>
        <v>May 21</v>
      </c>
      <c r="AJ2" s="917" t="str">
        <f t="shared" si="1"/>
        <v>Jun 21</v>
      </c>
      <c r="AK2" s="917" t="str">
        <f t="shared" si="1"/>
        <v>Jul 21</v>
      </c>
      <c r="AL2" s="917" t="str">
        <f t="shared" si="1"/>
        <v>Aug 21</v>
      </c>
      <c r="AM2" s="917" t="str">
        <f t="shared" si="1"/>
        <v>Sep 21</v>
      </c>
      <c r="AN2" s="917" t="str">
        <f t="shared" si="1"/>
        <v>Oct 21</v>
      </c>
      <c r="AO2" s="917" t="str">
        <f t="shared" si="1"/>
        <v>Nov 21</v>
      </c>
      <c r="AP2" s="917" t="str">
        <f t="shared" si="1"/>
        <v>Dec 21</v>
      </c>
      <c r="AQ2" s="917" t="str">
        <f t="shared" si="1"/>
        <v>Jan 22</v>
      </c>
      <c r="AR2" s="917" t="str">
        <f t="shared" si="1"/>
        <v>Feb 22</v>
      </c>
      <c r="AS2" s="917" t="str">
        <f t="shared" si="1"/>
        <v>Mar 22</v>
      </c>
      <c r="AT2" s="917" t="str">
        <f t="shared" si="1"/>
        <v>Apr 22</v>
      </c>
      <c r="AU2" s="917" t="str">
        <f t="shared" si="1"/>
        <v>May 22</v>
      </c>
      <c r="AV2" s="917" t="str">
        <f t="shared" si="1"/>
        <v>Jun 22</v>
      </c>
      <c r="AW2" s="917" t="str">
        <f t="shared" si="1"/>
        <v>Jul 22</v>
      </c>
      <c r="AX2" s="917" t="str">
        <f t="shared" si="1"/>
        <v>Aug 22</v>
      </c>
      <c r="AY2" s="917" t="str">
        <f t="shared" si="1"/>
        <v>Sep 22</v>
      </c>
      <c r="AZ2" s="917" t="str">
        <f t="shared" si="1"/>
        <v>Oct 22</v>
      </c>
      <c r="BA2" s="917" t="str">
        <f t="shared" si="1"/>
        <v>Nov 22</v>
      </c>
      <c r="BB2" s="917" t="str">
        <f t="shared" si="1"/>
        <v>Dec 22</v>
      </c>
      <c r="BC2" s="917" t="str">
        <f t="shared" si="1"/>
        <v>Jan 23</v>
      </c>
      <c r="BD2" s="917" t="str">
        <f t="shared" si="1"/>
        <v>Feb 23</v>
      </c>
      <c r="BE2" s="917" t="str">
        <f t="shared" si="1"/>
        <v>Mar 23</v>
      </c>
      <c r="BF2" s="917" t="str">
        <f t="shared" si="1"/>
        <v>Apr 23</v>
      </c>
      <c r="BG2" s="917" t="str">
        <f t="shared" si="1"/>
        <v>May 23</v>
      </c>
      <c r="BH2" s="917" t="str">
        <f t="shared" si="1"/>
        <v>Jun 23</v>
      </c>
      <c r="BI2" s="917" t="str">
        <f t="shared" si="1"/>
        <v>Jul 23</v>
      </c>
      <c r="BJ2" s="917" t="str">
        <f t="shared" si="1"/>
        <v>Aug 23</v>
      </c>
      <c r="BK2" s="917" t="str">
        <f t="shared" si="1"/>
        <v>Sep 23</v>
      </c>
      <c r="BL2" s="917" t="str">
        <f t="shared" si="1"/>
        <v>Oct 23</v>
      </c>
      <c r="BM2" s="917" t="str">
        <f t="shared" si="1"/>
        <v>Nov 23</v>
      </c>
      <c r="BN2" s="917" t="str">
        <f t="shared" si="1"/>
        <v>Dec 23</v>
      </c>
      <c r="BO2" s="917" t="str">
        <f t="shared" si="1"/>
        <v>Jan 24</v>
      </c>
      <c r="BP2" s="917" t="str">
        <f t="shared" si="1"/>
        <v>Feb 24</v>
      </c>
      <c r="BQ2" s="917" t="str">
        <f t="shared" si="1"/>
        <v>Mar 24</v>
      </c>
      <c r="BR2" s="917" t="str">
        <f t="shared" si="1"/>
        <v>Apr 24</v>
      </c>
      <c r="BS2" s="917" t="str">
        <f t="shared" si="1"/>
        <v>May 24</v>
      </c>
      <c r="BT2" s="917" t="str">
        <f t="shared" si="1"/>
        <v>Jun 24</v>
      </c>
      <c r="BU2" s="917" t="str">
        <f t="shared" si="1"/>
        <v>Jul 24</v>
      </c>
      <c r="BV2" s="917" t="str">
        <f t="shared" si="1"/>
        <v>Aug 24</v>
      </c>
      <c r="BW2" s="917" t="str">
        <f t="shared" si="1"/>
        <v>Sep 24</v>
      </c>
      <c r="BX2" s="917" t="str">
        <f t="shared" si="1"/>
        <v>Oct 24</v>
      </c>
      <c r="BY2" s="917" t="str">
        <f t="shared" si="1"/>
        <v>Nov 24</v>
      </c>
      <c r="BZ2" s="917" t="str">
        <f t="shared" si="1"/>
        <v>Dec 24</v>
      </c>
      <c r="CA2" s="917" t="str">
        <f t="shared" si="1"/>
        <v>Jan 25</v>
      </c>
      <c r="CB2" s="917" t="str">
        <f t="shared" si="1"/>
        <v>Feb 25</v>
      </c>
      <c r="CC2" s="917" t="str">
        <f t="shared" si="1"/>
        <v>Mar 25</v>
      </c>
      <c r="CD2" s="917" t="str">
        <f t="shared" si="1"/>
        <v>Apr 25</v>
      </c>
      <c r="CE2" s="917" t="str">
        <f t="shared" ref="CE2:DJ2" si="2">TEXT(CE4,"mmm yy")</f>
        <v>May 25</v>
      </c>
      <c r="CF2" s="917" t="str">
        <f t="shared" si="2"/>
        <v>Jun 25</v>
      </c>
      <c r="CG2" s="917" t="str">
        <f t="shared" si="2"/>
        <v>Jul 25</v>
      </c>
      <c r="CH2" s="917" t="str">
        <f t="shared" si="2"/>
        <v>Aug 25</v>
      </c>
      <c r="CI2" s="917" t="str">
        <f t="shared" si="2"/>
        <v>Sep 25</v>
      </c>
      <c r="CJ2" s="917" t="str">
        <f t="shared" si="2"/>
        <v>Oct 25</v>
      </c>
      <c r="CK2" s="917" t="str">
        <f t="shared" si="2"/>
        <v>Nov 25</v>
      </c>
      <c r="CL2" s="917" t="str">
        <f t="shared" si="2"/>
        <v>Dec 25</v>
      </c>
      <c r="CM2" s="917" t="str">
        <f t="shared" si="2"/>
        <v>Jan 26</v>
      </c>
      <c r="CN2" s="917" t="str">
        <f t="shared" si="2"/>
        <v>Feb 26</v>
      </c>
      <c r="CO2" s="917" t="str">
        <f t="shared" si="2"/>
        <v>Mar 26</v>
      </c>
      <c r="CP2" s="917" t="str">
        <f t="shared" si="2"/>
        <v>Apr 26</v>
      </c>
      <c r="CQ2" s="917" t="str">
        <f t="shared" si="2"/>
        <v>May 26</v>
      </c>
      <c r="CR2" s="917" t="str">
        <f t="shared" si="2"/>
        <v>Jun 26</v>
      </c>
      <c r="CS2" s="917" t="str">
        <f t="shared" si="2"/>
        <v>Jul 26</v>
      </c>
      <c r="CT2" s="917" t="str">
        <f t="shared" si="2"/>
        <v>Aug 26</v>
      </c>
      <c r="CU2" s="917" t="str">
        <f t="shared" si="2"/>
        <v>Sep 26</v>
      </c>
      <c r="CV2" s="917" t="str">
        <f t="shared" si="2"/>
        <v>Oct 26</v>
      </c>
      <c r="CW2" s="917" t="str">
        <f t="shared" si="2"/>
        <v>Nov 26</v>
      </c>
      <c r="CX2" s="917" t="str">
        <f t="shared" si="2"/>
        <v>Dec 26</v>
      </c>
      <c r="CY2" s="917" t="str">
        <f t="shared" si="2"/>
        <v>Jan 27</v>
      </c>
      <c r="CZ2" s="917" t="str">
        <f t="shared" si="2"/>
        <v>Feb 27</v>
      </c>
      <c r="DA2" s="917" t="str">
        <f t="shared" si="2"/>
        <v>Mar 27</v>
      </c>
      <c r="DB2" s="917" t="str">
        <f t="shared" si="2"/>
        <v>Apr 27</v>
      </c>
      <c r="DC2" s="917" t="str">
        <f t="shared" si="2"/>
        <v>May 27</v>
      </c>
      <c r="DD2" s="917" t="str">
        <f t="shared" si="2"/>
        <v>Jun 27</v>
      </c>
      <c r="DE2" s="917" t="str">
        <f t="shared" si="2"/>
        <v>Jul 27</v>
      </c>
      <c r="DF2" s="917" t="str">
        <f t="shared" si="2"/>
        <v>Aug 27</v>
      </c>
      <c r="DG2" s="917" t="str">
        <f t="shared" si="2"/>
        <v>Sep 27</v>
      </c>
      <c r="DH2" s="917" t="str">
        <f t="shared" si="2"/>
        <v>Oct 27</v>
      </c>
      <c r="DI2" s="917" t="str">
        <f t="shared" si="2"/>
        <v>Nov 27</v>
      </c>
      <c r="DJ2" s="917" t="str">
        <f t="shared" si="2"/>
        <v>Dec 27</v>
      </c>
    </row>
    <row r="3" spans="1:114" ht="15.75">
      <c r="B3" s="918" t="str">
        <f ca="1">MID(CELL("filename",A2),FIND("]",CELL("filename",A2))+1,256)</f>
        <v>i.SR</v>
      </c>
      <c r="C3" s="919"/>
      <c r="D3" s="918" t="s">
        <v>1</v>
      </c>
      <c r="E3" s="918"/>
      <c r="F3" s="924">
        <v>1</v>
      </c>
      <c r="J3" s="920" t="s">
        <v>2</v>
      </c>
      <c r="K3" s="920" t="s">
        <v>2</v>
      </c>
      <c r="L3" s="920" t="s">
        <v>3</v>
      </c>
      <c r="M3" s="920" t="s">
        <v>4</v>
      </c>
      <c r="N3" s="920" t="s">
        <v>4</v>
      </c>
      <c r="O3" s="920" t="s">
        <v>4</v>
      </c>
      <c r="P3" s="920" t="s">
        <v>4</v>
      </c>
      <c r="Q3" s="920" t="s">
        <v>4</v>
      </c>
      <c r="S3" s="920" t="str" cm="1">
        <f t="array" ref="S3">INDEX($J$3:$Q$3,S6)</f>
        <v>Actual</v>
      </c>
      <c r="T3" s="920" t="str" cm="1">
        <f t="array" ref="T3">INDEX($J$3:$Q$3,T6)</f>
        <v>Actual</v>
      </c>
      <c r="U3" s="920" t="str" cm="1">
        <f t="array" ref="U3">INDEX($J$3:$Q$3,U6)</f>
        <v>Actual</v>
      </c>
      <c r="V3" s="920" t="str" cm="1">
        <f t="array" ref="V3">INDEX($J$3:$Q$3,V6)</f>
        <v>Actual</v>
      </c>
      <c r="W3" s="920" t="str" cm="1">
        <f t="array" ref="W3">INDEX($J$3:$Q$3,W6)</f>
        <v>Actual</v>
      </c>
      <c r="X3" s="920" t="str" cm="1">
        <f t="array" ref="X3">INDEX($J$3:$Q$3,X6)</f>
        <v>Actual</v>
      </c>
      <c r="Y3" s="920" t="str" cm="1">
        <f t="array" ref="Y3">INDEX($J$3:$Q$3,Y6)</f>
        <v>Actual</v>
      </c>
      <c r="Z3" s="920" t="str" cm="1">
        <f t="array" ref="Z3">INDEX($J$3:$Q$3,Z6)</f>
        <v>Actual</v>
      </c>
      <c r="AA3" s="920" t="str" cm="1">
        <f t="array" ref="AA3">INDEX($J$3:$Q$3,AA6)</f>
        <v>Actual</v>
      </c>
      <c r="AB3" s="920" t="str" cm="1">
        <f t="array" ref="AB3">INDEX($J$3:$Q$3,AB6)</f>
        <v>Actual</v>
      </c>
      <c r="AC3" s="920" t="str" cm="1">
        <f t="array" ref="AC3">INDEX($J$3:$Q$3,AC6)</f>
        <v>Actual</v>
      </c>
      <c r="AD3" s="920" t="str" cm="1">
        <f t="array" ref="AD3">INDEX($J$3:$Q$3,AD6)</f>
        <v>Actual</v>
      </c>
      <c r="AE3" s="920" t="str" cm="1">
        <f t="array" ref="AE3">INDEX($J$3:$Q$3,AE6)</f>
        <v>Actual</v>
      </c>
      <c r="AF3" s="920" t="str" cm="1">
        <f t="array" ref="AF3">INDEX($J$3:$Q$3,AF6)</f>
        <v>Actual</v>
      </c>
      <c r="AG3" s="920" t="str" cm="1">
        <f t="array" ref="AG3">INDEX($J$3:$Q$3,AG6)</f>
        <v>Actual</v>
      </c>
      <c r="AH3" s="920" t="str" cm="1">
        <f t="array" ref="AH3">INDEX($J$3:$Q$3,AH6)</f>
        <v>Actual</v>
      </c>
      <c r="AI3" s="920" t="str" cm="1">
        <f t="array" ref="AI3">INDEX($J$3:$Q$3,AI6)</f>
        <v>Actual</v>
      </c>
      <c r="AJ3" s="920" t="str" cm="1">
        <f t="array" ref="AJ3">INDEX($J$3:$Q$3,AJ6)</f>
        <v>Actual</v>
      </c>
      <c r="AK3" s="920" t="str" cm="1">
        <f t="array" ref="AK3">INDEX($J$3:$Q$3,AK6)</f>
        <v>Actual</v>
      </c>
      <c r="AL3" s="920" t="str" cm="1">
        <f t="array" ref="AL3">INDEX($J$3:$Q$3,AL6)</f>
        <v>Actual</v>
      </c>
      <c r="AM3" s="920" t="str" cm="1">
        <f t="array" ref="AM3">INDEX($J$3:$Q$3,AM6)</f>
        <v>Actual</v>
      </c>
      <c r="AN3" s="920" t="str" cm="1">
        <f t="array" ref="AN3">INDEX($J$3:$Q$3,AN6)</f>
        <v>Actual</v>
      </c>
      <c r="AO3" s="920" t="str" cm="1">
        <f t="array" ref="AO3">INDEX($J$3:$Q$3,AO6)</f>
        <v>Actual</v>
      </c>
      <c r="AP3" s="920" t="str" cm="1">
        <f t="array" ref="AP3">INDEX($J$3:$Q$3,AP6)</f>
        <v>Actual</v>
      </c>
      <c r="AQ3" s="920" t="str" cm="1">
        <f t="array" ref="AQ3">INDEX($J$3:$Q$3,AQ6)</f>
        <v>Budget</v>
      </c>
      <c r="AR3" s="920" t="str" cm="1">
        <f t="array" ref="AR3">INDEX($J$3:$Q$3,AR6)</f>
        <v>Budget</v>
      </c>
      <c r="AS3" s="920" t="str" cm="1">
        <f t="array" ref="AS3">INDEX($J$3:$Q$3,AS6)</f>
        <v>Budget</v>
      </c>
      <c r="AT3" s="920" t="str" cm="1">
        <f t="array" ref="AT3">INDEX($J$3:$Q$3,AT6)</f>
        <v>Budget</v>
      </c>
      <c r="AU3" s="920" t="str" cm="1">
        <f t="array" ref="AU3">INDEX($J$3:$Q$3,AU6)</f>
        <v>Budget</v>
      </c>
      <c r="AV3" s="920" t="str" cm="1">
        <f t="array" ref="AV3">INDEX($J$3:$Q$3,AV6)</f>
        <v>Budget</v>
      </c>
      <c r="AW3" s="920" t="str" cm="1">
        <f t="array" ref="AW3">INDEX($J$3:$Q$3,AW6)</f>
        <v>Budget</v>
      </c>
      <c r="AX3" s="920" t="str" cm="1">
        <f t="array" ref="AX3">INDEX($J$3:$Q$3,AX6)</f>
        <v>Budget</v>
      </c>
      <c r="AY3" s="920" t="str" cm="1">
        <f t="array" ref="AY3">INDEX($J$3:$Q$3,AY6)</f>
        <v>Budget</v>
      </c>
      <c r="AZ3" s="920" t="str" cm="1">
        <f t="array" ref="AZ3">INDEX($J$3:$Q$3,AZ6)</f>
        <v>Budget</v>
      </c>
      <c r="BA3" s="920" t="str" cm="1">
        <f t="array" ref="BA3">INDEX($J$3:$Q$3,BA6)</f>
        <v>Budget</v>
      </c>
      <c r="BB3" s="920" t="str" cm="1">
        <f t="array" ref="BB3">INDEX($J$3:$Q$3,BB6)</f>
        <v>Budget</v>
      </c>
      <c r="BC3" s="920" t="str" cm="1">
        <f t="array" ref="BC3">INDEX($J$3:$Q$3,BC6)</f>
        <v>Forecast</v>
      </c>
      <c r="BD3" s="920" t="str" cm="1">
        <f t="array" ref="BD3">INDEX($J$3:$Q$3,BD6)</f>
        <v>Forecast</v>
      </c>
      <c r="BE3" s="920" t="str" cm="1">
        <f t="array" ref="BE3">INDEX($J$3:$Q$3,BE6)</f>
        <v>Forecast</v>
      </c>
      <c r="BF3" s="920" t="str" cm="1">
        <f t="array" ref="BF3">INDEX($J$3:$Q$3,BF6)</f>
        <v>Forecast</v>
      </c>
      <c r="BG3" s="920" t="str" cm="1">
        <f t="array" ref="BG3">INDEX($J$3:$Q$3,BG6)</f>
        <v>Forecast</v>
      </c>
      <c r="BH3" s="920" t="str" cm="1">
        <f t="array" ref="BH3">INDEX($J$3:$Q$3,BH6)</f>
        <v>Forecast</v>
      </c>
      <c r="BI3" s="920" t="str" cm="1">
        <f t="array" ref="BI3">INDEX($J$3:$Q$3,BI6)</f>
        <v>Forecast</v>
      </c>
      <c r="BJ3" s="920" t="str" cm="1">
        <f t="array" ref="BJ3">INDEX($J$3:$Q$3,BJ6)</f>
        <v>Forecast</v>
      </c>
      <c r="BK3" s="920" t="str" cm="1">
        <f t="array" ref="BK3">INDEX($J$3:$Q$3,BK6)</f>
        <v>Forecast</v>
      </c>
      <c r="BL3" s="920" t="str" cm="1">
        <f t="array" ref="BL3">INDEX($J$3:$Q$3,BL6)</f>
        <v>Forecast</v>
      </c>
      <c r="BM3" s="920" t="str" cm="1">
        <f t="array" ref="BM3">INDEX($J$3:$Q$3,BM6)</f>
        <v>Forecast</v>
      </c>
      <c r="BN3" s="920" t="str" cm="1">
        <f t="array" ref="BN3">INDEX($J$3:$Q$3,BN6)</f>
        <v>Forecast</v>
      </c>
      <c r="BO3" s="920" t="str" cm="1">
        <f t="array" ref="BO3">INDEX($J$3:$Q$3,BO6)</f>
        <v>Forecast</v>
      </c>
      <c r="BP3" s="920" t="str" cm="1">
        <f t="array" ref="BP3">INDEX($J$3:$Q$3,BP6)</f>
        <v>Forecast</v>
      </c>
      <c r="BQ3" s="920" t="str" cm="1">
        <f t="array" ref="BQ3">INDEX($J$3:$Q$3,BQ6)</f>
        <v>Forecast</v>
      </c>
      <c r="BR3" s="920" t="str" cm="1">
        <f t="array" ref="BR3">INDEX($J$3:$Q$3,BR6)</f>
        <v>Forecast</v>
      </c>
      <c r="BS3" s="920" t="str" cm="1">
        <f t="array" ref="BS3">INDEX($J$3:$Q$3,BS6)</f>
        <v>Forecast</v>
      </c>
      <c r="BT3" s="920" t="str" cm="1">
        <f t="array" ref="BT3">INDEX($J$3:$Q$3,BT6)</f>
        <v>Forecast</v>
      </c>
      <c r="BU3" s="920" t="str" cm="1">
        <f t="array" ref="BU3">INDEX($J$3:$Q$3,BU6)</f>
        <v>Forecast</v>
      </c>
      <c r="BV3" s="920" t="str" cm="1">
        <f t="array" ref="BV3">INDEX($J$3:$Q$3,BV6)</f>
        <v>Forecast</v>
      </c>
      <c r="BW3" s="920" t="str" cm="1">
        <f t="array" ref="BW3">INDEX($J$3:$Q$3,BW6)</f>
        <v>Forecast</v>
      </c>
      <c r="BX3" s="920" t="str" cm="1">
        <f t="array" ref="BX3">INDEX($J$3:$Q$3,BX6)</f>
        <v>Forecast</v>
      </c>
      <c r="BY3" s="920" t="str" cm="1">
        <f t="array" ref="BY3">INDEX($J$3:$Q$3,BY6)</f>
        <v>Forecast</v>
      </c>
      <c r="BZ3" s="920" t="str" cm="1">
        <f t="array" ref="BZ3">INDEX($J$3:$Q$3,BZ6)</f>
        <v>Forecast</v>
      </c>
      <c r="CA3" s="920" t="str" cm="1">
        <f t="array" ref="CA3">INDEX($J$3:$Q$3,CA6)</f>
        <v>Forecast</v>
      </c>
      <c r="CB3" s="920" t="str" cm="1">
        <f t="array" ref="CB3">INDEX($J$3:$Q$3,CB6)</f>
        <v>Forecast</v>
      </c>
      <c r="CC3" s="920" t="str" cm="1">
        <f t="array" ref="CC3">INDEX($J$3:$Q$3,CC6)</f>
        <v>Forecast</v>
      </c>
      <c r="CD3" s="920" t="str" cm="1">
        <f t="array" ref="CD3">INDEX($J$3:$Q$3,CD6)</f>
        <v>Forecast</v>
      </c>
      <c r="CE3" s="920" t="str" cm="1">
        <f t="array" ref="CE3">INDEX($J$3:$Q$3,CE6)</f>
        <v>Forecast</v>
      </c>
      <c r="CF3" s="920" t="str" cm="1">
        <f t="array" ref="CF3">INDEX($J$3:$Q$3,CF6)</f>
        <v>Forecast</v>
      </c>
      <c r="CG3" s="920" t="str" cm="1">
        <f t="array" ref="CG3">INDEX($J$3:$Q$3,CG6)</f>
        <v>Forecast</v>
      </c>
      <c r="CH3" s="920" t="str" cm="1">
        <f t="array" ref="CH3">INDEX($J$3:$Q$3,CH6)</f>
        <v>Forecast</v>
      </c>
      <c r="CI3" s="920" t="str" cm="1">
        <f t="array" ref="CI3">INDEX($J$3:$Q$3,CI6)</f>
        <v>Forecast</v>
      </c>
      <c r="CJ3" s="920" t="str" cm="1">
        <f t="array" ref="CJ3">INDEX($J$3:$Q$3,CJ6)</f>
        <v>Forecast</v>
      </c>
      <c r="CK3" s="920" t="str" cm="1">
        <f t="array" ref="CK3">INDEX($J$3:$Q$3,CK6)</f>
        <v>Forecast</v>
      </c>
      <c r="CL3" s="920" t="str" cm="1">
        <f t="array" ref="CL3">INDEX($J$3:$Q$3,CL6)</f>
        <v>Forecast</v>
      </c>
      <c r="CM3" s="920" t="str" cm="1">
        <f t="array" ref="CM3">INDEX($J$3:$Q$3,CM6)</f>
        <v>Forecast</v>
      </c>
      <c r="CN3" s="920" t="str" cm="1">
        <f t="array" ref="CN3">INDEX($J$3:$Q$3,CN6)</f>
        <v>Forecast</v>
      </c>
      <c r="CO3" s="920" t="str" cm="1">
        <f t="array" ref="CO3">INDEX($J$3:$Q$3,CO6)</f>
        <v>Forecast</v>
      </c>
      <c r="CP3" s="920" t="str" cm="1">
        <f t="array" ref="CP3">INDEX($J$3:$Q$3,CP6)</f>
        <v>Forecast</v>
      </c>
      <c r="CQ3" s="920" t="str" cm="1">
        <f t="array" ref="CQ3">INDEX($J$3:$Q$3,CQ6)</f>
        <v>Forecast</v>
      </c>
      <c r="CR3" s="920" t="str" cm="1">
        <f t="array" ref="CR3">INDEX($J$3:$Q$3,CR6)</f>
        <v>Forecast</v>
      </c>
      <c r="CS3" s="920" t="str" cm="1">
        <f t="array" ref="CS3">INDEX($J$3:$Q$3,CS6)</f>
        <v>Forecast</v>
      </c>
      <c r="CT3" s="920" t="str" cm="1">
        <f t="array" ref="CT3">INDEX($J$3:$Q$3,CT6)</f>
        <v>Forecast</v>
      </c>
      <c r="CU3" s="920" t="str" cm="1">
        <f t="array" ref="CU3">INDEX($J$3:$Q$3,CU6)</f>
        <v>Forecast</v>
      </c>
      <c r="CV3" s="920" t="str" cm="1">
        <f t="array" ref="CV3">INDEX($J$3:$Q$3,CV6)</f>
        <v>Forecast</v>
      </c>
      <c r="CW3" s="920" t="str" cm="1">
        <f t="array" ref="CW3">INDEX($J$3:$Q$3,CW6)</f>
        <v>Forecast</v>
      </c>
      <c r="CX3" s="920" t="str" cm="1">
        <f t="array" ref="CX3">INDEX($J$3:$Q$3,CX6)</f>
        <v>Forecast</v>
      </c>
      <c r="CY3" s="920" t="str" cm="1">
        <f t="array" ref="CY3">INDEX($J$3:$Q$3,CY6)</f>
        <v>Forecast</v>
      </c>
      <c r="CZ3" s="920" t="str" cm="1">
        <f t="array" ref="CZ3">INDEX($J$3:$Q$3,CZ6)</f>
        <v>Forecast</v>
      </c>
      <c r="DA3" s="920" t="str" cm="1">
        <f t="array" ref="DA3">INDEX($J$3:$Q$3,DA6)</f>
        <v>Forecast</v>
      </c>
      <c r="DB3" s="920" t="str" cm="1">
        <f t="array" ref="DB3">INDEX($J$3:$Q$3,DB6)</f>
        <v>Forecast</v>
      </c>
      <c r="DC3" s="920" t="str" cm="1">
        <f t="array" ref="DC3">INDEX($J$3:$Q$3,DC6)</f>
        <v>Forecast</v>
      </c>
      <c r="DD3" s="920" t="str" cm="1">
        <f t="array" ref="DD3">INDEX($J$3:$Q$3,DD6)</f>
        <v>Forecast</v>
      </c>
      <c r="DE3" s="920" t="str" cm="1">
        <f t="array" ref="DE3">INDEX($J$3:$Q$3,DE6)</f>
        <v>Forecast</v>
      </c>
      <c r="DF3" s="920" t="str" cm="1">
        <f t="array" ref="DF3">INDEX($J$3:$Q$3,DF6)</f>
        <v>Forecast</v>
      </c>
      <c r="DG3" s="920" t="str" cm="1">
        <f t="array" ref="DG3">INDEX($J$3:$Q$3,DG6)</f>
        <v>Forecast</v>
      </c>
      <c r="DH3" s="920" t="str" cm="1">
        <f t="array" ref="DH3">INDEX($J$3:$Q$3,DH6)</f>
        <v>Forecast</v>
      </c>
      <c r="DI3" s="920" t="str" cm="1">
        <f t="array" ref="DI3">INDEX($J$3:$Q$3,DI6)</f>
        <v>Forecast</v>
      </c>
      <c r="DJ3" s="920" t="str" cm="1">
        <f t="array" ref="DJ3">INDEX($J$3:$Q$3,DJ6)</f>
        <v>Forecast</v>
      </c>
    </row>
    <row r="4" spans="1:114">
      <c r="J4" s="921">
        <v>43831</v>
      </c>
      <c r="K4" s="922">
        <f>J5+1</f>
        <v>44197</v>
      </c>
      <c r="L4" s="922">
        <f t="shared" ref="L4:Q4" si="3">K5+1</f>
        <v>44562</v>
      </c>
      <c r="M4" s="922">
        <f t="shared" si="3"/>
        <v>44927</v>
      </c>
      <c r="N4" s="922">
        <f t="shared" si="3"/>
        <v>45292</v>
      </c>
      <c r="O4" s="922">
        <f t="shared" si="3"/>
        <v>45658</v>
      </c>
      <c r="P4" s="922">
        <f t="shared" si="3"/>
        <v>46023</v>
      </c>
      <c r="Q4" s="922">
        <f t="shared" si="3"/>
        <v>46388</v>
      </c>
      <c r="S4" s="922">
        <f>J4</f>
        <v>43831</v>
      </c>
      <c r="T4" s="922">
        <f>S5+1</f>
        <v>43862</v>
      </c>
      <c r="U4" s="922">
        <f t="shared" ref="U4:CF4" si="4">T5+1</f>
        <v>43891</v>
      </c>
      <c r="V4" s="922">
        <f t="shared" si="4"/>
        <v>43922</v>
      </c>
      <c r="W4" s="922">
        <f t="shared" si="4"/>
        <v>43952</v>
      </c>
      <c r="X4" s="922">
        <f t="shared" si="4"/>
        <v>43983</v>
      </c>
      <c r="Y4" s="922">
        <f t="shared" si="4"/>
        <v>44013</v>
      </c>
      <c r="Z4" s="922">
        <f t="shared" si="4"/>
        <v>44044</v>
      </c>
      <c r="AA4" s="922">
        <f t="shared" si="4"/>
        <v>44075</v>
      </c>
      <c r="AB4" s="922">
        <f t="shared" si="4"/>
        <v>44105</v>
      </c>
      <c r="AC4" s="922">
        <f t="shared" si="4"/>
        <v>44136</v>
      </c>
      <c r="AD4" s="922">
        <f t="shared" si="4"/>
        <v>44166</v>
      </c>
      <c r="AE4" s="922">
        <f t="shared" si="4"/>
        <v>44197</v>
      </c>
      <c r="AF4" s="922">
        <f t="shared" si="4"/>
        <v>44228</v>
      </c>
      <c r="AG4" s="922">
        <f t="shared" si="4"/>
        <v>44256</v>
      </c>
      <c r="AH4" s="922">
        <f t="shared" si="4"/>
        <v>44287</v>
      </c>
      <c r="AI4" s="922">
        <f t="shared" si="4"/>
        <v>44317</v>
      </c>
      <c r="AJ4" s="922">
        <f t="shared" si="4"/>
        <v>44348</v>
      </c>
      <c r="AK4" s="922">
        <f t="shared" si="4"/>
        <v>44378</v>
      </c>
      <c r="AL4" s="922">
        <f t="shared" si="4"/>
        <v>44409</v>
      </c>
      <c r="AM4" s="922">
        <f t="shared" si="4"/>
        <v>44440</v>
      </c>
      <c r="AN4" s="922">
        <f t="shared" si="4"/>
        <v>44470</v>
      </c>
      <c r="AO4" s="922">
        <f t="shared" si="4"/>
        <v>44501</v>
      </c>
      <c r="AP4" s="922">
        <f t="shared" si="4"/>
        <v>44531</v>
      </c>
      <c r="AQ4" s="922">
        <f t="shared" si="4"/>
        <v>44562</v>
      </c>
      <c r="AR4" s="922">
        <f t="shared" si="4"/>
        <v>44593</v>
      </c>
      <c r="AS4" s="922">
        <f t="shared" si="4"/>
        <v>44621</v>
      </c>
      <c r="AT4" s="922">
        <f t="shared" si="4"/>
        <v>44652</v>
      </c>
      <c r="AU4" s="922">
        <f t="shared" si="4"/>
        <v>44682</v>
      </c>
      <c r="AV4" s="922">
        <f t="shared" si="4"/>
        <v>44713</v>
      </c>
      <c r="AW4" s="922">
        <f t="shared" si="4"/>
        <v>44743</v>
      </c>
      <c r="AX4" s="922">
        <f t="shared" si="4"/>
        <v>44774</v>
      </c>
      <c r="AY4" s="922">
        <f t="shared" si="4"/>
        <v>44805</v>
      </c>
      <c r="AZ4" s="922">
        <f t="shared" si="4"/>
        <v>44835</v>
      </c>
      <c r="BA4" s="922">
        <f t="shared" si="4"/>
        <v>44866</v>
      </c>
      <c r="BB4" s="922">
        <f t="shared" si="4"/>
        <v>44896</v>
      </c>
      <c r="BC4" s="922">
        <f t="shared" si="4"/>
        <v>44927</v>
      </c>
      <c r="BD4" s="922">
        <f t="shared" si="4"/>
        <v>44958</v>
      </c>
      <c r="BE4" s="922">
        <f t="shared" si="4"/>
        <v>44986</v>
      </c>
      <c r="BF4" s="922">
        <f t="shared" si="4"/>
        <v>45017</v>
      </c>
      <c r="BG4" s="922">
        <f t="shared" si="4"/>
        <v>45047</v>
      </c>
      <c r="BH4" s="922">
        <f t="shared" si="4"/>
        <v>45078</v>
      </c>
      <c r="BI4" s="922">
        <f t="shared" si="4"/>
        <v>45108</v>
      </c>
      <c r="BJ4" s="922">
        <f t="shared" si="4"/>
        <v>45139</v>
      </c>
      <c r="BK4" s="922">
        <f t="shared" si="4"/>
        <v>45170</v>
      </c>
      <c r="BL4" s="922">
        <f t="shared" si="4"/>
        <v>45200</v>
      </c>
      <c r="BM4" s="922">
        <f t="shared" si="4"/>
        <v>45231</v>
      </c>
      <c r="BN4" s="922">
        <f t="shared" si="4"/>
        <v>45261</v>
      </c>
      <c r="BO4" s="922">
        <f t="shared" si="4"/>
        <v>45292</v>
      </c>
      <c r="BP4" s="922">
        <f t="shared" si="4"/>
        <v>45323</v>
      </c>
      <c r="BQ4" s="922">
        <f t="shared" si="4"/>
        <v>45352</v>
      </c>
      <c r="BR4" s="922">
        <f t="shared" si="4"/>
        <v>45383</v>
      </c>
      <c r="BS4" s="922">
        <f t="shared" si="4"/>
        <v>45413</v>
      </c>
      <c r="BT4" s="922">
        <f t="shared" si="4"/>
        <v>45444</v>
      </c>
      <c r="BU4" s="922">
        <f t="shared" si="4"/>
        <v>45474</v>
      </c>
      <c r="BV4" s="922">
        <f t="shared" si="4"/>
        <v>45505</v>
      </c>
      <c r="BW4" s="922">
        <f t="shared" si="4"/>
        <v>45536</v>
      </c>
      <c r="BX4" s="922">
        <f t="shared" si="4"/>
        <v>45566</v>
      </c>
      <c r="BY4" s="922">
        <f t="shared" si="4"/>
        <v>45597</v>
      </c>
      <c r="BZ4" s="922">
        <f t="shared" si="4"/>
        <v>45627</v>
      </c>
      <c r="CA4" s="922">
        <f t="shared" si="4"/>
        <v>45658</v>
      </c>
      <c r="CB4" s="922">
        <f t="shared" si="4"/>
        <v>45689</v>
      </c>
      <c r="CC4" s="922">
        <f t="shared" si="4"/>
        <v>45717</v>
      </c>
      <c r="CD4" s="922">
        <f t="shared" si="4"/>
        <v>45748</v>
      </c>
      <c r="CE4" s="922">
        <f t="shared" si="4"/>
        <v>45778</v>
      </c>
      <c r="CF4" s="922">
        <f t="shared" si="4"/>
        <v>45809</v>
      </c>
      <c r="CG4" s="922">
        <f t="shared" ref="CG4:DJ4" si="5">CF5+1</f>
        <v>45839</v>
      </c>
      <c r="CH4" s="922">
        <f t="shared" si="5"/>
        <v>45870</v>
      </c>
      <c r="CI4" s="922">
        <f t="shared" si="5"/>
        <v>45901</v>
      </c>
      <c r="CJ4" s="922">
        <f t="shared" si="5"/>
        <v>45931</v>
      </c>
      <c r="CK4" s="922">
        <f t="shared" si="5"/>
        <v>45962</v>
      </c>
      <c r="CL4" s="922">
        <f t="shared" si="5"/>
        <v>45992</v>
      </c>
      <c r="CM4" s="922">
        <f t="shared" si="5"/>
        <v>46023</v>
      </c>
      <c r="CN4" s="922">
        <f t="shared" si="5"/>
        <v>46054</v>
      </c>
      <c r="CO4" s="922">
        <f t="shared" si="5"/>
        <v>46082</v>
      </c>
      <c r="CP4" s="922">
        <f t="shared" si="5"/>
        <v>46113</v>
      </c>
      <c r="CQ4" s="922">
        <f t="shared" si="5"/>
        <v>46143</v>
      </c>
      <c r="CR4" s="922">
        <f t="shared" si="5"/>
        <v>46174</v>
      </c>
      <c r="CS4" s="922">
        <f t="shared" si="5"/>
        <v>46204</v>
      </c>
      <c r="CT4" s="922">
        <f t="shared" si="5"/>
        <v>46235</v>
      </c>
      <c r="CU4" s="922">
        <f t="shared" si="5"/>
        <v>46266</v>
      </c>
      <c r="CV4" s="922">
        <f t="shared" si="5"/>
        <v>46296</v>
      </c>
      <c r="CW4" s="922">
        <f t="shared" si="5"/>
        <v>46327</v>
      </c>
      <c r="CX4" s="922">
        <f t="shared" si="5"/>
        <v>46357</v>
      </c>
      <c r="CY4" s="922">
        <f t="shared" si="5"/>
        <v>46388</v>
      </c>
      <c r="CZ4" s="922">
        <f t="shared" si="5"/>
        <v>46419</v>
      </c>
      <c r="DA4" s="922">
        <f t="shared" si="5"/>
        <v>46447</v>
      </c>
      <c r="DB4" s="922">
        <f t="shared" si="5"/>
        <v>46478</v>
      </c>
      <c r="DC4" s="922">
        <f t="shared" si="5"/>
        <v>46508</v>
      </c>
      <c r="DD4" s="922">
        <f t="shared" si="5"/>
        <v>46539</v>
      </c>
      <c r="DE4" s="922">
        <f t="shared" si="5"/>
        <v>46569</v>
      </c>
      <c r="DF4" s="922">
        <f t="shared" si="5"/>
        <v>46600</v>
      </c>
      <c r="DG4" s="922">
        <f t="shared" si="5"/>
        <v>46631</v>
      </c>
      <c r="DH4" s="922">
        <f t="shared" si="5"/>
        <v>46661</v>
      </c>
      <c r="DI4" s="922">
        <f t="shared" si="5"/>
        <v>46692</v>
      </c>
      <c r="DJ4" s="922">
        <f t="shared" si="5"/>
        <v>46722</v>
      </c>
    </row>
    <row r="5" spans="1:114" ht="19.899999999999999" customHeight="1">
      <c r="B5" s="1025" t="s">
        <v>5</v>
      </c>
      <c r="C5" s="1026"/>
      <c r="D5" s="1027"/>
      <c r="E5" s="1026"/>
      <c r="F5" s="1026"/>
      <c r="G5" s="1026"/>
      <c r="H5" s="1026"/>
      <c r="I5" s="1026"/>
      <c r="J5" s="1028">
        <f>EDATE(J4,12)-1</f>
        <v>44196</v>
      </c>
      <c r="K5" s="1028">
        <f>EDATE(K4,12)-1</f>
        <v>44561</v>
      </c>
      <c r="L5" s="1028">
        <f t="shared" ref="L5:Q5" si="6">EDATE(L4,12)-1</f>
        <v>44926</v>
      </c>
      <c r="M5" s="1028">
        <f t="shared" si="6"/>
        <v>45291</v>
      </c>
      <c r="N5" s="1028">
        <f t="shared" si="6"/>
        <v>45657</v>
      </c>
      <c r="O5" s="1028">
        <f t="shared" si="6"/>
        <v>46022</v>
      </c>
      <c r="P5" s="1028">
        <f t="shared" si="6"/>
        <v>46387</v>
      </c>
      <c r="Q5" s="1028">
        <f t="shared" si="6"/>
        <v>46752</v>
      </c>
      <c r="R5" s="1026"/>
      <c r="S5" s="1028">
        <f>EDATE(S4,1)-1</f>
        <v>43861</v>
      </c>
      <c r="T5" s="1028">
        <f>EDATE(T4,1)-1</f>
        <v>43890</v>
      </c>
      <c r="U5" s="1028">
        <f t="shared" ref="U5:CF5" si="7">EDATE(U4,1)-1</f>
        <v>43921</v>
      </c>
      <c r="V5" s="1028">
        <f t="shared" si="7"/>
        <v>43951</v>
      </c>
      <c r="W5" s="1028">
        <f t="shared" si="7"/>
        <v>43982</v>
      </c>
      <c r="X5" s="1028">
        <f t="shared" si="7"/>
        <v>44012</v>
      </c>
      <c r="Y5" s="1028">
        <f t="shared" si="7"/>
        <v>44043</v>
      </c>
      <c r="Z5" s="1028">
        <f t="shared" si="7"/>
        <v>44074</v>
      </c>
      <c r="AA5" s="1028">
        <f t="shared" si="7"/>
        <v>44104</v>
      </c>
      <c r="AB5" s="1028">
        <f t="shared" si="7"/>
        <v>44135</v>
      </c>
      <c r="AC5" s="1028">
        <f t="shared" si="7"/>
        <v>44165</v>
      </c>
      <c r="AD5" s="1028">
        <f t="shared" si="7"/>
        <v>44196</v>
      </c>
      <c r="AE5" s="1028">
        <f t="shared" si="7"/>
        <v>44227</v>
      </c>
      <c r="AF5" s="1028">
        <f t="shared" si="7"/>
        <v>44255</v>
      </c>
      <c r="AG5" s="1028">
        <f t="shared" si="7"/>
        <v>44286</v>
      </c>
      <c r="AH5" s="1028">
        <f t="shared" si="7"/>
        <v>44316</v>
      </c>
      <c r="AI5" s="1028">
        <f t="shared" si="7"/>
        <v>44347</v>
      </c>
      <c r="AJ5" s="1028">
        <f t="shared" si="7"/>
        <v>44377</v>
      </c>
      <c r="AK5" s="1028">
        <f t="shared" si="7"/>
        <v>44408</v>
      </c>
      <c r="AL5" s="1028">
        <f t="shared" si="7"/>
        <v>44439</v>
      </c>
      <c r="AM5" s="1028">
        <f t="shared" si="7"/>
        <v>44469</v>
      </c>
      <c r="AN5" s="1028">
        <f t="shared" si="7"/>
        <v>44500</v>
      </c>
      <c r="AO5" s="1028">
        <f t="shared" si="7"/>
        <v>44530</v>
      </c>
      <c r="AP5" s="1028">
        <f t="shared" si="7"/>
        <v>44561</v>
      </c>
      <c r="AQ5" s="1028">
        <f t="shared" si="7"/>
        <v>44592</v>
      </c>
      <c r="AR5" s="1028">
        <f t="shared" si="7"/>
        <v>44620</v>
      </c>
      <c r="AS5" s="1028">
        <f t="shared" si="7"/>
        <v>44651</v>
      </c>
      <c r="AT5" s="1028">
        <f t="shared" si="7"/>
        <v>44681</v>
      </c>
      <c r="AU5" s="1028">
        <f t="shared" si="7"/>
        <v>44712</v>
      </c>
      <c r="AV5" s="1028">
        <f t="shared" si="7"/>
        <v>44742</v>
      </c>
      <c r="AW5" s="1028">
        <f t="shared" si="7"/>
        <v>44773</v>
      </c>
      <c r="AX5" s="1028">
        <f t="shared" si="7"/>
        <v>44804</v>
      </c>
      <c r="AY5" s="1028">
        <f t="shared" si="7"/>
        <v>44834</v>
      </c>
      <c r="AZ5" s="1028">
        <f t="shared" si="7"/>
        <v>44865</v>
      </c>
      <c r="BA5" s="1028">
        <f t="shared" si="7"/>
        <v>44895</v>
      </c>
      <c r="BB5" s="1028">
        <f t="shared" si="7"/>
        <v>44926</v>
      </c>
      <c r="BC5" s="1028">
        <f t="shared" si="7"/>
        <v>44957</v>
      </c>
      <c r="BD5" s="1028">
        <f t="shared" si="7"/>
        <v>44985</v>
      </c>
      <c r="BE5" s="1028">
        <f t="shared" si="7"/>
        <v>45016</v>
      </c>
      <c r="BF5" s="1028">
        <f t="shared" si="7"/>
        <v>45046</v>
      </c>
      <c r="BG5" s="1028">
        <f t="shared" si="7"/>
        <v>45077</v>
      </c>
      <c r="BH5" s="1028">
        <f t="shared" si="7"/>
        <v>45107</v>
      </c>
      <c r="BI5" s="1028">
        <f t="shared" si="7"/>
        <v>45138</v>
      </c>
      <c r="BJ5" s="1028">
        <f t="shared" si="7"/>
        <v>45169</v>
      </c>
      <c r="BK5" s="1028">
        <f t="shared" si="7"/>
        <v>45199</v>
      </c>
      <c r="BL5" s="1028">
        <f t="shared" si="7"/>
        <v>45230</v>
      </c>
      <c r="BM5" s="1028">
        <f t="shared" si="7"/>
        <v>45260</v>
      </c>
      <c r="BN5" s="1028">
        <f t="shared" si="7"/>
        <v>45291</v>
      </c>
      <c r="BO5" s="1028">
        <f t="shared" si="7"/>
        <v>45322</v>
      </c>
      <c r="BP5" s="1028">
        <f t="shared" si="7"/>
        <v>45351</v>
      </c>
      <c r="BQ5" s="1028">
        <f t="shared" si="7"/>
        <v>45382</v>
      </c>
      <c r="BR5" s="1028">
        <f t="shared" si="7"/>
        <v>45412</v>
      </c>
      <c r="BS5" s="1028">
        <f t="shared" si="7"/>
        <v>45443</v>
      </c>
      <c r="BT5" s="1028">
        <f t="shared" si="7"/>
        <v>45473</v>
      </c>
      <c r="BU5" s="1028">
        <f t="shared" si="7"/>
        <v>45504</v>
      </c>
      <c r="BV5" s="1028">
        <f t="shared" si="7"/>
        <v>45535</v>
      </c>
      <c r="BW5" s="1028">
        <f t="shared" si="7"/>
        <v>45565</v>
      </c>
      <c r="BX5" s="1028">
        <f t="shared" si="7"/>
        <v>45596</v>
      </c>
      <c r="BY5" s="1028">
        <f t="shared" si="7"/>
        <v>45626</v>
      </c>
      <c r="BZ5" s="1028">
        <f t="shared" si="7"/>
        <v>45657</v>
      </c>
      <c r="CA5" s="1028">
        <f t="shared" si="7"/>
        <v>45688</v>
      </c>
      <c r="CB5" s="1028">
        <f t="shared" si="7"/>
        <v>45716</v>
      </c>
      <c r="CC5" s="1028">
        <f t="shared" si="7"/>
        <v>45747</v>
      </c>
      <c r="CD5" s="1028">
        <f t="shared" si="7"/>
        <v>45777</v>
      </c>
      <c r="CE5" s="1028">
        <f t="shared" si="7"/>
        <v>45808</v>
      </c>
      <c r="CF5" s="1028">
        <f t="shared" si="7"/>
        <v>45838</v>
      </c>
      <c r="CG5" s="1028">
        <f t="shared" ref="CG5:DJ5" si="8">EDATE(CG4,1)-1</f>
        <v>45869</v>
      </c>
      <c r="CH5" s="1028">
        <f t="shared" si="8"/>
        <v>45900</v>
      </c>
      <c r="CI5" s="1028">
        <f t="shared" si="8"/>
        <v>45930</v>
      </c>
      <c r="CJ5" s="1028">
        <f t="shared" si="8"/>
        <v>45961</v>
      </c>
      <c r="CK5" s="1028">
        <f t="shared" si="8"/>
        <v>45991</v>
      </c>
      <c r="CL5" s="1028">
        <f t="shared" si="8"/>
        <v>46022</v>
      </c>
      <c r="CM5" s="1028">
        <f t="shared" si="8"/>
        <v>46053</v>
      </c>
      <c r="CN5" s="1028">
        <f t="shared" si="8"/>
        <v>46081</v>
      </c>
      <c r="CO5" s="1028">
        <f t="shared" si="8"/>
        <v>46112</v>
      </c>
      <c r="CP5" s="1028">
        <f t="shared" si="8"/>
        <v>46142</v>
      </c>
      <c r="CQ5" s="1028">
        <f t="shared" si="8"/>
        <v>46173</v>
      </c>
      <c r="CR5" s="1028">
        <f t="shared" si="8"/>
        <v>46203</v>
      </c>
      <c r="CS5" s="1028">
        <f t="shared" si="8"/>
        <v>46234</v>
      </c>
      <c r="CT5" s="1028">
        <f t="shared" si="8"/>
        <v>46265</v>
      </c>
      <c r="CU5" s="1028">
        <f t="shared" si="8"/>
        <v>46295</v>
      </c>
      <c r="CV5" s="1028">
        <f t="shared" si="8"/>
        <v>46326</v>
      </c>
      <c r="CW5" s="1028">
        <f t="shared" si="8"/>
        <v>46356</v>
      </c>
      <c r="CX5" s="1028">
        <f t="shared" si="8"/>
        <v>46387</v>
      </c>
      <c r="CY5" s="1028">
        <f t="shared" si="8"/>
        <v>46418</v>
      </c>
      <c r="CZ5" s="1028">
        <f t="shared" si="8"/>
        <v>46446</v>
      </c>
      <c r="DA5" s="1028">
        <f t="shared" si="8"/>
        <v>46477</v>
      </c>
      <c r="DB5" s="1028">
        <f t="shared" si="8"/>
        <v>46507</v>
      </c>
      <c r="DC5" s="1028">
        <f t="shared" si="8"/>
        <v>46538</v>
      </c>
      <c r="DD5" s="1028">
        <f t="shared" si="8"/>
        <v>46568</v>
      </c>
      <c r="DE5" s="1028">
        <f t="shared" si="8"/>
        <v>46599</v>
      </c>
      <c r="DF5" s="1028">
        <f t="shared" si="8"/>
        <v>46630</v>
      </c>
      <c r="DG5" s="1028">
        <f t="shared" si="8"/>
        <v>46660</v>
      </c>
      <c r="DH5" s="1028">
        <f t="shared" si="8"/>
        <v>46691</v>
      </c>
      <c r="DI5" s="1028">
        <f t="shared" si="8"/>
        <v>46721</v>
      </c>
      <c r="DJ5" s="1028">
        <f t="shared" si="8"/>
        <v>46752</v>
      </c>
    </row>
    <row r="6" spans="1:114" hidden="1" outlineLevel="1">
      <c r="B6" s="927" t="s">
        <v>6</v>
      </c>
      <c r="H6" s="928" t="s">
        <v>7</v>
      </c>
      <c r="J6" s="929">
        <v>1</v>
      </c>
      <c r="K6" s="929">
        <f>J6+1</f>
        <v>2</v>
      </c>
      <c r="L6" s="929">
        <f t="shared" ref="L6:Q6" si="9">K6+1</f>
        <v>3</v>
      </c>
      <c r="M6" s="929">
        <f t="shared" si="9"/>
        <v>4</v>
      </c>
      <c r="N6" s="929">
        <f t="shared" si="9"/>
        <v>5</v>
      </c>
      <c r="O6" s="929">
        <f t="shared" si="9"/>
        <v>6</v>
      </c>
      <c r="P6" s="929">
        <f t="shared" si="9"/>
        <v>7</v>
      </c>
      <c r="Q6" s="929">
        <f t="shared" si="9"/>
        <v>8</v>
      </c>
      <c r="S6" s="929">
        <f>J6</f>
        <v>1</v>
      </c>
      <c r="T6" s="929">
        <f>IF(T7=1,S6+1,S6)</f>
        <v>1</v>
      </c>
      <c r="U6" s="929">
        <f t="shared" ref="U6:AZ6" si="10">_xlfn.XMATCH(YEAR(U4),$J$2:$Q$2)</f>
        <v>1</v>
      </c>
      <c r="V6" s="929">
        <f t="shared" si="10"/>
        <v>1</v>
      </c>
      <c r="W6" s="929">
        <f t="shared" si="10"/>
        <v>1</v>
      </c>
      <c r="X6" s="929">
        <f t="shared" si="10"/>
        <v>1</v>
      </c>
      <c r="Y6" s="929">
        <f t="shared" si="10"/>
        <v>1</v>
      </c>
      <c r="Z6" s="929">
        <f t="shared" si="10"/>
        <v>1</v>
      </c>
      <c r="AA6" s="929">
        <f t="shared" si="10"/>
        <v>1</v>
      </c>
      <c r="AB6" s="929">
        <f t="shared" si="10"/>
        <v>1</v>
      </c>
      <c r="AC6" s="929">
        <f t="shared" si="10"/>
        <v>1</v>
      </c>
      <c r="AD6" s="929">
        <f t="shared" si="10"/>
        <v>1</v>
      </c>
      <c r="AE6" s="929">
        <f t="shared" si="10"/>
        <v>2</v>
      </c>
      <c r="AF6" s="929">
        <f t="shared" si="10"/>
        <v>2</v>
      </c>
      <c r="AG6" s="929">
        <f t="shared" si="10"/>
        <v>2</v>
      </c>
      <c r="AH6" s="929">
        <f t="shared" si="10"/>
        <v>2</v>
      </c>
      <c r="AI6" s="929">
        <f t="shared" si="10"/>
        <v>2</v>
      </c>
      <c r="AJ6" s="929">
        <f t="shared" si="10"/>
        <v>2</v>
      </c>
      <c r="AK6" s="929">
        <f t="shared" si="10"/>
        <v>2</v>
      </c>
      <c r="AL6" s="929">
        <f t="shared" si="10"/>
        <v>2</v>
      </c>
      <c r="AM6" s="929">
        <f t="shared" si="10"/>
        <v>2</v>
      </c>
      <c r="AN6" s="929">
        <f t="shared" si="10"/>
        <v>2</v>
      </c>
      <c r="AO6" s="929">
        <f t="shared" si="10"/>
        <v>2</v>
      </c>
      <c r="AP6" s="929">
        <f t="shared" si="10"/>
        <v>2</v>
      </c>
      <c r="AQ6" s="929">
        <f t="shared" si="10"/>
        <v>3</v>
      </c>
      <c r="AR6" s="929">
        <f t="shared" si="10"/>
        <v>3</v>
      </c>
      <c r="AS6" s="929">
        <f t="shared" si="10"/>
        <v>3</v>
      </c>
      <c r="AT6" s="929">
        <f t="shared" si="10"/>
        <v>3</v>
      </c>
      <c r="AU6" s="929">
        <f t="shared" si="10"/>
        <v>3</v>
      </c>
      <c r="AV6" s="929">
        <f t="shared" si="10"/>
        <v>3</v>
      </c>
      <c r="AW6" s="929">
        <f t="shared" si="10"/>
        <v>3</v>
      </c>
      <c r="AX6" s="929">
        <f t="shared" si="10"/>
        <v>3</v>
      </c>
      <c r="AY6" s="929">
        <f t="shared" si="10"/>
        <v>3</v>
      </c>
      <c r="AZ6" s="929">
        <f t="shared" si="10"/>
        <v>3</v>
      </c>
      <c r="BA6" s="929">
        <f t="shared" ref="BA6:CF6" si="11">_xlfn.XMATCH(YEAR(BA4),$J$2:$Q$2)</f>
        <v>3</v>
      </c>
      <c r="BB6" s="929">
        <f t="shared" si="11"/>
        <v>3</v>
      </c>
      <c r="BC6" s="929">
        <f t="shared" si="11"/>
        <v>4</v>
      </c>
      <c r="BD6" s="929">
        <f t="shared" si="11"/>
        <v>4</v>
      </c>
      <c r="BE6" s="929">
        <f t="shared" si="11"/>
        <v>4</v>
      </c>
      <c r="BF6" s="929">
        <f t="shared" si="11"/>
        <v>4</v>
      </c>
      <c r="BG6" s="929">
        <f t="shared" si="11"/>
        <v>4</v>
      </c>
      <c r="BH6" s="929">
        <f t="shared" si="11"/>
        <v>4</v>
      </c>
      <c r="BI6" s="929">
        <f t="shared" si="11"/>
        <v>4</v>
      </c>
      <c r="BJ6" s="929">
        <f t="shared" si="11"/>
        <v>4</v>
      </c>
      <c r="BK6" s="929">
        <f t="shared" si="11"/>
        <v>4</v>
      </c>
      <c r="BL6" s="929">
        <f t="shared" si="11"/>
        <v>4</v>
      </c>
      <c r="BM6" s="929">
        <f t="shared" si="11"/>
        <v>4</v>
      </c>
      <c r="BN6" s="929">
        <f t="shared" si="11"/>
        <v>4</v>
      </c>
      <c r="BO6" s="929">
        <f t="shared" si="11"/>
        <v>5</v>
      </c>
      <c r="BP6" s="929">
        <f t="shared" si="11"/>
        <v>5</v>
      </c>
      <c r="BQ6" s="929">
        <f t="shared" si="11"/>
        <v>5</v>
      </c>
      <c r="BR6" s="929">
        <f t="shared" si="11"/>
        <v>5</v>
      </c>
      <c r="BS6" s="929">
        <f t="shared" si="11"/>
        <v>5</v>
      </c>
      <c r="BT6" s="929">
        <f t="shared" si="11"/>
        <v>5</v>
      </c>
      <c r="BU6" s="929">
        <f t="shared" si="11"/>
        <v>5</v>
      </c>
      <c r="BV6" s="929">
        <f t="shared" si="11"/>
        <v>5</v>
      </c>
      <c r="BW6" s="929">
        <f t="shared" si="11"/>
        <v>5</v>
      </c>
      <c r="BX6" s="929">
        <f t="shared" si="11"/>
        <v>5</v>
      </c>
      <c r="BY6" s="929">
        <f t="shared" si="11"/>
        <v>5</v>
      </c>
      <c r="BZ6" s="929">
        <f t="shared" si="11"/>
        <v>5</v>
      </c>
      <c r="CA6" s="929">
        <f t="shared" si="11"/>
        <v>6</v>
      </c>
      <c r="CB6" s="929">
        <f t="shared" si="11"/>
        <v>6</v>
      </c>
      <c r="CC6" s="929">
        <f t="shared" si="11"/>
        <v>6</v>
      </c>
      <c r="CD6" s="929">
        <f t="shared" si="11"/>
        <v>6</v>
      </c>
      <c r="CE6" s="929">
        <f t="shared" si="11"/>
        <v>6</v>
      </c>
      <c r="CF6" s="929">
        <f t="shared" si="11"/>
        <v>6</v>
      </c>
      <c r="CG6" s="929">
        <f t="shared" ref="CG6:DJ6" si="12">_xlfn.XMATCH(YEAR(CG4),$J$2:$Q$2)</f>
        <v>6</v>
      </c>
      <c r="CH6" s="929">
        <f t="shared" si="12"/>
        <v>6</v>
      </c>
      <c r="CI6" s="929">
        <f t="shared" si="12"/>
        <v>6</v>
      </c>
      <c r="CJ6" s="929">
        <f t="shared" si="12"/>
        <v>6</v>
      </c>
      <c r="CK6" s="929">
        <f t="shared" si="12"/>
        <v>6</v>
      </c>
      <c r="CL6" s="929">
        <f t="shared" si="12"/>
        <v>6</v>
      </c>
      <c r="CM6" s="929">
        <f t="shared" si="12"/>
        <v>7</v>
      </c>
      <c r="CN6" s="929">
        <f t="shared" si="12"/>
        <v>7</v>
      </c>
      <c r="CO6" s="929">
        <f t="shared" si="12"/>
        <v>7</v>
      </c>
      <c r="CP6" s="929">
        <f t="shared" si="12"/>
        <v>7</v>
      </c>
      <c r="CQ6" s="929">
        <f t="shared" si="12"/>
        <v>7</v>
      </c>
      <c r="CR6" s="929">
        <f t="shared" si="12"/>
        <v>7</v>
      </c>
      <c r="CS6" s="929">
        <f t="shared" si="12"/>
        <v>7</v>
      </c>
      <c r="CT6" s="929">
        <f t="shared" si="12"/>
        <v>7</v>
      </c>
      <c r="CU6" s="929">
        <f t="shared" si="12"/>
        <v>7</v>
      </c>
      <c r="CV6" s="929">
        <f t="shared" si="12"/>
        <v>7</v>
      </c>
      <c r="CW6" s="929">
        <f t="shared" si="12"/>
        <v>7</v>
      </c>
      <c r="CX6" s="929">
        <f t="shared" si="12"/>
        <v>7</v>
      </c>
      <c r="CY6" s="929">
        <f t="shared" si="12"/>
        <v>8</v>
      </c>
      <c r="CZ6" s="929">
        <f t="shared" si="12"/>
        <v>8</v>
      </c>
      <c r="DA6" s="929">
        <f t="shared" si="12"/>
        <v>8</v>
      </c>
      <c r="DB6" s="929">
        <f t="shared" si="12"/>
        <v>8</v>
      </c>
      <c r="DC6" s="929">
        <f t="shared" si="12"/>
        <v>8</v>
      </c>
      <c r="DD6" s="929">
        <f t="shared" si="12"/>
        <v>8</v>
      </c>
      <c r="DE6" s="929">
        <f t="shared" si="12"/>
        <v>8</v>
      </c>
      <c r="DF6" s="929">
        <f t="shared" si="12"/>
        <v>8</v>
      </c>
      <c r="DG6" s="929">
        <f t="shared" si="12"/>
        <v>8</v>
      </c>
      <c r="DH6" s="929">
        <f t="shared" si="12"/>
        <v>8</v>
      </c>
      <c r="DI6" s="929">
        <f t="shared" si="12"/>
        <v>8</v>
      </c>
      <c r="DJ6" s="929">
        <f t="shared" si="12"/>
        <v>8</v>
      </c>
    </row>
    <row r="7" spans="1:114" hidden="1" outlineLevel="1">
      <c r="B7" s="927" t="s">
        <v>8</v>
      </c>
      <c r="H7" s="928" t="s">
        <v>7</v>
      </c>
      <c r="J7" s="929">
        <v>1</v>
      </c>
      <c r="K7" s="929">
        <f>J7</f>
        <v>1</v>
      </c>
      <c r="L7" s="929">
        <f t="shared" ref="L7:Q7" si="13">K7</f>
        <v>1</v>
      </c>
      <c r="M7" s="929">
        <f t="shared" si="13"/>
        <v>1</v>
      </c>
      <c r="N7" s="929">
        <f t="shared" si="13"/>
        <v>1</v>
      </c>
      <c r="O7" s="929">
        <f t="shared" si="13"/>
        <v>1</v>
      </c>
      <c r="P7" s="929">
        <f t="shared" si="13"/>
        <v>1</v>
      </c>
      <c r="Q7" s="929">
        <f t="shared" si="13"/>
        <v>1</v>
      </c>
      <c r="S7" s="929">
        <f>J7</f>
        <v>1</v>
      </c>
      <c r="T7" s="929">
        <f>IF(S8=dcMonthsinYear,1,S7+1)</f>
        <v>2</v>
      </c>
      <c r="U7" s="929">
        <f t="shared" ref="U7:CF7" si="14">IF(T8=dcMonthsinYear,1,T7+1)</f>
        <v>3</v>
      </c>
      <c r="V7" s="929">
        <f t="shared" si="14"/>
        <v>4</v>
      </c>
      <c r="W7" s="929">
        <f t="shared" si="14"/>
        <v>5</v>
      </c>
      <c r="X7" s="929">
        <f t="shared" si="14"/>
        <v>6</v>
      </c>
      <c r="Y7" s="929">
        <f t="shared" si="14"/>
        <v>7</v>
      </c>
      <c r="Z7" s="929">
        <f t="shared" si="14"/>
        <v>8</v>
      </c>
      <c r="AA7" s="929">
        <f t="shared" si="14"/>
        <v>9</v>
      </c>
      <c r="AB7" s="929">
        <f t="shared" si="14"/>
        <v>10</v>
      </c>
      <c r="AC7" s="929">
        <f t="shared" si="14"/>
        <v>11</v>
      </c>
      <c r="AD7" s="929">
        <f t="shared" si="14"/>
        <v>12</v>
      </c>
      <c r="AE7" s="929">
        <f t="shared" si="14"/>
        <v>1</v>
      </c>
      <c r="AF7" s="929">
        <f t="shared" si="14"/>
        <v>2</v>
      </c>
      <c r="AG7" s="929">
        <f t="shared" si="14"/>
        <v>3</v>
      </c>
      <c r="AH7" s="929">
        <f t="shared" si="14"/>
        <v>4</v>
      </c>
      <c r="AI7" s="929">
        <f t="shared" si="14"/>
        <v>5</v>
      </c>
      <c r="AJ7" s="929">
        <f t="shared" si="14"/>
        <v>6</v>
      </c>
      <c r="AK7" s="929">
        <f t="shared" si="14"/>
        <v>7</v>
      </c>
      <c r="AL7" s="929">
        <f t="shared" si="14"/>
        <v>8</v>
      </c>
      <c r="AM7" s="929">
        <f t="shared" si="14"/>
        <v>9</v>
      </c>
      <c r="AN7" s="929">
        <f t="shared" si="14"/>
        <v>10</v>
      </c>
      <c r="AO7" s="929">
        <f t="shared" si="14"/>
        <v>11</v>
      </c>
      <c r="AP7" s="929">
        <f t="shared" si="14"/>
        <v>12</v>
      </c>
      <c r="AQ7" s="929">
        <f t="shared" si="14"/>
        <v>13</v>
      </c>
      <c r="AR7" s="929">
        <f t="shared" si="14"/>
        <v>14</v>
      </c>
      <c r="AS7" s="929">
        <f t="shared" si="14"/>
        <v>15</v>
      </c>
      <c r="AT7" s="929">
        <f t="shared" si="14"/>
        <v>16</v>
      </c>
      <c r="AU7" s="929">
        <f t="shared" si="14"/>
        <v>17</v>
      </c>
      <c r="AV7" s="929">
        <f t="shared" si="14"/>
        <v>18</v>
      </c>
      <c r="AW7" s="929">
        <f t="shared" si="14"/>
        <v>19</v>
      </c>
      <c r="AX7" s="929">
        <f t="shared" si="14"/>
        <v>20</v>
      </c>
      <c r="AY7" s="929">
        <f t="shared" si="14"/>
        <v>21</v>
      </c>
      <c r="AZ7" s="929">
        <f t="shared" si="14"/>
        <v>22</v>
      </c>
      <c r="BA7" s="929">
        <f t="shared" si="14"/>
        <v>23</v>
      </c>
      <c r="BB7" s="929">
        <f t="shared" si="14"/>
        <v>24</v>
      </c>
      <c r="BC7" s="929">
        <f t="shared" si="14"/>
        <v>25</v>
      </c>
      <c r="BD7" s="929">
        <f t="shared" si="14"/>
        <v>26</v>
      </c>
      <c r="BE7" s="929">
        <f t="shared" si="14"/>
        <v>27</v>
      </c>
      <c r="BF7" s="929">
        <f t="shared" si="14"/>
        <v>28</v>
      </c>
      <c r="BG7" s="929">
        <f t="shared" si="14"/>
        <v>29</v>
      </c>
      <c r="BH7" s="929">
        <f t="shared" si="14"/>
        <v>30</v>
      </c>
      <c r="BI7" s="929">
        <f t="shared" si="14"/>
        <v>31</v>
      </c>
      <c r="BJ7" s="929">
        <f t="shared" si="14"/>
        <v>32</v>
      </c>
      <c r="BK7" s="929">
        <f t="shared" si="14"/>
        <v>33</v>
      </c>
      <c r="BL7" s="929">
        <f t="shared" si="14"/>
        <v>34</v>
      </c>
      <c r="BM7" s="929">
        <f t="shared" si="14"/>
        <v>35</v>
      </c>
      <c r="BN7" s="929">
        <f t="shared" si="14"/>
        <v>36</v>
      </c>
      <c r="BO7" s="929">
        <f t="shared" si="14"/>
        <v>37</v>
      </c>
      <c r="BP7" s="929">
        <f t="shared" si="14"/>
        <v>38</v>
      </c>
      <c r="BQ7" s="929">
        <f t="shared" si="14"/>
        <v>39</v>
      </c>
      <c r="BR7" s="929">
        <f t="shared" si="14"/>
        <v>40</v>
      </c>
      <c r="BS7" s="929">
        <f t="shared" si="14"/>
        <v>41</v>
      </c>
      <c r="BT7" s="929">
        <f t="shared" si="14"/>
        <v>42</v>
      </c>
      <c r="BU7" s="929">
        <f t="shared" si="14"/>
        <v>43</v>
      </c>
      <c r="BV7" s="929">
        <f t="shared" si="14"/>
        <v>44</v>
      </c>
      <c r="BW7" s="929">
        <f t="shared" si="14"/>
        <v>45</v>
      </c>
      <c r="BX7" s="929">
        <f t="shared" si="14"/>
        <v>46</v>
      </c>
      <c r="BY7" s="929">
        <f t="shared" si="14"/>
        <v>47</v>
      </c>
      <c r="BZ7" s="929">
        <f t="shared" si="14"/>
        <v>48</v>
      </c>
      <c r="CA7" s="929">
        <f t="shared" si="14"/>
        <v>49</v>
      </c>
      <c r="CB7" s="929">
        <f t="shared" si="14"/>
        <v>50</v>
      </c>
      <c r="CC7" s="929">
        <f t="shared" si="14"/>
        <v>51</v>
      </c>
      <c r="CD7" s="929">
        <f t="shared" si="14"/>
        <v>52</v>
      </c>
      <c r="CE7" s="929">
        <f t="shared" si="14"/>
        <v>53</v>
      </c>
      <c r="CF7" s="929">
        <f t="shared" si="14"/>
        <v>54</v>
      </c>
      <c r="CG7" s="929">
        <f t="shared" ref="CG7:CY7" si="15">IF(CF8=dcMonthsinYear,1,CF7+1)</f>
        <v>55</v>
      </c>
      <c r="CH7" s="929">
        <f t="shared" si="15"/>
        <v>56</v>
      </c>
      <c r="CI7" s="929">
        <f t="shared" si="15"/>
        <v>57</v>
      </c>
      <c r="CJ7" s="929">
        <f t="shared" si="15"/>
        <v>58</v>
      </c>
      <c r="CK7" s="929">
        <f t="shared" si="15"/>
        <v>59</v>
      </c>
      <c r="CL7" s="929">
        <f t="shared" si="15"/>
        <v>60</v>
      </c>
      <c r="CM7" s="929">
        <f t="shared" si="15"/>
        <v>61</v>
      </c>
      <c r="CN7" s="929">
        <f t="shared" si="15"/>
        <v>62</v>
      </c>
      <c r="CO7" s="929">
        <f t="shared" si="15"/>
        <v>63</v>
      </c>
      <c r="CP7" s="929">
        <f t="shared" si="15"/>
        <v>64</v>
      </c>
      <c r="CQ7" s="929">
        <f t="shared" si="15"/>
        <v>65</v>
      </c>
      <c r="CR7" s="929">
        <f t="shared" si="15"/>
        <v>66</v>
      </c>
      <c r="CS7" s="929">
        <f t="shared" si="15"/>
        <v>67</v>
      </c>
      <c r="CT7" s="929">
        <f t="shared" si="15"/>
        <v>68</v>
      </c>
      <c r="CU7" s="929">
        <f t="shared" si="15"/>
        <v>69</v>
      </c>
      <c r="CV7" s="929">
        <f t="shared" si="15"/>
        <v>70</v>
      </c>
      <c r="CW7" s="929">
        <f t="shared" si="15"/>
        <v>71</v>
      </c>
      <c r="CX7" s="929">
        <f t="shared" si="15"/>
        <v>72</v>
      </c>
      <c r="CY7" s="929">
        <f t="shared" si="15"/>
        <v>73</v>
      </c>
      <c r="CZ7" s="929">
        <f t="shared" ref="CZ7" si="16">IF(CY8=dcMonthsinYear,1,CY7+1)</f>
        <v>74</v>
      </c>
      <c r="DA7" s="929">
        <f t="shared" ref="DA7" si="17">IF(CZ8=dcMonthsinYear,1,CZ7+1)</f>
        <v>75</v>
      </c>
      <c r="DB7" s="929">
        <f t="shared" ref="DB7" si="18">IF(DA8=dcMonthsinYear,1,DA7+1)</f>
        <v>76</v>
      </c>
      <c r="DC7" s="929">
        <f t="shared" ref="DC7" si="19">IF(DB8=dcMonthsinYear,1,DB7+1)</f>
        <v>77</v>
      </c>
      <c r="DD7" s="929">
        <f t="shared" ref="DD7" si="20">IF(DC8=dcMonthsinYear,1,DC7+1)</f>
        <v>78</v>
      </c>
      <c r="DE7" s="929">
        <f t="shared" ref="DE7" si="21">IF(DD8=dcMonthsinYear,1,DD7+1)</f>
        <v>79</v>
      </c>
      <c r="DF7" s="929">
        <f t="shared" ref="DF7" si="22">IF(DE8=dcMonthsinYear,1,DE7+1)</f>
        <v>80</v>
      </c>
      <c r="DG7" s="929">
        <f t="shared" ref="DG7" si="23">IF(DF8=dcMonthsinYear,1,DF7+1)</f>
        <v>81</v>
      </c>
      <c r="DH7" s="929">
        <f t="shared" ref="DH7" si="24">IF(DG8=dcMonthsinYear,1,DG7+1)</f>
        <v>82</v>
      </c>
      <c r="DI7" s="929">
        <f t="shared" ref="DI7" si="25">IF(DH8=dcMonthsinYear,1,DH7+1)</f>
        <v>83</v>
      </c>
      <c r="DJ7" s="929">
        <f t="shared" ref="DJ7" si="26">IF(DI8=dcMonthsinYear,1,DI7+1)</f>
        <v>84</v>
      </c>
    </row>
    <row r="8" spans="1:114" hidden="1" outlineLevel="1">
      <c r="B8" s="927" t="s">
        <v>9</v>
      </c>
      <c r="H8" s="928" t="s">
        <v>7</v>
      </c>
      <c r="J8" s="929">
        <v>1</v>
      </c>
      <c r="K8" s="929">
        <f>J8+1</f>
        <v>2</v>
      </c>
      <c r="L8" s="929">
        <f t="shared" ref="L8:Q8" si="27">K8+1</f>
        <v>3</v>
      </c>
      <c r="M8" s="929">
        <f t="shared" si="27"/>
        <v>4</v>
      </c>
      <c r="N8" s="929">
        <f t="shared" si="27"/>
        <v>5</v>
      </c>
      <c r="O8" s="929">
        <f t="shared" si="27"/>
        <v>6</v>
      </c>
      <c r="P8" s="929">
        <f t="shared" si="27"/>
        <v>7</v>
      </c>
      <c r="Q8" s="929">
        <f t="shared" si="27"/>
        <v>8</v>
      </c>
      <c r="S8" s="929">
        <f>J8</f>
        <v>1</v>
      </c>
      <c r="T8" s="929">
        <f>S8+1</f>
        <v>2</v>
      </c>
      <c r="U8" s="929">
        <f t="shared" ref="U8:CF8" si="28">T8+1</f>
        <v>3</v>
      </c>
      <c r="V8" s="929">
        <f t="shared" si="28"/>
        <v>4</v>
      </c>
      <c r="W8" s="929">
        <f t="shared" si="28"/>
        <v>5</v>
      </c>
      <c r="X8" s="929">
        <f t="shared" si="28"/>
        <v>6</v>
      </c>
      <c r="Y8" s="929">
        <f t="shared" si="28"/>
        <v>7</v>
      </c>
      <c r="Z8" s="929">
        <f t="shared" si="28"/>
        <v>8</v>
      </c>
      <c r="AA8" s="929">
        <f t="shared" si="28"/>
        <v>9</v>
      </c>
      <c r="AB8" s="929">
        <f t="shared" si="28"/>
        <v>10</v>
      </c>
      <c r="AC8" s="929">
        <f t="shared" si="28"/>
        <v>11</v>
      </c>
      <c r="AD8" s="929">
        <f t="shared" si="28"/>
        <v>12</v>
      </c>
      <c r="AE8" s="929">
        <f t="shared" si="28"/>
        <v>13</v>
      </c>
      <c r="AF8" s="929">
        <f t="shared" si="28"/>
        <v>14</v>
      </c>
      <c r="AG8" s="929">
        <f t="shared" si="28"/>
        <v>15</v>
      </c>
      <c r="AH8" s="929">
        <f t="shared" si="28"/>
        <v>16</v>
      </c>
      <c r="AI8" s="929">
        <f t="shared" si="28"/>
        <v>17</v>
      </c>
      <c r="AJ8" s="929">
        <f t="shared" si="28"/>
        <v>18</v>
      </c>
      <c r="AK8" s="929">
        <f t="shared" si="28"/>
        <v>19</v>
      </c>
      <c r="AL8" s="929">
        <f t="shared" si="28"/>
        <v>20</v>
      </c>
      <c r="AM8" s="929">
        <f t="shared" si="28"/>
        <v>21</v>
      </c>
      <c r="AN8" s="929">
        <f t="shared" si="28"/>
        <v>22</v>
      </c>
      <c r="AO8" s="929">
        <f t="shared" si="28"/>
        <v>23</v>
      </c>
      <c r="AP8" s="929">
        <f t="shared" si="28"/>
        <v>24</v>
      </c>
      <c r="AQ8" s="929">
        <f t="shared" si="28"/>
        <v>25</v>
      </c>
      <c r="AR8" s="929">
        <f t="shared" si="28"/>
        <v>26</v>
      </c>
      <c r="AS8" s="929">
        <f t="shared" si="28"/>
        <v>27</v>
      </c>
      <c r="AT8" s="929">
        <f t="shared" si="28"/>
        <v>28</v>
      </c>
      <c r="AU8" s="929">
        <f t="shared" si="28"/>
        <v>29</v>
      </c>
      <c r="AV8" s="929">
        <f t="shared" si="28"/>
        <v>30</v>
      </c>
      <c r="AW8" s="929">
        <f t="shared" si="28"/>
        <v>31</v>
      </c>
      <c r="AX8" s="929">
        <f t="shared" si="28"/>
        <v>32</v>
      </c>
      <c r="AY8" s="929">
        <f t="shared" si="28"/>
        <v>33</v>
      </c>
      <c r="AZ8" s="929">
        <f t="shared" si="28"/>
        <v>34</v>
      </c>
      <c r="BA8" s="929">
        <f t="shared" si="28"/>
        <v>35</v>
      </c>
      <c r="BB8" s="929">
        <f t="shared" si="28"/>
        <v>36</v>
      </c>
      <c r="BC8" s="929">
        <f t="shared" si="28"/>
        <v>37</v>
      </c>
      <c r="BD8" s="929">
        <f t="shared" si="28"/>
        <v>38</v>
      </c>
      <c r="BE8" s="929">
        <f t="shared" si="28"/>
        <v>39</v>
      </c>
      <c r="BF8" s="929">
        <f t="shared" si="28"/>
        <v>40</v>
      </c>
      <c r="BG8" s="929">
        <f t="shared" si="28"/>
        <v>41</v>
      </c>
      <c r="BH8" s="929">
        <f t="shared" si="28"/>
        <v>42</v>
      </c>
      <c r="BI8" s="929">
        <f t="shared" si="28"/>
        <v>43</v>
      </c>
      <c r="BJ8" s="929">
        <f t="shared" si="28"/>
        <v>44</v>
      </c>
      <c r="BK8" s="929">
        <f t="shared" si="28"/>
        <v>45</v>
      </c>
      <c r="BL8" s="929">
        <f t="shared" si="28"/>
        <v>46</v>
      </c>
      <c r="BM8" s="929">
        <f t="shared" si="28"/>
        <v>47</v>
      </c>
      <c r="BN8" s="929">
        <f t="shared" si="28"/>
        <v>48</v>
      </c>
      <c r="BO8" s="929">
        <f t="shared" si="28"/>
        <v>49</v>
      </c>
      <c r="BP8" s="929">
        <f t="shared" si="28"/>
        <v>50</v>
      </c>
      <c r="BQ8" s="929">
        <f t="shared" si="28"/>
        <v>51</v>
      </c>
      <c r="BR8" s="929">
        <f t="shared" si="28"/>
        <v>52</v>
      </c>
      <c r="BS8" s="929">
        <f t="shared" si="28"/>
        <v>53</v>
      </c>
      <c r="BT8" s="929">
        <f t="shared" si="28"/>
        <v>54</v>
      </c>
      <c r="BU8" s="929">
        <f t="shared" si="28"/>
        <v>55</v>
      </c>
      <c r="BV8" s="929">
        <f t="shared" si="28"/>
        <v>56</v>
      </c>
      <c r="BW8" s="929">
        <f t="shared" si="28"/>
        <v>57</v>
      </c>
      <c r="BX8" s="929">
        <f t="shared" si="28"/>
        <v>58</v>
      </c>
      <c r="BY8" s="929">
        <f t="shared" si="28"/>
        <v>59</v>
      </c>
      <c r="BZ8" s="929">
        <f t="shared" si="28"/>
        <v>60</v>
      </c>
      <c r="CA8" s="929">
        <f t="shared" si="28"/>
        <v>61</v>
      </c>
      <c r="CB8" s="929">
        <f t="shared" si="28"/>
        <v>62</v>
      </c>
      <c r="CC8" s="929">
        <f t="shared" si="28"/>
        <v>63</v>
      </c>
      <c r="CD8" s="929">
        <f t="shared" si="28"/>
        <v>64</v>
      </c>
      <c r="CE8" s="929">
        <f t="shared" si="28"/>
        <v>65</v>
      </c>
      <c r="CF8" s="929">
        <f t="shared" si="28"/>
        <v>66</v>
      </c>
      <c r="CG8" s="929">
        <f t="shared" ref="CG8:DJ8" si="29">CF8+1</f>
        <v>67</v>
      </c>
      <c r="CH8" s="929">
        <f t="shared" si="29"/>
        <v>68</v>
      </c>
      <c r="CI8" s="929">
        <f t="shared" si="29"/>
        <v>69</v>
      </c>
      <c r="CJ8" s="929">
        <f t="shared" si="29"/>
        <v>70</v>
      </c>
      <c r="CK8" s="929">
        <f t="shared" si="29"/>
        <v>71</v>
      </c>
      <c r="CL8" s="929">
        <f t="shared" si="29"/>
        <v>72</v>
      </c>
      <c r="CM8" s="929">
        <f t="shared" si="29"/>
        <v>73</v>
      </c>
      <c r="CN8" s="929">
        <f t="shared" si="29"/>
        <v>74</v>
      </c>
      <c r="CO8" s="929">
        <f t="shared" si="29"/>
        <v>75</v>
      </c>
      <c r="CP8" s="929">
        <f t="shared" si="29"/>
        <v>76</v>
      </c>
      <c r="CQ8" s="929">
        <f t="shared" si="29"/>
        <v>77</v>
      </c>
      <c r="CR8" s="929">
        <f t="shared" si="29"/>
        <v>78</v>
      </c>
      <c r="CS8" s="929">
        <f t="shared" si="29"/>
        <v>79</v>
      </c>
      <c r="CT8" s="929">
        <f t="shared" si="29"/>
        <v>80</v>
      </c>
      <c r="CU8" s="929">
        <f t="shared" si="29"/>
        <v>81</v>
      </c>
      <c r="CV8" s="929">
        <f t="shared" si="29"/>
        <v>82</v>
      </c>
      <c r="CW8" s="929">
        <f t="shared" si="29"/>
        <v>83</v>
      </c>
      <c r="CX8" s="929">
        <f t="shared" si="29"/>
        <v>84</v>
      </c>
      <c r="CY8" s="929">
        <f t="shared" si="29"/>
        <v>85</v>
      </c>
      <c r="CZ8" s="929">
        <f t="shared" si="29"/>
        <v>86</v>
      </c>
      <c r="DA8" s="929">
        <f t="shared" si="29"/>
        <v>87</v>
      </c>
      <c r="DB8" s="929">
        <f t="shared" si="29"/>
        <v>88</v>
      </c>
      <c r="DC8" s="929">
        <f t="shared" si="29"/>
        <v>89</v>
      </c>
      <c r="DD8" s="929">
        <f t="shared" si="29"/>
        <v>90</v>
      </c>
      <c r="DE8" s="929">
        <f t="shared" si="29"/>
        <v>91</v>
      </c>
      <c r="DF8" s="929">
        <f t="shared" si="29"/>
        <v>92</v>
      </c>
      <c r="DG8" s="929">
        <f t="shared" si="29"/>
        <v>93</v>
      </c>
      <c r="DH8" s="929">
        <f t="shared" si="29"/>
        <v>94</v>
      </c>
      <c r="DI8" s="929">
        <f t="shared" si="29"/>
        <v>95</v>
      </c>
      <c r="DJ8" s="929">
        <f t="shared" si="29"/>
        <v>96</v>
      </c>
    </row>
    <row r="9" spans="1:114" hidden="1" outlineLevel="1">
      <c r="B9" s="927" t="s">
        <v>10</v>
      </c>
      <c r="H9" s="928" t="s">
        <v>11</v>
      </c>
      <c r="J9" s="929">
        <f t="shared" ref="J9:Q9" si="30">IF(J3="Actual",1,0)</f>
        <v>1</v>
      </c>
      <c r="K9" s="929">
        <f t="shared" si="30"/>
        <v>1</v>
      </c>
      <c r="L9" s="929">
        <f t="shared" si="30"/>
        <v>0</v>
      </c>
      <c r="M9" s="929">
        <f t="shared" si="30"/>
        <v>0</v>
      </c>
      <c r="N9" s="929">
        <f t="shared" si="30"/>
        <v>0</v>
      </c>
      <c r="O9" s="929">
        <f t="shared" si="30"/>
        <v>0</v>
      </c>
      <c r="P9" s="929">
        <f t="shared" si="30"/>
        <v>0</v>
      </c>
      <c r="Q9" s="929">
        <f t="shared" si="30"/>
        <v>0</v>
      </c>
      <c r="S9" s="929">
        <f t="shared" ref="S9:AX9" si="31">IF(S3="Actual",1,0)</f>
        <v>1</v>
      </c>
      <c r="T9" s="929">
        <f t="shared" si="31"/>
        <v>1</v>
      </c>
      <c r="U9" s="929">
        <f t="shared" si="31"/>
        <v>1</v>
      </c>
      <c r="V9" s="929">
        <f t="shared" si="31"/>
        <v>1</v>
      </c>
      <c r="W9" s="929">
        <f t="shared" si="31"/>
        <v>1</v>
      </c>
      <c r="X9" s="929">
        <f t="shared" si="31"/>
        <v>1</v>
      </c>
      <c r="Y9" s="929">
        <f t="shared" si="31"/>
        <v>1</v>
      </c>
      <c r="Z9" s="929">
        <f t="shared" si="31"/>
        <v>1</v>
      </c>
      <c r="AA9" s="929">
        <f t="shared" si="31"/>
        <v>1</v>
      </c>
      <c r="AB9" s="929">
        <f t="shared" si="31"/>
        <v>1</v>
      </c>
      <c r="AC9" s="929">
        <f t="shared" si="31"/>
        <v>1</v>
      </c>
      <c r="AD9" s="929">
        <f t="shared" si="31"/>
        <v>1</v>
      </c>
      <c r="AE9" s="929">
        <f t="shared" si="31"/>
        <v>1</v>
      </c>
      <c r="AF9" s="929">
        <f t="shared" si="31"/>
        <v>1</v>
      </c>
      <c r="AG9" s="929">
        <f t="shared" si="31"/>
        <v>1</v>
      </c>
      <c r="AH9" s="929">
        <f t="shared" si="31"/>
        <v>1</v>
      </c>
      <c r="AI9" s="929">
        <f t="shared" si="31"/>
        <v>1</v>
      </c>
      <c r="AJ9" s="929">
        <f t="shared" si="31"/>
        <v>1</v>
      </c>
      <c r="AK9" s="929">
        <f t="shared" si="31"/>
        <v>1</v>
      </c>
      <c r="AL9" s="929">
        <f t="shared" si="31"/>
        <v>1</v>
      </c>
      <c r="AM9" s="929">
        <f t="shared" si="31"/>
        <v>1</v>
      </c>
      <c r="AN9" s="929">
        <f t="shared" si="31"/>
        <v>1</v>
      </c>
      <c r="AO9" s="929">
        <f t="shared" si="31"/>
        <v>1</v>
      </c>
      <c r="AP9" s="929">
        <f t="shared" si="31"/>
        <v>1</v>
      </c>
      <c r="AQ9" s="929">
        <f t="shared" si="31"/>
        <v>0</v>
      </c>
      <c r="AR9" s="929">
        <f t="shared" si="31"/>
        <v>0</v>
      </c>
      <c r="AS9" s="929">
        <f t="shared" si="31"/>
        <v>0</v>
      </c>
      <c r="AT9" s="929">
        <f t="shared" si="31"/>
        <v>0</v>
      </c>
      <c r="AU9" s="929">
        <f t="shared" si="31"/>
        <v>0</v>
      </c>
      <c r="AV9" s="929">
        <f t="shared" si="31"/>
        <v>0</v>
      </c>
      <c r="AW9" s="929">
        <f t="shared" si="31"/>
        <v>0</v>
      </c>
      <c r="AX9" s="929">
        <f t="shared" si="31"/>
        <v>0</v>
      </c>
      <c r="AY9" s="929">
        <f t="shared" ref="AY9:CD9" si="32">IF(AY3="Actual",1,0)</f>
        <v>0</v>
      </c>
      <c r="AZ9" s="929">
        <f t="shared" si="32"/>
        <v>0</v>
      </c>
      <c r="BA9" s="929">
        <f t="shared" si="32"/>
        <v>0</v>
      </c>
      <c r="BB9" s="929">
        <f t="shared" si="32"/>
        <v>0</v>
      </c>
      <c r="BC9" s="929">
        <f t="shared" si="32"/>
        <v>0</v>
      </c>
      <c r="BD9" s="929">
        <f t="shared" si="32"/>
        <v>0</v>
      </c>
      <c r="BE9" s="929">
        <f t="shared" si="32"/>
        <v>0</v>
      </c>
      <c r="BF9" s="929">
        <f t="shared" si="32"/>
        <v>0</v>
      </c>
      <c r="BG9" s="929">
        <f t="shared" si="32"/>
        <v>0</v>
      </c>
      <c r="BH9" s="929">
        <f t="shared" si="32"/>
        <v>0</v>
      </c>
      <c r="BI9" s="929">
        <f t="shared" si="32"/>
        <v>0</v>
      </c>
      <c r="BJ9" s="929">
        <f t="shared" si="32"/>
        <v>0</v>
      </c>
      <c r="BK9" s="929">
        <f t="shared" si="32"/>
        <v>0</v>
      </c>
      <c r="BL9" s="929">
        <f t="shared" si="32"/>
        <v>0</v>
      </c>
      <c r="BM9" s="929">
        <f t="shared" si="32"/>
        <v>0</v>
      </c>
      <c r="BN9" s="929">
        <f t="shared" si="32"/>
        <v>0</v>
      </c>
      <c r="BO9" s="929">
        <f t="shared" si="32"/>
        <v>0</v>
      </c>
      <c r="BP9" s="929">
        <f t="shared" si="32"/>
        <v>0</v>
      </c>
      <c r="BQ9" s="929">
        <f t="shared" si="32"/>
        <v>0</v>
      </c>
      <c r="BR9" s="929">
        <f t="shared" si="32"/>
        <v>0</v>
      </c>
      <c r="BS9" s="929">
        <f t="shared" si="32"/>
        <v>0</v>
      </c>
      <c r="BT9" s="929">
        <f t="shared" si="32"/>
        <v>0</v>
      </c>
      <c r="BU9" s="929">
        <f t="shared" si="32"/>
        <v>0</v>
      </c>
      <c r="BV9" s="929">
        <f t="shared" si="32"/>
        <v>0</v>
      </c>
      <c r="BW9" s="929">
        <f t="shared" si="32"/>
        <v>0</v>
      </c>
      <c r="BX9" s="929">
        <f t="shared" si="32"/>
        <v>0</v>
      </c>
      <c r="BY9" s="929">
        <f t="shared" si="32"/>
        <v>0</v>
      </c>
      <c r="BZ9" s="929">
        <f t="shared" si="32"/>
        <v>0</v>
      </c>
      <c r="CA9" s="929">
        <f t="shared" si="32"/>
        <v>0</v>
      </c>
      <c r="CB9" s="929">
        <f t="shared" si="32"/>
        <v>0</v>
      </c>
      <c r="CC9" s="929">
        <f t="shared" si="32"/>
        <v>0</v>
      </c>
      <c r="CD9" s="929">
        <f t="shared" si="32"/>
        <v>0</v>
      </c>
      <c r="CE9" s="929">
        <f t="shared" ref="CE9:DJ9" si="33">IF(CE3="Actual",1,0)</f>
        <v>0</v>
      </c>
      <c r="CF9" s="929">
        <f t="shared" si="33"/>
        <v>0</v>
      </c>
      <c r="CG9" s="929">
        <f t="shared" si="33"/>
        <v>0</v>
      </c>
      <c r="CH9" s="929">
        <f t="shared" si="33"/>
        <v>0</v>
      </c>
      <c r="CI9" s="929">
        <f t="shared" si="33"/>
        <v>0</v>
      </c>
      <c r="CJ9" s="929">
        <f t="shared" si="33"/>
        <v>0</v>
      </c>
      <c r="CK9" s="929">
        <f t="shared" si="33"/>
        <v>0</v>
      </c>
      <c r="CL9" s="929">
        <f t="shared" si="33"/>
        <v>0</v>
      </c>
      <c r="CM9" s="929">
        <f t="shared" si="33"/>
        <v>0</v>
      </c>
      <c r="CN9" s="929">
        <f t="shared" si="33"/>
        <v>0</v>
      </c>
      <c r="CO9" s="929">
        <f t="shared" si="33"/>
        <v>0</v>
      </c>
      <c r="CP9" s="929">
        <f t="shared" si="33"/>
        <v>0</v>
      </c>
      <c r="CQ9" s="929">
        <f t="shared" si="33"/>
        <v>0</v>
      </c>
      <c r="CR9" s="929">
        <f t="shared" si="33"/>
        <v>0</v>
      </c>
      <c r="CS9" s="929">
        <f t="shared" si="33"/>
        <v>0</v>
      </c>
      <c r="CT9" s="929">
        <f t="shared" si="33"/>
        <v>0</v>
      </c>
      <c r="CU9" s="929">
        <f t="shared" si="33"/>
        <v>0</v>
      </c>
      <c r="CV9" s="929">
        <f t="shared" si="33"/>
        <v>0</v>
      </c>
      <c r="CW9" s="929">
        <f t="shared" si="33"/>
        <v>0</v>
      </c>
      <c r="CX9" s="929">
        <f t="shared" si="33"/>
        <v>0</v>
      </c>
      <c r="CY9" s="929">
        <f t="shared" si="33"/>
        <v>0</v>
      </c>
      <c r="CZ9" s="929">
        <f t="shared" si="33"/>
        <v>0</v>
      </c>
      <c r="DA9" s="929">
        <f t="shared" si="33"/>
        <v>0</v>
      </c>
      <c r="DB9" s="929">
        <f t="shared" si="33"/>
        <v>0</v>
      </c>
      <c r="DC9" s="929">
        <f t="shared" si="33"/>
        <v>0</v>
      </c>
      <c r="DD9" s="929">
        <f t="shared" si="33"/>
        <v>0</v>
      </c>
      <c r="DE9" s="929">
        <f t="shared" si="33"/>
        <v>0</v>
      </c>
      <c r="DF9" s="929">
        <f t="shared" si="33"/>
        <v>0</v>
      </c>
      <c r="DG9" s="929">
        <f t="shared" si="33"/>
        <v>0</v>
      </c>
      <c r="DH9" s="929">
        <f t="shared" si="33"/>
        <v>0</v>
      </c>
      <c r="DI9" s="929">
        <f t="shared" si="33"/>
        <v>0</v>
      </c>
      <c r="DJ9" s="929">
        <f t="shared" si="33"/>
        <v>0</v>
      </c>
    </row>
    <row r="10" spans="1:114" hidden="1" outlineLevel="1">
      <c r="B10" s="927" t="s">
        <v>12</v>
      </c>
      <c r="H10" s="928" t="s">
        <v>11</v>
      </c>
      <c r="J10" s="929">
        <f t="shared" ref="J10:Q10" si="34">IF(J3="Budget",1,0)</f>
        <v>0</v>
      </c>
      <c r="K10" s="929">
        <f t="shared" si="34"/>
        <v>0</v>
      </c>
      <c r="L10" s="929">
        <f t="shared" si="34"/>
        <v>1</v>
      </c>
      <c r="M10" s="929">
        <f t="shared" si="34"/>
        <v>0</v>
      </c>
      <c r="N10" s="929">
        <f t="shared" si="34"/>
        <v>0</v>
      </c>
      <c r="O10" s="929">
        <f t="shared" si="34"/>
        <v>0</v>
      </c>
      <c r="P10" s="929">
        <f t="shared" si="34"/>
        <v>0</v>
      </c>
      <c r="Q10" s="929">
        <f t="shared" si="34"/>
        <v>0</v>
      </c>
      <c r="S10" s="929">
        <f t="shared" ref="S10:AX10" si="35">IF(S3="Budget",1,0)</f>
        <v>0</v>
      </c>
      <c r="T10" s="929">
        <f t="shared" si="35"/>
        <v>0</v>
      </c>
      <c r="U10" s="929">
        <f t="shared" si="35"/>
        <v>0</v>
      </c>
      <c r="V10" s="929">
        <f t="shared" si="35"/>
        <v>0</v>
      </c>
      <c r="W10" s="929">
        <f t="shared" si="35"/>
        <v>0</v>
      </c>
      <c r="X10" s="929">
        <f t="shared" si="35"/>
        <v>0</v>
      </c>
      <c r="Y10" s="929">
        <f t="shared" si="35"/>
        <v>0</v>
      </c>
      <c r="Z10" s="929">
        <f t="shared" si="35"/>
        <v>0</v>
      </c>
      <c r="AA10" s="929">
        <f t="shared" si="35"/>
        <v>0</v>
      </c>
      <c r="AB10" s="929">
        <f t="shared" si="35"/>
        <v>0</v>
      </c>
      <c r="AC10" s="929">
        <f t="shared" si="35"/>
        <v>0</v>
      </c>
      <c r="AD10" s="929">
        <f t="shared" si="35"/>
        <v>0</v>
      </c>
      <c r="AE10" s="929">
        <f t="shared" si="35"/>
        <v>0</v>
      </c>
      <c r="AF10" s="929">
        <f t="shared" si="35"/>
        <v>0</v>
      </c>
      <c r="AG10" s="929">
        <f t="shared" si="35"/>
        <v>0</v>
      </c>
      <c r="AH10" s="929">
        <f t="shared" si="35"/>
        <v>0</v>
      </c>
      <c r="AI10" s="929">
        <f t="shared" si="35"/>
        <v>0</v>
      </c>
      <c r="AJ10" s="929">
        <f t="shared" si="35"/>
        <v>0</v>
      </c>
      <c r="AK10" s="929">
        <f t="shared" si="35"/>
        <v>0</v>
      </c>
      <c r="AL10" s="929">
        <f t="shared" si="35"/>
        <v>0</v>
      </c>
      <c r="AM10" s="929">
        <f t="shared" si="35"/>
        <v>0</v>
      </c>
      <c r="AN10" s="929">
        <f t="shared" si="35"/>
        <v>0</v>
      </c>
      <c r="AO10" s="929">
        <f t="shared" si="35"/>
        <v>0</v>
      </c>
      <c r="AP10" s="929">
        <f t="shared" si="35"/>
        <v>0</v>
      </c>
      <c r="AQ10" s="929">
        <f t="shared" si="35"/>
        <v>1</v>
      </c>
      <c r="AR10" s="929">
        <f t="shared" si="35"/>
        <v>1</v>
      </c>
      <c r="AS10" s="929">
        <f t="shared" si="35"/>
        <v>1</v>
      </c>
      <c r="AT10" s="929">
        <f t="shared" si="35"/>
        <v>1</v>
      </c>
      <c r="AU10" s="929">
        <f t="shared" si="35"/>
        <v>1</v>
      </c>
      <c r="AV10" s="929">
        <f t="shared" si="35"/>
        <v>1</v>
      </c>
      <c r="AW10" s="929">
        <f t="shared" si="35"/>
        <v>1</v>
      </c>
      <c r="AX10" s="929">
        <f t="shared" si="35"/>
        <v>1</v>
      </c>
      <c r="AY10" s="929">
        <f t="shared" ref="AY10:CD10" si="36">IF(AY3="Budget",1,0)</f>
        <v>1</v>
      </c>
      <c r="AZ10" s="929">
        <f t="shared" si="36"/>
        <v>1</v>
      </c>
      <c r="BA10" s="929">
        <f t="shared" si="36"/>
        <v>1</v>
      </c>
      <c r="BB10" s="929">
        <f t="shared" si="36"/>
        <v>1</v>
      </c>
      <c r="BC10" s="929">
        <f t="shared" si="36"/>
        <v>0</v>
      </c>
      <c r="BD10" s="929">
        <f t="shared" si="36"/>
        <v>0</v>
      </c>
      <c r="BE10" s="929">
        <f t="shared" si="36"/>
        <v>0</v>
      </c>
      <c r="BF10" s="929">
        <f t="shared" si="36"/>
        <v>0</v>
      </c>
      <c r="BG10" s="929">
        <f t="shared" si="36"/>
        <v>0</v>
      </c>
      <c r="BH10" s="929">
        <f t="shared" si="36"/>
        <v>0</v>
      </c>
      <c r="BI10" s="929">
        <f t="shared" si="36"/>
        <v>0</v>
      </c>
      <c r="BJ10" s="929">
        <f t="shared" si="36"/>
        <v>0</v>
      </c>
      <c r="BK10" s="929">
        <f t="shared" si="36"/>
        <v>0</v>
      </c>
      <c r="BL10" s="929">
        <f t="shared" si="36"/>
        <v>0</v>
      </c>
      <c r="BM10" s="929">
        <f t="shared" si="36"/>
        <v>0</v>
      </c>
      <c r="BN10" s="929">
        <f t="shared" si="36"/>
        <v>0</v>
      </c>
      <c r="BO10" s="929">
        <f t="shared" si="36"/>
        <v>0</v>
      </c>
      <c r="BP10" s="929">
        <f t="shared" si="36"/>
        <v>0</v>
      </c>
      <c r="BQ10" s="929">
        <f t="shared" si="36"/>
        <v>0</v>
      </c>
      <c r="BR10" s="929">
        <f t="shared" si="36"/>
        <v>0</v>
      </c>
      <c r="BS10" s="929">
        <f t="shared" si="36"/>
        <v>0</v>
      </c>
      <c r="BT10" s="929">
        <f t="shared" si="36"/>
        <v>0</v>
      </c>
      <c r="BU10" s="929">
        <f t="shared" si="36"/>
        <v>0</v>
      </c>
      <c r="BV10" s="929">
        <f t="shared" si="36"/>
        <v>0</v>
      </c>
      <c r="BW10" s="929">
        <f t="shared" si="36"/>
        <v>0</v>
      </c>
      <c r="BX10" s="929">
        <f t="shared" si="36"/>
        <v>0</v>
      </c>
      <c r="BY10" s="929">
        <f t="shared" si="36"/>
        <v>0</v>
      </c>
      <c r="BZ10" s="929">
        <f t="shared" si="36"/>
        <v>0</v>
      </c>
      <c r="CA10" s="929">
        <f t="shared" si="36"/>
        <v>0</v>
      </c>
      <c r="CB10" s="929">
        <f t="shared" si="36"/>
        <v>0</v>
      </c>
      <c r="CC10" s="929">
        <f t="shared" si="36"/>
        <v>0</v>
      </c>
      <c r="CD10" s="929">
        <f t="shared" si="36"/>
        <v>0</v>
      </c>
      <c r="CE10" s="929">
        <f t="shared" ref="CE10:DJ10" si="37">IF(CE3="Budget",1,0)</f>
        <v>0</v>
      </c>
      <c r="CF10" s="929">
        <f t="shared" si="37"/>
        <v>0</v>
      </c>
      <c r="CG10" s="929">
        <f t="shared" si="37"/>
        <v>0</v>
      </c>
      <c r="CH10" s="929">
        <f t="shared" si="37"/>
        <v>0</v>
      </c>
      <c r="CI10" s="929">
        <f t="shared" si="37"/>
        <v>0</v>
      </c>
      <c r="CJ10" s="929">
        <f t="shared" si="37"/>
        <v>0</v>
      </c>
      <c r="CK10" s="929">
        <f t="shared" si="37"/>
        <v>0</v>
      </c>
      <c r="CL10" s="929">
        <f t="shared" si="37"/>
        <v>0</v>
      </c>
      <c r="CM10" s="929">
        <f t="shared" si="37"/>
        <v>0</v>
      </c>
      <c r="CN10" s="929">
        <f t="shared" si="37"/>
        <v>0</v>
      </c>
      <c r="CO10" s="929">
        <f t="shared" si="37"/>
        <v>0</v>
      </c>
      <c r="CP10" s="929">
        <f t="shared" si="37"/>
        <v>0</v>
      </c>
      <c r="CQ10" s="929">
        <f t="shared" si="37"/>
        <v>0</v>
      </c>
      <c r="CR10" s="929">
        <f t="shared" si="37"/>
        <v>0</v>
      </c>
      <c r="CS10" s="929">
        <f t="shared" si="37"/>
        <v>0</v>
      </c>
      <c r="CT10" s="929">
        <f t="shared" si="37"/>
        <v>0</v>
      </c>
      <c r="CU10" s="929">
        <f t="shared" si="37"/>
        <v>0</v>
      </c>
      <c r="CV10" s="929">
        <f t="shared" si="37"/>
        <v>0</v>
      </c>
      <c r="CW10" s="929">
        <f t="shared" si="37"/>
        <v>0</v>
      </c>
      <c r="CX10" s="929">
        <f t="shared" si="37"/>
        <v>0</v>
      </c>
      <c r="CY10" s="929">
        <f t="shared" si="37"/>
        <v>0</v>
      </c>
      <c r="CZ10" s="929">
        <f t="shared" si="37"/>
        <v>0</v>
      </c>
      <c r="DA10" s="929">
        <f t="shared" si="37"/>
        <v>0</v>
      </c>
      <c r="DB10" s="929">
        <f t="shared" si="37"/>
        <v>0</v>
      </c>
      <c r="DC10" s="929">
        <f t="shared" si="37"/>
        <v>0</v>
      </c>
      <c r="DD10" s="929">
        <f t="shared" si="37"/>
        <v>0</v>
      </c>
      <c r="DE10" s="929">
        <f t="shared" si="37"/>
        <v>0</v>
      </c>
      <c r="DF10" s="929">
        <f t="shared" si="37"/>
        <v>0</v>
      </c>
      <c r="DG10" s="929">
        <f t="shared" si="37"/>
        <v>0</v>
      </c>
      <c r="DH10" s="929">
        <f t="shared" si="37"/>
        <v>0</v>
      </c>
      <c r="DI10" s="929">
        <f t="shared" si="37"/>
        <v>0</v>
      </c>
      <c r="DJ10" s="929">
        <f t="shared" si="37"/>
        <v>0</v>
      </c>
    </row>
    <row r="11" spans="1:114" hidden="1" outlineLevel="1">
      <c r="B11" s="927" t="s">
        <v>13</v>
      </c>
      <c r="H11" s="928" t="s">
        <v>11</v>
      </c>
      <c r="J11" s="929">
        <f t="shared" ref="J11:Q11" si="38">IF(J3="Forecast",1,0)</f>
        <v>0</v>
      </c>
      <c r="K11" s="929">
        <f t="shared" si="38"/>
        <v>0</v>
      </c>
      <c r="L11" s="929">
        <f t="shared" si="38"/>
        <v>0</v>
      </c>
      <c r="M11" s="929">
        <f t="shared" si="38"/>
        <v>1</v>
      </c>
      <c r="N11" s="929">
        <f t="shared" si="38"/>
        <v>1</v>
      </c>
      <c r="O11" s="929">
        <f t="shared" si="38"/>
        <v>1</v>
      </c>
      <c r="P11" s="929">
        <f t="shared" si="38"/>
        <v>1</v>
      </c>
      <c r="Q11" s="929">
        <f t="shared" si="38"/>
        <v>1</v>
      </c>
      <c r="S11" s="929">
        <f t="shared" ref="S11:AX11" si="39">IF(S3="Forecast",1,0)</f>
        <v>0</v>
      </c>
      <c r="T11" s="929">
        <f t="shared" si="39"/>
        <v>0</v>
      </c>
      <c r="U11" s="929">
        <f t="shared" si="39"/>
        <v>0</v>
      </c>
      <c r="V11" s="929">
        <f t="shared" si="39"/>
        <v>0</v>
      </c>
      <c r="W11" s="929">
        <f t="shared" si="39"/>
        <v>0</v>
      </c>
      <c r="X11" s="929">
        <f t="shared" si="39"/>
        <v>0</v>
      </c>
      <c r="Y11" s="929">
        <f t="shared" si="39"/>
        <v>0</v>
      </c>
      <c r="Z11" s="929">
        <f t="shared" si="39"/>
        <v>0</v>
      </c>
      <c r="AA11" s="929">
        <f t="shared" si="39"/>
        <v>0</v>
      </c>
      <c r="AB11" s="929">
        <f t="shared" si="39"/>
        <v>0</v>
      </c>
      <c r="AC11" s="929">
        <f t="shared" si="39"/>
        <v>0</v>
      </c>
      <c r="AD11" s="929">
        <f t="shared" si="39"/>
        <v>0</v>
      </c>
      <c r="AE11" s="929">
        <f t="shared" si="39"/>
        <v>0</v>
      </c>
      <c r="AF11" s="929">
        <f t="shared" si="39"/>
        <v>0</v>
      </c>
      <c r="AG11" s="929">
        <f t="shared" si="39"/>
        <v>0</v>
      </c>
      <c r="AH11" s="929">
        <f t="shared" si="39"/>
        <v>0</v>
      </c>
      <c r="AI11" s="929">
        <f t="shared" si="39"/>
        <v>0</v>
      </c>
      <c r="AJ11" s="929">
        <f t="shared" si="39"/>
        <v>0</v>
      </c>
      <c r="AK11" s="929">
        <f t="shared" si="39"/>
        <v>0</v>
      </c>
      <c r="AL11" s="929">
        <f t="shared" si="39"/>
        <v>0</v>
      </c>
      <c r="AM11" s="929">
        <f t="shared" si="39"/>
        <v>0</v>
      </c>
      <c r="AN11" s="929">
        <f t="shared" si="39"/>
        <v>0</v>
      </c>
      <c r="AO11" s="929">
        <f t="shared" si="39"/>
        <v>0</v>
      </c>
      <c r="AP11" s="929">
        <f t="shared" si="39"/>
        <v>0</v>
      </c>
      <c r="AQ11" s="929">
        <f t="shared" si="39"/>
        <v>0</v>
      </c>
      <c r="AR11" s="929">
        <f t="shared" si="39"/>
        <v>0</v>
      </c>
      <c r="AS11" s="929">
        <f t="shared" si="39"/>
        <v>0</v>
      </c>
      <c r="AT11" s="929">
        <f t="shared" si="39"/>
        <v>0</v>
      </c>
      <c r="AU11" s="929">
        <f t="shared" si="39"/>
        <v>0</v>
      </c>
      <c r="AV11" s="929">
        <f t="shared" si="39"/>
        <v>0</v>
      </c>
      <c r="AW11" s="929">
        <f t="shared" si="39"/>
        <v>0</v>
      </c>
      <c r="AX11" s="929">
        <f t="shared" si="39"/>
        <v>0</v>
      </c>
      <c r="AY11" s="929">
        <f t="shared" ref="AY11:CD11" si="40">IF(AY3="Forecast",1,0)</f>
        <v>0</v>
      </c>
      <c r="AZ11" s="929">
        <f t="shared" si="40"/>
        <v>0</v>
      </c>
      <c r="BA11" s="929">
        <f t="shared" si="40"/>
        <v>0</v>
      </c>
      <c r="BB11" s="929">
        <f t="shared" si="40"/>
        <v>0</v>
      </c>
      <c r="BC11" s="929">
        <f t="shared" si="40"/>
        <v>1</v>
      </c>
      <c r="BD11" s="929">
        <f t="shared" si="40"/>
        <v>1</v>
      </c>
      <c r="BE11" s="929">
        <f t="shared" si="40"/>
        <v>1</v>
      </c>
      <c r="BF11" s="929">
        <f t="shared" si="40"/>
        <v>1</v>
      </c>
      <c r="BG11" s="929">
        <f t="shared" si="40"/>
        <v>1</v>
      </c>
      <c r="BH11" s="929">
        <f t="shared" si="40"/>
        <v>1</v>
      </c>
      <c r="BI11" s="929">
        <f t="shared" si="40"/>
        <v>1</v>
      </c>
      <c r="BJ11" s="929">
        <f t="shared" si="40"/>
        <v>1</v>
      </c>
      <c r="BK11" s="929">
        <f t="shared" si="40"/>
        <v>1</v>
      </c>
      <c r="BL11" s="929">
        <f t="shared" si="40"/>
        <v>1</v>
      </c>
      <c r="BM11" s="929">
        <f t="shared" si="40"/>
        <v>1</v>
      </c>
      <c r="BN11" s="929">
        <f t="shared" si="40"/>
        <v>1</v>
      </c>
      <c r="BO11" s="929">
        <f t="shared" si="40"/>
        <v>1</v>
      </c>
      <c r="BP11" s="929">
        <f t="shared" si="40"/>
        <v>1</v>
      </c>
      <c r="BQ11" s="929">
        <f t="shared" si="40"/>
        <v>1</v>
      </c>
      <c r="BR11" s="929">
        <f t="shared" si="40"/>
        <v>1</v>
      </c>
      <c r="BS11" s="929">
        <f t="shared" si="40"/>
        <v>1</v>
      </c>
      <c r="BT11" s="929">
        <f t="shared" si="40"/>
        <v>1</v>
      </c>
      <c r="BU11" s="929">
        <f t="shared" si="40"/>
        <v>1</v>
      </c>
      <c r="BV11" s="929">
        <f t="shared" si="40"/>
        <v>1</v>
      </c>
      <c r="BW11" s="929">
        <f t="shared" si="40"/>
        <v>1</v>
      </c>
      <c r="BX11" s="929">
        <f t="shared" si="40"/>
        <v>1</v>
      </c>
      <c r="BY11" s="929">
        <f t="shared" si="40"/>
        <v>1</v>
      </c>
      <c r="BZ11" s="929">
        <f t="shared" si="40"/>
        <v>1</v>
      </c>
      <c r="CA11" s="929">
        <f t="shared" si="40"/>
        <v>1</v>
      </c>
      <c r="CB11" s="929">
        <f t="shared" si="40"/>
        <v>1</v>
      </c>
      <c r="CC11" s="929">
        <f t="shared" si="40"/>
        <v>1</v>
      </c>
      <c r="CD11" s="929">
        <f t="shared" si="40"/>
        <v>1</v>
      </c>
      <c r="CE11" s="929">
        <f t="shared" ref="CE11:DJ11" si="41">IF(CE3="Forecast",1,0)</f>
        <v>1</v>
      </c>
      <c r="CF11" s="929">
        <f t="shared" si="41"/>
        <v>1</v>
      </c>
      <c r="CG11" s="929">
        <f t="shared" si="41"/>
        <v>1</v>
      </c>
      <c r="CH11" s="929">
        <f t="shared" si="41"/>
        <v>1</v>
      </c>
      <c r="CI11" s="929">
        <f t="shared" si="41"/>
        <v>1</v>
      </c>
      <c r="CJ11" s="929">
        <f t="shared" si="41"/>
        <v>1</v>
      </c>
      <c r="CK11" s="929">
        <f t="shared" si="41"/>
        <v>1</v>
      </c>
      <c r="CL11" s="929">
        <f t="shared" si="41"/>
        <v>1</v>
      </c>
      <c r="CM11" s="929">
        <f t="shared" si="41"/>
        <v>1</v>
      </c>
      <c r="CN11" s="929">
        <f t="shared" si="41"/>
        <v>1</v>
      </c>
      <c r="CO11" s="929">
        <f t="shared" si="41"/>
        <v>1</v>
      </c>
      <c r="CP11" s="929">
        <f t="shared" si="41"/>
        <v>1</v>
      </c>
      <c r="CQ11" s="929">
        <f t="shared" si="41"/>
        <v>1</v>
      </c>
      <c r="CR11" s="929">
        <f t="shared" si="41"/>
        <v>1</v>
      </c>
      <c r="CS11" s="929">
        <f t="shared" si="41"/>
        <v>1</v>
      </c>
      <c r="CT11" s="929">
        <f t="shared" si="41"/>
        <v>1</v>
      </c>
      <c r="CU11" s="929">
        <f t="shared" si="41"/>
        <v>1</v>
      </c>
      <c r="CV11" s="929">
        <f t="shared" si="41"/>
        <v>1</v>
      </c>
      <c r="CW11" s="929">
        <f t="shared" si="41"/>
        <v>1</v>
      </c>
      <c r="CX11" s="929">
        <f t="shared" si="41"/>
        <v>1</v>
      </c>
      <c r="CY11" s="929">
        <f t="shared" si="41"/>
        <v>1</v>
      </c>
      <c r="CZ11" s="929">
        <f t="shared" si="41"/>
        <v>1</v>
      </c>
      <c r="DA11" s="929">
        <f t="shared" si="41"/>
        <v>1</v>
      </c>
      <c r="DB11" s="929">
        <f t="shared" si="41"/>
        <v>1</v>
      </c>
      <c r="DC11" s="929">
        <f t="shared" si="41"/>
        <v>1</v>
      </c>
      <c r="DD11" s="929">
        <f t="shared" si="41"/>
        <v>1</v>
      </c>
      <c r="DE11" s="929">
        <f t="shared" si="41"/>
        <v>1</v>
      </c>
      <c r="DF11" s="929">
        <f t="shared" si="41"/>
        <v>1</v>
      </c>
      <c r="DG11" s="929">
        <f t="shared" si="41"/>
        <v>1</v>
      </c>
      <c r="DH11" s="929">
        <f t="shared" si="41"/>
        <v>1</v>
      </c>
      <c r="DI11" s="929">
        <f t="shared" si="41"/>
        <v>1</v>
      </c>
      <c r="DJ11" s="929">
        <f t="shared" si="41"/>
        <v>1</v>
      </c>
    </row>
    <row r="12" spans="1:114" hidden="1" outlineLevel="1">
      <c r="B12" s="927" t="s">
        <v>14</v>
      </c>
      <c r="H12" s="928" t="s">
        <v>11</v>
      </c>
      <c r="J12" s="929">
        <f>IF(SUM(J9:J10)&gt;0,1,0)</f>
        <v>1</v>
      </c>
      <c r="K12" s="929">
        <f t="shared" ref="K12:BU12" si="42">IF(SUM(K9:K10)&gt;0,1,0)</f>
        <v>1</v>
      </c>
      <c r="L12" s="929">
        <f t="shared" si="42"/>
        <v>1</v>
      </c>
      <c r="M12" s="929">
        <f t="shared" si="42"/>
        <v>0</v>
      </c>
      <c r="N12" s="929">
        <f t="shared" si="42"/>
        <v>0</v>
      </c>
      <c r="O12" s="929">
        <f t="shared" si="42"/>
        <v>0</v>
      </c>
      <c r="P12" s="929">
        <f t="shared" si="42"/>
        <v>0</v>
      </c>
      <c r="Q12" s="929">
        <f t="shared" si="42"/>
        <v>0</v>
      </c>
      <c r="S12" s="929">
        <f t="shared" si="42"/>
        <v>1</v>
      </c>
      <c r="T12" s="929">
        <f t="shared" si="42"/>
        <v>1</v>
      </c>
      <c r="U12" s="929">
        <f t="shared" si="42"/>
        <v>1</v>
      </c>
      <c r="V12" s="929">
        <f t="shared" si="42"/>
        <v>1</v>
      </c>
      <c r="W12" s="929">
        <f t="shared" si="42"/>
        <v>1</v>
      </c>
      <c r="X12" s="929">
        <f t="shared" si="42"/>
        <v>1</v>
      </c>
      <c r="Y12" s="929">
        <f t="shared" si="42"/>
        <v>1</v>
      </c>
      <c r="Z12" s="929">
        <f t="shared" si="42"/>
        <v>1</v>
      </c>
      <c r="AA12" s="929">
        <f t="shared" si="42"/>
        <v>1</v>
      </c>
      <c r="AB12" s="929">
        <f t="shared" si="42"/>
        <v>1</v>
      </c>
      <c r="AC12" s="929">
        <f t="shared" si="42"/>
        <v>1</v>
      </c>
      <c r="AD12" s="929">
        <f t="shared" si="42"/>
        <v>1</v>
      </c>
      <c r="AE12" s="929">
        <f t="shared" si="42"/>
        <v>1</v>
      </c>
      <c r="AF12" s="929">
        <f t="shared" si="42"/>
        <v>1</v>
      </c>
      <c r="AG12" s="929">
        <f t="shared" si="42"/>
        <v>1</v>
      </c>
      <c r="AH12" s="929">
        <f t="shared" si="42"/>
        <v>1</v>
      </c>
      <c r="AI12" s="929">
        <f t="shared" si="42"/>
        <v>1</v>
      </c>
      <c r="AJ12" s="929">
        <f t="shared" si="42"/>
        <v>1</v>
      </c>
      <c r="AK12" s="929">
        <f t="shared" si="42"/>
        <v>1</v>
      </c>
      <c r="AL12" s="929">
        <f t="shared" si="42"/>
        <v>1</v>
      </c>
      <c r="AM12" s="929">
        <f t="shared" si="42"/>
        <v>1</v>
      </c>
      <c r="AN12" s="929">
        <f t="shared" si="42"/>
        <v>1</v>
      </c>
      <c r="AO12" s="929">
        <f t="shared" si="42"/>
        <v>1</v>
      </c>
      <c r="AP12" s="929">
        <f t="shared" si="42"/>
        <v>1</v>
      </c>
      <c r="AQ12" s="929">
        <f t="shared" si="42"/>
        <v>1</v>
      </c>
      <c r="AR12" s="929">
        <f t="shared" si="42"/>
        <v>1</v>
      </c>
      <c r="AS12" s="929">
        <f t="shared" si="42"/>
        <v>1</v>
      </c>
      <c r="AT12" s="929">
        <f t="shared" si="42"/>
        <v>1</v>
      </c>
      <c r="AU12" s="929">
        <f t="shared" si="42"/>
        <v>1</v>
      </c>
      <c r="AV12" s="929">
        <f t="shared" si="42"/>
        <v>1</v>
      </c>
      <c r="AW12" s="929">
        <f t="shared" si="42"/>
        <v>1</v>
      </c>
      <c r="AX12" s="929">
        <f t="shared" si="42"/>
        <v>1</v>
      </c>
      <c r="AY12" s="929">
        <f t="shared" si="42"/>
        <v>1</v>
      </c>
      <c r="AZ12" s="929">
        <f t="shared" si="42"/>
        <v>1</v>
      </c>
      <c r="BA12" s="929">
        <f t="shared" si="42"/>
        <v>1</v>
      </c>
      <c r="BB12" s="929">
        <f t="shared" si="42"/>
        <v>1</v>
      </c>
      <c r="BC12" s="929">
        <f t="shared" si="42"/>
        <v>0</v>
      </c>
      <c r="BD12" s="929">
        <f t="shared" si="42"/>
        <v>0</v>
      </c>
      <c r="BE12" s="929">
        <f t="shared" si="42"/>
        <v>0</v>
      </c>
      <c r="BF12" s="929">
        <f t="shared" si="42"/>
        <v>0</v>
      </c>
      <c r="BG12" s="929">
        <f t="shared" si="42"/>
        <v>0</v>
      </c>
      <c r="BH12" s="929">
        <f t="shared" si="42"/>
        <v>0</v>
      </c>
      <c r="BI12" s="929">
        <f t="shared" si="42"/>
        <v>0</v>
      </c>
      <c r="BJ12" s="929">
        <f t="shared" si="42"/>
        <v>0</v>
      </c>
      <c r="BK12" s="929">
        <f t="shared" si="42"/>
        <v>0</v>
      </c>
      <c r="BL12" s="929">
        <f t="shared" si="42"/>
        <v>0</v>
      </c>
      <c r="BM12" s="929">
        <f t="shared" si="42"/>
        <v>0</v>
      </c>
      <c r="BN12" s="929">
        <f t="shared" si="42"/>
        <v>0</v>
      </c>
      <c r="BO12" s="929">
        <f t="shared" si="42"/>
        <v>0</v>
      </c>
      <c r="BP12" s="929">
        <f t="shared" si="42"/>
        <v>0</v>
      </c>
      <c r="BQ12" s="929">
        <f t="shared" si="42"/>
        <v>0</v>
      </c>
      <c r="BR12" s="929">
        <f t="shared" si="42"/>
        <v>0</v>
      </c>
      <c r="BS12" s="929">
        <f t="shared" si="42"/>
        <v>0</v>
      </c>
      <c r="BT12" s="929">
        <f t="shared" si="42"/>
        <v>0</v>
      </c>
      <c r="BU12" s="929">
        <f t="shared" si="42"/>
        <v>0</v>
      </c>
      <c r="BV12" s="929">
        <f t="shared" ref="BV12:DJ12" si="43">IF(SUM(BV9:BV10)&gt;0,1,0)</f>
        <v>0</v>
      </c>
      <c r="BW12" s="929">
        <f t="shared" si="43"/>
        <v>0</v>
      </c>
      <c r="BX12" s="929">
        <f t="shared" si="43"/>
        <v>0</v>
      </c>
      <c r="BY12" s="929">
        <f t="shared" si="43"/>
        <v>0</v>
      </c>
      <c r="BZ12" s="929">
        <f t="shared" si="43"/>
        <v>0</v>
      </c>
      <c r="CA12" s="929">
        <f t="shared" si="43"/>
        <v>0</v>
      </c>
      <c r="CB12" s="929">
        <f t="shared" si="43"/>
        <v>0</v>
      </c>
      <c r="CC12" s="929">
        <f t="shared" si="43"/>
        <v>0</v>
      </c>
      <c r="CD12" s="929">
        <f t="shared" si="43"/>
        <v>0</v>
      </c>
      <c r="CE12" s="929">
        <f t="shared" si="43"/>
        <v>0</v>
      </c>
      <c r="CF12" s="929">
        <f t="shared" si="43"/>
        <v>0</v>
      </c>
      <c r="CG12" s="929">
        <f t="shared" si="43"/>
        <v>0</v>
      </c>
      <c r="CH12" s="929">
        <f t="shared" si="43"/>
        <v>0</v>
      </c>
      <c r="CI12" s="929">
        <f t="shared" si="43"/>
        <v>0</v>
      </c>
      <c r="CJ12" s="929">
        <f t="shared" si="43"/>
        <v>0</v>
      </c>
      <c r="CK12" s="929">
        <f t="shared" si="43"/>
        <v>0</v>
      </c>
      <c r="CL12" s="929">
        <f t="shared" si="43"/>
        <v>0</v>
      </c>
      <c r="CM12" s="929">
        <f t="shared" si="43"/>
        <v>0</v>
      </c>
      <c r="CN12" s="929">
        <f t="shared" si="43"/>
        <v>0</v>
      </c>
      <c r="CO12" s="929">
        <f t="shared" si="43"/>
        <v>0</v>
      </c>
      <c r="CP12" s="929">
        <f t="shared" si="43"/>
        <v>0</v>
      </c>
      <c r="CQ12" s="929">
        <f t="shared" si="43"/>
        <v>0</v>
      </c>
      <c r="CR12" s="929">
        <f t="shared" si="43"/>
        <v>0</v>
      </c>
      <c r="CS12" s="929">
        <f t="shared" si="43"/>
        <v>0</v>
      </c>
      <c r="CT12" s="929">
        <f t="shared" si="43"/>
        <v>0</v>
      </c>
      <c r="CU12" s="929">
        <f t="shared" si="43"/>
        <v>0</v>
      </c>
      <c r="CV12" s="929">
        <f t="shared" si="43"/>
        <v>0</v>
      </c>
      <c r="CW12" s="929">
        <f t="shared" si="43"/>
        <v>0</v>
      </c>
      <c r="CX12" s="929">
        <f t="shared" si="43"/>
        <v>0</v>
      </c>
      <c r="CY12" s="929">
        <f t="shared" si="43"/>
        <v>0</v>
      </c>
      <c r="CZ12" s="929">
        <f t="shared" si="43"/>
        <v>0</v>
      </c>
      <c r="DA12" s="929">
        <f t="shared" si="43"/>
        <v>0</v>
      </c>
      <c r="DB12" s="929">
        <f t="shared" si="43"/>
        <v>0</v>
      </c>
      <c r="DC12" s="929">
        <f t="shared" si="43"/>
        <v>0</v>
      </c>
      <c r="DD12" s="929">
        <f t="shared" si="43"/>
        <v>0</v>
      </c>
      <c r="DE12" s="929">
        <f t="shared" si="43"/>
        <v>0</v>
      </c>
      <c r="DF12" s="929">
        <f t="shared" si="43"/>
        <v>0</v>
      </c>
      <c r="DG12" s="929">
        <f t="shared" si="43"/>
        <v>0</v>
      </c>
      <c r="DH12" s="929">
        <f t="shared" si="43"/>
        <v>0</v>
      </c>
      <c r="DI12" s="929">
        <f t="shared" si="43"/>
        <v>0</v>
      </c>
      <c r="DJ12" s="929">
        <f t="shared" si="43"/>
        <v>0</v>
      </c>
    </row>
    <row r="13" spans="1:114" ht="15" collapsed="1">
      <c r="A13" t="s">
        <v>15</v>
      </c>
      <c r="B13" s="918" t="s">
        <v>16</v>
      </c>
      <c r="C13" s="918"/>
      <c r="D13" s="918"/>
      <c r="E13" s="918"/>
      <c r="F13" s="918"/>
      <c r="G13" s="918"/>
      <c r="H13" s="918"/>
      <c r="I13" s="918"/>
      <c r="J13" s="925"/>
      <c r="K13" s="925"/>
      <c r="L13" s="925"/>
      <c r="M13" s="925"/>
      <c r="N13" s="925"/>
      <c r="O13" s="925"/>
      <c r="P13" s="925"/>
      <c r="Q13" s="925"/>
      <c r="R13" s="918"/>
      <c r="S13" s="918"/>
      <c r="T13" s="918"/>
      <c r="U13" s="918"/>
      <c r="V13" s="918"/>
      <c r="W13" s="918"/>
      <c r="X13" s="918"/>
      <c r="Y13" s="918"/>
      <c r="Z13" s="918"/>
      <c r="AA13" s="918"/>
      <c r="AB13" s="918"/>
      <c r="AC13" s="918"/>
      <c r="AD13" s="918"/>
      <c r="AE13" s="918"/>
      <c r="AF13" s="918"/>
      <c r="AG13" s="918"/>
      <c r="AH13" s="918"/>
      <c r="AI13" s="918"/>
      <c r="AJ13" s="918"/>
      <c r="AK13" s="918"/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8"/>
      <c r="BF13" s="918"/>
      <c r="BG13" s="918"/>
      <c r="BH13" s="918"/>
      <c r="BI13" s="918"/>
      <c r="BJ13" s="918"/>
      <c r="BK13" s="918"/>
      <c r="BL13" s="918"/>
      <c r="BM13" s="918"/>
      <c r="BN13" s="918"/>
      <c r="BO13" s="918"/>
      <c r="BP13" s="918"/>
      <c r="BQ13" s="918"/>
      <c r="BR13" s="918"/>
      <c r="BS13" s="918"/>
      <c r="BT13" s="918"/>
      <c r="BU13" s="918"/>
      <c r="BV13" s="918"/>
      <c r="BW13" s="918"/>
      <c r="BX13" s="918"/>
      <c r="BY13" s="918"/>
      <c r="BZ13" s="918"/>
      <c r="CA13" s="918"/>
      <c r="CB13" s="918"/>
      <c r="CC13" s="918"/>
      <c r="CD13" s="918"/>
      <c r="CE13" s="918"/>
      <c r="CF13" s="918"/>
      <c r="CG13" s="918"/>
      <c r="CH13" s="918"/>
      <c r="CI13" s="918"/>
      <c r="CJ13" s="918"/>
      <c r="CK13" s="918"/>
      <c r="CL13" s="918"/>
      <c r="CM13" s="918"/>
      <c r="CN13" s="918"/>
      <c r="CO13" s="918"/>
      <c r="CP13" s="918"/>
      <c r="CQ13" s="918"/>
      <c r="CR13" s="918"/>
      <c r="CS13" s="918"/>
      <c r="CT13" s="918"/>
      <c r="CU13" s="918"/>
      <c r="CV13" s="918"/>
      <c r="CW13" s="918"/>
      <c r="CX13" s="918"/>
      <c r="CY13" s="918"/>
      <c r="CZ13" s="918"/>
      <c r="DA13" s="918"/>
      <c r="DB13" s="918"/>
      <c r="DC13" s="918"/>
      <c r="DD13" s="918"/>
      <c r="DE13" s="918"/>
      <c r="DF13" s="918"/>
      <c r="DG13" s="918"/>
      <c r="DH13" s="918"/>
      <c r="DI13" s="918"/>
      <c r="DJ13" s="918"/>
    </row>
    <row r="14" spans="1:114" outlineLevel="1">
      <c r="B14" s="930" t="s">
        <v>17</v>
      </c>
    </row>
    <row r="15" spans="1:114" outlineLevel="1">
      <c r="H15" s="1000" t="s">
        <v>18</v>
      </c>
      <c r="K15" s="1001"/>
      <c r="L15" s="1002" t="s">
        <v>1249</v>
      </c>
      <c r="M15" s="931"/>
    </row>
    <row r="16" spans="1:114" outlineLevel="1">
      <c r="H16" s="1000" t="s">
        <v>19</v>
      </c>
      <c r="K16" s="927"/>
      <c r="L16" s="1003">
        <v>44964.597303240742</v>
      </c>
    </row>
    <row r="17" spans="1:114" outlineLevel="1">
      <c r="H17" s="923" t="s">
        <v>20</v>
      </c>
      <c r="K17" s="1001">
        <f ca="1">FIND("[",CELL("filename",K22))+1</f>
        <v>93</v>
      </c>
      <c r="L17" s="1002" t="str">
        <f ca="1">MID(CELL("filename",K17),K17,FIND("]",CELL("filename",K17))-K17)</f>
        <v>Staff 132 Attachment 63 - OPC POD No. 6 (BS 7846) Parsons - PGS SR 2023 Rate Case Budget.xlsm</v>
      </c>
    </row>
    <row r="18" spans="1:114">
      <c r="B18" s="930"/>
    </row>
    <row r="19" spans="1:114" ht="14.25">
      <c r="A19" t="s">
        <v>15</v>
      </c>
      <c r="B19" s="932" t="s">
        <v>21</v>
      </c>
      <c r="C19" s="932"/>
      <c r="D19" s="932"/>
      <c r="E19" s="932"/>
      <c r="F19" s="932"/>
      <c r="G19" s="932"/>
      <c r="H19" s="932"/>
      <c r="I19" s="932"/>
      <c r="J19" s="932"/>
      <c r="K19" s="932"/>
      <c r="L19" s="932"/>
      <c r="M19" s="932"/>
      <c r="N19" s="932"/>
      <c r="O19" s="932"/>
      <c r="P19" s="932"/>
      <c r="Q19" s="932"/>
      <c r="R19" s="932"/>
      <c r="S19" s="932"/>
      <c r="T19" s="932"/>
      <c r="U19" s="932"/>
      <c r="V19" s="932"/>
      <c r="W19" s="932"/>
      <c r="X19" s="932"/>
      <c r="Y19" s="932"/>
      <c r="Z19" s="932"/>
      <c r="AA19" s="932"/>
      <c r="AB19" s="932"/>
      <c r="AC19" s="932"/>
      <c r="AD19" s="932"/>
      <c r="AE19" s="932"/>
      <c r="AF19" s="932"/>
      <c r="AG19" s="932"/>
      <c r="AH19" s="932"/>
      <c r="AI19" s="932"/>
      <c r="AJ19" s="932"/>
      <c r="AK19" s="932"/>
      <c r="AL19" s="932"/>
      <c r="AM19" s="932"/>
      <c r="AN19" s="932"/>
      <c r="AO19" s="932"/>
      <c r="AP19" s="932"/>
      <c r="AQ19" s="932"/>
      <c r="AR19" s="932"/>
      <c r="AS19" s="932"/>
      <c r="AT19" s="932"/>
      <c r="AU19" s="932"/>
      <c r="AV19" s="932"/>
      <c r="AW19" s="932"/>
      <c r="AX19" s="932"/>
      <c r="AY19" s="932"/>
      <c r="AZ19" s="932"/>
      <c r="BA19" s="932"/>
      <c r="BB19" s="932"/>
      <c r="BC19" s="932"/>
      <c r="BD19" s="932"/>
      <c r="BE19" s="932"/>
      <c r="BF19" s="932"/>
      <c r="BG19" s="932"/>
      <c r="BH19" s="932"/>
      <c r="BI19" s="932"/>
      <c r="BJ19" s="932"/>
      <c r="BK19" s="932"/>
      <c r="BL19" s="932"/>
      <c r="BM19" s="932"/>
      <c r="BN19" s="932"/>
      <c r="BO19" s="932"/>
      <c r="BP19" s="932"/>
      <c r="BQ19" s="932"/>
      <c r="BR19" s="932"/>
      <c r="BS19" s="932"/>
      <c r="BT19" s="932"/>
      <c r="BU19" s="932"/>
      <c r="BV19" s="932"/>
      <c r="BW19" s="932"/>
      <c r="BX19" s="932"/>
      <c r="BY19" s="932"/>
      <c r="BZ19" s="932"/>
      <c r="CA19" s="932"/>
      <c r="CB19" s="932"/>
      <c r="CC19" s="932"/>
      <c r="CD19" s="932"/>
      <c r="CE19" s="932"/>
      <c r="CF19" s="932"/>
      <c r="CG19" s="932"/>
      <c r="CH19" s="932"/>
      <c r="CI19" s="932"/>
      <c r="CJ19" s="932"/>
      <c r="CK19" s="932"/>
      <c r="CL19" s="932"/>
      <c r="CM19" s="932"/>
      <c r="CN19" s="932"/>
      <c r="CO19" s="932"/>
      <c r="CP19" s="932"/>
      <c r="CQ19" s="932"/>
      <c r="CR19" s="932"/>
      <c r="CS19" s="932"/>
      <c r="CT19" s="932"/>
      <c r="CU19" s="932"/>
      <c r="CV19" s="932"/>
      <c r="CW19" s="932"/>
      <c r="CX19" s="932"/>
      <c r="CY19" s="932"/>
      <c r="CZ19" s="932"/>
      <c r="DA19" s="932"/>
      <c r="DB19" s="932"/>
      <c r="DC19" s="932"/>
      <c r="DD19" s="932"/>
      <c r="DE19" s="932"/>
      <c r="DF19" s="932"/>
      <c r="DG19" s="932"/>
      <c r="DH19" s="932"/>
      <c r="DI19" s="932"/>
      <c r="DJ19" s="932"/>
    </row>
    <row r="20" spans="1:114">
      <c r="B20" s="930"/>
    </row>
    <row r="21" spans="1:114" ht="14.25">
      <c r="A21" t="s">
        <v>15</v>
      </c>
      <c r="B21" s="933" t="s">
        <v>22</v>
      </c>
      <c r="C21" s="933"/>
      <c r="D21" s="933"/>
      <c r="E21" s="933"/>
      <c r="F21" s="933"/>
      <c r="G21" s="933"/>
      <c r="H21" s="933"/>
      <c r="I21" s="933"/>
      <c r="J21" s="933"/>
      <c r="K21" s="933"/>
      <c r="L21" s="933"/>
      <c r="M21" s="933"/>
      <c r="N21" s="933"/>
      <c r="O21" s="933"/>
      <c r="P21" s="933"/>
      <c r="Q21" s="933"/>
      <c r="R21" s="933"/>
      <c r="S21" s="933"/>
      <c r="T21" s="933"/>
      <c r="U21" s="933"/>
      <c r="V21" s="933"/>
      <c r="W21" s="933"/>
      <c r="X21" s="933"/>
      <c r="Y21" s="933"/>
      <c r="Z21" s="933"/>
      <c r="AA21" s="933"/>
      <c r="AB21" s="933"/>
      <c r="AC21" s="933"/>
      <c r="AD21" s="933"/>
      <c r="AE21" s="933"/>
      <c r="AF21" s="933"/>
      <c r="AG21" s="933"/>
      <c r="AH21" s="933"/>
      <c r="AI21" s="933"/>
      <c r="AJ21" s="933"/>
      <c r="AK21" s="933"/>
      <c r="AL21" s="933"/>
      <c r="AM21" s="933"/>
      <c r="AN21" s="933"/>
      <c r="AO21" s="933"/>
      <c r="AP21" s="933"/>
      <c r="AQ21" s="933"/>
      <c r="AR21" s="933"/>
      <c r="AS21" s="933"/>
      <c r="AT21" s="933"/>
      <c r="AU21" s="933"/>
      <c r="AV21" s="933"/>
      <c r="AW21" s="933"/>
      <c r="AX21" s="933"/>
      <c r="AY21" s="933"/>
      <c r="AZ21" s="933"/>
      <c r="BA21" s="933"/>
      <c r="BB21" s="933"/>
      <c r="BC21" s="933"/>
      <c r="BD21" s="933"/>
      <c r="BE21" s="933"/>
      <c r="BF21" s="933"/>
      <c r="BG21" s="933"/>
      <c r="BH21" s="933"/>
      <c r="BI21" s="933"/>
      <c r="BJ21" s="933"/>
      <c r="BK21" s="933"/>
      <c r="BL21" s="933"/>
      <c r="BM21" s="933"/>
      <c r="BN21" s="933"/>
      <c r="BO21" s="933"/>
      <c r="BP21" s="933"/>
      <c r="BQ21" s="933"/>
      <c r="BR21" s="933"/>
      <c r="BS21" s="933"/>
      <c r="BT21" s="933"/>
      <c r="BU21" s="933"/>
      <c r="BV21" s="933"/>
      <c r="BW21" s="933"/>
      <c r="BX21" s="933"/>
      <c r="BY21" s="933"/>
      <c r="BZ21" s="933"/>
      <c r="CA21" s="933"/>
      <c r="CB21" s="933"/>
      <c r="CC21" s="933"/>
      <c r="CD21" s="933"/>
      <c r="CE21" s="933"/>
      <c r="CF21" s="933"/>
      <c r="CG21" s="933"/>
      <c r="CH21" s="933"/>
      <c r="CI21" s="933"/>
      <c r="CJ21" s="933"/>
      <c r="CK21" s="933"/>
      <c r="CL21" s="933"/>
      <c r="CM21" s="933"/>
      <c r="CN21" s="933"/>
      <c r="CO21" s="933"/>
      <c r="CP21" s="933"/>
      <c r="CQ21" s="933"/>
      <c r="CR21" s="933"/>
      <c r="CS21" s="933"/>
      <c r="CT21" s="933"/>
      <c r="CU21" s="933"/>
      <c r="CV21" s="933"/>
      <c r="CW21" s="933"/>
      <c r="CX21" s="933"/>
      <c r="CY21" s="933"/>
      <c r="CZ21" s="933"/>
      <c r="DA21" s="933"/>
      <c r="DB21" s="933"/>
      <c r="DC21" s="933"/>
      <c r="DD21" s="933"/>
      <c r="DE21" s="933"/>
      <c r="DF21" s="933"/>
      <c r="DG21" s="933"/>
      <c r="DH21" s="933"/>
      <c r="DI21" s="933"/>
      <c r="DJ21" s="933"/>
    </row>
    <row r="22" spans="1:114" outlineLevel="1">
      <c r="B22" s="930" t="s">
        <v>23</v>
      </c>
    </row>
    <row r="23" spans="1:114" outlineLevel="1">
      <c r="B23" s="930"/>
      <c r="O23" s="952"/>
    </row>
    <row r="24" spans="1:114" ht="15" outlineLevel="1">
      <c r="B24" s="926" t="s">
        <v>24</v>
      </c>
      <c r="H24" s="937" t="e" cm="1">
        <f t="array" aca="1" ref="H24" ca="1">IF(ABS(INDEX($J$28:$Q$28,_xlfn.XMATCH(YEAR(Input!$A$4),$J$2:$Q$2))-(Report!$B$79))&gt;Tolerance,1,0)</f>
        <v>#NAME?</v>
      </c>
      <c r="J24" s="934"/>
      <c r="K24" s="934"/>
    </row>
    <row r="25" spans="1:114" outlineLevel="1">
      <c r="B25" s="927" t="s">
        <v>25</v>
      </c>
      <c r="H25" s="935" t="s">
        <v>26</v>
      </c>
      <c r="J25" s="1021">
        <f>IF(J$2=YEAR(Input!$A$4),Report!$B55,0)</f>
        <v>0</v>
      </c>
      <c r="K25" s="1021">
        <f>IF(K$2=YEAR(Input!$A$4),Report!$B55,0)</f>
        <v>0</v>
      </c>
      <c r="L25" s="1021">
        <f>IF(L$2=YEAR(Input!$A$4),Report!$B55,0)</f>
        <v>0</v>
      </c>
      <c r="M25" s="1021">
        <f ca="1">IF(M$2=YEAR(Input!$A$4),Report!$B55,0)</f>
        <v>2996394.015214615</v>
      </c>
      <c r="N25" s="1021">
        <f>IF(N$2=YEAR(Input!$A$4),Report!$B55,0)</f>
        <v>0</v>
      </c>
      <c r="O25" s="1021">
        <f>IF(O$2=YEAR(Input!$A$4),Report!$B55,0)</f>
        <v>0</v>
      </c>
      <c r="P25" s="1021">
        <f>IF(P$2=YEAR(Input!$A$4),Report!$B55,0)</f>
        <v>0</v>
      </c>
      <c r="Q25" s="1021">
        <f>IF(Q$2=YEAR(Input!$A$4),Report!$B55,0)</f>
        <v>0</v>
      </c>
    </row>
    <row r="26" spans="1:114" outlineLevel="1">
      <c r="B26" s="1004" t="s">
        <v>27</v>
      </c>
      <c r="H26" s="935" t="s">
        <v>26</v>
      </c>
      <c r="J26" s="1021">
        <f>IF(J$2=YEAR(Input!$A$4),Report!$B63,0)</f>
        <v>0</v>
      </c>
      <c r="K26" s="1021">
        <f>IF(K$2=YEAR(Input!$A$4),Report!$B63,0)</f>
        <v>0</v>
      </c>
      <c r="L26" s="1021">
        <f>IF(L$2=YEAR(Input!$A$4),Report!$B63,0)</f>
        <v>0</v>
      </c>
      <c r="M26" s="1021">
        <f ca="1">IF(M$2=YEAR(Input!$A$4),Report!$B63,0)</f>
        <v>-1385.6504708142379</v>
      </c>
      <c r="N26" s="1021">
        <f>IF(N$2=YEAR(Input!$A$4),Report!$B63,0)</f>
        <v>0</v>
      </c>
      <c r="O26" s="1021">
        <f>IF(O$2=YEAR(Input!$A$4),Report!$B63,0)</f>
        <v>0</v>
      </c>
      <c r="P26" s="1021">
        <f>IF(P$2=YEAR(Input!$A$4),Report!$B63,0)</f>
        <v>0</v>
      </c>
      <c r="Q26" s="1021">
        <f>IF(Q$2=YEAR(Input!$A$4),Report!$B63,0)</f>
        <v>0</v>
      </c>
    </row>
    <row r="27" spans="1:114" outlineLevel="1">
      <c r="B27" s="1004" t="s">
        <v>28</v>
      </c>
      <c r="C27" s="923"/>
      <c r="H27" s="935" t="s">
        <v>26</v>
      </c>
      <c r="J27" s="1022">
        <f>IF(J$2=YEAR(Input!$A$4),Report!$B74,0)</f>
        <v>0</v>
      </c>
      <c r="K27" s="1022">
        <f>IF(K$2=YEAR(Input!$A$4),Report!$B74,0)</f>
        <v>0</v>
      </c>
      <c r="L27" s="1022">
        <f>IF(L$2=YEAR(Input!$A$4),Report!$B74,0)</f>
        <v>0</v>
      </c>
      <c r="M27" s="1022">
        <f ca="1">IF(M$2=YEAR(Input!$A$4),Report!$B74,0)</f>
        <v>-71287.725111538486</v>
      </c>
      <c r="N27" s="1022">
        <f>IF(N$2=YEAR(Input!$A$4),Report!$B74,0)</f>
        <v>0</v>
      </c>
      <c r="O27" s="1022">
        <f>IF(O$2=YEAR(Input!$A$4),Report!$B74,0)</f>
        <v>0</v>
      </c>
      <c r="P27" s="1022">
        <f>IF(P$2=YEAR(Input!$A$4),Report!$B74,0)</f>
        <v>0</v>
      </c>
      <c r="Q27" s="1022">
        <f>IF(Q$2=YEAR(Input!$A$4),Report!$B74,0)</f>
        <v>0</v>
      </c>
    </row>
    <row r="28" spans="1:114" outlineLevel="1">
      <c r="B28" s="1008" t="s">
        <v>29</v>
      </c>
      <c r="C28" s="936"/>
      <c r="H28" s="935" t="s">
        <v>26</v>
      </c>
      <c r="J28" s="1023">
        <f>SUM(J25:J27)</f>
        <v>0</v>
      </c>
      <c r="K28" s="1023">
        <f t="shared" ref="K28:Q28" si="44">SUM(K25:K27)</f>
        <v>0</v>
      </c>
      <c r="L28" s="1023">
        <f t="shared" si="44"/>
        <v>0</v>
      </c>
      <c r="M28" s="1023">
        <f t="shared" ca="1" si="44"/>
        <v>2923720.6396322623</v>
      </c>
      <c r="N28" s="1023">
        <f t="shared" si="44"/>
        <v>0</v>
      </c>
      <c r="O28" s="1023">
        <f t="shared" si="44"/>
        <v>0</v>
      </c>
      <c r="P28" s="1023">
        <f t="shared" si="44"/>
        <v>0</v>
      </c>
      <c r="Q28" s="1023">
        <f t="shared" si="44"/>
        <v>0</v>
      </c>
    </row>
    <row r="29" spans="1:114" ht="15" outlineLevel="1">
      <c r="J29" s="938"/>
      <c r="K29" s="938"/>
    </row>
    <row r="30" spans="1:114" ht="15" outlineLevel="1">
      <c r="B30" s="926" t="s">
        <v>30</v>
      </c>
      <c r="H30" s="937" t="e" cm="1">
        <f t="array" aca="1" ref="H30" ca="1">IF(ABS(INDEX($J33:$Q33,_xlfn.XMATCH(YEAR(Input!$A$4),$J$2:$Q$2))-(Report!$D$79))&gt;Tolerance,1,0)</f>
        <v>#NAME?</v>
      </c>
      <c r="J30" s="938"/>
      <c r="K30" s="938"/>
    </row>
    <row r="31" spans="1:114" outlineLevel="1">
      <c r="B31" s="927" t="s">
        <v>25</v>
      </c>
      <c r="H31" s="935" t="s">
        <v>26</v>
      </c>
      <c r="J31" s="1021">
        <f>IF(J$2=YEAR(Input!$A$4),Report!$D55,0)</f>
        <v>0</v>
      </c>
      <c r="K31" s="1021">
        <f>IF(K$2=YEAR(Input!$A$4),Report!$D55,0)</f>
        <v>0</v>
      </c>
      <c r="L31" s="1021">
        <f>IF(L$2=YEAR(Input!$A$4),Report!$D55,0)</f>
        <v>0</v>
      </c>
      <c r="M31" s="1021">
        <f ca="1">IF(M$2=YEAR(Input!$A$4),Report!$D55,0)</f>
        <v>5031.8997876923086</v>
      </c>
      <c r="N31" s="1021">
        <f>IF(N$2=YEAR(Input!$A$4),Report!$D55,0)</f>
        <v>0</v>
      </c>
      <c r="O31" s="1021">
        <f>IF(O$2=YEAR(Input!$A$4),Report!$D55,0)</f>
        <v>0</v>
      </c>
      <c r="P31" s="1021">
        <f>IF(P$2=YEAR(Input!$A$4),Report!$D55,0)</f>
        <v>0</v>
      </c>
      <c r="Q31" s="1021">
        <f>IF(Q$2=YEAR(Input!$A$4),Report!$D55,0)</f>
        <v>0</v>
      </c>
    </row>
    <row r="32" spans="1:114" outlineLevel="1">
      <c r="B32" s="1004" t="s">
        <v>31</v>
      </c>
      <c r="H32" s="935" t="s">
        <v>26</v>
      </c>
      <c r="J32" s="1021">
        <f>IF(J$2=YEAR(Input!$A$4),Report!$D72,0)</f>
        <v>0</v>
      </c>
      <c r="K32" s="1021">
        <f>IF(K$2=YEAR(Input!$A$4),Report!$D72,0)</f>
        <v>0</v>
      </c>
      <c r="L32" s="1021">
        <f>IF(L$2=YEAR(Input!$A$4),Report!$D72,0)</f>
        <v>0</v>
      </c>
      <c r="M32" s="1021">
        <f>IF(M$2=YEAR(Input!$A$4),Report!$D72,0)</f>
        <v>0</v>
      </c>
      <c r="N32" s="1021">
        <f>IF(N$2=YEAR(Input!$A$4),Report!$D72,0)</f>
        <v>0</v>
      </c>
      <c r="O32" s="1021">
        <f>IF(O$2=YEAR(Input!$A$4),Report!$D72,0)</f>
        <v>0</v>
      </c>
      <c r="P32" s="1021">
        <f>IF(P$2=YEAR(Input!$A$4),Report!$D72,0)</f>
        <v>0</v>
      </c>
      <c r="Q32" s="1021">
        <f>IF(Q$2=YEAR(Input!$A$4),Report!$D72,0)</f>
        <v>0</v>
      </c>
    </row>
    <row r="33" spans="2:17" outlineLevel="1">
      <c r="B33" s="1008" t="s">
        <v>32</v>
      </c>
      <c r="C33" s="936"/>
      <c r="H33" s="935" t="s">
        <v>26</v>
      </c>
      <c r="J33" s="1023">
        <f>SUM(J31:J32)</f>
        <v>0</v>
      </c>
      <c r="K33" s="1023">
        <f t="shared" ref="K33:Q33" si="45">SUM(K31:K32)</f>
        <v>0</v>
      </c>
      <c r="L33" s="1023">
        <f t="shared" si="45"/>
        <v>0</v>
      </c>
      <c r="M33" s="1023">
        <f t="shared" ca="1" si="45"/>
        <v>5031.8997876923086</v>
      </c>
      <c r="N33" s="1023">
        <f t="shared" si="45"/>
        <v>0</v>
      </c>
      <c r="O33" s="1023">
        <f t="shared" si="45"/>
        <v>0</v>
      </c>
      <c r="P33" s="1023">
        <f t="shared" si="45"/>
        <v>0</v>
      </c>
      <c r="Q33" s="1023">
        <f t="shared" si="45"/>
        <v>0</v>
      </c>
    </row>
    <row r="34" spans="2:17" outlineLevel="1"/>
    <row r="35" spans="2:17" ht="15" outlineLevel="1">
      <c r="B35" s="926" t="s">
        <v>33</v>
      </c>
      <c r="H35" s="937" t="e" cm="1">
        <f t="array" aca="1" ref="H35" ca="1">IF(ABS(INDEX($J40:$Q40,_xlfn.XMATCH(YEAR(Input!$A$4),$J$2:$Q$2))-(-Report!$F$79))&gt;Tolerance,1,0)</f>
        <v>#NAME?</v>
      </c>
      <c r="J35" s="938"/>
      <c r="K35" s="938"/>
    </row>
    <row r="36" spans="2:17" outlineLevel="1">
      <c r="B36" s="927" t="s">
        <v>25</v>
      </c>
      <c r="H36" s="935" t="s">
        <v>26</v>
      </c>
      <c r="J36" s="1021">
        <f>-IF(J$2=YEAR(Input!$A$4),Report!$F55,0)</f>
        <v>0</v>
      </c>
      <c r="K36" s="1021">
        <f>-IF(K$2=YEAR(Input!$A$4),Report!$F55,0)</f>
        <v>0</v>
      </c>
      <c r="L36" s="1021">
        <f>-IF(L$2=YEAR(Input!$A$4),Report!$F55,0)</f>
        <v>0</v>
      </c>
      <c r="M36" s="1021">
        <f ca="1">-IF(M$2=YEAR(Input!$A$4),Report!$F55,0)</f>
        <v>-884208.11231846153</v>
      </c>
      <c r="N36" s="1021">
        <f>-IF(N$2=YEAR(Input!$A$4),Report!$F55,0)</f>
        <v>0</v>
      </c>
      <c r="O36" s="1021">
        <f>-IF(O$2=YEAR(Input!$A$4),Report!$F55,0)</f>
        <v>0</v>
      </c>
      <c r="P36" s="1021">
        <f>-IF(P$2=YEAR(Input!$A$4),Report!$F55,0)</f>
        <v>0</v>
      </c>
      <c r="Q36" s="1021">
        <f>-IF(Q$2=YEAR(Input!$A$4),Report!$F55,0)</f>
        <v>0</v>
      </c>
    </row>
    <row r="37" spans="2:17" outlineLevel="1">
      <c r="B37" s="1004" t="s">
        <v>27</v>
      </c>
      <c r="H37" s="935" t="s">
        <v>26</v>
      </c>
      <c r="J37" s="1021">
        <f>-IF(J$2=YEAR(Input!$A$4),Report!$F63,0)</f>
        <v>0</v>
      </c>
      <c r="K37" s="1021">
        <f>-IF(K$2=YEAR(Input!$A$4),Report!$F63,0)</f>
        <v>0</v>
      </c>
      <c r="L37" s="1021">
        <f>-IF(L$2=YEAR(Input!$A$4),Report!$F63,0)</f>
        <v>0</v>
      </c>
      <c r="M37" s="1021">
        <f ca="1">-IF(M$2=YEAR(Input!$A$4),Report!$F63,0)</f>
        <v>435.60415174910077</v>
      </c>
      <c r="N37" s="1021">
        <f>-IF(N$2=YEAR(Input!$A$4),Report!$F63,0)</f>
        <v>0</v>
      </c>
      <c r="O37" s="1021">
        <f>-IF(O$2=YEAR(Input!$A$4),Report!$F63,0)</f>
        <v>0</v>
      </c>
      <c r="P37" s="1021">
        <f>-IF(P$2=YEAR(Input!$A$4),Report!$F63,0)</f>
        <v>0</v>
      </c>
      <c r="Q37" s="1021">
        <f>-IF(Q$2=YEAR(Input!$A$4),Report!$F63,0)</f>
        <v>0</v>
      </c>
    </row>
    <row r="38" spans="2:17" outlineLevel="1">
      <c r="B38" s="1004" t="s">
        <v>31</v>
      </c>
      <c r="H38" s="935" t="s">
        <v>26</v>
      </c>
      <c r="J38" s="1021">
        <f>-IF(J$2=YEAR(Input!$A$4),Report!$F72,0)</f>
        <v>0</v>
      </c>
      <c r="K38" s="1021">
        <f>-IF(K$2=YEAR(Input!$A$4),Report!$F72,0)</f>
        <v>0</v>
      </c>
      <c r="L38" s="1021">
        <f>-IF(L$2=YEAR(Input!$A$4),Report!$F72,0)</f>
        <v>0</v>
      </c>
      <c r="M38" s="1021">
        <f>-IF(M$2=YEAR(Input!$A$4),Report!$F72,0)</f>
        <v>0</v>
      </c>
      <c r="N38" s="1021">
        <f>-IF(N$2=YEAR(Input!$A$4),Report!$F72,0)</f>
        <v>0</v>
      </c>
      <c r="O38" s="1021">
        <f>-IF(O$2=YEAR(Input!$A$4),Report!$F72,0)</f>
        <v>0</v>
      </c>
      <c r="P38" s="1021">
        <f>-IF(P$2=YEAR(Input!$A$4),Report!$F72,0)</f>
        <v>0</v>
      </c>
      <c r="Q38" s="1021">
        <f>-IF(Q$2=YEAR(Input!$A$4),Report!$F72,0)</f>
        <v>0</v>
      </c>
    </row>
    <row r="39" spans="2:17" outlineLevel="1">
      <c r="B39" s="1004" t="s">
        <v>28</v>
      </c>
      <c r="H39" s="935" t="s">
        <v>26</v>
      </c>
      <c r="J39" s="1022">
        <f>-IF(J$2=YEAR(Input!$A$4),Report!$F74,0)</f>
        <v>0</v>
      </c>
      <c r="K39" s="1022">
        <f>-IF(K$2=YEAR(Input!$A$4),Report!$F74,0)</f>
        <v>0</v>
      </c>
      <c r="L39" s="1022">
        <f>-IF(L$2=YEAR(Input!$A$4),Report!$F74,0)</f>
        <v>0</v>
      </c>
      <c r="M39" s="1022">
        <f ca="1">-IF(M$2=YEAR(Input!$A$4),Report!$F74,0)</f>
        <v>741.22591076923118</v>
      </c>
      <c r="N39" s="1022">
        <f>-IF(N$2=YEAR(Input!$A$4),Report!$F74,0)</f>
        <v>0</v>
      </c>
      <c r="O39" s="1022">
        <f>-IF(O$2=YEAR(Input!$A$4),Report!$F74,0)</f>
        <v>0</v>
      </c>
      <c r="P39" s="1022">
        <f>-IF(P$2=YEAR(Input!$A$4),Report!$F74,0)</f>
        <v>0</v>
      </c>
      <c r="Q39" s="1022">
        <f>-IF(Q$2=YEAR(Input!$A$4),Report!$F74,0)</f>
        <v>0</v>
      </c>
    </row>
    <row r="40" spans="2:17" outlineLevel="1">
      <c r="B40" s="1008" t="s">
        <v>34</v>
      </c>
      <c r="C40" s="936"/>
      <c r="H40" s="935" t="s">
        <v>26</v>
      </c>
      <c r="J40" s="1023">
        <f>SUM(J36:J39)</f>
        <v>0</v>
      </c>
      <c r="K40" s="1023">
        <f t="shared" ref="K40:Q40" si="46">SUM(K36:K39)</f>
        <v>0</v>
      </c>
      <c r="L40" s="1023">
        <f t="shared" si="46"/>
        <v>0</v>
      </c>
      <c r="M40" s="1023">
        <f t="shared" ca="1" si="46"/>
        <v>-883031.28225594328</v>
      </c>
      <c r="N40" s="1023">
        <f t="shared" si="46"/>
        <v>0</v>
      </c>
      <c r="O40" s="1023">
        <f t="shared" si="46"/>
        <v>0</v>
      </c>
      <c r="P40" s="1023">
        <f t="shared" si="46"/>
        <v>0</v>
      </c>
      <c r="Q40" s="1023">
        <f t="shared" si="46"/>
        <v>0</v>
      </c>
    </row>
    <row r="41" spans="2:17" ht="15" outlineLevel="1">
      <c r="B41" s="939"/>
      <c r="J41" s="938"/>
      <c r="K41" s="938"/>
    </row>
    <row r="42" spans="2:17" ht="15" outlineLevel="1">
      <c r="B42" s="926" t="s">
        <v>35</v>
      </c>
      <c r="H42" s="937" t="e" cm="1">
        <f t="array" aca="1" ref="H42" ca="1">IF(ABS(INDEX($J44:$Q44,_xlfn.XMATCH(YEAR(Input!$A$4),$J$2:$Q$2))-(Report!$H$79))&gt;Tolerance,1,0)</f>
        <v>#NAME?</v>
      </c>
      <c r="J42" s="938"/>
      <c r="K42" s="938"/>
    </row>
    <row r="43" spans="2:17" outlineLevel="1">
      <c r="B43" s="927" t="s">
        <v>25</v>
      </c>
      <c r="H43" s="935" t="s">
        <v>26</v>
      </c>
      <c r="J43" s="1021">
        <f>IF(J$2=YEAR(Input!$A$4),Report!$H55,0)</f>
        <v>0</v>
      </c>
      <c r="K43" s="1021">
        <f>IF(K$2=YEAR(Input!$A$4),Report!$H55,0)</f>
        <v>0</v>
      </c>
      <c r="L43" s="1021">
        <f>IF(L$2=YEAR(Input!$A$4),Report!$H55,0)</f>
        <v>0</v>
      </c>
      <c r="M43" s="1021">
        <f ca="1">IF(M$2=YEAR(Input!$A$4),Report!$H55,0)</f>
        <v>20193.869724615386</v>
      </c>
      <c r="N43" s="1021">
        <f>IF(N$2=YEAR(Input!$A$4),Report!$H55,0)</f>
        <v>0</v>
      </c>
      <c r="O43" s="1021">
        <f>IF(O$2=YEAR(Input!$A$4),Report!$H55,0)</f>
        <v>0</v>
      </c>
      <c r="P43" s="1021">
        <f>IF(P$2=YEAR(Input!$A$4),Report!$H55,0)</f>
        <v>0</v>
      </c>
      <c r="Q43" s="1021">
        <f>IF(Q$2=YEAR(Input!$A$4),Report!$H55,0)</f>
        <v>0</v>
      </c>
    </row>
    <row r="44" spans="2:17" outlineLevel="1">
      <c r="B44" s="1008" t="s">
        <v>36</v>
      </c>
      <c r="C44" s="936"/>
      <c r="H44" s="935" t="s">
        <v>26</v>
      </c>
      <c r="J44" s="1023">
        <f>SUM(J43)</f>
        <v>0</v>
      </c>
      <c r="K44" s="1023">
        <f t="shared" ref="K44:Q44" si="47">SUM(K43)</f>
        <v>0</v>
      </c>
      <c r="L44" s="1023">
        <f t="shared" si="47"/>
        <v>0</v>
      </c>
      <c r="M44" s="1023">
        <f t="shared" ca="1" si="47"/>
        <v>20193.869724615386</v>
      </c>
      <c r="N44" s="1023">
        <f t="shared" si="47"/>
        <v>0</v>
      </c>
      <c r="O44" s="1023">
        <f t="shared" si="47"/>
        <v>0</v>
      </c>
      <c r="P44" s="1023">
        <f t="shared" si="47"/>
        <v>0</v>
      </c>
      <c r="Q44" s="1023">
        <f t="shared" si="47"/>
        <v>0</v>
      </c>
    </row>
    <row r="45" spans="2:17" ht="15" outlineLevel="1">
      <c r="B45" s="939"/>
      <c r="J45" s="938"/>
      <c r="K45" s="938"/>
    </row>
    <row r="46" spans="2:17" ht="15" outlineLevel="1">
      <c r="B46" s="926" t="s">
        <v>37</v>
      </c>
      <c r="H46" s="937" t="e" cm="1">
        <f t="array" aca="1" ref="H46" ca="1">IF(ABS(INDEX($J49:$Q49,_xlfn.XMATCH(YEAR(Input!$A$4),$J$2:$Q$2))-(Report!$L$79))&gt;Tolerance,1,0)</f>
        <v>#NAME?</v>
      </c>
      <c r="J46" s="940"/>
      <c r="K46" s="940"/>
    </row>
    <row r="47" spans="2:17" outlineLevel="1">
      <c r="B47" s="927" t="s">
        <v>25</v>
      </c>
      <c r="H47" s="935" t="s">
        <v>26</v>
      </c>
      <c r="J47" s="1021">
        <f>IF(J$2=YEAR(Input!$A$4),Report!$L55,0)</f>
        <v>0</v>
      </c>
      <c r="K47" s="1021">
        <f>IF(K$2=YEAR(Input!$A$4),Report!$L55,0)</f>
        <v>0</v>
      </c>
      <c r="L47" s="1021">
        <f>IF(L$2=YEAR(Input!$A$4),Report!$L55,0)</f>
        <v>0</v>
      </c>
      <c r="M47" s="1021">
        <f ca="1">IF(M$2=YEAR(Input!$A$4),Report!$L55,0)</f>
        <v>1939.5962730769227</v>
      </c>
      <c r="N47" s="1021">
        <f>IF(N$2=YEAR(Input!$A$4),Report!$L55,0)</f>
        <v>0</v>
      </c>
      <c r="O47" s="1021">
        <f>IF(O$2=YEAR(Input!$A$4),Report!$L55,0)</f>
        <v>0</v>
      </c>
      <c r="P47" s="1021">
        <f>IF(P$2=YEAR(Input!$A$4),Report!$L55,0)</f>
        <v>0</v>
      </c>
      <c r="Q47" s="1021">
        <f>IF(Q$2=YEAR(Input!$A$4),Report!$L55,0)</f>
        <v>0</v>
      </c>
    </row>
    <row r="48" spans="2:17" outlineLevel="1">
      <c r="B48" s="1004" t="s">
        <v>38</v>
      </c>
      <c r="H48" s="935" t="s">
        <v>26</v>
      </c>
      <c r="J48" s="1021">
        <f>IF(J$2=YEAR(Input!$A$4),Report!$L58,0)</f>
        <v>0</v>
      </c>
      <c r="K48" s="1021">
        <f>IF(K$2=YEAR(Input!$A$4),Report!$L58,0)</f>
        <v>0</v>
      </c>
      <c r="L48" s="1021">
        <f>IF(L$2=YEAR(Input!$A$4),Report!$L58,0)</f>
        <v>0</v>
      </c>
      <c r="M48" s="1021">
        <f ca="1">IF(M$2=YEAR(Input!$A$4),Report!$L58,0)</f>
        <v>-1939.5962730769227</v>
      </c>
      <c r="N48" s="1021">
        <f>IF(N$2=YEAR(Input!$A$4),Report!$L58,0)</f>
        <v>0</v>
      </c>
      <c r="O48" s="1021">
        <f>IF(O$2=YEAR(Input!$A$4),Report!$L58,0)</f>
        <v>0</v>
      </c>
      <c r="P48" s="1021">
        <f>IF(P$2=YEAR(Input!$A$4),Report!$L58,0)</f>
        <v>0</v>
      </c>
      <c r="Q48" s="1021">
        <f>IF(Q$2=YEAR(Input!$A$4),Report!$L58,0)</f>
        <v>0</v>
      </c>
    </row>
    <row r="49" spans="2:17" outlineLevel="1">
      <c r="B49" s="1008" t="s">
        <v>39</v>
      </c>
      <c r="C49" s="936"/>
      <c r="H49" s="935" t="s">
        <v>26</v>
      </c>
      <c r="J49" s="1023">
        <f>SUM(J47:J48)</f>
        <v>0</v>
      </c>
      <c r="K49" s="1023">
        <f t="shared" ref="K49:Q49" si="48">SUM(K47:K48)</f>
        <v>0</v>
      </c>
      <c r="L49" s="1023">
        <f t="shared" si="48"/>
        <v>0</v>
      </c>
      <c r="M49" s="1023">
        <f t="shared" ca="1" si="48"/>
        <v>0</v>
      </c>
      <c r="N49" s="1023">
        <f t="shared" si="48"/>
        <v>0</v>
      </c>
      <c r="O49" s="1023">
        <f t="shared" si="48"/>
        <v>0</v>
      </c>
      <c r="P49" s="1023">
        <f t="shared" si="48"/>
        <v>0</v>
      </c>
      <c r="Q49" s="1023">
        <f t="shared" si="48"/>
        <v>0</v>
      </c>
    </row>
    <row r="50" spans="2:17" ht="15" outlineLevel="1">
      <c r="B50" s="939"/>
      <c r="J50" s="938"/>
      <c r="K50" s="938"/>
    </row>
    <row r="51" spans="2:17" ht="15" outlineLevel="1">
      <c r="B51" s="926" t="s">
        <v>40</v>
      </c>
      <c r="H51" s="937" t="e" cm="1">
        <f t="array" aca="1" ref="H51" ca="1">IF(ABS(INDEX($J56:$Q56,_xlfn.XMATCH(YEAR(Input!$A$4),$J$2:$Q$2))-(Report!$N$79))&gt;Tolerance,1,0)</f>
        <v>#NAME?</v>
      </c>
      <c r="J51" s="934"/>
      <c r="K51" s="934"/>
    </row>
    <row r="52" spans="2:17" outlineLevel="1">
      <c r="B52" s="927" t="s">
        <v>25</v>
      </c>
      <c r="H52" s="935" t="s">
        <v>26</v>
      </c>
      <c r="J52" s="1021">
        <f>IF(J$2=YEAR(Input!$A$4),Report!$N55,0)</f>
        <v>0</v>
      </c>
      <c r="K52" s="1021">
        <f>IF(K$2=YEAR(Input!$A$4),Report!$N55,0)</f>
        <v>0</v>
      </c>
      <c r="L52" s="1021">
        <f>IF(L$2=YEAR(Input!$A$4),Report!$N55,0)</f>
        <v>0</v>
      </c>
      <c r="M52" s="1021">
        <f ca="1">IF(M$2=YEAR(Input!$A$4),Report!$N55,0)</f>
        <v>133678.81936153845</v>
      </c>
      <c r="N52" s="1021">
        <f>IF(N$2=YEAR(Input!$A$4),Report!$N55,0)</f>
        <v>0</v>
      </c>
      <c r="O52" s="1021">
        <f>IF(O$2=YEAR(Input!$A$4),Report!$N55,0)</f>
        <v>0</v>
      </c>
      <c r="P52" s="1021">
        <f>IF(P$2=YEAR(Input!$A$4),Report!$N55,0)</f>
        <v>0</v>
      </c>
      <c r="Q52" s="1021">
        <f>IF(Q$2=YEAR(Input!$A$4),Report!$N55,0)</f>
        <v>0</v>
      </c>
    </row>
    <row r="53" spans="2:17" outlineLevel="1">
      <c r="B53" s="1004" t="s">
        <v>41</v>
      </c>
      <c r="H53" s="935" t="s">
        <v>26</v>
      </c>
      <c r="J53" s="1021">
        <f>IF(J$2=YEAR(Input!$A$4),Report!$N75,0)</f>
        <v>0</v>
      </c>
      <c r="K53" s="1021">
        <f>IF(K$2=YEAR(Input!$A$4),Report!$N75,0)</f>
        <v>0</v>
      </c>
      <c r="L53" s="1021">
        <f>IF(L$2=YEAR(Input!$A$4),Report!$N75,0)</f>
        <v>0</v>
      </c>
      <c r="M53" s="1021">
        <f ca="1">IF(M$2=YEAR(Input!$A$4),Report!$N75,0)</f>
        <v>-95323.104253846162</v>
      </c>
      <c r="N53" s="1021">
        <f>IF(N$2=YEAR(Input!$A$4),Report!$N75,0)</f>
        <v>0</v>
      </c>
      <c r="O53" s="1021">
        <f>IF(O$2=YEAR(Input!$A$4),Report!$N75,0)</f>
        <v>0</v>
      </c>
      <c r="P53" s="1021">
        <f>IF(P$2=YEAR(Input!$A$4),Report!$N75,0)</f>
        <v>0</v>
      </c>
      <c r="Q53" s="1021">
        <f>IF(Q$2=YEAR(Input!$A$4),Report!$N75,0)</f>
        <v>0</v>
      </c>
    </row>
    <row r="54" spans="2:17" outlineLevel="1">
      <c r="B54" s="1004" t="s">
        <v>42</v>
      </c>
      <c r="D54" s="930"/>
      <c r="E54" s="930"/>
      <c r="F54" s="928" t="s">
        <v>43</v>
      </c>
      <c r="G54" s="930" t="s">
        <v>44</v>
      </c>
      <c r="H54" s="935" t="s">
        <v>26</v>
      </c>
      <c r="J54" s="941"/>
      <c r="K54" s="941"/>
      <c r="L54" s="941"/>
      <c r="M54" s="941"/>
      <c r="N54" s="941"/>
      <c r="O54" s="941"/>
      <c r="P54" s="941"/>
      <c r="Q54" s="941"/>
    </row>
    <row r="55" spans="2:17" outlineLevel="1">
      <c r="B55" s="1004" t="s">
        <v>28</v>
      </c>
      <c r="H55" s="935" t="s">
        <v>26</v>
      </c>
      <c r="J55" s="1021">
        <f>IF(J$2=YEAR(Input!$A$4),Report!$N74,0)</f>
        <v>0</v>
      </c>
      <c r="K55" s="1021">
        <f>IF(K$2=YEAR(Input!$A$4),Report!$N74,0)</f>
        <v>0</v>
      </c>
      <c r="L55" s="1021">
        <f>IF(L$2=YEAR(Input!$A$4),Report!$N74,0)</f>
        <v>0</v>
      </c>
      <c r="M55" s="1021">
        <f ca="1">IF(M$2=YEAR(Input!$A$4),Report!$N74,0)</f>
        <v>-11943.256174615381</v>
      </c>
      <c r="N55" s="1021">
        <f>IF(N$2=YEAR(Input!$A$4),Report!$N74,0)</f>
        <v>0</v>
      </c>
      <c r="O55" s="1021">
        <f>IF(O$2=YEAR(Input!$A$4),Report!$N74,0)</f>
        <v>0</v>
      </c>
      <c r="P55" s="1021">
        <f>IF(P$2=YEAR(Input!$A$4),Report!$N74,0)</f>
        <v>0</v>
      </c>
      <c r="Q55" s="1021">
        <f>IF(Q$2=YEAR(Input!$A$4),Report!$N74,0)</f>
        <v>0</v>
      </c>
    </row>
    <row r="56" spans="2:17" outlineLevel="1">
      <c r="B56" s="1008" t="s">
        <v>45</v>
      </c>
      <c r="C56" s="936"/>
      <c r="H56" s="935" t="s">
        <v>26</v>
      </c>
      <c r="J56" s="1023">
        <f>SUM(J52:J55)</f>
        <v>0</v>
      </c>
      <c r="K56" s="1023">
        <f t="shared" ref="K56:Q56" si="49">SUM(K52:K55)</f>
        <v>0</v>
      </c>
      <c r="L56" s="1023">
        <f t="shared" si="49"/>
        <v>0</v>
      </c>
      <c r="M56" s="1023">
        <f t="shared" ca="1" si="49"/>
        <v>26412.458933076909</v>
      </c>
      <c r="N56" s="1023">
        <f t="shared" si="49"/>
        <v>0</v>
      </c>
      <c r="O56" s="1023">
        <f t="shared" si="49"/>
        <v>0</v>
      </c>
      <c r="P56" s="1023">
        <f t="shared" si="49"/>
        <v>0</v>
      </c>
      <c r="Q56" s="1023">
        <f t="shared" si="49"/>
        <v>0</v>
      </c>
    </row>
    <row r="57" spans="2:17" ht="15" outlineLevel="1">
      <c r="B57" s="939"/>
      <c r="J57" s="938"/>
      <c r="K57" s="938"/>
    </row>
    <row r="58" spans="2:17" ht="15" outlineLevel="1">
      <c r="B58" s="926" t="s">
        <v>46</v>
      </c>
      <c r="H58" s="937" t="e" cm="1">
        <f t="array" aca="1" ref="H58" ca="1">IF(ABS(INDEX($J71:$Q71,_xlfn.XMATCH(YEAR(Input!$A$4),$J$2:$Q$2))-(Report!$R$79))&gt;Tolerance,1,0)</f>
        <v>#NAME?</v>
      </c>
      <c r="J58" s="940"/>
      <c r="K58" s="940"/>
    </row>
    <row r="59" spans="2:17" outlineLevel="1">
      <c r="B59" s="927" t="s">
        <v>25</v>
      </c>
      <c r="H59" s="935" t="s">
        <v>26</v>
      </c>
      <c r="J59" s="1021">
        <f>IF(J$2=YEAR(Input!$A$4),Report!$R55,0)</f>
        <v>0</v>
      </c>
      <c r="K59" s="1021">
        <f>IF(K$2=YEAR(Input!$A$4),Report!$R55,0)</f>
        <v>0</v>
      </c>
      <c r="L59" s="1021">
        <f>IF(L$2=YEAR(Input!$A$4),Report!$R55,0)</f>
        <v>0</v>
      </c>
      <c r="M59" s="1021">
        <f ca="1">IF(M$2=YEAR(Input!$A$4),Report!$R55,0)</f>
        <v>-10735.290613892663</v>
      </c>
      <c r="N59" s="1021">
        <f>IF(N$2=YEAR(Input!$A$4),Report!$R55,0)</f>
        <v>0</v>
      </c>
      <c r="O59" s="1021">
        <f>IF(O$2=YEAR(Input!$A$4),Report!$R55,0)</f>
        <v>0</v>
      </c>
      <c r="P59" s="1021">
        <f>IF(P$2=YEAR(Input!$A$4),Report!$R55,0)</f>
        <v>0</v>
      </c>
      <c r="Q59" s="1021">
        <f>IF(Q$2=YEAR(Input!$A$4),Report!$R55,0)</f>
        <v>0</v>
      </c>
    </row>
    <row r="60" spans="2:17" outlineLevel="1">
      <c r="B60" s="1004" t="s">
        <v>47</v>
      </c>
      <c r="H60" s="935" t="s">
        <v>26</v>
      </c>
      <c r="J60" s="1021" cm="1">
        <f t="array" ref="J60">IF(J$2=YEAR(Input!$A$4),INDEX(Report!$R$55:$R$77,_xlfn.XMATCH($B60,Report!$A$55:$A$77)),0)</f>
        <v>0</v>
      </c>
      <c r="K60" s="1021" cm="1">
        <f t="array" ref="K60">IF(K$2=YEAR(Input!$A$4),INDEX(Report!$R$55:$R$77,_xlfn.XMATCH($B60,Report!$A$55:$A$77)),0)</f>
        <v>0</v>
      </c>
      <c r="L60" s="1021" cm="1">
        <f t="array" ref="L60">IF(L$2=YEAR(Input!$A$4),INDEX(Report!$R$55:$R$77,_xlfn.XMATCH($B60,Report!$A$55:$A$77)),0)</f>
        <v>0</v>
      </c>
      <c r="M60" s="1021" t="e" cm="1">
        <f t="array" aca="1" ref="M60" ca="1">IF(M$2=YEAR(Input!$A$4),INDEX(Report!$R$55:$R$77,_xlfn.XMATCH($B60,Report!$A$55:$A$77)),0)</f>
        <v>#NAME?</v>
      </c>
      <c r="N60" s="1021" cm="1">
        <f t="array" ref="N60">IF(N$2=YEAR(Input!$A$4),INDEX(Report!$R$55:$R$77,_xlfn.XMATCH($B60,Report!$A$55:$A$77)),0)</f>
        <v>0</v>
      </c>
      <c r="O60" s="1021" cm="1">
        <f t="array" ref="O60">IF(O$2=YEAR(Input!$A$4),INDEX(Report!$R$55:$R$77,_xlfn.XMATCH($B60,Report!$A$55:$A$77)),0)</f>
        <v>0</v>
      </c>
      <c r="P60" s="1021" cm="1">
        <f t="array" ref="P60">IF(P$2=YEAR(Input!$A$4),INDEX(Report!$R$55:$R$77,_xlfn.XMATCH($B60,Report!$A$55:$A$77)),0)</f>
        <v>0</v>
      </c>
      <c r="Q60" s="1021" cm="1">
        <f t="array" ref="Q60">IF(Q$2=YEAR(Input!$A$4),INDEX(Report!$R$55:$R$77,_xlfn.XMATCH($B60,Report!$A$55:$A$77)),0)</f>
        <v>0</v>
      </c>
    </row>
    <row r="61" spans="2:17" outlineLevel="1">
      <c r="B61" s="1004" t="s">
        <v>48</v>
      </c>
      <c r="H61" s="935" t="s">
        <v>26</v>
      </c>
      <c r="J61" s="1021" cm="1">
        <f t="array" ref="J61">IF(J$2=YEAR(Input!$A$4),INDEX(Report!$R$55:$R$77,_xlfn.XMATCH($B61,Report!$A$55:$A$77)),0)</f>
        <v>0</v>
      </c>
      <c r="K61" s="1021" cm="1">
        <f t="array" ref="K61">IF(K$2=YEAR(Input!$A$4),INDEX(Report!$R$55:$R$77,_xlfn.XMATCH($B61,Report!$A$55:$A$77)),0)</f>
        <v>0</v>
      </c>
      <c r="L61" s="1021" cm="1">
        <f t="array" ref="L61">IF(L$2=YEAR(Input!$A$4),INDEX(Report!$R$55:$R$77,_xlfn.XMATCH($B61,Report!$A$55:$A$77)),0)</f>
        <v>0</v>
      </c>
      <c r="M61" s="1021" t="e" cm="1">
        <f t="array" aca="1" ref="M61" ca="1">IF(M$2=YEAR(Input!$A$4),INDEX(Report!$R$55:$R$77,_xlfn.XMATCH($B61,Report!$A$55:$A$77)),0)</f>
        <v>#NAME?</v>
      </c>
      <c r="N61" s="1021" cm="1">
        <f t="array" ref="N61">IF(N$2=YEAR(Input!$A$4),INDEX(Report!$R$55:$R$77,_xlfn.XMATCH($B61,Report!$A$55:$A$77)),0)</f>
        <v>0</v>
      </c>
      <c r="O61" s="1021" cm="1">
        <f t="array" ref="O61">IF(O$2=YEAR(Input!$A$4),INDEX(Report!$R$55:$R$77,_xlfn.XMATCH($B61,Report!$A$55:$A$77)),0)</f>
        <v>0</v>
      </c>
      <c r="P61" s="1021" cm="1">
        <f t="array" ref="P61">IF(P$2=YEAR(Input!$A$4),INDEX(Report!$R$55:$R$77,_xlfn.XMATCH($B61,Report!$A$55:$A$77)),0)</f>
        <v>0</v>
      </c>
      <c r="Q61" s="1021" cm="1">
        <f t="array" ref="Q61">IF(Q$2=YEAR(Input!$A$4),INDEX(Report!$R$55:$R$77,_xlfn.XMATCH($B61,Report!$A$55:$A$77)),0)</f>
        <v>0</v>
      </c>
    </row>
    <row r="62" spans="2:17" outlineLevel="1">
      <c r="B62" s="1004" t="s">
        <v>49</v>
      </c>
      <c r="H62" s="935" t="s">
        <v>26</v>
      </c>
      <c r="J62" s="1021" cm="1">
        <f t="array" ref="J62">IF(J$2=YEAR(Input!$A$4),INDEX(Report!$R$55:$R$77,_xlfn.XMATCH($B62,Report!$A$55:$A$77)),0)</f>
        <v>0</v>
      </c>
      <c r="K62" s="1021" cm="1">
        <f t="array" ref="K62">IF(K$2=YEAR(Input!$A$4),INDEX(Report!$R$55:$R$77,_xlfn.XMATCH($B62,Report!$A$55:$A$77)),0)</f>
        <v>0</v>
      </c>
      <c r="L62" s="1021" cm="1">
        <f t="array" ref="L62">IF(L$2=YEAR(Input!$A$4),INDEX(Report!$R$55:$R$77,_xlfn.XMATCH($B62,Report!$A$55:$A$77)),0)</f>
        <v>0</v>
      </c>
      <c r="M62" s="1021" t="e" cm="1">
        <f t="array" aca="1" ref="M62" ca="1">IF(M$2=YEAR(Input!$A$4),INDEX(Report!$R$55:$R$77,_xlfn.XMATCH($B62,Report!$A$55:$A$77)),0)</f>
        <v>#NAME?</v>
      </c>
      <c r="N62" s="1021" cm="1">
        <f t="array" ref="N62">IF(N$2=YEAR(Input!$A$4),INDEX(Report!$R$55:$R$77,_xlfn.XMATCH($B62,Report!$A$55:$A$77)),0)</f>
        <v>0</v>
      </c>
      <c r="O62" s="1021" cm="1">
        <f t="array" ref="O62">IF(O$2=YEAR(Input!$A$4),INDEX(Report!$R$55:$R$77,_xlfn.XMATCH($B62,Report!$A$55:$A$77)),0)</f>
        <v>0</v>
      </c>
      <c r="P62" s="1021" cm="1">
        <f t="array" ref="P62">IF(P$2=YEAR(Input!$A$4),INDEX(Report!$R$55:$R$77,_xlfn.XMATCH($B62,Report!$A$55:$A$77)),0)</f>
        <v>0</v>
      </c>
      <c r="Q62" s="1021" cm="1">
        <f t="array" ref="Q62">IF(Q$2=YEAR(Input!$A$4),INDEX(Report!$R$55:$R$77,_xlfn.XMATCH($B62,Report!$A$55:$A$77)),0)</f>
        <v>0</v>
      </c>
    </row>
    <row r="63" spans="2:17" outlineLevel="1">
      <c r="B63" s="1004" t="s">
        <v>50</v>
      </c>
      <c r="H63" s="935" t="s">
        <v>26</v>
      </c>
      <c r="J63" s="1021" cm="1">
        <f t="array" ref="J63">IF(J$2=YEAR(Input!$A$4),INDEX(Report!$R$55:$R$77,_xlfn.XMATCH($B63,Report!$A$55:$A$77)),0)</f>
        <v>0</v>
      </c>
      <c r="K63" s="1021" cm="1">
        <f t="array" ref="K63">IF(K$2=YEAR(Input!$A$4),INDEX(Report!$R$55:$R$77,_xlfn.XMATCH($B63,Report!$A$55:$A$77)),0)</f>
        <v>0</v>
      </c>
      <c r="L63" s="1021" cm="1">
        <f t="array" ref="L63">IF(L$2=YEAR(Input!$A$4),INDEX(Report!$R$55:$R$77,_xlfn.XMATCH($B63,Report!$A$55:$A$77)),0)</f>
        <v>0</v>
      </c>
      <c r="M63" s="1021" t="e" cm="1">
        <f t="array" aca="1" ref="M63" ca="1">IF(M$2=YEAR(Input!$A$4),INDEX(Report!$R$55:$R$77,_xlfn.XMATCH($B63,Report!$A$55:$A$77)),0)</f>
        <v>#NAME?</v>
      </c>
      <c r="N63" s="1021" cm="1">
        <f t="array" ref="N63">IF(N$2=YEAR(Input!$A$4),INDEX(Report!$R$55:$R$77,_xlfn.XMATCH($B63,Report!$A$55:$A$77)),0)</f>
        <v>0</v>
      </c>
      <c r="O63" s="1021" cm="1">
        <f t="array" ref="O63">IF(O$2=YEAR(Input!$A$4),INDEX(Report!$R$55:$R$77,_xlfn.XMATCH($B63,Report!$A$55:$A$77)),0)</f>
        <v>0</v>
      </c>
      <c r="P63" s="1021" cm="1">
        <f t="array" ref="P63">IF(P$2=YEAR(Input!$A$4),INDEX(Report!$R$55:$R$77,_xlfn.XMATCH($B63,Report!$A$55:$A$77)),0)</f>
        <v>0</v>
      </c>
      <c r="Q63" s="1021" cm="1">
        <f t="array" ref="Q63">IF(Q$2=YEAR(Input!$A$4),INDEX(Report!$R$55:$R$77,_xlfn.XMATCH($B63,Report!$A$55:$A$77)),0)</f>
        <v>0</v>
      </c>
    </row>
    <row r="64" spans="2:17" outlineLevel="1">
      <c r="B64" s="1004" t="s">
        <v>51</v>
      </c>
      <c r="H64" s="935" t="s">
        <v>26</v>
      </c>
      <c r="J64" s="1021" cm="1">
        <f t="array" ref="J64">IF(J$2=YEAR(Input!$A$4),INDEX(Report!$R$55:$R$77,_xlfn.XMATCH($B64,Report!$A$55:$A$77)),0)</f>
        <v>0</v>
      </c>
      <c r="K64" s="1021" cm="1">
        <f t="array" ref="K64">IF(K$2=YEAR(Input!$A$4),INDEX(Report!$R$55:$R$77,_xlfn.XMATCH($B64,Report!$A$55:$A$77)),0)</f>
        <v>0</v>
      </c>
      <c r="L64" s="1021" cm="1">
        <f t="array" ref="L64">IF(L$2=YEAR(Input!$A$4),INDEX(Report!$R$55:$R$77,_xlfn.XMATCH($B64,Report!$A$55:$A$77)),0)</f>
        <v>0</v>
      </c>
      <c r="M64" s="1021" t="e" cm="1">
        <f t="array" aca="1" ref="M64" ca="1">IF(M$2=YEAR(Input!$A$4),INDEX(Report!$R$55:$R$77,_xlfn.XMATCH($B64,Report!$A$55:$A$77)),0)</f>
        <v>#NAME?</v>
      </c>
      <c r="N64" s="1021" cm="1">
        <f t="array" ref="N64">IF(N$2=YEAR(Input!$A$4),INDEX(Report!$R$55:$R$77,_xlfn.XMATCH($B64,Report!$A$55:$A$77)),0)</f>
        <v>0</v>
      </c>
      <c r="O64" s="1021" cm="1">
        <f t="array" ref="O64">IF(O$2=YEAR(Input!$A$4),INDEX(Report!$R$55:$R$77,_xlfn.XMATCH($B64,Report!$A$55:$A$77)),0)</f>
        <v>0</v>
      </c>
      <c r="P64" s="1021" cm="1">
        <f t="array" ref="P64">IF(P$2=YEAR(Input!$A$4),INDEX(Report!$R$55:$R$77,_xlfn.XMATCH($B64,Report!$A$55:$A$77)),0)</f>
        <v>0</v>
      </c>
      <c r="Q64" s="1021" cm="1">
        <f t="array" ref="Q64">IF(Q$2=YEAR(Input!$A$4),INDEX(Report!$R$55:$R$77,_xlfn.XMATCH($B64,Report!$A$55:$A$77)),0)</f>
        <v>0</v>
      </c>
    </row>
    <row r="65" spans="1:114" outlineLevel="1">
      <c r="B65" s="1004" t="s">
        <v>52</v>
      </c>
      <c r="H65" s="935" t="s">
        <v>26</v>
      </c>
      <c r="J65" s="1021" cm="1">
        <f t="array" ref="J65">IF(J$2=YEAR(Input!$A$4),INDEX(Report!$R$55:$R$77,_xlfn.XMATCH($B65,Report!$A$55:$A$77)),0)</f>
        <v>0</v>
      </c>
      <c r="K65" s="1021" cm="1">
        <f t="array" ref="K65">IF(K$2=YEAR(Input!$A$4),INDEX(Report!$R$55:$R$77,_xlfn.XMATCH($B65,Report!$A$55:$A$77)),0)</f>
        <v>0</v>
      </c>
      <c r="L65" s="1021" cm="1">
        <f t="array" ref="L65">IF(L$2=YEAR(Input!$A$4),INDEX(Report!$R$55:$R$77,_xlfn.XMATCH($B65,Report!$A$55:$A$77)),0)</f>
        <v>0</v>
      </c>
      <c r="M65" s="1021" t="e" cm="1">
        <f t="array" aca="1" ref="M65" ca="1">IF(M$2=YEAR(Input!$A$4),INDEX(Report!$R$55:$R$77,_xlfn.XMATCH($B65,Report!$A$55:$A$77)),0)</f>
        <v>#NAME?</v>
      </c>
      <c r="N65" s="1021" cm="1">
        <f t="array" ref="N65">IF(N$2=YEAR(Input!$A$4),INDEX(Report!$R$55:$R$77,_xlfn.XMATCH($B65,Report!$A$55:$A$77)),0)</f>
        <v>0</v>
      </c>
      <c r="O65" s="1021" cm="1">
        <f t="array" ref="O65">IF(O$2=YEAR(Input!$A$4),INDEX(Report!$R$55:$R$77,_xlfn.XMATCH($B65,Report!$A$55:$A$77)),0)</f>
        <v>0</v>
      </c>
      <c r="P65" s="1021" cm="1">
        <f t="array" ref="P65">IF(P$2=YEAR(Input!$A$4),INDEX(Report!$R$55:$R$77,_xlfn.XMATCH($B65,Report!$A$55:$A$77)),0)</f>
        <v>0</v>
      </c>
      <c r="Q65" s="1021" cm="1">
        <f t="array" ref="Q65">IF(Q$2=YEAR(Input!$A$4),INDEX(Report!$R$55:$R$77,_xlfn.XMATCH($B65,Report!$A$55:$A$77)),0)</f>
        <v>0</v>
      </c>
    </row>
    <row r="66" spans="1:114" outlineLevel="1">
      <c r="B66" s="1004" t="s">
        <v>53</v>
      </c>
      <c r="H66" s="935" t="s">
        <v>26</v>
      </c>
      <c r="J66" s="1021" cm="1">
        <f t="array" ref="J66">IF(J$2=YEAR(Input!$A$4),INDEX(Report!$R$55:$R$77,_xlfn.XMATCH($B66,Report!$A$55:$A$77)),0)</f>
        <v>0</v>
      </c>
      <c r="K66" s="1021" cm="1">
        <f t="array" ref="K66">IF(K$2=YEAR(Input!$A$4),INDEX(Report!$R$55:$R$77,_xlfn.XMATCH($B66,Report!$A$55:$A$77)),0)</f>
        <v>0</v>
      </c>
      <c r="L66" s="1021" cm="1">
        <f t="array" ref="L66">IF(L$2=YEAR(Input!$A$4),INDEX(Report!$R$55:$R$77,_xlfn.XMATCH($B66,Report!$A$55:$A$77)),0)</f>
        <v>0</v>
      </c>
      <c r="M66" s="1021" t="e" cm="1">
        <f t="array" aca="1" ref="M66" ca="1">IF(M$2=YEAR(Input!$A$4),INDEX(Report!$R$55:$R$77,_xlfn.XMATCH($B66,Report!$A$55:$A$77)),0)</f>
        <v>#NAME?</v>
      </c>
      <c r="N66" s="1021" cm="1">
        <f t="array" ref="N66">IF(N$2=YEAR(Input!$A$4),INDEX(Report!$R$55:$R$77,_xlfn.XMATCH($B66,Report!$A$55:$A$77)),0)</f>
        <v>0</v>
      </c>
      <c r="O66" s="1021" cm="1">
        <f t="array" ref="O66">IF(O$2=YEAR(Input!$A$4),INDEX(Report!$R$55:$R$77,_xlfn.XMATCH($B66,Report!$A$55:$A$77)),0)</f>
        <v>0</v>
      </c>
      <c r="P66" s="1021" cm="1">
        <f t="array" ref="P66">IF(P$2=YEAR(Input!$A$4),INDEX(Report!$R$55:$R$77,_xlfn.XMATCH($B66,Report!$A$55:$A$77)),0)</f>
        <v>0</v>
      </c>
      <c r="Q66" s="1021" cm="1">
        <f t="array" ref="Q66">IF(Q$2=YEAR(Input!$A$4),INDEX(Report!$R$55:$R$77,_xlfn.XMATCH($B66,Report!$A$55:$A$77)),0)</f>
        <v>0</v>
      </c>
    </row>
    <row r="67" spans="1:114" outlineLevel="1">
      <c r="B67" s="1004" t="s">
        <v>54</v>
      </c>
      <c r="H67" s="935" t="s">
        <v>26</v>
      </c>
      <c r="J67" s="1021" cm="1">
        <f t="array" ref="J67">IF(J$2=YEAR(Input!$A$4),INDEX(Report!$R$55:$R$77,_xlfn.XMATCH($B67,Report!$A$55:$A$77)),0)</f>
        <v>0</v>
      </c>
      <c r="K67" s="1021" cm="1">
        <f t="array" ref="K67">IF(K$2=YEAR(Input!$A$4),INDEX(Report!$R$55:$R$77,_xlfn.XMATCH($B67,Report!$A$55:$A$77)),0)</f>
        <v>0</v>
      </c>
      <c r="L67" s="1021" cm="1">
        <f t="array" ref="L67">IF(L$2=YEAR(Input!$A$4),INDEX(Report!$R$55:$R$77,_xlfn.XMATCH($B67,Report!$A$55:$A$77)),0)</f>
        <v>0</v>
      </c>
      <c r="M67" s="1021" t="e" cm="1">
        <f t="array" aca="1" ref="M67" ca="1">IF(M$2=YEAR(Input!$A$4),INDEX(Report!$R$55:$R$77,_xlfn.XMATCH($B67,Report!$A$55:$A$77)),0)</f>
        <v>#NAME?</v>
      </c>
      <c r="N67" s="1021" cm="1">
        <f t="array" ref="N67">IF(N$2=YEAR(Input!$A$4),INDEX(Report!$R$55:$R$77,_xlfn.XMATCH($B67,Report!$A$55:$A$77)),0)</f>
        <v>0</v>
      </c>
      <c r="O67" s="1021" cm="1">
        <f t="array" ref="O67">IF(O$2=YEAR(Input!$A$4),INDEX(Report!$R$55:$R$77,_xlfn.XMATCH($B67,Report!$A$55:$A$77)),0)</f>
        <v>0</v>
      </c>
      <c r="P67" s="1021" cm="1">
        <f t="array" ref="P67">IF(P$2=YEAR(Input!$A$4),INDEX(Report!$R$55:$R$77,_xlfn.XMATCH($B67,Report!$A$55:$A$77)),0)</f>
        <v>0</v>
      </c>
      <c r="Q67" s="1021" cm="1">
        <f t="array" ref="Q67">IF(Q$2=YEAR(Input!$A$4),INDEX(Report!$R$55:$R$77,_xlfn.XMATCH($B67,Report!$A$55:$A$77)),0)</f>
        <v>0</v>
      </c>
    </row>
    <row r="68" spans="1:114" outlineLevel="1">
      <c r="B68" s="1004" t="s">
        <v>55</v>
      </c>
      <c r="H68" s="935" t="s">
        <v>26</v>
      </c>
      <c r="J68" s="1021" cm="1">
        <f t="array" ref="J68">IF(J$2=YEAR(Input!$A$4),INDEX(Report!$R$55:$R$77,_xlfn.XMATCH($B68,Report!$A$55:$A$77)),0)</f>
        <v>0</v>
      </c>
      <c r="K68" s="1021" cm="1">
        <f t="array" ref="K68">IF(K$2=YEAR(Input!$A$4),INDEX(Report!$R$55:$R$77,_xlfn.XMATCH($B68,Report!$A$55:$A$77)),0)</f>
        <v>0</v>
      </c>
      <c r="L68" s="1021" cm="1">
        <f t="array" ref="L68">IF(L$2=YEAR(Input!$A$4),INDEX(Report!$R$55:$R$77,_xlfn.XMATCH($B68,Report!$A$55:$A$77)),0)</f>
        <v>0</v>
      </c>
      <c r="M68" s="1021" t="e" cm="1">
        <f t="array" aca="1" ref="M68" ca="1">IF(M$2=YEAR(Input!$A$4),INDEX(Report!$R$55:$R$77,_xlfn.XMATCH($B68,Report!$A$55:$A$77)),0)</f>
        <v>#NAME?</v>
      </c>
      <c r="N68" s="1021" cm="1">
        <f t="array" ref="N68">IF(N$2=YEAR(Input!$A$4),INDEX(Report!$R$55:$R$77,_xlfn.XMATCH($B68,Report!$A$55:$A$77)),0)</f>
        <v>0</v>
      </c>
      <c r="O68" s="1021" cm="1">
        <f t="array" ref="O68">IF(O$2=YEAR(Input!$A$4),INDEX(Report!$R$55:$R$77,_xlfn.XMATCH($B68,Report!$A$55:$A$77)),0)</f>
        <v>0</v>
      </c>
      <c r="P68" s="1021" cm="1">
        <f t="array" ref="P68">IF(P$2=YEAR(Input!$A$4),INDEX(Report!$R$55:$R$77,_xlfn.XMATCH($B68,Report!$A$55:$A$77)),0)</f>
        <v>0</v>
      </c>
      <c r="Q68" s="1021" cm="1">
        <f t="array" ref="Q68">IF(Q$2=YEAR(Input!$A$4),INDEX(Report!$R$55:$R$77,_xlfn.XMATCH($B68,Report!$A$55:$A$77)),0)</f>
        <v>0</v>
      </c>
    </row>
    <row r="69" spans="1:114" outlineLevel="1">
      <c r="B69" s="1004" t="s">
        <v>56</v>
      </c>
      <c r="H69" s="935" t="s">
        <v>26</v>
      </c>
      <c r="J69" s="1021" cm="1">
        <f t="array" ref="J69">IF(J$2=YEAR(Input!$A$4),INDEX(Report!$R$55:$R$77,_xlfn.XMATCH($B69,Report!$A$55:$A$77)),0)</f>
        <v>0</v>
      </c>
      <c r="K69" s="1021" cm="1">
        <f t="array" ref="K69">IF(K$2=YEAR(Input!$A$4),INDEX(Report!$R$55:$R$77,_xlfn.XMATCH($B69,Report!$A$55:$A$77)),0)</f>
        <v>0</v>
      </c>
      <c r="L69" s="1021" cm="1">
        <f t="array" ref="L69">IF(L$2=YEAR(Input!$A$4),INDEX(Report!$R$55:$R$77,_xlfn.XMATCH($B69,Report!$A$55:$A$77)),0)</f>
        <v>0</v>
      </c>
      <c r="M69" s="1021" t="e" cm="1">
        <f t="array" aca="1" ref="M69" ca="1">IF(M$2=YEAR(Input!$A$4),INDEX(Report!$R$55:$R$77,_xlfn.XMATCH($B69,Report!$A$55:$A$77)),0)</f>
        <v>#NAME?</v>
      </c>
      <c r="N69" s="1021" cm="1">
        <f t="array" ref="N69">IF(N$2=YEAR(Input!$A$4),INDEX(Report!$R$55:$R$77,_xlfn.XMATCH($B69,Report!$A$55:$A$77)),0)</f>
        <v>0</v>
      </c>
      <c r="O69" s="1021" cm="1">
        <f t="array" ref="O69">IF(O$2=YEAR(Input!$A$4),INDEX(Report!$R$55:$R$77,_xlfn.XMATCH($B69,Report!$A$55:$A$77)),0)</f>
        <v>0</v>
      </c>
      <c r="P69" s="1021" cm="1">
        <f t="array" ref="P69">IF(P$2=YEAR(Input!$A$4),INDEX(Report!$R$55:$R$77,_xlfn.XMATCH($B69,Report!$A$55:$A$77)),0)</f>
        <v>0</v>
      </c>
      <c r="Q69" s="1021" cm="1">
        <f t="array" ref="Q69">IF(Q$2=YEAR(Input!$A$4),INDEX(Report!$R$55:$R$77,_xlfn.XMATCH($B69,Report!$A$55:$A$77)),0)</f>
        <v>0</v>
      </c>
    </row>
    <row r="70" spans="1:114" outlineLevel="1">
      <c r="B70" s="1004" t="s">
        <v>57</v>
      </c>
      <c r="H70" s="935" t="s">
        <v>26</v>
      </c>
      <c r="J70" s="1021" cm="1">
        <f t="array" ref="J70">IF(J$2=YEAR(Input!$A$4),INDEX(Report!$R$55:$R$77,_xlfn.XMATCH($B70,Report!$A$55:$A$77)),0)</f>
        <v>0</v>
      </c>
      <c r="K70" s="1021" cm="1">
        <f t="array" ref="K70">IF(K$2=YEAR(Input!$A$4),INDEX(Report!$R$55:$R$77,_xlfn.XMATCH($B70,Report!$A$55:$A$77)),0)</f>
        <v>0</v>
      </c>
      <c r="L70" s="1021" cm="1">
        <f t="array" ref="L70">IF(L$2=YEAR(Input!$A$4),INDEX(Report!$R$55:$R$77,_xlfn.XMATCH($B70,Report!$A$55:$A$77)),0)</f>
        <v>0</v>
      </c>
      <c r="M70" s="1021" t="e" cm="1">
        <f t="array" aca="1" ref="M70" ca="1">IF(M$2=YEAR(Input!$A$4),INDEX(Report!$R$55:$R$77,_xlfn.XMATCH($B70,Report!$A$55:$A$77)),0)</f>
        <v>#NAME?</v>
      </c>
      <c r="N70" s="1021" cm="1">
        <f t="array" ref="N70">IF(N$2=YEAR(Input!$A$4),INDEX(Report!$R$55:$R$77,_xlfn.XMATCH($B70,Report!$A$55:$A$77)),0)</f>
        <v>0</v>
      </c>
      <c r="O70" s="1021" cm="1">
        <f t="array" ref="O70">IF(O$2=YEAR(Input!$A$4),INDEX(Report!$R$55:$R$77,_xlfn.XMATCH($B70,Report!$A$55:$A$77)),0)</f>
        <v>0</v>
      </c>
      <c r="P70" s="1021" cm="1">
        <f t="array" ref="P70">IF(P$2=YEAR(Input!$A$4),INDEX(Report!$R$55:$R$77,_xlfn.XMATCH($B70,Report!$A$55:$A$77)),0)</f>
        <v>0</v>
      </c>
      <c r="Q70" s="1021" cm="1">
        <f t="array" ref="Q70">IF(Q$2=YEAR(Input!$A$4),INDEX(Report!$R$55:$R$77,_xlfn.XMATCH($B70,Report!$A$55:$A$77)),0)</f>
        <v>0</v>
      </c>
    </row>
    <row r="71" spans="1:114" outlineLevel="1">
      <c r="B71" s="1008" t="s">
        <v>58</v>
      </c>
      <c r="C71" s="936"/>
      <c r="H71" s="935" t="s">
        <v>26</v>
      </c>
      <c r="J71" s="1023">
        <f>SUM(J59:J70)</f>
        <v>0</v>
      </c>
      <c r="K71" s="1023">
        <f t="shared" ref="K71:Q71" si="50">SUM(K59:K70)</f>
        <v>0</v>
      </c>
      <c r="L71" s="1023">
        <f t="shared" si="50"/>
        <v>0</v>
      </c>
      <c r="M71" s="1023" t="e">
        <f t="shared" ca="1" si="50"/>
        <v>#NAME?</v>
      </c>
      <c r="N71" s="1023">
        <f t="shared" si="50"/>
        <v>0</v>
      </c>
      <c r="O71" s="1023">
        <f t="shared" si="50"/>
        <v>0</v>
      </c>
      <c r="P71" s="1023">
        <f t="shared" si="50"/>
        <v>0</v>
      </c>
      <c r="Q71" s="1023">
        <f t="shared" si="50"/>
        <v>0</v>
      </c>
    </row>
    <row r="73" spans="1:114" ht="14.25">
      <c r="A73" t="s">
        <v>15</v>
      </c>
      <c r="B73" s="933" t="s">
        <v>59</v>
      </c>
      <c r="C73" s="933"/>
      <c r="D73" s="933"/>
      <c r="E73" s="933"/>
      <c r="F73" s="933"/>
      <c r="G73" s="933"/>
      <c r="H73" s="933"/>
      <c r="I73" s="933"/>
      <c r="J73" s="933"/>
      <c r="K73" s="933"/>
      <c r="L73" s="933"/>
      <c r="M73" s="933"/>
      <c r="N73" s="933"/>
      <c r="O73" s="933"/>
      <c r="P73" s="933"/>
      <c r="Q73" s="933"/>
      <c r="R73" s="933"/>
      <c r="S73" s="933"/>
      <c r="T73" s="933"/>
      <c r="U73" s="933"/>
      <c r="V73" s="933"/>
      <c r="W73" s="933"/>
      <c r="X73" s="933"/>
      <c r="Y73" s="933"/>
      <c r="Z73" s="933"/>
      <c r="AA73" s="933"/>
      <c r="AB73" s="933"/>
      <c r="AC73" s="933"/>
      <c r="AD73" s="933"/>
      <c r="AE73" s="933"/>
      <c r="AF73" s="933"/>
      <c r="AG73" s="933"/>
      <c r="AH73" s="933"/>
      <c r="AI73" s="933"/>
      <c r="AJ73" s="933"/>
      <c r="AK73" s="933"/>
      <c r="AL73" s="933"/>
      <c r="AM73" s="933"/>
      <c r="AN73" s="933"/>
      <c r="AO73" s="933"/>
      <c r="AP73" s="933"/>
      <c r="AQ73" s="933"/>
      <c r="AR73" s="933"/>
      <c r="AS73" s="933"/>
      <c r="AT73" s="933"/>
      <c r="AU73" s="933"/>
      <c r="AV73" s="933"/>
      <c r="AW73" s="933"/>
      <c r="AX73" s="933"/>
      <c r="AY73" s="933"/>
      <c r="AZ73" s="933"/>
      <c r="BA73" s="933"/>
      <c r="BB73" s="933"/>
      <c r="BC73" s="933"/>
      <c r="BD73" s="933"/>
      <c r="BE73" s="933"/>
      <c r="BF73" s="933"/>
      <c r="BG73" s="933"/>
      <c r="BH73" s="933"/>
      <c r="BI73" s="933"/>
      <c r="BJ73" s="933"/>
      <c r="BK73" s="933"/>
      <c r="BL73" s="933"/>
      <c r="BM73" s="933"/>
      <c r="BN73" s="933"/>
      <c r="BO73" s="933"/>
      <c r="BP73" s="933"/>
      <c r="BQ73" s="933"/>
      <c r="BR73" s="933"/>
      <c r="BS73" s="933"/>
      <c r="BT73" s="933"/>
      <c r="BU73" s="933"/>
      <c r="BV73" s="933"/>
      <c r="BW73" s="933"/>
      <c r="BX73" s="933"/>
      <c r="BY73" s="933"/>
      <c r="BZ73" s="933"/>
      <c r="CA73" s="933"/>
      <c r="CB73" s="933"/>
      <c r="CC73" s="933"/>
      <c r="CD73" s="933"/>
      <c r="CE73" s="933"/>
      <c r="CF73" s="933"/>
      <c r="CG73" s="933"/>
      <c r="CH73" s="933"/>
      <c r="CI73" s="933"/>
      <c r="CJ73" s="933"/>
      <c r="CK73" s="933"/>
      <c r="CL73" s="933"/>
      <c r="CM73" s="933"/>
      <c r="CN73" s="933"/>
      <c r="CO73" s="933"/>
      <c r="CP73" s="933"/>
      <c r="CQ73" s="933"/>
      <c r="CR73" s="933"/>
      <c r="CS73" s="933"/>
      <c r="CT73" s="933"/>
      <c r="CU73" s="933"/>
      <c r="CV73" s="933"/>
      <c r="CW73" s="933"/>
      <c r="CX73" s="933"/>
      <c r="CY73" s="933"/>
      <c r="CZ73" s="933"/>
      <c r="DA73" s="933"/>
      <c r="DB73" s="933"/>
      <c r="DC73" s="933"/>
      <c r="DD73" s="933"/>
      <c r="DE73" s="933"/>
      <c r="DF73" s="933"/>
      <c r="DG73" s="933"/>
      <c r="DH73" s="933"/>
      <c r="DI73" s="933"/>
      <c r="DJ73" s="933"/>
    </row>
    <row r="74" spans="1:114" outlineLevel="1">
      <c r="B74" t="s">
        <v>60</v>
      </c>
    </row>
    <row r="75" spans="1:114" outlineLevel="1"/>
    <row r="76" spans="1:114" ht="15" outlineLevel="1">
      <c r="B76" s="926" t="s">
        <v>61</v>
      </c>
      <c r="H76" s="937" t="e" cm="1">
        <f t="array" aca="1" ref="H76" ca="1">IF(ABS(INDEX($J84:$Q84,_xlfn.XMATCH(YEAR(Input!$A$4),$J$2:$Q$2))-(Report!$B$128))&gt;Tolerance,1,0)</f>
        <v>#NAME?</v>
      </c>
      <c r="J76" s="942"/>
      <c r="K76" s="942"/>
    </row>
    <row r="77" spans="1:114" outlineLevel="1">
      <c r="B77" s="927" t="s">
        <v>25</v>
      </c>
      <c r="H77" s="935" t="s">
        <v>26</v>
      </c>
      <c r="J77" s="1021">
        <f>IF(J$2=YEAR(Input!$A$4),Report!$B106,0)</f>
        <v>0</v>
      </c>
      <c r="K77" s="1021">
        <f>IF(K$2=YEAR(Input!$A$4),Report!$B106,0)</f>
        <v>0</v>
      </c>
      <c r="L77" s="1021">
        <f>IF(L$2=YEAR(Input!$A$4),Report!$B106,0)</f>
        <v>0</v>
      </c>
      <c r="M77" s="1021">
        <f ca="1">IF(M$2=YEAR(Input!$A$4),Report!$B106,0)</f>
        <v>632323.99999999988</v>
      </c>
      <c r="N77" s="1021">
        <f>IF(N$2=YEAR(Input!$A$4),Report!$B106,0)</f>
        <v>0</v>
      </c>
      <c r="O77" s="1021">
        <f>IF(O$2=YEAR(Input!$A$4),Report!$B106,0)</f>
        <v>0</v>
      </c>
      <c r="P77" s="1021">
        <f>IF(P$2=YEAR(Input!$A$4),Report!$B106,0)</f>
        <v>0</v>
      </c>
      <c r="Q77" s="1021">
        <f>IF(Q$2=YEAR(Input!$A$4),Report!$B106,0)</f>
        <v>0</v>
      </c>
    </row>
    <row r="78" spans="1:114" outlineLevel="1">
      <c r="B78" s="1004" t="s">
        <v>62</v>
      </c>
      <c r="H78" s="935" t="s">
        <v>26</v>
      </c>
      <c r="J78" s="1021" cm="1">
        <f t="array" ref="J78">IF(J$2=YEAR(Input!$A$4),INDEX(Report!$B$108:$B$126,_xlfn.XMATCH($B78,Report!$A$108:$A$126)),0)</f>
        <v>0</v>
      </c>
      <c r="K78" s="1021" cm="1">
        <f t="array" ref="K78">IF(K$2=YEAR(Input!$A$4),INDEX(Report!$B$108:$B$126,_xlfn.XMATCH($B78,Report!$A$108:$A$126)),0)</f>
        <v>0</v>
      </c>
      <c r="L78" s="1021" cm="1">
        <f t="array" ref="L78">IF(L$2=YEAR(Input!$A$4),INDEX(Report!$B$108:$B$126,_xlfn.XMATCH($B78,Report!$A$108:$A$126)),0)</f>
        <v>0</v>
      </c>
      <c r="M78" s="1021" t="e" cm="1">
        <f t="array" aca="1" ref="M78" ca="1">IF(M$2=YEAR(Input!$A$4),INDEX(Report!$B$108:$B$126,_xlfn.XMATCH($B78,Report!$A$108:$A$126)),0)</f>
        <v>#NAME?</v>
      </c>
      <c r="N78" s="1021" cm="1">
        <f t="array" ref="N78">IF(N$2=YEAR(Input!$A$4),INDEX(Report!$B$108:$B$126,_xlfn.XMATCH($B78,Report!$A$108:$A$126)),0)</f>
        <v>0</v>
      </c>
      <c r="O78" s="1021" cm="1">
        <f t="array" ref="O78">IF(O$2=YEAR(Input!$A$4),INDEX(Report!$B$108:$B$126,_xlfn.XMATCH($B78,Report!$A$108:$A$126)),0)</f>
        <v>0</v>
      </c>
      <c r="P78" s="1021" cm="1">
        <f t="array" ref="P78">IF(P$2=YEAR(Input!$A$4),INDEX(Report!$B$108:$B$126,_xlfn.XMATCH($B78,Report!$A$108:$A$126)),0)</f>
        <v>0</v>
      </c>
      <c r="Q78" s="1021" cm="1">
        <f t="array" ref="Q78">IF(Q$2=YEAR(Input!$A$4),INDEX(Report!$B$108:$B$126,_xlfn.XMATCH($B78,Report!$A$108:$A$126)),0)</f>
        <v>0</v>
      </c>
    </row>
    <row r="79" spans="1:114" outlineLevel="1">
      <c r="B79" s="1004" t="s">
        <v>63</v>
      </c>
      <c r="H79" s="935" t="s">
        <v>26</v>
      </c>
      <c r="J79" s="1021" cm="1">
        <f t="array" ref="J79">IF(J$2=YEAR(Input!$A$4),INDEX(Report!$B$108:$B$126,_xlfn.XMATCH($B79,Report!$A$108:$A$126)),0)</f>
        <v>0</v>
      </c>
      <c r="K79" s="1021" cm="1">
        <f t="array" ref="K79">IF(K$2=YEAR(Input!$A$4),INDEX(Report!$B$108:$B$126,_xlfn.XMATCH($B79,Report!$A$108:$A$126)),0)</f>
        <v>0</v>
      </c>
      <c r="L79" s="1021" cm="1">
        <f t="array" ref="L79">IF(L$2=YEAR(Input!$A$4),INDEX(Report!$B$108:$B$126,_xlfn.XMATCH($B79,Report!$A$108:$A$126)),0)</f>
        <v>0</v>
      </c>
      <c r="M79" s="1021" t="e" cm="1">
        <f t="array" aca="1" ref="M79" ca="1">IF(M$2=YEAR(Input!$A$4),INDEX(Report!$B$108:$B$126,_xlfn.XMATCH($B79,Report!$A$108:$A$126)),0)</f>
        <v>#NAME?</v>
      </c>
      <c r="N79" s="1021" cm="1">
        <f t="array" ref="N79">IF(N$2=YEAR(Input!$A$4),INDEX(Report!$B$108:$B$126,_xlfn.XMATCH($B79,Report!$A$108:$A$126)),0)</f>
        <v>0</v>
      </c>
      <c r="O79" s="1021" cm="1">
        <f t="array" ref="O79">IF(O$2=YEAR(Input!$A$4),INDEX(Report!$B$108:$B$126,_xlfn.XMATCH($B79,Report!$A$108:$A$126)),0)</f>
        <v>0</v>
      </c>
      <c r="P79" s="1021" cm="1">
        <f t="array" ref="P79">IF(P$2=YEAR(Input!$A$4),INDEX(Report!$B$108:$B$126,_xlfn.XMATCH($B79,Report!$A$108:$A$126)),0)</f>
        <v>0</v>
      </c>
      <c r="Q79" s="1021" cm="1">
        <f t="array" ref="Q79">IF(Q$2=YEAR(Input!$A$4),INDEX(Report!$B$108:$B$126,_xlfn.XMATCH($B79,Report!$A$108:$A$126)),0)</f>
        <v>0</v>
      </c>
    </row>
    <row r="80" spans="1:114" outlineLevel="1">
      <c r="B80" s="1004" t="s">
        <v>64</v>
      </c>
      <c r="H80" s="935" t="s">
        <v>26</v>
      </c>
      <c r="J80" s="1021" cm="1">
        <f t="array" ref="J80">IF(J$2=YEAR(Input!$A$4),INDEX(Report!$B$108:$B$126,_xlfn.XMATCH($B80,Report!$A$108:$A$126)),0)</f>
        <v>0</v>
      </c>
      <c r="K80" s="1021" cm="1">
        <f t="array" ref="K80">IF(K$2=YEAR(Input!$A$4),INDEX(Report!$B$108:$B$126,_xlfn.XMATCH($B80,Report!$A$108:$A$126)),0)</f>
        <v>0</v>
      </c>
      <c r="L80" s="1021" cm="1">
        <f t="array" ref="L80">IF(L$2=YEAR(Input!$A$4),INDEX(Report!$B$108:$B$126,_xlfn.XMATCH($B80,Report!$A$108:$A$126)),0)</f>
        <v>0</v>
      </c>
      <c r="M80" s="1021" t="e" cm="1">
        <f t="array" aca="1" ref="M80" ca="1">IF(M$2=YEAR(Input!$A$4),INDEX(Report!$B$108:$B$126,_xlfn.XMATCH($B80,Report!$A$108:$A$126)),0)</f>
        <v>#NAME?</v>
      </c>
      <c r="N80" s="1021" cm="1">
        <f t="array" ref="N80">IF(N$2=YEAR(Input!$A$4),INDEX(Report!$B$108:$B$126,_xlfn.XMATCH($B80,Report!$A$108:$A$126)),0)</f>
        <v>0</v>
      </c>
      <c r="O80" s="1021" cm="1">
        <f t="array" ref="O80">IF(O$2=YEAR(Input!$A$4),INDEX(Report!$B$108:$B$126,_xlfn.XMATCH($B80,Report!$A$108:$A$126)),0)</f>
        <v>0</v>
      </c>
      <c r="P80" s="1021" cm="1">
        <f t="array" ref="P80">IF(P$2=YEAR(Input!$A$4),INDEX(Report!$B$108:$B$126,_xlfn.XMATCH($B80,Report!$A$108:$A$126)),0)</f>
        <v>0</v>
      </c>
      <c r="Q80" s="1021" cm="1">
        <f t="array" ref="Q80">IF(Q$2=YEAR(Input!$A$4),INDEX(Report!$B$108:$B$126,_xlfn.XMATCH($B80,Report!$A$108:$A$126)),0)</f>
        <v>0</v>
      </c>
    </row>
    <row r="81" spans="2:17" outlineLevel="1">
      <c r="B81" s="1004" t="s">
        <v>65</v>
      </c>
      <c r="H81" s="935" t="s">
        <v>26</v>
      </c>
      <c r="J81" s="1021" cm="1">
        <f t="array" ref="J81">IF(J$2=YEAR(Input!$A$4),INDEX(Report!$B$108:$B$126,_xlfn.XMATCH($B81,Report!$A$108:$A$126)),0)</f>
        <v>0</v>
      </c>
      <c r="K81" s="1021" cm="1">
        <f t="array" ref="K81">IF(K$2=YEAR(Input!$A$4),INDEX(Report!$B$108:$B$126,_xlfn.XMATCH($B81,Report!$A$108:$A$126)),0)</f>
        <v>0</v>
      </c>
      <c r="L81" s="1021" cm="1">
        <f t="array" ref="L81">IF(L$2=YEAR(Input!$A$4),INDEX(Report!$B$108:$B$126,_xlfn.XMATCH($B81,Report!$A$108:$A$126)),0)</f>
        <v>0</v>
      </c>
      <c r="M81" s="1021" t="e" cm="1">
        <f t="array" aca="1" ref="M81" ca="1">IF(M$2=YEAR(Input!$A$4),INDEX(Report!$B$108:$B$126,_xlfn.XMATCH($B81,Report!$A$108:$A$126)),0)</f>
        <v>#NAME?</v>
      </c>
      <c r="N81" s="1021" cm="1">
        <f t="array" ref="N81">IF(N$2=YEAR(Input!$A$4),INDEX(Report!$B$108:$B$126,_xlfn.XMATCH($B81,Report!$A$108:$A$126)),0)</f>
        <v>0</v>
      </c>
      <c r="O81" s="1021" cm="1">
        <f t="array" ref="O81">IF(O$2=YEAR(Input!$A$4),INDEX(Report!$B$108:$B$126,_xlfn.XMATCH($B81,Report!$A$108:$A$126)),0)</f>
        <v>0</v>
      </c>
      <c r="P81" s="1021" cm="1">
        <f t="array" ref="P81">IF(P$2=YEAR(Input!$A$4),INDEX(Report!$B$108:$B$126,_xlfn.XMATCH($B81,Report!$A$108:$A$126)),0)</f>
        <v>0</v>
      </c>
      <c r="Q81" s="1021" cm="1">
        <f t="array" ref="Q81">IF(Q$2=YEAR(Input!$A$4),INDEX(Report!$B$108:$B$126,_xlfn.XMATCH($B81,Report!$A$108:$A$126)),0)</f>
        <v>0</v>
      </c>
    </row>
    <row r="82" spans="2:17" outlineLevel="1">
      <c r="B82" s="1004" t="s">
        <v>66</v>
      </c>
      <c r="H82" s="935" t="s">
        <v>26</v>
      </c>
      <c r="J82" s="1021" cm="1">
        <f t="array" ref="J82">IF(J$2=YEAR(Input!$A$4),INDEX(Report!$B$108:$B$126,_xlfn.XMATCH($B82,Report!$A$108:$A$126)),0)</f>
        <v>0</v>
      </c>
      <c r="K82" s="1021" cm="1">
        <f t="array" ref="K82">IF(K$2=YEAR(Input!$A$4),INDEX(Report!$B$108:$B$126,_xlfn.XMATCH($B82,Report!$A$108:$A$126)),0)</f>
        <v>0</v>
      </c>
      <c r="L82" s="1021" cm="1">
        <f t="array" ref="L82">IF(L$2=YEAR(Input!$A$4),INDEX(Report!$B$108:$B$126,_xlfn.XMATCH($B82,Report!$A$108:$A$126)),0)</f>
        <v>0</v>
      </c>
      <c r="M82" s="1021" t="e" cm="1">
        <f t="array" aca="1" ref="M82" ca="1">IF(M$2=YEAR(Input!$A$4),INDEX(Report!$B$108:$B$126,_xlfn.XMATCH($B82,Report!$A$108:$A$126)),0)</f>
        <v>#NAME?</v>
      </c>
      <c r="N82" s="1021" cm="1">
        <f t="array" ref="N82">IF(N$2=YEAR(Input!$A$4),INDEX(Report!$B$108:$B$126,_xlfn.XMATCH($B82,Report!$A$108:$A$126)),0)</f>
        <v>0</v>
      </c>
      <c r="O82" s="1021" cm="1">
        <f t="array" ref="O82">IF(O$2=YEAR(Input!$A$4),INDEX(Report!$B$108:$B$126,_xlfn.XMATCH($B82,Report!$A$108:$A$126)),0)</f>
        <v>0</v>
      </c>
      <c r="P82" s="1021" cm="1">
        <f t="array" ref="P82">IF(P$2=YEAR(Input!$A$4),INDEX(Report!$B$108:$B$126,_xlfn.XMATCH($B82,Report!$A$108:$A$126)),0)</f>
        <v>0</v>
      </c>
      <c r="Q82" s="1021" cm="1">
        <f t="array" ref="Q82">IF(Q$2=YEAR(Input!$A$4),INDEX(Report!$B$108:$B$126,_xlfn.XMATCH($B82,Report!$A$108:$A$126)),0)</f>
        <v>0</v>
      </c>
    </row>
    <row r="83" spans="2:17" outlineLevel="1">
      <c r="B83" s="1004" t="s">
        <v>67</v>
      </c>
      <c r="H83" s="935" t="s">
        <v>26</v>
      </c>
      <c r="J83" s="1021" cm="1">
        <f t="array" ref="J83">IF(J$2=YEAR(Input!$A$4),INDEX(Report!$B$108:$B$126,_xlfn.XMATCH($B83,Report!$A$108:$A$126)),0)</f>
        <v>0</v>
      </c>
      <c r="K83" s="1021" cm="1">
        <f t="array" ref="K83">IF(K$2=YEAR(Input!$A$4),INDEX(Report!$B$108:$B$126,_xlfn.XMATCH($B83,Report!$A$108:$A$126)),0)</f>
        <v>0</v>
      </c>
      <c r="L83" s="1021" cm="1">
        <f t="array" ref="L83">IF(L$2=YEAR(Input!$A$4),INDEX(Report!$B$108:$B$126,_xlfn.XMATCH($B83,Report!$A$108:$A$126)),0)</f>
        <v>0</v>
      </c>
      <c r="M83" s="1021" t="e" cm="1">
        <f t="array" aca="1" ref="M83" ca="1">IF(M$2=YEAR(Input!$A$4),INDEX(Report!$B$108:$B$126,_xlfn.XMATCH($B83,Report!$A$108:$A$126)),0)</f>
        <v>#NAME?</v>
      </c>
      <c r="N83" s="1021" cm="1">
        <f t="array" ref="N83">IF(N$2=YEAR(Input!$A$4),INDEX(Report!$B$108:$B$126,_xlfn.XMATCH($B83,Report!$A$108:$A$126)),0)</f>
        <v>0</v>
      </c>
      <c r="O83" s="1021" cm="1">
        <f t="array" ref="O83">IF(O$2=YEAR(Input!$A$4),INDEX(Report!$B$108:$B$126,_xlfn.XMATCH($B83,Report!$A$108:$A$126)),0)</f>
        <v>0</v>
      </c>
      <c r="P83" s="1021" cm="1">
        <f t="array" ref="P83">IF(P$2=YEAR(Input!$A$4),INDEX(Report!$B$108:$B$126,_xlfn.XMATCH($B83,Report!$A$108:$A$126)),0)</f>
        <v>0</v>
      </c>
      <c r="Q83" s="1021" cm="1">
        <f t="array" ref="Q83">IF(Q$2=YEAR(Input!$A$4),INDEX(Report!$B$108:$B$126,_xlfn.XMATCH($B83,Report!$A$108:$A$126)),0)</f>
        <v>0</v>
      </c>
    </row>
    <row r="84" spans="2:17" outlineLevel="1">
      <c r="B84" s="1008" t="s">
        <v>68</v>
      </c>
      <c r="C84" s="936"/>
      <c r="H84" s="935" t="s">
        <v>26</v>
      </c>
      <c r="J84" s="1023">
        <f>SUM(J77:J83)</f>
        <v>0</v>
      </c>
      <c r="K84" s="1023">
        <f t="shared" ref="K84:Q84" si="51">SUM(K77:K83)</f>
        <v>0</v>
      </c>
      <c r="L84" s="1023">
        <f t="shared" si="51"/>
        <v>0</v>
      </c>
      <c r="M84" s="1023" t="e">
        <f t="shared" ca="1" si="51"/>
        <v>#NAME?</v>
      </c>
      <c r="N84" s="1023">
        <f t="shared" si="51"/>
        <v>0</v>
      </c>
      <c r="O84" s="1023">
        <f t="shared" si="51"/>
        <v>0</v>
      </c>
      <c r="P84" s="1023">
        <f t="shared" si="51"/>
        <v>0</v>
      </c>
      <c r="Q84" s="1023">
        <f t="shared" si="51"/>
        <v>0</v>
      </c>
    </row>
    <row r="85" spans="2:17" ht="15" outlineLevel="1">
      <c r="J85" s="938"/>
      <c r="K85" s="938"/>
    </row>
    <row r="86" spans="2:17" ht="15" outlineLevel="1">
      <c r="B86" s="926" t="s">
        <v>69</v>
      </c>
      <c r="H86" s="937" t="e" cm="1">
        <f t="array" aca="1" ref="H86" ca="1">IF(ABS(INDEX($J89:$Q89,_xlfn.XMATCH(YEAR(Input!$A$4),$J$2:$Q$2))+(Report!$D$128))&gt;Tolerance,1,0)</f>
        <v>#NAME?</v>
      </c>
      <c r="J86" s="942"/>
      <c r="K86" s="942"/>
    </row>
    <row r="87" spans="2:17" outlineLevel="1">
      <c r="B87" s="927" t="s">
        <v>25</v>
      </c>
      <c r="H87" s="935" t="s">
        <v>26</v>
      </c>
      <c r="J87" s="1021">
        <f>-IF(J$2=YEAR(Input!$A$4),Report!$D106,0)</f>
        <v>0</v>
      </c>
      <c r="K87" s="1021">
        <f>-IF(K$2=YEAR(Input!$A$4),Report!$D106,0)</f>
        <v>0</v>
      </c>
      <c r="L87" s="1021">
        <f>-IF(L$2=YEAR(Input!$A$4),Report!$D106,0)</f>
        <v>0</v>
      </c>
      <c r="M87" s="1021">
        <f ca="1">-IF(M$2=YEAR(Input!$A$4),Report!$D106,0)</f>
        <v>-228428.9</v>
      </c>
      <c r="N87" s="1021">
        <f>-IF(N$2=YEAR(Input!$A$4),Report!$D106,0)</f>
        <v>0</v>
      </c>
      <c r="O87" s="1021">
        <f>-IF(O$2=YEAR(Input!$A$4),Report!$D106,0)</f>
        <v>0</v>
      </c>
      <c r="P87" s="1021">
        <f>-IF(P$2=YEAR(Input!$A$4),Report!$D106,0)</f>
        <v>0</v>
      </c>
      <c r="Q87" s="1021">
        <f>-IF(Q$2=YEAR(Input!$A$4),Report!$D106,0)</f>
        <v>0</v>
      </c>
    </row>
    <row r="88" spans="2:17" outlineLevel="1">
      <c r="B88" s="1004" t="s">
        <v>63</v>
      </c>
      <c r="H88" s="935" t="s">
        <v>26</v>
      </c>
      <c r="J88" s="1021" cm="1">
        <f t="array" ref="J88">-IF(J$2=YEAR(Input!$A$4),INDEX(Report!$D$108:$D$126,_xlfn.XMATCH($B88,Report!$A$108:$A$126)),0)</f>
        <v>0</v>
      </c>
      <c r="K88" s="1021" cm="1">
        <f t="array" ref="K88">-IF(K$2=YEAR(Input!$A$4),INDEX(Report!$D$108:$D$126,_xlfn.XMATCH($B88,Report!$A$108:$A$126)),0)</f>
        <v>0</v>
      </c>
      <c r="L88" s="1021" cm="1">
        <f t="array" ref="L88">-IF(L$2=YEAR(Input!$A$4),INDEX(Report!$D$108:$D$126,_xlfn.XMATCH($B88,Report!$A$108:$A$126)),0)</f>
        <v>0</v>
      </c>
      <c r="M88" s="1021" t="e" cm="1">
        <f t="array" aca="1" ref="M88" ca="1">-IF(M$2=YEAR(Input!$A$4),INDEX(Report!$D$108:$D$126,_xlfn.XMATCH($B88,Report!$A$108:$A$126)),0)</f>
        <v>#NAME?</v>
      </c>
      <c r="N88" s="1021" cm="1">
        <f t="array" ref="N88">-IF(N$2=YEAR(Input!$A$4),INDEX(Report!$D$108:$D$126,_xlfn.XMATCH($B88,Report!$A$108:$A$126)),0)</f>
        <v>0</v>
      </c>
      <c r="O88" s="1021" cm="1">
        <f t="array" ref="O88">-IF(O$2=YEAR(Input!$A$4),INDEX(Report!$D$108:$D$126,_xlfn.XMATCH($B88,Report!$A$108:$A$126)),0)</f>
        <v>0</v>
      </c>
      <c r="P88" s="1021" cm="1">
        <f t="array" ref="P88">-IF(P$2=YEAR(Input!$A$4),INDEX(Report!$D$108:$D$126,_xlfn.XMATCH($B88,Report!$A$108:$A$126)),0)</f>
        <v>0</v>
      </c>
      <c r="Q88" s="1021" cm="1">
        <f t="array" ref="Q88">-IF(Q$2=YEAR(Input!$A$4),INDEX(Report!$D$108:$D$126,_xlfn.XMATCH($B88,Report!$A$108:$A$126)),0)</f>
        <v>0</v>
      </c>
    </row>
    <row r="89" spans="2:17" outlineLevel="1">
      <c r="B89" s="1009" t="s">
        <v>70</v>
      </c>
      <c r="C89" s="936"/>
      <c r="H89" s="935" t="s">
        <v>26</v>
      </c>
      <c r="J89" s="1023">
        <f>SUM(J87:J88)</f>
        <v>0</v>
      </c>
      <c r="K89" s="1023">
        <f t="shared" ref="K89:Q89" si="52">SUM(K87:K88)</f>
        <v>0</v>
      </c>
      <c r="L89" s="1023">
        <f t="shared" si="52"/>
        <v>0</v>
      </c>
      <c r="M89" s="1023" t="e">
        <f t="shared" ca="1" si="52"/>
        <v>#NAME?</v>
      </c>
      <c r="N89" s="1023">
        <f t="shared" si="52"/>
        <v>0</v>
      </c>
      <c r="O89" s="1023">
        <f t="shared" si="52"/>
        <v>0</v>
      </c>
      <c r="P89" s="1023">
        <f t="shared" si="52"/>
        <v>0</v>
      </c>
      <c r="Q89" s="1023">
        <f t="shared" si="52"/>
        <v>0</v>
      </c>
    </row>
    <row r="90" spans="2:17" outlineLevel="1"/>
    <row r="91" spans="2:17" ht="15" outlineLevel="1">
      <c r="B91" s="926" t="s">
        <v>71</v>
      </c>
      <c r="H91" s="937" t="e" cm="1">
        <f t="array" aca="1" ref="H91" ca="1">IF(ABS(INDEX($J102:$Q102,_xlfn.XMATCH(YEAR(Input!$A$4),$J$2:$Q$2))+(Report!$F$128))&gt;Tolerance,1,0)</f>
        <v>#NAME?</v>
      </c>
      <c r="J91" s="944"/>
      <c r="K91" s="944"/>
    </row>
    <row r="92" spans="2:17" outlineLevel="1">
      <c r="B92" s="927" t="s">
        <v>25</v>
      </c>
      <c r="H92" s="935" t="s">
        <v>26</v>
      </c>
      <c r="J92" s="1021">
        <f>-IF(J$2=YEAR(Input!$A$4),Report!$F106,0)</f>
        <v>0</v>
      </c>
      <c r="K92" s="1021">
        <f>-IF(K$2=YEAR(Input!$A$4),Report!$F106,0)</f>
        <v>0</v>
      </c>
      <c r="L92" s="1021">
        <f>-IF(L$2=YEAR(Input!$A$4),Report!$F106,0)</f>
        <v>0</v>
      </c>
      <c r="M92" s="1021">
        <f ca="1">-IF(M$2=YEAR(Input!$A$4),Report!$F106,0)</f>
        <v>-155745.39999999997</v>
      </c>
      <c r="N92" s="1021">
        <f>-IF(N$2=YEAR(Input!$A$4),Report!$F106,0)</f>
        <v>0</v>
      </c>
      <c r="O92" s="1021">
        <f>-IF(O$2=YEAR(Input!$A$4),Report!$F106,0)</f>
        <v>0</v>
      </c>
      <c r="P92" s="1021">
        <f>-IF(P$2=YEAR(Input!$A$4),Report!$F106,0)</f>
        <v>0</v>
      </c>
      <c r="Q92" s="1021">
        <f>-IF(Q$2=YEAR(Input!$A$4),Report!$F106,0)</f>
        <v>0</v>
      </c>
    </row>
    <row r="93" spans="2:17" outlineLevel="1">
      <c r="B93" s="1004" t="s">
        <v>62</v>
      </c>
      <c r="H93" s="935" t="s">
        <v>26</v>
      </c>
      <c r="J93" s="1021" cm="1">
        <f t="array" ref="J93">-IFERROR(IF(J$2=YEAR(Input!$A$4),INDEX(Report!$F$108:$F$126,_xlfn.XMATCH($B93,Report!$A$108:$A$126)),0),0)</f>
        <v>0</v>
      </c>
      <c r="K93" s="1021" cm="1">
        <f t="array" ref="K93">-IFERROR(IF(K$2=YEAR(Input!$A$4),INDEX(Report!$F$108:$F$126,_xlfn.XMATCH($B93,Report!$A$108:$A$126)),0),0)</f>
        <v>0</v>
      </c>
      <c r="L93" s="1021" cm="1">
        <f t="array" ref="L93">-IFERROR(IF(L$2=YEAR(Input!$A$4),INDEX(Report!$F$108:$F$126,_xlfn.XMATCH($B93,Report!$A$108:$A$126)),0),0)</f>
        <v>0</v>
      </c>
      <c r="M93" s="1021" cm="1">
        <f t="array" aca="1" ref="M93" ca="1">-IFERROR(IF(M$2=YEAR(Input!$A$4),INDEX(Report!$F$108:$F$126,_xlfn.XMATCH($B93,Report!$A$108:$A$126)),0),0)</f>
        <v>0</v>
      </c>
      <c r="N93" s="1021" cm="1">
        <f t="array" ref="N93">-IFERROR(IF(N$2=YEAR(Input!$A$4),INDEX(Report!$F$108:$F$126,_xlfn.XMATCH($B93,Report!$A$108:$A$126)),0),0)</f>
        <v>0</v>
      </c>
      <c r="O93" s="1021" cm="1">
        <f t="array" ref="O93">-IFERROR(IF(O$2=YEAR(Input!$A$4),INDEX(Report!$F$108:$F$126,_xlfn.XMATCH($B93,Report!$A$108:$A$126)),0),0)</f>
        <v>0</v>
      </c>
      <c r="P93" s="1021" cm="1">
        <f t="array" ref="P93">-IFERROR(IF(P$2=YEAR(Input!$A$4),INDEX(Report!$F$108:$F$126,_xlfn.XMATCH($B93,Report!$A$108:$A$126)),0),0)</f>
        <v>0</v>
      </c>
      <c r="Q93" s="1021" cm="1">
        <f t="array" ref="Q93">-IFERROR(IF(Q$2=YEAR(Input!$A$4),INDEX(Report!$F$108:$F$126,_xlfn.XMATCH($B93,Report!$A$108:$A$126)),0),0)</f>
        <v>0</v>
      </c>
    </row>
    <row r="94" spans="2:17" outlineLevel="1">
      <c r="B94" s="1004" t="s">
        <v>72</v>
      </c>
      <c r="H94" s="935" t="s">
        <v>26</v>
      </c>
      <c r="J94" s="1021" cm="1">
        <f t="array" ref="J94">-IFERROR(IF(J$2=YEAR(Input!$A$4),INDEX(Report!$F$108:$F$126,_xlfn.XMATCH($B94,Report!$A$108:$A$126)),0),0)</f>
        <v>0</v>
      </c>
      <c r="K94" s="1021" cm="1">
        <f t="array" ref="K94">-IFERROR(IF(K$2=YEAR(Input!$A$4),INDEX(Report!$F$108:$F$126,_xlfn.XMATCH($B94,Report!$A$108:$A$126)),0),0)</f>
        <v>0</v>
      </c>
      <c r="L94" s="1021" cm="1">
        <f t="array" ref="L94">-IFERROR(IF(L$2=YEAR(Input!$A$4),INDEX(Report!$F$108:$F$126,_xlfn.XMATCH($B94,Report!$A$108:$A$126)),0),0)</f>
        <v>0</v>
      </c>
      <c r="M94" s="1021" cm="1">
        <f t="array" aca="1" ref="M94" ca="1">-IFERROR(IF(M$2=YEAR(Input!$A$4),INDEX(Report!$F$108:$F$126,_xlfn.XMATCH($B94,Report!$A$108:$A$126)),0),0)</f>
        <v>0</v>
      </c>
      <c r="N94" s="1021" cm="1">
        <f t="array" ref="N94">-IFERROR(IF(N$2=YEAR(Input!$A$4),INDEX(Report!$F$108:$F$126,_xlfn.XMATCH($B94,Report!$A$108:$A$126)),0),0)</f>
        <v>0</v>
      </c>
      <c r="O94" s="1021" cm="1">
        <f t="array" ref="O94">-IFERROR(IF(O$2=YEAR(Input!$A$4),INDEX(Report!$F$108:$F$126,_xlfn.XMATCH($B94,Report!$A$108:$A$126)),0),0)</f>
        <v>0</v>
      </c>
      <c r="P94" s="1021" cm="1">
        <f t="array" ref="P94">-IFERROR(IF(P$2=YEAR(Input!$A$4),INDEX(Report!$F$108:$F$126,_xlfn.XMATCH($B94,Report!$A$108:$A$126)),0),0)</f>
        <v>0</v>
      </c>
      <c r="Q94" s="1021" cm="1">
        <f t="array" ref="Q94">-IFERROR(IF(Q$2=YEAR(Input!$A$4),INDEX(Report!$F$108:$F$126,_xlfn.XMATCH($B94,Report!$A$108:$A$126)),0),0)</f>
        <v>0</v>
      </c>
    </row>
    <row r="95" spans="2:17" outlineLevel="1">
      <c r="B95" s="1004" t="s">
        <v>73</v>
      </c>
      <c r="H95" s="935" t="s">
        <v>26</v>
      </c>
      <c r="J95" s="1021" cm="1">
        <f t="array" ref="J95">-IFERROR(IF(J$2=YEAR(Input!$A$4),INDEX(Report!$F$108:$F$126,_xlfn.XMATCH($B95,Report!$A$108:$A$126)),0),0)</f>
        <v>0</v>
      </c>
      <c r="K95" s="1021" cm="1">
        <f t="array" ref="K95">-IFERROR(IF(K$2=YEAR(Input!$A$4),INDEX(Report!$F$108:$F$126,_xlfn.XMATCH($B95,Report!$A$108:$A$126)),0),0)</f>
        <v>0</v>
      </c>
      <c r="L95" s="1021" cm="1">
        <f t="array" ref="L95">-IFERROR(IF(L$2=YEAR(Input!$A$4),INDEX(Report!$F$108:$F$126,_xlfn.XMATCH($B95,Report!$A$108:$A$126)),0),0)</f>
        <v>0</v>
      </c>
      <c r="M95" s="1021" cm="1">
        <f t="array" aca="1" ref="M95" ca="1">-IFERROR(IF(M$2=YEAR(Input!$A$4),INDEX(Report!$F$108:$F$126,_xlfn.XMATCH($B95,Report!$A$108:$A$126)),0),0)</f>
        <v>0</v>
      </c>
      <c r="N95" s="1021" cm="1">
        <f t="array" ref="N95">-IFERROR(IF(N$2=YEAR(Input!$A$4),INDEX(Report!$F$108:$F$126,_xlfn.XMATCH($B95,Report!$A$108:$A$126)),0),0)</f>
        <v>0</v>
      </c>
      <c r="O95" s="1021" cm="1">
        <f t="array" ref="O95">-IFERROR(IF(O$2=YEAR(Input!$A$4),INDEX(Report!$F$108:$F$126,_xlfn.XMATCH($B95,Report!$A$108:$A$126)),0),0)</f>
        <v>0</v>
      </c>
      <c r="P95" s="1021" cm="1">
        <f t="array" ref="P95">-IFERROR(IF(P$2=YEAR(Input!$A$4),INDEX(Report!$F$108:$F$126,_xlfn.XMATCH($B95,Report!$A$108:$A$126)),0),0)</f>
        <v>0</v>
      </c>
      <c r="Q95" s="1021" cm="1">
        <f t="array" ref="Q95">-IFERROR(IF(Q$2=YEAR(Input!$A$4),INDEX(Report!$F$108:$F$126,_xlfn.XMATCH($B95,Report!$A$108:$A$126)),0),0)</f>
        <v>0</v>
      </c>
    </row>
    <row r="96" spans="2:17" outlineLevel="1">
      <c r="B96" s="1004" t="s">
        <v>74</v>
      </c>
      <c r="H96" s="935" t="s">
        <v>26</v>
      </c>
      <c r="J96" s="1021" cm="1">
        <f t="array" ref="J96">-IFERROR(IF(J$2=YEAR(Input!$A$4),INDEX(Report!$F$108:$F$126,_xlfn.XMATCH($B96,Report!$A$108:$A$126)),0),0)</f>
        <v>0</v>
      </c>
      <c r="K96" s="1021" cm="1">
        <f t="array" ref="K96">-IFERROR(IF(K$2=YEAR(Input!$A$4),INDEX(Report!$F$108:$F$126,_xlfn.XMATCH($B96,Report!$A$108:$A$126)),0),0)</f>
        <v>0</v>
      </c>
      <c r="L96" s="1021" cm="1">
        <f t="array" ref="L96">-IFERROR(IF(L$2=YEAR(Input!$A$4),INDEX(Report!$F$108:$F$126,_xlfn.XMATCH($B96,Report!$A$108:$A$126)),0),0)</f>
        <v>0</v>
      </c>
      <c r="M96" s="1021" cm="1">
        <f t="array" ref="M96">-IFERROR(IF(M$2=YEAR(Input!$A$4),INDEX(Report!$F$108:$F$126,_xlfn.XMATCH($B96,Report!$A$108:$A$126)),0),0)</f>
        <v>0</v>
      </c>
      <c r="N96" s="1021" cm="1">
        <f t="array" ref="N96">-IFERROR(IF(N$2=YEAR(Input!$A$4),INDEX(Report!$F$108:$F$126,_xlfn.XMATCH($B96,Report!$A$108:$A$126)),0),0)</f>
        <v>0</v>
      </c>
      <c r="O96" s="1021" cm="1">
        <f t="array" ref="O96">-IFERROR(IF(O$2=YEAR(Input!$A$4),INDEX(Report!$F$108:$F$126,_xlfn.XMATCH($B96,Report!$A$108:$A$126)),0),0)</f>
        <v>0</v>
      </c>
      <c r="P96" s="1021" cm="1">
        <f t="array" ref="P96">-IFERROR(IF(P$2=YEAR(Input!$A$4),INDEX(Report!$F$108:$F$126,_xlfn.XMATCH($B96,Report!$A$108:$A$126)),0),0)</f>
        <v>0</v>
      </c>
      <c r="Q96" s="1021" cm="1">
        <f t="array" ref="Q96">-IFERROR(IF(Q$2=YEAR(Input!$A$4),INDEX(Report!$F$108:$F$126,_xlfn.XMATCH($B96,Report!$A$108:$A$126)),0),0)</f>
        <v>0</v>
      </c>
    </row>
    <row r="97" spans="2:17" outlineLevel="1">
      <c r="B97" s="1004" t="s">
        <v>75</v>
      </c>
      <c r="H97" s="935" t="s">
        <v>26</v>
      </c>
      <c r="J97" s="1021" cm="1">
        <f t="array" ref="J97">-IFERROR(IF(J$2=YEAR(Input!$A$4),INDEX(Report!$F$108:$F$126,_xlfn.XMATCH($B97,Report!$A$108:$A$126)),0),0)</f>
        <v>0</v>
      </c>
      <c r="K97" s="1021" cm="1">
        <f t="array" ref="K97">-IFERROR(IF(K$2=YEAR(Input!$A$4),INDEX(Report!$F$108:$F$126,_xlfn.XMATCH($B97,Report!$A$108:$A$126)),0),0)</f>
        <v>0</v>
      </c>
      <c r="L97" s="1021" cm="1">
        <f t="array" ref="L97">-IFERROR(IF(L$2=YEAR(Input!$A$4),INDEX(Report!$F$108:$F$126,_xlfn.XMATCH($B97,Report!$A$108:$A$126)),0),0)</f>
        <v>0</v>
      </c>
      <c r="M97" s="1021" cm="1">
        <f t="array" aca="1" ref="M97" ca="1">-IFERROR(IF(M$2=YEAR(Input!$A$4),INDEX(Report!$F$108:$F$126,_xlfn.XMATCH($B97,Report!$A$108:$A$126)),0),0)</f>
        <v>0</v>
      </c>
      <c r="N97" s="1021" cm="1">
        <f t="array" ref="N97">-IFERROR(IF(N$2=YEAR(Input!$A$4),INDEX(Report!$F$108:$F$126,_xlfn.XMATCH($B97,Report!$A$108:$A$126)),0),0)</f>
        <v>0</v>
      </c>
      <c r="O97" s="1021" cm="1">
        <f t="array" ref="O97">-IFERROR(IF(O$2=YEAR(Input!$A$4),INDEX(Report!$F$108:$F$126,_xlfn.XMATCH($B97,Report!$A$108:$A$126)),0),0)</f>
        <v>0</v>
      </c>
      <c r="P97" s="1021" cm="1">
        <f t="array" ref="P97">-IFERROR(IF(P$2=YEAR(Input!$A$4),INDEX(Report!$F$108:$F$126,_xlfn.XMATCH($B97,Report!$A$108:$A$126)),0),0)</f>
        <v>0</v>
      </c>
      <c r="Q97" s="1021" cm="1">
        <f t="array" ref="Q97">-IFERROR(IF(Q$2=YEAR(Input!$A$4),INDEX(Report!$F$108:$F$126,_xlfn.XMATCH($B97,Report!$A$108:$A$126)),0),0)</f>
        <v>0</v>
      </c>
    </row>
    <row r="98" spans="2:17" outlineLevel="1">
      <c r="B98" s="1004" t="s">
        <v>76</v>
      </c>
      <c r="H98" s="935" t="s">
        <v>26</v>
      </c>
      <c r="J98" s="1021" cm="1">
        <f t="array" ref="J98">-IFERROR(IF(J$2=YEAR(Input!$A$4),INDEX(Report!$F$108:$F$126,_xlfn.XMATCH($B98,Report!$A$108:$A$126)),0),0)</f>
        <v>0</v>
      </c>
      <c r="K98" s="1021" cm="1">
        <f t="array" ref="K98">-IFERROR(IF(K$2=YEAR(Input!$A$4),INDEX(Report!$F$108:$F$126,_xlfn.XMATCH($B98,Report!$A$108:$A$126)),0),0)</f>
        <v>0</v>
      </c>
      <c r="L98" s="1021" cm="1">
        <f t="array" ref="L98">-IFERROR(IF(L$2=YEAR(Input!$A$4),INDEX(Report!$F$108:$F$126,_xlfn.XMATCH($B98,Report!$A$108:$A$126)),0),0)</f>
        <v>0</v>
      </c>
      <c r="M98" s="1021" cm="1">
        <f t="array" aca="1" ref="M98" ca="1">-IFERROR(IF(M$2=YEAR(Input!$A$4),INDEX(Report!$F$108:$F$126,_xlfn.XMATCH($B98,Report!$A$108:$A$126)),0),0)</f>
        <v>0</v>
      </c>
      <c r="N98" s="1021" cm="1">
        <f t="array" ref="N98">-IFERROR(IF(N$2=YEAR(Input!$A$4),INDEX(Report!$F$108:$F$126,_xlfn.XMATCH($B98,Report!$A$108:$A$126)),0),0)</f>
        <v>0</v>
      </c>
      <c r="O98" s="1021" cm="1">
        <f t="array" ref="O98">-IFERROR(IF(O$2=YEAR(Input!$A$4),INDEX(Report!$F$108:$F$126,_xlfn.XMATCH($B98,Report!$A$108:$A$126)),0),0)</f>
        <v>0</v>
      </c>
      <c r="P98" s="1021" cm="1">
        <f t="array" ref="P98">-IFERROR(IF(P$2=YEAR(Input!$A$4),INDEX(Report!$F$108:$F$126,_xlfn.XMATCH($B98,Report!$A$108:$A$126)),0),0)</f>
        <v>0</v>
      </c>
      <c r="Q98" s="1021" cm="1">
        <f t="array" ref="Q98">-IFERROR(IF(Q$2=YEAR(Input!$A$4),INDEX(Report!$F$108:$F$126,_xlfn.XMATCH($B98,Report!$A$108:$A$126)),0),0)</f>
        <v>0</v>
      </c>
    </row>
    <row r="99" spans="2:17" outlineLevel="1">
      <c r="B99" s="1004" t="s">
        <v>77</v>
      </c>
      <c r="H99" s="935" t="s">
        <v>26</v>
      </c>
      <c r="J99" s="1021" cm="1">
        <f t="array" ref="J99">-IFERROR(IF(J$2=YEAR(Input!$A$4),INDEX(Report!$F$108:$F$126,_xlfn.XMATCH($B99,Report!$A$108:$A$126)),0),0)</f>
        <v>0</v>
      </c>
      <c r="K99" s="1021" cm="1">
        <f t="array" ref="K99">-IFERROR(IF(K$2=YEAR(Input!$A$4),INDEX(Report!$F$108:$F$126,_xlfn.XMATCH($B99,Report!$A$108:$A$126)),0),0)</f>
        <v>0</v>
      </c>
      <c r="L99" s="1021" cm="1">
        <f t="array" ref="L99">-IFERROR(IF(L$2=YEAR(Input!$A$4),INDEX(Report!$F$108:$F$126,_xlfn.XMATCH($B99,Report!$A$108:$A$126)),0),0)</f>
        <v>0</v>
      </c>
      <c r="M99" s="1021" cm="1">
        <f t="array" ref="M99">-IFERROR(IF(M$2=YEAR(Input!$A$4),INDEX(Report!$F$108:$F$126,_xlfn.XMATCH($B99,Report!$A$108:$A$126)),0),0)</f>
        <v>0</v>
      </c>
      <c r="N99" s="1021" cm="1">
        <f t="array" ref="N99">-IFERROR(IF(N$2=YEAR(Input!$A$4),INDEX(Report!$F$108:$F$126,_xlfn.XMATCH($B99,Report!$A$108:$A$126)),0),0)</f>
        <v>0</v>
      </c>
      <c r="O99" s="1021" cm="1">
        <f t="array" ref="O99">-IFERROR(IF(O$2=YEAR(Input!$A$4),INDEX(Report!$F$108:$F$126,_xlfn.XMATCH($B99,Report!$A$108:$A$126)),0),0)</f>
        <v>0</v>
      </c>
      <c r="P99" s="1021" cm="1">
        <f t="array" ref="P99">-IFERROR(IF(P$2=YEAR(Input!$A$4),INDEX(Report!$F$108:$F$126,_xlfn.XMATCH($B99,Report!$A$108:$A$126)),0),0)</f>
        <v>0</v>
      </c>
      <c r="Q99" s="1021" cm="1">
        <f t="array" ref="Q99">-IFERROR(IF(Q$2=YEAR(Input!$A$4),INDEX(Report!$F$108:$F$126,_xlfn.XMATCH($B99,Report!$A$108:$A$126)),0),0)</f>
        <v>0</v>
      </c>
    </row>
    <row r="100" spans="2:17" outlineLevel="1">
      <c r="B100" s="1004" t="s">
        <v>78</v>
      </c>
      <c r="H100" s="935" t="s">
        <v>26</v>
      </c>
      <c r="J100" s="1021" cm="1">
        <f t="array" ref="J100">-IFERROR(IF(J$2=YEAR(Input!$A$4),INDEX(Report!$F$108:$F$126,_xlfn.XMATCH($B100,Report!$A$108:$A$126)),0),0)</f>
        <v>0</v>
      </c>
      <c r="K100" s="1021" cm="1">
        <f t="array" ref="K100">-IFERROR(IF(K$2=YEAR(Input!$A$4),INDEX(Report!$F$108:$F$126,_xlfn.XMATCH($B100,Report!$A$108:$A$126)),0),0)</f>
        <v>0</v>
      </c>
      <c r="L100" s="1021" cm="1">
        <f t="array" ref="L100">-IFERROR(IF(L$2=YEAR(Input!$A$4),INDEX(Report!$F$108:$F$126,_xlfn.XMATCH($B100,Report!$A$108:$A$126)),0),0)</f>
        <v>0</v>
      </c>
      <c r="M100" s="1021" cm="1">
        <f t="array" ref="M100">-IFERROR(IF(M$2=YEAR(Input!$A$4),INDEX(Report!$F$108:$F$126,_xlfn.XMATCH($B100,Report!$A$108:$A$126)),0),0)</f>
        <v>0</v>
      </c>
      <c r="N100" s="1021" cm="1">
        <f t="array" ref="N100">-IFERROR(IF(N$2=YEAR(Input!$A$4),INDEX(Report!$F$108:$F$126,_xlfn.XMATCH($B100,Report!$A$108:$A$126)),0),0)</f>
        <v>0</v>
      </c>
      <c r="O100" s="1021" cm="1">
        <f t="array" ref="O100">-IFERROR(IF(O$2=YEAR(Input!$A$4),INDEX(Report!$F$108:$F$126,_xlfn.XMATCH($B100,Report!$A$108:$A$126)),0),0)</f>
        <v>0</v>
      </c>
      <c r="P100" s="1021" cm="1">
        <f t="array" ref="P100">-IFERROR(IF(P$2=YEAR(Input!$A$4),INDEX(Report!$F$108:$F$126,_xlfn.XMATCH($B100,Report!$A$108:$A$126)),0),0)</f>
        <v>0</v>
      </c>
      <c r="Q100" s="1021" cm="1">
        <f t="array" ref="Q100">-IFERROR(IF(Q$2=YEAR(Input!$A$4),INDEX(Report!$F$108:$F$126,_xlfn.XMATCH($B100,Report!$A$108:$A$126)),0),0)</f>
        <v>0</v>
      </c>
    </row>
    <row r="101" spans="2:17" outlineLevel="1">
      <c r="B101" s="1004" t="s">
        <v>66</v>
      </c>
      <c r="H101" s="935" t="s">
        <v>26</v>
      </c>
      <c r="J101" s="1021" cm="1">
        <f t="array" ref="J101">-IFERROR(IF(J$2=YEAR(Input!$A$4),INDEX(Report!$F$108:$F$126,_xlfn.XMATCH($B101,Report!$A$108:$A$126)),0),0)</f>
        <v>0</v>
      </c>
      <c r="K101" s="1021" cm="1">
        <f t="array" ref="K101">-IFERROR(IF(K$2=YEAR(Input!$A$4),INDEX(Report!$F$108:$F$126,_xlfn.XMATCH($B101,Report!$A$108:$A$126)),0),0)</f>
        <v>0</v>
      </c>
      <c r="L101" s="1021" cm="1">
        <f t="array" ref="L101">-IFERROR(IF(L$2=YEAR(Input!$A$4),INDEX(Report!$F$108:$F$126,_xlfn.XMATCH($B101,Report!$A$108:$A$126)),0),0)</f>
        <v>0</v>
      </c>
      <c r="M101" s="1021" cm="1">
        <f t="array" aca="1" ref="M101" ca="1">-IFERROR(IF(M$2=YEAR(Input!$A$4),INDEX(Report!$F$108:$F$126,_xlfn.XMATCH($B101,Report!$A$108:$A$126)),0),0)</f>
        <v>0</v>
      </c>
      <c r="N101" s="1021" cm="1">
        <f t="array" ref="N101">-IFERROR(IF(N$2=YEAR(Input!$A$4),INDEX(Report!$F$108:$F$126,_xlfn.XMATCH($B101,Report!$A$108:$A$126)),0),0)</f>
        <v>0</v>
      </c>
      <c r="O101" s="1021" cm="1">
        <f t="array" ref="O101">-IFERROR(IF(O$2=YEAR(Input!$A$4),INDEX(Report!$F$108:$F$126,_xlfn.XMATCH($B101,Report!$A$108:$A$126)),0),0)</f>
        <v>0</v>
      </c>
      <c r="P101" s="1021" cm="1">
        <f t="array" ref="P101">-IFERROR(IF(P$2=YEAR(Input!$A$4),INDEX(Report!$F$108:$F$126,_xlfn.XMATCH($B101,Report!$A$108:$A$126)),0),0)</f>
        <v>0</v>
      </c>
      <c r="Q101" s="1021" cm="1">
        <f t="array" ref="Q101">-IFERROR(IF(Q$2=YEAR(Input!$A$4),INDEX(Report!$F$108:$F$126,_xlfn.XMATCH($B101,Report!$A$108:$A$126)),0),0)</f>
        <v>0</v>
      </c>
    </row>
    <row r="102" spans="2:17" outlineLevel="1">
      <c r="B102" s="1008" t="s">
        <v>79</v>
      </c>
      <c r="C102" s="936"/>
      <c r="H102" s="935" t="s">
        <v>26</v>
      </c>
      <c r="J102" s="1023">
        <f>SUM(J92:J101)</f>
        <v>0</v>
      </c>
      <c r="K102" s="1023">
        <f t="shared" ref="K102:Q102" si="53">SUM(K92:K101)</f>
        <v>0</v>
      </c>
      <c r="L102" s="1023">
        <f t="shared" si="53"/>
        <v>0</v>
      </c>
      <c r="M102" s="1023">
        <f t="shared" ca="1" si="53"/>
        <v>-155745.39999999997</v>
      </c>
      <c r="N102" s="1023">
        <f t="shared" si="53"/>
        <v>0</v>
      </c>
      <c r="O102" s="1023">
        <f t="shared" si="53"/>
        <v>0</v>
      </c>
      <c r="P102" s="1023">
        <f t="shared" si="53"/>
        <v>0</v>
      </c>
      <c r="Q102" s="1023">
        <f t="shared" si="53"/>
        <v>0</v>
      </c>
    </row>
    <row r="103" spans="2:17" outlineLevel="1"/>
    <row r="104" spans="2:17" ht="15" outlineLevel="1">
      <c r="B104" s="926" t="s">
        <v>33</v>
      </c>
      <c r="H104" s="937" t="e" cm="1">
        <f t="array" aca="1" ref="H104" ca="1">IF(ABS(INDEX($J109:$Q109,_xlfn.XMATCH(YEAR(Input!$A$4),$J$2:$Q$2))+(Report!$H$128))&gt;Tolerance,1,0)</f>
        <v>#NAME?</v>
      </c>
      <c r="J104" s="942"/>
      <c r="K104" s="942"/>
    </row>
    <row r="105" spans="2:17" outlineLevel="1">
      <c r="B105" s="927" t="s">
        <v>25</v>
      </c>
      <c r="H105" s="935" t="s">
        <v>26</v>
      </c>
      <c r="J105" s="1021">
        <f>-IF(J$2=YEAR(Input!$A$4),Report!$H106,0)</f>
        <v>0</v>
      </c>
      <c r="K105" s="1021">
        <f>-IF(K$2=YEAR(Input!$A$4),Report!$H106,0)</f>
        <v>0</v>
      </c>
      <c r="L105" s="1021">
        <f>-IF(L$2=YEAR(Input!$A$4),Report!$H106,0)</f>
        <v>0</v>
      </c>
      <c r="M105" s="1021">
        <f ca="1">-IF(M$2=YEAR(Input!$A$4),Report!$H106,0)</f>
        <v>-53271</v>
      </c>
      <c r="N105" s="1021">
        <f>-IF(N$2=YEAR(Input!$A$4),Report!$H106,0)</f>
        <v>0</v>
      </c>
      <c r="O105" s="1021">
        <f>-IF(O$2=YEAR(Input!$A$4),Report!$H106,0)</f>
        <v>0</v>
      </c>
      <c r="P105" s="1021">
        <f>-IF(P$2=YEAR(Input!$A$4),Report!$H106,0)</f>
        <v>0</v>
      </c>
      <c r="Q105" s="1021">
        <f>-IF(Q$2=YEAR(Input!$A$4),Report!$H106,0)</f>
        <v>0</v>
      </c>
    </row>
    <row r="106" spans="2:17" outlineLevel="1">
      <c r="B106" s="1004" t="s">
        <v>80</v>
      </c>
      <c r="H106" s="935" t="s">
        <v>26</v>
      </c>
      <c r="J106" s="1021" cm="1">
        <f t="array" ref="J106">-IFERROR(IF(J$2=YEAR(Input!$A$4),INDEX(Report!$H$108:$H$126,_xlfn.XMATCH($B106,Report!$A$108:$A$126)),0),0)</f>
        <v>0</v>
      </c>
      <c r="K106" s="1021" cm="1">
        <f t="array" ref="K106">-IFERROR(IF(K$2=YEAR(Input!$A$4),INDEX(Report!$H$108:$H$126,_xlfn.XMATCH($B106,Report!$A$108:$A$126)),0),0)</f>
        <v>0</v>
      </c>
      <c r="L106" s="1021" cm="1">
        <f t="array" ref="L106">-IFERROR(IF(L$2=YEAR(Input!$A$4),INDEX(Report!$H$108:$H$126,_xlfn.XMATCH($B106,Report!$A$108:$A$126)),0),0)</f>
        <v>0</v>
      </c>
      <c r="M106" s="1021" cm="1">
        <f t="array" aca="1" ref="M106" ca="1">-IFERROR(IF(M$2=YEAR(Input!$A$4),INDEX(Report!$H$108:$H$126,_xlfn.XMATCH($B106,Report!$A$108:$A$126)),0),0)</f>
        <v>0</v>
      </c>
      <c r="N106" s="1021" cm="1">
        <f t="array" ref="N106">-IFERROR(IF(N$2=YEAR(Input!$A$4),INDEX(Report!$H$108:$H$126,_xlfn.XMATCH($B106,Report!$A$108:$A$126)),0),0)</f>
        <v>0</v>
      </c>
      <c r="O106" s="1021" cm="1">
        <f t="array" ref="O106">-IFERROR(IF(O$2=YEAR(Input!$A$4),INDEX(Report!$H$108:$H$126,_xlfn.XMATCH($B106,Report!$A$108:$A$126)),0),0)</f>
        <v>0</v>
      </c>
      <c r="P106" s="1021" cm="1">
        <f t="array" ref="P106">-IFERROR(IF(P$2=YEAR(Input!$A$4),INDEX(Report!$H$108:$H$126,_xlfn.XMATCH($B106,Report!$A$108:$A$126)),0),0)</f>
        <v>0</v>
      </c>
      <c r="Q106" s="1021" cm="1">
        <f t="array" ref="Q106">-IFERROR(IF(Q$2=YEAR(Input!$A$4),INDEX(Report!$H$108:$H$126,_xlfn.XMATCH($B106,Report!$A$108:$A$126)),0),0)</f>
        <v>0</v>
      </c>
    </row>
    <row r="107" spans="2:17" outlineLevel="1">
      <c r="B107" s="1004" t="s">
        <v>81</v>
      </c>
      <c r="H107" s="935" t="s">
        <v>26</v>
      </c>
      <c r="J107" s="1021" cm="1">
        <f t="array" ref="J107">-IFERROR(IF(J$2=YEAR(Input!$A$4),INDEX(Report!$H$108:$H$126,_xlfn.XMATCH($B107,Report!$A$108:$A$126)),0),0)</f>
        <v>0</v>
      </c>
      <c r="K107" s="1021" cm="1">
        <f t="array" ref="K107">-IFERROR(IF(K$2=YEAR(Input!$A$4),INDEX(Report!$H$108:$H$126,_xlfn.XMATCH($B107,Report!$A$108:$A$126)),0),0)</f>
        <v>0</v>
      </c>
      <c r="L107" s="1021" cm="1">
        <f t="array" ref="L107">-IFERROR(IF(L$2=YEAR(Input!$A$4),INDEX(Report!$H$108:$H$126,_xlfn.XMATCH($B107,Report!$A$108:$A$126)),0),0)</f>
        <v>0</v>
      </c>
      <c r="M107" s="1021" cm="1">
        <f t="array" ref="M107">-IFERROR(IF(M$2=YEAR(Input!$A$4),INDEX(Report!$H$108:$H$126,_xlfn.XMATCH($B107,Report!$A$108:$A$126)),0),0)</f>
        <v>0</v>
      </c>
      <c r="N107" s="1021" cm="1">
        <f t="array" ref="N107">-IFERROR(IF(N$2=YEAR(Input!$A$4),INDEX(Report!$H$108:$H$126,_xlfn.XMATCH($B107,Report!$A$108:$A$126)),0),0)</f>
        <v>0</v>
      </c>
      <c r="O107" s="1021" cm="1">
        <f t="array" ref="O107">-IFERROR(IF(O$2=YEAR(Input!$A$4),INDEX(Report!$H$108:$H$126,_xlfn.XMATCH($B107,Report!$A$108:$A$126)),0),0)</f>
        <v>0</v>
      </c>
      <c r="P107" s="1021" cm="1">
        <f t="array" ref="P107">-IFERROR(IF(P$2=YEAR(Input!$A$4),INDEX(Report!$H$108:$H$126,_xlfn.XMATCH($B107,Report!$A$108:$A$126)),0),0)</f>
        <v>0</v>
      </c>
      <c r="Q107" s="1021" cm="1">
        <f t="array" ref="Q107">-IFERROR(IF(Q$2=YEAR(Input!$A$4),INDEX(Report!$H$108:$H$126,_xlfn.XMATCH($B107,Report!$A$108:$A$126)),0),0)</f>
        <v>0</v>
      </c>
    </row>
    <row r="108" spans="2:17" outlineLevel="1">
      <c r="B108" s="1004" t="s">
        <v>66</v>
      </c>
      <c r="H108" s="935" t="s">
        <v>26</v>
      </c>
      <c r="J108" s="1021" cm="1">
        <f t="array" ref="J108">-IFERROR(IF(J$2=YEAR(Input!$A$4),INDEX(Report!$H$108:$H$126,_xlfn.XMATCH($B108,Report!$A$108:$A$126)),0),0)</f>
        <v>0</v>
      </c>
      <c r="K108" s="1021" cm="1">
        <f t="array" ref="K108">-IFERROR(IF(K$2=YEAR(Input!$A$4),INDEX(Report!$H$108:$H$126,_xlfn.XMATCH($B108,Report!$A$108:$A$126)),0),0)</f>
        <v>0</v>
      </c>
      <c r="L108" s="1021" cm="1">
        <f t="array" ref="L108">-IFERROR(IF(L$2=YEAR(Input!$A$4),INDEX(Report!$H$108:$H$126,_xlfn.XMATCH($B108,Report!$A$108:$A$126)),0),0)</f>
        <v>0</v>
      </c>
      <c r="M108" s="1021" cm="1">
        <f t="array" aca="1" ref="M108" ca="1">-IFERROR(IF(M$2=YEAR(Input!$A$4),INDEX(Report!$H$108:$H$126,_xlfn.XMATCH($B108,Report!$A$108:$A$126)),0),0)</f>
        <v>0</v>
      </c>
      <c r="N108" s="1021" cm="1">
        <f t="array" ref="N108">-IFERROR(IF(N$2=YEAR(Input!$A$4),INDEX(Report!$H$108:$H$126,_xlfn.XMATCH($B108,Report!$A$108:$A$126)),0),0)</f>
        <v>0</v>
      </c>
      <c r="O108" s="1021" cm="1">
        <f t="array" ref="O108">-IFERROR(IF(O$2=YEAR(Input!$A$4),INDEX(Report!$H$108:$H$126,_xlfn.XMATCH($B108,Report!$A$108:$A$126)),0),0)</f>
        <v>0</v>
      </c>
      <c r="P108" s="1021" cm="1">
        <f t="array" ref="P108">-IFERROR(IF(P$2=YEAR(Input!$A$4),INDEX(Report!$H$108:$H$126,_xlfn.XMATCH($B108,Report!$A$108:$A$126)),0),0)</f>
        <v>0</v>
      </c>
      <c r="Q108" s="1021" cm="1">
        <f t="array" ref="Q108">-IFERROR(IF(Q$2=YEAR(Input!$A$4),INDEX(Report!$H$108:$H$126,_xlfn.XMATCH($B108,Report!$A$108:$A$126)),0),0)</f>
        <v>0</v>
      </c>
    </row>
    <row r="109" spans="2:17" outlineLevel="1">
      <c r="B109" s="1008" t="s">
        <v>82</v>
      </c>
      <c r="C109" s="936"/>
      <c r="H109" s="935" t="s">
        <v>26</v>
      </c>
      <c r="J109" s="1023">
        <f t="shared" ref="J109:Q109" si="54">SUM(J105:J108,)</f>
        <v>0</v>
      </c>
      <c r="K109" s="1023">
        <f t="shared" si="54"/>
        <v>0</v>
      </c>
      <c r="L109" s="1023">
        <f t="shared" si="54"/>
        <v>0</v>
      </c>
      <c r="M109" s="1023">
        <f t="shared" ca="1" si="54"/>
        <v>-53271</v>
      </c>
      <c r="N109" s="1023">
        <f t="shared" si="54"/>
        <v>0</v>
      </c>
      <c r="O109" s="1023">
        <f t="shared" si="54"/>
        <v>0</v>
      </c>
      <c r="P109" s="1023">
        <f t="shared" si="54"/>
        <v>0</v>
      </c>
      <c r="Q109" s="1023">
        <f t="shared" si="54"/>
        <v>0</v>
      </c>
    </row>
    <row r="110" spans="2:17" outlineLevel="1"/>
    <row r="111" spans="2:17" ht="15" outlineLevel="1">
      <c r="B111" s="926" t="s">
        <v>83</v>
      </c>
      <c r="H111" s="937" t="e" cm="1">
        <f t="array" aca="1" ref="H111" ca="1">IF(ABS(INDEX($J116:$Q116,_xlfn.XMATCH(YEAR(Input!$A$4),$J$2:$Q$2))+(Report!$J$128))&gt;Tolerance,1,0)</f>
        <v>#NAME?</v>
      </c>
      <c r="J111" s="942"/>
      <c r="K111" s="942"/>
    </row>
    <row r="112" spans="2:17" outlineLevel="1">
      <c r="B112" s="927" t="s">
        <v>25</v>
      </c>
      <c r="H112" s="935" t="s">
        <v>26</v>
      </c>
      <c r="J112" s="1021">
        <f>-IF(J$2=YEAR(Input!$A$4),Report!$J106,0)</f>
        <v>0</v>
      </c>
      <c r="K112" s="1021">
        <f>-IF(K$2=YEAR(Input!$A$4),Report!$J106,0)</f>
        <v>0</v>
      </c>
      <c r="L112" s="1021">
        <f>-IF(L$2=YEAR(Input!$A$4),Report!$J106,0)</f>
        <v>0</v>
      </c>
      <c r="M112" s="1021">
        <f ca="1">-IF(M$2=YEAR(Input!$A$4),Report!$J106,0)</f>
        <v>-54871</v>
      </c>
      <c r="N112" s="1021">
        <f>-IF(N$2=YEAR(Input!$A$4),Report!$J106,0)</f>
        <v>0</v>
      </c>
      <c r="O112" s="1021">
        <f>-IF(O$2=YEAR(Input!$A$4),Report!$J106,0)</f>
        <v>0</v>
      </c>
      <c r="P112" s="1021">
        <f>-IF(P$2=YEAR(Input!$A$4),Report!$J106,0)</f>
        <v>0</v>
      </c>
      <c r="Q112" s="1021">
        <f>-IF(Q$2=YEAR(Input!$A$4),Report!$J106,0)</f>
        <v>0</v>
      </c>
    </row>
    <row r="113" spans="2:17" outlineLevel="1">
      <c r="B113" s="1004" t="s">
        <v>63</v>
      </c>
      <c r="H113" s="935" t="s">
        <v>26</v>
      </c>
      <c r="J113" s="1021" cm="1">
        <f t="array" ref="J113">-IFERROR(IF(J$2=YEAR(Input!$A$4),INDEX(Report!$J$108:$J$126,_xlfn.XMATCH($B113,Report!$A$108:$A$126)),0),0)</f>
        <v>0</v>
      </c>
      <c r="K113" s="1021" cm="1">
        <f t="array" ref="K113">-IFERROR(IF(K$2=YEAR(Input!$A$4),INDEX(Report!$J$108:$J$126,_xlfn.XMATCH($B113,Report!$A$108:$A$126)),0),0)</f>
        <v>0</v>
      </c>
      <c r="L113" s="1021" cm="1">
        <f t="array" ref="L113">-IFERROR(IF(L$2=YEAR(Input!$A$4),INDEX(Report!$J$108:$J$126,_xlfn.XMATCH($B113,Report!$A$108:$A$126)),0),0)</f>
        <v>0</v>
      </c>
      <c r="M113" s="1021" cm="1">
        <f t="array" aca="1" ref="M113" ca="1">-IFERROR(IF(M$2=YEAR(Input!$A$4),INDEX(Report!$J$108:$J$126,_xlfn.XMATCH($B113,Report!$A$108:$A$126)),0),0)</f>
        <v>0</v>
      </c>
      <c r="N113" s="1021" cm="1">
        <f t="array" ref="N113">-IFERROR(IF(N$2=YEAR(Input!$A$4),INDEX(Report!$J$108:$J$126,_xlfn.XMATCH($B113,Report!$A$108:$A$126)),0),0)</f>
        <v>0</v>
      </c>
      <c r="O113" s="1021" cm="1">
        <f t="array" ref="O113">-IFERROR(IF(O$2=YEAR(Input!$A$4),INDEX(Report!$J$108:$J$126,_xlfn.XMATCH($B113,Report!$A$108:$A$126)),0),0)</f>
        <v>0</v>
      </c>
      <c r="P113" s="1021" cm="1">
        <f t="array" ref="P113">-IFERROR(IF(P$2=YEAR(Input!$A$4),INDEX(Report!$J$108:$J$126,_xlfn.XMATCH($B113,Report!$A$108:$A$126)),0),0)</f>
        <v>0</v>
      </c>
      <c r="Q113" s="1021" cm="1">
        <f t="array" ref="Q113">-IFERROR(IF(Q$2=YEAR(Input!$A$4),INDEX(Report!$J$108:$J$126,_xlfn.XMATCH($B113,Report!$A$108:$A$126)),0),0)</f>
        <v>0</v>
      </c>
    </row>
    <row r="114" spans="2:17" outlineLevel="1">
      <c r="B114" s="1004" t="s">
        <v>64</v>
      </c>
      <c r="H114" s="935" t="s">
        <v>26</v>
      </c>
      <c r="J114" s="1021" cm="1">
        <f t="array" ref="J114">-IFERROR(IF(J$2=YEAR(Input!$A$4),INDEX(Report!$J$108:$J$126,_xlfn.XMATCH($B114,Report!$A$108:$A$126)),0),0)</f>
        <v>0</v>
      </c>
      <c r="K114" s="1021" cm="1">
        <f t="array" ref="K114">-IFERROR(IF(K$2=YEAR(Input!$A$4),INDEX(Report!$J$108:$J$126,_xlfn.XMATCH($B114,Report!$A$108:$A$126)),0),0)</f>
        <v>0</v>
      </c>
      <c r="L114" s="1021" cm="1">
        <f t="array" ref="L114">-IFERROR(IF(L$2=YEAR(Input!$A$4),INDEX(Report!$J$108:$J$126,_xlfn.XMATCH($B114,Report!$A$108:$A$126)),0),0)</f>
        <v>0</v>
      </c>
      <c r="M114" s="1021" cm="1">
        <f t="array" aca="1" ref="M114" ca="1">-IFERROR(IF(M$2=YEAR(Input!$A$4),INDEX(Report!$J$108:$J$126,_xlfn.XMATCH($B114,Report!$A$108:$A$126)),0),0)</f>
        <v>0</v>
      </c>
      <c r="N114" s="1021" cm="1">
        <f t="array" ref="N114">-IFERROR(IF(N$2=YEAR(Input!$A$4),INDEX(Report!$J$108:$J$126,_xlfn.XMATCH($B114,Report!$A$108:$A$126)),0),0)</f>
        <v>0</v>
      </c>
      <c r="O114" s="1021" cm="1">
        <f t="array" ref="O114">-IFERROR(IF(O$2=YEAR(Input!$A$4),INDEX(Report!$J$108:$J$126,_xlfn.XMATCH($B114,Report!$A$108:$A$126)),0),0)</f>
        <v>0</v>
      </c>
      <c r="P114" s="1021" cm="1">
        <f t="array" ref="P114">-IFERROR(IF(P$2=YEAR(Input!$A$4),INDEX(Report!$J$108:$J$126,_xlfn.XMATCH($B114,Report!$A$108:$A$126)),0),0)</f>
        <v>0</v>
      </c>
      <c r="Q114" s="1021" cm="1">
        <f t="array" ref="Q114">-IFERROR(IF(Q$2=YEAR(Input!$A$4),INDEX(Report!$J$108:$J$126,_xlfn.XMATCH($B114,Report!$A$108:$A$126)),0),0)</f>
        <v>0</v>
      </c>
    </row>
    <row r="115" spans="2:17" outlineLevel="1">
      <c r="B115" s="1004" t="s">
        <v>66</v>
      </c>
      <c r="H115" s="935" t="s">
        <v>26</v>
      </c>
      <c r="J115" s="1021" cm="1">
        <f t="array" ref="J115">-IFERROR(IF(J$2=YEAR(Input!$A$4),INDEX(Report!$J$108:$J$126,_xlfn.XMATCH($B115,Report!$A$108:$A$126)),0),0)</f>
        <v>0</v>
      </c>
      <c r="K115" s="1021" cm="1">
        <f t="array" ref="K115">-IFERROR(IF(K$2=YEAR(Input!$A$4),INDEX(Report!$J$108:$J$126,_xlfn.XMATCH($B115,Report!$A$108:$A$126)),0),0)</f>
        <v>0</v>
      </c>
      <c r="L115" s="1021" cm="1">
        <f t="array" ref="L115">-IFERROR(IF(L$2=YEAR(Input!$A$4),INDEX(Report!$J$108:$J$126,_xlfn.XMATCH($B115,Report!$A$108:$A$126)),0),0)</f>
        <v>0</v>
      </c>
      <c r="M115" s="1021" cm="1">
        <f t="array" aca="1" ref="M115" ca="1">-IFERROR(IF(M$2=YEAR(Input!$A$4),INDEX(Report!$J$108:$J$126,_xlfn.XMATCH($B115,Report!$A$108:$A$126)),0),0)</f>
        <v>0</v>
      </c>
      <c r="N115" s="1021" cm="1">
        <f t="array" ref="N115">-IFERROR(IF(N$2=YEAR(Input!$A$4),INDEX(Report!$J$108:$J$126,_xlfn.XMATCH($B115,Report!$A$108:$A$126)),0),0)</f>
        <v>0</v>
      </c>
      <c r="O115" s="1021" cm="1">
        <f t="array" ref="O115">-IFERROR(IF(O$2=YEAR(Input!$A$4),INDEX(Report!$J$108:$J$126,_xlfn.XMATCH($B115,Report!$A$108:$A$126)),0),0)</f>
        <v>0</v>
      </c>
      <c r="P115" s="1021" cm="1">
        <f t="array" ref="P115">-IFERROR(IF(P$2=YEAR(Input!$A$4),INDEX(Report!$J$108:$J$126,_xlfn.XMATCH($B115,Report!$A$108:$A$126)),0),0)</f>
        <v>0</v>
      </c>
      <c r="Q115" s="1021" cm="1">
        <f t="array" ref="Q115">-IFERROR(IF(Q$2=YEAR(Input!$A$4),INDEX(Report!$J$108:$J$126,_xlfn.XMATCH($B115,Report!$A$108:$A$126)),0),0)</f>
        <v>0</v>
      </c>
    </row>
    <row r="116" spans="2:17" outlineLevel="1">
      <c r="B116" s="1008" t="s">
        <v>84</v>
      </c>
      <c r="C116" s="936"/>
      <c r="H116" s="935" t="s">
        <v>26</v>
      </c>
      <c r="J116" s="1023">
        <f>SUM(J112:J115)</f>
        <v>0</v>
      </c>
      <c r="K116" s="1023">
        <f t="shared" ref="K116:Q116" si="55">SUM(K112:K115)</f>
        <v>0</v>
      </c>
      <c r="L116" s="1023">
        <f t="shared" si="55"/>
        <v>0</v>
      </c>
      <c r="M116" s="1023">
        <f t="shared" ca="1" si="55"/>
        <v>-54871</v>
      </c>
      <c r="N116" s="1023">
        <f t="shared" si="55"/>
        <v>0</v>
      </c>
      <c r="O116" s="1023">
        <f t="shared" si="55"/>
        <v>0</v>
      </c>
      <c r="P116" s="1023">
        <f t="shared" si="55"/>
        <v>0</v>
      </c>
      <c r="Q116" s="1023">
        <f t="shared" si="55"/>
        <v>0</v>
      </c>
    </row>
    <row r="117" spans="2:17" outlineLevel="1"/>
    <row r="118" spans="2:17" ht="15" outlineLevel="1">
      <c r="B118" s="926" t="s">
        <v>85</v>
      </c>
      <c r="H118" s="937" t="e" cm="1">
        <f t="array" aca="1" ref="H118" ca="1">IF(ABS(INDEX($J139:$Q139,_xlfn.XMATCH(YEAR(Input!$A$4),$J$2:$Q$2))+(Report!$L$128+Report!$N$128))&gt;Tolerance,1,0)</f>
        <v>#NAME?</v>
      </c>
      <c r="J118" s="942"/>
      <c r="K118" s="942"/>
    </row>
    <row r="119" spans="2:17" outlineLevel="1">
      <c r="B119" s="927" t="s">
        <v>25</v>
      </c>
      <c r="H119" s="935" t="s">
        <v>26</v>
      </c>
      <c r="J119" s="1021">
        <f>-IF(J$2=YEAR(Input!$A$4),(Report!$L106+Report!$N106),0)</f>
        <v>0</v>
      </c>
      <c r="K119" s="1021">
        <f>-IF(K$2=YEAR(Input!$A$4),(Report!$L106+Report!$N106),0)</f>
        <v>0</v>
      </c>
      <c r="L119" s="1021">
        <f>-IF(L$2=YEAR(Input!$A$4),(Report!$L106+Report!$N106),0)</f>
        <v>0</v>
      </c>
      <c r="M119" s="1021">
        <f ca="1">-IF(M$2=YEAR(Input!$A$4),(Report!$L106+Report!$N106),0)</f>
        <v>-22552.9</v>
      </c>
      <c r="N119" s="1021">
        <f>-IF(N$2=YEAR(Input!$A$4),(Report!$L106+Report!$N106),0)</f>
        <v>0</v>
      </c>
      <c r="O119" s="1021">
        <f>-IF(O$2=YEAR(Input!$A$4),(Report!$L106+Report!$N106),0)</f>
        <v>0</v>
      </c>
      <c r="P119" s="1021">
        <f>-IF(P$2=YEAR(Input!$A$4),(Report!$L106+Report!$N106),0)</f>
        <v>0</v>
      </c>
      <c r="Q119" s="1021">
        <f>-IF(Q$2=YEAR(Input!$A$4),(Report!$L106+Report!$N106),0)</f>
        <v>0</v>
      </c>
    </row>
    <row r="120" spans="2:17" outlineLevel="1">
      <c r="B120" s="1004" t="s">
        <v>62</v>
      </c>
      <c r="H120" s="935" t="s">
        <v>26</v>
      </c>
      <c r="J120" s="1021" cm="1">
        <f t="array" ref="J120">-IFERROR(IF(J$2=YEAR(Input!$A$4),INDEX(Report!$L$108:$L$126,_xlfn.XMATCH($B120,Report!$A$108:$A$126)),0),0)</f>
        <v>0</v>
      </c>
      <c r="K120" s="1021" cm="1">
        <f t="array" ref="K120">-IFERROR(IF(K$2=YEAR(Input!$A$4),INDEX(Report!$L$108:$L$126,_xlfn.XMATCH($B120,Report!$A$108:$A$126)),0),0)</f>
        <v>0</v>
      </c>
      <c r="L120" s="1021" cm="1">
        <f t="array" ref="L120">-IFERROR(IF(L$2=YEAR(Input!$A$4),INDEX(Report!$L$108:$L$126,_xlfn.XMATCH($B120,Report!$A$108:$A$126)),0),0)</f>
        <v>0</v>
      </c>
      <c r="M120" s="1021" cm="1">
        <f t="array" aca="1" ref="M120" ca="1">-IFERROR(IF(M$2=YEAR(Input!$A$4),INDEX(Report!$L$108:$L$126,_xlfn.XMATCH($B120,Report!$A$108:$A$126)),0),0)</f>
        <v>0</v>
      </c>
      <c r="N120" s="1021" cm="1">
        <f t="array" ref="N120">-IFERROR(IF(N$2=YEAR(Input!$A$4),INDEX(Report!$L$108:$L$126,_xlfn.XMATCH($B120,Report!$A$108:$A$126)),0),0)</f>
        <v>0</v>
      </c>
      <c r="O120" s="1021" cm="1">
        <f t="array" ref="O120">-IFERROR(IF(O$2=YEAR(Input!$A$4),INDEX(Report!$L$108:$L$126,_xlfn.XMATCH($B120,Report!$A$108:$A$126)),0),0)</f>
        <v>0</v>
      </c>
      <c r="P120" s="1021" cm="1">
        <f t="array" ref="P120">-IFERROR(IF(P$2=YEAR(Input!$A$4),INDEX(Report!$L$108:$L$126,_xlfn.XMATCH($B120,Report!$A$108:$A$126)),0),0)</f>
        <v>0</v>
      </c>
      <c r="Q120" s="1021" cm="1">
        <f t="array" ref="Q120">-IFERROR(IF(Q$2=YEAR(Input!$A$4),INDEX(Report!$L$108:$L$126,_xlfn.XMATCH($B120,Report!$A$108:$A$126)),0),0)</f>
        <v>0</v>
      </c>
    </row>
    <row r="121" spans="2:17" outlineLevel="1">
      <c r="B121" s="1004" t="s">
        <v>80</v>
      </c>
      <c r="H121" s="935" t="s">
        <v>26</v>
      </c>
      <c r="J121" s="1021" cm="1">
        <f t="array" ref="J121">-IFERROR(IF(J$2=YEAR(Input!$A$4),INDEX(Report!$L$108:$L$126,_xlfn.XMATCH($B121,Report!$A$108:$A$126)),0),0)</f>
        <v>0</v>
      </c>
      <c r="K121" s="1021" cm="1">
        <f t="array" ref="K121">-IFERROR(IF(K$2=YEAR(Input!$A$4),INDEX(Report!$L$108:$L$126,_xlfn.XMATCH($B121,Report!$A$108:$A$126)),0),0)</f>
        <v>0</v>
      </c>
      <c r="L121" s="1021" cm="1">
        <f t="array" ref="L121">-IFERROR(IF(L$2=YEAR(Input!$A$4),INDEX(Report!$L$108:$L$126,_xlfn.XMATCH($B121,Report!$A$108:$A$126)),0),0)</f>
        <v>0</v>
      </c>
      <c r="M121" s="1021" cm="1">
        <f t="array" aca="1" ref="M121" ca="1">-IFERROR(IF(M$2=YEAR(Input!$A$4),INDEX(Report!$L$108:$L$126,_xlfn.XMATCH($B121,Report!$A$108:$A$126)),0),0)</f>
        <v>0</v>
      </c>
      <c r="N121" s="1021" cm="1">
        <f t="array" ref="N121">-IFERROR(IF(N$2=YEAR(Input!$A$4),INDEX(Report!$L$108:$L$126,_xlfn.XMATCH($B121,Report!$A$108:$A$126)),0),0)</f>
        <v>0</v>
      </c>
      <c r="O121" s="1021" cm="1">
        <f t="array" ref="O121">-IFERROR(IF(O$2=YEAR(Input!$A$4),INDEX(Report!$L$108:$L$126,_xlfn.XMATCH($B121,Report!$A$108:$A$126)),0),0)</f>
        <v>0</v>
      </c>
      <c r="P121" s="1021" cm="1">
        <f t="array" ref="P121">-IFERROR(IF(P$2=YEAR(Input!$A$4),INDEX(Report!$L$108:$L$126,_xlfn.XMATCH($B121,Report!$A$108:$A$126)),0),0)</f>
        <v>0</v>
      </c>
      <c r="Q121" s="1021" cm="1">
        <f t="array" ref="Q121">-IFERROR(IF(Q$2=YEAR(Input!$A$4),INDEX(Report!$L$108:$L$126,_xlfn.XMATCH($B121,Report!$A$108:$A$126)),0),0)</f>
        <v>0</v>
      </c>
    </row>
    <row r="122" spans="2:17" outlineLevel="1">
      <c r="B122" s="1004" t="s">
        <v>86</v>
      </c>
      <c r="H122" s="935" t="s">
        <v>26</v>
      </c>
      <c r="J122" s="1021" cm="1">
        <f t="array" ref="J122">-IFERROR(IF(J$2=YEAR(Input!$A$4),INDEX(Report!$L$108:$L$126,_xlfn.XMATCH($B122,Report!$A$108:$A$126)),0),0)</f>
        <v>0</v>
      </c>
      <c r="K122" s="1021" cm="1">
        <f t="array" ref="K122">-IFERROR(IF(K$2=YEAR(Input!$A$4),INDEX(Report!$L$108:$L$126,_xlfn.XMATCH($B122,Report!$A$108:$A$126)),0),0)</f>
        <v>0</v>
      </c>
      <c r="L122" s="1021" cm="1">
        <f t="array" ref="L122">-IFERROR(IF(L$2=YEAR(Input!$A$4),INDEX(Report!$L$108:$L$126,_xlfn.XMATCH($B122,Report!$A$108:$A$126)),0),0)</f>
        <v>0</v>
      </c>
      <c r="M122" s="1021" cm="1">
        <f t="array" aca="1" ref="M122" ca="1">-IFERROR(IF(M$2=YEAR(Input!$A$4),INDEX(Report!$L$108:$L$126,_xlfn.XMATCH($B122,Report!$A$108:$A$126)),0),0)</f>
        <v>0</v>
      </c>
      <c r="N122" s="1021" cm="1">
        <f t="array" ref="N122">-IFERROR(IF(N$2=YEAR(Input!$A$4),INDEX(Report!$L$108:$L$126,_xlfn.XMATCH($B122,Report!$A$108:$A$126)),0),0)</f>
        <v>0</v>
      </c>
      <c r="O122" s="1021" cm="1">
        <f t="array" ref="O122">-IFERROR(IF(O$2=YEAR(Input!$A$4),INDEX(Report!$L$108:$L$126,_xlfn.XMATCH($B122,Report!$A$108:$A$126)),0),0)</f>
        <v>0</v>
      </c>
      <c r="P122" s="1021" cm="1">
        <f t="array" ref="P122">-IFERROR(IF(P$2=YEAR(Input!$A$4),INDEX(Report!$L$108:$L$126,_xlfn.XMATCH($B122,Report!$A$108:$A$126)),0),0)</f>
        <v>0</v>
      </c>
      <c r="Q122" s="1021" cm="1">
        <f t="array" ref="Q122">-IFERROR(IF(Q$2=YEAR(Input!$A$4),INDEX(Report!$L$108:$L$126,_xlfn.XMATCH($B122,Report!$A$108:$A$126)),0),0)</f>
        <v>0</v>
      </c>
    </row>
    <row r="123" spans="2:17" outlineLevel="1">
      <c r="B123" s="1004" t="s">
        <v>87</v>
      </c>
      <c r="H123" s="935" t="s">
        <v>26</v>
      </c>
      <c r="J123" s="1021" cm="1">
        <f t="array" ref="J123">-IFERROR(IF(J$2=YEAR(Input!$A$4),INDEX(Report!$L$108:$L$126,_xlfn.XMATCH($B123,Report!$A$108:$A$126)),0),0)</f>
        <v>0</v>
      </c>
      <c r="K123" s="1021" cm="1">
        <f t="array" ref="K123">-IFERROR(IF(K$2=YEAR(Input!$A$4),INDEX(Report!$L$108:$L$126,_xlfn.XMATCH($B123,Report!$A$108:$A$126)),0),0)</f>
        <v>0</v>
      </c>
      <c r="L123" s="1021" cm="1">
        <f t="array" ref="L123">-IFERROR(IF(L$2=YEAR(Input!$A$4),INDEX(Report!$L$108:$L$126,_xlfn.XMATCH($B123,Report!$A$108:$A$126)),0),0)</f>
        <v>0</v>
      </c>
      <c r="M123" s="1021" cm="1">
        <f t="array" ref="M123">-IFERROR(IF(M$2=YEAR(Input!$A$4),INDEX(Report!$L$108:$L$126,_xlfn.XMATCH($B123,Report!$A$108:$A$126)),0),0)</f>
        <v>2099</v>
      </c>
      <c r="N123" s="1021" cm="1">
        <f t="array" ref="N123">-IFERROR(IF(N$2=YEAR(Input!$A$4),INDEX(Report!$L$108:$L$126,_xlfn.XMATCH($B123,Report!$A$108:$A$126)),0),0)</f>
        <v>0</v>
      </c>
      <c r="O123" s="1021" cm="1">
        <f t="array" ref="O123">-IFERROR(IF(O$2=YEAR(Input!$A$4),INDEX(Report!$L$108:$L$126,_xlfn.XMATCH($B123,Report!$A$108:$A$126)),0),0)</f>
        <v>0</v>
      </c>
      <c r="P123" s="1021" cm="1">
        <f t="array" ref="P123">-IFERROR(IF(P$2=YEAR(Input!$A$4),INDEX(Report!$L$108:$L$126,_xlfn.XMATCH($B123,Report!$A$108:$A$126)),0),0)</f>
        <v>0</v>
      </c>
      <c r="Q123" s="1021" cm="1">
        <f t="array" ref="Q123">-IFERROR(IF(Q$2=YEAR(Input!$A$4),INDEX(Report!$L$108:$L$126,_xlfn.XMATCH($B123,Report!$A$108:$A$126)),0),0)</f>
        <v>0</v>
      </c>
    </row>
    <row r="124" spans="2:17" outlineLevel="1">
      <c r="B124" s="1004" t="s">
        <v>63</v>
      </c>
      <c r="H124" s="935" t="s">
        <v>26</v>
      </c>
      <c r="J124" s="1021" cm="1">
        <f t="array" ref="J124">-IFERROR(IF(J$2=YEAR(Input!$A$4),INDEX(Report!$L$108:$L$126,_xlfn.XMATCH($B124,Report!$A$108:$A$126)),0),0)</f>
        <v>0</v>
      </c>
      <c r="K124" s="1021" cm="1">
        <f t="array" ref="K124">-IFERROR(IF(K$2=YEAR(Input!$A$4),INDEX(Report!$L$108:$L$126,_xlfn.XMATCH($B124,Report!$A$108:$A$126)),0),0)</f>
        <v>0</v>
      </c>
      <c r="L124" s="1021" cm="1">
        <f t="array" ref="L124">-IFERROR(IF(L$2=YEAR(Input!$A$4),INDEX(Report!$L$108:$L$126,_xlfn.XMATCH($B124,Report!$A$108:$A$126)),0),0)</f>
        <v>0</v>
      </c>
      <c r="M124" s="1021" cm="1">
        <f t="array" aca="1" ref="M124" ca="1">-IFERROR(IF(M$2=YEAR(Input!$A$4),INDEX(Report!$L$108:$L$126,_xlfn.XMATCH($B124,Report!$A$108:$A$126)),0),0)</f>
        <v>0</v>
      </c>
      <c r="N124" s="1021" cm="1">
        <f t="array" ref="N124">-IFERROR(IF(N$2=YEAR(Input!$A$4),INDEX(Report!$L$108:$L$126,_xlfn.XMATCH($B124,Report!$A$108:$A$126)),0),0)</f>
        <v>0</v>
      </c>
      <c r="O124" s="1021" cm="1">
        <f t="array" ref="O124">-IFERROR(IF(O$2=YEAR(Input!$A$4),INDEX(Report!$L$108:$L$126,_xlfn.XMATCH($B124,Report!$A$108:$A$126)),0),0)</f>
        <v>0</v>
      </c>
      <c r="P124" s="1021" cm="1">
        <f t="array" ref="P124">-IFERROR(IF(P$2=YEAR(Input!$A$4),INDEX(Report!$L$108:$L$126,_xlfn.XMATCH($B124,Report!$A$108:$A$126)),0),0)</f>
        <v>0</v>
      </c>
      <c r="Q124" s="1021" cm="1">
        <f t="array" ref="Q124">-IFERROR(IF(Q$2=YEAR(Input!$A$4),INDEX(Report!$L$108:$L$126,_xlfn.XMATCH($B124,Report!$A$108:$A$126)),0),0)</f>
        <v>0</v>
      </c>
    </row>
    <row r="125" spans="2:17" outlineLevel="1">
      <c r="B125" s="1004" t="s">
        <v>72</v>
      </c>
      <c r="H125" s="935" t="s">
        <v>26</v>
      </c>
      <c r="J125" s="1021" cm="1">
        <f t="array" ref="J125">-IFERROR(IF(J$2=YEAR(Input!$A$4),INDEX(Report!$L$108:$L$126,_xlfn.XMATCH($B125,Report!$A$108:$A$126)),0),0)</f>
        <v>0</v>
      </c>
      <c r="K125" s="1021" cm="1">
        <f t="array" ref="K125">-IFERROR(IF(K$2=YEAR(Input!$A$4),INDEX(Report!$L$108:$L$126,_xlfn.XMATCH($B125,Report!$A$108:$A$126)),0),0)</f>
        <v>0</v>
      </c>
      <c r="L125" s="1021" cm="1">
        <f t="array" ref="L125">-IFERROR(IF(L$2=YEAR(Input!$A$4),INDEX(Report!$L$108:$L$126,_xlfn.XMATCH($B125,Report!$A$108:$A$126)),0),0)</f>
        <v>0</v>
      </c>
      <c r="M125" s="1021" cm="1">
        <f t="array" aca="1" ref="M125" ca="1">-IFERROR(IF(M$2=YEAR(Input!$A$4),INDEX(Report!$L$108:$L$126,_xlfn.XMATCH($B125,Report!$A$108:$A$126)),0),0)</f>
        <v>0</v>
      </c>
      <c r="N125" s="1021" cm="1">
        <f t="array" ref="N125">-IFERROR(IF(N$2=YEAR(Input!$A$4),INDEX(Report!$L$108:$L$126,_xlfn.XMATCH($B125,Report!$A$108:$A$126)),0),0)</f>
        <v>0</v>
      </c>
      <c r="O125" s="1021" cm="1">
        <f t="array" ref="O125">-IFERROR(IF(O$2=YEAR(Input!$A$4),INDEX(Report!$L$108:$L$126,_xlfn.XMATCH($B125,Report!$A$108:$A$126)),0),0)</f>
        <v>0</v>
      </c>
      <c r="P125" s="1021" cm="1">
        <f t="array" ref="P125">-IFERROR(IF(P$2=YEAR(Input!$A$4),INDEX(Report!$L$108:$L$126,_xlfn.XMATCH($B125,Report!$A$108:$A$126)),0),0)</f>
        <v>0</v>
      </c>
      <c r="Q125" s="1021" cm="1">
        <f t="array" ref="Q125">-IFERROR(IF(Q$2=YEAR(Input!$A$4),INDEX(Report!$L$108:$L$126,_xlfn.XMATCH($B125,Report!$A$108:$A$126)),0),0)</f>
        <v>0</v>
      </c>
    </row>
    <row r="126" spans="2:17" outlineLevel="1">
      <c r="B126" s="1004" t="s">
        <v>73</v>
      </c>
      <c r="H126" s="935" t="s">
        <v>26</v>
      </c>
      <c r="J126" s="1021" cm="1">
        <f t="array" ref="J126">-IFERROR(IF(J$2=YEAR(Input!$A$4),INDEX(Report!$L$108:$L$126,_xlfn.XMATCH($B126,Report!$A$108:$A$126)),0),0)</f>
        <v>0</v>
      </c>
      <c r="K126" s="1021" cm="1">
        <f t="array" ref="K126">-IFERROR(IF(K$2=YEAR(Input!$A$4),INDEX(Report!$L$108:$L$126,_xlfn.XMATCH($B126,Report!$A$108:$A$126)),0),0)</f>
        <v>0</v>
      </c>
      <c r="L126" s="1021" cm="1">
        <f t="array" ref="L126">-IFERROR(IF(L$2=YEAR(Input!$A$4),INDEX(Report!$L$108:$L$126,_xlfn.XMATCH($B126,Report!$A$108:$A$126)),0),0)</f>
        <v>0</v>
      </c>
      <c r="M126" s="1021" cm="1">
        <f t="array" aca="1" ref="M126" ca="1">-IFERROR(IF(M$2=YEAR(Input!$A$4),INDEX(Report!$L$108:$L$126,_xlfn.XMATCH($B126,Report!$A$108:$A$126)),0),0)</f>
        <v>0</v>
      </c>
      <c r="N126" s="1021" cm="1">
        <f t="array" ref="N126">-IFERROR(IF(N$2=YEAR(Input!$A$4),INDEX(Report!$L$108:$L$126,_xlfn.XMATCH($B126,Report!$A$108:$A$126)),0),0)</f>
        <v>0</v>
      </c>
      <c r="O126" s="1021" cm="1">
        <f t="array" ref="O126">-IFERROR(IF(O$2=YEAR(Input!$A$4),INDEX(Report!$L$108:$L$126,_xlfn.XMATCH($B126,Report!$A$108:$A$126)),0),0)</f>
        <v>0</v>
      </c>
      <c r="P126" s="1021" cm="1">
        <f t="array" ref="P126">-IFERROR(IF(P$2=YEAR(Input!$A$4),INDEX(Report!$L$108:$L$126,_xlfn.XMATCH($B126,Report!$A$108:$A$126)),0),0)</f>
        <v>0</v>
      </c>
      <c r="Q126" s="1021" cm="1">
        <f t="array" ref="Q126">-IFERROR(IF(Q$2=YEAR(Input!$A$4),INDEX(Report!$L$108:$L$126,_xlfn.XMATCH($B126,Report!$A$108:$A$126)),0),0)</f>
        <v>0</v>
      </c>
    </row>
    <row r="127" spans="2:17" outlineLevel="1">
      <c r="B127" s="1004" t="s">
        <v>64</v>
      </c>
      <c r="H127" s="935" t="s">
        <v>26</v>
      </c>
      <c r="J127" s="1021" cm="1">
        <f t="array" ref="J127">-IFERROR(IF(J$2=YEAR(Input!$A$4),INDEX(Report!$L$108:$L$126,_xlfn.XMATCH($B127,Report!$A$108:$A$126)),0),0)</f>
        <v>0</v>
      </c>
      <c r="K127" s="1021" cm="1">
        <f t="array" ref="K127">-IFERROR(IF(K$2=YEAR(Input!$A$4),INDEX(Report!$L$108:$L$126,_xlfn.XMATCH($B127,Report!$A$108:$A$126)),0),0)</f>
        <v>0</v>
      </c>
      <c r="L127" s="1021" cm="1">
        <f t="array" ref="L127">-IFERROR(IF(L$2=YEAR(Input!$A$4),INDEX(Report!$L$108:$L$126,_xlfn.XMATCH($B127,Report!$A$108:$A$126)),0),0)</f>
        <v>0</v>
      </c>
      <c r="M127" s="1021" cm="1">
        <f t="array" aca="1" ref="M127" ca="1">-IFERROR(IF(M$2=YEAR(Input!$A$4),INDEX(Report!$L$108:$L$126,_xlfn.XMATCH($B127,Report!$A$108:$A$126)),0),0)</f>
        <v>0</v>
      </c>
      <c r="N127" s="1021" cm="1">
        <f t="array" ref="N127">-IFERROR(IF(N$2=YEAR(Input!$A$4),INDEX(Report!$L$108:$L$126,_xlfn.XMATCH($B127,Report!$A$108:$A$126)),0),0)</f>
        <v>0</v>
      </c>
      <c r="O127" s="1021" cm="1">
        <f t="array" ref="O127">-IFERROR(IF(O$2=YEAR(Input!$A$4),INDEX(Report!$L$108:$L$126,_xlfn.XMATCH($B127,Report!$A$108:$A$126)),0),0)</f>
        <v>0</v>
      </c>
      <c r="P127" s="1021" cm="1">
        <f t="array" ref="P127">-IFERROR(IF(P$2=YEAR(Input!$A$4),INDEX(Report!$L$108:$L$126,_xlfn.XMATCH($B127,Report!$A$108:$A$126)),0),0)</f>
        <v>0</v>
      </c>
      <c r="Q127" s="1021" cm="1">
        <f t="array" ref="Q127">-IFERROR(IF(Q$2=YEAR(Input!$A$4),INDEX(Report!$L$108:$L$126,_xlfn.XMATCH($B127,Report!$A$108:$A$126)),0),0)</f>
        <v>0</v>
      </c>
    </row>
    <row r="128" spans="2:17" outlineLevel="1">
      <c r="B128" s="1004" t="s">
        <v>74</v>
      </c>
      <c r="H128" s="935" t="s">
        <v>26</v>
      </c>
      <c r="J128" s="1021" cm="1">
        <f t="array" ref="J128">-IFERROR(IF(J$2=YEAR(Input!$A$4),INDEX(Report!$L$108:$L$126,_xlfn.XMATCH($B128,Report!$A$108:$A$126)),0),0)</f>
        <v>0</v>
      </c>
      <c r="K128" s="1021" cm="1">
        <f t="array" ref="K128">-IFERROR(IF(K$2=YEAR(Input!$A$4),INDEX(Report!$L$108:$L$126,_xlfn.XMATCH($B128,Report!$A$108:$A$126)),0),0)</f>
        <v>0</v>
      </c>
      <c r="L128" s="1021" cm="1">
        <f t="array" ref="L128">-IFERROR(IF(L$2=YEAR(Input!$A$4),INDEX(Report!$L$108:$L$126,_xlfn.XMATCH($B128,Report!$A$108:$A$126)),0),0)</f>
        <v>0</v>
      </c>
      <c r="M128" s="1021" cm="1">
        <f t="array" ref="M128">-IFERROR(IF(M$2=YEAR(Input!$A$4),INDEX(Report!$L$108:$L$126,_xlfn.XMATCH($B128,Report!$A$108:$A$126)),0),0)</f>
        <v>0</v>
      </c>
      <c r="N128" s="1021" cm="1">
        <f t="array" ref="N128">-IFERROR(IF(N$2=YEAR(Input!$A$4),INDEX(Report!$L$108:$L$126,_xlfn.XMATCH($B128,Report!$A$108:$A$126)),0),0)</f>
        <v>0</v>
      </c>
      <c r="O128" s="1021" cm="1">
        <f t="array" ref="O128">-IFERROR(IF(O$2=YEAR(Input!$A$4),INDEX(Report!$L$108:$L$126,_xlfn.XMATCH($B128,Report!$A$108:$A$126)),0),0)</f>
        <v>0</v>
      </c>
      <c r="P128" s="1021" cm="1">
        <f t="array" ref="P128">-IFERROR(IF(P$2=YEAR(Input!$A$4),INDEX(Report!$L$108:$L$126,_xlfn.XMATCH($B128,Report!$A$108:$A$126)),0),0)</f>
        <v>0</v>
      </c>
      <c r="Q128" s="1021" cm="1">
        <f t="array" ref="Q128">-IFERROR(IF(Q$2=YEAR(Input!$A$4),INDEX(Report!$L$108:$L$126,_xlfn.XMATCH($B128,Report!$A$108:$A$126)),0),0)</f>
        <v>0</v>
      </c>
    </row>
    <row r="129" spans="2:17" outlineLevel="1">
      <c r="B129" s="1004" t="s">
        <v>75</v>
      </c>
      <c r="H129" s="935" t="s">
        <v>26</v>
      </c>
      <c r="J129" s="1021" cm="1">
        <f t="array" ref="J129">-IFERROR(IF(J$2=YEAR(Input!$A$4),INDEX(Report!$L$108:$L$126,_xlfn.XMATCH($B129,Report!$A$108:$A$126)),0),0)</f>
        <v>0</v>
      </c>
      <c r="K129" s="1021" cm="1">
        <f t="array" ref="K129">-IFERROR(IF(K$2=YEAR(Input!$A$4),INDEX(Report!$L$108:$L$126,_xlfn.XMATCH($B129,Report!$A$108:$A$126)),0),0)</f>
        <v>0</v>
      </c>
      <c r="L129" s="1021" cm="1">
        <f t="array" ref="L129">-IFERROR(IF(L$2=YEAR(Input!$A$4),INDEX(Report!$L$108:$L$126,_xlfn.XMATCH($B129,Report!$A$108:$A$126)),0),0)</f>
        <v>0</v>
      </c>
      <c r="M129" s="1021" cm="1">
        <f t="array" aca="1" ref="M129" ca="1">-IFERROR(IF(M$2=YEAR(Input!$A$4),INDEX(Report!$L$108:$L$126,_xlfn.XMATCH($B129,Report!$A$108:$A$126)),0),0)</f>
        <v>0</v>
      </c>
      <c r="N129" s="1021" cm="1">
        <f t="array" ref="N129">-IFERROR(IF(N$2=YEAR(Input!$A$4),INDEX(Report!$L$108:$L$126,_xlfn.XMATCH($B129,Report!$A$108:$A$126)),0),0)</f>
        <v>0</v>
      </c>
      <c r="O129" s="1021" cm="1">
        <f t="array" ref="O129">-IFERROR(IF(O$2=YEAR(Input!$A$4),INDEX(Report!$L$108:$L$126,_xlfn.XMATCH($B129,Report!$A$108:$A$126)),0),0)</f>
        <v>0</v>
      </c>
      <c r="P129" s="1021" cm="1">
        <f t="array" ref="P129">-IFERROR(IF(P$2=YEAR(Input!$A$4),INDEX(Report!$L$108:$L$126,_xlfn.XMATCH($B129,Report!$A$108:$A$126)),0),0)</f>
        <v>0</v>
      </c>
      <c r="Q129" s="1021" cm="1">
        <f t="array" ref="Q129">-IFERROR(IF(Q$2=YEAR(Input!$A$4),INDEX(Report!$L$108:$L$126,_xlfn.XMATCH($B129,Report!$A$108:$A$126)),0),0)</f>
        <v>0</v>
      </c>
    </row>
    <row r="130" spans="2:17" outlineLevel="1">
      <c r="B130" s="1004" t="s">
        <v>76</v>
      </c>
      <c r="H130" s="935" t="s">
        <v>26</v>
      </c>
      <c r="J130" s="1021" cm="1">
        <f t="array" ref="J130">-IFERROR(IF(J$2=YEAR(Input!$A$4),INDEX(Report!$L$108:$L$126,_xlfn.XMATCH($B130,Report!$A$108:$A$126)),0),0)</f>
        <v>0</v>
      </c>
      <c r="K130" s="1021" cm="1">
        <f t="array" ref="K130">-IFERROR(IF(K$2=YEAR(Input!$A$4),INDEX(Report!$L$108:$L$126,_xlfn.XMATCH($B130,Report!$A$108:$A$126)),0),0)</f>
        <v>0</v>
      </c>
      <c r="L130" s="1021" cm="1">
        <f t="array" ref="L130">-IFERROR(IF(L$2=YEAR(Input!$A$4),INDEX(Report!$L$108:$L$126,_xlfn.XMATCH($B130,Report!$A$108:$A$126)),0),0)</f>
        <v>0</v>
      </c>
      <c r="M130" s="1021" cm="1">
        <f t="array" aca="1" ref="M130" ca="1">-IFERROR(IF(M$2=YEAR(Input!$A$4),INDEX(Report!$L$108:$L$126,_xlfn.XMATCH($B130,Report!$A$108:$A$126)),0),0)</f>
        <v>0</v>
      </c>
      <c r="N130" s="1021" cm="1">
        <f t="array" ref="N130">-IFERROR(IF(N$2=YEAR(Input!$A$4),INDEX(Report!$L$108:$L$126,_xlfn.XMATCH($B130,Report!$A$108:$A$126)),0),0)</f>
        <v>0</v>
      </c>
      <c r="O130" s="1021" cm="1">
        <f t="array" ref="O130">-IFERROR(IF(O$2=YEAR(Input!$A$4),INDEX(Report!$L$108:$L$126,_xlfn.XMATCH($B130,Report!$A$108:$A$126)),0),0)</f>
        <v>0</v>
      </c>
      <c r="P130" s="1021" cm="1">
        <f t="array" ref="P130">-IFERROR(IF(P$2=YEAR(Input!$A$4),INDEX(Report!$L$108:$L$126,_xlfn.XMATCH($B130,Report!$A$108:$A$126)),0),0)</f>
        <v>0</v>
      </c>
      <c r="Q130" s="1021" cm="1">
        <f t="array" ref="Q130">-IFERROR(IF(Q$2=YEAR(Input!$A$4),INDEX(Report!$L$108:$L$126,_xlfn.XMATCH($B130,Report!$A$108:$A$126)),0),0)</f>
        <v>0</v>
      </c>
    </row>
    <row r="131" spans="2:17" outlineLevel="1">
      <c r="B131" s="1004" t="s">
        <v>77</v>
      </c>
      <c r="H131" s="935" t="s">
        <v>26</v>
      </c>
      <c r="J131" s="1021" cm="1">
        <f t="array" ref="J131">-IFERROR(IF(J$2=YEAR(Input!$A$4),INDEX(Report!$L$108:$L$126,_xlfn.XMATCH($B131,Report!$A$108:$A$126)),0),0)</f>
        <v>0</v>
      </c>
      <c r="K131" s="1021" cm="1">
        <f t="array" ref="K131">-IFERROR(IF(K$2=YEAR(Input!$A$4),INDEX(Report!$L$108:$L$126,_xlfn.XMATCH($B131,Report!$A$108:$A$126)),0),0)</f>
        <v>0</v>
      </c>
      <c r="L131" s="1021" cm="1">
        <f t="array" ref="L131">-IFERROR(IF(L$2=YEAR(Input!$A$4),INDEX(Report!$L$108:$L$126,_xlfn.XMATCH($B131,Report!$A$108:$A$126)),0),0)</f>
        <v>0</v>
      </c>
      <c r="M131" s="1021" cm="1">
        <f t="array" ref="M131">-IFERROR(IF(M$2=YEAR(Input!$A$4),INDEX(Report!$L$108:$L$126,_xlfn.XMATCH($B131,Report!$A$108:$A$126)),0),0)</f>
        <v>0</v>
      </c>
      <c r="N131" s="1021" cm="1">
        <f t="array" ref="N131">-IFERROR(IF(N$2=YEAR(Input!$A$4),INDEX(Report!$L$108:$L$126,_xlfn.XMATCH($B131,Report!$A$108:$A$126)),0),0)</f>
        <v>0</v>
      </c>
      <c r="O131" s="1021" cm="1">
        <f t="array" ref="O131">-IFERROR(IF(O$2=YEAR(Input!$A$4),INDEX(Report!$L$108:$L$126,_xlfn.XMATCH($B131,Report!$A$108:$A$126)),0),0)</f>
        <v>0</v>
      </c>
      <c r="P131" s="1021" cm="1">
        <f t="array" ref="P131">-IFERROR(IF(P$2=YEAR(Input!$A$4),INDEX(Report!$L$108:$L$126,_xlfn.XMATCH($B131,Report!$A$108:$A$126)),0),0)</f>
        <v>0</v>
      </c>
      <c r="Q131" s="1021" cm="1">
        <f t="array" ref="Q131">-IFERROR(IF(Q$2=YEAR(Input!$A$4),INDEX(Report!$L$108:$L$126,_xlfn.XMATCH($B131,Report!$A$108:$A$126)),0),0)</f>
        <v>0</v>
      </c>
    </row>
    <row r="132" spans="2:17" outlineLevel="1">
      <c r="B132" s="1004" t="s">
        <v>78</v>
      </c>
      <c r="H132" s="935" t="s">
        <v>26</v>
      </c>
      <c r="J132" s="1021" cm="1">
        <f t="array" ref="J132">-IFERROR(IF(J$2=YEAR(Input!$A$4),INDEX(Report!$L$108:$L$126,_xlfn.XMATCH($B132,Report!$A$108:$A$126)),0),0)</f>
        <v>0</v>
      </c>
      <c r="K132" s="1021" cm="1">
        <f t="array" ref="K132">-IFERROR(IF(K$2=YEAR(Input!$A$4),INDEX(Report!$L$108:$L$126,_xlfn.XMATCH($B132,Report!$A$108:$A$126)),0),0)</f>
        <v>0</v>
      </c>
      <c r="L132" s="1021" cm="1">
        <f t="array" ref="L132">-IFERROR(IF(L$2=YEAR(Input!$A$4),INDEX(Report!$L$108:$L$126,_xlfn.XMATCH($B132,Report!$A$108:$A$126)),0),0)</f>
        <v>0</v>
      </c>
      <c r="M132" s="1021" cm="1">
        <f t="array" ref="M132">-IFERROR(IF(M$2=YEAR(Input!$A$4),INDEX(Report!$L$108:$L$126,_xlfn.XMATCH($B132,Report!$A$108:$A$126)),0),0)</f>
        <v>0</v>
      </c>
      <c r="N132" s="1021" cm="1">
        <f t="array" ref="N132">-IFERROR(IF(N$2=YEAR(Input!$A$4),INDEX(Report!$L$108:$L$126,_xlfn.XMATCH($B132,Report!$A$108:$A$126)),0),0)</f>
        <v>0</v>
      </c>
      <c r="O132" s="1021" cm="1">
        <f t="array" ref="O132">-IFERROR(IF(O$2=YEAR(Input!$A$4),INDEX(Report!$L$108:$L$126,_xlfn.XMATCH($B132,Report!$A$108:$A$126)),0),0)</f>
        <v>0</v>
      </c>
      <c r="P132" s="1021" cm="1">
        <f t="array" ref="P132">-IFERROR(IF(P$2=YEAR(Input!$A$4),INDEX(Report!$L$108:$L$126,_xlfn.XMATCH($B132,Report!$A$108:$A$126)),0),0)</f>
        <v>0</v>
      </c>
      <c r="Q132" s="1021" cm="1">
        <f t="array" ref="Q132">-IFERROR(IF(Q$2=YEAR(Input!$A$4),INDEX(Report!$L$108:$L$126,_xlfn.XMATCH($B132,Report!$A$108:$A$126)),0),0)</f>
        <v>0</v>
      </c>
    </row>
    <row r="133" spans="2:17" outlineLevel="1">
      <c r="B133" s="1004" t="s">
        <v>81</v>
      </c>
      <c r="H133" s="935" t="s">
        <v>26</v>
      </c>
      <c r="J133" s="1021" cm="1">
        <f t="array" ref="J133">-IFERROR(IF(J$2=YEAR(Input!$A$4),INDEX(Report!$L$108:$L$126,_xlfn.XMATCH($B133,Report!$A$108:$A$126)),0),0)</f>
        <v>0</v>
      </c>
      <c r="K133" s="1021" cm="1">
        <f t="array" ref="K133">-IFERROR(IF(K$2=YEAR(Input!$A$4),INDEX(Report!$L$108:$L$126,_xlfn.XMATCH($B133,Report!$A$108:$A$126)),0),0)</f>
        <v>0</v>
      </c>
      <c r="L133" s="1021" cm="1">
        <f t="array" ref="L133">-IFERROR(IF(L$2=YEAR(Input!$A$4),INDEX(Report!$L$108:$L$126,_xlfn.XMATCH($B133,Report!$A$108:$A$126)),0),0)</f>
        <v>0</v>
      </c>
      <c r="M133" s="1021" cm="1">
        <f t="array" ref="M133">-IFERROR(IF(M$2=YEAR(Input!$A$4),INDEX(Report!$L$108:$L$126,_xlfn.XMATCH($B133,Report!$A$108:$A$126)),0),0)</f>
        <v>0</v>
      </c>
      <c r="N133" s="1021" cm="1">
        <f t="array" ref="N133">-IFERROR(IF(N$2=YEAR(Input!$A$4),INDEX(Report!$L$108:$L$126,_xlfn.XMATCH($B133,Report!$A$108:$A$126)),0),0)</f>
        <v>0</v>
      </c>
      <c r="O133" s="1021" cm="1">
        <f t="array" ref="O133">-IFERROR(IF(O$2=YEAR(Input!$A$4),INDEX(Report!$L$108:$L$126,_xlfn.XMATCH($B133,Report!$A$108:$A$126)),0),0)</f>
        <v>0</v>
      </c>
      <c r="P133" s="1021" cm="1">
        <f t="array" ref="P133">-IFERROR(IF(P$2=YEAR(Input!$A$4),INDEX(Report!$L$108:$L$126,_xlfn.XMATCH($B133,Report!$A$108:$A$126)),0),0)</f>
        <v>0</v>
      </c>
      <c r="Q133" s="1021" cm="1">
        <f t="array" ref="Q133">-IFERROR(IF(Q$2=YEAR(Input!$A$4),INDEX(Report!$L$108:$L$126,_xlfn.XMATCH($B133,Report!$A$108:$A$126)),0),0)</f>
        <v>0</v>
      </c>
    </row>
    <row r="134" spans="2:17" outlineLevel="1">
      <c r="B134" s="1004" t="s">
        <v>88</v>
      </c>
      <c r="H134" s="935" t="s">
        <v>26</v>
      </c>
      <c r="J134" s="1021" cm="1">
        <f t="array" ref="J134">-IFERROR(IF(J$2=YEAR(Input!$A$4),INDEX(Report!$L$108:$L$126,_xlfn.XMATCH($B134,Report!$A$108:$A$126)),0),0)</f>
        <v>0</v>
      </c>
      <c r="K134" s="1021" cm="1">
        <f t="array" ref="K134">-IFERROR(IF(K$2=YEAR(Input!$A$4),INDEX(Report!$L$108:$L$126,_xlfn.XMATCH($B134,Report!$A$108:$A$126)),0),0)</f>
        <v>0</v>
      </c>
      <c r="L134" s="1021" cm="1">
        <f t="array" ref="L134">-IFERROR(IF(L$2=YEAR(Input!$A$4),INDEX(Report!$L$108:$L$126,_xlfn.XMATCH($B134,Report!$A$108:$A$126)),0),0)</f>
        <v>0</v>
      </c>
      <c r="M134" s="1021" cm="1">
        <f t="array" ref="M134">-IFERROR(IF(M$2=YEAR(Input!$A$4),INDEX(Report!$L$108:$L$126,_xlfn.XMATCH($B134,Report!$A$108:$A$126)),0),0)</f>
        <v>0</v>
      </c>
      <c r="N134" s="1021" cm="1">
        <f t="array" ref="N134">-IFERROR(IF(N$2=YEAR(Input!$A$4),INDEX(Report!$L$108:$L$126,_xlfn.XMATCH($B134,Report!$A$108:$A$126)),0),0)</f>
        <v>0</v>
      </c>
      <c r="O134" s="1021" cm="1">
        <f t="array" ref="O134">-IFERROR(IF(O$2=YEAR(Input!$A$4),INDEX(Report!$L$108:$L$126,_xlfn.XMATCH($B134,Report!$A$108:$A$126)),0),0)</f>
        <v>0</v>
      </c>
      <c r="P134" s="1021" cm="1">
        <f t="array" ref="P134">-IFERROR(IF(P$2=YEAR(Input!$A$4),INDEX(Report!$L$108:$L$126,_xlfn.XMATCH($B134,Report!$A$108:$A$126)),0),0)</f>
        <v>0</v>
      </c>
      <c r="Q134" s="1021" cm="1">
        <f t="array" ref="Q134">-IFERROR(IF(Q$2=YEAR(Input!$A$4),INDEX(Report!$L$108:$L$126,_xlfn.XMATCH($B134,Report!$A$108:$A$126)),0),0)</f>
        <v>0</v>
      </c>
    </row>
    <row r="135" spans="2:17" outlineLevel="1">
      <c r="B135" s="1004" t="s">
        <v>65</v>
      </c>
      <c r="H135" s="935" t="s">
        <v>26</v>
      </c>
      <c r="J135" s="1021" cm="1">
        <f t="array" ref="J135">-IFERROR(IF(J$2=YEAR(Input!$A$4),INDEX(Report!$L$108:$L$126,_xlfn.XMATCH($B135,Report!$A$108:$A$126)),0),0)</f>
        <v>0</v>
      </c>
      <c r="K135" s="1021" cm="1">
        <f t="array" ref="K135">-IFERROR(IF(K$2=YEAR(Input!$A$4),INDEX(Report!$L$108:$L$126,_xlfn.XMATCH($B135,Report!$A$108:$A$126)),0),0)</f>
        <v>0</v>
      </c>
      <c r="L135" s="1021" cm="1">
        <f t="array" ref="L135">-IFERROR(IF(L$2=YEAR(Input!$A$4),INDEX(Report!$L$108:$L$126,_xlfn.XMATCH($B135,Report!$A$108:$A$126)),0),0)</f>
        <v>0</v>
      </c>
      <c r="M135" s="1021" cm="1">
        <f t="array" aca="1" ref="M135" ca="1">-IFERROR(IF(M$2=YEAR(Input!$A$4),INDEX(Report!$L$108:$L$126,_xlfn.XMATCH($B135,Report!$A$108:$A$126)),0),0)</f>
        <v>0</v>
      </c>
      <c r="N135" s="1021" cm="1">
        <f t="array" ref="N135">-IFERROR(IF(N$2=YEAR(Input!$A$4),INDEX(Report!$L$108:$L$126,_xlfn.XMATCH($B135,Report!$A$108:$A$126)),0),0)</f>
        <v>0</v>
      </c>
      <c r="O135" s="1021" cm="1">
        <f t="array" ref="O135">-IFERROR(IF(O$2=YEAR(Input!$A$4),INDEX(Report!$L$108:$L$126,_xlfn.XMATCH($B135,Report!$A$108:$A$126)),0),0)</f>
        <v>0</v>
      </c>
      <c r="P135" s="1021" cm="1">
        <f t="array" ref="P135">-IFERROR(IF(P$2=YEAR(Input!$A$4),INDEX(Report!$L$108:$L$126,_xlfn.XMATCH($B135,Report!$A$108:$A$126)),0),0)</f>
        <v>0</v>
      </c>
      <c r="Q135" s="1021" cm="1">
        <f t="array" ref="Q135">-IFERROR(IF(Q$2=YEAR(Input!$A$4),INDEX(Report!$L$108:$L$126,_xlfn.XMATCH($B135,Report!$A$108:$A$126)),0),0)</f>
        <v>0</v>
      </c>
    </row>
    <row r="136" spans="2:17" outlineLevel="1">
      <c r="B136" s="1004" t="s">
        <v>89</v>
      </c>
      <c r="H136" s="935" t="s">
        <v>26</v>
      </c>
      <c r="J136" s="1021" cm="1">
        <f t="array" ref="J136">-IFERROR(IF(J$2=YEAR(Input!$A$4),INDEX(Report!$L$108:$L$126,_xlfn.XMATCH($B136,Report!$A$108:$A$126)),0),0)</f>
        <v>0</v>
      </c>
      <c r="K136" s="1021" cm="1">
        <f t="array" ref="K136">-IFERROR(IF(K$2=YEAR(Input!$A$4),INDEX(Report!$L$108:$L$126,_xlfn.XMATCH($B136,Report!$A$108:$A$126)),0),0)</f>
        <v>0</v>
      </c>
      <c r="L136" s="1021" cm="1">
        <f t="array" ref="L136">-IFERROR(IF(L$2=YEAR(Input!$A$4),INDEX(Report!$L$108:$L$126,_xlfn.XMATCH($B136,Report!$A$108:$A$126)),0),0)</f>
        <v>0</v>
      </c>
      <c r="M136" s="1021" cm="1">
        <f t="array" ref="M136">-IFERROR(IF(M$2=YEAR(Input!$A$4),INDEX(Report!$L$108:$L$126,_xlfn.XMATCH($B136,Report!$A$108:$A$126)),0),0)</f>
        <v>0</v>
      </c>
      <c r="N136" s="1021" cm="1">
        <f t="array" ref="N136">-IFERROR(IF(N$2=YEAR(Input!$A$4),INDEX(Report!$L$108:$L$126,_xlfn.XMATCH($B136,Report!$A$108:$A$126)),0),0)</f>
        <v>0</v>
      </c>
      <c r="O136" s="1021" cm="1">
        <f t="array" ref="O136">-IFERROR(IF(O$2=YEAR(Input!$A$4),INDEX(Report!$L$108:$L$126,_xlfn.XMATCH($B136,Report!$A$108:$A$126)),0),0)</f>
        <v>0</v>
      </c>
      <c r="P136" s="1021" cm="1">
        <f t="array" ref="P136">-IFERROR(IF(P$2=YEAR(Input!$A$4),INDEX(Report!$L$108:$L$126,_xlfn.XMATCH($B136,Report!$A$108:$A$126)),0),0)</f>
        <v>0</v>
      </c>
      <c r="Q136" s="1021" cm="1">
        <f t="array" ref="Q136">-IFERROR(IF(Q$2=YEAR(Input!$A$4),INDEX(Report!$L$108:$L$126,_xlfn.XMATCH($B136,Report!$A$108:$A$126)),0),0)</f>
        <v>0</v>
      </c>
    </row>
    <row r="137" spans="2:17" outlineLevel="1">
      <c r="B137" s="1004" t="s">
        <v>66</v>
      </c>
      <c r="H137" s="935" t="s">
        <v>26</v>
      </c>
      <c r="J137" s="1021" cm="1">
        <f t="array" ref="J137">-IFERROR(IF(J$2=YEAR(Input!$A$4),INDEX(Report!$L$108:$L$126,_xlfn.XMATCH($B137,Report!$A$108:$A$126)),0),0)</f>
        <v>0</v>
      </c>
      <c r="K137" s="1021" cm="1">
        <f t="array" ref="K137">-IFERROR(IF(K$2=YEAR(Input!$A$4),INDEX(Report!$L$108:$L$126,_xlfn.XMATCH($B137,Report!$A$108:$A$126)),0),0)</f>
        <v>0</v>
      </c>
      <c r="L137" s="1021" cm="1">
        <f t="array" ref="L137">-IFERROR(IF(L$2=YEAR(Input!$A$4),INDEX(Report!$L$108:$L$126,_xlfn.XMATCH($B137,Report!$A$108:$A$126)),0),0)</f>
        <v>0</v>
      </c>
      <c r="M137" s="1021" cm="1">
        <f t="array" aca="1" ref="M137" ca="1">-IFERROR(IF(M$2=YEAR(Input!$A$4),INDEX(Report!$L$108:$L$126,_xlfn.XMATCH($B137,Report!$A$108:$A$126)),0),0)</f>
        <v>0</v>
      </c>
      <c r="N137" s="1021" cm="1">
        <f t="array" ref="N137">-IFERROR(IF(N$2=YEAR(Input!$A$4),INDEX(Report!$L$108:$L$126,_xlfn.XMATCH($B137,Report!$A$108:$A$126)),0),0)</f>
        <v>0</v>
      </c>
      <c r="O137" s="1021" cm="1">
        <f t="array" ref="O137">-IFERROR(IF(O$2=YEAR(Input!$A$4),INDEX(Report!$L$108:$L$126,_xlfn.XMATCH($B137,Report!$A$108:$A$126)),0),0)</f>
        <v>0</v>
      </c>
      <c r="P137" s="1021" cm="1">
        <f t="array" ref="P137">-IFERROR(IF(P$2=YEAR(Input!$A$4),INDEX(Report!$L$108:$L$126,_xlfn.XMATCH($B137,Report!$A$108:$A$126)),0),0)</f>
        <v>0</v>
      </c>
      <c r="Q137" s="1021" cm="1">
        <f t="array" ref="Q137">-IFERROR(IF(Q$2=YEAR(Input!$A$4),INDEX(Report!$L$108:$L$126,_xlfn.XMATCH($B137,Report!$A$108:$A$126)),0),0)</f>
        <v>0</v>
      </c>
    </row>
    <row r="138" spans="2:17" outlineLevel="1">
      <c r="B138" s="1004" t="s">
        <v>67</v>
      </c>
      <c r="H138" s="935" t="s">
        <v>26</v>
      </c>
      <c r="J138" s="1021" cm="1">
        <f t="array" ref="J138">-IFERROR(IF(J$2=YEAR(Input!$A$4),INDEX(Report!$L$108:$L$126,_xlfn.XMATCH($B138,Report!$A$108:$A$126)),0),0)</f>
        <v>0</v>
      </c>
      <c r="K138" s="1021" cm="1">
        <f t="array" ref="K138">-IFERROR(IF(K$2=YEAR(Input!$A$4),INDEX(Report!$L$108:$L$126,_xlfn.XMATCH($B138,Report!$A$108:$A$126)),0),0)</f>
        <v>0</v>
      </c>
      <c r="L138" s="1021" cm="1">
        <f t="array" ref="L138">-IFERROR(IF(L$2=YEAR(Input!$A$4),INDEX(Report!$L$108:$L$126,_xlfn.XMATCH($B138,Report!$A$108:$A$126)),0),0)</f>
        <v>0</v>
      </c>
      <c r="M138" s="1021" cm="1">
        <f t="array" aca="1" ref="M138" ca="1">-IFERROR(IF(M$2=YEAR(Input!$A$4),INDEX(Report!$L$108:$L$126,_xlfn.XMATCH($B138,Report!$A$108:$A$126)),0),0)</f>
        <v>0</v>
      </c>
      <c r="N138" s="1021" cm="1">
        <f t="array" ref="N138">-IFERROR(IF(N$2=YEAR(Input!$A$4),INDEX(Report!$L$108:$L$126,_xlfn.XMATCH($B138,Report!$A$108:$A$126)),0),0)</f>
        <v>0</v>
      </c>
      <c r="O138" s="1021" cm="1">
        <f t="array" ref="O138">-IFERROR(IF(O$2=YEAR(Input!$A$4),INDEX(Report!$L$108:$L$126,_xlfn.XMATCH($B138,Report!$A$108:$A$126)),0),0)</f>
        <v>0</v>
      </c>
      <c r="P138" s="1021" cm="1">
        <f t="array" ref="P138">-IFERROR(IF(P$2=YEAR(Input!$A$4),INDEX(Report!$L$108:$L$126,_xlfn.XMATCH($B138,Report!$A$108:$A$126)),0),0)</f>
        <v>0</v>
      </c>
      <c r="Q138" s="1021" cm="1">
        <f t="array" ref="Q138">-IFERROR(IF(Q$2=YEAR(Input!$A$4),INDEX(Report!$L$108:$L$126,_xlfn.XMATCH($B138,Report!$A$108:$A$126)),0),0)</f>
        <v>0</v>
      </c>
    </row>
    <row r="139" spans="2:17" outlineLevel="1">
      <c r="B139" s="1008" t="s">
        <v>90</v>
      </c>
      <c r="C139" s="936"/>
      <c r="H139" s="935" t="s">
        <v>26</v>
      </c>
      <c r="J139" s="1023">
        <f>SUM(J119:J138)</f>
        <v>0</v>
      </c>
      <c r="K139" s="1023">
        <f t="shared" ref="K139:Q139" si="56">SUM(K119:K138)</f>
        <v>0</v>
      </c>
      <c r="L139" s="1023">
        <f t="shared" si="56"/>
        <v>0</v>
      </c>
      <c r="M139" s="1023">
        <f t="shared" ca="1" si="56"/>
        <v>-20453.900000000001</v>
      </c>
      <c r="N139" s="1023">
        <f t="shared" si="56"/>
        <v>0</v>
      </c>
      <c r="O139" s="1023">
        <f t="shared" si="56"/>
        <v>0</v>
      </c>
      <c r="P139" s="1023">
        <f t="shared" si="56"/>
        <v>0</v>
      </c>
      <c r="Q139" s="1023">
        <f t="shared" si="56"/>
        <v>0</v>
      </c>
    </row>
    <row r="140" spans="2:17" outlineLevel="1"/>
    <row r="141" spans="2:17" ht="15" outlineLevel="1">
      <c r="B141" s="926" t="s">
        <v>91</v>
      </c>
      <c r="H141" s="937" cm="1">
        <f t="array" ref="H141">IF(ABS(INDEX($J143:$Q143,_xlfn.XMATCH(YEAR(Input!$A$4),$J$2:$Q$2))-(Report!$R$128))&gt;Tolerance,1,0)</f>
        <v>0</v>
      </c>
      <c r="J141" s="944"/>
      <c r="K141" s="944"/>
    </row>
    <row r="142" spans="2:17" outlineLevel="1">
      <c r="B142" s="1010" t="s">
        <v>25</v>
      </c>
      <c r="H142" s="935" t="s">
        <v>26</v>
      </c>
      <c r="J142" s="1021">
        <f>IF(J$2=YEAR(Input!$A$4),Report!$R106,0)</f>
        <v>0</v>
      </c>
      <c r="K142" s="1021">
        <f>IF(K$2=YEAR(Input!$A$4),Report!$R106,0)</f>
        <v>0</v>
      </c>
      <c r="L142" s="1021">
        <f>IF(L$2=YEAR(Input!$A$4),Report!$R106,0)</f>
        <v>0</v>
      </c>
      <c r="M142" s="1021">
        <f>IF(M$2=YEAR(Input!$A$4),Report!$R106,0)</f>
        <v>-495.59999999999997</v>
      </c>
      <c r="N142" s="1021">
        <f>IF(N$2=YEAR(Input!$A$4),Report!$R106,0)</f>
        <v>0</v>
      </c>
      <c r="O142" s="1021">
        <f>IF(O$2=YEAR(Input!$A$4),Report!$R106,0)</f>
        <v>0</v>
      </c>
      <c r="P142" s="1021">
        <f>IF(P$2=YEAR(Input!$A$4),Report!$R106,0)</f>
        <v>0</v>
      </c>
      <c r="Q142" s="1021">
        <f>IF(Q$2=YEAR(Input!$A$4),Report!$R106,0)</f>
        <v>0</v>
      </c>
    </row>
    <row r="143" spans="2:17" outlineLevel="1">
      <c r="B143" s="1008" t="s">
        <v>92</v>
      </c>
      <c r="C143" s="936"/>
      <c r="H143" s="935" t="s">
        <v>26</v>
      </c>
      <c r="J143" s="1023">
        <f>SUM(J142)</f>
        <v>0</v>
      </c>
      <c r="K143" s="1023">
        <f t="shared" ref="K143:Q143" si="57">SUM(K142)</f>
        <v>0</v>
      </c>
      <c r="L143" s="1023">
        <f t="shared" si="57"/>
        <v>0</v>
      </c>
      <c r="M143" s="1023">
        <f t="shared" si="57"/>
        <v>-495.59999999999997</v>
      </c>
      <c r="N143" s="1023">
        <f t="shared" si="57"/>
        <v>0</v>
      </c>
      <c r="O143" s="1023">
        <f t="shared" si="57"/>
        <v>0</v>
      </c>
      <c r="P143" s="1023">
        <f t="shared" si="57"/>
        <v>0</v>
      </c>
      <c r="Q143" s="1023">
        <f t="shared" si="57"/>
        <v>0</v>
      </c>
    </row>
    <row r="145" spans="1:114" ht="14.25">
      <c r="A145" t="s">
        <v>15</v>
      </c>
      <c r="B145" s="932" t="s">
        <v>93</v>
      </c>
      <c r="C145" s="932"/>
      <c r="D145" s="932"/>
      <c r="E145" s="932"/>
      <c r="F145" s="932"/>
      <c r="G145" s="932"/>
      <c r="H145" s="932"/>
      <c r="I145" s="932"/>
      <c r="J145" s="932"/>
      <c r="K145" s="932"/>
      <c r="L145" s="932"/>
      <c r="M145" s="932"/>
      <c r="N145" s="932"/>
      <c r="O145" s="932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932"/>
      <c r="AB145" s="932"/>
      <c r="AC145" s="932"/>
      <c r="AD145" s="932"/>
      <c r="AE145" s="932"/>
      <c r="AF145" s="932"/>
      <c r="AG145" s="932"/>
      <c r="AH145" s="932"/>
      <c r="AI145" s="932"/>
      <c r="AJ145" s="932"/>
      <c r="AK145" s="932"/>
      <c r="AL145" s="932"/>
      <c r="AM145" s="932"/>
      <c r="AN145" s="932"/>
      <c r="AO145" s="932"/>
      <c r="AP145" s="932"/>
      <c r="AQ145" s="932"/>
      <c r="AR145" s="932"/>
      <c r="AS145" s="932"/>
      <c r="AT145" s="932"/>
      <c r="AU145" s="932"/>
      <c r="AV145" s="932"/>
      <c r="AW145" s="932"/>
      <c r="AX145" s="932"/>
      <c r="AY145" s="932"/>
      <c r="AZ145" s="932"/>
      <c r="BA145" s="932"/>
      <c r="BB145" s="932"/>
      <c r="BC145" s="932"/>
      <c r="BD145" s="932"/>
      <c r="BE145" s="932"/>
      <c r="BF145" s="932"/>
      <c r="BG145" s="932"/>
      <c r="BH145" s="932"/>
      <c r="BI145" s="932"/>
      <c r="BJ145" s="932"/>
      <c r="BK145" s="932"/>
      <c r="BL145" s="932"/>
      <c r="BM145" s="932"/>
      <c r="BN145" s="932"/>
      <c r="BO145" s="932"/>
      <c r="BP145" s="932"/>
      <c r="BQ145" s="932"/>
      <c r="BR145" s="932"/>
      <c r="BS145" s="932"/>
      <c r="BT145" s="932"/>
      <c r="BU145" s="932"/>
      <c r="BV145" s="932"/>
      <c r="BW145" s="932"/>
      <c r="BX145" s="932"/>
      <c r="BY145" s="932"/>
      <c r="BZ145" s="932"/>
      <c r="CA145" s="932"/>
      <c r="CB145" s="932"/>
      <c r="CC145" s="932"/>
      <c r="CD145" s="932"/>
      <c r="CE145" s="932"/>
      <c r="CF145" s="932"/>
      <c r="CG145" s="932"/>
      <c r="CH145" s="932"/>
      <c r="CI145" s="932"/>
      <c r="CJ145" s="932"/>
      <c r="CK145" s="932"/>
      <c r="CL145" s="932"/>
      <c r="CM145" s="932"/>
      <c r="CN145" s="932"/>
      <c r="CO145" s="932"/>
      <c r="CP145" s="932"/>
      <c r="CQ145" s="932"/>
      <c r="CR145" s="932"/>
      <c r="CS145" s="932"/>
      <c r="CT145" s="932"/>
      <c r="CU145" s="932"/>
      <c r="CV145" s="932"/>
      <c r="CW145" s="932"/>
      <c r="CX145" s="932"/>
      <c r="CY145" s="932"/>
      <c r="CZ145" s="932"/>
      <c r="DA145" s="932"/>
      <c r="DB145" s="932"/>
      <c r="DC145" s="932"/>
      <c r="DD145" s="932"/>
      <c r="DE145" s="932"/>
      <c r="DF145" s="932"/>
      <c r="DG145" s="932"/>
      <c r="DH145" s="932"/>
      <c r="DI145" s="932"/>
      <c r="DJ145" s="932"/>
    </row>
    <row r="146" spans="1:114" outlineLevel="1">
      <c r="B146" s="930" t="s">
        <v>94</v>
      </c>
    </row>
    <row r="147" spans="1:114" outlineLevel="1"/>
    <row r="148" spans="1:114" ht="15" outlineLevel="1">
      <c r="B148" s="945" t="s">
        <v>95</v>
      </c>
      <c r="H148" s="937" t="e" cm="1">
        <f t="array" aca="1" ref="H148" ca="1">IF(ABS(INDEX($J155:$Q155,_xlfn.XMATCH(YEAR(Input!$A$4),$J$2:$Q$2))-(Report!$H$171))&gt;Tolerance,1,0)</f>
        <v>#NAME?</v>
      </c>
    </row>
    <row r="149" spans="1:114" outlineLevel="1">
      <c r="B149" s="927" t="s">
        <v>96</v>
      </c>
      <c r="H149" s="935" t="s">
        <v>26</v>
      </c>
      <c r="J149" s="1021" cm="1">
        <f t="array" ref="J149">IF(J$2=YEAR(Input!$A$4),INDEX(Report!$H$160:$H$171,_xlfn.XMATCH($B149,Report!$A$160:$A$171)),0)</f>
        <v>0</v>
      </c>
      <c r="K149" s="1021" cm="1">
        <f t="array" ref="K149">IF(K$2=YEAR(Input!$A$4),INDEX(Report!$H$168:$H$178,_xlfn.XMATCH($B149,Report!$A$168:$A$178)),0)</f>
        <v>0</v>
      </c>
      <c r="L149" s="1021" cm="1">
        <f t="array" ref="L149">IF(L$2=YEAR(Input!$A$4),INDEX(Report!$H$160:$H$171,_xlfn.XMATCH($B149,Report!$A$160:$A$171)),0)</f>
        <v>0</v>
      </c>
      <c r="M149" s="1021" t="e" cm="1">
        <f t="array" aca="1" ref="M149" ca="1">IF(M$2=YEAR(Input!$A$4),INDEX(Report!$H$160:$H$171,_xlfn.XMATCH($B149,Report!$A$160:$A$171)),0)</f>
        <v>#NAME?</v>
      </c>
      <c r="N149" s="1021" cm="1">
        <f t="array" ref="N149">IF(N$2=YEAR(Input!$A$4),INDEX(Report!$H$168:$H$178,_xlfn.XMATCH($B149,Report!$A$168:$A$178)),0)</f>
        <v>0</v>
      </c>
      <c r="O149" s="1021" cm="1">
        <f t="array" ref="O149">IF(O$2=YEAR(Input!$A$4),INDEX(Report!$H$168:$H$178,_xlfn.XMATCH($B149,Report!$A$168:$A$178)),0)</f>
        <v>0</v>
      </c>
      <c r="P149" s="1021" cm="1">
        <f t="array" ref="P149">IF(P$2=YEAR(Input!$A$4),INDEX(Report!$H$168:$H$178,_xlfn.XMATCH($B149,Report!$A$168:$A$178)),0)</f>
        <v>0</v>
      </c>
      <c r="Q149" s="1021" cm="1">
        <f t="array" ref="Q149">IF(Q$2=YEAR(Input!$A$4),INDEX(Report!$H$168:$H$178,_xlfn.XMATCH($B149,Report!$A$168:$A$178)),0)</f>
        <v>0</v>
      </c>
    </row>
    <row r="150" spans="1:114" outlineLevel="1">
      <c r="B150" s="927" t="s">
        <v>97</v>
      </c>
      <c r="H150" s="935" t="s">
        <v>26</v>
      </c>
      <c r="J150" s="1021" cm="1">
        <f t="array" ref="J150">IF(J$2=YEAR(Input!$A$4),INDEX(Report!$H$160:$H$171,_xlfn.XMATCH($B150,Report!$A$160:$A$171)),0)</f>
        <v>0</v>
      </c>
      <c r="K150" s="1021" cm="1">
        <f t="array" ref="K150">IF(K$2=YEAR(Input!$A$4),INDEX(Report!$H$168:$H$178,_xlfn.XMATCH($B150,Report!$A$168:$A$178)),0)</f>
        <v>0</v>
      </c>
      <c r="L150" s="1021" cm="1">
        <f t="array" ref="L150">IF(L$2=YEAR(Input!$A$4),INDEX(Report!$H$160:$H$171,_xlfn.XMATCH($B150,Report!$A$160:$A$171)),0)</f>
        <v>0</v>
      </c>
      <c r="M150" s="1021" t="e" cm="1">
        <f t="array" aca="1" ref="M150" ca="1">IF(M$2=YEAR(Input!$A$4),INDEX(Report!$H$160:$H$171,_xlfn.XMATCH($B150,Report!$A$160:$A$171)),0)</f>
        <v>#NAME?</v>
      </c>
      <c r="N150" s="1021" cm="1">
        <f t="array" ref="N150">IF(N$2=YEAR(Input!$A$4),INDEX(Report!$H$168:$H$178,_xlfn.XMATCH($B150,Report!$A$168:$A$178)),0)</f>
        <v>0</v>
      </c>
      <c r="O150" s="1021" cm="1">
        <f t="array" ref="O150">IF(O$2=YEAR(Input!$A$4),INDEX(Report!$H$168:$H$178,_xlfn.XMATCH($B150,Report!$A$168:$A$178)),0)</f>
        <v>0</v>
      </c>
      <c r="P150" s="1021" cm="1">
        <f t="array" ref="P150">IF(P$2=YEAR(Input!$A$4),INDEX(Report!$H$168:$H$178,_xlfn.XMATCH($B150,Report!$A$168:$A$178)),0)</f>
        <v>0</v>
      </c>
      <c r="Q150" s="1021" cm="1">
        <f t="array" ref="Q150">IF(Q$2=YEAR(Input!$A$4),INDEX(Report!$H$168:$H$178,_xlfn.XMATCH($B150,Report!$A$168:$A$178)),0)</f>
        <v>0</v>
      </c>
    </row>
    <row r="151" spans="1:114" outlineLevel="1">
      <c r="B151" s="927" t="s">
        <v>98</v>
      </c>
      <c r="H151" s="935" t="s">
        <v>26</v>
      </c>
      <c r="J151" s="1021" cm="1">
        <f t="array" ref="J151">IF(J$2=YEAR(Input!$A$4),INDEX(Report!$H$160:$H$171,_xlfn.XMATCH($B151,Report!$A$160:$A$171)),0)</f>
        <v>0</v>
      </c>
      <c r="K151" s="1021" cm="1">
        <f t="array" ref="K151">IF(K$2=YEAR(Input!$A$4),INDEX(Report!$H$168:$H$178,_xlfn.XMATCH($B151,Report!$A$168:$A$178)),0)</f>
        <v>0</v>
      </c>
      <c r="L151" s="1021" cm="1">
        <f t="array" ref="L151">IF(L$2=YEAR(Input!$A$4),INDEX(Report!$H$160:$H$171,_xlfn.XMATCH($B151,Report!$A$160:$A$171)),0)</f>
        <v>0</v>
      </c>
      <c r="M151" s="1021" t="e" cm="1">
        <f t="array" aca="1" ref="M151" ca="1">IF(M$2=YEAR(Input!$A$4),INDEX(Report!$H$160:$H$171,_xlfn.XMATCH($B151,Report!$A$160:$A$171)),0)</f>
        <v>#NAME?</v>
      </c>
      <c r="N151" s="1021" cm="1">
        <f t="array" ref="N151">IF(N$2=YEAR(Input!$A$4),INDEX(Report!$H$168:$H$178,_xlfn.XMATCH($B151,Report!$A$168:$A$178)),0)</f>
        <v>0</v>
      </c>
      <c r="O151" s="1021" cm="1">
        <f t="array" ref="O151">IF(O$2=YEAR(Input!$A$4),INDEX(Report!$H$168:$H$178,_xlfn.XMATCH($B151,Report!$A$168:$A$178)),0)</f>
        <v>0</v>
      </c>
      <c r="P151" s="1021" cm="1">
        <f t="array" ref="P151">IF(P$2=YEAR(Input!$A$4),INDEX(Report!$H$168:$H$178,_xlfn.XMATCH($B151,Report!$A$168:$A$178)),0)</f>
        <v>0</v>
      </c>
      <c r="Q151" s="1021" cm="1">
        <f t="array" ref="Q151">IF(Q$2=YEAR(Input!$A$4),INDEX(Report!$H$168:$H$178,_xlfn.XMATCH($B151,Report!$A$168:$A$178)),0)</f>
        <v>0</v>
      </c>
    </row>
    <row r="152" spans="1:114" outlineLevel="1">
      <c r="B152" s="927" t="s">
        <v>99</v>
      </c>
      <c r="H152" s="935" t="s">
        <v>26</v>
      </c>
      <c r="J152" s="1021" cm="1">
        <f t="array" ref="J152">IF(J$2=YEAR(Input!$A$4),INDEX(Report!$H$160:$H$171,_xlfn.XMATCH($B152,Report!$A$160:$A$171)),0)</f>
        <v>0</v>
      </c>
      <c r="K152" s="1021" cm="1">
        <f t="array" ref="K152">IF(K$2=YEAR(Input!$A$4),INDEX(Report!$H$168:$H$178,_xlfn.XMATCH($B152,Report!$A$168:$A$178)),0)</f>
        <v>0</v>
      </c>
      <c r="L152" s="1021" cm="1">
        <f t="array" ref="L152">IF(L$2=YEAR(Input!$A$4),INDEX(Report!$H$160:$H$171,_xlfn.XMATCH($B152,Report!$A$160:$A$171)),0)</f>
        <v>0</v>
      </c>
      <c r="M152" s="1021" t="e" cm="1">
        <f t="array" aca="1" ref="M152" ca="1">IF(M$2=YEAR(Input!$A$4),INDEX(Report!$H$160:$H$171,_xlfn.XMATCH($B152,Report!$A$160:$A$171)),0)</f>
        <v>#NAME?</v>
      </c>
      <c r="N152" s="1021" cm="1">
        <f t="array" ref="N152">IF(N$2=YEAR(Input!$A$4),INDEX(Report!$H$168:$H$178,_xlfn.XMATCH($B152,Report!$A$168:$A$178)),0)</f>
        <v>0</v>
      </c>
      <c r="O152" s="1021" cm="1">
        <f t="array" ref="O152">IF(O$2=YEAR(Input!$A$4),INDEX(Report!$H$168:$H$178,_xlfn.XMATCH($B152,Report!$A$168:$A$178)),0)</f>
        <v>0</v>
      </c>
      <c r="P152" s="1021" cm="1">
        <f t="array" ref="P152">IF(P$2=YEAR(Input!$A$4),INDEX(Report!$H$168:$H$178,_xlfn.XMATCH($B152,Report!$A$168:$A$178)),0)</f>
        <v>0</v>
      </c>
      <c r="Q152" s="1021" cm="1">
        <f t="array" ref="Q152">IF(Q$2=YEAR(Input!$A$4),INDEX(Report!$H$168:$H$178,_xlfn.XMATCH($B152,Report!$A$168:$A$178)),0)</f>
        <v>0</v>
      </c>
    </row>
    <row r="153" spans="1:114" outlineLevel="1">
      <c r="B153" s="927" t="s">
        <v>100</v>
      </c>
      <c r="H153" s="935" t="s">
        <v>26</v>
      </c>
      <c r="J153" s="1021" cm="1">
        <f t="array" ref="J153">IFERROR(IF(J$2=YEAR(Input!$A$4),INDEX(Report!$H$160:$H$171,_xlfn.XMATCH($B153,Report!$A$160:$A$171)),0),0)</f>
        <v>0</v>
      </c>
      <c r="K153" s="1021" cm="1">
        <f t="array" ref="K153">IF(K$2=YEAR(Input!$A$4),INDEX(Report!$H$168:$H$178,_xlfn.XMATCH($B153,Report!$A$168:$A$178)),0)</f>
        <v>0</v>
      </c>
      <c r="L153" s="1021" cm="1">
        <f t="array" ref="L153">IFERROR(IF(L$2=YEAR(Input!$A$4),INDEX(Report!$H$160:$H$171,_xlfn.XMATCH($B153,Report!$A$160:$A$171)),0),0)</f>
        <v>0</v>
      </c>
      <c r="M153" s="1021" t="e" cm="1">
        <f t="array" aca="1" ref="M153" ca="1">IF(M$2=YEAR(Input!$A$4),INDEX(Report!$H$160:$H$171,_xlfn.XMATCH($B153,Report!$A$160:$A$171)),0)</f>
        <v>#NAME?</v>
      </c>
      <c r="N153" s="1021" cm="1">
        <f t="array" ref="N153">IFERROR(IF(N$2=YEAR(Input!$A$4),INDEX(Report!$H$160:$H$171,_xlfn.XMATCH($B153,Report!$A$160:$A$171)),0),0)</f>
        <v>0</v>
      </c>
      <c r="O153" s="1021" cm="1">
        <f t="array" ref="O153">IFERROR(IF(O$2=YEAR(Input!$A$4),INDEX(Report!$H$160:$H$171,_xlfn.XMATCH($B153,Report!$A$160:$A$171)),0),0)</f>
        <v>0</v>
      </c>
      <c r="P153" s="1021" cm="1">
        <f t="array" ref="P153">IFERROR(IF(P$2=YEAR(Input!$A$4),INDEX(Report!$H$160:$H$171,_xlfn.XMATCH($B153,Report!$A$160:$A$171)),0),0)</f>
        <v>0</v>
      </c>
      <c r="Q153" s="1021" cm="1">
        <f t="array" ref="Q153">IFERROR(IF(Q$2=YEAR(Input!$A$4),INDEX(Report!$H$160:$H$171,_xlfn.XMATCH($B153,Report!$A$160:$A$171)),0),0)</f>
        <v>0</v>
      </c>
    </row>
    <row r="154" spans="1:114" outlineLevel="1">
      <c r="B154" s="927" t="s">
        <v>101</v>
      </c>
      <c r="H154" s="935" t="s">
        <v>26</v>
      </c>
      <c r="J154" s="946"/>
      <c r="K154" s="946"/>
      <c r="L154" s="946"/>
      <c r="M154" s="946"/>
      <c r="N154" s="946"/>
      <c r="O154" s="946"/>
      <c r="P154" s="946"/>
      <c r="Q154" s="946"/>
    </row>
    <row r="155" spans="1:114" outlineLevel="1">
      <c r="B155" s="947" t="s">
        <v>102</v>
      </c>
      <c r="C155" s="936"/>
      <c r="H155" s="935" t="s">
        <v>26</v>
      </c>
      <c r="J155" s="1023">
        <f>SUM(J149:J154)</f>
        <v>0</v>
      </c>
      <c r="K155" s="1023">
        <f t="shared" ref="K155:Q155" si="58">SUM(K149:K154)</f>
        <v>0</v>
      </c>
      <c r="L155" s="1023">
        <f t="shared" si="58"/>
        <v>0</v>
      </c>
      <c r="M155" s="1023" t="e">
        <f t="shared" ca="1" si="58"/>
        <v>#NAME?</v>
      </c>
      <c r="N155" s="1023">
        <f t="shared" si="58"/>
        <v>0</v>
      </c>
      <c r="O155" s="1023">
        <f t="shared" si="58"/>
        <v>0</v>
      </c>
      <c r="P155" s="1023">
        <f t="shared" si="58"/>
        <v>0</v>
      </c>
      <c r="Q155" s="1023">
        <f t="shared" si="58"/>
        <v>0</v>
      </c>
    </row>
    <row r="156" spans="1:114" ht="15" outlineLevel="1">
      <c r="B156" s="948"/>
    </row>
    <row r="157" spans="1:114" outlineLevel="1">
      <c r="B157" s="926" t="s">
        <v>103</v>
      </c>
      <c r="H157" s="937" t="e" cm="1">
        <f t="array" aca="1" ref="H157" ca="1">IF(ABS(INDEX($J165:$Q165,_xlfn.XMATCH(YEAR(Input!$A$4),$J$2:$Q$2))-(SUM(Report!N168:N172)/dcHundred))&gt;Tolerance,1,0)</f>
        <v>#NAME?</v>
      </c>
    </row>
    <row r="158" spans="1:114" outlineLevel="1">
      <c r="B158" s="927" t="s">
        <v>104</v>
      </c>
      <c r="H158" s="935" t="s">
        <v>105</v>
      </c>
      <c r="J158" s="946"/>
      <c r="K158" s="946"/>
      <c r="L158" s="946"/>
      <c r="M158" s="946"/>
      <c r="N158" s="946"/>
      <c r="O158" s="946"/>
      <c r="P158" s="946"/>
      <c r="Q158" s="946"/>
    </row>
    <row r="159" spans="1:114" outlineLevel="1">
      <c r="B159" s="927" t="s">
        <v>106</v>
      </c>
      <c r="H159" s="935" t="s">
        <v>105</v>
      </c>
      <c r="J159" s="946"/>
      <c r="K159" s="946"/>
      <c r="L159" s="949"/>
      <c r="M159" s="946"/>
      <c r="N159" s="946"/>
      <c r="O159" s="946"/>
      <c r="P159" s="946"/>
      <c r="Q159" s="946"/>
    </row>
    <row r="160" spans="1:114" outlineLevel="1">
      <c r="B160" s="927" t="s">
        <v>107</v>
      </c>
      <c r="H160" s="935" t="s">
        <v>105</v>
      </c>
      <c r="J160" s="946"/>
      <c r="K160" s="946"/>
      <c r="L160" s="946"/>
      <c r="M160" s="946"/>
      <c r="N160" s="946"/>
      <c r="O160" s="946"/>
      <c r="P160" s="946"/>
      <c r="Q160" s="946"/>
    </row>
    <row r="161" spans="1:114" outlineLevel="1">
      <c r="B161" s="927" t="s">
        <v>108</v>
      </c>
      <c r="H161" s="935" t="s">
        <v>105</v>
      </c>
      <c r="J161" s="950">
        <f>IF(J$2=YEAR(Input!$A$4),Report!$R160,0)/dcHundred</f>
        <v>0</v>
      </c>
      <c r="K161" s="950">
        <f>IF(K$2=YEAR(Input!$A$4),Report!$R160,0)/dcHundred</f>
        <v>0</v>
      </c>
      <c r="L161" s="950">
        <f>IF(L$2=YEAR(Input!$A$4),Report!$R160,0)/dcHundred</f>
        <v>0</v>
      </c>
      <c r="M161" s="950">
        <f ca="1">IF(M$2=YEAR(Input!$A$4),Report!$R160,0)/dcHundred</f>
        <v>1.3100000000000001E-2</v>
      </c>
      <c r="N161" s="950">
        <f>IF(N$2=YEAR(Input!$A$4),Report!$R160,0)/dcHundred</f>
        <v>0</v>
      </c>
      <c r="O161" s="950">
        <f>IF(O$2=YEAR(Input!$A$4),Report!$R160,0)/dcHundred</f>
        <v>0</v>
      </c>
      <c r="P161" s="950">
        <f>IF(P$2=YEAR(Input!$A$4),Report!$R160,0)/dcHundred</f>
        <v>0</v>
      </c>
      <c r="Q161" s="950">
        <f>IF(Q$2=YEAR(Input!$A$4),Report!$R160,0)/dcHundred</f>
        <v>0</v>
      </c>
    </row>
    <row r="162" spans="1:114" outlineLevel="1">
      <c r="B162" s="927" t="s">
        <v>109</v>
      </c>
      <c r="H162" s="935" t="s">
        <v>105</v>
      </c>
      <c r="J162" s="950">
        <f>IF(J$2=YEAR(Input!$A$4),Report!$R162,0)/dcHundred</f>
        <v>0</v>
      </c>
      <c r="K162" s="950">
        <f>IF(K$2=YEAR(Input!$A$4),Report!$R162,0)/dcHundred</f>
        <v>0</v>
      </c>
      <c r="L162" s="950">
        <f>IF(L$2=YEAR(Input!$A$4),Report!$R162,0)/dcHundred</f>
        <v>0</v>
      </c>
      <c r="M162" s="950">
        <f ca="1">IF(M$2=YEAR(Input!$A$4),Report!$R162,0)/dcHundred</f>
        <v>4.5999999999999999E-3</v>
      </c>
      <c r="N162" s="950">
        <f>IF(N$2=YEAR(Input!$A$4),Report!$R162,0)/dcHundred</f>
        <v>0</v>
      </c>
      <c r="O162" s="950">
        <f>IF(O$2=YEAR(Input!$A$4),Report!$R162,0)/dcHundred</f>
        <v>0</v>
      </c>
      <c r="P162" s="950">
        <f>IF(P$2=YEAR(Input!$A$4),Report!$R162,0)/dcHundred</f>
        <v>0</v>
      </c>
      <c r="Q162" s="950">
        <f>IF(Q$2=YEAR(Input!$A$4),Report!$R162,0)/dcHundred</f>
        <v>0</v>
      </c>
    </row>
    <row r="163" spans="1:114" outlineLevel="1">
      <c r="B163" s="927" t="s">
        <v>110</v>
      </c>
      <c r="H163" s="935" t="s">
        <v>105</v>
      </c>
      <c r="J163" s="950">
        <f>IF(J$2=YEAR(Input!$A$4),Report!$R164,0)/dcHundred</f>
        <v>0</v>
      </c>
      <c r="K163" s="950">
        <f>IF(K$2=YEAR(Input!$A$4),Report!$R164,0)/dcHundred</f>
        <v>0</v>
      </c>
      <c r="L163" s="950">
        <f>IF(L$2=YEAR(Input!$A$4),Report!$R164,0)/dcHundred</f>
        <v>0</v>
      </c>
      <c r="M163" s="950">
        <f ca="1">IF(M$2=YEAR(Input!$A$4),Report!$R164,0)/dcHundred</f>
        <v>2.9999999999999997E-4</v>
      </c>
      <c r="N163" s="950">
        <f>IF(N$2=YEAR(Input!$A$4),Report!$R164,0)/dcHundred</f>
        <v>0</v>
      </c>
      <c r="O163" s="950">
        <f>IF(O$2=YEAR(Input!$A$4),Report!$R164,0)/dcHundred</f>
        <v>0</v>
      </c>
      <c r="P163" s="950">
        <f>IF(P$2=YEAR(Input!$A$4),Report!$R164,0)/dcHundred</f>
        <v>0</v>
      </c>
      <c r="Q163" s="950">
        <f>IF(Q$2=YEAR(Input!$A$4),Report!$R164,0)/dcHundred</f>
        <v>0</v>
      </c>
    </row>
    <row r="164" spans="1:114" outlineLevel="1">
      <c r="B164" s="927" t="s">
        <v>111</v>
      </c>
      <c r="H164" s="935" t="s">
        <v>105</v>
      </c>
      <c r="J164" s="951">
        <f>IF(J$2=YEAR(Input!$A$4),Report!$P170,0)/dcHundred</f>
        <v>0</v>
      </c>
      <c r="K164" s="951">
        <f>IF(K$2=YEAR(Input!$A$4),Report!$P170,0)/dcHundred</f>
        <v>0</v>
      </c>
      <c r="L164" s="951">
        <f>IF(L$2=YEAR(Input!$A$4),Report!$P170,0)/dcHundred</f>
        <v>0</v>
      </c>
      <c r="M164" s="951">
        <f ca="1">IF(M$2=YEAR(Input!$A$4),Report!$P170,0)/dcHundred</f>
        <v>7.445295823056329E-2</v>
      </c>
      <c r="N164" s="951">
        <f>IF(N$2=YEAR(Input!$A$4),Report!$P170,0)/dcHundred</f>
        <v>0</v>
      </c>
      <c r="O164" s="951">
        <f>IF(O$2=YEAR(Input!$A$4),Report!$P170,0)/dcHundred</f>
        <v>0</v>
      </c>
      <c r="P164" s="951">
        <f>IF(P$2=YEAR(Input!$A$4),Report!$P170,0)/dcHundred</f>
        <v>0</v>
      </c>
      <c r="Q164" s="951">
        <f>IF(Q$2=YEAR(Input!$A$4),Report!$P170,0)/dcHundred</f>
        <v>0</v>
      </c>
    </row>
    <row r="165" spans="1:114" outlineLevel="1">
      <c r="B165" s="947" t="s">
        <v>102</v>
      </c>
      <c r="C165" s="936"/>
      <c r="H165" s="935" t="s">
        <v>105</v>
      </c>
      <c r="J165" s="1024">
        <f>SUM(J161:J164)</f>
        <v>0</v>
      </c>
      <c r="K165" s="1024">
        <f>SUM(K161:K164)</f>
        <v>0</v>
      </c>
      <c r="L165" s="1024">
        <f t="shared" ref="L165:Q165" si="59">SUM(L161:L164)</f>
        <v>0</v>
      </c>
      <c r="M165" s="1024">
        <f t="shared" ca="1" si="59"/>
        <v>9.2452958230563292E-2</v>
      </c>
      <c r="N165" s="1024">
        <f t="shared" si="59"/>
        <v>0</v>
      </c>
      <c r="O165" s="1024">
        <f t="shared" si="59"/>
        <v>0</v>
      </c>
      <c r="P165" s="1024">
        <f t="shared" si="59"/>
        <v>0</v>
      </c>
      <c r="Q165" s="1024">
        <f t="shared" si="59"/>
        <v>0</v>
      </c>
    </row>
    <row r="167" spans="1:114" ht="14.25">
      <c r="A167" t="s">
        <v>15</v>
      </c>
      <c r="B167" s="932" t="s">
        <v>112</v>
      </c>
      <c r="C167" s="932"/>
      <c r="D167" s="932"/>
      <c r="E167" s="932"/>
      <c r="F167" s="932"/>
      <c r="G167" s="932"/>
      <c r="H167" s="932"/>
      <c r="I167" s="932"/>
      <c r="J167" s="932"/>
      <c r="K167" s="932"/>
      <c r="L167" s="932"/>
      <c r="M167" s="932"/>
      <c r="N167" s="932"/>
      <c r="O167" s="932"/>
      <c r="P167" s="932"/>
      <c r="Q167" s="932"/>
      <c r="R167" s="932"/>
      <c r="S167" s="932"/>
      <c r="T167" s="932"/>
      <c r="U167" s="932"/>
      <c r="V167" s="932"/>
      <c r="W167" s="932"/>
      <c r="X167" s="932"/>
      <c r="Y167" s="932"/>
      <c r="Z167" s="932"/>
      <c r="AA167" s="932"/>
      <c r="AB167" s="932"/>
      <c r="AC167" s="932"/>
      <c r="AD167" s="932"/>
      <c r="AE167" s="932"/>
      <c r="AF167" s="932"/>
      <c r="AG167" s="932"/>
      <c r="AH167" s="932"/>
      <c r="AI167" s="932"/>
      <c r="AJ167" s="932"/>
      <c r="AK167" s="932"/>
      <c r="AL167" s="932"/>
      <c r="AM167" s="932"/>
      <c r="AN167" s="932"/>
      <c r="AO167" s="932"/>
      <c r="AP167" s="932"/>
      <c r="AQ167" s="932"/>
      <c r="AR167" s="932"/>
      <c r="AS167" s="932"/>
      <c r="AT167" s="932"/>
      <c r="AU167" s="932"/>
      <c r="AV167" s="932"/>
      <c r="AW167" s="932"/>
      <c r="AX167" s="932"/>
      <c r="AY167" s="932"/>
      <c r="AZ167" s="932"/>
      <c r="BA167" s="932"/>
      <c r="BB167" s="932"/>
      <c r="BC167" s="932"/>
      <c r="BD167" s="932"/>
      <c r="BE167" s="932"/>
      <c r="BF167" s="932"/>
      <c r="BG167" s="932"/>
      <c r="BH167" s="932"/>
      <c r="BI167" s="932"/>
      <c r="BJ167" s="932"/>
      <c r="BK167" s="932"/>
      <c r="BL167" s="932"/>
      <c r="BM167" s="932"/>
      <c r="BN167" s="932"/>
      <c r="BO167" s="932"/>
      <c r="BP167" s="932"/>
      <c r="BQ167" s="932"/>
      <c r="BR167" s="932"/>
      <c r="BS167" s="932"/>
      <c r="BT167" s="932"/>
      <c r="BU167" s="932"/>
      <c r="BV167" s="932"/>
      <c r="BW167" s="932"/>
      <c r="BX167" s="932"/>
      <c r="BY167" s="932"/>
      <c r="BZ167" s="932"/>
      <c r="CA167" s="932"/>
      <c r="CB167" s="932"/>
      <c r="CC167" s="932"/>
      <c r="CD167" s="932"/>
      <c r="CE167" s="932"/>
      <c r="CF167" s="932"/>
      <c r="CG167" s="932"/>
      <c r="CH167" s="932"/>
      <c r="CI167" s="932"/>
      <c r="CJ167" s="932"/>
      <c r="CK167" s="932"/>
      <c r="CL167" s="932"/>
      <c r="CM167" s="932"/>
      <c r="CN167" s="932"/>
      <c r="CO167" s="932"/>
      <c r="CP167" s="932"/>
      <c r="CQ167" s="932"/>
      <c r="CR167" s="932"/>
      <c r="CS167" s="932"/>
      <c r="CT167" s="932"/>
      <c r="CU167" s="932"/>
      <c r="CV167" s="932"/>
      <c r="CW167" s="932"/>
      <c r="CX167" s="932"/>
      <c r="CY167" s="932"/>
      <c r="CZ167" s="932"/>
      <c r="DA167" s="932"/>
      <c r="DB167" s="932"/>
      <c r="DC167" s="932"/>
      <c r="DD167" s="932"/>
      <c r="DE167" s="932"/>
      <c r="DF167" s="932"/>
      <c r="DG167" s="932"/>
      <c r="DH167" s="932"/>
      <c r="DI167" s="932"/>
      <c r="DJ167" s="932"/>
    </row>
    <row r="168" spans="1:114" outlineLevel="1"/>
    <row r="169" spans="1:114" ht="15" outlineLevel="1">
      <c r="B169" s="945" t="s">
        <v>113</v>
      </c>
      <c r="H169" s="937" t="e" cm="1">
        <f t="array" aca="1" ref="H169" ca="1">IF(ABS(INDEX($J177:$Q177,_xlfn.XMATCH(YEAR(Input!$A$4),$J$2:$Q$2))-(Report!$H$171))&gt;Tolerance,1,0)</f>
        <v>#NAME?</v>
      </c>
    </row>
    <row r="170" spans="1:114" outlineLevel="1">
      <c r="B170" s="927" t="s">
        <v>114</v>
      </c>
      <c r="H170" s="935" t="s">
        <v>26</v>
      </c>
      <c r="J170" s="1021">
        <f>IF(J$2=_xlfn.NUMBERVALUE(LEFT(Report!$A$3,4)),Report!$T$79,0)</f>
        <v>0</v>
      </c>
      <c r="K170" s="1021">
        <f>IF(K$2=_xlfn.NUMBERVALUE(LEFT(Report!$A$3,4)),Report!$T$79,0)</f>
        <v>0</v>
      </c>
      <c r="L170" s="1021">
        <f>IF(L$2=_xlfn.NUMBERVALUE(LEFT(Report!$A$3,4)),Report!$T$79,0)</f>
        <v>0</v>
      </c>
      <c r="M170" s="1021">
        <f ca="1">IF(M$2=_xlfn.NUMBERVALUE(LEFT(Report!$A$3,4)),Report!$T$79,0)</f>
        <v>2024332.2715839653</v>
      </c>
      <c r="N170" s="1021">
        <f>IF(N$2=_xlfn.NUMBERVALUE(LEFT(Report!$A$3,4)),Report!$T$79,0)</f>
        <v>0</v>
      </c>
      <c r="O170" s="1021">
        <f>IF(O$2=_xlfn.NUMBERVALUE(LEFT(Report!$A$3,4)),Report!$T$79,0)</f>
        <v>0</v>
      </c>
      <c r="P170" s="1021">
        <f>IF(P$2=_xlfn.NUMBERVALUE(LEFT(Report!$A$3,4)),Report!$T$79,0)</f>
        <v>0</v>
      </c>
      <c r="Q170" s="1021">
        <f>IF(Q$2=_xlfn.NUMBERVALUE(LEFT(Report!$A$3,4)),Report!$T$79,0)</f>
        <v>0</v>
      </c>
    </row>
    <row r="171" spans="1:114" outlineLevel="1">
      <c r="B171" s="927" t="s">
        <v>96</v>
      </c>
      <c r="H171" s="935" t="s">
        <v>26</v>
      </c>
      <c r="J171" s="1021" cm="1">
        <f t="array" ref="J171">IF(J$2=_xlfn.NUMBERVALUE(LEFT(Report!$A$3,4)),INDEX(Report!$H$160:$H$175,_xlfn.XMATCH($B171,Report!$A$160:$A$175)),0)</f>
        <v>0</v>
      </c>
      <c r="K171" s="1021" cm="1">
        <f t="array" ref="K171">IF(K$2=_xlfn.NUMBERVALUE(LEFT(Report!$A$3,4)),INDEX(Report!$H$160:$H$175,_xlfn.XMATCH($B171,Report!$A$160:$A$175)),0)</f>
        <v>0</v>
      </c>
      <c r="L171" s="1021" cm="1">
        <f t="array" ref="L171">IF(L$2=_xlfn.NUMBERVALUE(LEFT(Report!$A$3,4)),INDEX(Report!$H$160:$H$175,_xlfn.XMATCH($B171,Report!$A$160:$A$175)),0)</f>
        <v>0</v>
      </c>
      <c r="M171" s="1021" t="e" cm="1">
        <f t="array" aca="1" ref="M171" ca="1">IF(M$2=_xlfn.NUMBERVALUE(LEFT(Report!$A$3,4)),INDEX(Report!$H$160:$H$175,_xlfn.XMATCH($B171,Report!$A$160:$A$175)),0)</f>
        <v>#NAME?</v>
      </c>
      <c r="N171" s="1021" cm="1">
        <f t="array" ref="N171">IF(N$2=_xlfn.NUMBERVALUE(LEFT(Report!$A$3,4)),INDEX(Report!$H$160:$H$175,_xlfn.XMATCH($B171,Report!$A$160:$A$175)),0)</f>
        <v>0</v>
      </c>
      <c r="O171" s="1021" cm="1">
        <f t="array" ref="O171">IF(O$2=_xlfn.NUMBERVALUE(LEFT(Report!$A$3,4)),INDEX(Report!$H$160:$H$175,_xlfn.XMATCH($B171,Report!$A$160:$A$175)),0)</f>
        <v>0</v>
      </c>
      <c r="P171" s="1021" cm="1">
        <f t="array" ref="P171">IF(P$2=_xlfn.NUMBERVALUE(LEFT(Report!$A$3,4)),INDEX(Report!$H$160:$H$175,_xlfn.XMATCH($B171,Report!$A$160:$A$175)),0)</f>
        <v>0</v>
      </c>
      <c r="Q171" s="1021" cm="1">
        <f t="array" ref="Q171">IF(Q$2=_xlfn.NUMBERVALUE(LEFT(Report!$A$3,4)),INDEX(Report!$H$160:$H$175,_xlfn.XMATCH($B171,Report!$A$160:$A$175)),0)</f>
        <v>0</v>
      </c>
    </row>
    <row r="172" spans="1:114" outlineLevel="1">
      <c r="B172" s="927" t="s">
        <v>97</v>
      </c>
      <c r="H172" s="935" t="s">
        <v>26</v>
      </c>
      <c r="J172" s="1021" cm="1">
        <f t="array" ref="J172">IF(J$2=_xlfn.NUMBERVALUE(LEFT(Report!$A$3,4)),INDEX(Report!$H$160:$H$175,_xlfn.XMATCH($B172,Report!$A$160:$A$175)),0)</f>
        <v>0</v>
      </c>
      <c r="K172" s="1021" cm="1">
        <f t="array" ref="K172">IF(K$2=_xlfn.NUMBERVALUE(LEFT(Report!$A$3,4)),INDEX(Report!$H$160:$H$175,_xlfn.XMATCH($B172,Report!$A$160:$A$175)),0)</f>
        <v>0</v>
      </c>
      <c r="L172" s="1021" cm="1">
        <f t="array" ref="L172">IF(L$2=_xlfn.NUMBERVALUE(LEFT(Report!$A$3,4)),INDEX(Report!$H$160:$H$175,_xlfn.XMATCH($B172,Report!$A$160:$A$175)),0)</f>
        <v>0</v>
      </c>
      <c r="M172" s="1021" t="e" cm="1">
        <f t="array" aca="1" ref="M172" ca="1">IF(M$2=_xlfn.NUMBERVALUE(LEFT(Report!$A$3,4)),INDEX(Report!$H$160:$H$175,_xlfn.XMATCH($B172,Report!$A$160:$A$175)),0)</f>
        <v>#NAME?</v>
      </c>
      <c r="N172" s="1021" cm="1">
        <f t="array" ref="N172">IF(N$2=_xlfn.NUMBERVALUE(LEFT(Report!$A$3,4)),INDEX(Report!$H$160:$H$175,_xlfn.XMATCH($B172,Report!$A$160:$A$175)),0)</f>
        <v>0</v>
      </c>
      <c r="O172" s="1021" cm="1">
        <f t="array" ref="O172">IF(O$2=_xlfn.NUMBERVALUE(LEFT(Report!$A$3,4)),INDEX(Report!$H$160:$H$175,_xlfn.XMATCH($B172,Report!$A$160:$A$175)),0)</f>
        <v>0</v>
      </c>
      <c r="P172" s="1021" cm="1">
        <f t="array" ref="P172">IF(P$2=_xlfn.NUMBERVALUE(LEFT(Report!$A$3,4)),INDEX(Report!$H$160:$H$175,_xlfn.XMATCH($B172,Report!$A$160:$A$175)),0)</f>
        <v>0</v>
      </c>
      <c r="Q172" s="1021" cm="1">
        <f t="array" ref="Q172">IF(Q$2=_xlfn.NUMBERVALUE(LEFT(Report!$A$3,4)),INDEX(Report!$H$160:$H$175,_xlfn.XMATCH($B172,Report!$A$160:$A$175)),0)</f>
        <v>0</v>
      </c>
    </row>
    <row r="173" spans="1:114" outlineLevel="1">
      <c r="B173" s="927" t="s">
        <v>98</v>
      </c>
      <c r="H173" s="935" t="s">
        <v>26</v>
      </c>
      <c r="J173" s="1021" cm="1">
        <f t="array" ref="J173">IF(J$2=_xlfn.NUMBERVALUE(LEFT(Report!$A$3,4)),INDEX(Report!$H$160:$H$175,_xlfn.XMATCH($B173,Report!$A$160:$A$175)),0)</f>
        <v>0</v>
      </c>
      <c r="K173" s="1021" cm="1">
        <f t="array" ref="K173">IF(K$2=_xlfn.NUMBERVALUE(LEFT(Report!$A$3,4)),INDEX(Report!$H$160:$H$175,_xlfn.XMATCH($B173,Report!$A$160:$A$175)),0)</f>
        <v>0</v>
      </c>
      <c r="L173" s="1021" cm="1">
        <f t="array" ref="L173">IF(L$2=_xlfn.NUMBERVALUE(LEFT(Report!$A$3,4)),INDEX(Report!$H$160:$H$175,_xlfn.XMATCH($B173,Report!$A$160:$A$175)),0)</f>
        <v>0</v>
      </c>
      <c r="M173" s="1021" t="e" cm="1">
        <f t="array" aca="1" ref="M173" ca="1">IF(M$2=_xlfn.NUMBERVALUE(LEFT(Report!$A$3,4)),INDEX(Report!$H$160:$H$175,_xlfn.XMATCH($B173,Report!$A$160:$A$175)),0)</f>
        <v>#NAME?</v>
      </c>
      <c r="N173" s="1021" cm="1">
        <f t="array" ref="N173">IF(N$2=_xlfn.NUMBERVALUE(LEFT(Report!$A$3,4)),INDEX(Report!$H$160:$H$175,_xlfn.XMATCH($B173,Report!$A$160:$A$175)),0)</f>
        <v>0</v>
      </c>
      <c r="O173" s="1021" cm="1">
        <f t="array" ref="O173">IF(O$2=_xlfn.NUMBERVALUE(LEFT(Report!$A$3,4)),INDEX(Report!$H$160:$H$175,_xlfn.XMATCH($B173,Report!$A$160:$A$175)),0)</f>
        <v>0</v>
      </c>
      <c r="P173" s="1021" cm="1">
        <f t="array" ref="P173">IF(P$2=_xlfn.NUMBERVALUE(LEFT(Report!$A$3,4)),INDEX(Report!$H$160:$H$175,_xlfn.XMATCH($B173,Report!$A$160:$A$175)),0)</f>
        <v>0</v>
      </c>
      <c r="Q173" s="1021" cm="1">
        <f t="array" ref="Q173">IF(Q$2=_xlfn.NUMBERVALUE(LEFT(Report!$A$3,4)),INDEX(Report!$H$160:$H$175,_xlfn.XMATCH($B173,Report!$A$160:$A$175)),0)</f>
        <v>0</v>
      </c>
    </row>
    <row r="174" spans="1:114" outlineLevel="1">
      <c r="B174" s="927" t="s">
        <v>99</v>
      </c>
      <c r="H174" s="935" t="s">
        <v>26</v>
      </c>
      <c r="J174" s="1021" cm="1">
        <f t="array" ref="J174">IF(J$2=_xlfn.NUMBERVALUE(LEFT(Report!$A$3,4)),INDEX(Report!$H$160:$H$175,_xlfn.XMATCH($B174,Report!$A$160:$A$175)),0)</f>
        <v>0</v>
      </c>
      <c r="K174" s="1021" cm="1">
        <f t="array" ref="K174">IF(K$2=_xlfn.NUMBERVALUE(LEFT(Report!$A$3,4)),INDEX(Report!$H$160:$H$175,_xlfn.XMATCH($B174,Report!$A$160:$A$175)),0)</f>
        <v>0</v>
      </c>
      <c r="L174" s="1021" cm="1">
        <f t="array" ref="L174">IF(L$2=_xlfn.NUMBERVALUE(LEFT(Report!$A$3,4)),INDEX(Report!$H$160:$H$175,_xlfn.XMATCH($B174,Report!$A$160:$A$175)),0)</f>
        <v>0</v>
      </c>
      <c r="M174" s="1021" t="e" cm="1">
        <f t="array" aca="1" ref="M174" ca="1">IF(M$2=_xlfn.NUMBERVALUE(LEFT(Report!$A$3,4)),INDEX(Report!$H$160:$H$175,_xlfn.XMATCH($B174,Report!$A$160:$A$175)),0)</f>
        <v>#NAME?</v>
      </c>
      <c r="N174" s="1021" cm="1">
        <f t="array" ref="N174">IF(N$2=_xlfn.NUMBERVALUE(LEFT(Report!$A$3,4)),INDEX(Report!$H$160:$H$175,_xlfn.XMATCH($B174,Report!$A$160:$A$175)),0)</f>
        <v>0</v>
      </c>
      <c r="O174" s="1021" cm="1">
        <f t="array" ref="O174">IF(O$2=_xlfn.NUMBERVALUE(LEFT(Report!$A$3,4)),INDEX(Report!$H$160:$H$175,_xlfn.XMATCH($B174,Report!$A$160:$A$175)),0)</f>
        <v>0</v>
      </c>
      <c r="P174" s="1021" cm="1">
        <f t="array" ref="P174">IF(P$2=_xlfn.NUMBERVALUE(LEFT(Report!$A$3,4)),INDEX(Report!$H$160:$H$175,_xlfn.XMATCH($B174,Report!$A$160:$A$175)),0)</f>
        <v>0</v>
      </c>
      <c r="Q174" s="1021" cm="1">
        <f t="array" ref="Q174">IF(Q$2=_xlfn.NUMBERVALUE(LEFT(Report!$A$3,4)),INDEX(Report!$H$160:$H$175,_xlfn.XMATCH($B174,Report!$A$160:$A$175)),0)</f>
        <v>0</v>
      </c>
    </row>
    <row r="175" spans="1:114" outlineLevel="1">
      <c r="B175" s="927" t="s">
        <v>100</v>
      </c>
      <c r="H175" s="935" t="s">
        <v>26</v>
      </c>
      <c r="J175" s="1021" cm="1">
        <f t="array" ref="J175">IF(J$2=_xlfn.NUMBERVALUE(LEFT(Report!$A$3,4)),INDEX(Report!$H$160:$H$175,_xlfn.XMATCH($B175,Report!$A$160:$A$175)),0)</f>
        <v>0</v>
      </c>
      <c r="K175" s="1021" cm="1">
        <f t="array" ref="K175">IF(K$2=_xlfn.NUMBERVALUE(LEFT(Report!$A$3,4)),INDEX(Report!$H$160:$H$175,_xlfn.XMATCH($B175,Report!$A$160:$A$175)),0)</f>
        <v>0</v>
      </c>
      <c r="L175" s="1021" cm="1">
        <f t="array" ref="L175">IF(L$2=_xlfn.NUMBERVALUE(LEFT(Report!$A$3,4)),INDEX(Report!$H$160:$H$175,_xlfn.XMATCH($B175,Report!$A$160:$A$175)),0)</f>
        <v>0</v>
      </c>
      <c r="M175" s="1021" t="e" cm="1">
        <f t="array" aca="1" ref="M175" ca="1">IF(M$2=_xlfn.NUMBERVALUE(LEFT(Report!$A$3,4)),INDEX(Report!$H$160:$H$175,_xlfn.XMATCH($B175,Report!$A$160:$A$175)),0)</f>
        <v>#NAME?</v>
      </c>
      <c r="N175" s="1021" cm="1">
        <f t="array" ref="N175">IF(N$2=_xlfn.NUMBERVALUE(LEFT(Report!$A$3,4)),INDEX(Report!$H$160:$H$175,_xlfn.XMATCH($B175,Report!$A$160:$A$175)),0)</f>
        <v>0</v>
      </c>
      <c r="O175" s="1021" cm="1">
        <f t="array" ref="O175">IF(O$2=_xlfn.NUMBERVALUE(LEFT(Report!$A$3,4)),INDEX(Report!$H$160:$H$175,_xlfn.XMATCH($B175,Report!$A$160:$A$175)),0)</f>
        <v>0</v>
      </c>
      <c r="P175" s="1021" cm="1">
        <f t="array" ref="P175">IF(P$2=_xlfn.NUMBERVALUE(LEFT(Report!$A$3,4)),INDEX(Report!$H$160:$H$175,_xlfn.XMATCH($B175,Report!$A$160:$A$175)),0)</f>
        <v>0</v>
      </c>
      <c r="Q175" s="1021" cm="1">
        <f t="array" ref="Q175">IF(Q$2=_xlfn.NUMBERVALUE(LEFT(Report!$A$3,4)),INDEX(Report!$H$160:$H$175,_xlfn.XMATCH($B175,Report!$A$160:$A$175)),0)</f>
        <v>0</v>
      </c>
    </row>
    <row r="176" spans="1:114" outlineLevel="1">
      <c r="B176" s="927" t="s">
        <v>115</v>
      </c>
      <c r="H176" s="935" t="s">
        <v>26</v>
      </c>
      <c r="J176" s="1021" cm="1">
        <f t="array" ref="J176">IF(J$2=_xlfn.NUMBERVALUE(LEFT(Report!$A$3,4)),INDEX(Report!$H$160:$H$175,_xlfn.XMATCH($B176,Report!$A$160:$A$175)),0)</f>
        <v>0</v>
      </c>
      <c r="K176" s="1021" cm="1">
        <f t="array" ref="K176">IF(K$2=_xlfn.NUMBERVALUE(LEFT(Report!$A$3,4)),INDEX(Report!$H$160:$H$175,_xlfn.XMATCH($B176,Report!$A$160:$A$175)),0)</f>
        <v>0</v>
      </c>
      <c r="L176" s="1021" cm="1">
        <f t="array" ref="L176">IF(L$2=_xlfn.NUMBERVALUE(LEFT(Report!$A$3,4)),INDEX(Report!$H$160:$H$175,_xlfn.XMATCH($B176,Report!$A$160:$A$175)),0)</f>
        <v>0</v>
      </c>
      <c r="M176" s="1021" t="e" cm="1">
        <f t="array" ref="M176">IF(M$2=_xlfn.NUMBERVALUE(LEFT(Report!$A$3,4)),INDEX(Report!$H$160:$H$175,_xlfn.XMATCH($B176,Report!$A$160:$A$175)),0)</f>
        <v>#N/A</v>
      </c>
      <c r="N176" s="1021" cm="1">
        <f t="array" ref="N176">IF(N$2=_xlfn.NUMBERVALUE(LEFT(Report!$A$3,4)),INDEX(Report!$H$160:$H$175,_xlfn.XMATCH($B176,Report!$A$160:$A$175)),0)</f>
        <v>0</v>
      </c>
      <c r="O176" s="1021" cm="1">
        <f t="array" ref="O176">IF(O$2=_xlfn.NUMBERVALUE(LEFT(Report!$A$3,4)),INDEX(Report!$H$160:$H$175,_xlfn.XMATCH($B176,Report!$A$160:$A$175)),0)</f>
        <v>0</v>
      </c>
      <c r="P176" s="1021" cm="1">
        <f t="array" ref="P176">IF(P$2=_xlfn.NUMBERVALUE(LEFT(Report!$A$3,4)),INDEX(Report!$H$160:$H$175,_xlfn.XMATCH($B176,Report!$A$160:$A$175)),0)</f>
        <v>0</v>
      </c>
      <c r="Q176" s="1021" cm="1">
        <f t="array" ref="Q176">IF(Q$2=_xlfn.NUMBERVALUE(LEFT(Report!$A$3,4)),INDEX(Report!$H$160:$H$175,_xlfn.XMATCH($B176,Report!$A$160:$A$175)),0)</f>
        <v>0</v>
      </c>
    </row>
    <row r="177" spans="2:17" outlineLevel="1">
      <c r="B177" s="947" t="s">
        <v>116</v>
      </c>
      <c r="C177" s="936"/>
      <c r="H177" s="935" t="s">
        <v>26</v>
      </c>
      <c r="J177" s="1023">
        <f>SUM(J171:J176)</f>
        <v>0</v>
      </c>
      <c r="K177" s="1023">
        <f>SUM(K171:K176)</f>
        <v>0</v>
      </c>
      <c r="L177" s="1023">
        <f>SUM(L171:L176)</f>
        <v>0</v>
      </c>
      <c r="M177" s="1023" t="e">
        <f t="shared" ref="M177:Q177" ca="1" si="60">SUM(M171:M176)</f>
        <v>#NAME?</v>
      </c>
      <c r="N177" s="1023">
        <f t="shared" si="60"/>
        <v>0</v>
      </c>
      <c r="O177" s="1023">
        <f t="shared" si="60"/>
        <v>0</v>
      </c>
      <c r="P177" s="1023">
        <f t="shared" si="60"/>
        <v>0</v>
      </c>
      <c r="Q177" s="1023">
        <f t="shared" si="60"/>
        <v>0</v>
      </c>
    </row>
    <row r="178" spans="2:17" outlineLevel="1"/>
    <row r="179" spans="2:17" ht="15" outlineLevel="1">
      <c r="B179" s="945" t="s">
        <v>117</v>
      </c>
      <c r="E179" s="1020"/>
      <c r="H179" s="937" t="e" cm="1">
        <f t="array" aca="1" ref="H179" ca="1">IF(ABS(INDEX($J186:$Q186,_xlfn.XMATCH(YEAR(Input!$A$4),$J$2:$Q$2))-(Report!$B$171))&gt;Tolerance,1,0)</f>
        <v>#NAME?</v>
      </c>
    </row>
    <row r="180" spans="2:17" outlineLevel="1">
      <c r="B180" s="927" t="s">
        <v>96</v>
      </c>
      <c r="E180" s="1020" t="e" cm="1">
        <f t="array" ref="E180">INDEX($J180:$Q180,_xlfn.XMATCH(YEAR([7]Input!$A$4),$J$2:$Q$2))/INDEX($J$186:$Q$186,_xlfn.XMATCH(YEAR([7]Input!$A$4),$J$2:$Q$2))</f>
        <v>#DIV/0!</v>
      </c>
      <c r="H180" s="935" t="s">
        <v>26</v>
      </c>
      <c r="J180" s="1021" cm="1">
        <f t="array" ref="J180">IF(J$2=_xlfn.NUMBERVALUE(LEFT(Report!$A$3,4)),INDEX(Report!$B$160:$B$175,_xlfn.XMATCH($B180,Report!$A$160:$A$175)),0)</f>
        <v>0</v>
      </c>
      <c r="K180" s="1021" cm="1">
        <f t="array" ref="K180">IF(K$2=_xlfn.NUMBERVALUE(LEFT(Report!$A$3,4)),INDEX(Report!$B$160:$B$175,_xlfn.XMATCH($B180,Report!$A$160:$A$175)),0)</f>
        <v>0</v>
      </c>
      <c r="L180" s="1021" cm="1">
        <f t="array" ref="L180">IF(L$2=_xlfn.NUMBERVALUE(LEFT(Report!$A$3,4)),INDEX(Report!$B$160:$B$175,_xlfn.XMATCH($B180,Report!$A$160:$A$175)),0)</f>
        <v>0</v>
      </c>
      <c r="M180" s="1021" t="e" cm="1">
        <f t="array" aca="1" ref="M180" ca="1">IF(M$2=_xlfn.NUMBERVALUE(LEFT(Report!$A$3,4)),INDEX(Report!$B$160:$B$175,_xlfn.XMATCH($B180,Report!$A$160:$A$175)),0)</f>
        <v>#NAME?</v>
      </c>
      <c r="N180" s="1021" cm="1">
        <f t="array" ref="N180">IF(N$2=_xlfn.NUMBERVALUE(LEFT(Report!$A$3,4)),INDEX(Report!$B$160:$B$175,_xlfn.XMATCH($B180,Report!$A$160:$A$175)),0)</f>
        <v>0</v>
      </c>
      <c r="O180" s="1021" cm="1">
        <f t="array" ref="O180">IF(O$2=_xlfn.NUMBERVALUE(LEFT(Report!$A$3,4)),INDEX(Report!$B$160:$B$175,_xlfn.XMATCH($B180,Report!$A$160:$A$175)),0)</f>
        <v>0</v>
      </c>
      <c r="P180" s="1021" cm="1">
        <f t="array" ref="P180">IF(P$2=_xlfn.NUMBERVALUE(LEFT(Report!$A$3,4)),INDEX(Report!$B$160:$B$175,_xlfn.XMATCH($B180,Report!$A$160:$A$175)),0)</f>
        <v>0</v>
      </c>
      <c r="Q180" s="1021" cm="1">
        <f t="array" ref="Q180">IF(Q$2=_xlfn.NUMBERVALUE(LEFT(Report!$A$3,4)),INDEX(Report!$B$160:$B$175,_xlfn.XMATCH($B180,Report!$A$160:$A$175)),0)</f>
        <v>0</v>
      </c>
    </row>
    <row r="181" spans="2:17" outlineLevel="1">
      <c r="B181" s="927" t="s">
        <v>97</v>
      </c>
      <c r="E181" s="1020" t="e" cm="1">
        <f t="array" ref="E181">INDEX($J181:$Q181,_xlfn.XMATCH(YEAR([7]Input!$A$4),$J$2:$Q$2))/INDEX($J$186:$Q$186,_xlfn.XMATCH(YEAR([7]Input!$A$4),$J$2:$Q$2))</f>
        <v>#DIV/0!</v>
      </c>
      <c r="H181" s="935" t="s">
        <v>26</v>
      </c>
      <c r="J181" s="1021" cm="1">
        <f t="array" ref="J181">IF(J$2=_xlfn.NUMBERVALUE(LEFT(Report!$A$3,4)),INDEX(Report!$B$160:$B$175,_xlfn.XMATCH($B181,Report!$A$160:$A$175)),0)</f>
        <v>0</v>
      </c>
      <c r="K181" s="1021" cm="1">
        <f t="array" ref="K181">IF(K$2=_xlfn.NUMBERVALUE(LEFT(Report!$A$3,4)),INDEX(Report!$B$160:$B$175,_xlfn.XMATCH($B181,Report!$A$160:$A$175)),0)</f>
        <v>0</v>
      </c>
      <c r="L181" s="1021" cm="1">
        <f t="array" ref="L181">IF(L$2=_xlfn.NUMBERVALUE(LEFT(Report!$A$3,4)),INDEX(Report!$B$160:$B$175,_xlfn.XMATCH($B181,Report!$A$160:$A$175)),0)</f>
        <v>0</v>
      </c>
      <c r="M181" s="1021" t="e" cm="1">
        <f t="array" aca="1" ref="M181" ca="1">IF(M$2=_xlfn.NUMBERVALUE(LEFT(Report!$A$3,4)),INDEX(Report!$B$160:$B$175,_xlfn.XMATCH($B181,Report!$A$160:$A$175)),0)</f>
        <v>#NAME?</v>
      </c>
      <c r="N181" s="1021" cm="1">
        <f t="array" ref="N181">IF(N$2=_xlfn.NUMBERVALUE(LEFT(Report!$A$3,4)),INDEX(Report!$B$160:$B$175,_xlfn.XMATCH($B181,Report!$A$160:$A$175)),0)</f>
        <v>0</v>
      </c>
      <c r="O181" s="1021" cm="1">
        <f t="array" ref="O181">IF(O$2=_xlfn.NUMBERVALUE(LEFT(Report!$A$3,4)),INDEX(Report!$B$160:$B$175,_xlfn.XMATCH($B181,Report!$A$160:$A$175)),0)</f>
        <v>0</v>
      </c>
      <c r="P181" s="1021" cm="1">
        <f t="array" ref="P181">IF(P$2=_xlfn.NUMBERVALUE(LEFT(Report!$A$3,4)),INDEX(Report!$B$160:$B$175,_xlfn.XMATCH($B181,Report!$A$160:$A$175)),0)</f>
        <v>0</v>
      </c>
      <c r="Q181" s="1021" cm="1">
        <f t="array" ref="Q181">IF(Q$2=_xlfn.NUMBERVALUE(LEFT(Report!$A$3,4)),INDEX(Report!$B$160:$B$175,_xlfn.XMATCH($B181,Report!$A$160:$A$175)),0)</f>
        <v>0</v>
      </c>
    </row>
    <row r="182" spans="2:17" outlineLevel="1">
      <c r="B182" s="927" t="s">
        <v>98</v>
      </c>
      <c r="E182" s="1020" t="e" cm="1">
        <f t="array" ref="E182">INDEX($J182:$Q182,_xlfn.XMATCH(YEAR([7]Input!$A$4),$J$2:$Q$2))/INDEX($J$186:$Q$186,_xlfn.XMATCH(YEAR([7]Input!$A$4),$J$2:$Q$2))</f>
        <v>#DIV/0!</v>
      </c>
      <c r="H182" s="935" t="s">
        <v>26</v>
      </c>
      <c r="J182" s="1021" cm="1">
        <f t="array" ref="J182">IF(J$2=_xlfn.NUMBERVALUE(LEFT(Report!$A$3,4)),INDEX(Report!$B$160:$B$175,_xlfn.XMATCH($B182,Report!$A$160:$A$175)),0)</f>
        <v>0</v>
      </c>
      <c r="K182" s="1021" cm="1">
        <f t="array" ref="K182">IF(K$2=_xlfn.NUMBERVALUE(LEFT(Report!$A$3,4)),INDEX(Report!$B$160:$B$175,_xlfn.XMATCH($B182,Report!$A$160:$A$175)),0)</f>
        <v>0</v>
      </c>
      <c r="L182" s="1021" cm="1">
        <f t="array" ref="L182">IF(L$2=_xlfn.NUMBERVALUE(LEFT(Report!$A$3,4)),INDEX(Report!$B$160:$B$175,_xlfn.XMATCH($B182,Report!$A$160:$A$175)),0)</f>
        <v>0</v>
      </c>
      <c r="M182" s="1021" t="e" cm="1">
        <f t="array" aca="1" ref="M182" ca="1">IF(M$2=_xlfn.NUMBERVALUE(LEFT(Report!$A$3,4)),INDEX(Report!$B$160:$B$175,_xlfn.XMATCH($B182,Report!$A$160:$A$175)),0)</f>
        <v>#NAME?</v>
      </c>
      <c r="N182" s="1021" cm="1">
        <f t="array" ref="N182">IF(N$2=_xlfn.NUMBERVALUE(LEFT(Report!$A$3,4)),INDEX(Report!$B$160:$B$175,_xlfn.XMATCH($B182,Report!$A$160:$A$175)),0)</f>
        <v>0</v>
      </c>
      <c r="O182" s="1021" cm="1">
        <f t="array" ref="O182">IF(O$2=_xlfn.NUMBERVALUE(LEFT(Report!$A$3,4)),INDEX(Report!$B$160:$B$175,_xlfn.XMATCH($B182,Report!$A$160:$A$175)),0)</f>
        <v>0</v>
      </c>
      <c r="P182" s="1021" cm="1">
        <f t="array" ref="P182">IF(P$2=_xlfn.NUMBERVALUE(LEFT(Report!$A$3,4)),INDEX(Report!$B$160:$B$175,_xlfn.XMATCH($B182,Report!$A$160:$A$175)),0)</f>
        <v>0</v>
      </c>
      <c r="Q182" s="1021" cm="1">
        <f t="array" ref="Q182">IF(Q$2=_xlfn.NUMBERVALUE(LEFT(Report!$A$3,4)),INDEX(Report!$B$160:$B$175,_xlfn.XMATCH($B182,Report!$A$160:$A$175)),0)</f>
        <v>0</v>
      </c>
    </row>
    <row r="183" spans="2:17" outlineLevel="1">
      <c r="B183" s="927" t="s">
        <v>99</v>
      </c>
      <c r="E183" s="1020" t="e" cm="1">
        <f t="array" ref="E183">INDEX($J183:$Q183,_xlfn.XMATCH(YEAR([7]Input!$A$4),$J$2:$Q$2))/INDEX($J$186:$Q$186,_xlfn.XMATCH(YEAR([7]Input!$A$4),$J$2:$Q$2))</f>
        <v>#DIV/0!</v>
      </c>
      <c r="H183" s="935" t="s">
        <v>26</v>
      </c>
      <c r="J183" s="1021" cm="1">
        <f t="array" ref="J183">IF(J$2=_xlfn.NUMBERVALUE(LEFT(Report!$A$3,4)),INDEX(Report!$B$160:$B$175,_xlfn.XMATCH($B183,Report!$A$160:$A$175)),0)</f>
        <v>0</v>
      </c>
      <c r="K183" s="1021" cm="1">
        <f t="array" ref="K183">IF(K$2=_xlfn.NUMBERVALUE(LEFT(Report!$A$3,4)),INDEX(Report!$B$160:$B$175,_xlfn.XMATCH($B183,Report!$A$160:$A$175)),0)</f>
        <v>0</v>
      </c>
      <c r="L183" s="1021" cm="1">
        <f t="array" ref="L183">IF(L$2=_xlfn.NUMBERVALUE(LEFT(Report!$A$3,4)),INDEX(Report!$B$160:$B$175,_xlfn.XMATCH($B183,Report!$A$160:$A$175)),0)</f>
        <v>0</v>
      </c>
      <c r="M183" s="1021" t="e" cm="1">
        <f t="array" aca="1" ref="M183" ca="1">IF(M$2=_xlfn.NUMBERVALUE(LEFT(Report!$A$3,4)),INDEX(Report!$B$160:$B$175,_xlfn.XMATCH($B183,Report!$A$160:$A$175)),0)</f>
        <v>#NAME?</v>
      </c>
      <c r="N183" s="1021" cm="1">
        <f t="array" ref="N183">IF(N$2=_xlfn.NUMBERVALUE(LEFT(Report!$A$3,4)),INDEX(Report!$B$160:$B$175,_xlfn.XMATCH($B183,Report!$A$160:$A$175)),0)</f>
        <v>0</v>
      </c>
      <c r="O183" s="1021" cm="1">
        <f t="array" ref="O183">IF(O$2=_xlfn.NUMBERVALUE(LEFT(Report!$A$3,4)),INDEX(Report!$B$160:$B$175,_xlfn.XMATCH($B183,Report!$A$160:$A$175)),0)</f>
        <v>0</v>
      </c>
      <c r="P183" s="1021" cm="1">
        <f t="array" ref="P183">IF(P$2=_xlfn.NUMBERVALUE(LEFT(Report!$A$3,4)),INDEX(Report!$B$160:$B$175,_xlfn.XMATCH($B183,Report!$A$160:$A$175)),0)</f>
        <v>0</v>
      </c>
      <c r="Q183" s="1021" cm="1">
        <f t="array" ref="Q183">IF(Q$2=_xlfn.NUMBERVALUE(LEFT(Report!$A$3,4)),INDEX(Report!$B$160:$B$175,_xlfn.XMATCH($B183,Report!$A$160:$A$175)),0)</f>
        <v>0</v>
      </c>
    </row>
    <row r="184" spans="2:17" outlineLevel="1">
      <c r="B184" s="927" t="s">
        <v>100</v>
      </c>
      <c r="E184" s="1020" t="e" cm="1">
        <f t="array" ref="E184">INDEX($J184:$Q184,_xlfn.XMATCH(YEAR([7]Input!$A$4),$J$2:$Q$2))/INDEX($J$186:$Q$186,_xlfn.XMATCH(YEAR([7]Input!$A$4),$J$2:$Q$2))</f>
        <v>#DIV/0!</v>
      </c>
      <c r="H184" s="935" t="s">
        <v>26</v>
      </c>
      <c r="J184" s="1021" cm="1">
        <f t="array" ref="J184">IF(J$2=_xlfn.NUMBERVALUE(LEFT(Report!$A$3,4)),INDEX(Report!$B$160:$B$175,_xlfn.XMATCH($B184,Report!$A$160:$A$175)),0)</f>
        <v>0</v>
      </c>
      <c r="K184" s="1021" cm="1">
        <f t="array" ref="K184">IF(K$2=_xlfn.NUMBERVALUE(LEFT(Report!$A$3,4)),INDEX(Report!$B$160:$B$175,_xlfn.XMATCH($B184,Report!$A$160:$A$175)),0)</f>
        <v>0</v>
      </c>
      <c r="L184" s="1021" cm="1">
        <f t="array" ref="L184">IF(L$2=_xlfn.NUMBERVALUE(LEFT(Report!$A$3,4)),INDEX(Report!$B$160:$B$175,_xlfn.XMATCH($B184,Report!$A$160:$A$175)),0)</f>
        <v>0</v>
      </c>
      <c r="M184" s="1021" t="e" cm="1">
        <f t="array" aca="1" ref="M184" ca="1">IF(M$2=_xlfn.NUMBERVALUE(LEFT(Report!$A$3,4)),INDEX(Report!$B$160:$B$175,_xlfn.XMATCH($B184,Report!$A$160:$A$175)),0)</f>
        <v>#NAME?</v>
      </c>
      <c r="N184" s="1021" cm="1">
        <f t="array" ref="N184">IF(N$2=_xlfn.NUMBERVALUE(LEFT(Report!$A$3,4)),INDEX(Report!$B$160:$B$175,_xlfn.XMATCH($B184,Report!$A$160:$A$175)),0)</f>
        <v>0</v>
      </c>
      <c r="O184" s="1021" cm="1">
        <f t="array" ref="O184">IF(O$2=_xlfn.NUMBERVALUE(LEFT(Report!$A$3,4)),INDEX(Report!$B$160:$B$175,_xlfn.XMATCH($B184,Report!$A$160:$A$175)),0)</f>
        <v>0</v>
      </c>
      <c r="P184" s="1021" cm="1">
        <f t="array" ref="P184">IF(P$2=_xlfn.NUMBERVALUE(LEFT(Report!$A$3,4)),INDEX(Report!$B$160:$B$175,_xlfn.XMATCH($B184,Report!$A$160:$A$175)),0)</f>
        <v>0</v>
      </c>
      <c r="Q184" s="1021" cm="1">
        <f t="array" ref="Q184">IF(Q$2=_xlfn.NUMBERVALUE(LEFT(Report!$A$3,4)),INDEX(Report!$B$160:$B$175,_xlfn.XMATCH($B184,Report!$A$160:$A$175)),0)</f>
        <v>0</v>
      </c>
    </row>
    <row r="185" spans="2:17" outlineLevel="1">
      <c r="B185" s="927" t="s">
        <v>115</v>
      </c>
      <c r="H185" s="935" t="s">
        <v>26</v>
      </c>
      <c r="J185" s="1022" cm="1">
        <f t="array" ref="J185">IF(J$2=_xlfn.NUMBERVALUE(LEFT(Report!$A$3,4)),INDEX(Report!$B$160:$B$175,_xlfn.XMATCH($B185,Report!$A$160:$A$175)),0)</f>
        <v>0</v>
      </c>
      <c r="K185" s="1022" cm="1">
        <f t="array" ref="K185">IF(K$2=_xlfn.NUMBERVALUE(LEFT(Report!$A$3,4)),INDEX(Report!$B$160:$B$175,_xlfn.XMATCH($B185,Report!$A$160:$A$175)),0)</f>
        <v>0</v>
      </c>
      <c r="L185" s="1022" cm="1">
        <f t="array" ref="L185">IF(L$2=_xlfn.NUMBERVALUE(LEFT(Report!$A$3,4)),INDEX(Report!$B$160:$B$175,_xlfn.XMATCH($B185,Report!$A$160:$A$175)),0)</f>
        <v>0</v>
      </c>
      <c r="M185" s="1022" t="e" cm="1">
        <f t="array" ref="M185">IF(M$2=_xlfn.NUMBERVALUE(LEFT(Report!$A$3,4)),INDEX(Report!$B$160:$B$175,_xlfn.XMATCH($B185,Report!$A$160:$A$175)),0)</f>
        <v>#N/A</v>
      </c>
      <c r="N185" s="1022" cm="1">
        <f t="array" ref="N185">IF(N$2=_xlfn.NUMBERVALUE(LEFT(Report!$A$3,4)),INDEX(Report!$B$160:$B$175,_xlfn.XMATCH($B185,Report!$A$160:$A$175)),0)</f>
        <v>0</v>
      </c>
      <c r="O185" s="1022" cm="1">
        <f t="array" ref="O185">IF(O$2=_xlfn.NUMBERVALUE(LEFT(Report!$A$3,4)),INDEX(Report!$B$160:$B$175,_xlfn.XMATCH($B185,Report!$A$160:$A$175)),0)</f>
        <v>0</v>
      </c>
      <c r="P185" s="1022" cm="1">
        <f t="array" ref="P185">IF(P$2=_xlfn.NUMBERVALUE(LEFT(Report!$A$3,4)),INDEX(Report!$B$160:$B$175,_xlfn.XMATCH($B185,Report!$A$160:$A$175)),0)</f>
        <v>0</v>
      </c>
      <c r="Q185" s="1022" cm="1">
        <f t="array" ref="Q185">IF(Q$2=_xlfn.NUMBERVALUE(LEFT(Report!$A$3,4)),INDEX(Report!$B$160:$B$175,_xlfn.XMATCH($B185,Report!$A$160:$A$175)),0)</f>
        <v>0</v>
      </c>
    </row>
    <row r="186" spans="2:17" outlineLevel="1">
      <c r="B186" s="947" t="s">
        <v>118</v>
      </c>
      <c r="C186" s="936"/>
      <c r="H186" s="935" t="s">
        <v>26</v>
      </c>
      <c r="J186" s="1023">
        <f t="shared" ref="J186:Q186" si="61">SUM(J179:J185)</f>
        <v>0</v>
      </c>
      <c r="K186" s="1023">
        <f t="shared" si="61"/>
        <v>0</v>
      </c>
      <c r="L186" s="1023">
        <f t="shared" si="61"/>
        <v>0</v>
      </c>
      <c r="M186" s="1023" t="e">
        <f t="shared" ca="1" si="61"/>
        <v>#NAME?</v>
      </c>
      <c r="N186" s="1023">
        <f t="shared" si="61"/>
        <v>0</v>
      </c>
      <c r="O186" s="1023">
        <f t="shared" si="61"/>
        <v>0</v>
      </c>
      <c r="P186" s="1023">
        <f t="shared" si="61"/>
        <v>0</v>
      </c>
      <c r="Q186" s="1023">
        <f t="shared" si="61"/>
        <v>0</v>
      </c>
    </row>
    <row r="187" spans="2:17" outlineLevel="1"/>
    <row r="188" spans="2:17" ht="15" outlineLevel="1">
      <c r="B188" s="945" t="s">
        <v>119</v>
      </c>
      <c r="H188" s="937" t="e">
        <f ca="1">IF(ABS(SUMPRODUCT(INDEX($J189:$Q192,,_xlfn.XMATCH(YEAR(Input!$A$4),$J$2:$Q$2)),E180:E183)*dcHundred-(Report!R171))&gt;Tolerance,1,0)</f>
        <v>#NAME?</v>
      </c>
    </row>
    <row r="189" spans="2:17" outlineLevel="1">
      <c r="B189" s="927" t="s">
        <v>96</v>
      </c>
      <c r="H189" s="935" t="s">
        <v>105</v>
      </c>
      <c r="J189" s="950" cm="1">
        <f t="array" ref="J189">IF(J$2=_xlfn.NUMBERVALUE(LEFT(Report!$A$3,4)),INDEX(Report!$P$160:$P$175,_xlfn.XMATCH($B189,Report!$A$160:$A$175)),0)/dcHundred</f>
        <v>0</v>
      </c>
      <c r="K189" s="950" cm="1">
        <f t="array" ref="K189">IF(K$2=_xlfn.NUMBERVALUE(LEFT(Report!$A$3,4)),INDEX(Report!$P$160:$P$175,_xlfn.XMATCH($B189,Report!$A$160:$A$175)),0)/dcHundred</f>
        <v>0</v>
      </c>
      <c r="L189" s="950" cm="1">
        <f t="array" ref="L189">IF(L$2=_xlfn.NUMBERVALUE(LEFT(Report!$A$3,4)),INDEX(Report!$P$160:$P$175,_xlfn.XMATCH($B189,Report!$A$160:$A$175)),0)/dcHundred</f>
        <v>0</v>
      </c>
      <c r="M189" s="950" t="e" cm="1">
        <f t="array" aca="1" ref="M189" ca="1">IF(M$2=_xlfn.NUMBERVALUE(LEFT(Report!$A$3,4)),INDEX(Report!$P$160:$P$175,_xlfn.XMATCH($B189,Report!$A$160:$A$175)),0)/dcHundred</f>
        <v>#NAME?</v>
      </c>
      <c r="N189" s="950" cm="1">
        <f t="array" ref="N189">IF(N$2=_xlfn.NUMBERVALUE(LEFT(Report!$A$3,4)),INDEX(Report!$P$160:$P$175,_xlfn.XMATCH($B189,Report!$A$160:$A$175)),0)/dcHundred</f>
        <v>0</v>
      </c>
      <c r="O189" s="950" cm="1">
        <f t="array" ref="O189">IF(O$2=_xlfn.NUMBERVALUE(LEFT(Report!$A$3,4)),INDEX(Report!$P$160:$P$175,_xlfn.XMATCH($B189,Report!$A$160:$A$175)),0)/dcHundred</f>
        <v>0</v>
      </c>
      <c r="P189" s="950" cm="1">
        <f t="array" ref="P189">IF(P$2=_xlfn.NUMBERVALUE(LEFT(Report!$A$3,4)),INDEX(Report!$P$160:$P$175,_xlfn.XMATCH($B189,Report!$A$160:$A$175)),0)/dcHundred</f>
        <v>0</v>
      </c>
      <c r="Q189" s="950" cm="1">
        <f t="array" ref="Q189">IF(Q$2=_xlfn.NUMBERVALUE(LEFT(Report!$A$3,4)),INDEX(Report!$P$160:$P$175,_xlfn.XMATCH($B189,Report!$A$160:$A$175)),0)/dcHundred</f>
        <v>0</v>
      </c>
    </row>
    <row r="190" spans="2:17" outlineLevel="1">
      <c r="B190" s="927" t="s">
        <v>97</v>
      </c>
      <c r="H190" s="935" t="s">
        <v>105</v>
      </c>
      <c r="J190" s="950" cm="1">
        <f t="array" ref="J190">IF(J$2=_xlfn.NUMBERVALUE(LEFT(Report!$A$3,4)),INDEX(Report!$P$160:$P$175,_xlfn.XMATCH($B190,Report!$A$160:$A$175)),0)/dcHundred</f>
        <v>0</v>
      </c>
      <c r="K190" s="950" cm="1">
        <f t="array" ref="K190">IF(K$2=_xlfn.NUMBERVALUE(LEFT(Report!$A$3,4)),INDEX(Report!$P$160:$P$175,_xlfn.XMATCH($B190,Report!$A$160:$A$175)),0)/dcHundred</f>
        <v>0</v>
      </c>
      <c r="L190" s="950" cm="1">
        <f t="array" ref="L190">IF(L$2=_xlfn.NUMBERVALUE(LEFT(Report!$A$3,4)),INDEX(Report!$P$160:$P$175,_xlfn.XMATCH($B190,Report!$A$160:$A$175)),0)/dcHundred</f>
        <v>0</v>
      </c>
      <c r="M190" s="950" t="e" cm="1">
        <f t="array" aca="1" ref="M190" ca="1">IF(M$2=_xlfn.NUMBERVALUE(LEFT(Report!$A$3,4)),INDEX(Report!$P$160:$P$175,_xlfn.XMATCH($B190,Report!$A$160:$A$175)),0)/dcHundred</f>
        <v>#NAME?</v>
      </c>
      <c r="N190" s="950" cm="1">
        <f t="array" ref="N190">IF(N$2=_xlfn.NUMBERVALUE(LEFT(Report!$A$3,4)),INDEX(Report!$P$160:$P$175,_xlfn.XMATCH($B190,Report!$A$160:$A$175)),0)/dcHundred</f>
        <v>0</v>
      </c>
      <c r="O190" s="950" cm="1">
        <f t="array" ref="O190">IF(O$2=_xlfn.NUMBERVALUE(LEFT(Report!$A$3,4)),INDEX(Report!$P$160:$P$175,_xlfn.XMATCH($B190,Report!$A$160:$A$175)),0)/dcHundred</f>
        <v>0</v>
      </c>
      <c r="P190" s="950" cm="1">
        <f t="array" ref="P190">IF(P$2=_xlfn.NUMBERVALUE(LEFT(Report!$A$3,4)),INDEX(Report!$P$160:$P$175,_xlfn.XMATCH($B190,Report!$A$160:$A$175)),0)/dcHundred</f>
        <v>0</v>
      </c>
      <c r="Q190" s="950" cm="1">
        <f t="array" ref="Q190">IF(Q$2=_xlfn.NUMBERVALUE(LEFT(Report!$A$3,4)),INDEX(Report!$P$160:$P$175,_xlfn.XMATCH($B190,Report!$A$160:$A$175)),0)/dcHundred</f>
        <v>0</v>
      </c>
    </row>
    <row r="191" spans="2:17" outlineLevel="1">
      <c r="B191" s="927" t="s">
        <v>98</v>
      </c>
      <c r="H191" s="935" t="s">
        <v>105</v>
      </c>
      <c r="J191" s="950" cm="1">
        <f t="array" ref="J191">IF(J$2=_xlfn.NUMBERVALUE(LEFT(Report!$A$3,4)),INDEX(Report!$P$160:$P$175,_xlfn.XMATCH($B191,Report!$A$160:$A$175)),0)/dcHundred</f>
        <v>0</v>
      </c>
      <c r="K191" s="950" cm="1">
        <f t="array" ref="K191">IF(K$2=_xlfn.NUMBERVALUE(LEFT(Report!$A$3,4)),INDEX(Report!$P$160:$P$175,_xlfn.XMATCH($B191,Report!$A$160:$A$175)),0)/dcHundred</f>
        <v>0</v>
      </c>
      <c r="L191" s="950" cm="1">
        <f t="array" ref="L191">IF(L$2=_xlfn.NUMBERVALUE(LEFT(Report!$A$3,4)),INDEX(Report!$P$160:$P$175,_xlfn.XMATCH($B191,Report!$A$160:$A$175)),0)/dcHundred</f>
        <v>0</v>
      </c>
      <c r="M191" s="950" t="e" cm="1">
        <f t="array" aca="1" ref="M191" ca="1">IF(M$2=_xlfn.NUMBERVALUE(LEFT(Report!$A$3,4)),INDEX(Report!$P$160:$P$175,_xlfn.XMATCH($B191,Report!$A$160:$A$175)),0)/dcHundred</f>
        <v>#NAME?</v>
      </c>
      <c r="N191" s="950" cm="1">
        <f t="array" ref="N191">IF(N$2=_xlfn.NUMBERVALUE(LEFT(Report!$A$3,4)),INDEX(Report!$P$160:$P$175,_xlfn.XMATCH($B191,Report!$A$160:$A$175)),0)/dcHundred</f>
        <v>0</v>
      </c>
      <c r="O191" s="950" cm="1">
        <f t="array" ref="O191">IF(O$2=_xlfn.NUMBERVALUE(LEFT(Report!$A$3,4)),INDEX(Report!$P$160:$P$175,_xlfn.XMATCH($B191,Report!$A$160:$A$175)),0)/dcHundred</f>
        <v>0</v>
      </c>
      <c r="P191" s="950" cm="1">
        <f t="array" ref="P191">IF(P$2=_xlfn.NUMBERVALUE(LEFT(Report!$A$3,4)),INDEX(Report!$P$160:$P$175,_xlfn.XMATCH($B191,Report!$A$160:$A$175)),0)/dcHundred</f>
        <v>0</v>
      </c>
      <c r="Q191" s="950" cm="1">
        <f t="array" ref="Q191">IF(Q$2=_xlfn.NUMBERVALUE(LEFT(Report!$A$3,4)),INDEX(Report!$P$160:$P$175,_xlfn.XMATCH($B191,Report!$A$160:$A$175)),0)/dcHundred</f>
        <v>0</v>
      </c>
    </row>
    <row r="192" spans="2:17" outlineLevel="1">
      <c r="B192" s="927" t="s">
        <v>99</v>
      </c>
      <c r="H192" s="935" t="s">
        <v>105</v>
      </c>
      <c r="J192" s="950" cm="1">
        <f t="array" ref="J192">IF(J$2=_xlfn.NUMBERVALUE(LEFT(Report!$A$3,4)),INDEX(Report!$P$160:$P$175,_xlfn.XMATCH($B192,Report!$A$160:$A$175)),0)/dcHundred</f>
        <v>0</v>
      </c>
      <c r="K192" s="950" cm="1">
        <f t="array" ref="K192">IF(K$2=_xlfn.NUMBERVALUE(LEFT(Report!$A$3,4)),INDEX(Report!$P$160:$P$175,_xlfn.XMATCH($B192,Report!$A$160:$A$175)),0)/dcHundred</f>
        <v>0</v>
      </c>
      <c r="L192" s="950" cm="1">
        <f t="array" ref="L192">IF(L$2=_xlfn.NUMBERVALUE(LEFT(Report!$A$3,4)),INDEX(Report!$P$160:$P$175,_xlfn.XMATCH($B192,Report!$A$160:$A$175)),0)/dcHundred</f>
        <v>0</v>
      </c>
      <c r="M192" s="950" cm="1">
        <f t="array" ref="M192">IF(M$2=_xlfn.NUMBERVALUE(LEFT(Report!$A$3,4)),INDEX(Report!$P$160:$P$175,_xlfn.XMATCH($B192,Report!$A$160:$A$175)),0)/dcHundred</f>
        <v>9.9000000000000005E-2</v>
      </c>
      <c r="N192" s="950" cm="1">
        <f t="array" ref="N192">IF(N$2=_xlfn.NUMBERVALUE(LEFT(Report!$A$3,4)),INDEX(Report!$P$160:$P$175,_xlfn.XMATCH($B192,Report!$A$160:$A$175)),0)/dcHundred</f>
        <v>0</v>
      </c>
      <c r="O192" s="950" cm="1">
        <f t="array" ref="O192">IF(O$2=_xlfn.NUMBERVALUE(LEFT(Report!$A$3,4)),INDEX(Report!$P$160:$P$175,_xlfn.XMATCH($B192,Report!$A$160:$A$175)),0)/dcHundred</f>
        <v>0</v>
      </c>
      <c r="P192" s="950" cm="1">
        <f t="array" ref="P192">IF(P$2=_xlfn.NUMBERVALUE(LEFT(Report!$A$3,4)),INDEX(Report!$P$160:$P$175,_xlfn.XMATCH($B192,Report!$A$160:$A$175)),0)/dcHundred</f>
        <v>0</v>
      </c>
      <c r="Q192" s="950" cm="1">
        <f t="array" ref="Q192">IF(Q$2=_xlfn.NUMBERVALUE(LEFT(Report!$A$3,4)),INDEX(Report!$P$160:$P$175,_xlfn.XMATCH($B192,Report!$A$160:$A$175)),0)/dcHundred</f>
        <v>0</v>
      </c>
    </row>
    <row r="194" spans="2:114">
      <c r="B194" s="1005" t="s">
        <v>120</v>
      </c>
      <c r="C194" s="1006"/>
      <c r="D194" s="1006"/>
      <c r="E194" s="1006"/>
      <c r="F194" s="1006"/>
      <c r="G194" s="1006"/>
      <c r="H194" s="1006"/>
      <c r="I194" s="1006"/>
      <c r="J194" s="1006"/>
      <c r="K194" s="1006"/>
      <c r="L194" s="1006"/>
      <c r="M194" s="1006"/>
      <c r="N194" s="1006"/>
      <c r="O194" s="1006"/>
      <c r="P194" s="1006"/>
      <c r="Q194" s="1006"/>
      <c r="R194" s="1006"/>
      <c r="S194" s="1006"/>
      <c r="T194" s="1006"/>
      <c r="U194" s="1006"/>
      <c r="V194" s="1006"/>
      <c r="W194" s="1006"/>
      <c r="X194" s="1006"/>
      <c r="Y194" s="1006"/>
      <c r="Z194" s="1006"/>
      <c r="AA194" s="1006"/>
      <c r="AB194" s="1006"/>
      <c r="AC194" s="1006"/>
      <c r="AD194" s="1006"/>
      <c r="AE194" s="1006"/>
      <c r="AF194" s="1006"/>
      <c r="AG194" s="1006"/>
      <c r="AH194" s="1006"/>
      <c r="AI194" s="1006"/>
      <c r="AJ194" s="1006"/>
      <c r="AK194" s="1006"/>
      <c r="AL194" s="1006"/>
      <c r="AM194" s="1006"/>
      <c r="AN194" s="1006"/>
      <c r="AO194" s="1006"/>
      <c r="AP194" s="1006"/>
      <c r="AQ194" s="1006"/>
      <c r="AR194" s="1006"/>
      <c r="AS194" s="1006"/>
      <c r="AT194" s="1006"/>
      <c r="AU194" s="1006"/>
      <c r="AV194" s="1006"/>
      <c r="AW194" s="1006"/>
      <c r="AX194" s="1006"/>
      <c r="AY194" s="1006"/>
      <c r="AZ194" s="1006"/>
      <c r="BA194" s="1006"/>
      <c r="BB194" s="1006"/>
      <c r="BC194" s="1006"/>
      <c r="BD194" s="1006"/>
      <c r="BE194" s="1006"/>
      <c r="BF194" s="1006"/>
      <c r="BG194" s="1006"/>
      <c r="BH194" s="1006"/>
      <c r="BI194" s="1006"/>
      <c r="BJ194" s="1006"/>
      <c r="BK194" s="1006"/>
      <c r="BL194" s="1006"/>
      <c r="BM194" s="1006"/>
      <c r="BN194" s="1006"/>
      <c r="BO194" s="1006"/>
      <c r="BP194" s="1006"/>
      <c r="BQ194" s="1006"/>
      <c r="BR194" s="1006"/>
      <c r="BS194" s="1006"/>
      <c r="BT194" s="1006"/>
      <c r="BU194" s="1006"/>
      <c r="BV194" s="1006"/>
      <c r="BW194" s="1006"/>
      <c r="BX194" s="1006"/>
      <c r="BY194" s="1006"/>
      <c r="BZ194" s="1006"/>
      <c r="CA194" s="1006"/>
      <c r="CB194" s="1006"/>
      <c r="CC194" s="1006"/>
      <c r="CD194" s="1006"/>
      <c r="CE194" s="1006"/>
      <c r="CF194" s="1006"/>
      <c r="CG194" s="1006"/>
      <c r="CH194" s="1006"/>
      <c r="CI194" s="1006"/>
      <c r="CJ194" s="1006"/>
      <c r="CK194" s="1006"/>
      <c r="CL194" s="1006"/>
      <c r="CM194" s="1006"/>
      <c r="CN194" s="1006"/>
      <c r="CO194" s="1006"/>
      <c r="CP194" s="1006"/>
      <c r="CQ194" s="1006"/>
      <c r="CR194" s="1006"/>
      <c r="CS194" s="1006"/>
      <c r="CT194" s="1006"/>
      <c r="CU194" s="1006"/>
      <c r="CV194" s="1006"/>
      <c r="CW194" s="1006"/>
      <c r="CX194" s="1006"/>
      <c r="CY194" s="1006"/>
      <c r="CZ194" s="1006"/>
      <c r="DA194" s="1006"/>
      <c r="DB194" s="1006"/>
      <c r="DC194" s="1006"/>
      <c r="DD194" s="1006"/>
      <c r="DE194" s="1006"/>
      <c r="DF194" s="1006"/>
      <c r="DG194" s="1006"/>
      <c r="DH194" s="1006"/>
      <c r="DI194" s="1006"/>
      <c r="DJ194" s="1007"/>
    </row>
  </sheetData>
  <conditionalFormatting sqref="J3:Q3">
    <cfRule type="expression" dxfId="32" priority="7">
      <formula>J3="Actual"</formula>
    </cfRule>
    <cfRule type="expression" dxfId="31" priority="8">
      <formula>J3="Budget"</formula>
    </cfRule>
  </conditionalFormatting>
  <conditionalFormatting sqref="D2:F2">
    <cfRule type="expression" dxfId="30" priority="5">
      <formula>$D$2=0</formula>
    </cfRule>
    <cfRule type="expression" dxfId="29" priority="6">
      <formula>$D$2=1</formula>
    </cfRule>
  </conditionalFormatting>
  <conditionalFormatting sqref="S3:DJ3">
    <cfRule type="expression" dxfId="28" priority="1">
      <formula>S3="Actual"</formula>
    </cfRule>
    <cfRule type="expression" dxfId="27" priority="2">
      <formula>S3="Budget"</formula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opyMacro">
                <anchor moveWithCells="1" sizeWithCells="1">
                  <from>
                    <xdr:col>2</xdr:col>
                    <xdr:colOff>1714500</xdr:colOff>
                    <xdr:row>3</xdr:row>
                    <xdr:rowOff>28575</xdr:rowOff>
                  </from>
                  <to>
                    <xdr:col>5</xdr:col>
                    <xdr:colOff>323850</xdr:colOff>
                    <xdr:row>4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pageSetUpPr fitToPage="1"/>
  </sheetPr>
  <dimension ref="A1:EI97"/>
  <sheetViews>
    <sheetView zoomScale="85" zoomScaleNormal="85" workbookViewId="0">
      <pane xSplit="4" topLeftCell="BO1" activePane="topRight" state="frozen"/>
      <selection pane="topRight" activeCell="BO35" sqref="BO35:BZ40"/>
    </sheetView>
  </sheetViews>
  <sheetFormatPr defaultColWidth="8.42578125" defaultRowHeight="12.75" outlineLevelCol="1"/>
  <cols>
    <col min="1" max="1" width="38" customWidth="1"/>
    <col min="2" max="2" width="8.42578125" hidden="1" customWidth="1"/>
    <col min="3" max="3" width="2.85546875" customWidth="1"/>
    <col min="4" max="4" width="11.7109375" customWidth="1"/>
    <col min="5" max="5" width="2.85546875" customWidth="1"/>
    <col min="6" max="6" width="12.140625" customWidth="1"/>
    <col min="7" max="13" width="12.85546875" style="174" hidden="1" customWidth="1"/>
    <col min="14" max="21" width="15.140625" style="174" hidden="1" customWidth="1"/>
    <col min="22" max="23" width="14.5703125" style="174" hidden="1" customWidth="1"/>
    <col min="24" max="38" width="15.140625" style="174" hidden="1" customWidth="1"/>
    <col min="39" max="44" width="13.85546875" style="174" hidden="1" customWidth="1"/>
    <col min="45" max="53" width="13.42578125" style="174" hidden="1" customWidth="1"/>
    <col min="54" max="56" width="15.140625" style="174" hidden="1" customWidth="1"/>
    <col min="57" max="66" width="13.140625" style="174" hidden="1" customWidth="1"/>
    <col min="67" max="67" width="13.140625" style="174" customWidth="1" outlineLevel="1"/>
    <col min="68" max="77" width="15" style="174" customWidth="1" outlineLevel="1"/>
    <col min="78" max="90" width="15" style="174" customWidth="1"/>
    <col min="91" max="91" width="20.7109375" style="1064" customWidth="1"/>
    <col min="92" max="92" width="20" bestFit="1" customWidth="1"/>
    <col min="93" max="93" width="11.28515625" bestFit="1" customWidth="1"/>
    <col min="94" max="94" width="11.85546875" bestFit="1" customWidth="1"/>
  </cols>
  <sheetData>
    <row r="1" spans="1:139" ht="15.75">
      <c r="A1" s="23"/>
      <c r="C1" s="21"/>
      <c r="D1" s="25"/>
      <c r="E1" s="21"/>
      <c r="F1" s="2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29" t="s">
        <v>400</v>
      </c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1049"/>
      <c r="EI1" s="14"/>
    </row>
    <row r="2" spans="1:139" ht="15.75">
      <c r="C2" s="21"/>
      <c r="D2" s="21"/>
      <c r="E2" s="21"/>
      <c r="F2" s="2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749" t="s">
        <v>401</v>
      </c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1049"/>
    </row>
    <row r="3" spans="1:139" ht="15.75" customHeight="1">
      <c r="A3" s="179"/>
      <c r="C3" s="21"/>
      <c r="D3" s="21"/>
      <c r="E3" s="21"/>
      <c r="F3" s="2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29" t="s">
        <v>402</v>
      </c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1049"/>
    </row>
    <row r="4" spans="1:139" ht="15.75">
      <c r="A4" s="23" t="s">
        <v>403</v>
      </c>
      <c r="C4" s="22"/>
      <c r="E4" s="22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050"/>
    </row>
    <row r="5" spans="1:139" ht="15">
      <c r="A5" s="24"/>
      <c r="C5" s="22"/>
      <c r="D5" s="376" t="s">
        <v>404</v>
      </c>
      <c r="E5" s="22"/>
      <c r="F5" s="376" t="s">
        <v>405</v>
      </c>
      <c r="G5" s="319" t="str">
        <f>+'Bal Sheet'!C5</f>
        <v>Actual</v>
      </c>
      <c r="H5" s="319" t="str">
        <f>+'Bal Sheet'!D5</f>
        <v>Actual</v>
      </c>
      <c r="I5" s="319" t="str">
        <f>+'Bal Sheet'!E5</f>
        <v>Actual</v>
      </c>
      <c r="J5" s="319" t="str">
        <f>+'Bal Sheet'!F5</f>
        <v>Actual</v>
      </c>
      <c r="K5" s="319" t="str">
        <f>+'Bal Sheet'!G5</f>
        <v>Actual</v>
      </c>
      <c r="L5" s="319" t="str">
        <f>+'Bal Sheet'!H5</f>
        <v>Actual</v>
      </c>
      <c r="M5" s="319" t="str">
        <f>+'Bal Sheet'!I5</f>
        <v>Actual</v>
      </c>
      <c r="N5" s="319" t="str">
        <f>+'Bal Sheet'!J5</f>
        <v>Actual</v>
      </c>
      <c r="O5" s="319" t="str">
        <f>+'Bal Sheet'!K5</f>
        <v>Actual</v>
      </c>
      <c r="P5" s="319" t="str">
        <f>+'Bal Sheet'!L5</f>
        <v>Actual</v>
      </c>
      <c r="Q5" s="319" t="str">
        <f>+'Bal Sheet'!M5</f>
        <v>Actual</v>
      </c>
      <c r="R5" s="319" t="str">
        <f>+'Bal Sheet'!N5</f>
        <v>Actual</v>
      </c>
      <c r="S5" s="319" t="str">
        <f>+'Bal Sheet'!O5</f>
        <v>Actual</v>
      </c>
      <c r="T5" s="319" t="str">
        <f>+'Bal Sheet'!P5</f>
        <v>Actual</v>
      </c>
      <c r="U5" s="319" t="str">
        <f>+'Bal Sheet'!Q5</f>
        <v>Actual</v>
      </c>
      <c r="V5" s="319" t="str">
        <f>+'Bal Sheet'!R5</f>
        <v>Actual</v>
      </c>
      <c r="W5" s="319" t="str">
        <f>+'Bal Sheet'!S5</f>
        <v>Actual</v>
      </c>
      <c r="X5" s="319" t="str">
        <f>+'Bal Sheet'!T5</f>
        <v>Actual</v>
      </c>
      <c r="Y5" s="319" t="str">
        <f>+'Bal Sheet'!U5</f>
        <v>Actual</v>
      </c>
      <c r="Z5" s="319" t="str">
        <f>+'Bal Sheet'!V5</f>
        <v>Actual</v>
      </c>
      <c r="AA5" s="319" t="str">
        <f>+'Bal Sheet'!W5</f>
        <v>Actual</v>
      </c>
      <c r="AB5" s="319" t="str">
        <f>+'Bal Sheet'!X5</f>
        <v>Actual</v>
      </c>
      <c r="AC5" s="319" t="str">
        <f>+'Bal Sheet'!Y5</f>
        <v>Actual</v>
      </c>
      <c r="AD5" s="319" t="str">
        <f>+'Bal Sheet'!Z5</f>
        <v>Actual</v>
      </c>
      <c r="AE5" s="319" t="str">
        <f>+'Bal Sheet'!AA5</f>
        <v>Actual</v>
      </c>
      <c r="AF5" s="319" t="str">
        <f>+'Bal Sheet'!AB5</f>
        <v>Actual</v>
      </c>
      <c r="AG5" s="319" t="str">
        <f>+'Bal Sheet'!AC5</f>
        <v>Actual</v>
      </c>
      <c r="AH5" s="319" t="str">
        <f>+'Bal Sheet'!AD5</f>
        <v>Actual</v>
      </c>
      <c r="AI5" s="319" t="str">
        <f>+'Bal Sheet'!AE5</f>
        <v>Actual</v>
      </c>
      <c r="AJ5" s="319" t="str">
        <f>+'Bal Sheet'!AF5</f>
        <v>Actual</v>
      </c>
      <c r="AK5" s="319" t="str">
        <f>+'Bal Sheet'!AG5</f>
        <v>Actual</v>
      </c>
      <c r="AL5" s="319" t="str">
        <f>+'Bal Sheet'!AH5</f>
        <v>Actual</v>
      </c>
      <c r="AM5" s="319" t="str">
        <f>+'Bal Sheet'!AI5</f>
        <v>Actual</v>
      </c>
      <c r="AN5" s="319" t="str">
        <f>+'Bal Sheet'!AJ5</f>
        <v>Actual</v>
      </c>
      <c r="AO5" s="319" t="str">
        <f>+'Bal Sheet'!AK5</f>
        <v>Actual</v>
      </c>
      <c r="AP5" s="319" t="str">
        <f>+'Bal Sheet'!AL5</f>
        <v>Actual</v>
      </c>
      <c r="AQ5" s="319" t="str">
        <f>+'Bal Sheet'!AM5</f>
        <v>Actual</v>
      </c>
      <c r="AR5" s="319" t="str">
        <f>+'Bal Sheet'!AN5</f>
        <v>Actual</v>
      </c>
      <c r="AS5" s="319" t="str">
        <f>+'Bal Sheet'!AO5</f>
        <v>Actual</v>
      </c>
      <c r="AT5" s="319" t="str">
        <f>+'Bal Sheet'!AP5</f>
        <v>Actual</v>
      </c>
      <c r="AU5" s="319" t="str">
        <f>+'Bal Sheet'!AQ5</f>
        <v>Actual</v>
      </c>
      <c r="AV5" s="319" t="str">
        <f>+'Bal Sheet'!AR5</f>
        <v>Actual</v>
      </c>
      <c r="AW5" s="319" t="str">
        <f>+'Bal Sheet'!AS5</f>
        <v>Actual</v>
      </c>
      <c r="AX5" s="319" t="str">
        <f>+'Bal Sheet'!AT5</f>
        <v>Actual</v>
      </c>
      <c r="AY5" s="319" t="str">
        <f>+'Bal Sheet'!AU5</f>
        <v>Actual</v>
      </c>
      <c r="AZ5" s="319" t="str">
        <f>+'Bal Sheet'!AV5</f>
        <v>Actual</v>
      </c>
      <c r="BA5" s="319" t="str">
        <f>+'Bal Sheet'!AW5</f>
        <v>Actual</v>
      </c>
      <c r="BB5" s="731" t="str">
        <f>+'Bal Sheet'!AX5</f>
        <v>Actual</v>
      </c>
      <c r="BC5" s="731" t="str">
        <f>+'Bal Sheet'!AY5</f>
        <v>Actual</v>
      </c>
      <c r="BD5" s="731" t="str">
        <f>+'Bal Sheet'!AZ5</f>
        <v>Actual</v>
      </c>
      <c r="BE5" s="731" t="str">
        <f>+'Bal Sheet'!BA5</f>
        <v>Actual</v>
      </c>
      <c r="BF5" s="731" t="str">
        <f>+'Bal Sheet'!BB5</f>
        <v>Actual</v>
      </c>
      <c r="BG5" s="731" t="str">
        <f>+'Bal Sheet'!BC5</f>
        <v>Actual</v>
      </c>
      <c r="BH5" s="731" t="str">
        <f>+'Bal Sheet'!BD5</f>
        <v>Actual</v>
      </c>
      <c r="BI5" s="731" t="str">
        <f>+'Bal Sheet'!BE5</f>
        <v>Actual</v>
      </c>
      <c r="BJ5" s="731" t="str">
        <f>+'Bal Sheet'!BF5</f>
        <v>Actual</v>
      </c>
      <c r="BK5" s="731" t="str">
        <f>+'Bal Sheet'!BG5</f>
        <v>Actual</v>
      </c>
      <c r="BL5" s="731" t="str">
        <f>+'Bal Sheet'!BH5</f>
        <v>Actual</v>
      </c>
      <c r="BM5" s="731" t="str">
        <f>+'Bal Sheet'!BI5</f>
        <v>Actual</v>
      </c>
      <c r="BN5" s="732" t="str">
        <f>+'Bal Sheet'!BJ5</f>
        <v>Actual</v>
      </c>
      <c r="BO5" s="732" t="str">
        <f>+'Bal Sheet'!BK5</f>
        <v>Actual</v>
      </c>
      <c r="BP5" s="732" t="str">
        <f>+'Bal Sheet'!BL5</f>
        <v>Actual</v>
      </c>
      <c r="BQ5" s="732" t="str">
        <f>+'Bal Sheet'!BM5</f>
        <v>Actual</v>
      </c>
      <c r="BR5" s="732" t="str">
        <f>+'Bal Sheet'!BN5</f>
        <v>Actual</v>
      </c>
      <c r="BS5" s="732" t="str">
        <f>+'Bal Sheet'!BO5</f>
        <v>Actual</v>
      </c>
      <c r="BT5" s="732" t="str">
        <f>+'Bal Sheet'!BP5</f>
        <v>Actual</v>
      </c>
      <c r="BU5" s="732" t="str">
        <f>+'Bal Sheet'!BQ5</f>
        <v>Actual</v>
      </c>
      <c r="BV5" s="732" t="str">
        <f>+'Bal Sheet'!BR5</f>
        <v>Actual</v>
      </c>
      <c r="BW5" s="732" t="str">
        <f>+'Bal Sheet'!BS5</f>
        <v>Actual</v>
      </c>
      <c r="BX5" s="732" t="str">
        <f>+'Bal Sheet'!BT5</f>
        <v>Actual</v>
      </c>
      <c r="BY5" s="732" t="str">
        <f>+'Bal Sheet'!BU5</f>
        <v>Actual</v>
      </c>
      <c r="BZ5" s="732" t="str">
        <f>+'Bal Sheet'!BV5</f>
        <v>Actual</v>
      </c>
      <c r="CA5" s="732" t="str">
        <f>+'Bal Sheet'!BW5</f>
        <v>Budget</v>
      </c>
      <c r="CB5" s="732" t="str">
        <f>+'Bal Sheet'!BX5</f>
        <v>Budget</v>
      </c>
      <c r="CC5" s="732" t="str">
        <f>+'Bal Sheet'!BY5</f>
        <v>Budget</v>
      </c>
      <c r="CD5" s="732" t="str">
        <f>+'Bal Sheet'!BZ5</f>
        <v>Budget</v>
      </c>
      <c r="CE5" s="732" t="str">
        <f>+'Bal Sheet'!CA5</f>
        <v>Budget</v>
      </c>
      <c r="CF5" s="732" t="str">
        <f>+'Bal Sheet'!CB5</f>
        <v>Budget</v>
      </c>
      <c r="CG5" s="732" t="str">
        <f>+'Bal Sheet'!CC5</f>
        <v>Budget</v>
      </c>
      <c r="CH5" s="732" t="str">
        <f>+'Bal Sheet'!CD5</f>
        <v>Budget</v>
      </c>
      <c r="CI5" s="732" t="str">
        <f>+'Bal Sheet'!CE5</f>
        <v>Budget</v>
      </c>
      <c r="CJ5" s="732" t="str">
        <f>+'Bal Sheet'!CF5</f>
        <v>Budget</v>
      </c>
      <c r="CK5" s="732" t="str">
        <f>+'Bal Sheet'!CG5</f>
        <v>Budget</v>
      </c>
      <c r="CL5" s="732" t="str">
        <f>+'Bal Sheet'!CH5</f>
        <v>Budget</v>
      </c>
      <c r="CM5" s="1051" t="str">
        <f>+Input!A6</f>
        <v>(JAN 2023 - DEC 2023)</v>
      </c>
    </row>
    <row r="6" spans="1:139" ht="15">
      <c r="A6" s="24"/>
      <c r="C6" s="22"/>
      <c r="D6" s="376" t="s">
        <v>406</v>
      </c>
      <c r="E6" s="22"/>
      <c r="F6" s="376" t="s">
        <v>407</v>
      </c>
      <c r="G6" s="320">
        <f>+'Bal Sheet'!C6</f>
        <v>42736</v>
      </c>
      <c r="H6" s="320">
        <f>+'Bal Sheet'!D6</f>
        <v>42767</v>
      </c>
      <c r="I6" s="320">
        <f>+'Bal Sheet'!E6</f>
        <v>42798</v>
      </c>
      <c r="J6" s="320">
        <f>+'Bal Sheet'!F6</f>
        <v>42829</v>
      </c>
      <c r="K6" s="320">
        <f>+'Bal Sheet'!G6</f>
        <v>42860</v>
      </c>
      <c r="L6" s="320">
        <f>+'Bal Sheet'!H6</f>
        <v>42891</v>
      </c>
      <c r="M6" s="320">
        <f>+'Bal Sheet'!I6</f>
        <v>42922</v>
      </c>
      <c r="N6" s="320">
        <f>+'Bal Sheet'!J6</f>
        <v>42953</v>
      </c>
      <c r="O6" s="320">
        <f>+'Bal Sheet'!K6</f>
        <v>42984</v>
      </c>
      <c r="P6" s="320">
        <f>+'Bal Sheet'!L6</f>
        <v>43015</v>
      </c>
      <c r="Q6" s="320">
        <f>+'Bal Sheet'!M6</f>
        <v>43046</v>
      </c>
      <c r="R6" s="320">
        <f>+'Bal Sheet'!N6</f>
        <v>43077</v>
      </c>
      <c r="S6" s="320">
        <f>+'Bal Sheet'!O6</f>
        <v>43108</v>
      </c>
      <c r="T6" s="320">
        <f>+'Bal Sheet'!P6</f>
        <v>43139</v>
      </c>
      <c r="U6" s="320">
        <f>+'Bal Sheet'!Q6</f>
        <v>43170</v>
      </c>
      <c r="V6" s="320">
        <f>+'Bal Sheet'!R6</f>
        <v>43201</v>
      </c>
      <c r="W6" s="320">
        <f>+'Bal Sheet'!S6</f>
        <v>43232</v>
      </c>
      <c r="X6" s="320">
        <f>+'Bal Sheet'!T6</f>
        <v>43263</v>
      </c>
      <c r="Y6" s="320">
        <f>+'Bal Sheet'!U6</f>
        <v>43294</v>
      </c>
      <c r="Z6" s="320">
        <f>+'Bal Sheet'!V6</f>
        <v>43325</v>
      </c>
      <c r="AA6" s="320">
        <f>+'Bal Sheet'!W6</f>
        <v>43356</v>
      </c>
      <c r="AB6" s="320">
        <f>+'Bal Sheet'!X6</f>
        <v>43387</v>
      </c>
      <c r="AC6" s="320">
        <f>+'Bal Sheet'!Y6</f>
        <v>43418</v>
      </c>
      <c r="AD6" s="320">
        <f>+'Bal Sheet'!Z6</f>
        <v>43449</v>
      </c>
      <c r="AE6" s="320">
        <f>+'Bal Sheet'!AA6</f>
        <v>43480</v>
      </c>
      <c r="AF6" s="320">
        <f>+'Bal Sheet'!AB6</f>
        <v>43511</v>
      </c>
      <c r="AG6" s="320">
        <f>+'Bal Sheet'!AC6</f>
        <v>43542</v>
      </c>
      <c r="AH6" s="320">
        <f>+'Bal Sheet'!AD6</f>
        <v>43573</v>
      </c>
      <c r="AI6" s="320">
        <f>+'Bal Sheet'!AE6</f>
        <v>43604</v>
      </c>
      <c r="AJ6" s="320">
        <f>+'Bal Sheet'!AF6</f>
        <v>43635</v>
      </c>
      <c r="AK6" s="320">
        <f>+'Bal Sheet'!AG6</f>
        <v>43666</v>
      </c>
      <c r="AL6" s="320">
        <f>+'Bal Sheet'!AH6</f>
        <v>43697</v>
      </c>
      <c r="AM6" s="320">
        <f>+'Bal Sheet'!AI6</f>
        <v>43728</v>
      </c>
      <c r="AN6" s="320">
        <f>+'Bal Sheet'!AJ6</f>
        <v>43759</v>
      </c>
      <c r="AO6" s="320">
        <f>+'Bal Sheet'!AK6</f>
        <v>43790</v>
      </c>
      <c r="AP6" s="320">
        <f>+'Bal Sheet'!AL6</f>
        <v>43821</v>
      </c>
      <c r="AQ6" s="320">
        <f>+'Bal Sheet'!AM6</f>
        <v>43852</v>
      </c>
      <c r="AR6" s="320">
        <f>+'Bal Sheet'!AN6</f>
        <v>43883</v>
      </c>
      <c r="AS6" s="320">
        <f>+'Bal Sheet'!AO6</f>
        <v>43914</v>
      </c>
      <c r="AT6" s="320">
        <f>+'Bal Sheet'!AP6</f>
        <v>43945</v>
      </c>
      <c r="AU6" s="320">
        <f>+'Bal Sheet'!AQ6</f>
        <v>43976</v>
      </c>
      <c r="AV6" s="320">
        <f>+'Bal Sheet'!AR6</f>
        <v>44007</v>
      </c>
      <c r="AW6" s="320">
        <f>+'Bal Sheet'!AS6</f>
        <v>44038</v>
      </c>
      <c r="AX6" s="320">
        <f>+'Bal Sheet'!AT6</f>
        <v>44069</v>
      </c>
      <c r="AY6" s="320">
        <f>+'Bal Sheet'!AU6</f>
        <v>44100</v>
      </c>
      <c r="AZ6" s="320">
        <f>+'Bal Sheet'!AV6</f>
        <v>44131</v>
      </c>
      <c r="BA6" s="320">
        <f>+'Bal Sheet'!AW6</f>
        <v>44162</v>
      </c>
      <c r="BB6" s="729">
        <f>+'Bal Sheet'!AX6</f>
        <v>44193</v>
      </c>
      <c r="BC6" s="729">
        <f>+'Bal Sheet'!AY6</f>
        <v>44224</v>
      </c>
      <c r="BD6" s="729">
        <f>+'Bal Sheet'!AZ6</f>
        <v>44255</v>
      </c>
      <c r="BE6" s="729">
        <f>+'Bal Sheet'!BA6</f>
        <v>44285</v>
      </c>
      <c r="BF6" s="729">
        <f>+'Bal Sheet'!BB6</f>
        <v>44316</v>
      </c>
      <c r="BG6" s="729">
        <f>+'Bal Sheet'!BC6</f>
        <v>44347</v>
      </c>
      <c r="BH6" s="729">
        <f>+'Bal Sheet'!BD6</f>
        <v>44377</v>
      </c>
      <c r="BI6" s="729">
        <f>+'Bal Sheet'!BE6</f>
        <v>44408</v>
      </c>
      <c r="BJ6" s="729">
        <f>+'Bal Sheet'!BF6</f>
        <v>44439</v>
      </c>
      <c r="BK6" s="729">
        <f>+'Bal Sheet'!BG6</f>
        <v>44469</v>
      </c>
      <c r="BL6" s="729">
        <f>+'Bal Sheet'!BH6</f>
        <v>44500</v>
      </c>
      <c r="BM6" s="729">
        <f>+'Bal Sheet'!BI6</f>
        <v>44530</v>
      </c>
      <c r="BN6" s="730">
        <f>+'Bal Sheet'!BJ6</f>
        <v>44561</v>
      </c>
      <c r="BO6" s="730">
        <f>+'Bal Sheet'!BK6</f>
        <v>44592</v>
      </c>
      <c r="BP6" s="730">
        <f>+'Bal Sheet'!BL6</f>
        <v>44620</v>
      </c>
      <c r="BQ6" s="730">
        <f>+'Bal Sheet'!BM6</f>
        <v>44651</v>
      </c>
      <c r="BR6" s="730">
        <f>+'Bal Sheet'!BN6</f>
        <v>44681</v>
      </c>
      <c r="BS6" s="730">
        <f>+'Bal Sheet'!BO6</f>
        <v>44712</v>
      </c>
      <c r="BT6" s="730">
        <f>+'Bal Sheet'!BP6</f>
        <v>44742</v>
      </c>
      <c r="BU6" s="730">
        <f>+'Bal Sheet'!BQ6</f>
        <v>44773</v>
      </c>
      <c r="BV6" s="730">
        <f>+'Bal Sheet'!BR6</f>
        <v>44804</v>
      </c>
      <c r="BW6" s="730">
        <f>+'Bal Sheet'!BS6</f>
        <v>44834</v>
      </c>
      <c r="BX6" s="730">
        <f>+'Bal Sheet'!BT6</f>
        <v>44865</v>
      </c>
      <c r="BY6" s="730">
        <f>+'Bal Sheet'!BU6</f>
        <v>44895</v>
      </c>
      <c r="BZ6" s="730">
        <f>+'Bal Sheet'!BV6</f>
        <v>44926</v>
      </c>
      <c r="CA6" s="730">
        <f>+'Bal Sheet'!BW6</f>
        <v>44957</v>
      </c>
      <c r="CB6" s="730">
        <f>+'Bal Sheet'!BX6</f>
        <v>44985</v>
      </c>
      <c r="CC6" s="730">
        <f>+'Bal Sheet'!BY6</f>
        <v>45016</v>
      </c>
      <c r="CD6" s="730">
        <f>+'Bal Sheet'!BZ6</f>
        <v>45046</v>
      </c>
      <c r="CE6" s="730">
        <f>+'Bal Sheet'!CA6</f>
        <v>45077</v>
      </c>
      <c r="CF6" s="730">
        <f>+'Bal Sheet'!CB6</f>
        <v>45107</v>
      </c>
      <c r="CG6" s="730">
        <f>+'Bal Sheet'!CC6</f>
        <v>45138</v>
      </c>
      <c r="CH6" s="730">
        <f>+'Bal Sheet'!CD6</f>
        <v>45169</v>
      </c>
      <c r="CI6" s="730">
        <f>+'Bal Sheet'!CE6</f>
        <v>45199</v>
      </c>
      <c r="CJ6" s="730">
        <f>+'Bal Sheet'!CF6</f>
        <v>45230</v>
      </c>
      <c r="CK6" s="730">
        <f>+'Bal Sheet'!CG6</f>
        <v>45260</v>
      </c>
      <c r="CL6" s="730">
        <f>+'Bal Sheet'!CH6</f>
        <v>45291</v>
      </c>
      <c r="CM6" s="1052" t="s">
        <v>408</v>
      </c>
    </row>
    <row r="7" spans="1:139">
      <c r="A7" t="s">
        <v>409</v>
      </c>
      <c r="C7" s="22"/>
      <c r="D7" s="708">
        <f>(+CL7/1000)</f>
        <v>59236.19999999999</v>
      </c>
      <c r="E7" s="709"/>
      <c r="F7" s="708">
        <f ca="1">SUM(OFFSET(BO7:BZ7,0,'Bal Sheet'!$A$1))/1000</f>
        <v>632323.99999999988</v>
      </c>
      <c r="G7" s="355">
        <v>39009633.990000002</v>
      </c>
      <c r="H7" s="355">
        <v>36125128.779999994</v>
      </c>
      <c r="I7" s="355">
        <v>33999266.789999999</v>
      </c>
      <c r="J7" s="355">
        <v>36788892.019999996</v>
      </c>
      <c r="K7" s="355">
        <v>34043478.120000005</v>
      </c>
      <c r="L7" s="355">
        <v>30627749.869999997</v>
      </c>
      <c r="M7" s="355">
        <v>31896481.530000001</v>
      </c>
      <c r="N7" s="355">
        <v>37408660.879999995</v>
      </c>
      <c r="O7" s="355">
        <v>37220060.560000002</v>
      </c>
      <c r="P7" s="355">
        <v>31264726.539999999</v>
      </c>
      <c r="Q7" s="355">
        <v>34454206.760000005</v>
      </c>
      <c r="R7" s="355">
        <v>42142078.830000013</v>
      </c>
      <c r="S7" s="355">
        <v>59737368.489999995</v>
      </c>
      <c r="T7" s="355">
        <v>43456502.710000001</v>
      </c>
      <c r="U7" s="355">
        <v>35439285.339999996</v>
      </c>
      <c r="V7" s="355">
        <v>40963132.570000008</v>
      </c>
      <c r="W7" s="355">
        <v>33750433.270000003</v>
      </c>
      <c r="X7" s="355">
        <v>36100149.720000006</v>
      </c>
      <c r="Y7" s="355">
        <v>38475401.810000002</v>
      </c>
      <c r="Z7" s="355">
        <v>33960823.980000004</v>
      </c>
      <c r="AA7" s="355">
        <v>36561610.080000013</v>
      </c>
      <c r="AB7" s="355">
        <v>39125040.050000004</v>
      </c>
      <c r="AC7" s="355">
        <v>36874124.920000009</v>
      </c>
      <c r="AD7" s="355">
        <v>42173747.170000009</v>
      </c>
      <c r="AE7" s="355">
        <v>47675399.100000001</v>
      </c>
      <c r="AF7" s="355">
        <v>41282346.650000006</v>
      </c>
      <c r="AG7" s="355">
        <v>40972417.300000004</v>
      </c>
      <c r="AH7" s="355">
        <v>38557859.68</v>
      </c>
      <c r="AI7" s="355">
        <v>37479703.879999995</v>
      </c>
      <c r="AJ7" s="355">
        <v>32025081.750000004</v>
      </c>
      <c r="AK7" s="355">
        <v>32140814.890000001</v>
      </c>
      <c r="AL7" s="355">
        <v>30763920.25</v>
      </c>
      <c r="AM7" s="355">
        <v>35334292.890000001</v>
      </c>
      <c r="AN7" s="355">
        <v>34311088.479999997</v>
      </c>
      <c r="AO7" s="355">
        <v>36757847.039999999</v>
      </c>
      <c r="AP7" s="355">
        <v>42437008.07</v>
      </c>
      <c r="AQ7" s="355">
        <v>46564399.519999996</v>
      </c>
      <c r="AR7" s="355">
        <v>41641503.240000002</v>
      </c>
      <c r="AS7" s="355">
        <v>38444839.949999996</v>
      </c>
      <c r="AT7" s="355">
        <v>31831182.150000006</v>
      </c>
      <c r="AU7" s="355">
        <v>30361232.48</v>
      </c>
      <c r="AV7" s="355">
        <v>32045007.690000001</v>
      </c>
      <c r="AW7" s="355">
        <v>30525209.949999999</v>
      </c>
      <c r="AX7" s="355">
        <v>29434342.700000003</v>
      </c>
      <c r="AY7" s="355">
        <v>30091836.440000001</v>
      </c>
      <c r="AZ7" s="355">
        <v>31448742.199999999</v>
      </c>
      <c r="BA7" s="355">
        <v>34809282.790000007</v>
      </c>
      <c r="BB7" s="404">
        <v>44829436.920000002</v>
      </c>
      <c r="BC7" s="404">
        <v>57427824.769999996</v>
      </c>
      <c r="BD7" s="404">
        <v>47714723.329999998</v>
      </c>
      <c r="BE7" s="404">
        <v>46349639.280000001</v>
      </c>
      <c r="BF7" s="404">
        <v>44995002.140000001</v>
      </c>
      <c r="BG7" s="404">
        <v>37961226.520000011</v>
      </c>
      <c r="BH7" s="404">
        <v>37628565.090000004</v>
      </c>
      <c r="BI7" s="404">
        <v>38186269.560000002</v>
      </c>
      <c r="BJ7" s="404">
        <v>36037868.090000004</v>
      </c>
      <c r="BK7" s="404">
        <v>38034830</v>
      </c>
      <c r="BL7" s="404">
        <v>40510482.890000001</v>
      </c>
      <c r="BM7" s="404">
        <v>41747696.730000004</v>
      </c>
      <c r="BN7" s="404">
        <v>50551459.530000001</v>
      </c>
      <c r="BO7" s="584">
        <v>65115020.080000006</v>
      </c>
      <c r="BP7" s="584">
        <v>60900488.100000009</v>
      </c>
      <c r="BQ7" s="584">
        <v>53646620.089999996</v>
      </c>
      <c r="BR7" s="584">
        <v>50116440.350000001</v>
      </c>
      <c r="BS7" s="584">
        <v>54964320.950000003</v>
      </c>
      <c r="BT7" s="584">
        <v>52433907.390000001</v>
      </c>
      <c r="BU7" s="584">
        <v>52130301.400000006</v>
      </c>
      <c r="BV7" s="584">
        <v>56212606.500000007</v>
      </c>
      <c r="BW7" s="584">
        <v>49362805.340000004</v>
      </c>
      <c r="BX7" s="584">
        <v>51960999.949999996</v>
      </c>
      <c r="BY7" s="584">
        <v>43192050.219999991</v>
      </c>
      <c r="BZ7" s="584">
        <v>54187865.00999999</v>
      </c>
      <c r="CA7" s="584">
        <f>+'[8]Income Statement Detail'!DF6*1000-(VLOOKUP("4120001",'[8]IS ACCTS'!$F$5:$ZZ$999,113,FALSE)*1000)-(VLOOKUP("4120002",'[8]IS ACCTS'!$F$5:$ZZ$999,113,FALSE)*1000)</f>
        <v>70597899.99999997</v>
      </c>
      <c r="CB7" s="584">
        <f>+'[8]Income Statement Detail'!DG6*1000-(VLOOKUP("4120001",'[8]IS ACCTS'!$F$5:$ZZ$999,114,FALSE)*1000)-(VLOOKUP("4120002",'[8]IS ACCTS'!$F$5:$ZZ$999,114,FALSE)*1000)</f>
        <v>66926899.999999993</v>
      </c>
      <c r="CC7" s="584">
        <f>+'[8]Income Statement Detail'!DH6*1000-(VLOOKUP("4120001",'[8]IS ACCTS'!$F$5:$ZZ$999,115,FALSE)*1000)-(VLOOKUP("4120002",'[8]IS ACCTS'!$F$5:$ZZ$999,115,FALSE)*1000)</f>
        <v>60371099.999999985</v>
      </c>
      <c r="CD7" s="584">
        <f>+'[8]Income Statement Detail'!DI6*1000-(VLOOKUP("4120001",'[8]IS ACCTS'!$F$5:$ZZ$999,116,FALSE)*1000)-(VLOOKUP("4120002",'[8]IS ACCTS'!$F$5:$ZZ$999,116,FALSE)*1000)</f>
        <v>51796099.999999993</v>
      </c>
      <c r="CE7" s="584">
        <f>+'[8]Income Statement Detail'!DJ6*1000-(VLOOKUP("4120001",'[8]IS ACCTS'!$F$5:$ZZ$999,117,FALSE)*1000)-(VLOOKUP("4120002",'[8]IS ACCTS'!$F$5:$ZZ$999,117,FALSE)*1000)</f>
        <v>46941499.999999985</v>
      </c>
      <c r="CF7" s="584">
        <f>+'[8]Income Statement Detail'!DK6*1000-(VLOOKUP("4120001",'[8]IS ACCTS'!$F$5:$ZZ$999,118,FALSE)*1000)-(VLOOKUP("4120002",'[8]IS ACCTS'!$F$5:$ZZ$999,118,FALSE)*1000)</f>
        <v>44971199.999999985</v>
      </c>
      <c r="CG7" s="584">
        <f>+'[8]Income Statement Detail'!DL6*1000-(VLOOKUP("4120001",'[8]IS ACCTS'!$F$5:$ZZ$999,119,FALSE)*1000)-(VLOOKUP("4120002",'[8]IS ACCTS'!$F$5:$ZZ$999,119,FALSE)*1000)</f>
        <v>43585899.999999978</v>
      </c>
      <c r="CH7" s="584">
        <f>+'[8]Income Statement Detail'!DM6*1000-(VLOOKUP("4120001",'[8]IS ACCTS'!$F$5:$ZZ$999,120,FALSE)*1000)-(VLOOKUP("4120002",'[8]IS ACCTS'!$F$5:$ZZ$999,120,FALSE)*1000)</f>
        <v>43049700.000000007</v>
      </c>
      <c r="CI7" s="584">
        <f>+'[8]Income Statement Detail'!DN6*1000-(VLOOKUP("4120001",'[8]IS ACCTS'!$F$5:$ZZ$999,121,FALSE)*1000)-(VLOOKUP("4120002",'[8]IS ACCTS'!$F$5:$ZZ$999,121,FALSE)*1000)</f>
        <v>44878399.999999978</v>
      </c>
      <c r="CJ7" s="584">
        <f>+'[8]Income Statement Detail'!DO6*1000-(VLOOKUP("4120001",'[8]IS ACCTS'!$F$5:$ZZ$999,122,FALSE)*1000)-(VLOOKUP("4120002",'[8]IS ACCTS'!$F$5:$ZZ$999,122,FALSE)*1000)</f>
        <v>45774900</v>
      </c>
      <c r="CK7" s="584">
        <f>+'[8]Income Statement Detail'!DP6*1000-(VLOOKUP("4120001",'[8]IS ACCTS'!$F$5:$ZZ$999,123,FALSE)*1000)-(VLOOKUP("4120002",'[8]IS ACCTS'!$F$5:$ZZ$999,123,FALSE)*1000)</f>
        <v>54194199.99999997</v>
      </c>
      <c r="CL7" s="584">
        <f>+'[8]Income Statement Detail'!DQ6*1000-(VLOOKUP("4120001",'[8]IS ACCTS'!$F$5:$ZZ$999,124,FALSE)*1000)-(VLOOKUP("4120002",'[8]IS ACCTS'!$F$5:$ZZ$999,124,FALSE)*1000)</f>
        <v>59236199.999999993</v>
      </c>
      <c r="CM7" s="1053">
        <f>SUM(CA7:CL7)</f>
        <v>632323999.99999988</v>
      </c>
      <c r="CN7" s="33"/>
      <c r="CO7" s="205"/>
      <c r="CP7" s="452"/>
    </row>
    <row r="8" spans="1:139">
      <c r="A8" t="s">
        <v>410</v>
      </c>
      <c r="C8" s="22"/>
      <c r="D8" s="708">
        <f>(+CL8/1000)</f>
        <v>21375.5</v>
      </c>
      <c r="E8" s="709"/>
      <c r="F8" s="708">
        <f ca="1">SUM(OFFSET(BO8:BZ8,0,'Bal Sheet'!$A$1))/1000</f>
        <v>228428.9</v>
      </c>
      <c r="G8" s="359">
        <v>14123756.439999999</v>
      </c>
      <c r="H8" s="359">
        <v>13284704.350000001</v>
      </c>
      <c r="I8" s="359">
        <v>10132613.449999999</v>
      </c>
      <c r="J8" s="359">
        <v>13624311.619999999</v>
      </c>
      <c r="K8" s="359">
        <v>12076232.76</v>
      </c>
      <c r="L8" s="359">
        <v>9351212.1099999994</v>
      </c>
      <c r="M8" s="359">
        <v>11576206.780000001</v>
      </c>
      <c r="N8" s="359">
        <v>16547458.02</v>
      </c>
      <c r="O8" s="359">
        <v>16308798.129999999</v>
      </c>
      <c r="P8" s="359">
        <v>10049997.700000001</v>
      </c>
      <c r="Q8" s="359">
        <v>12227990.450000001</v>
      </c>
      <c r="R8" s="359">
        <v>17224714.670000002</v>
      </c>
      <c r="S8" s="359">
        <v>28323337.009999998</v>
      </c>
      <c r="T8" s="359">
        <v>16877971.170000002</v>
      </c>
      <c r="U8" s="359">
        <v>10656544.970000001</v>
      </c>
      <c r="V8" s="359">
        <v>14035730.630000001</v>
      </c>
      <c r="W8" s="359">
        <v>11584869.24</v>
      </c>
      <c r="X8" s="359">
        <v>13927010.850000001</v>
      </c>
      <c r="Y8" s="359">
        <v>15458251.729999999</v>
      </c>
      <c r="Z8" s="359">
        <v>12079612.24</v>
      </c>
      <c r="AA8" s="359">
        <v>14237102.5</v>
      </c>
      <c r="AB8" s="359">
        <v>16311723.799999997</v>
      </c>
      <c r="AC8" s="359">
        <v>13970101.419999998</v>
      </c>
      <c r="AD8" s="359">
        <v>15719752.549999999</v>
      </c>
      <c r="AE8" s="359">
        <v>19487678.060000002</v>
      </c>
      <c r="AF8" s="359">
        <v>14733147.84</v>
      </c>
      <c r="AG8" s="359">
        <v>14785572.529999999</v>
      </c>
      <c r="AH8" s="359">
        <v>14444981.209999999</v>
      </c>
      <c r="AI8" s="359">
        <v>14046232.980000002</v>
      </c>
      <c r="AJ8" s="359">
        <v>9707830.5600000005</v>
      </c>
      <c r="AK8" s="359">
        <v>9757329.5500000007</v>
      </c>
      <c r="AL8" s="359">
        <v>8618926.2399999984</v>
      </c>
      <c r="AM8" s="359">
        <v>12903755.140000001</v>
      </c>
      <c r="AN8" s="359">
        <v>11404519.58</v>
      </c>
      <c r="AO8" s="359">
        <v>11643663.42</v>
      </c>
      <c r="AP8" s="359">
        <v>14617248.200000001</v>
      </c>
      <c r="AQ8" s="359">
        <v>17024957.799999997</v>
      </c>
      <c r="AR8" s="359">
        <v>13648088.01</v>
      </c>
      <c r="AS8" s="359">
        <v>11822521.219999999</v>
      </c>
      <c r="AT8" s="359">
        <v>9129555.3499999996</v>
      </c>
      <c r="AU8" s="359">
        <v>8251960.5399999991</v>
      </c>
      <c r="AV8" s="359">
        <v>9245049.3399999999</v>
      </c>
      <c r="AW8" s="359">
        <v>8495809.9900000002</v>
      </c>
      <c r="AX8" s="359">
        <v>6929366.8000000007</v>
      </c>
      <c r="AY8" s="359">
        <v>7392128.2000000002</v>
      </c>
      <c r="AZ8" s="359">
        <v>7640179.5300000012</v>
      </c>
      <c r="BA8" s="359">
        <v>10170215.460000001</v>
      </c>
      <c r="BB8" s="403">
        <v>16417657.560000001</v>
      </c>
      <c r="BC8" s="403">
        <v>20452194.869999997</v>
      </c>
      <c r="BD8" s="403">
        <v>16480775.060000002</v>
      </c>
      <c r="BE8" s="403">
        <v>15481339.280000001</v>
      </c>
      <c r="BF8" s="403">
        <v>13943323.74</v>
      </c>
      <c r="BG8" s="403">
        <v>10175093.430000002</v>
      </c>
      <c r="BH8" s="403">
        <v>10244738.020000001</v>
      </c>
      <c r="BI8" s="403">
        <v>10886004.699999999</v>
      </c>
      <c r="BJ8" s="403">
        <v>10059469.49</v>
      </c>
      <c r="BK8" s="403">
        <v>10464940.5</v>
      </c>
      <c r="BL8" s="403">
        <v>13348919.390000001</v>
      </c>
      <c r="BM8" s="403">
        <v>12574748.779999997</v>
      </c>
      <c r="BN8" s="403">
        <v>17167270.149999999</v>
      </c>
      <c r="BO8" s="585">
        <v>28573571.32</v>
      </c>
      <c r="BP8" s="585">
        <v>25605040.670000002</v>
      </c>
      <c r="BQ8" s="585">
        <v>20130271.890000001</v>
      </c>
      <c r="BR8" s="585">
        <v>18116487.979999997</v>
      </c>
      <c r="BS8" s="585">
        <v>23996809.530000001</v>
      </c>
      <c r="BT8" s="585">
        <v>23752235.289999999</v>
      </c>
      <c r="BU8" s="585">
        <v>22736165.91</v>
      </c>
      <c r="BV8" s="585">
        <v>26908758.969999999</v>
      </c>
      <c r="BW8" s="585">
        <v>20760327.030000001</v>
      </c>
      <c r="BX8" s="585">
        <v>20802289.300000001</v>
      </c>
      <c r="BY8" s="585">
        <v>11965096.620000001</v>
      </c>
      <c r="BZ8" s="585">
        <v>20091264.59</v>
      </c>
      <c r="CA8" s="585">
        <f>+'[8]Income Statement Detail'!DF7*1000+CA48</f>
        <v>32330700</v>
      </c>
      <c r="CB8" s="585">
        <f>+'[8]Income Statement Detail'!DG7*1000+CB48</f>
        <v>30137200</v>
      </c>
      <c r="CC8" s="585">
        <f>+'[8]Income Statement Detail'!DH7*1000+CC48</f>
        <v>24809900</v>
      </c>
      <c r="CD8" s="585">
        <f>+'[8]Income Statement Detail'!DI7*1000+CD48</f>
        <v>18243800</v>
      </c>
      <c r="CE8" s="585">
        <f>+'[8]Income Statement Detail'!DJ7*1000+CE48</f>
        <v>15145400</v>
      </c>
      <c r="CF8" s="585">
        <f>+'[8]Income Statement Detail'!DK7*1000+CF48</f>
        <v>13843900</v>
      </c>
      <c r="CG8" s="585">
        <f>+'[8]Income Statement Detail'!DL7*1000+CG48</f>
        <v>13329600</v>
      </c>
      <c r="CH8" s="585">
        <f>+'[8]Income Statement Detail'!DM7*1000+CH48</f>
        <v>12910100</v>
      </c>
      <c r="CI8" s="585">
        <f>+'[8]Income Statement Detail'!DN7*1000+CI48</f>
        <v>13755000</v>
      </c>
      <c r="CJ8" s="585">
        <f>+'[8]Income Statement Detail'!DO7*1000+CJ48</f>
        <v>14886200</v>
      </c>
      <c r="CK8" s="585">
        <f>+'[8]Income Statement Detail'!DP7*1000+CK48</f>
        <v>17661600</v>
      </c>
      <c r="CL8" s="585">
        <f>+'[8]Income Statement Detail'!DQ7*1000+CL48</f>
        <v>21375500</v>
      </c>
      <c r="CM8" s="1054">
        <f t="shared" ref="CM8:CM9" si="0">SUM(CA8:CL8)</f>
        <v>228428900</v>
      </c>
      <c r="CN8" s="33"/>
      <c r="CO8" s="205"/>
      <c r="CP8" s="33"/>
    </row>
    <row r="9" spans="1:139">
      <c r="A9" t="s">
        <v>411</v>
      </c>
      <c r="C9" s="22"/>
      <c r="D9" s="710">
        <f t="shared" ref="D9" si="1">+D7-D8</f>
        <v>37860.69999999999</v>
      </c>
      <c r="E9" s="709"/>
      <c r="F9" s="710">
        <f ca="1">SUM(OFFSET(BO9:BZ9,0,'Bal Sheet'!$A$1))/1000</f>
        <v>403895.09999999986</v>
      </c>
      <c r="G9" s="251">
        <f t="shared" ref="G9:R9" si="2">+G7-G8</f>
        <v>24885877.550000004</v>
      </c>
      <c r="H9" s="251">
        <f t="shared" si="2"/>
        <v>22840424.429999992</v>
      </c>
      <c r="I9" s="251">
        <f t="shared" si="2"/>
        <v>23866653.34</v>
      </c>
      <c r="J9" s="251">
        <f t="shared" si="2"/>
        <v>23164580.399999999</v>
      </c>
      <c r="K9" s="251">
        <f t="shared" si="2"/>
        <v>21967245.360000007</v>
      </c>
      <c r="L9" s="251">
        <f t="shared" si="2"/>
        <v>21276537.759999998</v>
      </c>
      <c r="M9" s="251">
        <f t="shared" si="2"/>
        <v>20320274.75</v>
      </c>
      <c r="N9" s="251">
        <f t="shared" si="2"/>
        <v>20861202.859999996</v>
      </c>
      <c r="O9" s="251">
        <f t="shared" si="2"/>
        <v>20911262.430000003</v>
      </c>
      <c r="P9" s="251">
        <f t="shared" si="2"/>
        <v>21214728.839999996</v>
      </c>
      <c r="Q9" s="251">
        <f t="shared" si="2"/>
        <v>22226216.310000002</v>
      </c>
      <c r="R9" s="251">
        <f t="shared" si="2"/>
        <v>24917364.160000011</v>
      </c>
      <c r="S9" s="251">
        <f t="shared" ref="S9:AD9" si="3">+S7-S8</f>
        <v>31414031.479999997</v>
      </c>
      <c r="T9" s="251">
        <f t="shared" si="3"/>
        <v>26578531.539999999</v>
      </c>
      <c r="U9" s="251">
        <f t="shared" si="3"/>
        <v>24782740.369999997</v>
      </c>
      <c r="V9" s="251">
        <f t="shared" si="3"/>
        <v>26927401.940000005</v>
      </c>
      <c r="W9" s="251">
        <f t="shared" si="3"/>
        <v>22165564.030000001</v>
      </c>
      <c r="X9" s="251">
        <f t="shared" si="3"/>
        <v>22173138.870000005</v>
      </c>
      <c r="Y9" s="251">
        <f t="shared" si="3"/>
        <v>23017150.080000006</v>
      </c>
      <c r="Z9" s="251">
        <f t="shared" si="3"/>
        <v>21881211.740000002</v>
      </c>
      <c r="AA9" s="251">
        <f t="shared" si="3"/>
        <v>22324507.580000013</v>
      </c>
      <c r="AB9" s="251">
        <f t="shared" si="3"/>
        <v>22813316.250000007</v>
      </c>
      <c r="AC9" s="251">
        <f t="shared" si="3"/>
        <v>22904023.500000011</v>
      </c>
      <c r="AD9" s="251">
        <f t="shared" si="3"/>
        <v>26453994.620000012</v>
      </c>
      <c r="AE9" s="251">
        <f t="shared" ref="AE9:AP9" si="4">+AE7-AE8</f>
        <v>28187721.039999999</v>
      </c>
      <c r="AF9" s="251">
        <f t="shared" si="4"/>
        <v>26549198.810000006</v>
      </c>
      <c r="AG9" s="251">
        <f t="shared" si="4"/>
        <v>26186844.770000003</v>
      </c>
      <c r="AH9" s="251">
        <f t="shared" si="4"/>
        <v>24112878.469999999</v>
      </c>
      <c r="AI9" s="251">
        <f t="shared" si="4"/>
        <v>23433470.899999991</v>
      </c>
      <c r="AJ9" s="251">
        <f t="shared" si="4"/>
        <v>22317251.190000005</v>
      </c>
      <c r="AK9" s="251">
        <f t="shared" si="4"/>
        <v>22383485.34</v>
      </c>
      <c r="AL9" s="251">
        <f t="shared" si="4"/>
        <v>22144994.010000002</v>
      </c>
      <c r="AM9" s="251">
        <f t="shared" si="4"/>
        <v>22430537.75</v>
      </c>
      <c r="AN9" s="251">
        <f t="shared" si="4"/>
        <v>22906568.899999999</v>
      </c>
      <c r="AO9" s="251">
        <f t="shared" si="4"/>
        <v>25114183.619999997</v>
      </c>
      <c r="AP9" s="251">
        <f t="shared" si="4"/>
        <v>27819759.869999997</v>
      </c>
      <c r="AQ9" s="251">
        <f t="shared" ref="AQ9:AW9" si="5">+AQ7-AQ8</f>
        <v>29539441.719999999</v>
      </c>
      <c r="AR9" s="251">
        <f t="shared" si="5"/>
        <v>27993415.230000004</v>
      </c>
      <c r="AS9" s="251">
        <f t="shared" si="5"/>
        <v>26622318.729999997</v>
      </c>
      <c r="AT9" s="251">
        <f t="shared" si="5"/>
        <v>22701626.800000004</v>
      </c>
      <c r="AU9" s="251">
        <f t="shared" si="5"/>
        <v>22109271.940000001</v>
      </c>
      <c r="AV9" s="251">
        <f t="shared" si="5"/>
        <v>22799958.350000001</v>
      </c>
      <c r="AW9" s="251">
        <f t="shared" si="5"/>
        <v>22029399.960000001</v>
      </c>
      <c r="AX9" s="251">
        <f t="shared" ref="AX9:BB9" si="6">+AX7-AX8</f>
        <v>22504975.900000002</v>
      </c>
      <c r="AY9" s="251">
        <f t="shared" si="6"/>
        <v>22699708.240000002</v>
      </c>
      <c r="AZ9" s="251">
        <f t="shared" si="6"/>
        <v>23808562.669999998</v>
      </c>
      <c r="BA9" s="251">
        <f t="shared" si="6"/>
        <v>24639067.330000006</v>
      </c>
      <c r="BB9" s="687">
        <f t="shared" si="6"/>
        <v>28411779.359999999</v>
      </c>
      <c r="BC9" s="687">
        <f t="shared" ref="BC9:BN9" si="7">+BC7-BC8</f>
        <v>36975629.899999999</v>
      </c>
      <c r="BD9" s="687">
        <f t="shared" si="7"/>
        <v>31233948.269999996</v>
      </c>
      <c r="BE9" s="687">
        <f t="shared" si="7"/>
        <v>30868300</v>
      </c>
      <c r="BF9" s="687">
        <f t="shared" si="7"/>
        <v>31051678.399999999</v>
      </c>
      <c r="BG9" s="687">
        <f t="shared" si="7"/>
        <v>27786133.090000011</v>
      </c>
      <c r="BH9" s="687">
        <f t="shared" si="7"/>
        <v>27383827.07</v>
      </c>
      <c r="BI9" s="687">
        <f t="shared" si="7"/>
        <v>27300264.860000003</v>
      </c>
      <c r="BJ9" s="687">
        <f t="shared" si="7"/>
        <v>25978398.600000001</v>
      </c>
      <c r="BK9" s="687">
        <f t="shared" si="7"/>
        <v>27569889.5</v>
      </c>
      <c r="BL9" s="687">
        <f t="shared" si="7"/>
        <v>27161563.5</v>
      </c>
      <c r="BM9" s="687">
        <f t="shared" si="7"/>
        <v>29172947.950000007</v>
      </c>
      <c r="BN9" s="687">
        <f t="shared" si="7"/>
        <v>33384189.380000003</v>
      </c>
      <c r="BO9" s="687">
        <f t="shared" ref="BO9:BZ9" si="8">+BO7-BO8</f>
        <v>36541448.760000005</v>
      </c>
      <c r="BP9" s="687">
        <f t="shared" si="8"/>
        <v>35295447.430000007</v>
      </c>
      <c r="BQ9" s="687">
        <f t="shared" si="8"/>
        <v>33516348.199999996</v>
      </c>
      <c r="BR9" s="687">
        <f t="shared" si="8"/>
        <v>31999952.370000005</v>
      </c>
      <c r="BS9" s="687">
        <f t="shared" si="8"/>
        <v>30967511.420000002</v>
      </c>
      <c r="BT9" s="687">
        <f t="shared" si="8"/>
        <v>28681672.100000001</v>
      </c>
      <c r="BU9" s="687">
        <f t="shared" si="8"/>
        <v>29394135.490000006</v>
      </c>
      <c r="BV9" s="687">
        <f t="shared" si="8"/>
        <v>29303847.530000009</v>
      </c>
      <c r="BW9" s="687">
        <f t="shared" si="8"/>
        <v>28602478.310000002</v>
      </c>
      <c r="BX9" s="687">
        <f t="shared" si="8"/>
        <v>31158710.649999995</v>
      </c>
      <c r="BY9" s="687">
        <f t="shared" si="8"/>
        <v>31226953.59999999</v>
      </c>
      <c r="BZ9" s="687">
        <f t="shared" si="8"/>
        <v>34096600.419999987</v>
      </c>
      <c r="CA9" s="687">
        <f t="shared" ref="CA9:CL9" si="9">+CA7-CA8</f>
        <v>38267199.99999997</v>
      </c>
      <c r="CB9" s="687">
        <f t="shared" si="9"/>
        <v>36789699.999999993</v>
      </c>
      <c r="CC9" s="687">
        <f t="shared" si="9"/>
        <v>35561199.999999985</v>
      </c>
      <c r="CD9" s="687">
        <f t="shared" si="9"/>
        <v>33552299.999999993</v>
      </c>
      <c r="CE9" s="687">
        <f t="shared" si="9"/>
        <v>31796099.999999985</v>
      </c>
      <c r="CF9" s="687">
        <f t="shared" si="9"/>
        <v>31127299.999999985</v>
      </c>
      <c r="CG9" s="687">
        <f t="shared" si="9"/>
        <v>30256299.999999978</v>
      </c>
      <c r="CH9" s="687">
        <f t="shared" si="9"/>
        <v>30139600.000000007</v>
      </c>
      <c r="CI9" s="687">
        <f t="shared" si="9"/>
        <v>31123399.999999978</v>
      </c>
      <c r="CJ9" s="687">
        <f t="shared" si="9"/>
        <v>30888700</v>
      </c>
      <c r="CK9" s="687">
        <f t="shared" si="9"/>
        <v>36532599.99999997</v>
      </c>
      <c r="CL9" s="687">
        <f t="shared" si="9"/>
        <v>37860699.999999993</v>
      </c>
      <c r="CM9" s="605">
        <f t="shared" si="0"/>
        <v>403895099.99999988</v>
      </c>
      <c r="CN9" s="33"/>
      <c r="CO9" s="205"/>
      <c r="CP9" s="33"/>
    </row>
    <row r="10" spans="1:139">
      <c r="C10" s="22"/>
      <c r="D10" s="708"/>
      <c r="E10" s="709"/>
      <c r="F10" s="708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597"/>
      <c r="BC10" s="597"/>
      <c r="BD10" s="597"/>
      <c r="BE10" s="597"/>
      <c r="BF10" s="597"/>
      <c r="BG10" s="597"/>
      <c r="BH10" s="597"/>
      <c r="BI10" s="597"/>
      <c r="BJ10" s="597"/>
      <c r="BK10" s="597"/>
      <c r="BL10" s="597"/>
      <c r="BM10" s="597"/>
      <c r="BN10" s="597"/>
      <c r="BO10" s="597"/>
      <c r="BP10" s="597"/>
      <c r="BQ10" s="597"/>
      <c r="BR10" s="597"/>
      <c r="BS10" s="597"/>
      <c r="BT10" s="597"/>
      <c r="BU10" s="597"/>
      <c r="BV10" s="597"/>
      <c r="BW10" s="597"/>
      <c r="BX10" s="597"/>
      <c r="BY10" s="597"/>
      <c r="BZ10" s="597"/>
      <c r="CA10" s="597"/>
      <c r="CB10" s="597"/>
      <c r="CC10" s="597"/>
      <c r="CD10" s="597"/>
      <c r="CE10" s="597"/>
      <c r="CF10" s="597"/>
      <c r="CG10" s="597"/>
      <c r="CH10" s="597"/>
      <c r="CI10" s="597"/>
      <c r="CJ10" s="597"/>
      <c r="CK10" s="597"/>
      <c r="CL10" s="597"/>
      <c r="CM10" s="605"/>
      <c r="CO10" s="205"/>
      <c r="CP10" s="33"/>
    </row>
    <row r="11" spans="1:139">
      <c r="A11" t="s">
        <v>412</v>
      </c>
      <c r="C11" s="22"/>
      <c r="D11" s="708">
        <f t="shared" ref="D11:D19" si="10">(+CL11/1000)</f>
        <v>14203.099999999999</v>
      </c>
      <c r="E11" s="709"/>
      <c r="F11" s="708">
        <f ca="1">SUM(OFFSET(BO11:BZ11,0,'Bal Sheet'!$A$1))/1000</f>
        <v>155745.39999999997</v>
      </c>
      <c r="G11" s="357">
        <v>7865164.410000002</v>
      </c>
      <c r="H11" s="357">
        <v>8269551.7300000014</v>
      </c>
      <c r="I11" s="357">
        <v>8260874.8500000006</v>
      </c>
      <c r="J11" s="357">
        <v>8496644.8100000005</v>
      </c>
      <c r="K11" s="357">
        <v>8318895.7199999997</v>
      </c>
      <c r="L11" s="357">
        <v>9566681.879999999</v>
      </c>
      <c r="M11" s="357">
        <v>8228868.1500000004</v>
      </c>
      <c r="N11" s="357">
        <v>8945266.620000001</v>
      </c>
      <c r="O11" s="357">
        <v>8838165.0500000007</v>
      </c>
      <c r="P11" s="357">
        <v>8999891.8099999987</v>
      </c>
      <c r="Q11" s="357">
        <v>8987604.1400000006</v>
      </c>
      <c r="R11" s="357">
        <v>8921564.7200000025</v>
      </c>
      <c r="S11" s="357">
        <v>10389126.91</v>
      </c>
      <c r="T11" s="357">
        <v>11405438.720000001</v>
      </c>
      <c r="U11" s="357">
        <v>11489755.91</v>
      </c>
      <c r="V11" s="357">
        <v>11848054.140000001</v>
      </c>
      <c r="W11" s="357">
        <v>10278946.560000001</v>
      </c>
      <c r="X11" s="357">
        <v>10162091.91</v>
      </c>
      <c r="Y11" s="357">
        <v>11144812.370000003</v>
      </c>
      <c r="Z11" s="357">
        <v>10559682.59</v>
      </c>
      <c r="AA11" s="357">
        <v>2936739.0100000007</v>
      </c>
      <c r="AB11" s="357">
        <v>10667708.469999999</v>
      </c>
      <c r="AC11" s="357">
        <v>10051616.659999998</v>
      </c>
      <c r="AD11" s="357">
        <v>10828374.869999999</v>
      </c>
      <c r="AE11" s="357">
        <v>10704047.970000001</v>
      </c>
      <c r="AF11" s="357">
        <v>10197302.529999999</v>
      </c>
      <c r="AG11" s="357">
        <v>10933807.130000001</v>
      </c>
      <c r="AH11" s="357">
        <v>9452738.7199999988</v>
      </c>
      <c r="AI11" s="357">
        <v>9623196.75</v>
      </c>
      <c r="AJ11" s="357">
        <v>10004876.34</v>
      </c>
      <c r="AK11" s="357">
        <v>10836839.369999999</v>
      </c>
      <c r="AL11" s="357">
        <v>10289937.84</v>
      </c>
      <c r="AM11" s="357">
        <v>10658872.26</v>
      </c>
      <c r="AN11" s="357">
        <v>10816141.519999998</v>
      </c>
      <c r="AO11" s="357">
        <v>11388449.270000003</v>
      </c>
      <c r="AP11" s="357">
        <v>13809685.580000004</v>
      </c>
      <c r="AQ11" s="357">
        <v>10646212.800000001</v>
      </c>
      <c r="AR11" s="357">
        <v>11589610.57</v>
      </c>
      <c r="AS11" s="357">
        <v>12036201.48</v>
      </c>
      <c r="AT11" s="357">
        <v>10133297.039999999</v>
      </c>
      <c r="AU11" s="357">
        <v>9496298.040000001</v>
      </c>
      <c r="AV11" s="357">
        <v>10924631.790000003</v>
      </c>
      <c r="AW11" s="357">
        <v>10202309.84</v>
      </c>
      <c r="AX11" s="357">
        <v>10103527.440000001</v>
      </c>
      <c r="AY11" s="357">
        <v>10896470.880000001</v>
      </c>
      <c r="AZ11" s="357">
        <v>12718271.51</v>
      </c>
      <c r="BA11" s="357">
        <v>9979721.5499999989</v>
      </c>
      <c r="BB11" s="404">
        <v>14552383.76</v>
      </c>
      <c r="BC11" s="404">
        <v>11859828.670000002</v>
      </c>
      <c r="BD11" s="404">
        <v>11091194.499999998</v>
      </c>
      <c r="BE11" s="404">
        <v>11222752.209999999</v>
      </c>
      <c r="BF11" s="404">
        <v>10992290.48</v>
      </c>
      <c r="BG11" s="404">
        <v>10570744.020000001</v>
      </c>
      <c r="BH11" s="404">
        <v>11346348.880000001</v>
      </c>
      <c r="BI11" s="404">
        <v>11808795.57</v>
      </c>
      <c r="BJ11" s="404">
        <v>10489196.460000001</v>
      </c>
      <c r="BK11" s="404">
        <v>12746654.459999999</v>
      </c>
      <c r="BL11" s="404">
        <v>11250399.399999999</v>
      </c>
      <c r="BM11" s="404">
        <v>11186756.789999999</v>
      </c>
      <c r="BN11" s="404">
        <v>15466521.239999996</v>
      </c>
      <c r="BO11" s="584">
        <v>11817209.380000001</v>
      </c>
      <c r="BP11" s="584">
        <v>11981353.629999997</v>
      </c>
      <c r="BQ11" s="584">
        <v>13154234.879999995</v>
      </c>
      <c r="BR11" s="584">
        <v>11891382.190000001</v>
      </c>
      <c r="BS11" s="584">
        <v>11788210.339999996</v>
      </c>
      <c r="BT11" s="584">
        <v>13945951.32</v>
      </c>
      <c r="BU11" s="584">
        <v>13166863.370000001</v>
      </c>
      <c r="BV11" s="584">
        <v>12431270.190000001</v>
      </c>
      <c r="BW11" s="584">
        <v>13792995.849999996</v>
      </c>
      <c r="BX11" s="584">
        <v>13302596.949999997</v>
      </c>
      <c r="BY11" s="584">
        <v>12296445.33</v>
      </c>
      <c r="BZ11" s="584">
        <v>13472778.250000002</v>
      </c>
      <c r="CA11" s="584">
        <f>+'[8]Income Statement Detail'!DF10*1000-CA48-CA67-(VLOOKUP("6790801",'[8]IS ACCTS'!$F$5:$ZZ$999,113,FALSE)*1000)</f>
        <v>12998199.999999994</v>
      </c>
      <c r="CB11" s="584">
        <f>+'[8]Income Statement Detail'!DG10*1000-CB48-CB67-(VLOOKUP("6790801",'[8]IS ACCTS'!$F$5:$ZZ$999,114,FALSE)*1000)</f>
        <v>12383600</v>
      </c>
      <c r="CC11" s="584">
        <f>+'[8]Income Statement Detail'!DH10*1000-CC48-CC67-(VLOOKUP("6790801",'[8]IS ACCTS'!$F$5:$ZZ$999,115,FALSE)*1000)</f>
        <v>13923799.999999998</v>
      </c>
      <c r="CD11" s="584">
        <f>+'[8]Income Statement Detail'!DI10*1000-CD48-CD67-(VLOOKUP("6790801",'[8]IS ACCTS'!$F$5:$ZZ$999,116,FALSE)*1000)</f>
        <v>11859400</v>
      </c>
      <c r="CE11" s="584">
        <f>+'[8]Income Statement Detail'!DJ10*1000-CE48-CE67-(VLOOKUP("6790801",'[8]IS ACCTS'!$F$5:$ZZ$999,117,FALSE)*1000)</f>
        <v>12426599.999999996</v>
      </c>
      <c r="CF11" s="584">
        <f>+'[8]Income Statement Detail'!DK10*1000-CF48-CF67-(VLOOKUP("6790801",'[8]IS ACCTS'!$F$5:$ZZ$999,118,FALSE)*1000)</f>
        <v>13554099.999999998</v>
      </c>
      <c r="CG11" s="584">
        <f>+'[8]Income Statement Detail'!DL10*1000-CG48-CG67-(VLOOKUP("6790801",'[8]IS ACCTS'!$F$5:$ZZ$999,119,FALSE)*1000)</f>
        <v>12264800.000000002</v>
      </c>
      <c r="CH11" s="584">
        <f>+'[8]Income Statement Detail'!DM10*1000-CH48-CH67-(VLOOKUP("6790801",'[8]IS ACCTS'!$F$5:$ZZ$999,120,FALSE)*1000)</f>
        <v>12334699.999999998</v>
      </c>
      <c r="CI11" s="584">
        <f>+'[8]Income Statement Detail'!DN10*1000-CI48-CI67-(VLOOKUP("6790801",'[8]IS ACCTS'!$F$5:$ZZ$999,121,FALSE)*1000)</f>
        <v>12947700</v>
      </c>
      <c r="CJ11" s="584">
        <f>+'[8]Income Statement Detail'!DO10*1000-CJ48-CJ67-(VLOOKUP("6790801",'[8]IS ACCTS'!$F$5:$ZZ$999,122,FALSE)*1000)</f>
        <v>12327899.999999998</v>
      </c>
      <c r="CK11" s="584">
        <f>+'[8]Income Statement Detail'!DP10*1000-CK48-CK67-(VLOOKUP("6790801",'[8]IS ACCTS'!$F$5:$ZZ$999,123,FALSE)*1000)</f>
        <v>14521499.999999994</v>
      </c>
      <c r="CL11" s="584">
        <f>+'[8]Income Statement Detail'!DQ10*1000-CL48-CL67-(VLOOKUP("6790801",'[8]IS ACCTS'!$F$5:$ZZ$999,124,FALSE)*1000)</f>
        <v>14203099.999999998</v>
      </c>
      <c r="CM11" s="1053">
        <f t="shared" ref="CM11:CM20" si="11">SUM(CA11:CL11)</f>
        <v>155745399.99999997</v>
      </c>
      <c r="CN11" s="33"/>
      <c r="CO11" s="205"/>
      <c r="CP11" s="33"/>
    </row>
    <row r="12" spans="1:139">
      <c r="A12" t="s">
        <v>413</v>
      </c>
      <c r="C12" s="22"/>
      <c r="D12" s="708">
        <f t="shared" si="10"/>
        <v>-2186.4</v>
      </c>
      <c r="E12" s="709"/>
      <c r="F12" s="708">
        <f ca="1">SUM(OFFSET(BO12:BZ12,0,'Bal Sheet'!$A$1))/1000</f>
        <v>46249</v>
      </c>
      <c r="G12" s="355">
        <v>3595775.31</v>
      </c>
      <c r="H12" s="355">
        <v>3616299.31</v>
      </c>
      <c r="I12" s="355">
        <v>3633375.89</v>
      </c>
      <c r="J12" s="355">
        <v>3642311.28</v>
      </c>
      <c r="K12" s="355">
        <v>3646711.86</v>
      </c>
      <c r="L12" s="355">
        <v>3664703.01</v>
      </c>
      <c r="M12" s="355">
        <v>3681094.35</v>
      </c>
      <c r="N12" s="355">
        <v>3699572.6</v>
      </c>
      <c r="O12" s="355">
        <v>3720976.73</v>
      </c>
      <c r="P12" s="355">
        <v>3759140.47</v>
      </c>
      <c r="Q12" s="355">
        <v>3784764.26</v>
      </c>
      <c r="R12" s="355">
        <v>3802460.82</v>
      </c>
      <c r="S12" s="355">
        <v>3828881.35</v>
      </c>
      <c r="T12" s="355">
        <v>3858918.81</v>
      </c>
      <c r="U12" s="355">
        <v>3877230.57</v>
      </c>
      <c r="V12" s="355">
        <v>3905747.53</v>
      </c>
      <c r="W12" s="355">
        <v>3922730.34</v>
      </c>
      <c r="X12" s="355">
        <v>3962454.71</v>
      </c>
      <c r="Y12" s="355">
        <v>3982806.7</v>
      </c>
      <c r="Z12" s="355">
        <v>4002276.8</v>
      </c>
      <c r="AA12" s="355">
        <v>4045105.27</v>
      </c>
      <c r="AB12" s="355">
        <v>4031307.23</v>
      </c>
      <c r="AC12" s="355">
        <v>4072746.98</v>
      </c>
      <c r="AD12" s="355">
        <v>4134643.13</v>
      </c>
      <c r="AE12" s="355">
        <v>3107962.62</v>
      </c>
      <c r="AF12" s="355">
        <v>3127764.88</v>
      </c>
      <c r="AG12" s="355">
        <v>3164395.09</v>
      </c>
      <c r="AH12" s="355">
        <v>3192930.59</v>
      </c>
      <c r="AI12" s="355">
        <v>3215751.7</v>
      </c>
      <c r="AJ12" s="355">
        <v>3240566.32</v>
      </c>
      <c r="AK12" s="355">
        <v>3269450.45</v>
      </c>
      <c r="AL12" s="355">
        <v>3291399.24</v>
      </c>
      <c r="AM12" s="355">
        <v>3306879.04</v>
      </c>
      <c r="AN12" s="355">
        <v>3343583.3</v>
      </c>
      <c r="AO12" s="355">
        <v>3354950.57</v>
      </c>
      <c r="AP12" s="355">
        <v>3395513.35</v>
      </c>
      <c r="AQ12" s="355">
        <v>3428541.86</v>
      </c>
      <c r="AR12" s="355">
        <v>3444795.37</v>
      </c>
      <c r="AS12" s="355">
        <v>3482418.96</v>
      </c>
      <c r="AT12" s="355">
        <v>3513602.62</v>
      </c>
      <c r="AU12" s="355">
        <v>3534644.66</v>
      </c>
      <c r="AV12" s="355">
        <v>3555660.03</v>
      </c>
      <c r="AW12" s="355">
        <v>3580039.27</v>
      </c>
      <c r="AX12" s="355">
        <v>3598451.29</v>
      </c>
      <c r="AY12" s="355">
        <v>3632403.4</v>
      </c>
      <c r="AZ12" s="355">
        <v>3656996.48</v>
      </c>
      <c r="BA12" s="355">
        <v>3752982.95</v>
      </c>
      <c r="BB12" s="404">
        <v>3789137.69</v>
      </c>
      <c r="BC12" s="404">
        <v>4058861.98</v>
      </c>
      <c r="BD12" s="404">
        <v>4092393.43</v>
      </c>
      <c r="BE12" s="404">
        <v>4088038.85</v>
      </c>
      <c r="BF12" s="404">
        <v>4119088.03</v>
      </c>
      <c r="BG12" s="404">
        <v>4253544.55</v>
      </c>
      <c r="BH12" s="404">
        <v>4279271.59</v>
      </c>
      <c r="BI12" s="404">
        <v>4304775.75</v>
      </c>
      <c r="BJ12" s="404">
        <v>4323312.1900000004</v>
      </c>
      <c r="BK12" s="404">
        <v>4344549.92</v>
      </c>
      <c r="BL12" s="404">
        <v>4358337.1100000003</v>
      </c>
      <c r="BM12" s="404">
        <v>4383559.29</v>
      </c>
      <c r="BN12" s="404">
        <v>4514855.82</v>
      </c>
      <c r="BO12" s="584">
        <v>4556223.72</v>
      </c>
      <c r="BP12" s="584">
        <v>4580607.3600000003</v>
      </c>
      <c r="BQ12" s="584">
        <v>-192470.77</v>
      </c>
      <c r="BR12" s="584">
        <v>4621121.43</v>
      </c>
      <c r="BS12" s="584">
        <v>4653219.08</v>
      </c>
      <c r="BT12" s="584">
        <v>-96220.41</v>
      </c>
      <c r="BU12" s="584">
        <v>4717547.8899999997</v>
      </c>
      <c r="BV12" s="584">
        <v>4710523.5599999996</v>
      </c>
      <c r="BW12" s="584">
        <v>-42495.4</v>
      </c>
      <c r="BX12" s="584">
        <v>4762167.58</v>
      </c>
      <c r="BY12" s="584">
        <v>4864802.5199999996</v>
      </c>
      <c r="BZ12" s="584">
        <v>4887440.9400000004</v>
      </c>
      <c r="CA12" s="584">
        <f>+'[8]Income Statement Detail'!DF11*1000-(VLOOKUP("6810801",'[8]IS ACCTS'!$F$5:$ZZ$999,113,FALSE)*1000)</f>
        <v>4910100</v>
      </c>
      <c r="CB12" s="584">
        <f>+'[8]Income Statement Detail'!DG11*1000-(VLOOKUP("6810801",'[8]IS ACCTS'!$F$5:$ZZ$999,114,FALSE)*1000)</f>
        <v>5136300</v>
      </c>
      <c r="CC12" s="584">
        <f>+'[8]Income Statement Detail'!DH11*1000-(VLOOKUP("6810801",'[8]IS ACCTS'!$F$5:$ZZ$999,115,FALSE)*1000)</f>
        <v>165700</v>
      </c>
      <c r="CD12" s="584">
        <f>+'[8]Income Statement Detail'!DI11*1000-(VLOOKUP("6810801",'[8]IS ACCTS'!$F$5:$ZZ$999,116,FALSE)*1000)</f>
        <v>5457900</v>
      </c>
      <c r="CE12" s="584">
        <f>+'[8]Income Statement Detail'!DJ11*1000-(VLOOKUP("6810801",'[8]IS ACCTS'!$F$5:$ZZ$999,117,FALSE)*1000)</f>
        <v>5498600</v>
      </c>
      <c r="CF12" s="584">
        <f>+'[8]Income Statement Detail'!DK11*1000-(VLOOKUP("6810801",'[8]IS ACCTS'!$F$5:$ZZ$999,118,FALSE)*1000)</f>
        <v>1532200</v>
      </c>
      <c r="CG12" s="584">
        <f>+'[8]Income Statement Detail'!DL11*1000-(VLOOKUP("6810801",'[8]IS ACCTS'!$F$5:$ZZ$999,119,FALSE)*1000)</f>
        <v>5567800</v>
      </c>
      <c r="CH12" s="584">
        <f>+'[8]Income Statement Detail'!DM11*1000-(VLOOKUP("6810801",'[8]IS ACCTS'!$F$5:$ZZ$999,120,FALSE)*1000)</f>
        <v>5595400</v>
      </c>
      <c r="CI12" s="584">
        <f>+'[8]Income Statement Detail'!DN11*1000-(VLOOKUP("6810801",'[8]IS ACCTS'!$F$5:$ZZ$999,121,FALSE)*1000)</f>
        <v>3233700.0000000005</v>
      </c>
      <c r="CJ12" s="584">
        <f>+'[8]Income Statement Detail'!DO11*1000-(VLOOKUP("6810801",'[8]IS ACCTS'!$F$5:$ZZ$999,122,FALSE)*1000)</f>
        <v>5655400</v>
      </c>
      <c r="CK12" s="584">
        <f>+'[8]Income Statement Detail'!DP11*1000-(VLOOKUP("6810801",'[8]IS ACCTS'!$F$5:$ZZ$999,123,FALSE)*1000)</f>
        <v>5682300</v>
      </c>
      <c r="CL12" s="584">
        <f>+'[8]Income Statement Detail'!DQ11*1000-(VLOOKUP("6810801",'[8]IS ACCTS'!$F$5:$ZZ$999,124,FALSE)*1000)</f>
        <v>-2186400</v>
      </c>
      <c r="CM12" s="1053">
        <f t="shared" si="11"/>
        <v>46249000</v>
      </c>
      <c r="CN12" s="33"/>
      <c r="CO12" s="205"/>
      <c r="CP12" s="33"/>
    </row>
    <row r="13" spans="1:139">
      <c r="A13" t="s">
        <v>414</v>
      </c>
      <c r="C13" s="22"/>
      <c r="D13" s="708">
        <f t="shared" si="10"/>
        <v>607.20000000000005</v>
      </c>
      <c r="E13" s="709"/>
      <c r="F13" s="708">
        <f ca="1">SUM(OFFSET(BO13:BZ13,0,'Bal Sheet'!$A$1))/1000</f>
        <v>6022.4</v>
      </c>
      <c r="G13" s="355">
        <v>155958.22</v>
      </c>
      <c r="H13" s="355">
        <v>155958.41</v>
      </c>
      <c r="I13" s="355">
        <v>155959.65</v>
      </c>
      <c r="J13" s="355">
        <v>158368.13</v>
      </c>
      <c r="K13" s="355">
        <v>157782.47</v>
      </c>
      <c r="L13" s="355">
        <v>157809.01999999999</v>
      </c>
      <c r="M13" s="355">
        <v>158117.35999999999</v>
      </c>
      <c r="N13" s="355">
        <v>158131.23000000001</v>
      </c>
      <c r="O13" s="355">
        <v>158476.85</v>
      </c>
      <c r="P13" s="355">
        <v>158503.75</v>
      </c>
      <c r="Q13" s="355">
        <v>158595.5</v>
      </c>
      <c r="R13" s="355">
        <v>158595.15</v>
      </c>
      <c r="S13" s="355">
        <v>160184.29999999999</v>
      </c>
      <c r="T13" s="355">
        <v>160187.41</v>
      </c>
      <c r="U13" s="355">
        <v>160210.32999999999</v>
      </c>
      <c r="V13" s="355">
        <v>161347.1</v>
      </c>
      <c r="W13" s="355">
        <v>161706.65</v>
      </c>
      <c r="X13" s="355">
        <v>161723.91</v>
      </c>
      <c r="Y13" s="355">
        <v>161648.19</v>
      </c>
      <c r="Z13" s="355">
        <v>163599.94</v>
      </c>
      <c r="AA13" s="355">
        <v>163761.54</v>
      </c>
      <c r="AB13" s="355">
        <v>163948.59</v>
      </c>
      <c r="AC13" s="355">
        <v>168391.29</v>
      </c>
      <c r="AD13" s="355">
        <v>168590.2</v>
      </c>
      <c r="AE13" s="355">
        <v>175750.58</v>
      </c>
      <c r="AF13" s="355">
        <v>176244.21</v>
      </c>
      <c r="AG13" s="355">
        <v>176111.99</v>
      </c>
      <c r="AH13" s="355">
        <v>176101.6</v>
      </c>
      <c r="AI13" s="355">
        <v>176152.95</v>
      </c>
      <c r="AJ13" s="355">
        <v>172556.62</v>
      </c>
      <c r="AK13" s="355">
        <v>172563.25</v>
      </c>
      <c r="AL13" s="355">
        <v>172487.48</v>
      </c>
      <c r="AM13" s="355">
        <v>172554.12</v>
      </c>
      <c r="AN13" s="355">
        <v>178817.54</v>
      </c>
      <c r="AO13" s="355">
        <v>179457.42</v>
      </c>
      <c r="AP13" s="355">
        <v>180492.46</v>
      </c>
      <c r="AQ13" s="355">
        <v>186368.99</v>
      </c>
      <c r="AR13" s="355">
        <v>184231.94</v>
      </c>
      <c r="AS13" s="355">
        <v>185353.5</v>
      </c>
      <c r="AT13" s="355">
        <v>184520.25</v>
      </c>
      <c r="AU13" s="355">
        <v>184391.25</v>
      </c>
      <c r="AV13" s="355">
        <v>184507.58</v>
      </c>
      <c r="AW13" s="355">
        <v>185260.31</v>
      </c>
      <c r="AX13" s="355">
        <v>185376.15</v>
      </c>
      <c r="AY13" s="355">
        <v>183665.84</v>
      </c>
      <c r="AZ13" s="355">
        <v>183812.57</v>
      </c>
      <c r="BA13" s="355">
        <v>274286.36</v>
      </c>
      <c r="BB13" s="404">
        <v>274706.28999999998</v>
      </c>
      <c r="BC13" s="404">
        <v>270651.27</v>
      </c>
      <c r="BD13" s="404">
        <v>270886.17</v>
      </c>
      <c r="BE13" s="404">
        <v>271218.26</v>
      </c>
      <c r="BF13" s="404">
        <v>285406.7</v>
      </c>
      <c r="BG13" s="404">
        <v>301060.37</v>
      </c>
      <c r="BH13" s="404">
        <v>302455.27</v>
      </c>
      <c r="BI13" s="404">
        <v>303895.84999999998</v>
      </c>
      <c r="BJ13" s="404">
        <v>305319.11</v>
      </c>
      <c r="BK13" s="404">
        <v>305870.89</v>
      </c>
      <c r="BL13" s="404">
        <v>306026.75</v>
      </c>
      <c r="BM13" s="404">
        <v>306171.98</v>
      </c>
      <c r="BN13" s="404">
        <v>306369.34999999998</v>
      </c>
      <c r="BO13" s="584">
        <v>306480.17</v>
      </c>
      <c r="BP13" s="584">
        <v>306715.53999999998</v>
      </c>
      <c r="BQ13" s="584">
        <v>339061.6</v>
      </c>
      <c r="BR13" s="584">
        <v>339744.77</v>
      </c>
      <c r="BS13" s="584">
        <v>339862.64</v>
      </c>
      <c r="BT13" s="584">
        <v>340197.19</v>
      </c>
      <c r="BU13" s="584">
        <v>339366.82</v>
      </c>
      <c r="BV13" s="584">
        <v>339490.01</v>
      </c>
      <c r="BW13" s="584">
        <v>339472.62</v>
      </c>
      <c r="BX13" s="584">
        <v>339739.91</v>
      </c>
      <c r="BY13" s="584">
        <v>339859.61</v>
      </c>
      <c r="BZ13" s="584">
        <v>343378.44</v>
      </c>
      <c r="CA13" s="584">
        <f>+'[8]Income Statement Detail'!DF12*1000</f>
        <v>344200</v>
      </c>
      <c r="CB13" s="584">
        <f>+'[8]Income Statement Detail'!DG12*1000</f>
        <v>370200</v>
      </c>
      <c r="CC13" s="584">
        <f>+'[8]Income Statement Detail'!DH12*1000</f>
        <v>371200</v>
      </c>
      <c r="CD13" s="584">
        <f>+'[8]Income Statement Detail'!DI12*1000</f>
        <v>379300</v>
      </c>
      <c r="CE13" s="584">
        <f>+'[8]Income Statement Detail'!DJ12*1000</f>
        <v>380700</v>
      </c>
      <c r="CF13" s="584">
        <f>+'[8]Income Statement Detail'!DK12*1000</f>
        <v>572900</v>
      </c>
      <c r="CG13" s="584">
        <f>+'[8]Income Statement Detail'!DL12*1000</f>
        <v>589500</v>
      </c>
      <c r="CH13" s="584">
        <f>+'[8]Income Statement Detail'!DM12*1000</f>
        <v>600600</v>
      </c>
      <c r="CI13" s="584">
        <f>+'[8]Income Statement Detail'!DN12*1000</f>
        <v>601400</v>
      </c>
      <c r="CJ13" s="584">
        <f>+'[8]Income Statement Detail'!DO12*1000</f>
        <v>602300</v>
      </c>
      <c r="CK13" s="584">
        <f>+'[8]Income Statement Detail'!DP12*1000</f>
        <v>602900</v>
      </c>
      <c r="CL13" s="584">
        <f>+'[8]Income Statement Detail'!DQ12*1000</f>
        <v>607200</v>
      </c>
      <c r="CM13" s="1053">
        <f t="shared" si="11"/>
        <v>6022400</v>
      </c>
      <c r="CN13" s="33"/>
      <c r="CO13" s="205"/>
      <c r="CP13" s="33"/>
    </row>
    <row r="14" spans="1:139">
      <c r="A14" t="s">
        <v>415</v>
      </c>
      <c r="C14" s="22"/>
      <c r="D14" s="708">
        <f t="shared" si="10"/>
        <v>0</v>
      </c>
      <c r="E14" s="709"/>
      <c r="F14" s="708">
        <f ca="1">SUM(OFFSET(BO14:BZ14,0,'Bal Sheet'!$A$1))/1000</f>
        <v>0</v>
      </c>
      <c r="G14" s="355">
        <v>12428.82</v>
      </c>
      <c r="H14" s="355">
        <v>12428.82</v>
      </c>
      <c r="I14" s="355">
        <v>12428.82</v>
      </c>
      <c r="J14" s="355">
        <v>12428.82</v>
      </c>
      <c r="K14" s="355">
        <v>12428.82</v>
      </c>
      <c r="L14" s="355">
        <v>12428.82</v>
      </c>
      <c r="M14" s="355">
        <v>12428.82</v>
      </c>
      <c r="N14" s="355">
        <v>12428.82</v>
      </c>
      <c r="O14" s="355">
        <v>12428.82</v>
      </c>
      <c r="P14" s="355">
        <v>12428.82</v>
      </c>
      <c r="Q14" s="355">
        <v>12428.82</v>
      </c>
      <c r="R14" s="355">
        <v>12428.82</v>
      </c>
      <c r="S14" s="355">
        <v>12428.82</v>
      </c>
      <c r="T14" s="355">
        <v>12428.82</v>
      </c>
      <c r="U14" s="355">
        <v>12428.82</v>
      </c>
      <c r="V14" s="355">
        <v>12428.82</v>
      </c>
      <c r="W14" s="355">
        <v>12428.82</v>
      </c>
      <c r="X14" s="355">
        <v>12428.82</v>
      </c>
      <c r="Y14" s="355">
        <v>12428.82</v>
      </c>
      <c r="Z14" s="355">
        <v>12428.82</v>
      </c>
      <c r="AA14" s="355">
        <v>12428.82</v>
      </c>
      <c r="AB14" s="355">
        <v>12428.82</v>
      </c>
      <c r="AC14" s="355">
        <v>12428.82</v>
      </c>
      <c r="AD14" s="355">
        <v>12428.82</v>
      </c>
      <c r="AE14" s="355">
        <v>12428.82</v>
      </c>
      <c r="AF14" s="355">
        <v>12428.82</v>
      </c>
      <c r="AG14" s="355">
        <v>12428.82</v>
      </c>
      <c r="AH14" s="355">
        <v>12428.82</v>
      </c>
      <c r="AI14" s="355">
        <v>12428.82</v>
      </c>
      <c r="AJ14" s="355">
        <v>12428.82</v>
      </c>
      <c r="AK14" s="355">
        <v>12428.82</v>
      </c>
      <c r="AL14" s="355">
        <v>12428.82</v>
      </c>
      <c r="AM14" s="355">
        <v>12428.82</v>
      </c>
      <c r="AN14" s="355">
        <v>12428.82</v>
      </c>
      <c r="AO14" s="355">
        <v>12428.82</v>
      </c>
      <c r="AP14" s="355">
        <v>12428.82</v>
      </c>
      <c r="AQ14" s="355">
        <v>12428.82</v>
      </c>
      <c r="AR14" s="355">
        <v>12428.82</v>
      </c>
      <c r="AS14" s="355">
        <v>12428.82</v>
      </c>
      <c r="AT14" s="355">
        <v>12428.82</v>
      </c>
      <c r="AU14" s="355">
        <v>12428.82</v>
      </c>
      <c r="AV14" s="355">
        <v>12428.82</v>
      </c>
      <c r="AW14" s="355">
        <v>12428.82</v>
      </c>
      <c r="AX14" s="355">
        <v>12428.82</v>
      </c>
      <c r="AY14" s="355">
        <v>12428.82</v>
      </c>
      <c r="AZ14" s="355">
        <v>5949.73</v>
      </c>
      <c r="BA14" s="355">
        <v>5949.73</v>
      </c>
      <c r="BB14" s="404">
        <v>5949.73</v>
      </c>
      <c r="BC14" s="404">
        <v>5949.73</v>
      </c>
      <c r="BD14" s="404">
        <v>5949.73</v>
      </c>
      <c r="BE14" s="404">
        <v>5949.73</v>
      </c>
      <c r="BF14" s="404">
        <v>5949.73</v>
      </c>
      <c r="BG14" s="404">
        <v>5949.73</v>
      </c>
      <c r="BH14" s="404">
        <v>5949.73</v>
      </c>
      <c r="BI14" s="404">
        <v>5949.73</v>
      </c>
      <c r="BJ14" s="404">
        <v>-687.37</v>
      </c>
      <c r="BK14" s="404">
        <v>0</v>
      </c>
      <c r="BL14" s="404">
        <v>0</v>
      </c>
      <c r="BM14" s="404">
        <v>0</v>
      </c>
      <c r="BN14" s="404">
        <v>0</v>
      </c>
      <c r="BO14" s="584">
        <v>0</v>
      </c>
      <c r="BP14" s="584">
        <v>0</v>
      </c>
      <c r="BQ14" s="584">
        <v>0</v>
      </c>
      <c r="BR14" s="584">
        <v>0</v>
      </c>
      <c r="BS14" s="584">
        <v>0</v>
      </c>
      <c r="BT14" s="584">
        <v>0</v>
      </c>
      <c r="BU14" s="584">
        <v>0</v>
      </c>
      <c r="BV14" s="584">
        <v>0</v>
      </c>
      <c r="BW14" s="584">
        <v>0</v>
      </c>
      <c r="BX14" s="584">
        <v>0</v>
      </c>
      <c r="BY14" s="584">
        <v>0</v>
      </c>
      <c r="BZ14" s="584">
        <v>0</v>
      </c>
      <c r="CA14" s="584">
        <f>+'[8]Income Statement Detail'!DF13*1000</f>
        <v>0</v>
      </c>
      <c r="CB14" s="584">
        <f>+'[8]Income Statement Detail'!DG13*1000</f>
        <v>0</v>
      </c>
      <c r="CC14" s="584">
        <f>+'[8]Income Statement Detail'!DH13*1000</f>
        <v>0</v>
      </c>
      <c r="CD14" s="584">
        <f>+'[8]Income Statement Detail'!DI13*1000</f>
        <v>0</v>
      </c>
      <c r="CE14" s="584">
        <f>+'[8]Income Statement Detail'!DJ13*1000</f>
        <v>0</v>
      </c>
      <c r="CF14" s="584">
        <f>+'[8]Income Statement Detail'!DK13*1000</f>
        <v>0</v>
      </c>
      <c r="CG14" s="584">
        <f>+'[8]Income Statement Detail'!DL13*1000</f>
        <v>0</v>
      </c>
      <c r="CH14" s="584">
        <f>+'[8]Income Statement Detail'!DM13*1000</f>
        <v>0</v>
      </c>
      <c r="CI14" s="584">
        <f>+'[8]Income Statement Detail'!DN13*1000</f>
        <v>0</v>
      </c>
      <c r="CJ14" s="584">
        <f>+'[8]Income Statement Detail'!DO13*1000</f>
        <v>0</v>
      </c>
      <c r="CK14" s="584">
        <f>+'[8]Income Statement Detail'!DP13*1000</f>
        <v>0</v>
      </c>
      <c r="CL14" s="584">
        <f>+'[8]Income Statement Detail'!DQ13*1000</f>
        <v>0</v>
      </c>
      <c r="CM14" s="1053">
        <f t="shared" si="11"/>
        <v>0</v>
      </c>
      <c r="CN14" s="33"/>
      <c r="CO14" s="205"/>
      <c r="CP14" s="33"/>
    </row>
    <row r="15" spans="1:139">
      <c r="A15" t="s">
        <v>416</v>
      </c>
      <c r="C15" s="22"/>
      <c r="D15" s="708">
        <f t="shared" si="10"/>
        <v>83.3</v>
      </c>
      <c r="E15" s="709"/>
      <c r="F15" s="708">
        <f ca="1">SUM(OFFSET(BO15:BZ15,0,'Bal Sheet'!$A$1))/1000</f>
        <v>999.6</v>
      </c>
      <c r="G15" s="355">
        <v>470000</v>
      </c>
      <c r="H15" s="355">
        <v>470000</v>
      </c>
      <c r="I15" s="355">
        <v>470000</v>
      </c>
      <c r="J15" s="355">
        <v>470000</v>
      </c>
      <c r="K15" s="355">
        <v>470000</v>
      </c>
      <c r="L15" s="355">
        <v>470000</v>
      </c>
      <c r="M15" s="355">
        <v>470000</v>
      </c>
      <c r="N15" s="355">
        <v>470000</v>
      </c>
      <c r="O15" s="355">
        <v>470000</v>
      </c>
      <c r="P15" s="355">
        <v>470000</v>
      </c>
      <c r="Q15" s="355">
        <v>470000</v>
      </c>
      <c r="R15" s="355">
        <v>-755743</v>
      </c>
      <c r="S15" s="355">
        <v>0</v>
      </c>
      <c r="T15" s="355">
        <v>583333.34</v>
      </c>
      <c r="U15" s="355">
        <v>2916666.68</v>
      </c>
      <c r="V15" s="355">
        <v>0</v>
      </c>
      <c r="W15" s="355">
        <v>0</v>
      </c>
      <c r="X15" s="355">
        <v>0</v>
      </c>
      <c r="Y15" s="355">
        <v>0</v>
      </c>
      <c r="Z15" s="355">
        <v>0</v>
      </c>
      <c r="AA15" s="355">
        <v>6517958</v>
      </c>
      <c r="AB15" s="355">
        <v>463895</v>
      </c>
      <c r="AC15" s="355">
        <v>463895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0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0</v>
      </c>
      <c r="AR15" s="355">
        <v>0</v>
      </c>
      <c r="AS15" s="355">
        <v>0</v>
      </c>
      <c r="AT15" s="355">
        <v>0</v>
      </c>
      <c r="AU15" s="355">
        <v>0</v>
      </c>
      <c r="AV15" s="355">
        <v>0</v>
      </c>
      <c r="AW15" s="355">
        <v>0</v>
      </c>
      <c r="AX15" s="355">
        <v>0</v>
      </c>
      <c r="AY15" s="355">
        <v>0</v>
      </c>
      <c r="AZ15" s="355">
        <v>0</v>
      </c>
      <c r="BA15" s="355">
        <v>0</v>
      </c>
      <c r="BB15" s="404">
        <v>0</v>
      </c>
      <c r="BC15" s="404">
        <v>83333.33</v>
      </c>
      <c r="BD15" s="404">
        <v>83333.33</v>
      </c>
      <c r="BE15" s="404">
        <v>83333.33</v>
      </c>
      <c r="BF15" s="404">
        <v>83333.33</v>
      </c>
      <c r="BG15" s="404">
        <v>83333.33</v>
      </c>
      <c r="BH15" s="404">
        <v>83333.33</v>
      </c>
      <c r="BI15" s="404">
        <v>83333.33</v>
      </c>
      <c r="BJ15" s="404">
        <v>83333.33</v>
      </c>
      <c r="BK15" s="404">
        <v>83333.33</v>
      </c>
      <c r="BL15" s="404">
        <v>83333.33</v>
      </c>
      <c r="BM15" s="404">
        <v>83333.33</v>
      </c>
      <c r="BN15" s="404">
        <v>83333.33</v>
      </c>
      <c r="BO15" s="584">
        <v>83333.33</v>
      </c>
      <c r="BP15" s="584">
        <v>83333.33</v>
      </c>
      <c r="BQ15" s="584">
        <v>83333.33</v>
      </c>
      <c r="BR15" s="584">
        <v>83333.33</v>
      </c>
      <c r="BS15" s="584">
        <v>83333.33</v>
      </c>
      <c r="BT15" s="584">
        <v>83333.33</v>
      </c>
      <c r="BU15" s="584">
        <v>83333.33</v>
      </c>
      <c r="BV15" s="584">
        <v>83333.33</v>
      </c>
      <c r="BW15" s="584">
        <v>83333.33</v>
      </c>
      <c r="BX15" s="584">
        <v>83333.33</v>
      </c>
      <c r="BY15" s="584">
        <v>83333.33</v>
      </c>
      <c r="BZ15" s="584">
        <v>83333.33</v>
      </c>
      <c r="CA15" s="584">
        <f>+'[8]Income Statement Detail'!DF14*1000</f>
        <v>83300</v>
      </c>
      <c r="CB15" s="584">
        <f>+'[8]Income Statement Detail'!DG14*1000</f>
        <v>83300</v>
      </c>
      <c r="CC15" s="584">
        <f>+'[8]Income Statement Detail'!DH14*1000</f>
        <v>83300</v>
      </c>
      <c r="CD15" s="584">
        <f>+'[8]Income Statement Detail'!DI14*1000</f>
        <v>83300</v>
      </c>
      <c r="CE15" s="584">
        <f>+'[8]Income Statement Detail'!DJ14*1000</f>
        <v>83300</v>
      </c>
      <c r="CF15" s="584">
        <f>+'[8]Income Statement Detail'!DK14*1000</f>
        <v>83300</v>
      </c>
      <c r="CG15" s="584">
        <f>+'[8]Income Statement Detail'!DL14*1000</f>
        <v>83300</v>
      </c>
      <c r="CH15" s="584">
        <f>+'[8]Income Statement Detail'!DM14*1000</f>
        <v>83300</v>
      </c>
      <c r="CI15" s="584">
        <f>+'[8]Income Statement Detail'!DN14*1000</f>
        <v>83300</v>
      </c>
      <c r="CJ15" s="584">
        <f>+'[8]Income Statement Detail'!DO14*1000</f>
        <v>83300</v>
      </c>
      <c r="CK15" s="584">
        <f>+'[8]Income Statement Detail'!DP14*1000</f>
        <v>83300</v>
      </c>
      <c r="CL15" s="584">
        <f>+'[8]Income Statement Detail'!DQ14*1000</f>
        <v>83300</v>
      </c>
      <c r="CM15" s="1053">
        <f t="shared" si="11"/>
        <v>999600</v>
      </c>
      <c r="CN15" s="33"/>
      <c r="CO15" s="205"/>
      <c r="CP15" s="33"/>
    </row>
    <row r="16" spans="1:139">
      <c r="A16" t="s">
        <v>417</v>
      </c>
      <c r="C16" s="22"/>
      <c r="D16" s="708">
        <f t="shared" si="10"/>
        <v>5211.5</v>
      </c>
      <c r="E16" s="709"/>
      <c r="F16" s="708">
        <f ca="1">SUM(OFFSET(BO16:BZ16,0,'Bal Sheet'!$A$1))/1000</f>
        <v>54871</v>
      </c>
      <c r="G16" s="355">
        <v>3585184.72</v>
      </c>
      <c r="H16" s="355">
        <v>3442063.32</v>
      </c>
      <c r="I16" s="355">
        <v>3377076.84</v>
      </c>
      <c r="J16" s="355">
        <v>3283577.51</v>
      </c>
      <c r="K16" s="355">
        <v>2774403.19</v>
      </c>
      <c r="L16" s="355">
        <v>2695535.35</v>
      </c>
      <c r="M16" s="355">
        <v>2572142.87</v>
      </c>
      <c r="N16" s="355">
        <v>2627913.4</v>
      </c>
      <c r="O16" s="355">
        <v>2578610.96</v>
      </c>
      <c r="P16" s="355">
        <v>2756832.45</v>
      </c>
      <c r="Q16" s="355">
        <v>2674039.12</v>
      </c>
      <c r="R16" s="355">
        <v>3520899.82</v>
      </c>
      <c r="S16" s="355">
        <v>4334596.51</v>
      </c>
      <c r="T16" s="355">
        <v>4015312.02</v>
      </c>
      <c r="U16" s="355">
        <v>3337124.2</v>
      </c>
      <c r="V16" s="355">
        <v>3589495.24</v>
      </c>
      <c r="W16" s="355">
        <v>3221215.62</v>
      </c>
      <c r="X16" s="355">
        <v>3014361.48</v>
      </c>
      <c r="Y16" s="355">
        <v>2936582.3</v>
      </c>
      <c r="Z16" s="355">
        <v>2981647.76</v>
      </c>
      <c r="AA16" s="355">
        <v>2925509</v>
      </c>
      <c r="AB16" s="355">
        <v>2877123.16</v>
      </c>
      <c r="AC16" s="355">
        <v>2540050.87</v>
      </c>
      <c r="AD16" s="355">
        <v>3556648.52</v>
      </c>
      <c r="AE16" s="355">
        <v>4307739.33</v>
      </c>
      <c r="AF16" s="355">
        <v>4173065.52</v>
      </c>
      <c r="AG16" s="355">
        <v>3738381.25</v>
      </c>
      <c r="AH16" s="355">
        <v>3495798.49</v>
      </c>
      <c r="AI16" s="355">
        <v>3411019.13</v>
      </c>
      <c r="AJ16" s="355">
        <v>3099423.36</v>
      </c>
      <c r="AK16" s="355">
        <v>3149256.73</v>
      </c>
      <c r="AL16" s="355">
        <v>2655880.29</v>
      </c>
      <c r="AM16" s="355">
        <v>2933410.13</v>
      </c>
      <c r="AN16" s="355">
        <v>3022627.73</v>
      </c>
      <c r="AO16" s="355">
        <v>3338463.86</v>
      </c>
      <c r="AP16" s="355">
        <v>3904465.91</v>
      </c>
      <c r="AQ16" s="355">
        <v>4250408.28</v>
      </c>
      <c r="AR16" s="355">
        <v>4388338.07</v>
      </c>
      <c r="AS16" s="355">
        <v>3828557.5</v>
      </c>
      <c r="AT16" s="355">
        <v>3446284.32</v>
      </c>
      <c r="AU16" s="355">
        <v>3239483.55</v>
      </c>
      <c r="AV16" s="355">
        <v>3047965.42</v>
      </c>
      <c r="AW16" s="355">
        <v>3230459.86</v>
      </c>
      <c r="AX16" s="355">
        <v>3169729.55</v>
      </c>
      <c r="AY16" s="355">
        <v>2793302.48</v>
      </c>
      <c r="AZ16" s="355">
        <v>3215027.13</v>
      </c>
      <c r="BA16" s="355">
        <v>2972960.48</v>
      </c>
      <c r="BB16" s="404">
        <v>3310526.72</v>
      </c>
      <c r="BC16" s="404">
        <v>4930150.0999999996</v>
      </c>
      <c r="BD16" s="404">
        <v>4622177.08</v>
      </c>
      <c r="BE16" s="404">
        <v>4266596.8600000003</v>
      </c>
      <c r="BF16" s="404">
        <v>4290323.0599999996</v>
      </c>
      <c r="BG16" s="404">
        <v>4348543.2699999996</v>
      </c>
      <c r="BH16" s="404">
        <v>3105990.25</v>
      </c>
      <c r="BI16" s="404">
        <v>3879599.44</v>
      </c>
      <c r="BJ16" s="404">
        <v>3558072.92</v>
      </c>
      <c r="BK16" s="404">
        <v>2843876.53</v>
      </c>
      <c r="BL16" s="404">
        <v>3600052.09</v>
      </c>
      <c r="BM16" s="404">
        <v>3884712.46</v>
      </c>
      <c r="BN16" s="404">
        <v>4388583.91</v>
      </c>
      <c r="BO16" s="584">
        <v>5171990.68</v>
      </c>
      <c r="BP16" s="584">
        <v>5274757.16</v>
      </c>
      <c r="BQ16" s="584">
        <v>4861659.2</v>
      </c>
      <c r="BR16" s="584">
        <v>4755937.9800000004</v>
      </c>
      <c r="BS16" s="584">
        <v>4464843.93</v>
      </c>
      <c r="BT16" s="584">
        <v>4313233.5999999996</v>
      </c>
      <c r="BU16" s="584">
        <v>4030385.48</v>
      </c>
      <c r="BV16" s="584">
        <v>4095278.69</v>
      </c>
      <c r="BW16" s="584">
        <v>3364089.67</v>
      </c>
      <c r="BX16" s="584">
        <v>4301171.3499999996</v>
      </c>
      <c r="BY16" s="584">
        <v>3875646.51</v>
      </c>
      <c r="BZ16" s="584">
        <v>5357717.79</v>
      </c>
      <c r="CA16" s="584">
        <f>+'[8]Income Statement Detail'!DF15*1000-(VLOOKUP("6900061",'[8]IS ACCTS'!$F$5:$ZZ$999,113,FALSE)*1000)</f>
        <v>5276100</v>
      </c>
      <c r="CB16" s="584">
        <f>+'[8]Income Statement Detail'!DG15*1000-(VLOOKUP("6900061",'[8]IS ACCTS'!$F$5:$ZZ$999,114,FALSE)*1000)</f>
        <v>5458800</v>
      </c>
      <c r="CC16" s="584">
        <f>+'[8]Income Statement Detail'!DH15*1000-(VLOOKUP("6900061",'[8]IS ACCTS'!$F$5:$ZZ$999,115,FALSE)*1000)</f>
        <v>4974299.9999999991</v>
      </c>
      <c r="CD16" s="584">
        <f>+'[8]Income Statement Detail'!DI15*1000-(VLOOKUP("6900061",'[8]IS ACCTS'!$F$5:$ZZ$999,116,FALSE)*1000)</f>
        <v>4643200</v>
      </c>
      <c r="CE16" s="584">
        <f>+'[8]Income Statement Detail'!DJ15*1000-(VLOOKUP("6900061",'[8]IS ACCTS'!$F$5:$ZZ$999,117,FALSE)*1000)</f>
        <v>4441200</v>
      </c>
      <c r="CF16" s="584">
        <f>+'[8]Income Statement Detail'!DK15*1000-(VLOOKUP("6900061",'[8]IS ACCTS'!$F$5:$ZZ$999,118,FALSE)*1000)</f>
        <v>4296099.9999999991</v>
      </c>
      <c r="CG16" s="584">
        <f>+'[8]Income Statement Detail'!DL15*1000-(VLOOKUP("6900061",'[8]IS ACCTS'!$F$5:$ZZ$999,119,FALSE)*1000)</f>
        <v>3910199.9999999991</v>
      </c>
      <c r="CH16" s="584">
        <f>+'[8]Income Statement Detail'!DM15*1000-(VLOOKUP("6900061",'[8]IS ACCTS'!$F$5:$ZZ$999,120,FALSE)*1000)</f>
        <v>3928099.9999999995</v>
      </c>
      <c r="CI16" s="584">
        <f>+'[8]Income Statement Detail'!DN15*1000-(VLOOKUP("6900061",'[8]IS ACCTS'!$F$5:$ZZ$999,121,FALSE)*1000)</f>
        <v>3966300.0000000005</v>
      </c>
      <c r="CJ16" s="584">
        <f>+'[8]Income Statement Detail'!DO15*1000-(VLOOKUP("6900061",'[8]IS ACCTS'!$F$5:$ZZ$999,122,FALSE)*1000)</f>
        <v>4209500</v>
      </c>
      <c r="CK16" s="584">
        <f>+'[8]Income Statement Detail'!DP15*1000-(VLOOKUP("6900061",'[8]IS ACCTS'!$F$5:$ZZ$999,123,FALSE)*1000)</f>
        <v>4555700</v>
      </c>
      <c r="CL16" s="584">
        <f>+'[8]Income Statement Detail'!DQ15*1000-(VLOOKUP("6900061",'[8]IS ACCTS'!$F$5:$ZZ$999,124,FALSE)*1000)</f>
        <v>5211500</v>
      </c>
      <c r="CM16" s="1053">
        <f t="shared" si="11"/>
        <v>54871000</v>
      </c>
      <c r="CN16" s="33"/>
      <c r="CO16" s="205"/>
      <c r="CP16" s="33"/>
    </row>
    <row r="17" spans="1:94">
      <c r="A17" s="375" t="s">
        <v>418</v>
      </c>
      <c r="C17" s="22"/>
      <c r="D17" s="708">
        <f t="shared" si="10"/>
        <v>1609.1</v>
      </c>
      <c r="E17" s="709"/>
      <c r="F17" s="708">
        <f ca="1">SUM(OFFSET(BO17:BZ17,0,'Bal Sheet'!$A$1))/1000</f>
        <v>-982.6</v>
      </c>
      <c r="G17" s="356">
        <v>2040825.61</v>
      </c>
      <c r="H17" s="356">
        <v>-631584.13</v>
      </c>
      <c r="I17" s="356">
        <v>194813.43</v>
      </c>
      <c r="J17" s="356">
        <v>511396.46</v>
      </c>
      <c r="K17" s="356">
        <v>-842268.7</v>
      </c>
      <c r="L17" s="356">
        <v>-962104.34</v>
      </c>
      <c r="M17" s="356">
        <v>-972907</v>
      </c>
      <c r="N17" s="356">
        <v>-1022100.66</v>
      </c>
      <c r="O17" s="356">
        <v>1584073.3</v>
      </c>
      <c r="P17" s="356">
        <v>-2008499.03</v>
      </c>
      <c r="Q17" s="356">
        <v>-1017595.27</v>
      </c>
      <c r="R17" s="356">
        <v>5725359.7400000002</v>
      </c>
      <c r="S17" s="356">
        <v>3172840.78</v>
      </c>
      <c r="T17" s="356">
        <v>342951.69</v>
      </c>
      <c r="U17" s="356">
        <v>895317.01</v>
      </c>
      <c r="V17" s="356">
        <v>1259189.22</v>
      </c>
      <c r="W17" s="356">
        <v>205117.85</v>
      </c>
      <c r="X17" s="356">
        <v>492073.16</v>
      </c>
      <c r="Y17" s="356">
        <v>166344.88</v>
      </c>
      <c r="Z17" s="356">
        <v>-879336.49</v>
      </c>
      <c r="AA17" s="356">
        <v>432770.52</v>
      </c>
      <c r="AB17" s="356">
        <v>-353761.9</v>
      </c>
      <c r="AC17" s="356">
        <v>-3383402.33</v>
      </c>
      <c r="AD17" s="356">
        <v>1424397.97</v>
      </c>
      <c r="AE17" s="356">
        <v>1898229.81</v>
      </c>
      <c r="AF17" s="356">
        <v>-87759.87</v>
      </c>
      <c r="AG17" s="356">
        <v>1161289.22</v>
      </c>
      <c r="AH17" s="356">
        <v>559174.94999999995</v>
      </c>
      <c r="AI17" s="356">
        <v>280899.64</v>
      </c>
      <c r="AJ17" s="356">
        <v>192965.77</v>
      </c>
      <c r="AK17" s="356">
        <v>-11924.53</v>
      </c>
      <c r="AL17" s="356">
        <v>-33331.160000000003</v>
      </c>
      <c r="AM17" s="356">
        <v>122357.41</v>
      </c>
      <c r="AN17" s="356">
        <v>114338.06</v>
      </c>
      <c r="AO17" s="356">
        <v>482314.44</v>
      </c>
      <c r="AP17" s="356">
        <v>85023.62</v>
      </c>
      <c r="AQ17" s="356">
        <v>3049614.09</v>
      </c>
      <c r="AR17" s="356">
        <v>-2074721.21</v>
      </c>
      <c r="AS17" s="356">
        <v>458500.76</v>
      </c>
      <c r="AT17" s="356">
        <v>139401.47</v>
      </c>
      <c r="AU17" s="356">
        <v>-398549.92</v>
      </c>
      <c r="AV17" s="356">
        <v>-17852.25</v>
      </c>
      <c r="AW17" s="356">
        <v>-500016.4</v>
      </c>
      <c r="AX17" s="356">
        <v>-116709.75999999999</v>
      </c>
      <c r="AY17" s="356">
        <v>120395.35</v>
      </c>
      <c r="AZ17" s="356">
        <v>-1700886.66</v>
      </c>
      <c r="BA17" s="356">
        <v>157810.87</v>
      </c>
      <c r="BB17" s="413">
        <v>323552.88</v>
      </c>
      <c r="BC17" s="413">
        <v>2773724.39</v>
      </c>
      <c r="BD17" s="413">
        <v>1074495.75</v>
      </c>
      <c r="BE17" s="413">
        <v>-504079.37</v>
      </c>
      <c r="BF17" s="413">
        <v>954143.7</v>
      </c>
      <c r="BG17" s="413">
        <v>-330815.38</v>
      </c>
      <c r="BH17" s="413">
        <v>1955989.38</v>
      </c>
      <c r="BI17" s="413">
        <v>-376170.8</v>
      </c>
      <c r="BJ17" s="413">
        <v>581226.12</v>
      </c>
      <c r="BK17" s="413">
        <v>1483442.87</v>
      </c>
      <c r="BL17" s="413">
        <v>-1692496.25</v>
      </c>
      <c r="BM17" s="413">
        <v>-1659190.4</v>
      </c>
      <c r="BN17" s="413">
        <v>3978282.47</v>
      </c>
      <c r="BO17" s="583">
        <v>2808335.05</v>
      </c>
      <c r="BP17" s="583">
        <v>3401893.44</v>
      </c>
      <c r="BQ17" s="583">
        <v>198240.37</v>
      </c>
      <c r="BR17" s="583">
        <v>1125620.96</v>
      </c>
      <c r="BS17" s="583">
        <v>398227.3</v>
      </c>
      <c r="BT17" s="583">
        <v>279421.68</v>
      </c>
      <c r="BU17" s="583">
        <v>-286222.64</v>
      </c>
      <c r="BV17" s="583">
        <v>-3528742.49</v>
      </c>
      <c r="BW17" s="583">
        <v>744323.69</v>
      </c>
      <c r="BX17" s="583">
        <v>-650891.84</v>
      </c>
      <c r="BY17" s="583">
        <v>-55693.45</v>
      </c>
      <c r="BZ17" s="583">
        <v>-71585.03</v>
      </c>
      <c r="CA17" s="583">
        <f>(VLOOKUP("8000310",'[8]IS ACCTS'!$F$5:$ZZ$999,113,FALSE)+VLOOKUP("8000410",'[8]IS ACCTS'!$F$5:$ZZ$999,113,FALSE)+VLOOKUP("8000000",'[8]IS ACCTS'!$F$5:$ZZ$999,113,FALSE))*1000</f>
        <v>891900</v>
      </c>
      <c r="CB17" s="583">
        <f>(VLOOKUP("8000310",'[8]IS ACCTS'!$F$5:$ZZ$999,114,FALSE)+VLOOKUP("8000410",'[8]IS ACCTS'!$F$5:$ZZ$999,114,FALSE)+VLOOKUP("8000000",'[8]IS ACCTS'!$F$5:$ZZ$999,114,FALSE))*1000</f>
        <v>963800</v>
      </c>
      <c r="CC17" s="583">
        <f>(VLOOKUP("8000310",'[8]IS ACCTS'!$F$5:$ZZ$999,115,FALSE)+VLOOKUP("8000410",'[8]IS ACCTS'!$F$5:$ZZ$999,115,FALSE)+VLOOKUP("8000000",'[8]IS ACCTS'!$F$5:$ZZ$999,115,FALSE))*1000</f>
        <v>-618000</v>
      </c>
      <c r="CD17" s="583">
        <f>(VLOOKUP("8000310",'[8]IS ACCTS'!$F$5:$ZZ$999,116,FALSE)+VLOOKUP("8000410",'[8]IS ACCTS'!$F$5:$ZZ$999,116,FALSE)+VLOOKUP("8000000",'[8]IS ACCTS'!$F$5:$ZZ$999,116,FALSE))*1000</f>
        <v>362900.00000000006</v>
      </c>
      <c r="CE17" s="583">
        <f>(VLOOKUP("8000310",'[8]IS ACCTS'!$F$5:$ZZ$999,117,FALSE)+VLOOKUP("8000410",'[8]IS ACCTS'!$F$5:$ZZ$999,117,FALSE)+VLOOKUP("8000000",'[8]IS ACCTS'!$F$5:$ZZ$999,117,FALSE))*1000</f>
        <v>-427200.00000000006</v>
      </c>
      <c r="CF17" s="583">
        <f>(VLOOKUP("8000310",'[8]IS ACCTS'!$F$5:$ZZ$999,118,FALSE)+VLOOKUP("8000410",'[8]IS ACCTS'!$F$5:$ZZ$999,118,FALSE)+VLOOKUP("8000000",'[8]IS ACCTS'!$F$5:$ZZ$999,118,FALSE))*1000</f>
        <v>15100.000000000002</v>
      </c>
      <c r="CG17" s="583">
        <f>(VLOOKUP("8000310",'[8]IS ACCTS'!$F$5:$ZZ$999,119,FALSE)+VLOOKUP("8000410",'[8]IS ACCTS'!$F$5:$ZZ$999,119,FALSE)+VLOOKUP("8000000",'[8]IS ACCTS'!$F$5:$ZZ$999,119,FALSE))*1000</f>
        <v>-820300</v>
      </c>
      <c r="CH17" s="583">
        <f>(VLOOKUP("8000310",'[8]IS ACCTS'!$F$5:$ZZ$999,120,FALSE)+VLOOKUP("8000410",'[8]IS ACCTS'!$F$5:$ZZ$999,120,FALSE)+VLOOKUP("8000000",'[8]IS ACCTS'!$F$5:$ZZ$999,120,FALSE))*1000</f>
        <v>-953900.00000000012</v>
      </c>
      <c r="CI17" s="583">
        <f>(VLOOKUP("8000310",'[8]IS ACCTS'!$F$5:$ZZ$999,121,FALSE)+VLOOKUP("8000410",'[8]IS ACCTS'!$F$5:$ZZ$999,121,FALSE)+VLOOKUP("8000000",'[8]IS ACCTS'!$F$5:$ZZ$999,121,FALSE))*1000</f>
        <v>-311500</v>
      </c>
      <c r="CJ17" s="583">
        <f>(VLOOKUP("8000310",'[8]IS ACCTS'!$F$5:$ZZ$999,122,FALSE)+VLOOKUP("8000410",'[8]IS ACCTS'!$F$5:$ZZ$999,122,FALSE)+VLOOKUP("8000000",'[8]IS ACCTS'!$F$5:$ZZ$999,122,FALSE))*1000</f>
        <v>-1400600</v>
      </c>
      <c r="CK17" s="583">
        <f>(VLOOKUP("8000310",'[8]IS ACCTS'!$F$5:$ZZ$999,123,FALSE)+VLOOKUP("8000410",'[8]IS ACCTS'!$F$5:$ZZ$999,123,FALSE)+VLOOKUP("8000000",'[8]IS ACCTS'!$F$5:$ZZ$999,123,FALSE))*1000</f>
        <v>-293900</v>
      </c>
      <c r="CL17" s="583">
        <f>(VLOOKUP("8000310",'[8]IS ACCTS'!$F$5:$ZZ$999,124,FALSE)+VLOOKUP("8000410",'[8]IS ACCTS'!$F$5:$ZZ$999,124,FALSE)+VLOOKUP("8000000",'[8]IS ACCTS'!$F$5:$ZZ$999,124,FALSE))*1000</f>
        <v>1609100</v>
      </c>
      <c r="CM17" s="1055">
        <f t="shared" si="11"/>
        <v>-982600</v>
      </c>
      <c r="CN17" s="33"/>
      <c r="CO17" s="205"/>
      <c r="CP17" s="33"/>
    </row>
    <row r="18" spans="1:94">
      <c r="A18" s="375" t="s">
        <v>419</v>
      </c>
      <c r="C18" s="22"/>
      <c r="D18" s="708">
        <f t="shared" si="10"/>
        <v>2270.8000000000002</v>
      </c>
      <c r="E18" s="709"/>
      <c r="F18" s="708">
        <f ca="1">SUM(OFFSET(BO18:BZ18,0,'Bal Sheet'!$A$1))/1000</f>
        <v>23535.5</v>
      </c>
      <c r="G18" s="355">
        <v>1007791.66</v>
      </c>
      <c r="H18" s="355">
        <v>2803153.57</v>
      </c>
      <c r="I18" s="355">
        <v>2561260.2000000002</v>
      </c>
      <c r="J18" s="355">
        <v>1745517.27</v>
      </c>
      <c r="K18" s="355">
        <v>2904990.24</v>
      </c>
      <c r="L18" s="355">
        <v>2569026.12</v>
      </c>
      <c r="M18" s="355">
        <v>2508529.0099999998</v>
      </c>
      <c r="N18" s="355">
        <v>2444486.59</v>
      </c>
      <c r="O18" s="355">
        <v>102029.45</v>
      </c>
      <c r="P18" s="355">
        <v>3452189.2</v>
      </c>
      <c r="Q18" s="355">
        <v>2924938.02</v>
      </c>
      <c r="R18" s="355">
        <v>-2419811.6800000002</v>
      </c>
      <c r="S18" s="355">
        <v>-424489.68</v>
      </c>
      <c r="T18" s="355">
        <v>784354.58</v>
      </c>
      <c r="U18" s="355">
        <v>-231493.34</v>
      </c>
      <c r="V18" s="355">
        <v>224730.79</v>
      </c>
      <c r="W18" s="355">
        <v>919013.52</v>
      </c>
      <c r="X18" s="355">
        <v>539773.27</v>
      </c>
      <c r="Y18" s="355">
        <v>721249.05999999994</v>
      </c>
      <c r="Z18" s="355">
        <v>1619384.2000000002</v>
      </c>
      <c r="AA18" s="355">
        <v>836768.26</v>
      </c>
      <c r="AB18" s="355">
        <v>1163047.53</v>
      </c>
      <c r="AC18" s="355">
        <v>4457377.58</v>
      </c>
      <c r="AD18" s="355">
        <v>112743.38</v>
      </c>
      <c r="AE18" s="355">
        <v>246440.66</v>
      </c>
      <c r="AF18" s="355">
        <v>2016465.43</v>
      </c>
      <c r="AG18" s="355">
        <v>641096.55000000005</v>
      </c>
      <c r="AH18" s="355">
        <v>1080080.19</v>
      </c>
      <c r="AI18" s="355">
        <v>1176801.29</v>
      </c>
      <c r="AJ18" s="355">
        <v>1139163.42</v>
      </c>
      <c r="AK18" s="355">
        <v>944421.19</v>
      </c>
      <c r="AL18" s="355">
        <v>1173908.4099999999</v>
      </c>
      <c r="AM18" s="355">
        <v>599012.24</v>
      </c>
      <c r="AN18" s="355">
        <v>909892.55</v>
      </c>
      <c r="AO18" s="355">
        <v>858821.24</v>
      </c>
      <c r="AP18" s="355">
        <v>1452272.21</v>
      </c>
      <c r="AQ18" s="355">
        <v>-678148.9</v>
      </c>
      <c r="AR18" s="355">
        <v>3783401.71</v>
      </c>
      <c r="AS18" s="355">
        <v>983157.33</v>
      </c>
      <c r="AT18" s="355">
        <v>840155.65</v>
      </c>
      <c r="AU18" s="355">
        <v>1294461.54</v>
      </c>
      <c r="AV18" s="355">
        <v>911790.04</v>
      </c>
      <c r="AW18" s="355">
        <v>1291428.43</v>
      </c>
      <c r="AX18" s="355">
        <v>1019109.73</v>
      </c>
      <c r="AY18" s="355">
        <v>1259997.56</v>
      </c>
      <c r="AZ18" s="355">
        <v>1943284.86</v>
      </c>
      <c r="BA18" s="355">
        <v>1351955.5</v>
      </c>
      <c r="BB18" s="404">
        <v>1079410.44</v>
      </c>
      <c r="BC18" s="404">
        <v>675422.61</v>
      </c>
      <c r="BD18" s="404">
        <v>1189381.5</v>
      </c>
      <c r="BE18" s="404">
        <v>2754279.95</v>
      </c>
      <c r="BF18" s="404">
        <v>1355641.68</v>
      </c>
      <c r="BG18" s="404">
        <v>1901529.35</v>
      </c>
      <c r="BH18" s="404">
        <v>-395914.15</v>
      </c>
      <c r="BI18" s="404">
        <v>1617623.67</v>
      </c>
      <c r="BJ18" s="404">
        <v>729649.99</v>
      </c>
      <c r="BK18" s="404">
        <v>-747066.9</v>
      </c>
      <c r="BL18" s="404">
        <v>3026643.52</v>
      </c>
      <c r="BM18" s="404">
        <v>3801132.44</v>
      </c>
      <c r="BN18" s="404">
        <v>-2616528.1</v>
      </c>
      <c r="BO18" s="584">
        <v>447989.75</v>
      </c>
      <c r="BP18" s="584">
        <v>-533495.37</v>
      </c>
      <c r="BQ18" s="584">
        <v>3034364.22</v>
      </c>
      <c r="BR18" s="584">
        <v>1018819.87</v>
      </c>
      <c r="BS18" s="584">
        <v>1546580.43</v>
      </c>
      <c r="BT18" s="584">
        <v>1632224.02</v>
      </c>
      <c r="BU18" s="584">
        <v>1491018.23</v>
      </c>
      <c r="BV18" s="584">
        <v>4979215.91</v>
      </c>
      <c r="BW18" s="584">
        <v>1450781.13</v>
      </c>
      <c r="BX18" s="584">
        <v>2165864.66</v>
      </c>
      <c r="BY18" s="584">
        <v>1890697.16</v>
      </c>
      <c r="BZ18" s="584">
        <v>2410974.19</v>
      </c>
      <c r="CA18" s="584">
        <f>+'[8]Income Statement Detail'!DF41*1000+'[8]Income Statement Detail'!DF42*1000</f>
        <v>-1067500</v>
      </c>
      <c r="CB18" s="584">
        <f>+'[8]Income Statement Detail'!DG41*1000+'[8]Income Statement Detail'!DG42*1000</f>
        <v>1805900</v>
      </c>
      <c r="CC18" s="584">
        <f>+'[8]Income Statement Detail'!DH41*1000+'[8]Income Statement Detail'!DH42*1000</f>
        <v>3769900</v>
      </c>
      <c r="CD18" s="584">
        <f>+'[8]Income Statement Detail'!DI41*1000+'[8]Income Statement Detail'!DI42*1000</f>
        <v>1812400</v>
      </c>
      <c r="CE18" s="584">
        <f>+'[8]Income Statement Detail'!DJ41*1000+'[8]Income Statement Detail'!DJ42*1000</f>
        <v>2035900</v>
      </c>
      <c r="CF18" s="584">
        <f>+'[8]Income Statement Detail'!DK41*1000+'[8]Income Statement Detail'!DK42*1000</f>
        <v>2042600</v>
      </c>
      <c r="CG18" s="584">
        <f>+'[8]Income Statement Detail'!DL41*1000+'[8]Income Statement Detail'!DL42*1000</f>
        <v>2121300</v>
      </c>
      <c r="CH18" s="584">
        <f>+'[8]Income Statement Detail'!DM41*1000+'[8]Income Statement Detail'!DM42*1000</f>
        <v>2186500</v>
      </c>
      <c r="CI18" s="584">
        <f>+'[8]Income Statement Detail'!DN41*1000+'[8]Income Statement Detail'!DN42*1000</f>
        <v>2239700</v>
      </c>
      <c r="CJ18" s="584">
        <f>+'[8]Income Statement Detail'!DO41*1000+'[8]Income Statement Detail'!DO42*1000</f>
        <v>2253600</v>
      </c>
      <c r="CK18" s="584">
        <f>+'[8]Income Statement Detail'!DP41*1000+'[8]Income Statement Detail'!DP42*1000</f>
        <v>2064400</v>
      </c>
      <c r="CL18" s="584">
        <f>+'[8]Income Statement Detail'!DQ41*1000+'[8]Income Statement Detail'!DQ42*1000</f>
        <v>2270800</v>
      </c>
      <c r="CM18" s="1053">
        <f t="shared" si="11"/>
        <v>23535500</v>
      </c>
      <c r="CN18" s="33"/>
      <c r="CO18" s="205"/>
      <c r="CP18" s="33"/>
    </row>
    <row r="19" spans="1:94">
      <c r="A19" t="s">
        <v>420</v>
      </c>
      <c r="C19" s="22"/>
      <c r="D19" s="708">
        <f t="shared" si="10"/>
        <v>0</v>
      </c>
      <c r="E19" s="709"/>
      <c r="F19" s="708">
        <f ca="1">SUM(OFFSET(BO19:BZ19,0,'Bal Sheet'!$A$1))/1000</f>
        <v>3313.3</v>
      </c>
      <c r="G19" s="358">
        <v>0</v>
      </c>
      <c r="H19" s="358">
        <v>0</v>
      </c>
      <c r="I19" s="358">
        <v>0</v>
      </c>
      <c r="J19" s="358">
        <v>0</v>
      </c>
      <c r="K19" s="358">
        <v>0</v>
      </c>
      <c r="L19" s="358">
        <v>0</v>
      </c>
      <c r="M19" s="358">
        <v>0</v>
      </c>
      <c r="N19" s="358">
        <v>0</v>
      </c>
      <c r="O19" s="358">
        <v>0</v>
      </c>
      <c r="P19" s="358">
        <v>0</v>
      </c>
      <c r="Q19" s="358">
        <v>0</v>
      </c>
      <c r="R19" s="358">
        <v>0</v>
      </c>
      <c r="S19" s="358">
        <v>0</v>
      </c>
      <c r="T19" s="358">
        <v>0</v>
      </c>
      <c r="U19" s="358">
        <v>0</v>
      </c>
      <c r="V19" s="358">
        <v>0</v>
      </c>
      <c r="W19" s="358">
        <v>0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58">
        <v>0</v>
      </c>
      <c r="AD19" s="358">
        <v>0</v>
      </c>
      <c r="AE19" s="358">
        <v>0</v>
      </c>
      <c r="AF19" s="358">
        <v>0</v>
      </c>
      <c r="AG19" s="358">
        <v>0</v>
      </c>
      <c r="AH19" s="358">
        <v>0</v>
      </c>
      <c r="AI19" s="358">
        <v>0</v>
      </c>
      <c r="AJ19" s="358">
        <v>0</v>
      </c>
      <c r="AK19" s="358">
        <v>0</v>
      </c>
      <c r="AL19" s="358">
        <v>0</v>
      </c>
      <c r="AM19" s="358">
        <v>0</v>
      </c>
      <c r="AN19" s="358">
        <v>0</v>
      </c>
      <c r="AO19" s="358">
        <v>0</v>
      </c>
      <c r="AP19" s="358">
        <v>0</v>
      </c>
      <c r="AQ19" s="358">
        <v>0</v>
      </c>
      <c r="AR19" s="358">
        <v>0</v>
      </c>
      <c r="AS19" s="358">
        <v>0</v>
      </c>
      <c r="AT19" s="358">
        <v>0</v>
      </c>
      <c r="AU19" s="358">
        <v>0</v>
      </c>
      <c r="AV19" s="358">
        <v>0</v>
      </c>
      <c r="AW19" s="358">
        <v>0</v>
      </c>
      <c r="AX19" s="358">
        <v>0</v>
      </c>
      <c r="AY19" s="358">
        <v>0</v>
      </c>
      <c r="AZ19" s="358">
        <v>0</v>
      </c>
      <c r="BA19" s="358">
        <v>0</v>
      </c>
      <c r="BB19" s="412">
        <v>0</v>
      </c>
      <c r="BC19" s="412">
        <v>0</v>
      </c>
      <c r="BD19" s="412">
        <v>0</v>
      </c>
      <c r="BE19" s="412">
        <v>0</v>
      </c>
      <c r="BF19" s="412">
        <v>0</v>
      </c>
      <c r="BG19" s="412">
        <v>0</v>
      </c>
      <c r="BH19" s="412">
        <v>0</v>
      </c>
      <c r="BI19" s="412">
        <v>0</v>
      </c>
      <c r="BJ19" s="412">
        <v>0</v>
      </c>
      <c r="BK19" s="412">
        <v>0</v>
      </c>
      <c r="BL19" s="412">
        <v>0</v>
      </c>
      <c r="BM19" s="412">
        <v>0</v>
      </c>
      <c r="BN19" s="412">
        <v>0</v>
      </c>
      <c r="BO19" s="595">
        <v>0</v>
      </c>
      <c r="BP19" s="595">
        <v>0</v>
      </c>
      <c r="BQ19" s="595">
        <v>0</v>
      </c>
      <c r="BR19" s="595">
        <v>0</v>
      </c>
      <c r="BS19" s="595">
        <v>0</v>
      </c>
      <c r="BT19" s="595">
        <v>0</v>
      </c>
      <c r="BU19" s="595">
        <v>0</v>
      </c>
      <c r="BV19" s="595">
        <v>0</v>
      </c>
      <c r="BW19" s="595">
        <v>0</v>
      </c>
      <c r="BX19" s="595">
        <v>0</v>
      </c>
      <c r="BY19" s="595">
        <v>0</v>
      </c>
      <c r="BZ19" s="595">
        <v>0</v>
      </c>
      <c r="CA19" s="595">
        <f>'[8]Income Statement Detail'!DF43*1000</f>
        <v>3313300</v>
      </c>
      <c r="CB19" s="595">
        <f>'[8]Income Statement Detail'!DG43*1000</f>
        <v>0</v>
      </c>
      <c r="CC19" s="595">
        <f>'[8]Income Statement Detail'!DH43*1000</f>
        <v>0</v>
      </c>
      <c r="CD19" s="595">
        <f>'[8]Income Statement Detail'!DI43*1000</f>
        <v>0</v>
      </c>
      <c r="CE19" s="595">
        <f>'[8]Income Statement Detail'!DJ43*1000</f>
        <v>0</v>
      </c>
      <c r="CF19" s="595">
        <f>'[8]Income Statement Detail'!DK43*1000</f>
        <v>0</v>
      </c>
      <c r="CG19" s="595">
        <f>'[8]Income Statement Detail'!DL43*1000</f>
        <v>0</v>
      </c>
      <c r="CH19" s="595">
        <f>'[8]Income Statement Detail'!DM43*1000</f>
        <v>0</v>
      </c>
      <c r="CI19" s="595">
        <f>'[8]Income Statement Detail'!DN43*1000</f>
        <v>0</v>
      </c>
      <c r="CJ19" s="595">
        <f>'[8]Income Statement Detail'!DO43*1000</f>
        <v>0</v>
      </c>
      <c r="CK19" s="595">
        <f>'[8]Income Statement Detail'!DP43*1000</f>
        <v>0</v>
      </c>
      <c r="CL19" s="595">
        <f>'[8]Income Statement Detail'!DQ43*1000</f>
        <v>0</v>
      </c>
      <c r="CM19" s="1056">
        <f t="shared" si="11"/>
        <v>3313300</v>
      </c>
      <c r="CN19" s="33"/>
      <c r="CO19" s="205"/>
      <c r="CP19" s="33"/>
    </row>
    <row r="20" spans="1:94">
      <c r="A20" t="s">
        <v>421</v>
      </c>
      <c r="C20" s="22"/>
      <c r="D20" s="710">
        <f t="shared" ref="D20" si="12">SUM(D11:D19)</f>
        <v>21798.599999999995</v>
      </c>
      <c r="E20" s="709"/>
      <c r="F20" s="710">
        <f ca="1">SUM(OFFSET(BO20:BZ20,0,'Bal Sheet'!$A$1))/1000</f>
        <v>289753.59999999998</v>
      </c>
      <c r="G20" s="251">
        <f t="shared" ref="G20:R20" si="13">SUM(G11:G19)</f>
        <v>18733128.750000004</v>
      </c>
      <c r="H20" s="251">
        <f t="shared" si="13"/>
        <v>18137871.030000001</v>
      </c>
      <c r="I20" s="251">
        <f t="shared" si="13"/>
        <v>18665789.68</v>
      </c>
      <c r="J20" s="251">
        <f t="shared" si="13"/>
        <v>18320244.280000001</v>
      </c>
      <c r="K20" s="251">
        <f t="shared" si="13"/>
        <v>17442943.600000001</v>
      </c>
      <c r="L20" s="251">
        <f t="shared" si="13"/>
        <v>18174079.859999999</v>
      </c>
      <c r="M20" s="251">
        <f t="shared" si="13"/>
        <v>16658273.560000001</v>
      </c>
      <c r="N20" s="251">
        <f t="shared" si="13"/>
        <v>17335698.600000001</v>
      </c>
      <c r="O20" s="251">
        <f t="shared" si="13"/>
        <v>17464761.16</v>
      </c>
      <c r="P20" s="251">
        <f t="shared" si="13"/>
        <v>17600487.470000003</v>
      </c>
      <c r="Q20" s="251">
        <f t="shared" si="13"/>
        <v>17994774.59</v>
      </c>
      <c r="R20" s="251">
        <f t="shared" si="13"/>
        <v>18965754.390000004</v>
      </c>
      <c r="S20" s="251">
        <f t="shared" ref="S20:AD20" si="14">SUM(S11:S19)</f>
        <v>21473568.990000002</v>
      </c>
      <c r="T20" s="251">
        <f t="shared" si="14"/>
        <v>21162925.390000001</v>
      </c>
      <c r="U20" s="251">
        <f t="shared" si="14"/>
        <v>22457240.180000003</v>
      </c>
      <c r="V20" s="251">
        <f t="shared" si="14"/>
        <v>21000992.839999996</v>
      </c>
      <c r="W20" s="251">
        <f t="shared" si="14"/>
        <v>18721159.360000003</v>
      </c>
      <c r="X20" s="251">
        <f t="shared" si="14"/>
        <v>18344907.260000002</v>
      </c>
      <c r="Y20" s="251">
        <f t="shared" si="14"/>
        <v>19125872.32</v>
      </c>
      <c r="Z20" s="251">
        <f t="shared" si="14"/>
        <v>18459683.620000001</v>
      </c>
      <c r="AA20" s="251">
        <f t="shared" si="14"/>
        <v>17871040.420000002</v>
      </c>
      <c r="AB20" s="251">
        <f t="shared" si="14"/>
        <v>19025696.900000002</v>
      </c>
      <c r="AC20" s="251">
        <f t="shared" si="14"/>
        <v>18383104.869999997</v>
      </c>
      <c r="AD20" s="251">
        <f t="shared" si="14"/>
        <v>20237826.889999997</v>
      </c>
      <c r="AE20" s="251">
        <f t="shared" ref="AE20:AP20" si="15">SUM(AE11:AE19)</f>
        <v>20452599.789999999</v>
      </c>
      <c r="AF20" s="251">
        <f t="shared" si="15"/>
        <v>19615511.52</v>
      </c>
      <c r="AG20" s="251">
        <f t="shared" si="15"/>
        <v>19827510.050000001</v>
      </c>
      <c r="AH20" s="251">
        <f t="shared" si="15"/>
        <v>17969253.359999999</v>
      </c>
      <c r="AI20" s="251">
        <f t="shared" si="15"/>
        <v>17896250.279999997</v>
      </c>
      <c r="AJ20" s="251">
        <f t="shared" si="15"/>
        <v>17861980.649999999</v>
      </c>
      <c r="AK20" s="251">
        <f t="shared" si="15"/>
        <v>18373035.280000001</v>
      </c>
      <c r="AL20" s="251">
        <f t="shared" si="15"/>
        <v>17562710.920000002</v>
      </c>
      <c r="AM20" s="251">
        <f t="shared" si="15"/>
        <v>17805514.02</v>
      </c>
      <c r="AN20" s="251">
        <f t="shared" si="15"/>
        <v>18397829.519999996</v>
      </c>
      <c r="AO20" s="251">
        <f t="shared" si="15"/>
        <v>19614885.620000005</v>
      </c>
      <c r="AP20" s="251">
        <f t="shared" si="15"/>
        <v>22839881.950000007</v>
      </c>
      <c r="AQ20" s="251">
        <f t="shared" ref="AQ20:AW20" si="16">SUM(AQ11:AQ19)</f>
        <v>20895425.940000001</v>
      </c>
      <c r="AR20" s="251">
        <f t="shared" si="16"/>
        <v>21328085.270000003</v>
      </c>
      <c r="AS20" s="251">
        <f t="shared" si="16"/>
        <v>20986618.350000001</v>
      </c>
      <c r="AT20" s="251">
        <f t="shared" si="16"/>
        <v>18269690.169999998</v>
      </c>
      <c r="AU20" s="251">
        <f t="shared" si="16"/>
        <v>17363157.940000001</v>
      </c>
      <c r="AV20" s="251">
        <f t="shared" si="16"/>
        <v>18619131.43</v>
      </c>
      <c r="AW20" s="251">
        <f t="shared" si="16"/>
        <v>18001910.130000003</v>
      </c>
      <c r="AX20" s="251">
        <f t="shared" ref="AX20:BB20" si="17">SUM(AX11:AX19)</f>
        <v>17971913.219999999</v>
      </c>
      <c r="AY20" s="251">
        <f t="shared" si="17"/>
        <v>18898664.330000002</v>
      </c>
      <c r="AZ20" s="251">
        <f t="shared" si="17"/>
        <v>20022455.620000001</v>
      </c>
      <c r="BA20" s="251">
        <f t="shared" si="17"/>
        <v>18495667.440000001</v>
      </c>
      <c r="BB20" s="687">
        <f t="shared" si="17"/>
        <v>23335667.509999998</v>
      </c>
      <c r="BC20" s="687">
        <f t="shared" ref="BC20:BN20" si="18">SUM(BC11:BC19)</f>
        <v>24657922.080000002</v>
      </c>
      <c r="BD20" s="687">
        <f t="shared" si="18"/>
        <v>22429811.489999998</v>
      </c>
      <c r="BE20" s="687">
        <f t="shared" si="18"/>
        <v>22188089.819999997</v>
      </c>
      <c r="BF20" s="687">
        <f t="shared" si="18"/>
        <v>22086176.709999997</v>
      </c>
      <c r="BG20" s="687">
        <f t="shared" si="18"/>
        <v>21133889.240000002</v>
      </c>
      <c r="BH20" s="687">
        <f t="shared" si="18"/>
        <v>20683424.280000001</v>
      </c>
      <c r="BI20" s="687">
        <f t="shared" si="18"/>
        <v>21627802.539999999</v>
      </c>
      <c r="BJ20" s="687">
        <f t="shared" si="18"/>
        <v>20069422.75</v>
      </c>
      <c r="BK20" s="687">
        <f t="shared" si="18"/>
        <v>21060661.100000001</v>
      </c>
      <c r="BL20" s="687">
        <f t="shared" si="18"/>
        <v>20932295.949999999</v>
      </c>
      <c r="BM20" s="687">
        <f t="shared" si="18"/>
        <v>21986475.890000001</v>
      </c>
      <c r="BN20" s="687">
        <f t="shared" si="18"/>
        <v>26121418.019999992</v>
      </c>
      <c r="BO20" s="687">
        <f t="shared" ref="BO20:BZ20" si="19">SUM(BO11:BO19)</f>
        <v>25191562.080000002</v>
      </c>
      <c r="BP20" s="687">
        <f t="shared" si="19"/>
        <v>25095165.089999996</v>
      </c>
      <c r="BQ20" s="687">
        <f t="shared" si="19"/>
        <v>21478422.829999994</v>
      </c>
      <c r="BR20" s="687">
        <f t="shared" si="19"/>
        <v>23835960.530000001</v>
      </c>
      <c r="BS20" s="687">
        <f t="shared" si="19"/>
        <v>23274277.049999993</v>
      </c>
      <c r="BT20" s="687">
        <f t="shared" si="19"/>
        <v>20498140.73</v>
      </c>
      <c r="BU20" s="687">
        <f t="shared" si="19"/>
        <v>23542292.48</v>
      </c>
      <c r="BV20" s="687">
        <f t="shared" si="19"/>
        <v>23110369.199999999</v>
      </c>
      <c r="BW20" s="687">
        <f t="shared" si="19"/>
        <v>19732500.889999993</v>
      </c>
      <c r="BX20" s="687">
        <f t="shared" si="19"/>
        <v>24303981.939999998</v>
      </c>
      <c r="BY20" s="687">
        <f t="shared" si="19"/>
        <v>23295091.009999998</v>
      </c>
      <c r="BZ20" s="687">
        <f t="shared" si="19"/>
        <v>26484037.91</v>
      </c>
      <c r="CA20" s="687">
        <f t="shared" ref="CA20:CL20" si="20">SUM(CA11:CA19)</f>
        <v>26749599.999999993</v>
      </c>
      <c r="CB20" s="687">
        <f t="shared" si="20"/>
        <v>26201900</v>
      </c>
      <c r="CC20" s="687">
        <f t="shared" si="20"/>
        <v>22670199.999999996</v>
      </c>
      <c r="CD20" s="687">
        <f t="shared" si="20"/>
        <v>24598400</v>
      </c>
      <c r="CE20" s="687">
        <f t="shared" si="20"/>
        <v>24439099.999999996</v>
      </c>
      <c r="CF20" s="687">
        <f t="shared" si="20"/>
        <v>22096299.999999996</v>
      </c>
      <c r="CG20" s="687">
        <f t="shared" si="20"/>
        <v>23716600</v>
      </c>
      <c r="CH20" s="687">
        <f t="shared" si="20"/>
        <v>23774700</v>
      </c>
      <c r="CI20" s="687">
        <f t="shared" si="20"/>
        <v>22760600</v>
      </c>
      <c r="CJ20" s="687">
        <f t="shared" si="20"/>
        <v>23731400</v>
      </c>
      <c r="CK20" s="687">
        <f t="shared" si="20"/>
        <v>27216199.999999993</v>
      </c>
      <c r="CL20" s="687">
        <f t="shared" si="20"/>
        <v>21798600</v>
      </c>
      <c r="CM20" s="605">
        <f t="shared" si="11"/>
        <v>289753600</v>
      </c>
      <c r="CN20" s="33"/>
      <c r="CO20" s="205"/>
      <c r="CP20" s="33"/>
    </row>
    <row r="21" spans="1:94">
      <c r="C21" s="22"/>
      <c r="D21" s="708"/>
      <c r="E21" s="709"/>
      <c r="F21" s="708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597"/>
      <c r="BC21" s="597"/>
      <c r="BD21" s="597"/>
      <c r="BE21" s="597"/>
      <c r="BF21" s="597"/>
      <c r="BG21" s="597"/>
      <c r="BH21" s="597"/>
      <c r="BI21" s="597"/>
      <c r="BJ21" s="597"/>
      <c r="BK21" s="597"/>
      <c r="BL21" s="597"/>
      <c r="BM21" s="597"/>
      <c r="BN21" s="597"/>
      <c r="BO21" s="597"/>
      <c r="BP21" s="597"/>
      <c r="BQ21" s="597"/>
      <c r="BR21" s="597"/>
      <c r="BS21" s="597"/>
      <c r="BT21" s="597"/>
      <c r="BU21" s="597"/>
      <c r="BV21" s="597"/>
      <c r="BW21" s="597"/>
      <c r="BX21" s="597"/>
      <c r="BY21" s="597"/>
      <c r="BZ21" s="597"/>
      <c r="CA21" s="597"/>
      <c r="CB21" s="597"/>
      <c r="CC21" s="597"/>
      <c r="CD21" s="597"/>
      <c r="CE21" s="597"/>
      <c r="CF21" s="597"/>
      <c r="CG21" s="597"/>
      <c r="CH21" s="597"/>
      <c r="CI21" s="597"/>
      <c r="CJ21" s="597"/>
      <c r="CK21" s="597"/>
      <c r="CL21" s="597"/>
      <c r="CM21" s="605"/>
      <c r="CN21" s="33"/>
      <c r="CO21" s="205"/>
      <c r="CP21" s="33"/>
    </row>
    <row r="22" spans="1:94">
      <c r="A22" t="s">
        <v>422</v>
      </c>
      <c r="C22" s="22"/>
      <c r="D22" s="711">
        <f t="shared" ref="D22:F22" si="21">+D9-D20</f>
        <v>16062.099999999995</v>
      </c>
      <c r="E22" s="709"/>
      <c r="F22" s="711">
        <f t="shared" ca="1" si="21"/>
        <v>114141.49999999988</v>
      </c>
      <c r="G22" s="253">
        <f>+G9-G20</f>
        <v>6152748.8000000007</v>
      </c>
      <c r="H22" s="253">
        <f t="shared" ref="H22:R22" si="22">+H9-H20</f>
        <v>4702553.3999999911</v>
      </c>
      <c r="I22" s="253">
        <f t="shared" si="22"/>
        <v>5200863.66</v>
      </c>
      <c r="J22" s="253">
        <f t="shared" si="22"/>
        <v>4844336.1199999973</v>
      </c>
      <c r="K22" s="253">
        <f t="shared" si="22"/>
        <v>4524301.7600000054</v>
      </c>
      <c r="L22" s="253">
        <f t="shared" si="22"/>
        <v>3102457.8999999985</v>
      </c>
      <c r="M22" s="253">
        <f t="shared" si="22"/>
        <v>3662001.1899999995</v>
      </c>
      <c r="N22" s="253">
        <f t="shared" si="22"/>
        <v>3525504.2599999942</v>
      </c>
      <c r="O22" s="253">
        <f t="shared" si="22"/>
        <v>3446501.2700000033</v>
      </c>
      <c r="P22" s="253">
        <f t="shared" si="22"/>
        <v>3614241.3699999936</v>
      </c>
      <c r="Q22" s="253">
        <f t="shared" si="22"/>
        <v>4231441.7200000025</v>
      </c>
      <c r="R22" s="253">
        <f t="shared" si="22"/>
        <v>5951609.770000007</v>
      </c>
      <c r="S22" s="253">
        <f t="shared" ref="S22:AD22" si="23">+S9-S20</f>
        <v>9940462.4899999946</v>
      </c>
      <c r="T22" s="253">
        <f t="shared" si="23"/>
        <v>5415606.1499999985</v>
      </c>
      <c r="U22" s="253">
        <f t="shared" si="23"/>
        <v>2325500.1899999939</v>
      </c>
      <c r="V22" s="253">
        <f t="shared" si="23"/>
        <v>5926409.1000000089</v>
      </c>
      <c r="W22" s="253">
        <f t="shared" si="23"/>
        <v>3444404.6699999981</v>
      </c>
      <c r="X22" s="253">
        <f t="shared" si="23"/>
        <v>3828231.6100000031</v>
      </c>
      <c r="Y22" s="253">
        <f t="shared" si="23"/>
        <v>3891277.7600000054</v>
      </c>
      <c r="Z22" s="253">
        <f t="shared" si="23"/>
        <v>3421528.120000001</v>
      </c>
      <c r="AA22" s="253">
        <f t="shared" si="23"/>
        <v>4453467.1600000113</v>
      </c>
      <c r="AB22" s="253">
        <f t="shared" si="23"/>
        <v>3787619.3500000052</v>
      </c>
      <c r="AC22" s="253">
        <f t="shared" si="23"/>
        <v>4520918.6300000139</v>
      </c>
      <c r="AD22" s="253">
        <f t="shared" si="23"/>
        <v>6216167.7300000153</v>
      </c>
      <c r="AE22" s="253">
        <f t="shared" ref="AE22:AP22" si="24">+AE9-AE20</f>
        <v>7735121.25</v>
      </c>
      <c r="AF22" s="253">
        <f t="shared" si="24"/>
        <v>6933687.2900000066</v>
      </c>
      <c r="AG22" s="253">
        <f t="shared" si="24"/>
        <v>6359334.7200000025</v>
      </c>
      <c r="AH22" s="253">
        <f t="shared" si="24"/>
        <v>6143625.1099999994</v>
      </c>
      <c r="AI22" s="253">
        <f t="shared" si="24"/>
        <v>5537220.6199999936</v>
      </c>
      <c r="AJ22" s="253">
        <f t="shared" si="24"/>
        <v>4455270.5400000066</v>
      </c>
      <c r="AK22" s="253">
        <f t="shared" si="24"/>
        <v>4010450.0599999987</v>
      </c>
      <c r="AL22" s="253">
        <f t="shared" si="24"/>
        <v>4582283.09</v>
      </c>
      <c r="AM22" s="253">
        <f t="shared" si="24"/>
        <v>4625023.7300000004</v>
      </c>
      <c r="AN22" s="253">
        <f t="shared" si="24"/>
        <v>4508739.3800000027</v>
      </c>
      <c r="AO22" s="253">
        <f t="shared" si="24"/>
        <v>5499297.9999999925</v>
      </c>
      <c r="AP22" s="253">
        <f t="shared" si="24"/>
        <v>4979877.9199999906</v>
      </c>
      <c r="AQ22" s="253">
        <f t="shared" ref="AQ22:AW22" si="25">+AQ9-AQ20</f>
        <v>8644015.7799999975</v>
      </c>
      <c r="AR22" s="253">
        <f t="shared" si="25"/>
        <v>6665329.9600000009</v>
      </c>
      <c r="AS22" s="253">
        <f t="shared" si="25"/>
        <v>5635700.3799999952</v>
      </c>
      <c r="AT22" s="253">
        <f t="shared" si="25"/>
        <v>4431936.6300000064</v>
      </c>
      <c r="AU22" s="253">
        <f t="shared" si="25"/>
        <v>4746114</v>
      </c>
      <c r="AV22" s="253">
        <f t="shared" si="25"/>
        <v>4180826.9200000018</v>
      </c>
      <c r="AW22" s="253">
        <f t="shared" si="25"/>
        <v>4027489.8299999982</v>
      </c>
      <c r="AX22" s="253">
        <f t="shared" ref="AX22:BB22" si="26">+AX9-AX20</f>
        <v>4533062.6800000034</v>
      </c>
      <c r="AY22" s="253">
        <f t="shared" si="26"/>
        <v>3801043.91</v>
      </c>
      <c r="AZ22" s="253">
        <f t="shared" si="26"/>
        <v>3786107.049999997</v>
      </c>
      <c r="BA22" s="253">
        <f t="shared" si="26"/>
        <v>6143399.8900000043</v>
      </c>
      <c r="BB22" s="715">
        <f t="shared" si="26"/>
        <v>5076111.8500000015</v>
      </c>
      <c r="BC22" s="715">
        <f t="shared" ref="BC22:BN22" si="27">+BC9-BC20</f>
        <v>12317707.819999997</v>
      </c>
      <c r="BD22" s="715">
        <f t="shared" si="27"/>
        <v>8804136.7799999975</v>
      </c>
      <c r="BE22" s="715">
        <f t="shared" si="27"/>
        <v>8680210.1800000034</v>
      </c>
      <c r="BF22" s="715">
        <f t="shared" si="27"/>
        <v>8965501.6900000013</v>
      </c>
      <c r="BG22" s="715">
        <f t="shared" si="27"/>
        <v>6652243.8500000089</v>
      </c>
      <c r="BH22" s="715">
        <f t="shared" si="27"/>
        <v>6700402.7899999991</v>
      </c>
      <c r="BI22" s="715">
        <f t="shared" si="27"/>
        <v>5672462.320000004</v>
      </c>
      <c r="BJ22" s="715">
        <f t="shared" si="27"/>
        <v>5908975.8500000015</v>
      </c>
      <c r="BK22" s="715">
        <f t="shared" si="27"/>
        <v>6509228.3999999985</v>
      </c>
      <c r="BL22" s="715">
        <f t="shared" si="27"/>
        <v>6229267.5500000007</v>
      </c>
      <c r="BM22" s="715">
        <f t="shared" si="27"/>
        <v>7186472.0600000061</v>
      </c>
      <c r="BN22" s="715">
        <f t="shared" si="27"/>
        <v>7262771.3600000106</v>
      </c>
      <c r="BO22" s="715">
        <f t="shared" ref="BO22:BZ22" si="28">+BO9-BO20</f>
        <v>11349886.680000003</v>
      </c>
      <c r="BP22" s="715">
        <f t="shared" si="28"/>
        <v>10200282.340000011</v>
      </c>
      <c r="BQ22" s="715">
        <f t="shared" si="28"/>
        <v>12037925.370000001</v>
      </c>
      <c r="BR22" s="715">
        <f t="shared" si="28"/>
        <v>8163991.8400000036</v>
      </c>
      <c r="BS22" s="715">
        <f t="shared" si="28"/>
        <v>7693234.3700000085</v>
      </c>
      <c r="BT22" s="715">
        <f t="shared" si="28"/>
        <v>8183531.370000001</v>
      </c>
      <c r="BU22" s="715">
        <f t="shared" si="28"/>
        <v>5851843.0100000054</v>
      </c>
      <c r="BV22" s="715">
        <f t="shared" si="28"/>
        <v>6193478.3300000094</v>
      </c>
      <c r="BW22" s="715">
        <f t="shared" si="28"/>
        <v>8869977.4200000092</v>
      </c>
      <c r="BX22" s="715">
        <f t="shared" si="28"/>
        <v>6854728.7099999972</v>
      </c>
      <c r="BY22" s="715">
        <f t="shared" si="28"/>
        <v>7931862.5899999924</v>
      </c>
      <c r="BZ22" s="715">
        <f t="shared" si="28"/>
        <v>7612562.5099999867</v>
      </c>
      <c r="CA22" s="715">
        <f t="shared" ref="CA22:CL22" si="29">+CA9-CA20</f>
        <v>11517599.999999978</v>
      </c>
      <c r="CB22" s="715">
        <f t="shared" si="29"/>
        <v>10587799.999999993</v>
      </c>
      <c r="CC22" s="715">
        <f t="shared" si="29"/>
        <v>12890999.999999989</v>
      </c>
      <c r="CD22" s="715">
        <f t="shared" si="29"/>
        <v>8953899.9999999925</v>
      </c>
      <c r="CE22" s="715">
        <f t="shared" si="29"/>
        <v>7356999.9999999888</v>
      </c>
      <c r="CF22" s="715">
        <f t="shared" si="29"/>
        <v>9030999.9999999888</v>
      </c>
      <c r="CG22" s="715">
        <f t="shared" si="29"/>
        <v>6539699.9999999776</v>
      </c>
      <c r="CH22" s="715">
        <f t="shared" si="29"/>
        <v>6364900.0000000075</v>
      </c>
      <c r="CI22" s="715">
        <f t="shared" si="29"/>
        <v>8362799.9999999776</v>
      </c>
      <c r="CJ22" s="715">
        <f t="shared" si="29"/>
        <v>7157300</v>
      </c>
      <c r="CK22" s="715">
        <f t="shared" si="29"/>
        <v>9316399.9999999776</v>
      </c>
      <c r="CL22" s="715">
        <f t="shared" si="29"/>
        <v>16062099.999999993</v>
      </c>
      <c r="CM22" s="1057">
        <f>+CM9-CM20</f>
        <v>114141499.99999988</v>
      </c>
      <c r="CN22" s="33"/>
      <c r="CO22" s="205"/>
      <c r="CP22" s="33"/>
    </row>
    <row r="23" spans="1:94">
      <c r="C23" s="22"/>
      <c r="D23" s="708"/>
      <c r="E23" s="709"/>
      <c r="F23" s="708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597"/>
      <c r="BC23" s="597"/>
      <c r="BD23" s="597"/>
      <c r="BE23" s="597"/>
      <c r="BF23" s="597"/>
      <c r="BG23" s="597"/>
      <c r="BH23" s="597"/>
      <c r="BI23" s="597"/>
      <c r="BJ23" s="597"/>
      <c r="BK23" s="597"/>
      <c r="BL23" s="597"/>
      <c r="BM23" s="597"/>
      <c r="BN23" s="597"/>
      <c r="BO23" s="597"/>
      <c r="BP23" s="597"/>
      <c r="BQ23" s="597"/>
      <c r="BR23" s="597"/>
      <c r="BS23" s="597"/>
      <c r="BT23" s="597"/>
      <c r="BU23" s="597"/>
      <c r="BV23" s="597"/>
      <c r="BW23" s="597"/>
      <c r="BX23" s="597"/>
      <c r="BY23" s="597"/>
      <c r="BZ23" s="597"/>
      <c r="CA23" s="597"/>
      <c r="CB23" s="597"/>
      <c r="CC23" s="597"/>
      <c r="CD23" s="597"/>
      <c r="CE23" s="597"/>
      <c r="CF23" s="597"/>
      <c r="CG23" s="597"/>
      <c r="CH23" s="597"/>
      <c r="CI23" s="597"/>
      <c r="CJ23" s="597"/>
      <c r="CK23" s="597"/>
      <c r="CL23" s="597"/>
      <c r="CM23" s="605"/>
      <c r="CO23" s="205"/>
      <c r="CP23" s="33"/>
    </row>
    <row r="24" spans="1:94">
      <c r="A24" s="13" t="s">
        <v>423</v>
      </c>
      <c r="C24" s="22"/>
      <c r="D24" s="708"/>
      <c r="E24" s="709"/>
      <c r="F24" s="708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597"/>
      <c r="BC24" s="597"/>
      <c r="BD24" s="597"/>
      <c r="BE24" s="597"/>
      <c r="BF24" s="597"/>
      <c r="BG24" s="597"/>
      <c r="BH24" s="597"/>
      <c r="BI24" s="597"/>
      <c r="BJ24" s="597"/>
      <c r="BK24" s="597"/>
      <c r="BL24" s="597"/>
      <c r="BM24" s="597"/>
      <c r="BN24" s="597"/>
      <c r="BO24" s="597"/>
      <c r="BP24" s="597"/>
      <c r="BQ24" s="597"/>
      <c r="BR24" s="597"/>
      <c r="BS24" s="597"/>
      <c r="BT24" s="597"/>
      <c r="BU24" s="597"/>
      <c r="BV24" s="597"/>
      <c r="BW24" s="597"/>
      <c r="BX24" s="597"/>
      <c r="BY24" s="597"/>
      <c r="BZ24" s="597"/>
      <c r="CA24" s="597"/>
      <c r="CB24" s="597"/>
      <c r="CC24" s="597"/>
      <c r="CD24" s="597"/>
      <c r="CE24" s="597"/>
      <c r="CF24" s="597"/>
      <c r="CG24" s="597"/>
      <c r="CH24" s="597"/>
      <c r="CI24" s="597"/>
      <c r="CJ24" s="597"/>
      <c r="CK24" s="597"/>
      <c r="CL24" s="597"/>
      <c r="CM24" s="605"/>
      <c r="CO24" s="205"/>
      <c r="CP24" s="33"/>
    </row>
    <row r="25" spans="1:94">
      <c r="A25" t="s">
        <v>424</v>
      </c>
      <c r="C25" s="22"/>
      <c r="D25" s="708">
        <f t="shared" ref="D25:D31" si="30">(+BZ25/1000)</f>
        <v>24.738840000000003</v>
      </c>
      <c r="E25" s="709"/>
      <c r="F25" s="708">
        <f ca="1">SUM(OFFSET(BO25:BZ25,0,'Bal Sheet'!$A$1))/1000</f>
        <v>0</v>
      </c>
      <c r="G25" s="355">
        <v>125</v>
      </c>
      <c r="H25" s="355">
        <v>0</v>
      </c>
      <c r="I25" s="355">
        <v>26689.71</v>
      </c>
      <c r="J25" s="355">
        <v>0</v>
      </c>
      <c r="K25" s="355">
        <v>0</v>
      </c>
      <c r="L25" s="355">
        <v>4139.9799999999996</v>
      </c>
      <c r="M25" s="355">
        <v>-764.25</v>
      </c>
      <c r="N25" s="355">
        <v>-109.83000000000001</v>
      </c>
      <c r="O25" s="355">
        <v>-44.61</v>
      </c>
      <c r="P25" s="355">
        <v>-28.42</v>
      </c>
      <c r="Q25" s="355">
        <v>-710.23</v>
      </c>
      <c r="R25" s="355">
        <v>37947</v>
      </c>
      <c r="S25" s="355">
        <v>-36.43</v>
      </c>
      <c r="T25" s="355">
        <v>14279.87</v>
      </c>
      <c r="U25" s="355">
        <v>2460.94</v>
      </c>
      <c r="V25" s="355">
        <v>22589.25</v>
      </c>
      <c r="W25" s="355">
        <v>-32.590000000000003</v>
      </c>
      <c r="X25" s="355">
        <v>3943.19</v>
      </c>
      <c r="Y25" s="355">
        <v>5781.88</v>
      </c>
      <c r="Z25" s="355">
        <v>7777.3</v>
      </c>
      <c r="AA25" s="355">
        <v>5393.89</v>
      </c>
      <c r="AB25" s="355">
        <v>-239.08</v>
      </c>
      <c r="AC25" s="355">
        <v>-218.27</v>
      </c>
      <c r="AD25" s="355">
        <v>-316.47000000000003</v>
      </c>
      <c r="AE25" s="355">
        <v>-753.97</v>
      </c>
      <c r="AF25" s="355">
        <v>3809.22</v>
      </c>
      <c r="AG25" s="355">
        <v>-115.45</v>
      </c>
      <c r="AH25" s="355">
        <v>-145.88999999999999</v>
      </c>
      <c r="AI25" s="355">
        <v>5830.38</v>
      </c>
      <c r="AJ25" s="355">
        <v>-128.44</v>
      </c>
      <c r="AK25" s="355">
        <v>-275.52</v>
      </c>
      <c r="AL25" s="355">
        <v>571.84</v>
      </c>
      <c r="AM25" s="355">
        <v>-1720.8700000000001</v>
      </c>
      <c r="AN25" s="355">
        <v>3437.29</v>
      </c>
      <c r="AO25" s="355">
        <v>-1487.86</v>
      </c>
      <c r="AP25" s="355">
        <v>1708.8</v>
      </c>
      <c r="AQ25" s="355">
        <v>-301.91999999999996</v>
      </c>
      <c r="AR25" s="355">
        <v>2913.04</v>
      </c>
      <c r="AS25" s="355">
        <v>-835.78</v>
      </c>
      <c r="AT25" s="355">
        <v>4207.41</v>
      </c>
      <c r="AU25" s="355">
        <v>-2438.1</v>
      </c>
      <c r="AV25" s="355">
        <v>3701.68</v>
      </c>
      <c r="AW25" s="355">
        <v>-627.98</v>
      </c>
      <c r="AX25" s="355">
        <v>5972.9599999999991</v>
      </c>
      <c r="AY25" s="355">
        <v>-679.6</v>
      </c>
      <c r="AZ25" s="355">
        <v>-17017.97</v>
      </c>
      <c r="BA25" s="355">
        <v>-865.59</v>
      </c>
      <c r="BB25" s="404">
        <v>-4096.22</v>
      </c>
      <c r="BC25" s="404">
        <v>-2667.96</v>
      </c>
      <c r="BD25" s="404">
        <v>-2689.41</v>
      </c>
      <c r="BE25" s="404">
        <v>-2379.44</v>
      </c>
      <c r="BF25" s="404">
        <v>6465.51</v>
      </c>
      <c r="BG25" s="404">
        <v>-592.79</v>
      </c>
      <c r="BH25" s="404">
        <v>-1644.0300000000002</v>
      </c>
      <c r="BI25" s="404">
        <v>-1331.57</v>
      </c>
      <c r="BJ25" s="404">
        <v>-1656.31</v>
      </c>
      <c r="BK25" s="404">
        <v>-2642.34</v>
      </c>
      <c r="BL25" s="404">
        <v>-1974.72</v>
      </c>
      <c r="BM25" s="404">
        <v>-3059.44</v>
      </c>
      <c r="BN25" s="404">
        <v>-2266.75</v>
      </c>
      <c r="BO25" s="584">
        <v>-1835.51</v>
      </c>
      <c r="BP25" s="584">
        <v>-1269.93</v>
      </c>
      <c r="BQ25" s="584">
        <v>-1493.8000000000002</v>
      </c>
      <c r="BR25" s="584">
        <v>-743.82999999999993</v>
      </c>
      <c r="BS25" s="584">
        <v>-377.86</v>
      </c>
      <c r="BT25" s="584">
        <v>-2596.94</v>
      </c>
      <c r="BU25" s="584">
        <v>-427.72</v>
      </c>
      <c r="BV25" s="584">
        <v>-792.49</v>
      </c>
      <c r="BW25" s="584">
        <v>-74.489999999999995</v>
      </c>
      <c r="BX25" s="584">
        <v>-1316.14</v>
      </c>
      <c r="BY25" s="584">
        <v>-3478.96</v>
      </c>
      <c r="BZ25" s="584">
        <v>24738.840000000004</v>
      </c>
      <c r="CA25" s="584">
        <f>+'[8]Income Statement Detail'!DF20*1000</f>
        <v>0</v>
      </c>
      <c r="CB25" s="584">
        <f>+'[8]Income Statement Detail'!DG20*1000</f>
        <v>0</v>
      </c>
      <c r="CC25" s="584">
        <f>+'[8]Income Statement Detail'!DH20*1000</f>
        <v>0</v>
      </c>
      <c r="CD25" s="584">
        <f>+'[8]Income Statement Detail'!DI20*1000</f>
        <v>0</v>
      </c>
      <c r="CE25" s="584">
        <f>+'[8]Income Statement Detail'!DJ20*1000</f>
        <v>0</v>
      </c>
      <c r="CF25" s="584">
        <f>+'[8]Income Statement Detail'!DK20*1000</f>
        <v>0</v>
      </c>
      <c r="CG25" s="584">
        <f>+'[8]Income Statement Detail'!DL20*1000</f>
        <v>0</v>
      </c>
      <c r="CH25" s="584">
        <f>+'[8]Income Statement Detail'!DM20*1000</f>
        <v>0</v>
      </c>
      <c r="CI25" s="584">
        <f>+'[8]Income Statement Detail'!DN20*1000</f>
        <v>0</v>
      </c>
      <c r="CJ25" s="584">
        <f>+'[8]Income Statement Detail'!DO20*1000</f>
        <v>0</v>
      </c>
      <c r="CK25" s="584">
        <f>+'[8]Income Statement Detail'!DP20*1000</f>
        <v>0</v>
      </c>
      <c r="CL25" s="584">
        <f>+'[8]Income Statement Detail'!DQ20*1000</f>
        <v>0</v>
      </c>
      <c r="CM25" s="1053">
        <f t="shared" ref="CM25:CM32" si="31">SUM(CA25:CL25)</f>
        <v>0</v>
      </c>
      <c r="CN25" s="33"/>
      <c r="CO25" s="205"/>
      <c r="CP25" s="33"/>
    </row>
    <row r="26" spans="1:94">
      <c r="A26" t="s">
        <v>425</v>
      </c>
      <c r="C26" s="22"/>
      <c r="D26" s="708">
        <f t="shared" si="30"/>
        <v>59.599089999999997</v>
      </c>
      <c r="E26" s="709"/>
      <c r="F26" s="708">
        <f ca="1">SUM(OFFSET(BO26:BZ26,0,'Bal Sheet'!$A$1))/1000</f>
        <v>289.3</v>
      </c>
      <c r="G26" s="355">
        <v>28006.81</v>
      </c>
      <c r="H26" s="355">
        <v>37984.57</v>
      </c>
      <c r="I26" s="355">
        <v>31193.17</v>
      </c>
      <c r="J26" s="355">
        <v>30066.84</v>
      </c>
      <c r="K26" s="355">
        <v>9809.65</v>
      </c>
      <c r="L26" s="355">
        <v>20994.17</v>
      </c>
      <c r="M26" s="355">
        <v>1754.21</v>
      </c>
      <c r="N26" s="355">
        <v>5124.66</v>
      </c>
      <c r="O26" s="355">
        <v>1872.7</v>
      </c>
      <c r="P26" s="355">
        <v>2250.67</v>
      </c>
      <c r="Q26" s="355">
        <v>653.58000000000004</v>
      </c>
      <c r="R26" s="355">
        <v>722.53</v>
      </c>
      <c r="S26" s="355">
        <v>5980.14</v>
      </c>
      <c r="T26" s="355">
        <v>683.95</v>
      </c>
      <c r="U26" s="355">
        <v>593.34</v>
      </c>
      <c r="V26" s="355">
        <v>1242.23</v>
      </c>
      <c r="W26" s="355">
        <v>3325.19</v>
      </c>
      <c r="X26" s="355">
        <v>823.95</v>
      </c>
      <c r="Y26" s="355">
        <v>-61.04</v>
      </c>
      <c r="Z26" s="355">
        <v>774.42</v>
      </c>
      <c r="AA26" s="355">
        <v>869.08</v>
      </c>
      <c r="AB26" s="355">
        <v>-123.42</v>
      </c>
      <c r="AC26" s="355">
        <v>859.74</v>
      </c>
      <c r="AD26" s="355">
        <v>1245.73</v>
      </c>
      <c r="AE26" s="355">
        <v>1386.14</v>
      </c>
      <c r="AF26" s="355">
        <v>1039.8</v>
      </c>
      <c r="AG26" s="355">
        <v>926.46</v>
      </c>
      <c r="AH26" s="355">
        <v>955.99</v>
      </c>
      <c r="AI26" s="355">
        <v>1150.17</v>
      </c>
      <c r="AJ26" s="355">
        <v>3577.39</v>
      </c>
      <c r="AK26" s="355">
        <v>3981.29</v>
      </c>
      <c r="AL26" s="355">
        <v>3921.99</v>
      </c>
      <c r="AM26" s="355">
        <v>3048.89</v>
      </c>
      <c r="AN26" s="355">
        <v>21.6</v>
      </c>
      <c r="AO26" s="355">
        <v>5046.87</v>
      </c>
      <c r="AP26" s="355">
        <v>1393.46</v>
      </c>
      <c r="AQ26" s="355">
        <v>5829.61</v>
      </c>
      <c r="AR26" s="355">
        <v>5336.06</v>
      </c>
      <c r="AS26" s="355">
        <v>13624.8</v>
      </c>
      <c r="AT26" s="355">
        <v>48706.879999999997</v>
      </c>
      <c r="AU26" s="355">
        <v>1187.4000000000001</v>
      </c>
      <c r="AV26" s="355">
        <v>991.75</v>
      </c>
      <c r="AW26" s="355">
        <v>897.63</v>
      </c>
      <c r="AX26" s="355">
        <v>1009.82</v>
      </c>
      <c r="AY26" s="355">
        <v>815.56</v>
      </c>
      <c r="AZ26" s="355">
        <v>749.87</v>
      </c>
      <c r="BA26" s="355">
        <v>902.24</v>
      </c>
      <c r="BB26" s="404">
        <v>992.81</v>
      </c>
      <c r="BC26" s="404">
        <v>10589.77</v>
      </c>
      <c r="BD26" s="404">
        <v>10135.75</v>
      </c>
      <c r="BE26" s="404">
        <v>9969.0400000000009</v>
      </c>
      <c r="BF26" s="404">
        <v>9850.0300000000007</v>
      </c>
      <c r="BG26" s="404">
        <v>14402.36</v>
      </c>
      <c r="BH26" s="404">
        <v>5189.09</v>
      </c>
      <c r="BI26" s="404">
        <v>3312.69</v>
      </c>
      <c r="BJ26" s="404">
        <v>3259.81</v>
      </c>
      <c r="BK26" s="404">
        <v>2984.07</v>
      </c>
      <c r="BL26" s="404">
        <v>3102.86</v>
      </c>
      <c r="BM26" s="404">
        <v>3158.87</v>
      </c>
      <c r="BN26" s="404">
        <v>3669.28</v>
      </c>
      <c r="BO26" s="584">
        <v>4131.33</v>
      </c>
      <c r="BP26" s="584">
        <v>3504.64</v>
      </c>
      <c r="BQ26" s="584">
        <v>9107.92</v>
      </c>
      <c r="BR26" s="584">
        <v>12370.84</v>
      </c>
      <c r="BS26" s="584">
        <v>14123.49</v>
      </c>
      <c r="BT26" s="584">
        <v>18412.560000000001</v>
      </c>
      <c r="BU26" s="584">
        <v>24298.01</v>
      </c>
      <c r="BV26" s="584">
        <v>36020.74</v>
      </c>
      <c r="BW26" s="584">
        <v>47039.45</v>
      </c>
      <c r="BX26" s="584">
        <v>56763.22</v>
      </c>
      <c r="BY26" s="584">
        <v>52515.59</v>
      </c>
      <c r="BZ26" s="584">
        <v>59599.09</v>
      </c>
      <c r="CA26" s="584">
        <f>+'[8]Income Statement Detail'!DF22*1000</f>
        <v>29800</v>
      </c>
      <c r="CB26" s="584">
        <f>+'[8]Income Statement Detail'!DG22*1000</f>
        <v>28100</v>
      </c>
      <c r="CC26" s="584">
        <f>+'[8]Income Statement Detail'!DH22*1000</f>
        <v>26300</v>
      </c>
      <c r="CD26" s="584">
        <f>+'[8]Income Statement Detail'!DI22*1000</f>
        <v>23600</v>
      </c>
      <c r="CE26" s="584">
        <f>+'[8]Income Statement Detail'!DJ22*1000</f>
        <v>21700</v>
      </c>
      <c r="CF26" s="584">
        <f>+'[8]Income Statement Detail'!DK22*1000</f>
        <v>20500</v>
      </c>
      <c r="CG26" s="584">
        <f>+'[8]Income Statement Detail'!DL22*1000</f>
        <v>20000</v>
      </c>
      <c r="CH26" s="584">
        <f>+'[8]Income Statement Detail'!DM22*1000</f>
        <v>20000</v>
      </c>
      <c r="CI26" s="584">
        <f>+'[8]Income Statement Detail'!DN22*1000</f>
        <v>21800</v>
      </c>
      <c r="CJ26" s="584">
        <f>+'[8]Income Statement Detail'!DO22*1000</f>
        <v>24200</v>
      </c>
      <c r="CK26" s="584">
        <f>+'[8]Income Statement Detail'!DP22*1000</f>
        <v>26200</v>
      </c>
      <c r="CL26" s="584">
        <f>+'[8]Income Statement Detail'!DQ22*1000</f>
        <v>27100</v>
      </c>
      <c r="CM26" s="1053">
        <f t="shared" si="31"/>
        <v>289300</v>
      </c>
      <c r="CN26" s="33"/>
      <c r="CO26" s="205"/>
      <c r="CP26" s="33"/>
    </row>
    <row r="27" spans="1:94">
      <c r="A27" t="s">
        <v>426</v>
      </c>
      <c r="C27" s="22"/>
      <c r="D27" s="708">
        <f t="shared" si="30"/>
        <v>43.992419999999996</v>
      </c>
      <c r="E27" s="709"/>
      <c r="F27" s="708">
        <f ca="1">SUM(OFFSET(BO27:BZ27,0,'Bal Sheet'!$A$1))/1000</f>
        <v>495.6</v>
      </c>
      <c r="G27" s="355">
        <v>180045.13</v>
      </c>
      <c r="H27" s="355">
        <v>179957.13</v>
      </c>
      <c r="I27" s="355">
        <v>180174.23</v>
      </c>
      <c r="J27" s="355">
        <v>178584.13</v>
      </c>
      <c r="K27" s="355">
        <v>182218.13</v>
      </c>
      <c r="L27" s="355">
        <v>180676.13</v>
      </c>
      <c r="M27" s="355">
        <v>180862.13</v>
      </c>
      <c r="N27" s="355">
        <v>180994.13</v>
      </c>
      <c r="O27" s="355">
        <v>181050.13</v>
      </c>
      <c r="P27" s="355">
        <v>182665.96</v>
      </c>
      <c r="Q27" s="355">
        <v>186445.30000000002</v>
      </c>
      <c r="R27" s="355">
        <v>188288.13</v>
      </c>
      <c r="S27" s="355">
        <v>192933.99</v>
      </c>
      <c r="T27" s="355">
        <v>184973.23</v>
      </c>
      <c r="U27" s="355">
        <v>183278.47</v>
      </c>
      <c r="V27" s="355">
        <v>146758.51</v>
      </c>
      <c r="W27" s="355">
        <v>186318.64</v>
      </c>
      <c r="X27" s="355">
        <v>187862.47</v>
      </c>
      <c r="Y27" s="355">
        <v>189045.01</v>
      </c>
      <c r="Z27" s="355">
        <v>189231.06</v>
      </c>
      <c r="AA27" s="355">
        <v>196559.79</v>
      </c>
      <c r="AB27" s="355">
        <v>168325.95</v>
      </c>
      <c r="AC27" s="355">
        <v>193437.05000000002</v>
      </c>
      <c r="AD27" s="355">
        <v>180454.45</v>
      </c>
      <c r="AE27" s="355">
        <v>203266.58000000002</v>
      </c>
      <c r="AF27" s="355">
        <v>191020.30000000002</v>
      </c>
      <c r="AG27" s="355">
        <v>190023.93</v>
      </c>
      <c r="AH27" s="355">
        <v>191603.24</v>
      </c>
      <c r="AI27" s="355">
        <v>187239.5</v>
      </c>
      <c r="AJ27" s="355">
        <v>178349.92</v>
      </c>
      <c r="AK27" s="355">
        <v>195529.44</v>
      </c>
      <c r="AL27" s="355">
        <v>185547.74</v>
      </c>
      <c r="AM27" s="355">
        <v>189945.67</v>
      </c>
      <c r="AN27" s="355">
        <v>187425.12</v>
      </c>
      <c r="AO27" s="355">
        <v>187395.55000000002</v>
      </c>
      <c r="AP27" s="355">
        <v>186911.71</v>
      </c>
      <c r="AQ27" s="355">
        <v>183357.87</v>
      </c>
      <c r="AR27" s="355">
        <v>183381.67</v>
      </c>
      <c r="AS27" s="355">
        <v>187085.45</v>
      </c>
      <c r="AT27" s="355">
        <v>173926.1</v>
      </c>
      <c r="AU27" s="355">
        <v>134598.43</v>
      </c>
      <c r="AV27" s="355">
        <v>157662.21</v>
      </c>
      <c r="AW27" s="355">
        <v>21062.63</v>
      </c>
      <c r="AX27" s="355">
        <v>13641.89</v>
      </c>
      <c r="AY27" s="355">
        <v>852.55</v>
      </c>
      <c r="AZ27" s="355">
        <v>2386.31</v>
      </c>
      <c r="BA27" s="355">
        <v>-1094.53</v>
      </c>
      <c r="BB27" s="404">
        <v>395.97</v>
      </c>
      <c r="BC27" s="404">
        <v>999.71</v>
      </c>
      <c r="BD27" s="404">
        <v>-805.71</v>
      </c>
      <c r="BE27" s="404">
        <v>64.64</v>
      </c>
      <c r="BF27" s="404">
        <v>4013.08</v>
      </c>
      <c r="BG27" s="404">
        <v>7</v>
      </c>
      <c r="BH27" s="404">
        <v>2693.33</v>
      </c>
      <c r="BI27" s="404">
        <v>-2444.14</v>
      </c>
      <c r="BJ27" s="404">
        <v>113.74</v>
      </c>
      <c r="BK27" s="404">
        <v>1434.45</v>
      </c>
      <c r="BL27" s="404">
        <v>-1436.19</v>
      </c>
      <c r="BM27" s="404">
        <v>3539.36</v>
      </c>
      <c r="BN27" s="404">
        <v>-1551.62</v>
      </c>
      <c r="BO27" s="584">
        <v>2608.79</v>
      </c>
      <c r="BP27" s="584">
        <v>-948.79</v>
      </c>
      <c r="BQ27" s="584">
        <v>731</v>
      </c>
      <c r="BR27" s="584">
        <v>15940.24</v>
      </c>
      <c r="BS27" s="584">
        <v>10116.08</v>
      </c>
      <c r="BT27" s="584">
        <v>16299.65</v>
      </c>
      <c r="BU27" s="584">
        <v>11634.71</v>
      </c>
      <c r="BV27" s="584">
        <v>49008.39</v>
      </c>
      <c r="BW27" s="584">
        <v>57692.79</v>
      </c>
      <c r="BX27" s="584">
        <v>42199.27</v>
      </c>
      <c r="BY27" s="584">
        <v>47313.86</v>
      </c>
      <c r="BZ27" s="584">
        <v>43992.42</v>
      </c>
      <c r="CA27" s="584">
        <f>+'[8]Income Statement Detail'!DF23*1000</f>
        <v>41300</v>
      </c>
      <c r="CB27" s="584">
        <f>+'[8]Income Statement Detail'!DG23*1000</f>
        <v>41300</v>
      </c>
      <c r="CC27" s="584">
        <f>+'[8]Income Statement Detail'!DH23*1000</f>
        <v>41300</v>
      </c>
      <c r="CD27" s="584">
        <f>+'[8]Income Statement Detail'!DI23*1000</f>
        <v>41300</v>
      </c>
      <c r="CE27" s="584">
        <f>+'[8]Income Statement Detail'!DJ23*1000</f>
        <v>41300</v>
      </c>
      <c r="CF27" s="584">
        <f>+'[8]Income Statement Detail'!DK23*1000</f>
        <v>41300</v>
      </c>
      <c r="CG27" s="584">
        <f>+'[8]Income Statement Detail'!DL23*1000</f>
        <v>41300</v>
      </c>
      <c r="CH27" s="584">
        <f>+'[8]Income Statement Detail'!DM23*1000</f>
        <v>41300</v>
      </c>
      <c r="CI27" s="584">
        <f>+'[8]Income Statement Detail'!DN23*1000</f>
        <v>41300</v>
      </c>
      <c r="CJ27" s="584">
        <f>+'[8]Income Statement Detail'!DO23*1000</f>
        <v>41300</v>
      </c>
      <c r="CK27" s="584">
        <f>+'[8]Income Statement Detail'!DP23*1000</f>
        <v>41300</v>
      </c>
      <c r="CL27" s="584">
        <f>+'[8]Income Statement Detail'!DQ23*1000</f>
        <v>41300</v>
      </c>
      <c r="CM27" s="1053">
        <f t="shared" si="31"/>
        <v>495600</v>
      </c>
      <c r="CN27" s="33"/>
      <c r="CO27" s="205"/>
      <c r="CP27" s="33"/>
    </row>
    <row r="28" spans="1:94">
      <c r="A28" s="953" t="s">
        <v>427</v>
      </c>
      <c r="C28" s="22"/>
      <c r="D28" s="708">
        <f t="shared" si="30"/>
        <v>13.128950000000001</v>
      </c>
      <c r="E28" s="709"/>
      <c r="F28" s="708">
        <f ca="1">SUM(OFFSET(BO28:BZ28,0,'Bal Sheet'!$A$1))/1000</f>
        <v>3864.7</v>
      </c>
      <c r="G28" s="355">
        <v>353932.4</v>
      </c>
      <c r="H28" s="355">
        <v>308136.26</v>
      </c>
      <c r="I28" s="355">
        <v>287169.15000000002</v>
      </c>
      <c r="J28" s="355">
        <v>146968.54999999999</v>
      </c>
      <c r="K28" s="355">
        <v>331963.59000000003</v>
      </c>
      <c r="L28" s="355">
        <v>-153361.17000000001</v>
      </c>
      <c r="M28" s="355">
        <v>293256.39</v>
      </c>
      <c r="N28" s="355">
        <v>142790.04999999999</v>
      </c>
      <c r="O28" s="355">
        <v>297970.53000000003</v>
      </c>
      <c r="P28" s="355">
        <v>245610.76</v>
      </c>
      <c r="Q28" s="355">
        <v>341556.85</v>
      </c>
      <c r="R28" s="355">
        <v>549068.92000000004</v>
      </c>
      <c r="S28" s="355">
        <v>427265.75</v>
      </c>
      <c r="T28" s="355">
        <v>414555.12</v>
      </c>
      <c r="U28" s="355">
        <v>112602.5</v>
      </c>
      <c r="V28" s="355">
        <v>506278.72</v>
      </c>
      <c r="W28" s="355">
        <v>262049.55</v>
      </c>
      <c r="X28" s="355">
        <v>222660.19</v>
      </c>
      <c r="Y28" s="355">
        <v>289543.83</v>
      </c>
      <c r="Z28" s="355">
        <v>189620.79</v>
      </c>
      <c r="AA28" s="355">
        <v>174472.46</v>
      </c>
      <c r="AB28" s="355">
        <v>253677.03</v>
      </c>
      <c r="AC28" s="355">
        <v>242731.81</v>
      </c>
      <c r="AD28" s="355">
        <v>417337.17</v>
      </c>
      <c r="AE28" s="355">
        <v>256648.59</v>
      </c>
      <c r="AF28" s="355">
        <v>285523.38</v>
      </c>
      <c r="AG28" s="355">
        <v>461128.74</v>
      </c>
      <c r="AH28" s="355">
        <v>417107.02</v>
      </c>
      <c r="AI28" s="355">
        <v>323818.81</v>
      </c>
      <c r="AJ28" s="355">
        <v>234534.32</v>
      </c>
      <c r="AK28" s="355">
        <v>338930.12</v>
      </c>
      <c r="AL28" s="355">
        <v>459463.36</v>
      </c>
      <c r="AM28" s="355">
        <v>219164.33</v>
      </c>
      <c r="AN28" s="355">
        <v>197590.86</v>
      </c>
      <c r="AO28" s="355">
        <v>194188.46</v>
      </c>
      <c r="AP28" s="355">
        <v>228792.44</v>
      </c>
      <c r="AQ28" s="355">
        <v>126272.64</v>
      </c>
      <c r="AR28" s="355">
        <v>424898.82</v>
      </c>
      <c r="AS28" s="355">
        <v>93899.42</v>
      </c>
      <c r="AT28" s="355">
        <v>334447.24</v>
      </c>
      <c r="AU28" s="355">
        <v>410336.04</v>
      </c>
      <c r="AV28" s="355">
        <v>224341.44</v>
      </c>
      <c r="AW28" s="355">
        <v>188439.92</v>
      </c>
      <c r="AX28" s="355">
        <v>311341.21000000002</v>
      </c>
      <c r="AY28" s="355">
        <v>239230.3</v>
      </c>
      <c r="AZ28" s="355">
        <v>350793.42</v>
      </c>
      <c r="BA28" s="355">
        <v>209032.59</v>
      </c>
      <c r="BB28" s="404">
        <v>367048.31</v>
      </c>
      <c r="BC28" s="404">
        <v>334134.96999999997</v>
      </c>
      <c r="BD28" s="404">
        <v>387862.25</v>
      </c>
      <c r="BE28" s="404">
        <v>275361.32</v>
      </c>
      <c r="BF28" s="404">
        <v>331471.51</v>
      </c>
      <c r="BG28" s="404">
        <v>390513.08</v>
      </c>
      <c r="BH28" s="404">
        <v>271490.58</v>
      </c>
      <c r="BI28" s="404">
        <v>274120.75</v>
      </c>
      <c r="BJ28" s="404">
        <v>337068.29</v>
      </c>
      <c r="BK28" s="404">
        <v>295827.65000000002</v>
      </c>
      <c r="BL28" s="404">
        <v>313747.78000000003</v>
      </c>
      <c r="BM28" s="404">
        <v>273112.37</v>
      </c>
      <c r="BN28" s="404">
        <v>159444.92000000001</v>
      </c>
      <c r="BO28" s="584">
        <v>144996.4</v>
      </c>
      <c r="BP28" s="584">
        <v>253318.71</v>
      </c>
      <c r="BQ28" s="584">
        <v>473623.69</v>
      </c>
      <c r="BR28" s="584">
        <v>257376.17</v>
      </c>
      <c r="BS28" s="584">
        <v>276005.40999999997</v>
      </c>
      <c r="BT28" s="584">
        <v>222974.37</v>
      </c>
      <c r="BU28" s="584">
        <v>436612.73</v>
      </c>
      <c r="BV28" s="584">
        <v>287987.53999999998</v>
      </c>
      <c r="BW28" s="584">
        <v>337555.77</v>
      </c>
      <c r="BX28" s="584">
        <v>251499.69</v>
      </c>
      <c r="BY28" s="584">
        <v>300104.23</v>
      </c>
      <c r="BZ28" s="584">
        <v>13128.95</v>
      </c>
      <c r="CA28" s="584">
        <f>+'[8]Income Statement Detail'!DF21*1000</f>
        <v>178700</v>
      </c>
      <c r="CB28" s="584">
        <f>+'[8]Income Statement Detail'!DG21*1000</f>
        <v>282500</v>
      </c>
      <c r="CC28" s="584">
        <f>+'[8]Income Statement Detail'!DH21*1000</f>
        <v>222700</v>
      </c>
      <c r="CD28" s="584">
        <f>+'[8]Income Statement Detail'!DI21*1000</f>
        <v>351600</v>
      </c>
      <c r="CE28" s="584">
        <f>+'[8]Income Statement Detail'!DJ21*1000</f>
        <v>310000</v>
      </c>
      <c r="CF28" s="584">
        <f>+'[8]Income Statement Detail'!DK21*1000</f>
        <v>309500</v>
      </c>
      <c r="CG28" s="584">
        <f>+'[8]Income Statement Detail'!DL21*1000</f>
        <v>336300</v>
      </c>
      <c r="CH28" s="584">
        <f>+'[8]Income Statement Detail'!DM21*1000</f>
        <v>306000</v>
      </c>
      <c r="CI28" s="584">
        <f>+'[8]Income Statement Detail'!DN21*1000</f>
        <v>324200</v>
      </c>
      <c r="CJ28" s="584">
        <f>+'[8]Income Statement Detail'!DO21*1000</f>
        <v>321600</v>
      </c>
      <c r="CK28" s="584">
        <f>+'[8]Income Statement Detail'!DP21*1000</f>
        <v>355000</v>
      </c>
      <c r="CL28" s="584">
        <f>+'[8]Income Statement Detail'!DQ21*1000</f>
        <v>566600</v>
      </c>
      <c r="CM28" s="1053">
        <f t="shared" si="31"/>
        <v>3864700</v>
      </c>
      <c r="CN28" s="33"/>
      <c r="CO28" s="205"/>
      <c r="CP28" s="33"/>
    </row>
    <row r="29" spans="1:94">
      <c r="A29" s="953" t="s">
        <v>428</v>
      </c>
      <c r="C29" s="22"/>
      <c r="D29" s="708">
        <f t="shared" si="30"/>
        <v>53.175150000000002</v>
      </c>
      <c r="E29" s="709"/>
      <c r="F29" s="708">
        <f ca="1">SUM(OFFSET(BO29:BZ29,0,'Bal Sheet'!$A$1))/1000</f>
        <v>609.29999999999995</v>
      </c>
      <c r="G29" s="954">
        <v>-13338.130000000001</v>
      </c>
      <c r="H29" s="954">
        <v>19634.73</v>
      </c>
      <c r="I29" s="954">
        <v>8130.51</v>
      </c>
      <c r="J29" s="954">
        <v>29685.57</v>
      </c>
      <c r="K29" s="954">
        <v>15256.43</v>
      </c>
      <c r="L29" s="954">
        <v>14519.84</v>
      </c>
      <c r="M29" s="954">
        <v>53262.97</v>
      </c>
      <c r="N29" s="954">
        <v>24941.200000000001</v>
      </c>
      <c r="O29" s="954">
        <v>40323.160000000003</v>
      </c>
      <c r="P29" s="954">
        <v>22215.79</v>
      </c>
      <c r="Q29" s="954">
        <v>18851.760000000002</v>
      </c>
      <c r="R29" s="954">
        <v>33791.69</v>
      </c>
      <c r="S29" s="954">
        <v>13998.8</v>
      </c>
      <c r="T29" s="954">
        <v>78467.87</v>
      </c>
      <c r="U29" s="954">
        <v>20647.62</v>
      </c>
      <c r="V29" s="954">
        <v>56162.89</v>
      </c>
      <c r="W29" s="954">
        <v>32400.39</v>
      </c>
      <c r="X29" s="954">
        <v>13366.28</v>
      </c>
      <c r="Y29" s="954">
        <v>11097.45</v>
      </c>
      <c r="Z29" s="954">
        <v>27895.66</v>
      </c>
      <c r="AA29" s="954">
        <v>16658.64</v>
      </c>
      <c r="AB29" s="954">
        <v>73888.91</v>
      </c>
      <c r="AC29" s="954">
        <v>66279.03</v>
      </c>
      <c r="AD29" s="954">
        <v>37869.08</v>
      </c>
      <c r="AE29" s="954">
        <v>41193.14</v>
      </c>
      <c r="AF29" s="954">
        <v>25602.32</v>
      </c>
      <c r="AG29" s="954">
        <v>89218.47</v>
      </c>
      <c r="AH29" s="954">
        <v>28832.25</v>
      </c>
      <c r="AI29" s="954">
        <v>35379.17</v>
      </c>
      <c r="AJ29" s="954">
        <v>11174.1</v>
      </c>
      <c r="AK29" s="954">
        <v>14974.75</v>
      </c>
      <c r="AL29" s="954">
        <v>23220.42</v>
      </c>
      <c r="AM29" s="954">
        <v>77385.62000000001</v>
      </c>
      <c r="AN29" s="954">
        <v>19285.489999999998</v>
      </c>
      <c r="AO29" s="954">
        <v>41741.03</v>
      </c>
      <c r="AP29" s="954">
        <v>66190.570000000007</v>
      </c>
      <c r="AQ29" s="954">
        <v>11055.41</v>
      </c>
      <c r="AR29" s="954">
        <v>114461.26999999999</v>
      </c>
      <c r="AS29" s="954">
        <v>43439.23</v>
      </c>
      <c r="AT29" s="954">
        <v>113507.68</v>
      </c>
      <c r="AU29" s="954">
        <v>41371.550000000003</v>
      </c>
      <c r="AV29" s="954">
        <v>66857.179999999993</v>
      </c>
      <c r="AW29" s="954">
        <v>14575.52</v>
      </c>
      <c r="AX29" s="954">
        <v>26196.880000000001</v>
      </c>
      <c r="AY29" s="954">
        <v>9238.27</v>
      </c>
      <c r="AZ29" s="954">
        <v>47371.97</v>
      </c>
      <c r="BA29" s="954">
        <v>26350.89</v>
      </c>
      <c r="BB29" s="411">
        <v>80786.37</v>
      </c>
      <c r="BC29" s="411">
        <v>49957.54</v>
      </c>
      <c r="BD29" s="411">
        <v>61239.79</v>
      </c>
      <c r="BE29" s="411">
        <v>41263.420000000006</v>
      </c>
      <c r="BF29" s="411">
        <v>37604.119999999995</v>
      </c>
      <c r="BG29" s="411">
        <v>23143.49</v>
      </c>
      <c r="BH29" s="411">
        <v>40925.760000000002</v>
      </c>
      <c r="BI29" s="411">
        <v>32993.35</v>
      </c>
      <c r="BJ29" s="411">
        <v>33921.519999999997</v>
      </c>
      <c r="BK29" s="411">
        <v>93251.18</v>
      </c>
      <c r="BL29" s="411">
        <v>40916.58</v>
      </c>
      <c r="BM29" s="411">
        <v>33123.35</v>
      </c>
      <c r="BN29" s="411">
        <v>100632.34999999999</v>
      </c>
      <c r="BO29" s="594">
        <v>97357.119999999995</v>
      </c>
      <c r="BP29" s="594">
        <v>17359.57</v>
      </c>
      <c r="BQ29" s="594">
        <v>59151.110000000008</v>
      </c>
      <c r="BR29" s="594">
        <v>119240.51</v>
      </c>
      <c r="BS29" s="594">
        <v>61144.740000000005</v>
      </c>
      <c r="BT29" s="594">
        <v>130716.01</v>
      </c>
      <c r="BU29" s="594">
        <v>34948.160000000003</v>
      </c>
      <c r="BV29" s="594">
        <v>27179.95</v>
      </c>
      <c r="BW29" s="594">
        <v>32286.780000000002</v>
      </c>
      <c r="BX29" s="594">
        <v>74480.399999999994</v>
      </c>
      <c r="BY29" s="594">
        <v>66119.360000000001</v>
      </c>
      <c r="BZ29" s="594">
        <v>53175.15</v>
      </c>
      <c r="CA29" s="594">
        <f>(-'[8]Income Statement Detail'!DF24-'[8]Income Statement Detail'!DF25)*1000+CA67</f>
        <v>82200</v>
      </c>
      <c r="CB29" s="594">
        <f>(-'[8]Income Statement Detail'!DG24-'[8]Income Statement Detail'!DG25)*1000+CB67</f>
        <v>25100</v>
      </c>
      <c r="CC29" s="594">
        <f>(-'[8]Income Statement Detail'!DH24-'[8]Income Statement Detail'!DH25)*1000+CC67</f>
        <v>52100</v>
      </c>
      <c r="CD29" s="594">
        <f>(-'[8]Income Statement Detail'!DI24-'[8]Income Statement Detail'!DI25)*1000+CD67</f>
        <v>72100</v>
      </c>
      <c r="CE29" s="594">
        <f>(-'[8]Income Statement Detail'!DJ24-'[8]Income Statement Detail'!DJ25)*1000+CE67</f>
        <v>59100</v>
      </c>
      <c r="CF29" s="594">
        <f>(-'[8]Income Statement Detail'!DK24-'[8]Income Statement Detail'!DK25)*1000+CF67</f>
        <v>52100</v>
      </c>
      <c r="CG29" s="594">
        <f>(-'[8]Income Statement Detail'!DL24-'[8]Income Statement Detail'!DL25)*1000+CG67</f>
        <v>20100</v>
      </c>
      <c r="CH29" s="594">
        <f>(-'[8]Income Statement Detail'!DM24-'[8]Income Statement Detail'!DM25)*1000+CH67</f>
        <v>47100</v>
      </c>
      <c r="CI29" s="594">
        <f>(-'[8]Income Statement Detail'!DN24-'[8]Income Statement Detail'!DN25)*1000+CI67</f>
        <v>52100</v>
      </c>
      <c r="CJ29" s="594">
        <f>(-'[8]Income Statement Detail'!DO24-'[8]Income Statement Detail'!DO25)*1000+CJ67</f>
        <v>18100</v>
      </c>
      <c r="CK29" s="594">
        <f>(-'[8]Income Statement Detail'!DP24-'[8]Income Statement Detail'!DP25)*1000+CK67</f>
        <v>47100</v>
      </c>
      <c r="CL29" s="594">
        <f>(-'[8]Income Statement Detail'!DQ24-'[8]Income Statement Detail'!DQ25)*1000+CL67</f>
        <v>82100</v>
      </c>
      <c r="CM29" s="605">
        <f t="shared" si="31"/>
        <v>609300</v>
      </c>
      <c r="CN29" s="33"/>
      <c r="CO29" s="205"/>
      <c r="CP29" s="33"/>
    </row>
    <row r="30" spans="1:94">
      <c r="A30" s="953" t="s">
        <v>429</v>
      </c>
      <c r="C30" s="22"/>
      <c r="D30" s="708">
        <f t="shared" si="30"/>
        <v>265.76827000000003</v>
      </c>
      <c r="E30" s="709"/>
      <c r="F30" s="708">
        <f ca="1">SUM(OFFSET(BO30:BZ30,0,'Bal Sheet'!$A$1))/1000</f>
        <v>4547</v>
      </c>
      <c r="G30" s="954">
        <v>0</v>
      </c>
      <c r="H30" s="954">
        <v>0</v>
      </c>
      <c r="I30" s="954">
        <v>0</v>
      </c>
      <c r="J30" s="954">
        <v>0</v>
      </c>
      <c r="K30" s="954">
        <v>0</v>
      </c>
      <c r="L30" s="954">
        <v>0</v>
      </c>
      <c r="M30" s="954">
        <v>0</v>
      </c>
      <c r="N30" s="954">
        <v>0</v>
      </c>
      <c r="O30" s="954">
        <v>0</v>
      </c>
      <c r="P30" s="954">
        <v>0</v>
      </c>
      <c r="Q30" s="954">
        <v>0</v>
      </c>
      <c r="R30" s="954">
        <v>0</v>
      </c>
      <c r="S30" s="954">
        <v>0</v>
      </c>
      <c r="T30" s="954">
        <v>0</v>
      </c>
      <c r="U30" s="954">
        <v>0</v>
      </c>
      <c r="V30" s="954">
        <v>0</v>
      </c>
      <c r="W30" s="954">
        <v>0</v>
      </c>
      <c r="X30" s="954">
        <v>0</v>
      </c>
      <c r="Y30" s="954">
        <v>0</v>
      </c>
      <c r="Z30" s="954">
        <v>0</v>
      </c>
      <c r="AA30" s="954">
        <v>0</v>
      </c>
      <c r="AB30" s="954">
        <v>0</v>
      </c>
      <c r="AC30" s="954">
        <v>0</v>
      </c>
      <c r="AD30" s="954">
        <v>0</v>
      </c>
      <c r="AE30" s="954">
        <v>0</v>
      </c>
      <c r="AF30" s="954">
        <v>0</v>
      </c>
      <c r="AG30" s="954">
        <v>0</v>
      </c>
      <c r="AH30" s="954">
        <v>0</v>
      </c>
      <c r="AI30" s="954">
        <v>0</v>
      </c>
      <c r="AJ30" s="954">
        <v>0</v>
      </c>
      <c r="AK30" s="954">
        <v>0</v>
      </c>
      <c r="AL30" s="954">
        <v>135260.79</v>
      </c>
      <c r="AM30" s="954">
        <v>88143.23</v>
      </c>
      <c r="AN30" s="954">
        <v>69984.350000000006</v>
      </c>
      <c r="AO30" s="954">
        <v>78293.710000000006</v>
      </c>
      <c r="AP30" s="954">
        <v>98731.87</v>
      </c>
      <c r="AQ30" s="954">
        <v>128109.59</v>
      </c>
      <c r="AR30" s="954">
        <v>160068.20000000001</v>
      </c>
      <c r="AS30" s="954">
        <v>187039.09</v>
      </c>
      <c r="AT30" s="954">
        <v>212810.96</v>
      </c>
      <c r="AU30" s="954">
        <v>258036.43</v>
      </c>
      <c r="AV30" s="954">
        <v>295038.21000000002</v>
      </c>
      <c r="AW30" s="954">
        <v>317432.21000000002</v>
      </c>
      <c r="AX30" s="954">
        <v>354208</v>
      </c>
      <c r="AY30" s="954">
        <v>396170.73</v>
      </c>
      <c r="AZ30" s="954">
        <v>313400.96999999997</v>
      </c>
      <c r="BA30" s="954">
        <v>231389.87</v>
      </c>
      <c r="BB30" s="411">
        <v>267899.33</v>
      </c>
      <c r="BC30" s="411">
        <v>304757.78999999998</v>
      </c>
      <c r="BD30" s="411">
        <v>370593.85</v>
      </c>
      <c r="BE30" s="404">
        <v>389947.17</v>
      </c>
      <c r="BF30" s="404">
        <v>326242.06</v>
      </c>
      <c r="BG30" s="404">
        <v>221915.58</v>
      </c>
      <c r="BH30" s="404">
        <v>230325.17</v>
      </c>
      <c r="BI30" s="404">
        <v>249458.15</v>
      </c>
      <c r="BJ30" s="404">
        <v>280763.06</v>
      </c>
      <c r="BK30" s="404">
        <v>307772.68</v>
      </c>
      <c r="BL30" s="404">
        <v>330307.34000000003</v>
      </c>
      <c r="BM30" s="404">
        <v>118962.32</v>
      </c>
      <c r="BN30" s="404">
        <v>163717.22</v>
      </c>
      <c r="BO30" s="584">
        <v>180627.20000000001</v>
      </c>
      <c r="BP30" s="584">
        <v>197146.68</v>
      </c>
      <c r="BQ30" s="584">
        <v>214283.86</v>
      </c>
      <c r="BR30" s="584">
        <v>235931.8</v>
      </c>
      <c r="BS30" s="584">
        <v>260884.35</v>
      </c>
      <c r="BT30" s="584">
        <v>291434.89</v>
      </c>
      <c r="BU30" s="584">
        <v>325385.08</v>
      </c>
      <c r="BV30" s="584">
        <v>349541.75</v>
      </c>
      <c r="BW30" s="584">
        <v>370307.86</v>
      </c>
      <c r="BX30" s="584">
        <v>167646.16</v>
      </c>
      <c r="BY30" s="584">
        <v>245397.82</v>
      </c>
      <c r="BZ30" s="584">
        <v>265768.27</v>
      </c>
      <c r="CA30" s="584">
        <f>+'[8]Income Statement Detail'!DF26*1000</f>
        <v>331100</v>
      </c>
      <c r="CB30" s="584">
        <f>+'[8]Income Statement Detail'!DG26*1000</f>
        <v>337500</v>
      </c>
      <c r="CC30" s="584">
        <f>+'[8]Income Statement Detail'!DH26*1000</f>
        <v>356600</v>
      </c>
      <c r="CD30" s="584">
        <f>+'[8]Income Statement Detail'!DI26*1000</f>
        <v>425800</v>
      </c>
      <c r="CE30" s="584">
        <f>+'[8]Income Statement Detail'!DJ26*1000</f>
        <v>409400</v>
      </c>
      <c r="CF30" s="584">
        <f>+'[8]Income Statement Detail'!DK26*1000</f>
        <v>353400</v>
      </c>
      <c r="CG30" s="584">
        <f>+'[8]Income Statement Detail'!DL26*1000</f>
        <v>384200</v>
      </c>
      <c r="CH30" s="584">
        <f>+'[8]Income Statement Detail'!DM26*1000</f>
        <v>417500</v>
      </c>
      <c r="CI30" s="584">
        <f>+'[8]Income Statement Detail'!DN26*1000</f>
        <v>449300</v>
      </c>
      <c r="CJ30" s="584">
        <f>+'[8]Income Statement Detail'!DO26*1000</f>
        <v>476900</v>
      </c>
      <c r="CK30" s="584">
        <f>+'[8]Income Statement Detail'!DP26*1000</f>
        <v>363000</v>
      </c>
      <c r="CL30" s="584">
        <f>+'[8]Income Statement Detail'!DQ26*1000</f>
        <v>242300</v>
      </c>
      <c r="CM30" s="605">
        <f t="shared" si="31"/>
        <v>4547000</v>
      </c>
      <c r="CN30" s="33"/>
      <c r="CO30" s="205"/>
      <c r="CP30" s="33"/>
    </row>
    <row r="31" spans="1:94">
      <c r="A31" s="375" t="s">
        <v>430</v>
      </c>
      <c r="C31" s="22"/>
      <c r="D31" s="708">
        <f t="shared" si="30"/>
        <v>-751.25300000000004</v>
      </c>
      <c r="E31" s="709"/>
      <c r="F31" s="708">
        <f ca="1">SUM(OFFSET(BO31:BZ31,0,'Bal Sheet'!$A$1))/1000</f>
        <v>-87.3</v>
      </c>
      <c r="G31" s="356">
        <v>108287.96</v>
      </c>
      <c r="H31" s="356">
        <v>77885.19</v>
      </c>
      <c r="I31" s="356">
        <v>-82968.27</v>
      </c>
      <c r="J31" s="356">
        <v>71306.460000000006</v>
      </c>
      <c r="K31" s="356">
        <v>69687.77</v>
      </c>
      <c r="L31" s="356">
        <v>-197242.61</v>
      </c>
      <c r="M31" s="356">
        <v>58077.54</v>
      </c>
      <c r="N31" s="356">
        <v>62267.25</v>
      </c>
      <c r="O31" s="356">
        <v>-158640.4</v>
      </c>
      <c r="P31" s="356">
        <v>64185.54</v>
      </c>
      <c r="Q31" s="356">
        <v>65028.5</v>
      </c>
      <c r="R31" s="356">
        <v>-132944.51999999999</v>
      </c>
      <c r="S31" s="356">
        <v>47044.19</v>
      </c>
      <c r="T31" s="356">
        <v>47958.5</v>
      </c>
      <c r="U31" s="356">
        <v>-72836.14</v>
      </c>
      <c r="V31" s="356">
        <v>25831.03</v>
      </c>
      <c r="W31" s="356">
        <v>40255.230000000003</v>
      </c>
      <c r="X31" s="356">
        <v>-82719.839999999997</v>
      </c>
      <c r="Y31" s="356">
        <v>45225.96</v>
      </c>
      <c r="Z31" s="356">
        <v>41191.99</v>
      </c>
      <c r="AA31" s="356">
        <v>-97983.62</v>
      </c>
      <c r="AB31" s="356">
        <v>31369.27</v>
      </c>
      <c r="AC31" s="356">
        <v>32532.19</v>
      </c>
      <c r="AD31" s="356">
        <v>-136153.24</v>
      </c>
      <c r="AE31" s="356">
        <v>41463.75</v>
      </c>
      <c r="AF31" s="356">
        <v>43404.83</v>
      </c>
      <c r="AG31" s="356">
        <v>-37189.61</v>
      </c>
      <c r="AH31" s="356">
        <v>44384.56</v>
      </c>
      <c r="AI31" s="356">
        <v>38837.67</v>
      </c>
      <c r="AJ31" s="356">
        <v>-82483.349999999991</v>
      </c>
      <c r="AK31" s="356">
        <v>47574.159999999996</v>
      </c>
      <c r="AL31" s="356">
        <v>76939.41</v>
      </c>
      <c r="AM31" s="356">
        <v>-85876.32</v>
      </c>
      <c r="AN31" s="356">
        <v>59840.92</v>
      </c>
      <c r="AO31" s="356">
        <v>57126.34</v>
      </c>
      <c r="AP31" s="356">
        <v>-129170.98999999999</v>
      </c>
      <c r="AQ31" s="356">
        <v>74900.95</v>
      </c>
      <c r="AR31" s="356">
        <v>67533.11</v>
      </c>
      <c r="AS31" s="356">
        <v>-83639</v>
      </c>
      <c r="AT31" s="356">
        <v>80390.73</v>
      </c>
      <c r="AU31" s="356">
        <v>87099.11</v>
      </c>
      <c r="AV31" s="356">
        <v>94208.05</v>
      </c>
      <c r="AW31" s="356">
        <v>80852.38</v>
      </c>
      <c r="AX31" s="356">
        <v>87255.46</v>
      </c>
      <c r="AY31" s="356">
        <v>-317165.2</v>
      </c>
      <c r="AZ31" s="356">
        <v>67378.92</v>
      </c>
      <c r="BA31" s="356">
        <v>50946.69</v>
      </c>
      <c r="BB31" s="413">
        <v>-410525.51</v>
      </c>
      <c r="BC31" s="413">
        <v>73434.78</v>
      </c>
      <c r="BD31" s="413">
        <v>79044.53</v>
      </c>
      <c r="BE31" s="413">
        <v>-85309.56</v>
      </c>
      <c r="BF31" s="413">
        <v>75487.13</v>
      </c>
      <c r="BG31" s="413">
        <v>51845.84</v>
      </c>
      <c r="BH31" s="413">
        <v>-102745.14</v>
      </c>
      <c r="BI31" s="413">
        <v>57603.41</v>
      </c>
      <c r="BJ31" s="413">
        <v>63536.03</v>
      </c>
      <c r="BK31" s="413">
        <v>-88413.01</v>
      </c>
      <c r="BL31" s="413">
        <v>72742.33</v>
      </c>
      <c r="BM31" s="413">
        <v>24007.59</v>
      </c>
      <c r="BN31" s="413">
        <v>-97575.82</v>
      </c>
      <c r="BO31" s="583">
        <v>30791.97</v>
      </c>
      <c r="BP31" s="583">
        <v>48747.32</v>
      </c>
      <c r="BQ31" s="583">
        <v>-9406.42</v>
      </c>
      <c r="BR31" s="583">
        <v>43736.86</v>
      </c>
      <c r="BS31" s="583">
        <v>61132.79</v>
      </c>
      <c r="BT31" s="583">
        <v>48570.91</v>
      </c>
      <c r="BU31" s="583">
        <v>84579.21</v>
      </c>
      <c r="BV31" s="583">
        <v>102921.42</v>
      </c>
      <c r="BW31" s="583">
        <v>110967.21</v>
      </c>
      <c r="BX31" s="583">
        <v>51821.279999999999</v>
      </c>
      <c r="BY31" s="583">
        <v>72111.75</v>
      </c>
      <c r="BZ31" s="583">
        <v>-751253</v>
      </c>
      <c r="CA31" s="583">
        <f>(VLOOKUP("8000300",'[8]IS ACCTS'!$F$5:$ZZ$999,113,FALSE))*1000+VLOOKUP("8000400",'[8]IS ACCTS'!$F$5:$ZZ$999,113,FALSE)*1000</f>
        <v>-13500</v>
      </c>
      <c r="CB31" s="583">
        <f>(VLOOKUP("8000300",'[8]IS ACCTS'!$F$5:$ZZ$999,114,FALSE))*1000+VLOOKUP("8000400",'[8]IS ACCTS'!$F$5:$ZZ$999,114,FALSE)*1000</f>
        <v>500</v>
      </c>
      <c r="CC31" s="583">
        <f>(VLOOKUP("8000300",'[8]IS ACCTS'!$F$5:$ZZ$999,115,FALSE))*1000+VLOOKUP("8000400",'[8]IS ACCTS'!$F$5:$ZZ$999,115,FALSE)*1000</f>
        <v>-6800</v>
      </c>
      <c r="CD31" s="583">
        <f>(VLOOKUP("8000300",'[8]IS ACCTS'!$F$5:$ZZ$999,116,FALSE))*1000+VLOOKUP("8000400",'[8]IS ACCTS'!$F$5:$ZZ$999,116,FALSE)*1000</f>
        <v>-12500</v>
      </c>
      <c r="CE31" s="583">
        <f>(VLOOKUP("8000300",'[8]IS ACCTS'!$F$5:$ZZ$999,117,FALSE))*1000+VLOOKUP("8000400",'[8]IS ACCTS'!$F$5:$ZZ$999,117,FALSE)*1000</f>
        <v>-10300</v>
      </c>
      <c r="CF31" s="583">
        <f>(VLOOKUP("8000300",'[8]IS ACCTS'!$F$5:$ZZ$999,118,FALSE))*1000+VLOOKUP("8000400",'[8]IS ACCTS'!$F$5:$ZZ$999,118,FALSE)*1000</f>
        <v>-8300</v>
      </c>
      <c r="CG31" s="583">
        <f>(VLOOKUP("8000300",'[8]IS ACCTS'!$F$5:$ZZ$999,119,FALSE))*1000+VLOOKUP("8000400",'[8]IS ACCTS'!$F$5:$ZZ$999,119,FALSE)*1000</f>
        <v>-2800</v>
      </c>
      <c r="CH31" s="583">
        <f>(VLOOKUP("8000300",'[8]IS ACCTS'!$F$5:$ZZ$999,120,FALSE))*1000+VLOOKUP("8000400",'[8]IS ACCTS'!$F$5:$ZZ$999,120,FALSE)*1000</f>
        <v>-7200</v>
      </c>
      <c r="CI31" s="583">
        <f>(VLOOKUP("8000300",'[8]IS ACCTS'!$F$5:$ZZ$999,121,FALSE))*1000+VLOOKUP("8000400",'[8]IS ACCTS'!$F$5:$ZZ$999,121,FALSE)*1000</f>
        <v>-7900</v>
      </c>
      <c r="CJ31" s="583">
        <f>(VLOOKUP("8000300",'[8]IS ACCTS'!$F$5:$ZZ$999,122,FALSE))*1000+VLOOKUP("8000400",'[8]IS ACCTS'!$F$5:$ZZ$999,122,FALSE)*1000</f>
        <v>1300</v>
      </c>
      <c r="CK31" s="583">
        <f>(VLOOKUP("8000300",'[8]IS ACCTS'!$F$5:$ZZ$999,123,FALSE))*1000+VLOOKUP("8000400",'[8]IS ACCTS'!$F$5:$ZZ$999,123,FALSE)*1000</f>
        <v>-5600</v>
      </c>
      <c r="CL31" s="583">
        <f>(VLOOKUP("8000300",'[8]IS ACCTS'!$F$5:$ZZ$999,124,FALSE))*1000+VLOOKUP("8000400",'[8]IS ACCTS'!$F$5:$ZZ$999,124,FALSE)*1000</f>
        <v>-14200</v>
      </c>
      <c r="CM31" s="1055">
        <f t="shared" si="31"/>
        <v>-87300</v>
      </c>
      <c r="CN31" s="33"/>
      <c r="CO31" s="205"/>
      <c r="CP31" s="33"/>
    </row>
    <row r="32" spans="1:94">
      <c r="A32" t="s">
        <v>431</v>
      </c>
      <c r="C32" s="22"/>
      <c r="D32" s="711">
        <f t="shared" ref="D32" si="32">+D25+D26+D27+D28-D29+D30-D31</f>
        <v>1105.3054200000001</v>
      </c>
      <c r="E32" s="713"/>
      <c r="F32" s="711">
        <f ca="1">SUM(OFFSET(BO32:BZ32,0,'Bal Sheet'!$A$1))/1000</f>
        <v>8674.6</v>
      </c>
      <c r="G32" s="254">
        <f>+G25+G26+G27+G28-G29+G30-G31</f>
        <v>467159.51000000007</v>
      </c>
      <c r="H32" s="254">
        <f>+H25+H26+H27+H28-H29+H30-H31</f>
        <v>428558.04</v>
      </c>
      <c r="I32" s="253">
        <f t="shared" ref="I32:AP32" si="33">+I25+I26+I27+I28-I29+I30-I31</f>
        <v>600064.02</v>
      </c>
      <c r="J32" s="253">
        <f t="shared" si="33"/>
        <v>254627.49</v>
      </c>
      <c r="K32" s="253">
        <f t="shared" si="33"/>
        <v>439047.17</v>
      </c>
      <c r="L32" s="253">
        <f t="shared" si="33"/>
        <v>235171.87999999998</v>
      </c>
      <c r="M32" s="253">
        <f t="shared" si="33"/>
        <v>363767.97000000003</v>
      </c>
      <c r="N32" s="253">
        <f t="shared" si="33"/>
        <v>241590.56</v>
      </c>
      <c r="O32" s="253">
        <f t="shared" si="33"/>
        <v>599165.99</v>
      </c>
      <c r="P32" s="253">
        <f t="shared" si="33"/>
        <v>344097.64</v>
      </c>
      <c r="Q32" s="253">
        <f t="shared" si="33"/>
        <v>444065.24</v>
      </c>
      <c r="R32" s="253">
        <f t="shared" si="33"/>
        <v>875179.41000000015</v>
      </c>
      <c r="S32" s="253">
        <f t="shared" si="33"/>
        <v>565100.46</v>
      </c>
      <c r="T32" s="253">
        <f t="shared" si="33"/>
        <v>488065.80000000005</v>
      </c>
      <c r="U32" s="253">
        <f t="shared" si="33"/>
        <v>351123.77</v>
      </c>
      <c r="V32" s="253">
        <f t="shared" si="33"/>
        <v>594874.78999999992</v>
      </c>
      <c r="W32" s="253">
        <f t="shared" si="33"/>
        <v>379005.17000000004</v>
      </c>
      <c r="X32" s="253">
        <f t="shared" si="33"/>
        <v>484643.36</v>
      </c>
      <c r="Y32" s="253">
        <f t="shared" si="33"/>
        <v>427986.27</v>
      </c>
      <c r="Z32" s="253">
        <f t="shared" si="33"/>
        <v>318315.92000000004</v>
      </c>
      <c r="AA32" s="253">
        <f t="shared" si="33"/>
        <v>458620.19999999995</v>
      </c>
      <c r="AB32" s="253">
        <f t="shared" si="33"/>
        <v>316382.29999999993</v>
      </c>
      <c r="AC32" s="253">
        <f t="shared" si="33"/>
        <v>337999.11000000004</v>
      </c>
      <c r="AD32" s="253">
        <f t="shared" si="33"/>
        <v>697005.04</v>
      </c>
      <c r="AE32" s="253">
        <f t="shared" si="33"/>
        <v>377890.45</v>
      </c>
      <c r="AF32" s="253">
        <f t="shared" si="33"/>
        <v>412385.55</v>
      </c>
      <c r="AG32" s="253">
        <f t="shared" si="33"/>
        <v>599934.81999999995</v>
      </c>
      <c r="AH32" s="253">
        <f t="shared" si="33"/>
        <v>536303.55000000005</v>
      </c>
      <c r="AI32" s="253">
        <f t="shared" si="33"/>
        <v>443822.02</v>
      </c>
      <c r="AJ32" s="254">
        <f t="shared" si="33"/>
        <v>487642.44000000006</v>
      </c>
      <c r="AK32" s="254">
        <f t="shared" si="33"/>
        <v>475616.42</v>
      </c>
      <c r="AL32" s="254">
        <f t="shared" si="33"/>
        <v>684605.8899999999</v>
      </c>
      <c r="AM32" s="254">
        <f t="shared" si="33"/>
        <v>507071.95</v>
      </c>
      <c r="AN32" s="254">
        <f t="shared" si="33"/>
        <v>379332.81</v>
      </c>
      <c r="AO32" s="254">
        <f t="shared" si="33"/>
        <v>364569.36</v>
      </c>
      <c r="AP32" s="254">
        <f t="shared" si="33"/>
        <v>580518.69999999995</v>
      </c>
      <c r="AQ32" s="254">
        <f t="shared" ref="AQ32:AW32" si="34">+AQ25+AQ26+AQ27+AQ28-AQ29+AQ30-AQ31</f>
        <v>357311.43</v>
      </c>
      <c r="AR32" s="254">
        <f t="shared" si="34"/>
        <v>594603.41</v>
      </c>
      <c r="AS32" s="254">
        <f t="shared" si="34"/>
        <v>521012.75</v>
      </c>
      <c r="AT32" s="254">
        <f t="shared" si="34"/>
        <v>580200.18000000005</v>
      </c>
      <c r="AU32" s="254">
        <f t="shared" si="34"/>
        <v>673249.54</v>
      </c>
      <c r="AV32" s="254">
        <f t="shared" si="34"/>
        <v>520670.06</v>
      </c>
      <c r="AW32" s="254">
        <f t="shared" si="34"/>
        <v>431776.51</v>
      </c>
      <c r="AX32" s="254">
        <f t="shared" ref="AX32:BB32" si="35">+AX25+AX26+AX27+AX28-AX29+AX30-AX31</f>
        <v>572721.54</v>
      </c>
      <c r="AY32" s="254">
        <f t="shared" si="35"/>
        <v>944316.47</v>
      </c>
      <c r="AZ32" s="254">
        <f t="shared" si="35"/>
        <v>535561.71</v>
      </c>
      <c r="BA32" s="254">
        <f t="shared" si="35"/>
        <v>362067</v>
      </c>
      <c r="BB32" s="716">
        <f t="shared" si="35"/>
        <v>961979.34000000008</v>
      </c>
      <c r="BC32" s="716">
        <f t="shared" ref="BC32:BN32" si="36">+BC25+BC26+BC27+BC28-BC29+BC30-BC31</f>
        <v>524421.96</v>
      </c>
      <c r="BD32" s="716">
        <f t="shared" si="36"/>
        <v>624812.40999999992</v>
      </c>
      <c r="BE32" s="715">
        <f t="shared" si="36"/>
        <v>717008.86999999988</v>
      </c>
      <c r="BF32" s="715">
        <f t="shared" si="36"/>
        <v>564950.94000000006</v>
      </c>
      <c r="BG32" s="715">
        <f t="shared" si="36"/>
        <v>551255.9</v>
      </c>
      <c r="BH32" s="715">
        <f t="shared" si="36"/>
        <v>569873.52</v>
      </c>
      <c r="BI32" s="715">
        <f t="shared" si="36"/>
        <v>432519.12</v>
      </c>
      <c r="BJ32" s="715">
        <f t="shared" si="36"/>
        <v>522091.03999999992</v>
      </c>
      <c r="BK32" s="715">
        <f t="shared" si="36"/>
        <v>600538.34</v>
      </c>
      <c r="BL32" s="715">
        <f t="shared" si="36"/>
        <v>530088.16</v>
      </c>
      <c r="BM32" s="715">
        <f t="shared" si="36"/>
        <v>338582.54</v>
      </c>
      <c r="BN32" s="715">
        <f t="shared" si="36"/>
        <v>319956.52</v>
      </c>
      <c r="BO32" s="715">
        <f t="shared" ref="BO32:BZ32" si="37">+BO25+BO26+BO27+BO28-BO29+BO30-BO31</f>
        <v>202379.12</v>
      </c>
      <c r="BP32" s="715">
        <f t="shared" si="37"/>
        <v>385644.42</v>
      </c>
      <c r="BQ32" s="715">
        <f t="shared" si="37"/>
        <v>646507.9800000001</v>
      </c>
      <c r="BR32" s="715">
        <f t="shared" si="37"/>
        <v>357897.85000000003</v>
      </c>
      <c r="BS32" s="715">
        <f t="shared" si="37"/>
        <v>438473.94</v>
      </c>
      <c r="BT32" s="715">
        <f t="shared" si="37"/>
        <v>367237.61</v>
      </c>
      <c r="BU32" s="715">
        <f t="shared" si="37"/>
        <v>677975.44</v>
      </c>
      <c r="BV32" s="715">
        <f t="shared" si="37"/>
        <v>591664.55999999994</v>
      </c>
      <c r="BW32" s="715">
        <f t="shared" si="37"/>
        <v>669267.39</v>
      </c>
      <c r="BX32" s="715">
        <f t="shared" si="37"/>
        <v>390490.52</v>
      </c>
      <c r="BY32" s="715">
        <f t="shared" si="37"/>
        <v>503621.42999999993</v>
      </c>
      <c r="BZ32" s="715">
        <f t="shared" si="37"/>
        <v>1105305.42</v>
      </c>
      <c r="CA32" s="715">
        <f t="shared" ref="CA32:CL32" si="38">+CA25+CA26+CA27+CA28-CA29+CA30-CA31</f>
        <v>512200</v>
      </c>
      <c r="CB32" s="715">
        <f t="shared" si="38"/>
        <v>663800</v>
      </c>
      <c r="CC32" s="715">
        <f t="shared" si="38"/>
        <v>601600</v>
      </c>
      <c r="CD32" s="715">
        <f t="shared" si="38"/>
        <v>782700</v>
      </c>
      <c r="CE32" s="715">
        <f t="shared" si="38"/>
        <v>733600</v>
      </c>
      <c r="CF32" s="715">
        <f t="shared" si="38"/>
        <v>680900</v>
      </c>
      <c r="CG32" s="715">
        <f t="shared" si="38"/>
        <v>764500</v>
      </c>
      <c r="CH32" s="715">
        <f t="shared" si="38"/>
        <v>744900</v>
      </c>
      <c r="CI32" s="715">
        <f t="shared" si="38"/>
        <v>792400</v>
      </c>
      <c r="CJ32" s="715">
        <f t="shared" si="38"/>
        <v>844600</v>
      </c>
      <c r="CK32" s="715">
        <f t="shared" si="38"/>
        <v>744000</v>
      </c>
      <c r="CL32" s="715">
        <f t="shared" si="38"/>
        <v>809400</v>
      </c>
      <c r="CM32" s="1057">
        <f t="shared" si="31"/>
        <v>8674600</v>
      </c>
      <c r="CN32" s="33"/>
      <c r="CO32" s="205"/>
      <c r="CP32" s="33"/>
    </row>
    <row r="33" spans="1:94">
      <c r="C33" s="22"/>
      <c r="D33" s="708"/>
      <c r="E33" s="709"/>
      <c r="F33" s="708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597"/>
      <c r="BC33" s="597"/>
      <c r="BD33" s="597"/>
      <c r="BE33" s="597"/>
      <c r="BF33" s="597"/>
      <c r="BG33" s="597"/>
      <c r="BH33" s="597"/>
      <c r="BI33" s="597"/>
      <c r="BJ33" s="597"/>
      <c r="BK33" s="597"/>
      <c r="BL33" s="597"/>
      <c r="BM33" s="597"/>
      <c r="BN33" s="597"/>
      <c r="BO33" s="597"/>
      <c r="BP33" s="597"/>
      <c r="BQ33" s="597"/>
      <c r="BR33" s="597"/>
      <c r="BS33" s="597"/>
      <c r="BT33" s="597"/>
      <c r="BU33" s="597"/>
      <c r="BV33" s="597"/>
      <c r="BW33" s="597"/>
      <c r="BX33" s="597"/>
      <c r="BY33" s="597"/>
      <c r="BZ33" s="597"/>
      <c r="CA33" s="597">
        <f>529-(CA32/1000)</f>
        <v>16.799999999999955</v>
      </c>
      <c r="CB33" s="597"/>
      <c r="CC33" s="597"/>
      <c r="CD33" s="597"/>
      <c r="CE33" s="597"/>
      <c r="CF33" s="597"/>
      <c r="CG33" s="597"/>
      <c r="CH33" s="597"/>
      <c r="CI33" s="597"/>
      <c r="CJ33" s="597"/>
      <c r="CK33" s="597"/>
      <c r="CL33" s="597"/>
      <c r="CM33" s="605"/>
      <c r="CO33" s="205"/>
      <c r="CP33" s="33"/>
    </row>
    <row r="34" spans="1:94">
      <c r="A34" s="13" t="s">
        <v>432</v>
      </c>
      <c r="C34" s="22"/>
      <c r="D34" s="708"/>
      <c r="E34" s="709"/>
      <c r="F34" s="708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597"/>
      <c r="BC34" s="597"/>
      <c r="BD34" s="597"/>
      <c r="BE34" s="597"/>
      <c r="BF34" s="597"/>
      <c r="BG34" s="597"/>
      <c r="BH34" s="597"/>
      <c r="BI34" s="597"/>
      <c r="BJ34" s="597"/>
      <c r="BK34" s="597"/>
      <c r="BL34" s="597"/>
      <c r="BM34" s="597"/>
      <c r="BN34" s="597"/>
      <c r="BO34" s="597"/>
      <c r="BP34" s="597"/>
      <c r="BQ34" s="597"/>
      <c r="BR34" s="597"/>
      <c r="BS34" s="597"/>
      <c r="BT34" s="597"/>
      <c r="BU34" s="597"/>
      <c r="BV34" s="597"/>
      <c r="BW34" s="597"/>
      <c r="BX34" s="597"/>
      <c r="BY34" s="597"/>
      <c r="BZ34" s="597"/>
      <c r="CA34" s="597"/>
      <c r="CB34" s="597"/>
      <c r="CC34" s="597"/>
      <c r="CD34" s="597"/>
      <c r="CE34" s="597"/>
      <c r="CF34" s="597"/>
      <c r="CG34" s="597"/>
      <c r="CH34" s="597"/>
      <c r="CI34" s="597"/>
      <c r="CJ34" s="597"/>
      <c r="CK34" s="597"/>
      <c r="CL34" s="597"/>
      <c r="CM34" s="605"/>
      <c r="CO34" s="205"/>
      <c r="CP34" s="33"/>
    </row>
    <row r="35" spans="1:94">
      <c r="A35" t="s">
        <v>433</v>
      </c>
      <c r="C35" s="22"/>
      <c r="D35" s="708">
        <f t="shared" ref="D35:D40" si="39">(+CL35/1000)</f>
        <v>3830</v>
      </c>
      <c r="E35" s="709"/>
      <c r="F35" s="708">
        <f ca="1">SUM(OFFSET(BO35:BZ35,0,'Bal Sheet'!$A$1))/1000</f>
        <v>11490</v>
      </c>
      <c r="G35" s="355">
        <v>1103357.73</v>
      </c>
      <c r="H35" s="355">
        <v>1103357.73</v>
      </c>
      <c r="I35" s="355">
        <v>1103357.73</v>
      </c>
      <c r="J35" s="355">
        <v>1103357.73</v>
      </c>
      <c r="K35" s="355">
        <v>1103357.73</v>
      </c>
      <c r="L35" s="355">
        <v>1103357.73</v>
      </c>
      <c r="M35" s="355">
        <v>1103357.73</v>
      </c>
      <c r="N35" s="355">
        <v>1103357.73</v>
      </c>
      <c r="O35" s="355">
        <v>1103357.73</v>
      </c>
      <c r="P35" s="355">
        <v>1103357.73</v>
      </c>
      <c r="Q35" s="355">
        <v>1103357.73</v>
      </c>
      <c r="R35" s="355">
        <v>1103357.73</v>
      </c>
      <c r="S35" s="355">
        <v>1103357.73</v>
      </c>
      <c r="T35" s="355">
        <v>1103357.73</v>
      </c>
      <c r="U35" s="355">
        <v>1103357.73</v>
      </c>
      <c r="V35" s="355">
        <v>1103357.73</v>
      </c>
      <c r="W35" s="355">
        <v>976274</v>
      </c>
      <c r="X35" s="355">
        <v>1055232.6499999999</v>
      </c>
      <c r="Y35" s="355">
        <v>1117941.06</v>
      </c>
      <c r="Z35" s="355">
        <v>1117941.06</v>
      </c>
      <c r="AA35" s="355">
        <v>1117941.06</v>
      </c>
      <c r="AB35" s="355">
        <v>1198288.32</v>
      </c>
      <c r="AC35" s="355">
        <v>1210649.3899999999</v>
      </c>
      <c r="AD35" s="355">
        <v>1210649.3899999999</v>
      </c>
      <c r="AE35" s="355">
        <v>1210649.3899999999</v>
      </c>
      <c r="AF35" s="355">
        <v>1210649.3899999999</v>
      </c>
      <c r="AG35" s="355">
        <v>1210649.3899999999</v>
      </c>
      <c r="AH35" s="355">
        <v>1210649.3899999999</v>
      </c>
      <c r="AI35" s="355">
        <v>1210649.3899999999</v>
      </c>
      <c r="AJ35" s="355">
        <v>1210649.3899999999</v>
      </c>
      <c r="AK35" s="355">
        <v>1230788.28</v>
      </c>
      <c r="AL35" s="355">
        <v>1286170.22</v>
      </c>
      <c r="AM35" s="355">
        <v>1286170.22</v>
      </c>
      <c r="AN35" s="355">
        <v>1286170.22</v>
      </c>
      <c r="AO35" s="355">
        <v>1286170.22</v>
      </c>
      <c r="AP35" s="355">
        <v>1286170.22</v>
      </c>
      <c r="AQ35" s="355">
        <v>1286170.22</v>
      </c>
      <c r="AR35" s="355">
        <v>1286170.22</v>
      </c>
      <c r="AS35" s="355">
        <v>1281135.51</v>
      </c>
      <c r="AT35" s="355">
        <v>1286170.22</v>
      </c>
      <c r="AU35" s="355">
        <v>1286170.22</v>
      </c>
      <c r="AV35" s="355">
        <v>1286170.22</v>
      </c>
      <c r="AW35" s="355">
        <v>1286170.22</v>
      </c>
      <c r="AX35" s="355">
        <v>1286170.22</v>
      </c>
      <c r="AY35" s="355">
        <v>1286170.22</v>
      </c>
      <c r="AZ35" s="355">
        <v>1286170.22</v>
      </c>
      <c r="BA35" s="355">
        <v>1286170.22</v>
      </c>
      <c r="BB35" s="404">
        <v>1286170.22</v>
      </c>
      <c r="BC35" s="404">
        <v>1286170.22</v>
      </c>
      <c r="BD35" s="404">
        <v>1286170.22</v>
      </c>
      <c r="BE35" s="404">
        <v>1603857.72</v>
      </c>
      <c r="BF35" s="404">
        <v>1846795.22</v>
      </c>
      <c r="BG35" s="404">
        <v>1636354.16</v>
      </c>
      <c r="BH35" s="404">
        <v>1741574.69</v>
      </c>
      <c r="BI35" s="404">
        <v>1636354.16</v>
      </c>
      <c r="BJ35" s="404">
        <v>1636354.16</v>
      </c>
      <c r="BK35" s="404">
        <v>1542916.66</v>
      </c>
      <c r="BL35" s="404">
        <v>1636354.16</v>
      </c>
      <c r="BM35" s="404">
        <v>1636354.16</v>
      </c>
      <c r="BN35" s="404">
        <v>1636354.16</v>
      </c>
      <c r="BO35" s="584">
        <v>1636354.16</v>
      </c>
      <c r="BP35" s="584">
        <v>1636354.16</v>
      </c>
      <c r="BQ35" s="584">
        <v>1636354.16</v>
      </c>
      <c r="BR35" s="584">
        <v>1636354.16</v>
      </c>
      <c r="BS35" s="584">
        <v>1636354.16</v>
      </c>
      <c r="BT35" s="584">
        <v>1636354.16</v>
      </c>
      <c r="BU35" s="584">
        <v>1802760.41</v>
      </c>
      <c r="BV35" s="584">
        <v>1913697.91</v>
      </c>
      <c r="BW35" s="584">
        <v>1886614.45</v>
      </c>
      <c r="BX35" s="584">
        <v>1859531.24</v>
      </c>
      <c r="BY35" s="584">
        <v>1859531.24</v>
      </c>
      <c r="BZ35" s="584">
        <v>1859531.24</v>
      </c>
      <c r="CA35" s="584">
        <f>+'[8]Income Statement Detail'!DF29*1000</f>
        <v>0</v>
      </c>
      <c r="CB35" s="584">
        <f>+'[8]Income Statement Detail'!DG29*1000</f>
        <v>0</v>
      </c>
      <c r="CC35" s="584">
        <f>+'[8]Income Statement Detail'!DH29*1000</f>
        <v>0</v>
      </c>
      <c r="CD35" s="584">
        <f>+'[8]Income Statement Detail'!DI29*1000</f>
        <v>0</v>
      </c>
      <c r="CE35" s="584">
        <f>+'[8]Income Statement Detail'!DJ29*1000</f>
        <v>0</v>
      </c>
      <c r="CF35" s="584">
        <f>+'[8]Income Statement Detail'!DK29*1000</f>
        <v>0</v>
      </c>
      <c r="CG35" s="584">
        <f>+'[8]Income Statement Detail'!DL29*1000</f>
        <v>0</v>
      </c>
      <c r="CH35" s="584">
        <f>+'[8]Income Statement Detail'!DM29*1000</f>
        <v>0</v>
      </c>
      <c r="CI35" s="584">
        <f>+'[8]Income Statement Detail'!DN29*1000</f>
        <v>0</v>
      </c>
      <c r="CJ35" s="584">
        <f>+'[8]Income Statement Detail'!DO29*1000</f>
        <v>3830000</v>
      </c>
      <c r="CK35" s="584">
        <f>+'[8]Income Statement Detail'!DP29*1000</f>
        <v>3830000</v>
      </c>
      <c r="CL35" s="584">
        <f>+'[8]Income Statement Detail'!DQ29*1000</f>
        <v>3830000</v>
      </c>
      <c r="CM35" s="1053">
        <f t="shared" ref="CM35:CM41" si="40">SUM(CA35:CL35)</f>
        <v>11490000</v>
      </c>
      <c r="CN35" s="33"/>
      <c r="CO35" s="205"/>
      <c r="CP35" s="33"/>
    </row>
    <row r="36" spans="1:94">
      <c r="A36" t="s">
        <v>434</v>
      </c>
      <c r="C36" s="22"/>
      <c r="D36" s="708">
        <f t="shared" si="39"/>
        <v>471.97770471175136</v>
      </c>
      <c r="E36" s="709"/>
      <c r="F36" s="708">
        <f ca="1">SUM(OFFSET(BO36:BZ36,0,'Bal Sheet'!$A$1))/1000</f>
        <v>2024.2495713551862</v>
      </c>
      <c r="G36" s="355">
        <v>44905.67</v>
      </c>
      <c r="H36" s="355">
        <v>49530.64</v>
      </c>
      <c r="I36" s="355">
        <v>53647.49</v>
      </c>
      <c r="J36" s="355">
        <v>57773.82</v>
      </c>
      <c r="K36" s="355">
        <v>34876.49</v>
      </c>
      <c r="L36" s="355">
        <v>46596.95</v>
      </c>
      <c r="M36" s="355">
        <v>59324.639999999999</v>
      </c>
      <c r="N36" s="355">
        <v>64594.479999999996</v>
      </c>
      <c r="O36" s="355">
        <v>132738.07</v>
      </c>
      <c r="P36" s="355">
        <v>123731.22</v>
      </c>
      <c r="Q36" s="355">
        <v>16783.32</v>
      </c>
      <c r="R36" s="355">
        <v>970.83</v>
      </c>
      <c r="S36" s="355">
        <v>7178.15</v>
      </c>
      <c r="T36" s="355">
        <v>196947.8</v>
      </c>
      <c r="U36" s="355">
        <v>-180863.37999999998</v>
      </c>
      <c r="V36" s="355">
        <v>7725.76</v>
      </c>
      <c r="W36" s="355">
        <v>67465.7</v>
      </c>
      <c r="X36" s="355">
        <v>84725.13</v>
      </c>
      <c r="Y36" s="355">
        <v>17948.07</v>
      </c>
      <c r="Z36" s="355">
        <v>11889.599999999999</v>
      </c>
      <c r="AA36" s="355">
        <v>17109.919999999998</v>
      </c>
      <c r="AB36" s="355">
        <v>13053.15</v>
      </c>
      <c r="AC36" s="355">
        <v>46774.2</v>
      </c>
      <c r="AD36" s="355">
        <v>153884.13</v>
      </c>
      <c r="AE36" s="355">
        <v>214969.99</v>
      </c>
      <c r="AF36" s="355">
        <v>197877.37</v>
      </c>
      <c r="AG36" s="355">
        <v>175503.68999999997</v>
      </c>
      <c r="AH36" s="355">
        <v>161745.99999999997</v>
      </c>
      <c r="AI36" s="355">
        <v>101718.97999999998</v>
      </c>
      <c r="AJ36" s="355">
        <v>-121127.27000000002</v>
      </c>
      <c r="AK36" s="355">
        <v>108407.9</v>
      </c>
      <c r="AL36" s="355">
        <v>95194.639999999985</v>
      </c>
      <c r="AM36" s="355">
        <v>104624.98999999999</v>
      </c>
      <c r="AN36" s="355">
        <v>115835.31999999999</v>
      </c>
      <c r="AO36" s="355">
        <v>123047.75999999998</v>
      </c>
      <c r="AP36" s="355">
        <v>179924.16</v>
      </c>
      <c r="AQ36" s="355">
        <v>210215.55000000002</v>
      </c>
      <c r="AR36" s="355">
        <v>89114.97</v>
      </c>
      <c r="AS36" s="355">
        <v>235704.4</v>
      </c>
      <c r="AT36" s="355">
        <v>93655.03</v>
      </c>
      <c r="AU36" s="355">
        <v>94080.85</v>
      </c>
      <c r="AV36" s="355">
        <v>98773.909999999974</v>
      </c>
      <c r="AW36" s="355">
        <v>117552.37</v>
      </c>
      <c r="AX36" s="355">
        <v>114333.16</v>
      </c>
      <c r="AY36" s="355">
        <v>110193.62</v>
      </c>
      <c r="AZ36" s="355">
        <v>128807.5</v>
      </c>
      <c r="BA36" s="355">
        <v>143573.54</v>
      </c>
      <c r="BB36" s="404">
        <v>182942.44</v>
      </c>
      <c r="BC36" s="404">
        <v>218833.53</v>
      </c>
      <c r="BD36" s="404">
        <v>205384.68999999997</v>
      </c>
      <c r="BE36" s="404">
        <v>170017.74</v>
      </c>
      <c r="BF36" s="404">
        <v>28172.49</v>
      </c>
      <c r="BG36" s="404">
        <v>47144.56</v>
      </c>
      <c r="BH36" s="404">
        <v>92193.74</v>
      </c>
      <c r="BI36" s="404">
        <v>48576.85</v>
      </c>
      <c r="BJ36" s="404">
        <v>53198.429999999993</v>
      </c>
      <c r="BK36" s="404">
        <v>44199.61</v>
      </c>
      <c r="BL36" s="404">
        <v>57750.91</v>
      </c>
      <c r="BM36" s="404">
        <v>58941.5</v>
      </c>
      <c r="BN36" s="404">
        <v>80505.77</v>
      </c>
      <c r="BO36" s="584">
        <v>115215.61</v>
      </c>
      <c r="BP36" s="584">
        <v>93170.03</v>
      </c>
      <c r="BQ36" s="584">
        <v>138232.37</v>
      </c>
      <c r="BR36" s="584">
        <v>180005.09</v>
      </c>
      <c r="BS36" s="584">
        <v>248595.58</v>
      </c>
      <c r="BT36" s="584">
        <v>274414.95</v>
      </c>
      <c r="BU36" s="584">
        <v>331705.44</v>
      </c>
      <c r="BV36" s="584">
        <v>262025.87</v>
      </c>
      <c r="BW36" s="584">
        <v>372285.58</v>
      </c>
      <c r="BX36" s="584">
        <v>518192.06</v>
      </c>
      <c r="BY36" s="584">
        <v>611452.86</v>
      </c>
      <c r="BZ36" s="584">
        <v>761985.27999999991</v>
      </c>
      <c r="CA36" s="584">
        <f>+'[8]Income Statement Detail'!DF30*1000</f>
        <v>0</v>
      </c>
      <c r="CB36" s="584">
        <f>+'[8]Income Statement Detail'!DG30*1000</f>
        <v>0</v>
      </c>
      <c r="CC36" s="584">
        <f>+'[8]Income Statement Detail'!DH30*1000</f>
        <v>0</v>
      </c>
      <c r="CD36" s="584">
        <f>+'[8]Income Statement Detail'!DI30*1000</f>
        <v>0</v>
      </c>
      <c r="CE36" s="584">
        <f>+'[8]Income Statement Detail'!DJ30*1000</f>
        <v>0</v>
      </c>
      <c r="CF36" s="584">
        <f>+'[8]Income Statement Detail'!DK30*1000</f>
        <v>0</v>
      </c>
      <c r="CG36" s="584">
        <f>+'[8]Income Statement Detail'!DL30*1000</f>
        <v>0</v>
      </c>
      <c r="CH36" s="584">
        <f>+'[8]Income Statement Detail'!DM30*1000</f>
        <v>0</v>
      </c>
      <c r="CI36" s="584">
        <f>+'[8]Income Statement Detail'!DN30*1000</f>
        <v>0</v>
      </c>
      <c r="CJ36" s="584">
        <f>+'[8]Income Statement Detail'!DO30*1000</f>
        <v>1068508.3084570023</v>
      </c>
      <c r="CK36" s="584">
        <f>+'[8]Income Statement Detail'!DP30*1000</f>
        <v>483763.55818643264</v>
      </c>
      <c r="CL36" s="584">
        <f>+'[8]Income Statement Detail'!DQ30*1000</f>
        <v>471977.70471175137</v>
      </c>
      <c r="CM36" s="1053">
        <f t="shared" si="40"/>
        <v>2024249.5713551862</v>
      </c>
      <c r="CN36" s="33"/>
      <c r="CO36" s="205"/>
      <c r="CP36" s="33"/>
    </row>
    <row r="37" spans="1:94">
      <c r="A37" t="s">
        <v>435</v>
      </c>
      <c r="C37" s="22"/>
      <c r="D37" s="708">
        <f t="shared" si="39"/>
        <v>0</v>
      </c>
      <c r="E37" s="709"/>
      <c r="F37" s="708">
        <f ca="1">SUM(OFFSET(BO37:BZ37,0,'Bal Sheet'!$A$1))/1000</f>
        <v>0</v>
      </c>
      <c r="G37" s="355">
        <v>45345.03</v>
      </c>
      <c r="H37" s="355">
        <v>45345.03</v>
      </c>
      <c r="I37" s="355">
        <v>45345.03</v>
      </c>
      <c r="J37" s="355">
        <v>45345.03</v>
      </c>
      <c r="K37" s="355">
        <v>45345.03</v>
      </c>
      <c r="L37" s="355">
        <v>45345.03</v>
      </c>
      <c r="M37" s="355">
        <v>45345.03</v>
      </c>
      <c r="N37" s="355">
        <v>45345.03</v>
      </c>
      <c r="O37" s="355">
        <v>45345.03</v>
      </c>
      <c r="P37" s="355">
        <v>45345.03</v>
      </c>
      <c r="Q37" s="355">
        <v>45345.03</v>
      </c>
      <c r="R37" s="355">
        <v>45345.03</v>
      </c>
      <c r="S37" s="355">
        <v>45345.03</v>
      </c>
      <c r="T37" s="355">
        <v>45345.03</v>
      </c>
      <c r="U37" s="355">
        <v>45345.03</v>
      </c>
      <c r="V37" s="355">
        <v>45345.03</v>
      </c>
      <c r="W37" s="355">
        <v>27368.99</v>
      </c>
      <c r="X37" s="355">
        <v>12617.1</v>
      </c>
      <c r="Y37" s="355">
        <v>12704.24</v>
      </c>
      <c r="Z37" s="355">
        <v>12706.38</v>
      </c>
      <c r="AA37" s="355">
        <v>13141.73</v>
      </c>
      <c r="AB37" s="355">
        <v>13803.91</v>
      </c>
      <c r="AC37" s="355">
        <v>13829.09</v>
      </c>
      <c r="AD37" s="355">
        <v>13850.32</v>
      </c>
      <c r="AE37" s="355">
        <v>13822.88</v>
      </c>
      <c r="AF37" s="355">
        <v>13822.88</v>
      </c>
      <c r="AG37" s="355">
        <v>14052.4</v>
      </c>
      <c r="AH37" s="355">
        <v>13860.92</v>
      </c>
      <c r="AI37" s="355">
        <v>13860.92</v>
      </c>
      <c r="AJ37" s="355">
        <v>13860.92</v>
      </c>
      <c r="AK37" s="355">
        <v>13860.92</v>
      </c>
      <c r="AL37" s="355">
        <v>15398.62</v>
      </c>
      <c r="AM37" s="355">
        <v>15460.32</v>
      </c>
      <c r="AN37" s="355">
        <v>15429.82</v>
      </c>
      <c r="AO37" s="355">
        <v>15429.82</v>
      </c>
      <c r="AP37" s="355">
        <v>15628.22</v>
      </c>
      <c r="AQ37" s="355">
        <v>15469.92</v>
      </c>
      <c r="AR37" s="355">
        <v>15469.92</v>
      </c>
      <c r="AS37" s="355">
        <v>15481.28</v>
      </c>
      <c r="AT37" s="355">
        <v>15471.2</v>
      </c>
      <c r="AU37" s="355">
        <v>15471.2</v>
      </c>
      <c r="AV37" s="355">
        <v>15471.2</v>
      </c>
      <c r="AW37" s="355">
        <v>15471.2</v>
      </c>
      <c r="AX37" s="355">
        <v>15471.2</v>
      </c>
      <c r="AY37" s="355">
        <v>15471.2</v>
      </c>
      <c r="AZ37" s="355">
        <v>15471.2</v>
      </c>
      <c r="BA37" s="355">
        <v>15471.2</v>
      </c>
      <c r="BB37" s="404">
        <v>15471.2</v>
      </c>
      <c r="BC37" s="404">
        <v>15471.2</v>
      </c>
      <c r="BD37" s="404">
        <v>15471.2</v>
      </c>
      <c r="BE37" s="404">
        <v>28962.53</v>
      </c>
      <c r="BF37" s="404">
        <v>30345.65</v>
      </c>
      <c r="BG37" s="404">
        <v>32308.91</v>
      </c>
      <c r="BH37" s="404">
        <v>34366.57</v>
      </c>
      <c r="BI37" s="404">
        <v>31548.63</v>
      </c>
      <c r="BJ37" s="404">
        <v>31548.63</v>
      </c>
      <c r="BK37" s="404">
        <v>31548.63</v>
      </c>
      <c r="BL37" s="404">
        <v>31548.63</v>
      </c>
      <c r="BM37" s="404">
        <v>33014.53</v>
      </c>
      <c r="BN37" s="404">
        <v>31548.63</v>
      </c>
      <c r="BO37" s="584">
        <v>31548.63</v>
      </c>
      <c r="BP37" s="584">
        <v>31548.63</v>
      </c>
      <c r="BQ37" s="584">
        <v>31548.63</v>
      </c>
      <c r="BR37" s="584">
        <v>31548.63</v>
      </c>
      <c r="BS37" s="584">
        <v>31548.63</v>
      </c>
      <c r="BT37" s="584">
        <v>31548.63</v>
      </c>
      <c r="BU37" s="584">
        <v>38388.78</v>
      </c>
      <c r="BV37" s="584">
        <v>41512.61</v>
      </c>
      <c r="BW37" s="584">
        <v>40002.01</v>
      </c>
      <c r="BX37" s="584">
        <v>39319.17</v>
      </c>
      <c r="BY37" s="584">
        <v>38387.68</v>
      </c>
      <c r="BZ37" s="584">
        <v>38387.68</v>
      </c>
      <c r="CA37" s="584">
        <f>+'[8]Income Statement Detail'!DF31*1000</f>
        <v>0</v>
      </c>
      <c r="CB37" s="584">
        <f>+'[8]Income Statement Detail'!DG31*1000</f>
        <v>0</v>
      </c>
      <c r="CC37" s="584">
        <f>+'[8]Income Statement Detail'!DH31*1000</f>
        <v>0</v>
      </c>
      <c r="CD37" s="584">
        <f>+'[8]Income Statement Detail'!DI31*1000</f>
        <v>0</v>
      </c>
      <c r="CE37" s="584">
        <f>+'[8]Income Statement Detail'!DJ31*1000</f>
        <v>0</v>
      </c>
      <c r="CF37" s="584">
        <f>+'[8]Income Statement Detail'!DK31*1000</f>
        <v>0</v>
      </c>
      <c r="CG37" s="584">
        <f>+'[8]Income Statement Detail'!DL31*1000</f>
        <v>0</v>
      </c>
      <c r="CH37" s="584">
        <f>+'[8]Income Statement Detail'!DM31*1000</f>
        <v>0</v>
      </c>
      <c r="CI37" s="584">
        <f>+'[8]Income Statement Detail'!DN31*1000</f>
        <v>0</v>
      </c>
      <c r="CJ37" s="584">
        <f>+'[8]Income Statement Detail'!DO31*1000</f>
        <v>0</v>
      </c>
      <c r="CK37" s="584">
        <f>+'[8]Income Statement Detail'!DP31*1000</f>
        <v>0</v>
      </c>
      <c r="CL37" s="584">
        <f>+'[8]Income Statement Detail'!DQ31*1000</f>
        <v>0</v>
      </c>
      <c r="CM37" s="1053">
        <f t="shared" si="40"/>
        <v>0</v>
      </c>
      <c r="CN37" s="33"/>
      <c r="CO37" s="205"/>
      <c r="CP37" s="33"/>
    </row>
    <row r="38" spans="1:94">
      <c r="A38" t="s">
        <v>436</v>
      </c>
      <c r="C38" s="22"/>
      <c r="D38" s="708">
        <f t="shared" si="39"/>
        <v>0</v>
      </c>
      <c r="E38" s="709"/>
      <c r="F38" s="708">
        <f ca="1">SUM(OFFSET(BO38:BZ38,0,'Bal Sheet'!$A$1))/1000</f>
        <v>25259.8</v>
      </c>
      <c r="G38" s="355">
        <v>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11265.77</v>
      </c>
      <c r="R38" s="355">
        <v>17164.080000000002</v>
      </c>
      <c r="S38" s="355">
        <v>0</v>
      </c>
      <c r="T38" s="355">
        <v>0</v>
      </c>
      <c r="U38" s="355">
        <v>0</v>
      </c>
      <c r="V38" s="355">
        <v>0</v>
      </c>
      <c r="W38" s="355">
        <v>0</v>
      </c>
      <c r="X38" s="355">
        <v>0</v>
      </c>
      <c r="Y38" s="355">
        <v>0</v>
      </c>
      <c r="Z38" s="355">
        <v>0</v>
      </c>
      <c r="AA38" s="355">
        <v>0</v>
      </c>
      <c r="AB38" s="355">
        <v>10930.39</v>
      </c>
      <c r="AC38" s="355">
        <v>9713.34</v>
      </c>
      <c r="AD38" s="355">
        <v>0</v>
      </c>
      <c r="AE38" s="355">
        <v>0</v>
      </c>
      <c r="AF38" s="355">
        <v>0</v>
      </c>
      <c r="AG38" s="355">
        <v>0</v>
      </c>
      <c r="AH38" s="355">
        <v>0</v>
      </c>
      <c r="AI38" s="355">
        <v>0</v>
      </c>
      <c r="AJ38" s="355">
        <v>0</v>
      </c>
      <c r="AK38" s="355">
        <v>0</v>
      </c>
      <c r="AL38" s="355">
        <v>0</v>
      </c>
      <c r="AM38" s="355">
        <v>0</v>
      </c>
      <c r="AN38" s="355">
        <v>0</v>
      </c>
      <c r="AO38" s="355">
        <v>0</v>
      </c>
      <c r="AP38" s="355">
        <v>0</v>
      </c>
      <c r="AQ38" s="355">
        <v>0</v>
      </c>
      <c r="AR38" s="355">
        <v>0</v>
      </c>
      <c r="AS38" s="355">
        <v>219.4</v>
      </c>
      <c r="AT38" s="355">
        <v>0</v>
      </c>
      <c r="AU38" s="355">
        <v>0</v>
      </c>
      <c r="AV38" s="355">
        <v>0</v>
      </c>
      <c r="AW38" s="355">
        <v>0</v>
      </c>
      <c r="AX38" s="355">
        <v>0</v>
      </c>
      <c r="AY38" s="355">
        <v>0</v>
      </c>
      <c r="AZ38" s="355">
        <v>0</v>
      </c>
      <c r="BA38" s="355">
        <v>0</v>
      </c>
      <c r="BB38" s="404">
        <v>0</v>
      </c>
      <c r="BC38" s="404">
        <v>0</v>
      </c>
      <c r="BD38" s="404">
        <v>0</v>
      </c>
      <c r="BE38" s="404">
        <v>278.17</v>
      </c>
      <c r="BF38" s="404">
        <v>993.1</v>
      </c>
      <c r="BG38" s="404">
        <v>0</v>
      </c>
      <c r="BH38" s="404">
        <v>0</v>
      </c>
      <c r="BI38" s="404">
        <v>0</v>
      </c>
      <c r="BJ38" s="404">
        <v>0</v>
      </c>
      <c r="BK38" s="404">
        <v>0</v>
      </c>
      <c r="BL38" s="404">
        <v>0</v>
      </c>
      <c r="BM38" s="404">
        <v>0</v>
      </c>
      <c r="BN38" s="404">
        <v>0</v>
      </c>
      <c r="BO38" s="584">
        <v>0</v>
      </c>
      <c r="BP38" s="584">
        <v>0</v>
      </c>
      <c r="BQ38" s="584">
        <v>0</v>
      </c>
      <c r="BR38" s="584">
        <v>0</v>
      </c>
      <c r="BS38" s="584">
        <v>0</v>
      </c>
      <c r="BT38" s="584">
        <v>0</v>
      </c>
      <c r="BU38" s="584">
        <v>17810.62</v>
      </c>
      <c r="BV38" s="584">
        <v>65441.59</v>
      </c>
      <c r="BW38" s="584">
        <v>30893.3</v>
      </c>
      <c r="BX38" s="584">
        <v>0</v>
      </c>
      <c r="BY38" s="584">
        <v>0</v>
      </c>
      <c r="BZ38" s="584">
        <v>0</v>
      </c>
      <c r="CA38" s="584">
        <f>+'[8]Income Statement Detail'!DF32*1000</f>
        <v>2498600</v>
      </c>
      <c r="CB38" s="584">
        <f>+'[8]Income Statement Detail'!DG32*1000</f>
        <v>2630900</v>
      </c>
      <c r="CC38" s="584">
        <f>+'[8]Income Statement Detail'!DH32*1000</f>
        <v>2736500</v>
      </c>
      <c r="CD38" s="584">
        <f>+'[8]Income Statement Detail'!DI32*1000</f>
        <v>2798400</v>
      </c>
      <c r="CE38" s="584">
        <f>+'[8]Income Statement Detail'!DJ32*1000</f>
        <v>2841400</v>
      </c>
      <c r="CF38" s="584">
        <f>+'[8]Income Statement Detail'!DK32*1000</f>
        <v>2878800</v>
      </c>
      <c r="CG38" s="584">
        <f>+'[8]Income Statement Detail'!DL32*1000</f>
        <v>2937900</v>
      </c>
      <c r="CH38" s="584">
        <f>+'[8]Income Statement Detail'!DM32*1000</f>
        <v>2963300</v>
      </c>
      <c r="CI38" s="584">
        <f>+'[8]Income Statement Detail'!DN32*1000</f>
        <v>2974000</v>
      </c>
      <c r="CJ38" s="584">
        <f>+'[8]Income Statement Detail'!DO32*1000</f>
        <v>0</v>
      </c>
      <c r="CK38" s="584">
        <f>+'[8]Income Statement Detail'!DP32*1000</f>
        <v>0</v>
      </c>
      <c r="CL38" s="584">
        <f>+'[8]Income Statement Detail'!DQ32*1000</f>
        <v>0</v>
      </c>
      <c r="CM38" s="1053">
        <f t="shared" si="40"/>
        <v>25259800</v>
      </c>
      <c r="CN38" s="33"/>
      <c r="CO38" s="205"/>
      <c r="CP38" s="33"/>
    </row>
    <row r="39" spans="1:94">
      <c r="A39" t="s">
        <v>437</v>
      </c>
      <c r="C39" s="22"/>
      <c r="D39" s="708">
        <f t="shared" si="39"/>
        <v>61.9</v>
      </c>
      <c r="E39" s="709"/>
      <c r="F39" s="708">
        <f ca="1">SUM(OFFSET(BO39:BZ39,0,'Bal Sheet'!$A$1))/1000</f>
        <v>788.7</v>
      </c>
      <c r="G39" s="355">
        <v>61471</v>
      </c>
      <c r="H39" s="355">
        <v>61667</v>
      </c>
      <c r="I39" s="355">
        <v>61786.000000000007</v>
      </c>
      <c r="J39" s="355">
        <v>61519.000000000007</v>
      </c>
      <c r="K39" s="355">
        <v>61397.000000000007</v>
      </c>
      <c r="L39" s="355">
        <v>60711</v>
      </c>
      <c r="M39" s="355">
        <v>58858</v>
      </c>
      <c r="N39" s="355">
        <v>56890</v>
      </c>
      <c r="O39" s="355">
        <v>56308</v>
      </c>
      <c r="P39" s="355">
        <v>55755.119999999995</v>
      </c>
      <c r="Q39" s="355">
        <v>55424.87999999999</v>
      </c>
      <c r="R39" s="355">
        <v>75832.44</v>
      </c>
      <c r="S39" s="355">
        <v>47575.75</v>
      </c>
      <c r="T39" s="355">
        <v>54553.06</v>
      </c>
      <c r="U39" s="355">
        <v>58215.859999999971</v>
      </c>
      <c r="V39" s="355">
        <v>59953.73</v>
      </c>
      <c r="W39" s="355">
        <v>64137.11</v>
      </c>
      <c r="X39" s="355">
        <v>63925.09</v>
      </c>
      <c r="Y39" s="355">
        <v>65400.46</v>
      </c>
      <c r="Z39" s="355">
        <v>65203.68</v>
      </c>
      <c r="AA39" s="355">
        <v>65944.14</v>
      </c>
      <c r="AB39" s="355">
        <v>64652.650000000009</v>
      </c>
      <c r="AC39" s="355">
        <v>56088.36</v>
      </c>
      <c r="AD39" s="355">
        <v>41433.169999999984</v>
      </c>
      <c r="AE39" s="355">
        <v>55623.549999999988</v>
      </c>
      <c r="AF39" s="355">
        <v>57061.350000000006</v>
      </c>
      <c r="AG39" s="355">
        <v>63013.750000000029</v>
      </c>
      <c r="AH39" s="355">
        <v>66742.160000000033</v>
      </c>
      <c r="AI39" s="355">
        <v>71652.23000000001</v>
      </c>
      <c r="AJ39" s="355">
        <v>74356.570000000022</v>
      </c>
      <c r="AK39" s="355">
        <v>74194</v>
      </c>
      <c r="AL39" s="355">
        <v>71661.140000000014</v>
      </c>
      <c r="AM39" s="355">
        <v>70275.050000000017</v>
      </c>
      <c r="AN39" s="355">
        <v>67494.130000000019</v>
      </c>
      <c r="AO39" s="355">
        <v>62713.550000000017</v>
      </c>
      <c r="AP39" s="355">
        <v>48962.799999999988</v>
      </c>
      <c r="AQ39" s="355">
        <v>-145022.20000000001</v>
      </c>
      <c r="AR39" s="355">
        <v>-19905.880000000005</v>
      </c>
      <c r="AS39" s="355">
        <v>-160570.04999999999</v>
      </c>
      <c r="AT39" s="355">
        <v>-25574.42</v>
      </c>
      <c r="AU39" s="355">
        <v>498125.57</v>
      </c>
      <c r="AV39" s="355">
        <v>185997.39999999991</v>
      </c>
      <c r="AW39" s="355">
        <v>45836.630000000005</v>
      </c>
      <c r="AX39" s="355">
        <v>45689.53</v>
      </c>
      <c r="AY39" s="355">
        <v>45340.69</v>
      </c>
      <c r="AZ39" s="355">
        <v>44945.899999999994</v>
      </c>
      <c r="BA39" s="355">
        <v>44632.26999999999</v>
      </c>
      <c r="BB39" s="404">
        <v>19939.53</v>
      </c>
      <c r="BC39" s="404">
        <v>23996.459999999992</v>
      </c>
      <c r="BD39" s="404">
        <v>31247.650000000023</v>
      </c>
      <c r="BE39" s="404">
        <v>28477.64</v>
      </c>
      <c r="BF39" s="404">
        <v>32186.019999999997</v>
      </c>
      <c r="BG39" s="404">
        <v>35035.270000000004</v>
      </c>
      <c r="BH39" s="404">
        <v>32970.089999999997</v>
      </c>
      <c r="BI39" s="404">
        <v>33447.470000000008</v>
      </c>
      <c r="BJ39" s="404">
        <v>31970.030000000013</v>
      </c>
      <c r="BK39" s="404">
        <v>33317.679999999993</v>
      </c>
      <c r="BL39" s="404">
        <v>33344.509999999995</v>
      </c>
      <c r="BM39" s="404">
        <v>33793.789999999994</v>
      </c>
      <c r="BN39" s="404">
        <v>23926.300000000003</v>
      </c>
      <c r="BO39" s="584">
        <v>38809.009999999995</v>
      </c>
      <c r="BP39" s="584">
        <v>39287.459999999992</v>
      </c>
      <c r="BQ39" s="584">
        <v>39997.959999999992</v>
      </c>
      <c r="BR39" s="584">
        <v>40076.300000000017</v>
      </c>
      <c r="BS39" s="584">
        <v>43057.41</v>
      </c>
      <c r="BT39" s="584">
        <v>42825.25</v>
      </c>
      <c r="BU39" s="584">
        <v>47714.869999999995</v>
      </c>
      <c r="BV39" s="584">
        <v>51768.579999999987</v>
      </c>
      <c r="BW39" s="584">
        <v>57526.210000000006</v>
      </c>
      <c r="BX39" s="584">
        <v>77570.879999999946</v>
      </c>
      <c r="BY39" s="584">
        <v>71346.570000000065</v>
      </c>
      <c r="BZ39" s="584">
        <v>35592.990000000107</v>
      </c>
      <c r="CA39" s="584">
        <f>+'[8]Income Statement Detail'!DF33*1000</f>
        <v>67100</v>
      </c>
      <c r="CB39" s="584">
        <f>+'[8]Income Statement Detail'!DG33*1000</f>
        <v>68300</v>
      </c>
      <c r="CC39" s="584">
        <f>+'[8]Income Statement Detail'!DH33*1000</f>
        <v>69400</v>
      </c>
      <c r="CD39" s="584">
        <f>+'[8]Income Statement Detail'!DI33*1000</f>
        <v>69900</v>
      </c>
      <c r="CE39" s="584">
        <f>+'[8]Income Statement Detail'!DJ33*1000</f>
        <v>69500</v>
      </c>
      <c r="CF39" s="584">
        <f>+'[8]Income Statement Detail'!DK33*1000</f>
        <v>67899.999999999985</v>
      </c>
      <c r="CG39" s="584">
        <f>+'[8]Income Statement Detail'!DL33*1000</f>
        <v>65800</v>
      </c>
      <c r="CH39" s="584">
        <f>+'[8]Income Statement Detail'!DM33*1000</f>
        <v>63100</v>
      </c>
      <c r="CI39" s="584">
        <f>+'[8]Income Statement Detail'!DN33*1000</f>
        <v>62200</v>
      </c>
      <c r="CJ39" s="584">
        <f>+'[8]Income Statement Detail'!DO33*1000</f>
        <v>61900</v>
      </c>
      <c r="CK39" s="584">
        <f>+'[8]Income Statement Detail'!DP33*1000</f>
        <v>61700</v>
      </c>
      <c r="CL39" s="584">
        <f>+'[8]Income Statement Detail'!DQ33*1000</f>
        <v>61900</v>
      </c>
      <c r="CM39" s="1053">
        <f t="shared" si="40"/>
        <v>788700</v>
      </c>
      <c r="CN39" s="33"/>
      <c r="CO39" s="205"/>
      <c r="CP39" s="33"/>
    </row>
    <row r="40" spans="1:94">
      <c r="A40" t="s">
        <v>438</v>
      </c>
      <c r="C40" s="22"/>
      <c r="D40" s="708">
        <f t="shared" si="39"/>
        <v>-77.3</v>
      </c>
      <c r="E40" s="709"/>
      <c r="F40" s="708">
        <f ca="1">SUM(OFFSET(BO40:BZ40,0,'Bal Sheet'!$A$1))/1000</f>
        <v>-1449.9</v>
      </c>
      <c r="G40" s="355">
        <v>0</v>
      </c>
      <c r="H40" s="355">
        <v>0</v>
      </c>
      <c r="I40" s="355">
        <v>0</v>
      </c>
      <c r="J40" s="355">
        <v>0</v>
      </c>
      <c r="K40" s="355">
        <v>0</v>
      </c>
      <c r="L40" s="355">
        <v>0</v>
      </c>
      <c r="M40" s="355">
        <v>0</v>
      </c>
      <c r="N40" s="355">
        <v>0</v>
      </c>
      <c r="O40" s="355">
        <v>0</v>
      </c>
      <c r="P40" s="355">
        <v>0</v>
      </c>
      <c r="Q40" s="355">
        <v>0</v>
      </c>
      <c r="R40" s="355">
        <v>0</v>
      </c>
      <c r="S40" s="355">
        <v>0</v>
      </c>
      <c r="T40" s="355">
        <v>0</v>
      </c>
      <c r="U40" s="355">
        <v>0</v>
      </c>
      <c r="V40" s="355">
        <v>0</v>
      </c>
      <c r="W40" s="355">
        <v>0</v>
      </c>
      <c r="X40" s="355">
        <v>0</v>
      </c>
      <c r="Y40" s="355">
        <v>0</v>
      </c>
      <c r="Z40" s="355">
        <v>0</v>
      </c>
      <c r="AA40" s="355">
        <v>0</v>
      </c>
      <c r="AB40" s="355">
        <v>0</v>
      </c>
      <c r="AC40" s="355">
        <v>0</v>
      </c>
      <c r="AD40" s="355">
        <v>0</v>
      </c>
      <c r="AE40" s="355">
        <v>0</v>
      </c>
      <c r="AF40" s="355">
        <v>0</v>
      </c>
      <c r="AG40" s="355">
        <v>0</v>
      </c>
      <c r="AH40" s="355">
        <v>0</v>
      </c>
      <c r="AI40" s="355">
        <v>0</v>
      </c>
      <c r="AJ40" s="355">
        <v>0</v>
      </c>
      <c r="AK40" s="355">
        <v>0</v>
      </c>
      <c r="AL40" s="355">
        <v>-43419.48</v>
      </c>
      <c r="AM40" s="355">
        <v>-28294.53</v>
      </c>
      <c r="AN40" s="355">
        <v>-22465.389999999992</v>
      </c>
      <c r="AO40" s="355">
        <v>-25132.7</v>
      </c>
      <c r="AP40" s="355">
        <v>-31693.47</v>
      </c>
      <c r="AQ40" s="355">
        <v>-41123.9</v>
      </c>
      <c r="AR40" s="355">
        <v>-51382.78</v>
      </c>
      <c r="AS40" s="355">
        <v>-60040.59</v>
      </c>
      <c r="AT40" s="355">
        <v>-68313.5</v>
      </c>
      <c r="AU40" s="355">
        <v>-82831.14</v>
      </c>
      <c r="AV40" s="355">
        <v>-94708.89</v>
      </c>
      <c r="AW40" s="355">
        <v>-101897.5</v>
      </c>
      <c r="AX40" s="355">
        <v>-113702.74</v>
      </c>
      <c r="AY40" s="355">
        <v>-127173</v>
      </c>
      <c r="AZ40" s="355">
        <v>-100603.36</v>
      </c>
      <c r="BA40" s="355">
        <v>-74277.42</v>
      </c>
      <c r="BB40" s="404">
        <v>-85997.18</v>
      </c>
      <c r="BC40" s="404">
        <v>-97828.96</v>
      </c>
      <c r="BD40" s="404">
        <v>-118962.67</v>
      </c>
      <c r="BE40" s="404">
        <v>-125175.22</v>
      </c>
      <c r="BF40" s="404">
        <v>-101772.96</v>
      </c>
      <c r="BG40" s="404">
        <v>-70765.289999999994</v>
      </c>
      <c r="BH40" s="404">
        <v>-73446.960000000006</v>
      </c>
      <c r="BI40" s="404">
        <v>-79548.13</v>
      </c>
      <c r="BJ40" s="404">
        <v>-89530.79</v>
      </c>
      <c r="BK40" s="404">
        <v>-98143.71</v>
      </c>
      <c r="BL40" s="404">
        <v>-105329.65</v>
      </c>
      <c r="BM40" s="404">
        <v>-37935.15</v>
      </c>
      <c r="BN40" s="404">
        <v>-52206.77</v>
      </c>
      <c r="BO40" s="584">
        <v>-57599.07</v>
      </c>
      <c r="BP40" s="584">
        <v>-62866.879999999997</v>
      </c>
      <c r="BQ40" s="584">
        <v>-68331.64</v>
      </c>
      <c r="BR40" s="584">
        <v>-75234.820000000007</v>
      </c>
      <c r="BS40" s="584">
        <v>-83191.78</v>
      </c>
      <c r="BT40" s="584">
        <v>-92933.84</v>
      </c>
      <c r="BU40" s="584">
        <v>-103760.02</v>
      </c>
      <c r="BV40" s="584">
        <v>-111463.17</v>
      </c>
      <c r="BW40" s="584">
        <v>-118085.17</v>
      </c>
      <c r="BX40" s="584">
        <v>-53459.64</v>
      </c>
      <c r="BY40" s="584">
        <v>-78253.39</v>
      </c>
      <c r="BZ40" s="584">
        <v>-84749.19</v>
      </c>
      <c r="CA40" s="584">
        <f>+'[8]Income Statement Detail'!DF34*1000</f>
        <v>-105600</v>
      </c>
      <c r="CB40" s="584">
        <f>+'[8]Income Statement Detail'!DG34*1000</f>
        <v>-107600</v>
      </c>
      <c r="CC40" s="584">
        <f>+'[8]Income Statement Detail'!DH34*1000</f>
        <v>-113700</v>
      </c>
      <c r="CD40" s="584">
        <f>+'[8]Income Statement Detail'!DI34*1000</f>
        <v>-135800</v>
      </c>
      <c r="CE40" s="584">
        <f>+'[8]Income Statement Detail'!DJ34*1000</f>
        <v>-130500</v>
      </c>
      <c r="CF40" s="584">
        <f>+'[8]Income Statement Detail'!DK34*1000</f>
        <v>-112700</v>
      </c>
      <c r="CG40" s="584">
        <f>+'[8]Income Statement Detail'!DL34*1000</f>
        <v>-122500</v>
      </c>
      <c r="CH40" s="584">
        <f>+'[8]Income Statement Detail'!DM34*1000</f>
        <v>-133100</v>
      </c>
      <c r="CI40" s="584">
        <f>+'[8]Income Statement Detail'!DN34*1000</f>
        <v>-143300</v>
      </c>
      <c r="CJ40" s="584">
        <f>+'[8]Income Statement Detail'!DO34*1000</f>
        <v>-152100</v>
      </c>
      <c r="CK40" s="584">
        <f>+'[8]Income Statement Detail'!DP34*1000</f>
        <v>-115700</v>
      </c>
      <c r="CL40" s="584">
        <f>+'[8]Income Statement Detail'!DQ34*1000</f>
        <v>-77300</v>
      </c>
      <c r="CM40" s="1054">
        <f t="shared" si="40"/>
        <v>-1449900</v>
      </c>
      <c r="CN40" s="33"/>
      <c r="CO40" s="205"/>
      <c r="CP40" s="33"/>
    </row>
    <row r="41" spans="1:94">
      <c r="A41" t="s">
        <v>439</v>
      </c>
      <c r="C41" s="22"/>
      <c r="D41" s="711">
        <f t="shared" ref="D41" si="41">SUM(D35:D40)</f>
        <v>4286.5777047117508</v>
      </c>
      <c r="E41" s="709"/>
      <c r="F41" s="711">
        <f ca="1">SUM(OFFSET(BO41:BZ41,0,'Bal Sheet'!$A$1))/1000</f>
        <v>38112.849571355189</v>
      </c>
      <c r="G41" s="254">
        <f t="shared" ref="G41:AP41" si="42">SUM(G35:G40)</f>
        <v>1255079.43</v>
      </c>
      <c r="H41" s="254">
        <f t="shared" si="42"/>
        <v>1259900.3999999999</v>
      </c>
      <c r="I41" s="254">
        <f t="shared" si="42"/>
        <v>1264136.25</v>
      </c>
      <c r="J41" s="254">
        <f t="shared" si="42"/>
        <v>1267995.58</v>
      </c>
      <c r="K41" s="254">
        <f t="shared" si="42"/>
        <v>1244976.25</v>
      </c>
      <c r="L41" s="254">
        <f t="shared" si="42"/>
        <v>1256010.71</v>
      </c>
      <c r="M41" s="254">
        <f t="shared" si="42"/>
        <v>1266885.3999999999</v>
      </c>
      <c r="N41" s="254">
        <f t="shared" si="42"/>
        <v>1270187.24</v>
      </c>
      <c r="O41" s="254">
        <f t="shared" si="42"/>
        <v>1337748.83</v>
      </c>
      <c r="P41" s="254">
        <f t="shared" si="42"/>
        <v>1328189.1000000001</v>
      </c>
      <c r="Q41" s="254">
        <f t="shared" si="42"/>
        <v>1232176.73</v>
      </c>
      <c r="R41" s="254">
        <f t="shared" si="42"/>
        <v>1242670.1100000001</v>
      </c>
      <c r="S41" s="254">
        <f t="shared" si="42"/>
        <v>1203456.6599999999</v>
      </c>
      <c r="T41" s="254">
        <f t="shared" si="42"/>
        <v>1400203.62</v>
      </c>
      <c r="U41" s="254">
        <f t="shared" si="42"/>
        <v>1026055.24</v>
      </c>
      <c r="V41" s="254">
        <f t="shared" si="42"/>
        <v>1216382.25</v>
      </c>
      <c r="W41" s="254">
        <f t="shared" si="42"/>
        <v>1135245.8</v>
      </c>
      <c r="X41" s="254">
        <f t="shared" si="42"/>
        <v>1216499.97</v>
      </c>
      <c r="Y41" s="254">
        <f t="shared" si="42"/>
        <v>1213993.83</v>
      </c>
      <c r="Z41" s="254">
        <f t="shared" si="42"/>
        <v>1207740.72</v>
      </c>
      <c r="AA41" s="254">
        <f t="shared" si="42"/>
        <v>1214136.8499999999</v>
      </c>
      <c r="AB41" s="254">
        <f t="shared" si="42"/>
        <v>1300728.4199999997</v>
      </c>
      <c r="AC41" s="254">
        <f t="shared" si="42"/>
        <v>1337054.3800000001</v>
      </c>
      <c r="AD41" s="254">
        <f t="shared" si="42"/>
        <v>1419817.01</v>
      </c>
      <c r="AE41" s="254">
        <f t="shared" si="42"/>
        <v>1495065.8099999998</v>
      </c>
      <c r="AF41" s="254">
        <f t="shared" si="42"/>
        <v>1479410.9899999998</v>
      </c>
      <c r="AG41" s="254">
        <f t="shared" si="42"/>
        <v>1463219.2299999997</v>
      </c>
      <c r="AH41" s="254">
        <f t="shared" si="42"/>
        <v>1452998.4699999997</v>
      </c>
      <c r="AI41" s="254">
        <f t="shared" si="42"/>
        <v>1397881.5199999998</v>
      </c>
      <c r="AJ41" s="254">
        <f t="shared" si="42"/>
        <v>1177739.6099999999</v>
      </c>
      <c r="AK41" s="254">
        <f t="shared" si="42"/>
        <v>1427251.0999999999</v>
      </c>
      <c r="AL41" s="254">
        <f t="shared" si="42"/>
        <v>1425005.1400000001</v>
      </c>
      <c r="AM41" s="254">
        <f t="shared" si="42"/>
        <v>1448236.05</v>
      </c>
      <c r="AN41" s="254">
        <f t="shared" si="42"/>
        <v>1462464.1000000003</v>
      </c>
      <c r="AO41" s="254">
        <f t="shared" si="42"/>
        <v>1462228.6500000001</v>
      </c>
      <c r="AP41" s="254">
        <f t="shared" si="42"/>
        <v>1498991.93</v>
      </c>
      <c r="AQ41" s="254">
        <f t="shared" ref="AQ41:AW41" si="43">SUM(AQ35:AQ40)</f>
        <v>1325709.5900000001</v>
      </c>
      <c r="AR41" s="254">
        <f t="shared" si="43"/>
        <v>1319466.45</v>
      </c>
      <c r="AS41" s="254">
        <f t="shared" si="43"/>
        <v>1311929.9499999997</v>
      </c>
      <c r="AT41" s="254">
        <f t="shared" si="43"/>
        <v>1301408.53</v>
      </c>
      <c r="AU41" s="254">
        <f t="shared" si="43"/>
        <v>1811016.7000000002</v>
      </c>
      <c r="AV41" s="254">
        <f t="shared" si="43"/>
        <v>1491703.8399999999</v>
      </c>
      <c r="AW41" s="254">
        <f t="shared" si="43"/>
        <v>1363132.92</v>
      </c>
      <c r="AX41" s="254">
        <f t="shared" ref="AX41:BB41" si="44">SUM(AX35:AX40)</f>
        <v>1347961.3699999999</v>
      </c>
      <c r="AY41" s="254">
        <f t="shared" si="44"/>
        <v>1330002.7299999997</v>
      </c>
      <c r="AZ41" s="254">
        <f t="shared" si="44"/>
        <v>1374791.4599999997</v>
      </c>
      <c r="BA41" s="254">
        <f t="shared" si="44"/>
        <v>1415569.81</v>
      </c>
      <c r="BB41" s="716">
        <f t="shared" si="44"/>
        <v>1418526.21</v>
      </c>
      <c r="BC41" s="716">
        <f t="shared" ref="BC41:BN41" si="45">SUM(BC35:BC40)</f>
        <v>1446642.45</v>
      </c>
      <c r="BD41" s="716">
        <f t="shared" si="45"/>
        <v>1419311.0899999999</v>
      </c>
      <c r="BE41" s="716">
        <f t="shared" si="45"/>
        <v>1706418.5799999998</v>
      </c>
      <c r="BF41" s="716">
        <f t="shared" si="45"/>
        <v>1836719.52</v>
      </c>
      <c r="BG41" s="716">
        <f t="shared" si="45"/>
        <v>1680077.6099999999</v>
      </c>
      <c r="BH41" s="716">
        <f t="shared" si="45"/>
        <v>1827658.1300000001</v>
      </c>
      <c r="BI41" s="716">
        <f t="shared" si="45"/>
        <v>1670378.98</v>
      </c>
      <c r="BJ41" s="716">
        <f t="shared" si="45"/>
        <v>1663540.4599999997</v>
      </c>
      <c r="BK41" s="716">
        <f t="shared" si="45"/>
        <v>1553838.8699999999</v>
      </c>
      <c r="BL41" s="716">
        <f t="shared" si="45"/>
        <v>1653668.5599999998</v>
      </c>
      <c r="BM41" s="716">
        <f t="shared" si="45"/>
        <v>1724168.83</v>
      </c>
      <c r="BN41" s="716">
        <f t="shared" si="45"/>
        <v>1720128.0899999999</v>
      </c>
      <c r="BO41" s="716">
        <f t="shared" ref="BO41:BZ41" si="46">SUM(BO35:BO40)</f>
        <v>1764328.3399999999</v>
      </c>
      <c r="BP41" s="716">
        <f t="shared" si="46"/>
        <v>1737493.4</v>
      </c>
      <c r="BQ41" s="716">
        <f t="shared" si="46"/>
        <v>1777801.4799999997</v>
      </c>
      <c r="BR41" s="716">
        <f t="shared" si="46"/>
        <v>1812749.3599999999</v>
      </c>
      <c r="BS41" s="716">
        <f t="shared" si="46"/>
        <v>1876363.9999999998</v>
      </c>
      <c r="BT41" s="716">
        <f t="shared" si="46"/>
        <v>1892209.1499999997</v>
      </c>
      <c r="BU41" s="716">
        <f t="shared" si="46"/>
        <v>2134620.1</v>
      </c>
      <c r="BV41" s="716">
        <f t="shared" si="46"/>
        <v>2222983.3899999997</v>
      </c>
      <c r="BW41" s="716">
        <f t="shared" si="46"/>
        <v>2269236.3799999994</v>
      </c>
      <c r="BX41" s="716">
        <f t="shared" si="46"/>
        <v>2441153.7099999995</v>
      </c>
      <c r="BY41" s="716">
        <f t="shared" si="46"/>
        <v>2502464.9600000004</v>
      </c>
      <c r="BZ41" s="716">
        <f t="shared" si="46"/>
        <v>2610748.0000000005</v>
      </c>
      <c r="CA41" s="716">
        <f t="shared" ref="CA41:CL41" si="47">SUM(CA35:CA40)</f>
        <v>2460100</v>
      </c>
      <c r="CB41" s="716">
        <f t="shared" si="47"/>
        <v>2591600</v>
      </c>
      <c r="CC41" s="716">
        <f t="shared" si="47"/>
        <v>2692200</v>
      </c>
      <c r="CD41" s="716">
        <f t="shared" si="47"/>
        <v>2732500</v>
      </c>
      <c r="CE41" s="716">
        <f t="shared" si="47"/>
        <v>2780400</v>
      </c>
      <c r="CF41" s="716">
        <f t="shared" si="47"/>
        <v>2834000</v>
      </c>
      <c r="CG41" s="716">
        <f t="shared" si="47"/>
        <v>2881200</v>
      </c>
      <c r="CH41" s="716">
        <f t="shared" si="47"/>
        <v>2893300</v>
      </c>
      <c r="CI41" s="716">
        <f t="shared" si="47"/>
        <v>2892900</v>
      </c>
      <c r="CJ41" s="716">
        <f t="shared" si="47"/>
        <v>4808308.308457002</v>
      </c>
      <c r="CK41" s="716">
        <f t="shared" si="47"/>
        <v>4259763.5581864323</v>
      </c>
      <c r="CL41" s="716">
        <f t="shared" si="47"/>
        <v>4286577.7047117511</v>
      </c>
      <c r="CM41" s="1057">
        <f t="shared" si="40"/>
        <v>38112849.571355186</v>
      </c>
      <c r="CN41" s="33"/>
      <c r="CO41" s="205"/>
      <c r="CP41" s="33"/>
    </row>
    <row r="42" spans="1:94">
      <c r="C42" s="22"/>
      <c r="D42" s="708"/>
      <c r="E42" s="709"/>
      <c r="F42" s="708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717"/>
      <c r="BC42" s="717"/>
      <c r="BD42" s="717"/>
      <c r="BE42" s="717"/>
      <c r="BF42" s="717"/>
      <c r="BG42" s="717"/>
      <c r="BH42" s="717"/>
      <c r="BI42" s="717"/>
      <c r="BJ42" s="717"/>
      <c r="BK42" s="717"/>
      <c r="BL42" s="717"/>
      <c r="BM42" s="717"/>
      <c r="BN42" s="717"/>
      <c r="BO42" s="717"/>
      <c r="BP42" s="717"/>
      <c r="BQ42" s="717"/>
      <c r="BR42" s="717"/>
      <c r="BS42" s="717"/>
      <c r="BT42" s="717"/>
      <c r="BU42" s="717"/>
      <c r="BV42" s="717"/>
      <c r="BW42" s="717"/>
      <c r="BX42" s="717"/>
      <c r="BY42" s="717"/>
      <c r="BZ42" s="717"/>
      <c r="CA42" s="717"/>
      <c r="CB42" s="717"/>
      <c r="CC42" s="717"/>
      <c r="CD42" s="717"/>
      <c r="CE42" s="717"/>
      <c r="CF42" s="717"/>
      <c r="CG42" s="717"/>
      <c r="CH42" s="717"/>
      <c r="CI42" s="717"/>
      <c r="CJ42" s="717"/>
      <c r="CK42" s="717"/>
      <c r="CL42" s="717"/>
      <c r="CM42" s="1058"/>
      <c r="CN42" s="33"/>
      <c r="CO42" s="205"/>
      <c r="CP42" s="33"/>
    </row>
    <row r="43" spans="1:94" ht="13.5" thickBot="1">
      <c r="A43" t="s">
        <v>440</v>
      </c>
      <c r="C43" s="22"/>
      <c r="D43" s="714">
        <f t="shared" ref="D43" si="48">+D22+D32-D41</f>
        <v>12880.827715288244</v>
      </c>
      <c r="E43" s="709"/>
      <c r="F43" s="714">
        <f ca="1">SUM(OFFSET(BO43:BZ43,0,'Bal Sheet'!$A$1))/1000</f>
        <v>84703.250428644693</v>
      </c>
      <c r="G43" s="256">
        <f t="shared" ref="G43:AO43" si="49">+G22+G32-G41</f>
        <v>5364828.8800000008</v>
      </c>
      <c r="H43" s="256">
        <f t="shared" si="49"/>
        <v>3871211.0399999912</v>
      </c>
      <c r="I43" s="256">
        <f t="shared" si="49"/>
        <v>4536791.43</v>
      </c>
      <c r="J43" s="256">
        <f t="shared" si="49"/>
        <v>3830968.0299999975</v>
      </c>
      <c r="K43" s="256">
        <f t="shared" si="49"/>
        <v>3718372.6800000053</v>
      </c>
      <c r="L43" s="256">
        <f t="shared" si="49"/>
        <v>2081619.0699999984</v>
      </c>
      <c r="M43" s="256">
        <f t="shared" si="49"/>
        <v>2758883.76</v>
      </c>
      <c r="N43" s="256">
        <f t="shared" si="49"/>
        <v>2496907.5799999945</v>
      </c>
      <c r="O43" s="256">
        <f t="shared" si="49"/>
        <v>2707918.4300000034</v>
      </c>
      <c r="P43" s="256">
        <f t="shared" si="49"/>
        <v>2630149.9099999936</v>
      </c>
      <c r="Q43" s="256">
        <f t="shared" si="49"/>
        <v>3443330.2300000028</v>
      </c>
      <c r="R43" s="256">
        <f t="shared" si="49"/>
        <v>5584119.0700000068</v>
      </c>
      <c r="S43" s="256">
        <f t="shared" si="49"/>
        <v>9302106.2899999954</v>
      </c>
      <c r="T43" s="256">
        <f t="shared" si="49"/>
        <v>4503468.3299999982</v>
      </c>
      <c r="U43" s="256">
        <f t="shared" si="49"/>
        <v>1650568.7199999939</v>
      </c>
      <c r="V43" s="256">
        <f t="shared" si="49"/>
        <v>5304901.640000009</v>
      </c>
      <c r="W43" s="256">
        <f t="shared" si="49"/>
        <v>2688164.0399999982</v>
      </c>
      <c r="X43" s="256">
        <f t="shared" si="49"/>
        <v>3096375.0000000037</v>
      </c>
      <c r="Y43" s="256">
        <f t="shared" si="49"/>
        <v>3105270.2000000048</v>
      </c>
      <c r="Z43" s="256">
        <f t="shared" si="49"/>
        <v>2532103.3200000012</v>
      </c>
      <c r="AA43" s="256">
        <f t="shared" si="49"/>
        <v>3697950.5100000119</v>
      </c>
      <c r="AB43" s="256">
        <f t="shared" si="49"/>
        <v>2803273.2300000051</v>
      </c>
      <c r="AC43" s="256">
        <f t="shared" si="49"/>
        <v>3521863.3600000143</v>
      </c>
      <c r="AD43" s="256">
        <f t="shared" si="49"/>
        <v>5493355.7600000156</v>
      </c>
      <c r="AE43" s="256">
        <f t="shared" si="49"/>
        <v>6617945.8900000006</v>
      </c>
      <c r="AF43" s="256">
        <f t="shared" si="49"/>
        <v>5866661.8500000071</v>
      </c>
      <c r="AG43" s="256">
        <f t="shared" si="49"/>
        <v>5496050.3100000033</v>
      </c>
      <c r="AH43" s="256">
        <f t="shared" si="49"/>
        <v>5226930.1899999995</v>
      </c>
      <c r="AI43" s="256">
        <f t="shared" si="49"/>
        <v>4583161.1199999936</v>
      </c>
      <c r="AJ43" s="256">
        <f t="shared" si="49"/>
        <v>3765173.3700000071</v>
      </c>
      <c r="AK43" s="256">
        <f t="shared" si="49"/>
        <v>3058815.379999999</v>
      </c>
      <c r="AL43" s="256">
        <f t="shared" si="49"/>
        <v>3841883.8399999994</v>
      </c>
      <c r="AM43" s="256">
        <f t="shared" si="49"/>
        <v>3683859.6300000008</v>
      </c>
      <c r="AN43" s="256">
        <f t="shared" si="49"/>
        <v>3425608.0900000017</v>
      </c>
      <c r="AO43" s="256">
        <f t="shared" si="49"/>
        <v>4401638.7099999925</v>
      </c>
      <c r="AP43" s="256">
        <f>+AP22+AP32-AP41</f>
        <v>4061404.6899999911</v>
      </c>
      <c r="AQ43" s="256">
        <f t="shared" ref="AQ43:AW43" si="50">+AQ22+AQ32-AQ41</f>
        <v>7675617.6199999973</v>
      </c>
      <c r="AR43" s="256">
        <f t="shared" si="50"/>
        <v>5940466.9200000009</v>
      </c>
      <c r="AS43" s="256">
        <f t="shared" si="50"/>
        <v>4844783.179999996</v>
      </c>
      <c r="AT43" s="256">
        <f t="shared" si="50"/>
        <v>3710728.2800000058</v>
      </c>
      <c r="AU43" s="256">
        <f t="shared" si="50"/>
        <v>3608346.84</v>
      </c>
      <c r="AV43" s="256">
        <f t="shared" si="50"/>
        <v>3209793.1400000015</v>
      </c>
      <c r="AW43" s="256">
        <f t="shared" si="50"/>
        <v>3096133.4199999981</v>
      </c>
      <c r="AX43" s="256">
        <f t="shared" ref="AX43:BB43" si="51">+AX22+AX32-AX41</f>
        <v>3757822.8500000034</v>
      </c>
      <c r="AY43" s="256">
        <f t="shared" si="51"/>
        <v>3415357.6500000004</v>
      </c>
      <c r="AZ43" s="256">
        <f t="shared" si="51"/>
        <v>2946877.299999997</v>
      </c>
      <c r="BA43" s="256">
        <f t="shared" si="51"/>
        <v>5089897.0800000038</v>
      </c>
      <c r="BB43" s="718">
        <f t="shared" si="51"/>
        <v>4619564.9800000014</v>
      </c>
      <c r="BC43" s="718">
        <f t="shared" ref="BC43:BN43" si="52">+BC22+BC32-BC41</f>
        <v>11395487.329999998</v>
      </c>
      <c r="BD43" s="718">
        <f t="shared" si="52"/>
        <v>8009638.0999999978</v>
      </c>
      <c r="BE43" s="718">
        <f t="shared" si="52"/>
        <v>7690800.4700000025</v>
      </c>
      <c r="BF43" s="718">
        <f t="shared" si="52"/>
        <v>7693733.1100000013</v>
      </c>
      <c r="BG43" s="718">
        <f t="shared" si="52"/>
        <v>5523422.1400000099</v>
      </c>
      <c r="BH43" s="718">
        <f t="shared" si="52"/>
        <v>5442618.1799999988</v>
      </c>
      <c r="BI43" s="718">
        <f t="shared" si="52"/>
        <v>4434602.4600000046</v>
      </c>
      <c r="BJ43" s="718">
        <f t="shared" si="52"/>
        <v>4767526.4300000016</v>
      </c>
      <c r="BK43" s="718">
        <f t="shared" si="52"/>
        <v>5555927.8699999982</v>
      </c>
      <c r="BL43" s="718">
        <f t="shared" si="52"/>
        <v>5105687.1500000013</v>
      </c>
      <c r="BM43" s="718">
        <f t="shared" si="52"/>
        <v>5800885.7700000061</v>
      </c>
      <c r="BN43" s="718">
        <f t="shared" si="52"/>
        <v>5862599.7900000103</v>
      </c>
      <c r="BO43" s="718">
        <f t="shared" ref="BO43:BZ43" si="53">+BO22+BO32-BO41</f>
        <v>9787937.4600000028</v>
      </c>
      <c r="BP43" s="718">
        <f t="shared" si="53"/>
        <v>8848433.3600000106</v>
      </c>
      <c r="BQ43" s="718">
        <f t="shared" si="53"/>
        <v>10906631.870000001</v>
      </c>
      <c r="BR43" s="718">
        <f t="shared" si="53"/>
        <v>6709140.3300000038</v>
      </c>
      <c r="BS43" s="718">
        <f t="shared" si="53"/>
        <v>6255344.3100000089</v>
      </c>
      <c r="BT43" s="718">
        <f t="shared" si="53"/>
        <v>6658559.830000001</v>
      </c>
      <c r="BU43" s="718">
        <f t="shared" si="53"/>
        <v>4395198.3500000052</v>
      </c>
      <c r="BV43" s="718">
        <f t="shared" si="53"/>
        <v>4562159.5000000093</v>
      </c>
      <c r="BW43" s="718">
        <f t="shared" si="53"/>
        <v>7270008.4300000109</v>
      </c>
      <c r="BX43" s="718">
        <f t="shared" si="53"/>
        <v>4804065.5199999977</v>
      </c>
      <c r="BY43" s="718">
        <f t="shared" si="53"/>
        <v>5933019.0599999912</v>
      </c>
      <c r="BZ43" s="718">
        <f t="shared" si="53"/>
        <v>6107119.9299999867</v>
      </c>
      <c r="CA43" s="718">
        <f t="shared" ref="CA43:CL43" si="54">+CA22+CA32-CA41</f>
        <v>9569699.9999999776</v>
      </c>
      <c r="CB43" s="718">
        <f t="shared" si="54"/>
        <v>8659999.9999999925</v>
      </c>
      <c r="CC43" s="718">
        <f t="shared" si="54"/>
        <v>10800399.999999989</v>
      </c>
      <c r="CD43" s="718">
        <f t="shared" si="54"/>
        <v>7004099.9999999925</v>
      </c>
      <c r="CE43" s="718">
        <f t="shared" si="54"/>
        <v>5310199.9999999888</v>
      </c>
      <c r="CF43" s="718">
        <f t="shared" si="54"/>
        <v>6877899.9999999888</v>
      </c>
      <c r="CG43" s="718">
        <f t="shared" si="54"/>
        <v>4422999.9999999776</v>
      </c>
      <c r="CH43" s="718">
        <f t="shared" si="54"/>
        <v>4216500.0000000075</v>
      </c>
      <c r="CI43" s="718">
        <f t="shared" si="54"/>
        <v>6262299.9999999776</v>
      </c>
      <c r="CJ43" s="718">
        <f t="shared" si="54"/>
        <v>3193591.691542998</v>
      </c>
      <c r="CK43" s="718">
        <f t="shared" si="54"/>
        <v>5800636.4418135453</v>
      </c>
      <c r="CL43" s="718">
        <f t="shared" si="54"/>
        <v>12584922.295288242</v>
      </c>
      <c r="CM43" s="1059">
        <f>+CM22+CM32-CM41</f>
        <v>84703250.428644687</v>
      </c>
      <c r="CN43" s="211">
        <f ca="1">+CM43/('Bal Sheet'!B63*1000)</f>
        <v>8.0740419296723667E-2</v>
      </c>
      <c r="CO43" s="205"/>
      <c r="CP43" s="33"/>
    </row>
    <row r="44" spans="1:94" ht="13.5" thickTop="1">
      <c r="C44" s="22"/>
      <c r="E44" s="709"/>
      <c r="G44" s="955">
        <v>0</v>
      </c>
      <c r="H44" s="955">
        <v>0</v>
      </c>
      <c r="I44" s="955">
        <v>0</v>
      </c>
      <c r="J44" s="955">
        <v>0</v>
      </c>
      <c r="K44" s="955">
        <v>0</v>
      </c>
      <c r="L44" s="955">
        <v>0</v>
      </c>
      <c r="M44" s="955">
        <v>0</v>
      </c>
      <c r="N44" s="955">
        <v>0</v>
      </c>
      <c r="O44" s="955">
        <v>0</v>
      </c>
      <c r="P44" s="955">
        <v>0</v>
      </c>
      <c r="Q44" s="955">
        <v>0</v>
      </c>
      <c r="R44" s="955">
        <v>0</v>
      </c>
      <c r="S44" s="955">
        <v>0</v>
      </c>
      <c r="T44" s="955">
        <v>0</v>
      </c>
      <c r="U44" s="955">
        <v>0</v>
      </c>
      <c r="V44" s="955">
        <v>0</v>
      </c>
      <c r="W44" s="955">
        <v>0</v>
      </c>
      <c r="X44" s="955">
        <v>0</v>
      </c>
      <c r="Y44" s="955">
        <v>0</v>
      </c>
      <c r="Z44" s="955">
        <v>0</v>
      </c>
      <c r="AA44" s="955">
        <v>0</v>
      </c>
      <c r="AB44" s="955">
        <v>0</v>
      </c>
      <c r="AC44" s="955">
        <v>0</v>
      </c>
      <c r="AD44" s="955">
        <v>0</v>
      </c>
      <c r="AE44" s="955">
        <f>+AE43-'[8]Income Statement Detail'!BJ46*1000</f>
        <v>345.88999998755753</v>
      </c>
      <c r="AF44" s="955">
        <f>+AF43-'[8]Income Statement Detail'!BK46*1000</f>
        <v>-538.14999999012798</v>
      </c>
      <c r="AG44" s="955">
        <f>+AG43-'[8]Income Statement Detail'!BL46*1000</f>
        <v>-549.68999999389052</v>
      </c>
      <c r="AH44" s="955">
        <f>+AH43-'[8]Income Statement Detail'!BM46*1000</f>
        <v>-269.80999999586493</v>
      </c>
      <c r="AI44" s="955">
        <f>+AI43-'[8]Income Statement Detail'!BN46*1000</f>
        <v>-638.88000001013279</v>
      </c>
      <c r="AJ44" s="955">
        <f>+AJ43-'[8]Income Statement Detail'!BO46*1000</f>
        <v>673.370000008028</v>
      </c>
      <c r="AK44" s="955">
        <f>+AK43-'[8]Income Statement Detail'!BP46*1000</f>
        <v>215.38000000175089</v>
      </c>
      <c r="AL44" s="955">
        <f>+AL43-'[8]Income Statement Detail'!BQ46*1000</f>
        <v>-116.16000000061467</v>
      </c>
      <c r="AM44" s="955">
        <f>+AM43-'[8]Income Statement Detail'!BR46*1000</f>
        <v>459.6299999980256</v>
      </c>
      <c r="AN44" s="955">
        <f>+AN43-'[8]Income Statement Detail'!BS46*1000</f>
        <v>8.0900000054389238</v>
      </c>
      <c r="AO44" s="955">
        <f>+AO43-'[8]Income Statement Detail'!BT46*1000</f>
        <v>338.70999999064952</v>
      </c>
      <c r="AP44" s="955">
        <f>+AP43-'[8]Income Statement Detail'!BU46*1000</f>
        <v>604.6899999929592</v>
      </c>
      <c r="AQ44" s="955">
        <f>+AQ43-'[8]Income Statement Detail'!$BV$46*1000</f>
        <v>117.6200000019744</v>
      </c>
      <c r="AR44" s="955">
        <f>+AR43-'[8]Income Statement Detail'!BW46*1000</f>
        <v>366.9200000083074</v>
      </c>
      <c r="AS44" s="955">
        <f>+AS43-'[8]Income Statement Detail'!BX46*1000</f>
        <v>183.18000000156462</v>
      </c>
      <c r="AT44" s="955">
        <f>+AT43-'[8]Income Statement Detail'!BY46*1000</f>
        <v>-671.71999999182299</v>
      </c>
      <c r="AU44" s="955">
        <f>+AU43-'[8]Income Statement Detail'!BZ46*1000</f>
        <v>346.83999998541549</v>
      </c>
      <c r="AV44" s="955">
        <f>+AV43-'[8]Income Statement Detail'!CA46*1000</f>
        <v>93.140000007115304</v>
      </c>
      <c r="AW44" s="955">
        <f>+AW43-'[8]Income Statement Detail'!CB46*1000</f>
        <v>833.42000000411645</v>
      </c>
      <c r="AX44" s="955">
        <f>+AX43-'[8]Income Statement Detail'!CC46*1000</f>
        <v>222.85000000242144</v>
      </c>
      <c r="AY44" s="955">
        <f>+AY43-'[8]Income Statement Detail'!CD46*1000</f>
        <v>-342.34999998752028</v>
      </c>
      <c r="AZ44" s="955">
        <f>+AZ43-'[8]Income Statement Detail'!CE46*1000</f>
        <v>477.29999998537824</v>
      </c>
      <c r="BA44" s="955">
        <f>+BA43-'[8]Income Statement Detail'!CF46*1000</f>
        <v>297.08000000752509</v>
      </c>
      <c r="BB44" s="707">
        <f>+BB43-'[8]Income Statement Detail'!CG46*1000</f>
        <v>-235.01999997999519</v>
      </c>
      <c r="BC44" s="707">
        <f>+BC43-'[8]Income Statement Detail'!CH46*1000</f>
        <v>287.32999998703599</v>
      </c>
      <c r="BD44" s="707">
        <f>+BD43-'[8]Income Statement Detail'!CI46*1000</f>
        <v>38.100000032223761</v>
      </c>
      <c r="BE44" s="956">
        <f>+BE43-'[8]Income Statement Detail'!CJ46*1000</f>
        <v>500.47000001277775</v>
      </c>
      <c r="BF44" s="719">
        <f>+BF43-'[8]Income Statement Detail'!CK46*1000</f>
        <v>33.11000001244247</v>
      </c>
      <c r="BG44" s="719">
        <f>+BG43-'[8]Income Statement Detail'!CL46*1000</f>
        <v>122.14000002294779</v>
      </c>
      <c r="BH44" s="719">
        <f>+BH43-'[8]Income Statement Detail'!CM46*1000</f>
        <v>418.17999999318272</v>
      </c>
      <c r="BI44" s="719">
        <f>+BI43-'[8]Income Statement Detail'!CN46*1000</f>
        <v>-97.540000004693866</v>
      </c>
      <c r="BJ44" s="719">
        <f>+BJ43-'[8]Income Statement Detail'!CO46*1000</f>
        <v>-573.56999998632818</v>
      </c>
      <c r="BK44" s="719">
        <f>+BK43-'[8]Income Statement Detail'!CP46*1000</f>
        <v>627.87000001315027</v>
      </c>
      <c r="BL44" s="719">
        <f>+BL43-'[8]Income Statement Detail'!CQ46*1000</f>
        <v>-112.84999999590218</v>
      </c>
      <c r="BM44" s="719">
        <f>+BM43-'[8]Income Statement Detail'!CR46*1000</f>
        <v>485.77000002469867</v>
      </c>
      <c r="BN44" s="719">
        <f>+BN43-'[8]Income Statement Detail'!CS46*1000</f>
        <v>499.79000002983958</v>
      </c>
      <c r="BO44" s="719">
        <v>-462.53999997116625</v>
      </c>
      <c r="BP44" s="719">
        <v>433.36000002920628</v>
      </c>
      <c r="BQ44" s="719">
        <v>1431.8700000140816</v>
      </c>
      <c r="BR44" s="719">
        <f>+BR43-'[8]Income Statement Detail'!CW46*1000</f>
        <v>40.329999998211861</v>
      </c>
      <c r="BS44" s="719">
        <f>+BS43-'[8]Income Statement Detail'!CX46*1000</f>
        <v>144.31000002846122</v>
      </c>
      <c r="BT44" s="719">
        <f>+BT43-'[8]Income Statement Detail'!CY46*1000</f>
        <v>259.83000003919005</v>
      </c>
      <c r="BU44" s="719">
        <f>+BU43-'[8]Income Statement Detail'!CZ46*1000</f>
        <v>-201.64999996684492</v>
      </c>
      <c r="BV44" s="719">
        <f>+BV43-'[8]Income Statement Detail'!DA46*1000</f>
        <v>-340.49999998882413</v>
      </c>
      <c r="BW44" s="719">
        <f>+BW43-'[8]Income Statement Detail'!DB46*1000</f>
        <v>-591.57000000588596</v>
      </c>
      <c r="BX44" s="719">
        <f>+BX43-'[8]Income Statement Detail'!DC46*1000</f>
        <v>465.51999998278916</v>
      </c>
      <c r="BY44" s="719">
        <f>+BY43-'[8]Income Statement Detail'!DD46*1000</f>
        <v>119.0600000070408</v>
      </c>
      <c r="BZ44" s="719">
        <f>+BZ43-'[8]Income Statement Detail'!DE46*1000</f>
        <v>-180.07000000029802</v>
      </c>
      <c r="CA44" s="719">
        <f>+CA43-'[8]Income Statement Detail'!DF46*1000</f>
        <v>0</v>
      </c>
      <c r="CB44" s="719">
        <f>+CB43-'[8]Income Statement Detail'!DG46*1000</f>
        <v>0</v>
      </c>
      <c r="CC44" s="719">
        <f>+CC43-'[8]Income Statement Detail'!DH46*1000</f>
        <v>0</v>
      </c>
      <c r="CD44" s="719">
        <f>+CD43-'[8]Income Statement Detail'!DI46*1000</f>
        <v>0</v>
      </c>
      <c r="CE44" s="719">
        <f>+CE43-'[8]Income Statement Detail'!DJ46*1000</f>
        <v>0</v>
      </c>
      <c r="CF44" s="719">
        <f>+CF43-'[8]Income Statement Detail'!DK46*1000</f>
        <v>0</v>
      </c>
      <c r="CG44" s="719">
        <f>+CG43-'[8]Income Statement Detail'!DL46*1000</f>
        <v>0</v>
      </c>
      <c r="CH44" s="719">
        <f>+CH43-'[8]Income Statement Detail'!DM46*1000</f>
        <v>0</v>
      </c>
      <c r="CI44" s="719">
        <f>+CI43-'[8]Income Statement Detail'!DN46*1000</f>
        <v>0</v>
      </c>
      <c r="CJ44" s="719">
        <f>+CJ43-'[8]Income Statement Detail'!DO46*1000</f>
        <v>-4.6566128730773926E-9</v>
      </c>
      <c r="CK44" s="719">
        <f>+CK43-'[8]Income Statement Detail'!DP46*1000</f>
        <v>0</v>
      </c>
      <c r="CL44" s="719">
        <f>+CL43-'[8]Income Statement Detail'!DQ46*1000</f>
        <v>0</v>
      </c>
      <c r="CM44" s="1060">
        <f t="shared" ref="CM44" si="55">SUM(CA44:CL44)</f>
        <v>-4.6566128730773926E-9</v>
      </c>
      <c r="CN44" s="447"/>
      <c r="CO44" s="33"/>
      <c r="CP44" s="33"/>
    </row>
    <row r="45" spans="1:94">
      <c r="C45" s="22"/>
      <c r="E45" s="709"/>
      <c r="G45" s="955"/>
      <c r="H45" s="955"/>
      <c r="I45" s="955"/>
      <c r="J45" s="955"/>
      <c r="K45" s="955"/>
      <c r="L45" s="955"/>
      <c r="M45" s="955"/>
      <c r="N45" s="955"/>
      <c r="O45" s="955"/>
      <c r="P45" s="955"/>
      <c r="Q45" s="955"/>
      <c r="R45" s="955"/>
      <c r="S45" s="955"/>
      <c r="T45" s="955"/>
      <c r="U45" s="955"/>
      <c r="V45" s="955"/>
      <c r="W45" s="955"/>
      <c r="X45" s="955"/>
      <c r="Y45" s="955"/>
      <c r="Z45" s="955"/>
      <c r="AA45" s="955"/>
      <c r="AB45" s="955"/>
      <c r="AC45" s="955"/>
      <c r="AD45" s="955"/>
      <c r="AE45" s="955"/>
      <c r="AF45" s="955"/>
      <c r="AG45" s="955"/>
      <c r="AH45" s="955"/>
      <c r="AI45" s="955"/>
      <c r="AJ45" s="955"/>
      <c r="AK45" s="955"/>
      <c r="AL45" s="955"/>
      <c r="AM45" s="955"/>
      <c r="AN45" s="955"/>
      <c r="AO45" s="955"/>
      <c r="AP45" s="955"/>
      <c r="AQ45" s="955"/>
      <c r="AR45" s="955"/>
      <c r="AS45" s="955"/>
      <c r="AT45" s="955"/>
      <c r="AU45" s="955"/>
      <c r="AV45" s="955"/>
      <c r="AW45" s="955"/>
      <c r="AX45" s="955"/>
      <c r="AY45" s="955"/>
      <c r="AZ45" s="955"/>
      <c r="BA45" s="955"/>
      <c r="BB45" s="707"/>
      <c r="BC45" s="707"/>
      <c r="BD45" s="707"/>
      <c r="BE45" s="707"/>
      <c r="BF45" s="707"/>
      <c r="BG45" s="707"/>
      <c r="BH45" s="707"/>
      <c r="BI45" s="707"/>
      <c r="BJ45" s="707"/>
      <c r="BK45" s="707"/>
      <c r="BL45" s="707"/>
      <c r="BM45" s="707"/>
      <c r="BN45" s="707"/>
      <c r="BO45" s="707"/>
      <c r="BP45" s="707"/>
      <c r="BQ45" s="707"/>
      <c r="BR45" s="707"/>
      <c r="BS45" s="707"/>
      <c r="BT45" s="707"/>
      <c r="BU45" s="707"/>
      <c r="BV45" s="707"/>
      <c r="BW45" s="707"/>
      <c r="BX45" s="707"/>
      <c r="BY45" s="707"/>
      <c r="BZ45" s="707"/>
      <c r="CA45" s="707"/>
      <c r="CB45" s="707"/>
      <c r="CC45" s="707"/>
      <c r="CD45" s="707"/>
      <c r="CE45" s="707"/>
      <c r="CF45" s="707"/>
      <c r="CG45" s="707"/>
      <c r="CH45" s="707"/>
      <c r="CI45" s="707"/>
      <c r="CJ45" s="707"/>
      <c r="CK45" s="707"/>
      <c r="CL45" s="707"/>
      <c r="CM45" s="1060"/>
      <c r="CN45" s="375"/>
      <c r="CO45" s="33"/>
      <c r="CP45" s="33"/>
    </row>
    <row r="46" spans="1:94">
      <c r="C46" s="22"/>
      <c r="D46" s="22"/>
      <c r="E46" s="733"/>
      <c r="F46" s="12"/>
      <c r="G46" s="957"/>
      <c r="H46" s="957"/>
      <c r="I46" s="957"/>
      <c r="J46" s="957"/>
      <c r="K46" s="957"/>
      <c r="L46" s="957"/>
      <c r="M46" s="957"/>
      <c r="N46" s="957"/>
      <c r="O46" s="957"/>
      <c r="P46" s="957"/>
      <c r="Q46" s="957"/>
      <c r="R46" s="957"/>
      <c r="S46" s="957"/>
      <c r="T46" s="957"/>
      <c r="U46" s="957"/>
      <c r="V46" s="957"/>
      <c r="W46" s="957"/>
      <c r="X46" s="957"/>
      <c r="Y46" s="957"/>
      <c r="Z46" s="957"/>
      <c r="AA46" s="957"/>
      <c r="AB46" s="957"/>
      <c r="AC46" s="957"/>
      <c r="AD46" s="957"/>
      <c r="AE46" s="957"/>
      <c r="AF46" s="957"/>
      <c r="AG46" s="957"/>
      <c r="AH46" s="957"/>
      <c r="AI46" s="957"/>
      <c r="AJ46" s="957"/>
      <c r="AK46" s="957"/>
      <c r="AL46" s="957"/>
      <c r="AM46" s="957"/>
      <c r="AN46" s="957"/>
      <c r="AO46" s="957"/>
      <c r="AP46" s="957"/>
      <c r="AQ46" s="957"/>
      <c r="AR46" s="957"/>
      <c r="AS46" s="957"/>
      <c r="AT46" s="957"/>
      <c r="AU46" s="957"/>
      <c r="AV46" s="957"/>
      <c r="AW46" s="957"/>
      <c r="AX46" s="957"/>
      <c r="AY46" s="957"/>
      <c r="AZ46" s="957"/>
      <c r="BA46" s="957"/>
      <c r="BB46" s="719"/>
      <c r="BC46" s="719"/>
      <c r="BD46" s="719"/>
      <c r="BE46" s="719"/>
      <c r="BF46" s="719"/>
      <c r="BG46" s="719"/>
      <c r="BH46" s="719"/>
      <c r="BI46" s="719"/>
      <c r="BJ46" s="719"/>
      <c r="BK46" s="719"/>
      <c r="BL46" s="719"/>
      <c r="BM46" s="719"/>
      <c r="BN46" s="719"/>
      <c r="BO46" s="719"/>
      <c r="BP46" s="719"/>
      <c r="BQ46" s="719"/>
      <c r="BR46" s="719"/>
      <c r="BS46" s="719"/>
      <c r="BT46" s="719"/>
      <c r="BU46" s="719"/>
      <c r="BV46" s="719"/>
      <c r="BW46" s="719"/>
      <c r="BX46" s="719"/>
      <c r="BY46" s="719"/>
      <c r="BZ46" s="719"/>
      <c r="CA46" s="719"/>
      <c r="CB46" s="719"/>
      <c r="CC46" s="719"/>
      <c r="CD46" s="719"/>
      <c r="CE46" s="719"/>
      <c r="CF46" s="719"/>
      <c r="CG46" s="719"/>
      <c r="CH46" s="719"/>
      <c r="CI46" s="719"/>
      <c r="CJ46" s="719"/>
      <c r="CK46" s="719"/>
      <c r="CL46" s="719"/>
      <c r="CM46" s="1061"/>
      <c r="CN46" s="375"/>
      <c r="CO46" s="33"/>
      <c r="CP46" s="33"/>
    </row>
    <row r="47" spans="1:94">
      <c r="A47" s="734" t="s">
        <v>441</v>
      </c>
      <c r="B47" s="375"/>
      <c r="C47" s="22"/>
      <c r="D47" s="22"/>
      <c r="E47" s="733"/>
      <c r="F47" s="12"/>
      <c r="G47" s="957"/>
      <c r="H47" s="957"/>
      <c r="I47" s="957"/>
      <c r="J47" s="957"/>
      <c r="K47" s="957"/>
      <c r="L47" s="957"/>
      <c r="M47" s="957"/>
      <c r="N47" s="957"/>
      <c r="O47" s="957"/>
      <c r="P47" s="957"/>
      <c r="Q47" s="957"/>
      <c r="R47" s="957"/>
      <c r="S47" s="957"/>
      <c r="T47" s="957"/>
      <c r="U47" s="957"/>
      <c r="V47" s="957"/>
      <c r="W47" s="957"/>
      <c r="X47" s="957"/>
      <c r="Y47" s="957"/>
      <c r="Z47" s="957"/>
      <c r="AA47" s="957"/>
      <c r="AB47" s="957"/>
      <c r="AC47" s="957"/>
      <c r="AD47" s="957"/>
      <c r="AE47" s="957"/>
      <c r="AF47" s="957"/>
      <c r="AG47" s="957"/>
      <c r="AH47" s="957"/>
      <c r="AI47" s="957"/>
      <c r="AJ47" s="957"/>
      <c r="AK47" s="957"/>
      <c r="AL47" s="957"/>
      <c r="AM47" s="957"/>
      <c r="AN47" s="957"/>
      <c r="AO47" s="957"/>
      <c r="AP47" s="957"/>
      <c r="AQ47" s="957"/>
      <c r="AR47" s="957"/>
      <c r="AS47" s="957"/>
      <c r="AT47" s="957"/>
      <c r="AU47" s="957"/>
      <c r="AV47" s="957"/>
      <c r="AW47" s="957"/>
      <c r="AX47" s="957"/>
      <c r="AY47" s="957"/>
      <c r="AZ47" s="957"/>
      <c r="BA47" s="957"/>
      <c r="BB47" s="957"/>
      <c r="BC47" s="957"/>
      <c r="BD47" s="957"/>
      <c r="BE47" s="719"/>
      <c r="BF47" s="719"/>
      <c r="BG47" s="719"/>
      <c r="BH47" s="719"/>
      <c r="BI47" s="719"/>
      <c r="BJ47" s="719"/>
      <c r="BK47" s="719"/>
      <c r="BL47" s="719"/>
      <c r="BM47" s="719"/>
      <c r="BN47" s="719"/>
      <c r="BO47" s="719"/>
      <c r="BP47" s="719"/>
      <c r="BQ47" s="719"/>
      <c r="BR47" s="719"/>
      <c r="BS47" s="719"/>
      <c r="BT47" s="719"/>
      <c r="BU47" s="719"/>
      <c r="BV47" s="719"/>
      <c r="BW47" s="719"/>
      <c r="BX47" s="719"/>
      <c r="BY47" s="719"/>
      <c r="BZ47" s="719"/>
      <c r="CA47" s="719"/>
      <c r="CB47" s="719"/>
      <c r="CC47" s="719"/>
      <c r="CD47" s="719"/>
      <c r="CE47" s="719"/>
      <c r="CF47" s="719"/>
      <c r="CG47" s="719"/>
      <c r="CH47" s="719"/>
      <c r="CI47" s="719"/>
      <c r="CJ47" s="719"/>
      <c r="CK47" s="719"/>
      <c r="CL47" s="719"/>
      <c r="CM47" s="1061"/>
      <c r="CN47" s="375"/>
      <c r="CO47" s="33"/>
      <c r="CP47" s="33"/>
    </row>
    <row r="48" spans="1:94" ht="15">
      <c r="A48" s="735" t="s">
        <v>442</v>
      </c>
      <c r="B48" s="375"/>
      <c r="C48" s="22"/>
      <c r="D48" s="735" t="s">
        <v>443</v>
      </c>
      <c r="E48" s="733"/>
      <c r="F48" s="708">
        <f ca="1">SUM(OFFSET(BO48:BZ48,0,'Bal Sheet'!$A$1))/1000</f>
        <v>7347.7</v>
      </c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0"/>
      <c r="AW48" s="360"/>
      <c r="AX48" s="360"/>
      <c r="AY48" s="360"/>
      <c r="AZ48" s="360"/>
      <c r="BA48" s="360"/>
      <c r="BB48" s="720"/>
      <c r="BC48" s="720"/>
      <c r="BD48" s="720"/>
      <c r="BE48" s="720"/>
      <c r="BF48" s="720"/>
      <c r="BG48" s="720"/>
      <c r="BH48" s="720"/>
      <c r="BI48" s="782"/>
      <c r="BJ48" s="782"/>
      <c r="BK48" s="782"/>
      <c r="BL48" s="782"/>
      <c r="BM48" s="782"/>
      <c r="BN48" s="782"/>
      <c r="BO48" s="782">
        <f>VLOOKUP("PGA O&amp;M Expense",'[8]IS ACCTS'!$H$5:$ZZ$1017,99,FALSE)*1000</f>
        <v>243200</v>
      </c>
      <c r="BP48" s="782">
        <f>VLOOKUP("PGA O&amp;M Expense",'[8]IS ACCTS'!$H$5:$ZZ$1017,100,FALSE)*1000</f>
        <v>658700</v>
      </c>
      <c r="BQ48" s="782">
        <f>VLOOKUP("PGA O&amp;M Expense",'[8]IS ACCTS'!$H$5:$ZZ$1017,101,FALSE)*1000</f>
        <v>988000</v>
      </c>
      <c r="BR48" s="782">
        <f>VLOOKUP("PGA O&amp;M Expense",'[8]IS ACCTS'!$H$5:$ZZ$1017,102,FALSE)*1000</f>
        <v>534400</v>
      </c>
      <c r="BS48" s="782">
        <f>VLOOKUP("PGA O&amp;M Expense",'[8]IS ACCTS'!$H$5:$ZZ$1017,103,FALSE)*1000</f>
        <v>354100</v>
      </c>
      <c r="BT48" s="782">
        <f>VLOOKUP("PGA O&amp;M Expense",'[8]IS ACCTS'!$H$5:$ZZ$1017,104,FALSE)*1000</f>
        <v>670300</v>
      </c>
      <c r="BU48" s="782">
        <f>VLOOKUP("PGA O&amp;M Expense",'[8]IS ACCTS'!$H$5:$ZZ$1017,105,FALSE)*1000</f>
        <v>525900</v>
      </c>
      <c r="BV48" s="782">
        <f>VLOOKUP("PGA O&amp;M Expense",'[8]IS ACCTS'!$H$5:$ZZ$1017,106,FALSE)*1000</f>
        <v>398900</v>
      </c>
      <c r="BW48" s="782">
        <f>VLOOKUP("PGA O&amp;M Expense",'[8]IS ACCTS'!$H$5:$ZZ$1017,107,FALSE)*1000</f>
        <v>199000</v>
      </c>
      <c r="BX48" s="782">
        <f>VLOOKUP("PGA O&amp;M Expense",'[8]IS ACCTS'!$H$5:$ZZ$1017,108,FALSE)*1000</f>
        <v>472000</v>
      </c>
      <c r="BY48" s="782">
        <f>VLOOKUP("PGA O&amp;M Expense",'[8]IS ACCTS'!$H$5:$ZZ$1017,109,FALSE)*1000</f>
        <v>333000</v>
      </c>
      <c r="BZ48" s="782">
        <f>VLOOKUP("PGA O&amp;M Expense",'[8]IS ACCTS'!$H$5:$ZZ$1017,110,FALSE)*1000</f>
        <v>423700</v>
      </c>
      <c r="CA48" s="782">
        <f>VLOOKUP("PGA O&amp;M Expense",'[8]IS ACCTS'!$H$5:$ZZ$1017,111,FALSE)*1000</f>
        <v>609200</v>
      </c>
      <c r="CB48" s="782">
        <f>VLOOKUP("PGA O&amp;M Expense",'[8]IS ACCTS'!$H$5:$ZZ$1017,112,FALSE)*1000</f>
        <v>590900</v>
      </c>
      <c r="CC48" s="782">
        <f>VLOOKUP("PGA O&amp;M Expense",'[8]IS ACCTS'!$H$5:$ZZ$1017,113,FALSE)*1000</f>
        <v>611400</v>
      </c>
      <c r="CD48" s="782">
        <f>VLOOKUP("PGA O&amp;M Expense",'[8]IS ACCTS'!$H$5:$ZZ$1017,114,FALSE)*1000</f>
        <v>596100</v>
      </c>
      <c r="CE48" s="782">
        <f>VLOOKUP("PGA O&amp;M Expense",'[8]IS ACCTS'!$H$5:$ZZ$1017,115,FALSE)*1000</f>
        <v>613300</v>
      </c>
      <c r="CF48" s="782">
        <f>VLOOKUP("PGA O&amp;M Expense",'[8]IS ACCTS'!$H$5:$ZZ$1017,116,FALSE)*1000</f>
        <v>636400</v>
      </c>
      <c r="CG48" s="782">
        <f>VLOOKUP("PGA O&amp;M Expense",'[8]IS ACCTS'!$H$5:$ZZ$1017,117,FALSE)*1000</f>
        <v>602300</v>
      </c>
      <c r="CH48" s="782">
        <f>VLOOKUP("PGA O&amp;M Expense",'[8]IS ACCTS'!$H$5:$ZZ$1017,118,FALSE)*1000</f>
        <v>612300</v>
      </c>
      <c r="CI48" s="782">
        <f>VLOOKUP("PGA O&amp;M Expense",'[8]IS ACCTS'!$H$5:$ZZ$1017,119,FALSE)*1000</f>
        <v>602500</v>
      </c>
      <c r="CJ48" s="782">
        <f>VLOOKUP("PGA O&amp;M Expense",'[8]IS ACCTS'!$H$5:$ZZ$1017,120,FALSE)*1000</f>
        <v>614200</v>
      </c>
      <c r="CK48" s="782">
        <f>VLOOKUP("PGA O&amp;M Expense",'[8]IS ACCTS'!$H$5:$ZZ$1017,121,FALSE)*1000</f>
        <v>655600</v>
      </c>
      <c r="CL48" s="782">
        <f>VLOOKUP("PGA O&amp;M Expense",'[8]IS ACCTS'!$H$5:$ZZ$1017,122,FALSE)*1000</f>
        <v>603500</v>
      </c>
      <c r="CM48" s="1053">
        <f>SUM(CA48:CL48)</f>
        <v>7347700</v>
      </c>
      <c r="CN48" s="375"/>
      <c r="CO48" s="33"/>
      <c r="CP48" s="33"/>
    </row>
    <row r="49" spans="1:94">
      <c r="A49" s="375"/>
      <c r="B49" s="375"/>
      <c r="C49" s="22"/>
      <c r="D49" s="22"/>
      <c r="E49" s="733"/>
      <c r="F49" s="33"/>
      <c r="G49" s="957"/>
      <c r="H49" s="957"/>
      <c r="I49" s="957"/>
      <c r="J49" s="957"/>
      <c r="K49" s="957"/>
      <c r="L49" s="957"/>
      <c r="M49" s="957"/>
      <c r="N49" s="957"/>
      <c r="O49" s="957"/>
      <c r="P49" s="957"/>
      <c r="Q49" s="957"/>
      <c r="R49" s="957"/>
      <c r="S49" s="957"/>
      <c r="T49" s="957"/>
      <c r="U49" s="957"/>
      <c r="V49" s="957"/>
      <c r="W49" s="957"/>
      <c r="X49" s="957"/>
      <c r="Y49" s="957"/>
      <c r="Z49" s="957"/>
      <c r="AA49" s="957"/>
      <c r="AB49" s="957"/>
      <c r="AC49" s="957"/>
      <c r="AD49" s="957"/>
      <c r="AE49" s="957"/>
      <c r="AF49" s="957"/>
      <c r="AG49" s="957"/>
      <c r="AH49" s="957"/>
      <c r="AI49" s="957"/>
      <c r="AJ49" s="957"/>
      <c r="AK49" s="957"/>
      <c r="AL49" s="957"/>
      <c r="AM49" s="957"/>
      <c r="AN49" s="957"/>
      <c r="AO49" s="957"/>
      <c r="AP49" s="957"/>
      <c r="AQ49" s="957"/>
      <c r="AR49" s="957"/>
      <c r="AS49" s="957"/>
      <c r="AT49" s="957"/>
      <c r="AU49" s="957"/>
      <c r="AV49" s="957"/>
      <c r="AW49" s="957"/>
      <c r="AX49" s="957"/>
      <c r="AY49" s="957"/>
      <c r="AZ49" s="957"/>
      <c r="BA49" s="957"/>
      <c r="BB49" s="957"/>
      <c r="BC49" s="957"/>
      <c r="BD49" s="957"/>
      <c r="BE49" s="719"/>
      <c r="BF49" s="719"/>
      <c r="BG49" s="719"/>
      <c r="BH49" s="719"/>
      <c r="BI49" s="719"/>
      <c r="BJ49" s="719"/>
      <c r="BK49" s="719"/>
      <c r="BL49" s="719"/>
      <c r="BM49" s="719"/>
      <c r="BN49" s="719"/>
      <c r="BO49" s="719"/>
      <c r="BP49" s="719"/>
      <c r="BQ49" s="719"/>
      <c r="BR49" s="719"/>
      <c r="BS49" s="719"/>
      <c r="BT49" s="719"/>
      <c r="BU49" s="719"/>
      <c r="BV49" s="719"/>
      <c r="BW49" s="719"/>
      <c r="BX49" s="719"/>
      <c r="BY49" s="719"/>
      <c r="BZ49" s="719"/>
      <c r="CA49" s="719"/>
      <c r="CB49" s="719"/>
      <c r="CC49" s="719"/>
      <c r="CD49" s="719"/>
      <c r="CE49" s="719"/>
      <c r="CF49" s="719"/>
      <c r="CG49" s="719"/>
      <c r="CH49" s="719"/>
      <c r="CI49" s="719"/>
      <c r="CJ49" s="719"/>
      <c r="CK49" s="719"/>
      <c r="CL49" s="719"/>
      <c r="CM49" s="1062"/>
      <c r="CN49" s="375"/>
      <c r="CO49" s="33"/>
      <c r="CP49" s="33"/>
    </row>
    <row r="50" spans="1:94">
      <c r="C50" s="22"/>
      <c r="D50" s="22"/>
      <c r="E50" s="733"/>
      <c r="F50" s="33"/>
      <c r="G50" s="957"/>
      <c r="H50" s="957"/>
      <c r="I50" s="957"/>
      <c r="J50" s="957"/>
      <c r="K50" s="957"/>
      <c r="L50" s="957"/>
      <c r="M50" s="957"/>
      <c r="N50" s="957"/>
      <c r="O50" s="957"/>
      <c r="P50" s="957"/>
      <c r="Q50" s="957"/>
      <c r="R50" s="957"/>
      <c r="S50" s="957"/>
      <c r="T50" s="957"/>
      <c r="U50" s="957"/>
      <c r="V50" s="957"/>
      <c r="W50" s="957"/>
      <c r="X50" s="957"/>
      <c r="Y50" s="957"/>
      <c r="Z50" s="957"/>
      <c r="AA50" s="957"/>
      <c r="AB50" s="957"/>
      <c r="AC50" s="957"/>
      <c r="AD50" s="957"/>
      <c r="AE50" s="957"/>
      <c r="AF50" s="957"/>
      <c r="AG50" s="957"/>
      <c r="AH50" s="957"/>
      <c r="AI50" s="957"/>
      <c r="AJ50" s="957"/>
      <c r="AK50" s="957"/>
      <c r="AL50" s="957"/>
      <c r="AM50" s="957"/>
      <c r="AN50" s="957"/>
      <c r="AO50" s="957"/>
      <c r="AP50" s="957"/>
      <c r="AQ50" s="957"/>
      <c r="AR50" s="957"/>
      <c r="AS50" s="957"/>
      <c r="AT50" s="957"/>
      <c r="AU50" s="957"/>
      <c r="AV50" s="957"/>
      <c r="AW50" s="957"/>
      <c r="AX50" s="957"/>
      <c r="AY50" s="957"/>
      <c r="AZ50" s="957"/>
      <c r="BA50" s="957"/>
      <c r="BB50" s="957"/>
      <c r="BC50" s="957"/>
      <c r="BD50" s="957"/>
      <c r="BE50" s="957"/>
      <c r="BF50" s="957"/>
      <c r="BG50" s="957"/>
      <c r="BH50" s="957"/>
      <c r="BI50" s="957"/>
      <c r="BJ50" s="957"/>
      <c r="BK50" s="957"/>
      <c r="BL50" s="957"/>
      <c r="BM50" s="957"/>
      <c r="BN50" s="957"/>
      <c r="BO50" s="957"/>
      <c r="BP50" s="957"/>
      <c r="BQ50" s="957"/>
      <c r="BR50" s="957"/>
      <c r="BS50" s="957"/>
      <c r="BT50" s="957"/>
      <c r="BU50" s="957"/>
      <c r="BV50" s="957"/>
      <c r="BW50" s="957"/>
      <c r="BX50" s="957"/>
      <c r="BY50" s="957"/>
      <c r="BZ50" s="957"/>
      <c r="CA50" s="957"/>
      <c r="CB50" s="957"/>
      <c r="CC50" s="957"/>
      <c r="CD50" s="957"/>
      <c r="CE50" s="957"/>
      <c r="CF50" s="957"/>
      <c r="CG50" s="957"/>
      <c r="CH50" s="957"/>
      <c r="CI50" s="957"/>
      <c r="CJ50" s="957"/>
      <c r="CK50" s="957"/>
      <c r="CL50" s="957"/>
      <c r="CM50" s="1062"/>
      <c r="CN50" s="375"/>
      <c r="CO50" s="33"/>
      <c r="CP50" s="33"/>
    </row>
    <row r="51" spans="1:94">
      <c r="C51" s="22"/>
      <c r="D51" s="22"/>
      <c r="E51" s="22"/>
      <c r="F51" s="33"/>
      <c r="G51" s="958"/>
      <c r="H51" s="958"/>
      <c r="I51" s="958"/>
      <c r="J51" s="958"/>
      <c r="K51" s="958"/>
      <c r="L51" s="958"/>
      <c r="M51" s="958"/>
      <c r="N51" s="958"/>
      <c r="O51" s="958"/>
      <c r="P51" s="958"/>
      <c r="Q51" s="958"/>
      <c r="R51" s="958"/>
      <c r="S51" s="958"/>
      <c r="T51" s="958"/>
      <c r="U51" s="958"/>
      <c r="V51" s="958"/>
      <c r="W51" s="958"/>
      <c r="X51" s="958"/>
      <c r="Y51" s="958"/>
      <c r="Z51" s="958"/>
      <c r="AA51" s="958"/>
      <c r="AB51" s="958"/>
      <c r="AC51" s="958"/>
      <c r="AD51" s="958"/>
      <c r="AE51" s="958"/>
      <c r="AF51" s="958"/>
      <c r="AG51" s="958"/>
      <c r="AH51" s="958"/>
      <c r="AI51" s="958"/>
      <c r="AJ51" s="958"/>
      <c r="AK51" s="958"/>
      <c r="AL51" s="958"/>
      <c r="AM51" s="958"/>
      <c r="AN51" s="958"/>
      <c r="AO51" s="958"/>
      <c r="AP51" s="958"/>
      <c r="AQ51" s="958"/>
      <c r="AR51" s="958"/>
      <c r="AS51" s="958"/>
      <c r="AT51" s="958"/>
      <c r="AU51" s="958"/>
      <c r="AV51" s="958"/>
      <c r="AW51" s="958"/>
      <c r="AX51" s="958"/>
      <c r="AY51" s="958"/>
      <c r="AZ51" s="958"/>
      <c r="BA51" s="958"/>
      <c r="BB51" s="958"/>
      <c r="BC51" s="958"/>
      <c r="BD51" s="958"/>
      <c r="BE51" s="958"/>
      <c r="BF51" s="958"/>
      <c r="BG51" s="958"/>
      <c r="BH51" s="958"/>
      <c r="BI51" s="958"/>
      <c r="BJ51" s="958"/>
      <c r="BK51" s="958"/>
      <c r="BL51" s="958"/>
      <c r="BM51" s="958"/>
      <c r="BN51" s="958"/>
      <c r="BO51" s="958"/>
      <c r="BP51" s="958"/>
      <c r="BQ51" s="958"/>
      <c r="BR51" s="958"/>
      <c r="BS51" s="958"/>
      <c r="BT51" s="958"/>
      <c r="BU51" s="958"/>
      <c r="BV51" s="958"/>
      <c r="BW51" s="958"/>
      <c r="BX51" s="958"/>
      <c r="BY51" s="958"/>
      <c r="BZ51" s="958"/>
      <c r="CA51" s="958"/>
      <c r="CB51" s="958"/>
      <c r="CC51" s="958"/>
      <c r="CD51" s="958"/>
      <c r="CE51" s="958"/>
      <c r="CF51" s="958"/>
      <c r="CG51" s="958"/>
      <c r="CH51" s="958"/>
      <c r="CI51" s="958"/>
      <c r="CJ51" s="958"/>
      <c r="CK51" s="958"/>
      <c r="CL51" s="958"/>
      <c r="CM51" s="1063"/>
      <c r="CN51" s="375"/>
      <c r="CO51" s="33"/>
      <c r="CP51" s="33"/>
    </row>
    <row r="52" spans="1:94">
      <c r="C52" s="22"/>
      <c r="D52" s="22"/>
      <c r="E52" s="22"/>
      <c r="F52" s="33"/>
      <c r="G52" s="957"/>
      <c r="H52" s="957"/>
      <c r="I52" s="957"/>
      <c r="J52" s="957"/>
      <c r="K52" s="957"/>
      <c r="L52" s="957"/>
      <c r="M52" s="957"/>
      <c r="N52" s="957"/>
      <c r="O52" s="957"/>
      <c r="P52" s="957"/>
      <c r="Q52" s="957"/>
      <c r="R52" s="957"/>
      <c r="S52" s="957"/>
      <c r="T52" s="957"/>
      <c r="U52" s="957"/>
      <c r="V52" s="957"/>
      <c r="W52" s="957"/>
      <c r="X52" s="957"/>
      <c r="Y52" s="957"/>
      <c r="Z52" s="957"/>
      <c r="AA52" s="957"/>
      <c r="AB52" s="957"/>
      <c r="AC52" s="957"/>
      <c r="AD52" s="957"/>
      <c r="AE52" s="957"/>
      <c r="AF52" s="957"/>
      <c r="AG52" s="957"/>
      <c r="AH52" s="957"/>
      <c r="AI52" s="957"/>
      <c r="AJ52" s="957"/>
      <c r="AK52" s="957"/>
      <c r="AL52" s="957"/>
      <c r="AM52" s="957"/>
      <c r="AN52" s="957"/>
      <c r="AO52" s="957"/>
      <c r="AP52" s="957"/>
      <c r="AQ52" s="957"/>
      <c r="AR52" s="957"/>
      <c r="AS52" s="957"/>
      <c r="AT52" s="957"/>
      <c r="AU52" s="957"/>
      <c r="AV52" s="957"/>
      <c r="AW52" s="957"/>
      <c r="AX52" s="957"/>
      <c r="AY52" s="957"/>
      <c r="AZ52" s="957"/>
      <c r="BA52" s="957"/>
      <c r="BB52" s="957"/>
      <c r="BC52" s="957"/>
      <c r="BD52" s="957"/>
      <c r="BE52" s="957"/>
      <c r="BF52" s="957"/>
      <c r="BG52" s="957"/>
      <c r="BH52" s="957"/>
      <c r="BI52" s="957"/>
      <c r="BJ52" s="957"/>
      <c r="BK52" s="957"/>
      <c r="BL52" s="957"/>
      <c r="BM52" s="957"/>
      <c r="BN52" s="957"/>
      <c r="BO52" s="957"/>
      <c r="BP52" s="957"/>
      <c r="BQ52" s="957"/>
      <c r="BR52" s="957"/>
      <c r="BS52" s="957"/>
      <c r="BT52" s="957"/>
      <c r="BU52" s="957"/>
      <c r="BV52" s="957"/>
      <c r="BW52" s="957"/>
      <c r="BX52" s="957"/>
      <c r="BY52" s="957"/>
      <c r="BZ52" s="957"/>
      <c r="CA52" s="957">
        <v>112</v>
      </c>
      <c r="CB52" s="957">
        <v>113</v>
      </c>
      <c r="CC52" s="957">
        <v>114</v>
      </c>
      <c r="CD52" s="957">
        <v>115</v>
      </c>
      <c r="CE52" s="957">
        <v>116</v>
      </c>
      <c r="CF52" s="957">
        <v>117</v>
      </c>
      <c r="CG52" s="957">
        <v>118</v>
      </c>
      <c r="CH52" s="957">
        <v>119</v>
      </c>
      <c r="CI52" s="957">
        <v>120</v>
      </c>
      <c r="CJ52" s="957">
        <v>121</v>
      </c>
      <c r="CK52" s="957">
        <v>122</v>
      </c>
      <c r="CL52" s="957">
        <v>123</v>
      </c>
      <c r="CM52" s="1060">
        <f t="shared" ref="CM52:CM67" si="56">SUM(CA52:CL52)</f>
        <v>1410</v>
      </c>
      <c r="CN52" s="375"/>
      <c r="CO52" s="33"/>
      <c r="CP52" s="33"/>
    </row>
    <row r="53" spans="1:94">
      <c r="C53" s="22"/>
      <c r="D53" s="22"/>
      <c r="E53" s="22"/>
      <c r="F53" s="33"/>
      <c r="G53" s="957"/>
      <c r="H53" s="957"/>
      <c r="I53" s="957"/>
      <c r="J53" s="957"/>
      <c r="K53" s="957"/>
      <c r="L53" s="957"/>
      <c r="M53" s="957"/>
      <c r="N53" s="957"/>
      <c r="O53" s="957"/>
      <c r="P53" s="957"/>
      <c r="Q53" s="957"/>
      <c r="R53" s="957"/>
      <c r="S53" s="957"/>
      <c r="T53" s="957"/>
      <c r="U53" s="957"/>
      <c r="V53" s="957"/>
      <c r="W53" s="957"/>
      <c r="X53" s="957"/>
      <c r="Y53" s="957"/>
      <c r="Z53" s="957"/>
      <c r="AA53" s="957"/>
      <c r="AB53" s="957"/>
      <c r="AC53" s="957"/>
      <c r="AD53" s="957"/>
      <c r="AE53" s="957"/>
      <c r="AF53" s="957"/>
      <c r="AG53" s="957"/>
      <c r="AH53" s="957"/>
      <c r="AI53" s="957"/>
      <c r="AJ53" s="957"/>
      <c r="AK53" s="957"/>
      <c r="AL53" s="957"/>
      <c r="AM53" s="957"/>
      <c r="AN53" s="957"/>
      <c r="AO53" s="957"/>
      <c r="AP53" s="957"/>
      <c r="AQ53" s="957"/>
      <c r="AR53" s="957"/>
      <c r="AS53" s="957"/>
      <c r="AT53" s="957"/>
      <c r="AU53" s="957"/>
      <c r="AV53" s="957"/>
      <c r="AW53" s="957"/>
      <c r="AX53" s="957"/>
      <c r="AY53" s="957"/>
      <c r="AZ53" s="957"/>
      <c r="BA53" s="957"/>
      <c r="BB53" s="725"/>
      <c r="BC53" s="957"/>
      <c r="BD53" s="957"/>
      <c r="BE53" s="957"/>
      <c r="BF53" s="957"/>
      <c r="BG53" s="957"/>
      <c r="BH53" s="957"/>
      <c r="BI53" s="957"/>
      <c r="BJ53" s="957"/>
      <c r="BK53" s="957"/>
      <c r="BL53" s="957"/>
      <c r="BM53" s="957"/>
      <c r="BN53" s="957"/>
      <c r="BO53" s="957"/>
      <c r="BP53" s="957"/>
      <c r="BQ53" s="957"/>
      <c r="BR53" s="957"/>
      <c r="BS53" s="957"/>
      <c r="BT53" s="957"/>
      <c r="BU53" s="957"/>
      <c r="BV53" s="957"/>
      <c r="BW53" s="957"/>
      <c r="BX53" s="957"/>
      <c r="BY53" s="957"/>
      <c r="BZ53" s="957"/>
      <c r="CA53" s="957"/>
      <c r="CB53" s="957"/>
      <c r="CC53" s="957"/>
      <c r="CD53" s="957"/>
      <c r="CE53" s="957"/>
      <c r="CF53" s="957"/>
      <c r="CG53" s="957"/>
      <c r="CH53" s="957"/>
      <c r="CI53" s="957"/>
      <c r="CJ53" s="957"/>
      <c r="CK53" s="957"/>
      <c r="CL53" s="957"/>
      <c r="CM53" s="1060">
        <f t="shared" si="56"/>
        <v>0</v>
      </c>
      <c r="CN53" s="375"/>
      <c r="CO53" s="33"/>
      <c r="CP53" s="33"/>
    </row>
    <row r="54" spans="1:94" ht="15">
      <c r="A54" s="441" t="s">
        <v>444</v>
      </c>
      <c r="C54" s="22"/>
      <c r="D54" t="s">
        <v>445</v>
      </c>
      <c r="E54" s="22"/>
      <c r="F54" s="708">
        <f ca="1">SUM(OFFSET(BO54:BZ54,0,'Bal Sheet'!$A$1))/1000</f>
        <v>0</v>
      </c>
      <c r="G54" s="957"/>
      <c r="H54" s="957"/>
      <c r="I54" s="957"/>
      <c r="J54" s="957"/>
      <c r="K54" s="957"/>
      <c r="L54" s="957"/>
      <c r="M54" s="957"/>
      <c r="N54" s="957"/>
      <c r="O54" s="957"/>
      <c r="P54" s="957"/>
      <c r="Q54" s="957"/>
      <c r="R54" s="957"/>
      <c r="S54" s="407"/>
      <c r="T54" s="407"/>
      <c r="U54" s="407"/>
      <c r="V54" s="407"/>
      <c r="W54" s="407"/>
      <c r="X54" s="407"/>
      <c r="Y54" s="407"/>
      <c r="Z54" s="407"/>
      <c r="AA54" s="407"/>
      <c r="AB54" s="407"/>
      <c r="AC54" s="407"/>
      <c r="AD54" s="407"/>
      <c r="AE54" s="407"/>
      <c r="AF54" s="407"/>
      <c r="AG54" s="407"/>
      <c r="AH54" s="407"/>
      <c r="AI54" s="407"/>
      <c r="AJ54" s="407"/>
      <c r="AK54" s="957"/>
      <c r="AL54" s="957"/>
      <c r="AM54" s="957"/>
      <c r="AN54" s="957"/>
      <c r="AO54" s="957"/>
      <c r="AP54" s="957"/>
      <c r="AQ54" s="957">
        <v>500</v>
      </c>
      <c r="AR54" s="957">
        <v>0</v>
      </c>
      <c r="AS54" s="957">
        <v>400</v>
      </c>
      <c r="AT54" s="957">
        <v>0</v>
      </c>
      <c r="AU54" s="957">
        <v>600</v>
      </c>
      <c r="AV54" s="957">
        <v>0</v>
      </c>
      <c r="AW54" s="957">
        <v>900</v>
      </c>
      <c r="AX54" s="957">
        <v>100</v>
      </c>
      <c r="AY54" s="957">
        <v>0</v>
      </c>
      <c r="AZ54" s="957">
        <v>300</v>
      </c>
      <c r="BA54" s="957">
        <v>0</v>
      </c>
      <c r="BB54" s="725">
        <v>0</v>
      </c>
      <c r="BC54" s="725"/>
      <c r="BD54" s="725"/>
      <c r="BE54" s="725"/>
      <c r="BF54" s="725"/>
      <c r="BG54" s="725"/>
      <c r="BH54" s="725"/>
      <c r="BI54" s="721"/>
      <c r="BJ54" s="721"/>
      <c r="BK54" s="721"/>
      <c r="BL54" s="721"/>
      <c r="BM54" s="721"/>
      <c r="BN54" s="721"/>
      <c r="BO54" s="721">
        <f>+VLOOKUP("6030020",'[8]IS ACCTS'!$F$5:$ZZ$999,101,FALSE)*1000</f>
        <v>100</v>
      </c>
      <c r="BP54" s="721">
        <f>+VLOOKUP("6030020",'[8]IS ACCTS'!$F$5:$ZZ$999,102,FALSE)*1000</f>
        <v>1500</v>
      </c>
      <c r="BQ54" s="721">
        <f>+VLOOKUP("6030020",'[8]IS ACCTS'!$F$5:$ZZ$999,103,FALSE)*1000</f>
        <v>600</v>
      </c>
      <c r="BR54" s="721">
        <f>+VLOOKUP("6030020",'[8]IS ACCTS'!$F$5:$ZZ$999,104,FALSE)*1000</f>
        <v>23100</v>
      </c>
      <c r="BS54" s="721">
        <f>+VLOOKUP("6030020",'[8]IS ACCTS'!$F$5:$ZZ$999,105,FALSE)*1000</f>
        <v>0</v>
      </c>
      <c r="BT54" s="721">
        <f>+VLOOKUP("6030020",'[8]IS ACCTS'!$F$5:$ZZ$999,106,FALSE)*1000</f>
        <v>0</v>
      </c>
      <c r="BU54" s="721">
        <f>+VLOOKUP("6030020",'[8]IS ACCTS'!$F$5:$ZZ$999,107,FALSE)*1000</f>
        <v>0</v>
      </c>
      <c r="BV54" s="721">
        <f>+VLOOKUP("6030020",'[8]IS ACCTS'!$F$5:$ZZ$999,108,FALSE)*1000</f>
        <v>4500</v>
      </c>
      <c r="BW54" s="721">
        <f>+VLOOKUP("6030020",'[8]IS ACCTS'!$F$5:$ZZ$999,109,FALSE)*1000</f>
        <v>100</v>
      </c>
      <c r="BX54" s="721">
        <f>+VLOOKUP("6030020",'[8]IS ACCTS'!$F$5:$ZZ$999,110,FALSE)*1000</f>
        <v>1500</v>
      </c>
      <c r="BY54" s="721">
        <f>+VLOOKUP("6030020",'[8]IS ACCTS'!$F$5:$ZZ$999,111,FALSE)*1000</f>
        <v>3900</v>
      </c>
      <c r="BZ54" s="721">
        <f>+VLOOKUP("6030020",'[8]IS ACCTS'!$F$5:$ZZ$999,112,FALSE)*1000</f>
        <v>0</v>
      </c>
      <c r="CA54" s="721">
        <f>VLOOKUP($D54,'[8]IS ACCTS'!$G:$ZZ,CA$52,FALSE)*1000</f>
        <v>0</v>
      </c>
      <c r="CB54" s="721">
        <f>VLOOKUP($D54,'[8]IS ACCTS'!$G:$ZZ,CB$52,FALSE)*1000</f>
        <v>0</v>
      </c>
      <c r="CC54" s="721">
        <f>VLOOKUP($D54,'[8]IS ACCTS'!$G:$ZZ,CC$52,FALSE)*1000</f>
        <v>0</v>
      </c>
      <c r="CD54" s="721">
        <f>VLOOKUP($D54,'[8]IS ACCTS'!$G:$ZZ,CD$52,FALSE)*1000</f>
        <v>0</v>
      </c>
      <c r="CE54" s="721">
        <f>VLOOKUP($D54,'[8]IS ACCTS'!$G:$ZZ,CE$52,FALSE)*1000</f>
        <v>0</v>
      </c>
      <c r="CF54" s="721">
        <f>VLOOKUP($D54,'[8]IS ACCTS'!$G:$ZZ,CF$52,FALSE)*1000</f>
        <v>0</v>
      </c>
      <c r="CG54" s="721">
        <f>VLOOKUP($D54,'[8]IS ACCTS'!$G:$ZZ,CG$52,FALSE)*1000</f>
        <v>0</v>
      </c>
      <c r="CH54" s="721">
        <f>VLOOKUP($D54,'[8]IS ACCTS'!$G:$ZZ,CH$52,FALSE)*1000</f>
        <v>0</v>
      </c>
      <c r="CI54" s="721">
        <f>VLOOKUP($D54,'[8]IS ACCTS'!$G:$ZZ,CI$52,FALSE)*1000</f>
        <v>0</v>
      </c>
      <c r="CJ54" s="721">
        <f>VLOOKUP($D54,'[8]IS ACCTS'!$G:$ZZ,CJ$52,FALSE)*1000</f>
        <v>0</v>
      </c>
      <c r="CK54" s="721">
        <f>VLOOKUP($D54,'[8]IS ACCTS'!$G:$ZZ,CK$52,FALSE)*1000</f>
        <v>0</v>
      </c>
      <c r="CL54" s="721">
        <f>VLOOKUP($D54,'[8]IS ACCTS'!$G:$ZZ,CL$52,FALSE)*1000</f>
        <v>0</v>
      </c>
      <c r="CM54" s="1060">
        <f t="shared" si="56"/>
        <v>0</v>
      </c>
      <c r="CN54" s="375"/>
      <c r="CO54" s="33"/>
      <c r="CP54" s="33"/>
    </row>
    <row r="55" spans="1:94" ht="15">
      <c r="A55" s="441" t="s">
        <v>1199</v>
      </c>
      <c r="C55" s="22"/>
      <c r="D55" t="s">
        <v>1198</v>
      </c>
      <c r="E55" s="22"/>
      <c r="F55" s="708">
        <f ca="1">SUM(OFFSET(BO55:BZ55,0,'Bal Sheet'!$A$1))/1000</f>
        <v>38.799999999999997</v>
      </c>
      <c r="G55" s="957"/>
      <c r="H55" s="957"/>
      <c r="I55" s="957"/>
      <c r="J55" s="957"/>
      <c r="K55" s="957"/>
      <c r="L55" s="957"/>
      <c r="M55" s="957"/>
      <c r="N55" s="957"/>
      <c r="O55" s="957"/>
      <c r="P55" s="957"/>
      <c r="Q55" s="957"/>
      <c r="R55" s="957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957"/>
      <c r="AL55" s="957"/>
      <c r="AM55" s="957"/>
      <c r="AN55" s="957"/>
      <c r="AO55" s="957"/>
      <c r="AP55" s="957"/>
      <c r="AQ55" s="957"/>
      <c r="AR55" s="957"/>
      <c r="AS55" s="957"/>
      <c r="AT55" s="957"/>
      <c r="AU55" s="957"/>
      <c r="AV55" s="957"/>
      <c r="AW55" s="957"/>
      <c r="AX55" s="957"/>
      <c r="AY55" s="957"/>
      <c r="AZ55" s="957"/>
      <c r="BA55" s="957"/>
      <c r="BB55" s="725"/>
      <c r="BC55" s="725"/>
      <c r="BD55" s="725"/>
      <c r="BE55" s="725"/>
      <c r="BF55" s="725"/>
      <c r="BG55" s="725"/>
      <c r="BH55" s="725"/>
      <c r="BI55" s="721"/>
      <c r="BJ55" s="721"/>
      <c r="BK55" s="721"/>
      <c r="BL55" s="721"/>
      <c r="BM55" s="721"/>
      <c r="BN55" s="721"/>
      <c r="BO55" s="721"/>
      <c r="BP55" s="721"/>
      <c r="BQ55" s="721"/>
      <c r="BR55" s="721"/>
      <c r="BS55" s="721"/>
      <c r="BT55" s="721"/>
      <c r="BU55" s="721"/>
      <c r="BV55" s="721"/>
      <c r="BW55" s="721"/>
      <c r="BX55" s="721"/>
      <c r="BY55" s="721"/>
      <c r="BZ55" s="721"/>
      <c r="CA55" s="721">
        <f>VLOOKUP($D55,'[8]IS ACCTS'!$G:$ZZ,CA$52,FALSE)*1000</f>
        <v>1400</v>
      </c>
      <c r="CB55" s="721">
        <f>VLOOKUP($D55,'[8]IS ACCTS'!$G:$ZZ,CB$52,FALSE)*1000</f>
        <v>1400</v>
      </c>
      <c r="CC55" s="721">
        <f>VLOOKUP($D55,'[8]IS ACCTS'!$G:$ZZ,CC$52,FALSE)*1000</f>
        <v>1400</v>
      </c>
      <c r="CD55" s="721">
        <f>VLOOKUP($D55,'[8]IS ACCTS'!$G:$ZZ,CD$52,FALSE)*1000</f>
        <v>23400</v>
      </c>
      <c r="CE55" s="721">
        <f>VLOOKUP($D55,'[8]IS ACCTS'!$G:$ZZ,CE$52,FALSE)*1000</f>
        <v>1400</v>
      </c>
      <c r="CF55" s="721">
        <f>VLOOKUP($D55,'[8]IS ACCTS'!$G:$ZZ,CF$52,FALSE)*1000</f>
        <v>1400</v>
      </c>
      <c r="CG55" s="721">
        <f>VLOOKUP($D55,'[8]IS ACCTS'!$G:$ZZ,CG$52,FALSE)*1000</f>
        <v>1400</v>
      </c>
      <c r="CH55" s="721">
        <f>VLOOKUP($D55,'[8]IS ACCTS'!$G:$ZZ,CH$52,FALSE)*1000</f>
        <v>1400</v>
      </c>
      <c r="CI55" s="721">
        <f>VLOOKUP($D55,'[8]IS ACCTS'!$G:$ZZ,CI$52,FALSE)*1000</f>
        <v>1400</v>
      </c>
      <c r="CJ55" s="721">
        <f>VLOOKUP($D55,'[8]IS ACCTS'!$G:$ZZ,CJ$52,FALSE)*1000</f>
        <v>1400</v>
      </c>
      <c r="CK55" s="721">
        <f>VLOOKUP($D55,'[8]IS ACCTS'!$G:$ZZ,CK$52,FALSE)*1000</f>
        <v>1400</v>
      </c>
      <c r="CL55" s="721">
        <f>VLOOKUP($D55,'[8]IS ACCTS'!$G:$ZZ,CL$52,FALSE)*1000</f>
        <v>1400</v>
      </c>
      <c r="CM55" s="1060">
        <f t="shared" si="56"/>
        <v>38800</v>
      </c>
      <c r="CN55" s="375"/>
      <c r="CO55" s="33"/>
      <c r="CP55" s="33"/>
    </row>
    <row r="56" spans="1:94">
      <c r="A56" t="s">
        <v>446</v>
      </c>
      <c r="C56" s="22"/>
      <c r="D56" t="s">
        <v>447</v>
      </c>
      <c r="E56" s="22"/>
      <c r="F56" s="708">
        <f ca="1">SUM(OFFSET(BO56:BZ56,0,'Bal Sheet'!$A$1))/1000</f>
        <v>0</v>
      </c>
      <c r="G56" s="957"/>
      <c r="H56" s="957"/>
      <c r="I56" s="957"/>
      <c r="J56" s="957"/>
      <c r="K56" s="957"/>
      <c r="L56" s="957"/>
      <c r="M56" s="957"/>
      <c r="N56" s="957"/>
      <c r="O56" s="957"/>
      <c r="P56" s="957"/>
      <c r="Q56" s="957"/>
      <c r="R56" s="957"/>
      <c r="S56" s="957"/>
      <c r="T56" s="957"/>
      <c r="U56" s="957"/>
      <c r="V56" s="957"/>
      <c r="W56" s="957"/>
      <c r="X56" s="957"/>
      <c r="Y56" s="957"/>
      <c r="Z56" s="957"/>
      <c r="AA56" s="957"/>
      <c r="AB56" s="957"/>
      <c r="AC56" s="957"/>
      <c r="AD56" s="957"/>
      <c r="AE56" s="957"/>
      <c r="AF56" s="957"/>
      <c r="AG56" s="957"/>
      <c r="AH56" s="957"/>
      <c r="AI56" s="957"/>
      <c r="AJ56" s="957"/>
      <c r="AK56" s="957"/>
      <c r="AL56" s="957"/>
      <c r="AM56" s="957"/>
      <c r="AN56" s="957"/>
      <c r="AO56" s="957"/>
      <c r="AP56" s="957"/>
      <c r="AQ56" s="957">
        <v>3700</v>
      </c>
      <c r="AR56" s="957">
        <v>5700</v>
      </c>
      <c r="AS56" s="957">
        <v>10400</v>
      </c>
      <c r="AT56" s="957">
        <v>105000</v>
      </c>
      <c r="AU56" s="957">
        <v>20300</v>
      </c>
      <c r="AV56" s="957">
        <v>50900</v>
      </c>
      <c r="AW56" s="957">
        <v>0</v>
      </c>
      <c r="AX56" s="957">
        <v>4600</v>
      </c>
      <c r="AY56" s="957">
        <v>2200</v>
      </c>
      <c r="AZ56" s="957">
        <v>4800</v>
      </c>
      <c r="BA56" s="957">
        <v>3200</v>
      </c>
      <c r="BB56" s="725">
        <v>34500</v>
      </c>
      <c r="BC56" s="725"/>
      <c r="BD56" s="725"/>
      <c r="BE56" s="725"/>
      <c r="BF56" s="725"/>
      <c r="BG56" s="725"/>
      <c r="BH56" s="725"/>
      <c r="BI56" s="721"/>
      <c r="BJ56" s="721"/>
      <c r="BK56" s="721"/>
      <c r="BL56" s="721"/>
      <c r="BM56" s="721"/>
      <c r="BN56" s="721"/>
      <c r="BO56" s="721">
        <f>+VLOOKUP("6790090",'[8]IS ACCTS'!$F$5:$ZZ$999,101,FALSE)*1000</f>
        <v>1400</v>
      </c>
      <c r="BP56" s="721">
        <f>+VLOOKUP("6790090",'[8]IS ACCTS'!$F$5:$ZZ$999,102,FALSE)*1000</f>
        <v>1900</v>
      </c>
      <c r="BQ56" s="721">
        <f>+VLOOKUP("6790090",'[8]IS ACCTS'!$F$5:$ZZ$999,103,FALSE)*1000</f>
        <v>11300</v>
      </c>
      <c r="BR56" s="721">
        <f>+VLOOKUP("6790090",'[8]IS ACCTS'!$F$5:$ZZ$999,104,FALSE)*1000</f>
        <v>39200</v>
      </c>
      <c r="BS56" s="721">
        <f>+VLOOKUP("6790090",'[8]IS ACCTS'!$F$5:$ZZ$999,105,FALSE)*1000</f>
        <v>13700</v>
      </c>
      <c r="BT56" s="721">
        <f>+VLOOKUP("6790090",'[8]IS ACCTS'!$F$5:$ZZ$999,106,FALSE)*1000</f>
        <v>21000</v>
      </c>
      <c r="BU56" s="721">
        <f>+VLOOKUP("6790090",'[8]IS ACCTS'!$F$5:$ZZ$999,107,FALSE)*1000</f>
        <v>16100.000000000002</v>
      </c>
      <c r="BV56" s="721">
        <f>+VLOOKUP("6790090",'[8]IS ACCTS'!$F$5:$ZZ$999,108,FALSE)*1000</f>
        <v>-6500</v>
      </c>
      <c r="BW56" s="721">
        <f>+VLOOKUP("6790090",'[8]IS ACCTS'!$F$5:$ZZ$999,109,FALSE)*1000</f>
        <v>23100</v>
      </c>
      <c r="BX56" s="721">
        <f>+VLOOKUP("6790090",'[8]IS ACCTS'!$F$5:$ZZ$999,110,FALSE)*1000</f>
        <v>54200</v>
      </c>
      <c r="BY56" s="721">
        <f>+VLOOKUP("6790090",'[8]IS ACCTS'!$F$5:$ZZ$999,111,FALSE)*1000</f>
        <v>36900</v>
      </c>
      <c r="BZ56" s="721">
        <f>+VLOOKUP("6790090",'[8]IS ACCTS'!$F$5:$ZZ$999,112,FALSE)*1000</f>
        <v>25200</v>
      </c>
      <c r="CA56" s="721">
        <f>VLOOKUP($D56,'[8]IS ACCTS'!$G:$ZZ,CA$52,FALSE)*1000</f>
        <v>0</v>
      </c>
      <c r="CB56" s="721">
        <f>VLOOKUP($D56,'[8]IS ACCTS'!$G:$ZZ,CB$52,FALSE)*1000</f>
        <v>0</v>
      </c>
      <c r="CC56" s="721">
        <f>VLOOKUP($D56,'[8]IS ACCTS'!$G:$ZZ,CC$52,FALSE)*1000</f>
        <v>0</v>
      </c>
      <c r="CD56" s="721">
        <f>VLOOKUP($D56,'[8]IS ACCTS'!$G:$ZZ,CD$52,FALSE)*1000</f>
        <v>0</v>
      </c>
      <c r="CE56" s="721">
        <f>VLOOKUP($D56,'[8]IS ACCTS'!$G:$ZZ,CE$52,FALSE)*1000</f>
        <v>0</v>
      </c>
      <c r="CF56" s="721">
        <f>VLOOKUP($D56,'[8]IS ACCTS'!$G:$ZZ,CF$52,FALSE)*1000</f>
        <v>0</v>
      </c>
      <c r="CG56" s="721">
        <f>VLOOKUP($D56,'[8]IS ACCTS'!$G:$ZZ,CG$52,FALSE)*1000</f>
        <v>0</v>
      </c>
      <c r="CH56" s="721">
        <f>VLOOKUP($D56,'[8]IS ACCTS'!$G:$ZZ,CH$52,FALSE)*1000</f>
        <v>0</v>
      </c>
      <c r="CI56" s="721">
        <f>VLOOKUP($D56,'[8]IS ACCTS'!$G:$ZZ,CI$52,FALSE)*1000</f>
        <v>0</v>
      </c>
      <c r="CJ56" s="721">
        <f>VLOOKUP($D56,'[8]IS ACCTS'!$G:$ZZ,CJ$52,FALSE)*1000</f>
        <v>0</v>
      </c>
      <c r="CK56" s="721">
        <f>VLOOKUP($D56,'[8]IS ACCTS'!$G:$ZZ,CK$52,FALSE)*1000</f>
        <v>0</v>
      </c>
      <c r="CL56" s="721">
        <f>VLOOKUP($D56,'[8]IS ACCTS'!$G:$ZZ,CL$52,FALSE)*1000</f>
        <v>0</v>
      </c>
      <c r="CM56" s="1060">
        <f t="shared" si="56"/>
        <v>0</v>
      </c>
      <c r="CN56" s="375"/>
      <c r="CO56" s="33"/>
      <c r="CP56" s="33"/>
    </row>
    <row r="57" spans="1:94">
      <c r="A57" t="s">
        <v>1200</v>
      </c>
      <c r="C57" s="22"/>
      <c r="D57" t="s">
        <v>1195</v>
      </c>
      <c r="E57" s="22"/>
      <c r="F57" s="708">
        <f ca="1">SUM(OFFSET(BO57:BZ57,0,'Bal Sheet'!$A$1))/1000</f>
        <v>307</v>
      </c>
      <c r="G57" s="957"/>
      <c r="H57" s="957"/>
      <c r="I57" s="957"/>
      <c r="J57" s="957"/>
      <c r="K57" s="957"/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7"/>
      <c r="Y57" s="957"/>
      <c r="Z57" s="957"/>
      <c r="AA57" s="957"/>
      <c r="AB57" s="957"/>
      <c r="AC57" s="957"/>
      <c r="AD57" s="957"/>
      <c r="AE57" s="957"/>
      <c r="AF57" s="957"/>
      <c r="AG57" s="957"/>
      <c r="AH57" s="957"/>
      <c r="AI57" s="957"/>
      <c r="AJ57" s="957"/>
      <c r="AK57" s="957"/>
      <c r="AL57" s="957"/>
      <c r="AM57" s="957"/>
      <c r="AN57" s="957"/>
      <c r="AO57" s="957"/>
      <c r="AP57" s="957"/>
      <c r="AQ57" s="957"/>
      <c r="AR57" s="957"/>
      <c r="AS57" s="957"/>
      <c r="AT57" s="957"/>
      <c r="AU57" s="957"/>
      <c r="AV57" s="957"/>
      <c r="AW57" s="957"/>
      <c r="AX57" s="957"/>
      <c r="AY57" s="957"/>
      <c r="AZ57" s="957"/>
      <c r="BA57" s="957"/>
      <c r="BB57" s="725"/>
      <c r="BC57" s="725"/>
      <c r="BD57" s="725"/>
      <c r="BE57" s="725"/>
      <c r="BF57" s="725"/>
      <c r="BG57" s="725"/>
      <c r="BH57" s="725"/>
      <c r="BI57" s="721"/>
      <c r="BJ57" s="721"/>
      <c r="BK57" s="721"/>
      <c r="BL57" s="721"/>
      <c r="BM57" s="721"/>
      <c r="BN57" s="721"/>
      <c r="BO57" s="721"/>
      <c r="BP57" s="721"/>
      <c r="BQ57" s="721"/>
      <c r="BR57" s="721"/>
      <c r="BS57" s="721"/>
      <c r="BT57" s="721"/>
      <c r="BU57" s="721"/>
      <c r="BV57" s="721"/>
      <c r="BW57" s="721"/>
      <c r="BX57" s="721"/>
      <c r="BY57" s="721"/>
      <c r="BZ57" s="721"/>
      <c r="CA57" s="721">
        <f>VLOOKUP($D57,'[8]IS ACCTS'!$G:$ZZ,CA$52,FALSE)*1000</f>
        <v>23500</v>
      </c>
      <c r="CB57" s="721">
        <f>VLOOKUP($D57,'[8]IS ACCTS'!$G:$ZZ,CB$52,FALSE)*1000</f>
        <v>23500</v>
      </c>
      <c r="CC57" s="721">
        <f>VLOOKUP($D57,'[8]IS ACCTS'!$G:$ZZ,CC$52,FALSE)*1000</f>
        <v>23500</v>
      </c>
      <c r="CD57" s="721">
        <f>VLOOKUP($D57,'[8]IS ACCTS'!$G:$ZZ,CD$52,FALSE)*1000</f>
        <v>23500</v>
      </c>
      <c r="CE57" s="721">
        <f>VLOOKUP($D57,'[8]IS ACCTS'!$G:$ZZ,CE$52,FALSE)*1000</f>
        <v>23500</v>
      </c>
      <c r="CF57" s="721">
        <f>VLOOKUP($D57,'[8]IS ACCTS'!$G:$ZZ,CF$52,FALSE)*1000</f>
        <v>23500</v>
      </c>
      <c r="CG57" s="721">
        <f>VLOOKUP($D57,'[8]IS ACCTS'!$G:$ZZ,CG$52,FALSE)*1000</f>
        <v>23500</v>
      </c>
      <c r="CH57" s="721">
        <f>VLOOKUP($D57,'[8]IS ACCTS'!$G:$ZZ,CH$52,FALSE)*1000</f>
        <v>23500</v>
      </c>
      <c r="CI57" s="721">
        <f>VLOOKUP($D57,'[8]IS ACCTS'!$G:$ZZ,CI$52,FALSE)*1000</f>
        <v>23500</v>
      </c>
      <c r="CJ57" s="721">
        <f>VLOOKUP($D57,'[8]IS ACCTS'!$G:$ZZ,CJ$52,FALSE)*1000</f>
        <v>23500</v>
      </c>
      <c r="CK57" s="721">
        <f>VLOOKUP($D57,'[8]IS ACCTS'!$G:$ZZ,CK$52,FALSE)*1000</f>
        <v>23500</v>
      </c>
      <c r="CL57" s="721">
        <f>VLOOKUP($D57,'[8]IS ACCTS'!$G:$ZZ,CL$52,FALSE)*1000</f>
        <v>48500</v>
      </c>
      <c r="CM57" s="1060">
        <f t="shared" si="56"/>
        <v>307000</v>
      </c>
      <c r="CN57" s="375"/>
      <c r="CO57" s="33"/>
      <c r="CP57" s="33"/>
    </row>
    <row r="58" spans="1:94">
      <c r="A58" t="s">
        <v>448</v>
      </c>
      <c r="C58" s="22"/>
      <c r="D58" t="s">
        <v>449</v>
      </c>
      <c r="E58" s="22"/>
      <c r="F58" s="708">
        <f ca="1">SUM(OFFSET(BO58:BZ58,0,'Bal Sheet'!$A$1))/1000</f>
        <v>0</v>
      </c>
      <c r="G58" s="957"/>
      <c r="H58" s="957"/>
      <c r="I58" s="957"/>
      <c r="J58" s="957"/>
      <c r="K58" s="957"/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7"/>
      <c r="Y58" s="957"/>
      <c r="Z58" s="957"/>
      <c r="AA58" s="957"/>
      <c r="AB58" s="957"/>
      <c r="AC58" s="957"/>
      <c r="AD58" s="957"/>
      <c r="AE58" s="957"/>
      <c r="AF58" s="957"/>
      <c r="AG58" s="957"/>
      <c r="AH58" s="957"/>
      <c r="AI58" s="957"/>
      <c r="AJ58" s="957"/>
      <c r="AK58" s="957"/>
      <c r="AL58" s="957"/>
      <c r="AM58" s="957"/>
      <c r="AN58" s="957"/>
      <c r="AO58" s="957"/>
      <c r="AP58" s="957"/>
      <c r="AQ58" s="957">
        <v>1400</v>
      </c>
      <c r="AR58" s="957">
        <v>62000</v>
      </c>
      <c r="AS58" s="957">
        <v>26300</v>
      </c>
      <c r="AT58" s="957">
        <v>100</v>
      </c>
      <c r="AU58" s="957">
        <v>8500</v>
      </c>
      <c r="AV58" s="957">
        <v>1700</v>
      </c>
      <c r="AW58" s="957">
        <v>0</v>
      </c>
      <c r="AX58" s="957">
        <v>0</v>
      </c>
      <c r="AY58" s="957">
        <v>0</v>
      </c>
      <c r="AZ58" s="957">
        <v>13000</v>
      </c>
      <c r="BA58" s="957">
        <v>9500</v>
      </c>
      <c r="BB58" s="725">
        <v>5500</v>
      </c>
      <c r="BC58" s="725"/>
      <c r="BD58" s="725"/>
      <c r="BE58" s="725"/>
      <c r="BF58" s="725"/>
      <c r="BG58" s="725"/>
      <c r="BH58" s="725"/>
      <c r="BI58" s="721"/>
      <c r="BJ58" s="721"/>
      <c r="BK58" s="721"/>
      <c r="BL58" s="721"/>
      <c r="BM58" s="721"/>
      <c r="BN58" s="721"/>
      <c r="BO58" s="721">
        <f>+VLOOKUP("6790091",'[8]IS ACCTS'!$F$5:$ZZ$999,101,FALSE)*1000</f>
        <v>49900</v>
      </c>
      <c r="BP58" s="721">
        <f>+VLOOKUP("6790091",'[8]IS ACCTS'!$F$5:$ZZ$999,102,FALSE)*1000</f>
        <v>300</v>
      </c>
      <c r="BQ58" s="721">
        <f>+VLOOKUP("6790091",'[8]IS ACCTS'!$F$5:$ZZ$999,103,FALSE)*1000</f>
        <v>3400</v>
      </c>
      <c r="BR58" s="721">
        <f>+VLOOKUP("6790091",'[8]IS ACCTS'!$F$5:$ZZ$999,104,FALSE)*1000</f>
        <v>7300</v>
      </c>
      <c r="BS58" s="721">
        <f>+VLOOKUP("6790091",'[8]IS ACCTS'!$F$5:$ZZ$999,105,FALSE)*1000</f>
        <v>22200</v>
      </c>
      <c r="BT58" s="721">
        <f>+VLOOKUP("6790091",'[8]IS ACCTS'!$F$5:$ZZ$999,106,FALSE)*1000</f>
        <v>0</v>
      </c>
      <c r="BU58" s="721">
        <f>+VLOOKUP("6790091",'[8]IS ACCTS'!$F$5:$ZZ$999,107,FALSE)*1000</f>
        <v>4000</v>
      </c>
      <c r="BV58" s="721">
        <f>+VLOOKUP("6790091",'[8]IS ACCTS'!$F$5:$ZZ$999,108,FALSE)*1000</f>
        <v>3700</v>
      </c>
      <c r="BW58" s="721">
        <f>+VLOOKUP("6790091",'[8]IS ACCTS'!$F$5:$ZZ$999,109,FALSE)*1000</f>
        <v>100</v>
      </c>
      <c r="BX58" s="721">
        <f>+VLOOKUP("6790091",'[8]IS ACCTS'!$F$5:$ZZ$999,110,FALSE)*1000</f>
        <v>4200</v>
      </c>
      <c r="BY58" s="721">
        <f>+VLOOKUP("6790091",'[8]IS ACCTS'!$F$5:$ZZ$999,111,FALSE)*1000</f>
        <v>7700</v>
      </c>
      <c r="BZ58" s="721">
        <f>+VLOOKUP("6790091",'[8]IS ACCTS'!$F$5:$ZZ$999,112,FALSE)*1000</f>
        <v>-300</v>
      </c>
      <c r="CA58" s="721">
        <f>VLOOKUP($D58,'[8]IS ACCTS'!$G:$ZZ,CA$52,FALSE)*1000</f>
        <v>0</v>
      </c>
      <c r="CB58" s="721">
        <f>VLOOKUP($D58,'[8]IS ACCTS'!$G:$ZZ,CB$52,FALSE)*1000</f>
        <v>0</v>
      </c>
      <c r="CC58" s="721">
        <f>VLOOKUP($D58,'[8]IS ACCTS'!$G:$ZZ,CC$52,FALSE)*1000</f>
        <v>0</v>
      </c>
      <c r="CD58" s="721">
        <f>VLOOKUP($D58,'[8]IS ACCTS'!$G:$ZZ,CD$52,FALSE)*1000</f>
        <v>0</v>
      </c>
      <c r="CE58" s="721">
        <f>VLOOKUP($D58,'[8]IS ACCTS'!$G:$ZZ,CE$52,FALSE)*1000</f>
        <v>0</v>
      </c>
      <c r="CF58" s="721">
        <f>VLOOKUP($D58,'[8]IS ACCTS'!$G:$ZZ,CF$52,FALSE)*1000</f>
        <v>0</v>
      </c>
      <c r="CG58" s="721">
        <f>VLOOKUP($D58,'[8]IS ACCTS'!$G:$ZZ,CG$52,FALSE)*1000</f>
        <v>0</v>
      </c>
      <c r="CH58" s="721">
        <f>VLOOKUP($D58,'[8]IS ACCTS'!$G:$ZZ,CH$52,FALSE)*1000</f>
        <v>0</v>
      </c>
      <c r="CI58" s="721">
        <f>VLOOKUP($D58,'[8]IS ACCTS'!$G:$ZZ,CI$52,FALSE)*1000</f>
        <v>0</v>
      </c>
      <c r="CJ58" s="721">
        <f>VLOOKUP($D58,'[8]IS ACCTS'!$G:$ZZ,CJ$52,FALSE)*1000</f>
        <v>0</v>
      </c>
      <c r="CK58" s="721">
        <f>VLOOKUP($D58,'[8]IS ACCTS'!$G:$ZZ,CK$52,FALSE)*1000</f>
        <v>0</v>
      </c>
      <c r="CL58" s="721">
        <f>VLOOKUP($D58,'[8]IS ACCTS'!$G:$ZZ,CL$52,FALSE)*1000</f>
        <v>0</v>
      </c>
      <c r="CM58" s="1060">
        <f t="shared" si="56"/>
        <v>0</v>
      </c>
      <c r="CN58" s="375"/>
      <c r="CO58" s="33"/>
      <c r="CP58" s="33"/>
    </row>
    <row r="59" spans="1:94">
      <c r="A59" t="s">
        <v>1201</v>
      </c>
      <c r="C59" s="22"/>
      <c r="D59" t="s">
        <v>1196</v>
      </c>
      <c r="E59" s="22"/>
      <c r="F59" s="708">
        <f ca="1">SUM(OFFSET(BO59:BZ59,0,'Bal Sheet'!$A$1))/1000</f>
        <v>135.4</v>
      </c>
      <c r="G59" s="957"/>
      <c r="H59" s="957"/>
      <c r="I59" s="957"/>
      <c r="J59" s="957"/>
      <c r="K59" s="957"/>
      <c r="L59" s="957"/>
      <c r="M59" s="957"/>
      <c r="N59" s="957"/>
      <c r="O59" s="957"/>
      <c r="P59" s="957"/>
      <c r="Q59" s="957"/>
      <c r="R59" s="957"/>
      <c r="S59" s="957"/>
      <c r="T59" s="957"/>
      <c r="U59" s="957"/>
      <c r="V59" s="957"/>
      <c r="W59" s="957"/>
      <c r="X59" s="957"/>
      <c r="Y59" s="957"/>
      <c r="Z59" s="957"/>
      <c r="AA59" s="957"/>
      <c r="AB59" s="957"/>
      <c r="AC59" s="957"/>
      <c r="AD59" s="957"/>
      <c r="AE59" s="957"/>
      <c r="AF59" s="957"/>
      <c r="AG59" s="957"/>
      <c r="AH59" s="957"/>
      <c r="AI59" s="957"/>
      <c r="AJ59" s="957"/>
      <c r="AK59" s="957"/>
      <c r="AL59" s="957"/>
      <c r="AM59" s="957"/>
      <c r="AN59" s="957"/>
      <c r="AO59" s="957"/>
      <c r="AP59" s="957"/>
      <c r="AQ59" s="957"/>
      <c r="AR59" s="957"/>
      <c r="AS59" s="957"/>
      <c r="AT59" s="957"/>
      <c r="AU59" s="957"/>
      <c r="AV59" s="957"/>
      <c r="AW59" s="957"/>
      <c r="AX59" s="957"/>
      <c r="AY59" s="957"/>
      <c r="AZ59" s="957"/>
      <c r="BA59" s="957"/>
      <c r="BB59" s="725"/>
      <c r="BC59" s="725"/>
      <c r="BD59" s="725"/>
      <c r="BE59" s="725"/>
      <c r="BF59" s="725"/>
      <c r="BG59" s="725"/>
      <c r="BH59" s="725"/>
      <c r="BI59" s="721"/>
      <c r="BJ59" s="721"/>
      <c r="BK59" s="721"/>
      <c r="BL59" s="721"/>
      <c r="BM59" s="721"/>
      <c r="BN59" s="721"/>
      <c r="BO59" s="721"/>
      <c r="BP59" s="721"/>
      <c r="BQ59" s="721"/>
      <c r="BR59" s="721"/>
      <c r="BS59" s="721"/>
      <c r="BT59" s="721"/>
      <c r="BU59" s="721"/>
      <c r="BV59" s="721"/>
      <c r="BW59" s="721"/>
      <c r="BX59" s="721"/>
      <c r="BY59" s="721"/>
      <c r="BZ59" s="721"/>
      <c r="CA59" s="721">
        <f>VLOOKUP($D59,'[8]IS ACCTS'!$G:$ZZ,CA$52,FALSE)*1000</f>
        <v>9200</v>
      </c>
      <c r="CB59" s="721">
        <f>VLOOKUP($D59,'[8]IS ACCTS'!$G:$ZZ,CB$52,FALSE)*1000</f>
        <v>9200</v>
      </c>
      <c r="CC59" s="721">
        <f>VLOOKUP($D59,'[8]IS ACCTS'!$G:$ZZ,CC$52,FALSE)*1000</f>
        <v>9200</v>
      </c>
      <c r="CD59" s="721">
        <f>VLOOKUP($D59,'[8]IS ACCTS'!$G:$ZZ,CD$52,FALSE)*1000</f>
        <v>9200</v>
      </c>
      <c r="CE59" s="721">
        <f>VLOOKUP($D59,'[8]IS ACCTS'!$G:$ZZ,CE$52,FALSE)*1000</f>
        <v>9200</v>
      </c>
      <c r="CF59" s="721">
        <f>VLOOKUP($D59,'[8]IS ACCTS'!$G:$ZZ,CF$52,FALSE)*1000</f>
        <v>9200</v>
      </c>
      <c r="CG59" s="721">
        <f>VLOOKUP($D59,'[8]IS ACCTS'!$G:$ZZ,CG$52,FALSE)*1000</f>
        <v>9200</v>
      </c>
      <c r="CH59" s="721">
        <f>VLOOKUP($D59,'[8]IS ACCTS'!$G:$ZZ,CH$52,FALSE)*1000</f>
        <v>9200</v>
      </c>
      <c r="CI59" s="721">
        <f>VLOOKUP($D59,'[8]IS ACCTS'!$G:$ZZ,CI$52,FALSE)*1000</f>
        <v>9200</v>
      </c>
      <c r="CJ59" s="721">
        <f>VLOOKUP($D59,'[8]IS ACCTS'!$G:$ZZ,CJ$52,FALSE)*1000</f>
        <v>9200</v>
      </c>
      <c r="CK59" s="721">
        <f>VLOOKUP($D59,'[8]IS ACCTS'!$G:$ZZ,CK$52,FALSE)*1000</f>
        <v>9200</v>
      </c>
      <c r="CL59" s="721">
        <f>VLOOKUP($D59,'[8]IS ACCTS'!$G:$ZZ,CL$52,FALSE)*1000</f>
        <v>34200</v>
      </c>
      <c r="CM59" s="1060">
        <f t="shared" si="56"/>
        <v>135400</v>
      </c>
      <c r="CN59" s="375"/>
      <c r="CO59" s="33"/>
      <c r="CP59" s="33"/>
    </row>
    <row r="60" spans="1:94">
      <c r="A60" t="s">
        <v>450</v>
      </c>
      <c r="C60" s="22"/>
      <c r="D60" t="s">
        <v>451</v>
      </c>
      <c r="E60" s="22"/>
      <c r="F60" s="708">
        <f ca="1">SUM(OFFSET(BO60:BZ60,0,'Bal Sheet'!$A$1))/1000</f>
        <v>0</v>
      </c>
      <c r="G60" s="957"/>
      <c r="H60" s="957"/>
      <c r="I60" s="957"/>
      <c r="J60" s="957"/>
      <c r="K60" s="957"/>
      <c r="L60" s="957"/>
      <c r="M60" s="957"/>
      <c r="N60" s="957"/>
      <c r="O60" s="957"/>
      <c r="P60" s="957"/>
      <c r="Q60" s="957"/>
      <c r="R60" s="957"/>
      <c r="S60" s="957"/>
      <c r="T60" s="957"/>
      <c r="U60" s="957"/>
      <c r="V60" s="957"/>
      <c r="W60" s="957"/>
      <c r="X60" s="957"/>
      <c r="Y60" s="957"/>
      <c r="Z60" s="957"/>
      <c r="AA60" s="957"/>
      <c r="AB60" s="957"/>
      <c r="AC60" s="957"/>
      <c r="AD60" s="957"/>
      <c r="AE60" s="957"/>
      <c r="AF60" s="957"/>
      <c r="AG60" s="957"/>
      <c r="AH60" s="957"/>
      <c r="AI60" s="957"/>
      <c r="AJ60" s="957"/>
      <c r="AK60" s="957"/>
      <c r="AL60" s="957"/>
      <c r="AM60" s="957"/>
      <c r="AN60" s="957"/>
      <c r="AO60" s="957"/>
      <c r="AP60" s="957"/>
      <c r="AQ60" s="957">
        <v>3800</v>
      </c>
      <c r="AR60" s="957">
        <v>7100</v>
      </c>
      <c r="AS60" s="957">
        <v>3900</v>
      </c>
      <c r="AT60" s="957">
        <v>1300</v>
      </c>
      <c r="AU60" s="957">
        <v>1600</v>
      </c>
      <c r="AV60" s="957">
        <v>4100</v>
      </c>
      <c r="AW60" s="957">
        <v>1500</v>
      </c>
      <c r="AX60" s="957">
        <v>4600</v>
      </c>
      <c r="AY60" s="957">
        <v>1900</v>
      </c>
      <c r="AZ60" s="957">
        <v>12200</v>
      </c>
      <c r="BA60" s="957">
        <v>4400</v>
      </c>
      <c r="BB60" s="725">
        <v>30600</v>
      </c>
      <c r="BC60" s="725"/>
      <c r="BD60" s="725"/>
      <c r="BE60" s="725"/>
      <c r="BF60" s="725"/>
      <c r="BG60" s="725"/>
      <c r="BH60" s="725"/>
      <c r="BI60" s="721"/>
      <c r="BJ60" s="721"/>
      <c r="BK60" s="721"/>
      <c r="BL60" s="721"/>
      <c r="BM60" s="721"/>
      <c r="BN60" s="721"/>
      <c r="BO60" s="721">
        <f>+VLOOKUP("6790092",'[8]IS ACCTS'!$F$5:$ZZ$999,101,FALSE)*1000</f>
        <v>2300</v>
      </c>
      <c r="BP60" s="721">
        <f>+VLOOKUP("6790092",'[8]IS ACCTS'!$F$5:$ZZ$999,102,FALSE)*1000</f>
        <v>5100</v>
      </c>
      <c r="BQ60" s="721">
        <f>+VLOOKUP("6790092",'[8]IS ACCTS'!$F$5:$ZZ$999,103,FALSE)*1000</f>
        <v>7600</v>
      </c>
      <c r="BR60" s="721">
        <f>+VLOOKUP("6790092",'[8]IS ACCTS'!$F$5:$ZZ$999,104,FALSE)*1000</f>
        <v>9200</v>
      </c>
      <c r="BS60" s="721">
        <f>+VLOOKUP("6790092",'[8]IS ACCTS'!$F$5:$ZZ$999,105,FALSE)*1000</f>
        <v>2300</v>
      </c>
      <c r="BT60" s="721">
        <f>+VLOOKUP("6790092",'[8]IS ACCTS'!$F$5:$ZZ$999,106,FALSE)*1000</f>
        <v>3800</v>
      </c>
      <c r="BU60" s="721">
        <f>+VLOOKUP("6790092",'[8]IS ACCTS'!$F$5:$ZZ$999,107,FALSE)*1000</f>
        <v>2500</v>
      </c>
      <c r="BV60" s="721">
        <f>+VLOOKUP("6790092",'[8]IS ACCTS'!$F$5:$ZZ$999,108,FALSE)*1000</f>
        <v>4100</v>
      </c>
      <c r="BW60" s="721">
        <f>+VLOOKUP("6790092",'[8]IS ACCTS'!$F$5:$ZZ$999,109,FALSE)*1000</f>
        <v>2800</v>
      </c>
      <c r="BX60" s="721">
        <f>+VLOOKUP("6790092",'[8]IS ACCTS'!$F$5:$ZZ$999,110,FALSE)*1000</f>
        <v>5900</v>
      </c>
      <c r="BY60" s="721">
        <f>+VLOOKUP("6790092",'[8]IS ACCTS'!$F$5:$ZZ$999,111,FALSE)*1000</f>
        <v>9500</v>
      </c>
      <c r="BZ60" s="721">
        <f>+VLOOKUP("6790092",'[8]IS ACCTS'!$F$5:$ZZ$999,112,FALSE)*1000</f>
        <v>21400</v>
      </c>
      <c r="CA60" s="721">
        <f>VLOOKUP($D60,'[8]IS ACCTS'!$G:$ZZ,CA$52,FALSE)*1000</f>
        <v>0</v>
      </c>
      <c r="CB60" s="721">
        <f>VLOOKUP($D60,'[8]IS ACCTS'!$G:$ZZ,CB$52,FALSE)*1000</f>
        <v>0</v>
      </c>
      <c r="CC60" s="721">
        <f>VLOOKUP($D60,'[8]IS ACCTS'!$G:$ZZ,CC$52,FALSE)*1000</f>
        <v>0</v>
      </c>
      <c r="CD60" s="721">
        <f>VLOOKUP($D60,'[8]IS ACCTS'!$G:$ZZ,CD$52,FALSE)*1000</f>
        <v>0</v>
      </c>
      <c r="CE60" s="721">
        <f>VLOOKUP($D60,'[8]IS ACCTS'!$G:$ZZ,CE$52,FALSE)*1000</f>
        <v>0</v>
      </c>
      <c r="CF60" s="721">
        <f>VLOOKUP($D60,'[8]IS ACCTS'!$G:$ZZ,CF$52,FALSE)*1000</f>
        <v>0</v>
      </c>
      <c r="CG60" s="721">
        <f>VLOOKUP($D60,'[8]IS ACCTS'!$G:$ZZ,CG$52,FALSE)*1000</f>
        <v>0</v>
      </c>
      <c r="CH60" s="721">
        <f>VLOOKUP($D60,'[8]IS ACCTS'!$G:$ZZ,CH$52,FALSE)*1000</f>
        <v>0</v>
      </c>
      <c r="CI60" s="721">
        <f>VLOOKUP($D60,'[8]IS ACCTS'!$G:$ZZ,CI$52,FALSE)*1000</f>
        <v>0</v>
      </c>
      <c r="CJ60" s="721">
        <f>VLOOKUP($D60,'[8]IS ACCTS'!$G:$ZZ,CJ$52,FALSE)*1000</f>
        <v>0</v>
      </c>
      <c r="CK60" s="721">
        <f>VLOOKUP($D60,'[8]IS ACCTS'!$G:$ZZ,CK$52,FALSE)*1000</f>
        <v>0</v>
      </c>
      <c r="CL60" s="721">
        <f>VLOOKUP($D60,'[8]IS ACCTS'!$G:$ZZ,CL$52,FALSE)*1000</f>
        <v>0</v>
      </c>
      <c r="CM60" s="1060">
        <f t="shared" si="56"/>
        <v>0</v>
      </c>
      <c r="CN60" s="375"/>
      <c r="CO60" s="33"/>
      <c r="CP60" s="33"/>
    </row>
    <row r="61" spans="1:94">
      <c r="A61" t="s">
        <v>1202</v>
      </c>
      <c r="C61" s="22"/>
      <c r="D61" t="s">
        <v>1197</v>
      </c>
      <c r="E61" s="22"/>
      <c r="F61" s="708">
        <f ca="1">SUM(OFFSET(BO61:BZ61,0,'Bal Sheet'!$A$1))/1000</f>
        <v>76.400000000000006</v>
      </c>
      <c r="G61" s="957"/>
      <c r="H61" s="957"/>
      <c r="I61" s="957"/>
      <c r="J61" s="957"/>
      <c r="K61" s="957"/>
      <c r="L61" s="957"/>
      <c r="M61" s="957"/>
      <c r="N61" s="957"/>
      <c r="O61" s="957"/>
      <c r="P61" s="957"/>
      <c r="Q61" s="957"/>
      <c r="R61" s="957"/>
      <c r="S61" s="957"/>
      <c r="T61" s="957"/>
      <c r="U61" s="957"/>
      <c r="V61" s="957"/>
      <c r="W61" s="957"/>
      <c r="X61" s="957"/>
      <c r="Y61" s="957"/>
      <c r="Z61" s="957"/>
      <c r="AA61" s="957"/>
      <c r="AB61" s="957"/>
      <c r="AC61" s="957"/>
      <c r="AD61" s="957"/>
      <c r="AE61" s="957"/>
      <c r="AF61" s="957"/>
      <c r="AG61" s="957"/>
      <c r="AH61" s="957"/>
      <c r="AI61" s="957"/>
      <c r="AJ61" s="957"/>
      <c r="AK61" s="957"/>
      <c r="AL61" s="957"/>
      <c r="AM61" s="957"/>
      <c r="AN61" s="957"/>
      <c r="AO61" s="957"/>
      <c r="AP61" s="957"/>
      <c r="AQ61" s="957"/>
      <c r="AR61" s="957"/>
      <c r="AS61" s="957"/>
      <c r="AT61" s="957"/>
      <c r="AU61" s="957"/>
      <c r="AV61" s="957"/>
      <c r="AW61" s="957"/>
      <c r="AX61" s="957"/>
      <c r="AY61" s="957"/>
      <c r="AZ61" s="957"/>
      <c r="BA61" s="957"/>
      <c r="BB61" s="725"/>
      <c r="BC61" s="725"/>
      <c r="BD61" s="725"/>
      <c r="BE61" s="725"/>
      <c r="BF61" s="725"/>
      <c r="BG61" s="725"/>
      <c r="BH61" s="725"/>
      <c r="BI61" s="721"/>
      <c r="BJ61" s="721"/>
      <c r="BK61" s="721"/>
      <c r="BL61" s="721"/>
      <c r="BM61" s="721"/>
      <c r="BN61" s="721"/>
      <c r="BO61" s="721"/>
      <c r="BP61" s="721"/>
      <c r="BQ61" s="721"/>
      <c r="BR61" s="721"/>
      <c r="BS61" s="721"/>
      <c r="BT61" s="721"/>
      <c r="BU61" s="721"/>
      <c r="BV61" s="721"/>
      <c r="BW61" s="721"/>
      <c r="BX61" s="721"/>
      <c r="BY61" s="721"/>
      <c r="BZ61" s="721"/>
      <c r="CA61" s="721">
        <f>VLOOKUP($D61,'[8]IS ACCTS'!$G:$ZZ,CA$52,FALSE)*1000</f>
        <v>4700</v>
      </c>
      <c r="CB61" s="721">
        <f>VLOOKUP($D61,'[8]IS ACCTS'!$G:$ZZ,CB$52,FALSE)*1000</f>
        <v>4700</v>
      </c>
      <c r="CC61" s="721">
        <f>VLOOKUP($D61,'[8]IS ACCTS'!$G:$ZZ,CC$52,FALSE)*1000</f>
        <v>9700</v>
      </c>
      <c r="CD61" s="721">
        <f>VLOOKUP($D61,'[8]IS ACCTS'!$G:$ZZ,CD$52,FALSE)*1000</f>
        <v>4700</v>
      </c>
      <c r="CE61" s="721">
        <f>VLOOKUP($D61,'[8]IS ACCTS'!$G:$ZZ,CE$52,FALSE)*1000</f>
        <v>4700</v>
      </c>
      <c r="CF61" s="721">
        <f>VLOOKUP($D61,'[8]IS ACCTS'!$G:$ZZ,CF$52,FALSE)*1000</f>
        <v>9700</v>
      </c>
      <c r="CG61" s="721">
        <f>VLOOKUP($D61,'[8]IS ACCTS'!$G:$ZZ,CG$52,FALSE)*1000</f>
        <v>4700</v>
      </c>
      <c r="CH61" s="721">
        <f>VLOOKUP($D61,'[8]IS ACCTS'!$G:$ZZ,CH$52,FALSE)*1000</f>
        <v>4700</v>
      </c>
      <c r="CI61" s="721">
        <f>VLOOKUP($D61,'[8]IS ACCTS'!$G:$ZZ,CI$52,FALSE)*1000</f>
        <v>9700</v>
      </c>
      <c r="CJ61" s="721">
        <f>VLOOKUP($D61,'[8]IS ACCTS'!$G:$ZZ,CJ$52,FALSE)*1000</f>
        <v>4700</v>
      </c>
      <c r="CK61" s="721">
        <f>VLOOKUP($D61,'[8]IS ACCTS'!$G:$ZZ,CK$52,FALSE)*1000</f>
        <v>4700</v>
      </c>
      <c r="CL61" s="721">
        <f>VLOOKUP($D61,'[8]IS ACCTS'!$G:$ZZ,CL$52,FALSE)*1000</f>
        <v>9700</v>
      </c>
      <c r="CM61" s="1060">
        <f t="shared" si="56"/>
        <v>76400</v>
      </c>
      <c r="CN61" s="375"/>
      <c r="CO61" s="33"/>
      <c r="CP61" s="33"/>
    </row>
    <row r="62" spans="1:94">
      <c r="A62" t="s">
        <v>452</v>
      </c>
      <c r="C62" s="22"/>
      <c r="D62" t="s">
        <v>453</v>
      </c>
      <c r="E62" s="22"/>
      <c r="F62" s="708">
        <f ca="1">SUM(OFFSET(BO62:BZ62,0,'Bal Sheet'!$A$1))/1000</f>
        <v>0</v>
      </c>
      <c r="G62" s="957"/>
      <c r="H62" s="957"/>
      <c r="I62" s="957"/>
      <c r="J62" s="957"/>
      <c r="K62" s="957"/>
      <c r="L62" s="957"/>
      <c r="M62" s="957"/>
      <c r="N62" s="957"/>
      <c r="O62" s="957"/>
      <c r="P62" s="957"/>
      <c r="Q62" s="957"/>
      <c r="R62" s="957"/>
      <c r="S62" s="957"/>
      <c r="T62" s="957"/>
      <c r="U62" s="957"/>
      <c r="V62" s="957"/>
      <c r="W62" s="957"/>
      <c r="X62" s="957"/>
      <c r="Y62" s="957"/>
      <c r="Z62" s="957"/>
      <c r="AA62" s="957"/>
      <c r="AB62" s="957"/>
      <c r="AC62" s="957"/>
      <c r="AD62" s="957"/>
      <c r="AE62" s="957"/>
      <c r="AF62" s="957"/>
      <c r="AG62" s="957"/>
      <c r="AH62" s="957"/>
      <c r="AI62" s="957"/>
      <c r="AJ62" s="957"/>
      <c r="AK62" s="957"/>
      <c r="AL62" s="957"/>
      <c r="AM62" s="957"/>
      <c r="AN62" s="957"/>
      <c r="AO62" s="957"/>
      <c r="AP62" s="957"/>
      <c r="AQ62" s="957">
        <v>0</v>
      </c>
      <c r="AR62" s="957">
        <v>0</v>
      </c>
      <c r="AS62" s="957">
        <v>0</v>
      </c>
      <c r="AT62" s="957">
        <v>0</v>
      </c>
      <c r="AU62" s="957">
        <v>0</v>
      </c>
      <c r="AV62" s="957">
        <v>0</v>
      </c>
      <c r="AW62" s="957">
        <v>0</v>
      </c>
      <c r="AX62" s="957">
        <v>0</v>
      </c>
      <c r="AY62" s="957">
        <v>0</v>
      </c>
      <c r="AZ62" s="957">
        <v>0</v>
      </c>
      <c r="BA62" s="957">
        <v>0</v>
      </c>
      <c r="BB62" s="725">
        <v>0</v>
      </c>
      <c r="BC62" s="725"/>
      <c r="BD62" s="725"/>
      <c r="BE62" s="725"/>
      <c r="BF62" s="725"/>
      <c r="BG62" s="725"/>
      <c r="BH62" s="725"/>
      <c r="BI62" s="721"/>
      <c r="BJ62" s="721"/>
      <c r="BK62" s="721"/>
      <c r="BL62" s="721"/>
      <c r="BM62" s="721"/>
      <c r="BN62" s="721"/>
      <c r="BO62" s="721">
        <f>+VLOOKUP("6790099",'[8]IS ACCTS'!$F$5:$ZZ$999,101,FALSE)*1000</f>
        <v>0</v>
      </c>
      <c r="BP62" s="721">
        <f>+VLOOKUP("6790099",'[8]IS ACCTS'!$F$5:$ZZ$999,102,FALSE)*1000</f>
        <v>0</v>
      </c>
      <c r="BQ62" s="721">
        <f>+VLOOKUP("6790099",'[8]IS ACCTS'!$F$5:$ZZ$999,103,FALSE)*1000</f>
        <v>0</v>
      </c>
      <c r="BR62" s="721">
        <f>+VLOOKUP("6790099",'[8]IS ACCTS'!$F$5:$ZZ$999,104,FALSE)*1000</f>
        <v>0</v>
      </c>
      <c r="BS62" s="721">
        <f>+VLOOKUP("6790099",'[8]IS ACCTS'!$F$5:$ZZ$999,105,FALSE)*1000</f>
        <v>0</v>
      </c>
      <c r="BT62" s="721">
        <f>+VLOOKUP("6790099",'[8]IS ACCTS'!$F$5:$ZZ$999,106,FALSE)*1000</f>
        <v>0</v>
      </c>
      <c r="BU62" s="721">
        <f>+VLOOKUP("6790099",'[8]IS ACCTS'!$F$5:$ZZ$999,107,FALSE)*1000</f>
        <v>0</v>
      </c>
      <c r="BV62" s="721">
        <f>+VLOOKUP("6790099",'[8]IS ACCTS'!$F$5:$ZZ$999,108,FALSE)*1000</f>
        <v>0</v>
      </c>
      <c r="BW62" s="721">
        <f>+VLOOKUP("6790099",'[8]IS ACCTS'!$F$5:$ZZ$999,109,FALSE)*1000</f>
        <v>0</v>
      </c>
      <c r="BX62" s="721">
        <f>+VLOOKUP("6790099",'[8]IS ACCTS'!$F$5:$ZZ$999,110,FALSE)*1000</f>
        <v>0</v>
      </c>
      <c r="BY62" s="721">
        <f>+VLOOKUP("6790099",'[8]IS ACCTS'!$F$5:$ZZ$999,111,FALSE)*1000</f>
        <v>0</v>
      </c>
      <c r="BZ62" s="721">
        <f>+VLOOKUP("6790099",'[8]IS ACCTS'!$F$5:$ZZ$999,112,FALSE)*1000</f>
        <v>0</v>
      </c>
      <c r="CA62" s="721">
        <f>VLOOKUP($D62,'[8]IS ACCTS'!$G:$ZZ,CA$52,FALSE)*1000</f>
        <v>0</v>
      </c>
      <c r="CB62" s="721">
        <f>VLOOKUP($D62,'[8]IS ACCTS'!$G:$ZZ,CB$52,FALSE)*1000</f>
        <v>0</v>
      </c>
      <c r="CC62" s="721">
        <f>VLOOKUP($D62,'[8]IS ACCTS'!$G:$ZZ,CC$52,FALSE)*1000</f>
        <v>0</v>
      </c>
      <c r="CD62" s="721">
        <f>VLOOKUP($D62,'[8]IS ACCTS'!$G:$ZZ,CD$52,FALSE)*1000</f>
        <v>0</v>
      </c>
      <c r="CE62" s="721">
        <f>VLOOKUP($D62,'[8]IS ACCTS'!$G:$ZZ,CE$52,FALSE)*1000</f>
        <v>0</v>
      </c>
      <c r="CF62" s="721">
        <f>VLOOKUP($D62,'[8]IS ACCTS'!$G:$ZZ,CF$52,FALSE)*1000</f>
        <v>0</v>
      </c>
      <c r="CG62" s="721">
        <f>VLOOKUP($D62,'[8]IS ACCTS'!$G:$ZZ,CG$52,FALSE)*1000</f>
        <v>0</v>
      </c>
      <c r="CH62" s="721">
        <f>VLOOKUP($D62,'[8]IS ACCTS'!$G:$ZZ,CH$52,FALSE)*1000</f>
        <v>0</v>
      </c>
      <c r="CI62" s="721">
        <f>VLOOKUP($D62,'[8]IS ACCTS'!$G:$ZZ,CI$52,FALSE)*1000</f>
        <v>0</v>
      </c>
      <c r="CJ62" s="721">
        <f>VLOOKUP($D62,'[8]IS ACCTS'!$G:$ZZ,CJ$52,FALSE)*1000</f>
        <v>0</v>
      </c>
      <c r="CK62" s="721">
        <f>VLOOKUP($D62,'[8]IS ACCTS'!$G:$ZZ,CK$52,FALSE)*1000</f>
        <v>0</v>
      </c>
      <c r="CL62" s="721">
        <f>VLOOKUP($D62,'[8]IS ACCTS'!$G:$ZZ,CL$52,FALSE)*1000</f>
        <v>0</v>
      </c>
      <c r="CM62" s="1060">
        <f t="shared" si="56"/>
        <v>0</v>
      </c>
      <c r="CN62" s="375"/>
      <c r="CO62" s="33"/>
      <c r="CP62" s="33"/>
    </row>
    <row r="63" spans="1:94">
      <c r="A63" t="s">
        <v>454</v>
      </c>
      <c r="C63" s="22"/>
      <c r="D63" t="s">
        <v>455</v>
      </c>
      <c r="E63" s="22"/>
      <c r="F63" s="708">
        <f ca="1">SUM(OFFSET(BO63:BZ63,0,'Bal Sheet'!$A$1))/1000</f>
        <v>0</v>
      </c>
      <c r="G63" s="957"/>
      <c r="H63" s="957"/>
      <c r="I63" s="957"/>
      <c r="J63" s="957"/>
      <c r="K63" s="957"/>
      <c r="L63" s="957"/>
      <c r="M63" s="957"/>
      <c r="N63" s="957"/>
      <c r="O63" s="957"/>
      <c r="P63" s="957"/>
      <c r="Q63" s="957"/>
      <c r="R63" s="957"/>
      <c r="S63" s="957"/>
      <c r="T63" s="957"/>
      <c r="U63" s="957"/>
      <c r="V63" s="957"/>
      <c r="W63" s="957"/>
      <c r="X63" s="957"/>
      <c r="Y63" s="957"/>
      <c r="Z63" s="957"/>
      <c r="AA63" s="957"/>
      <c r="AB63" s="957"/>
      <c r="AC63" s="957"/>
      <c r="AD63" s="957"/>
      <c r="AE63" s="957"/>
      <c r="AF63" s="957"/>
      <c r="AG63" s="957"/>
      <c r="AH63" s="957"/>
      <c r="AI63" s="957"/>
      <c r="AJ63" s="957"/>
      <c r="AK63" s="957"/>
      <c r="AL63" s="957"/>
      <c r="AM63" s="957"/>
      <c r="AN63" s="957"/>
      <c r="AO63" s="957"/>
      <c r="AP63" s="957"/>
      <c r="AQ63" s="957">
        <v>0</v>
      </c>
      <c r="AR63" s="957">
        <v>0</v>
      </c>
      <c r="AS63" s="957">
        <v>0</v>
      </c>
      <c r="AT63" s="957">
        <v>0</v>
      </c>
      <c r="AU63" s="957">
        <v>0</v>
      </c>
      <c r="AV63" s="957">
        <v>0</v>
      </c>
      <c r="AW63" s="957">
        <v>0</v>
      </c>
      <c r="AX63" s="957">
        <v>0</v>
      </c>
      <c r="AY63" s="957">
        <v>0</v>
      </c>
      <c r="AZ63" s="957">
        <v>0</v>
      </c>
      <c r="BA63" s="957">
        <v>0</v>
      </c>
      <c r="BB63" s="725">
        <v>0</v>
      </c>
      <c r="BC63" s="725"/>
      <c r="BD63" s="725"/>
      <c r="BE63" s="725"/>
      <c r="BF63" s="725"/>
      <c r="BG63" s="725"/>
      <c r="BH63" s="725"/>
      <c r="BI63" s="721"/>
      <c r="BJ63" s="721"/>
      <c r="BK63" s="721"/>
      <c r="BL63" s="721"/>
      <c r="BM63" s="721"/>
      <c r="BN63" s="721"/>
      <c r="BO63" s="721">
        <f>+VLOOKUP("6790200",'[8]IS ACCTS'!$F$5:$ZZ$999,101,FALSE)*1000</f>
        <v>0</v>
      </c>
      <c r="BP63" s="721">
        <f>+VLOOKUP("6790200",'[8]IS ACCTS'!$F$5:$ZZ$999,102,FALSE)*1000</f>
        <v>0</v>
      </c>
      <c r="BQ63" s="721">
        <f>+VLOOKUP("6790200",'[8]IS ACCTS'!$F$5:$ZZ$999,103,FALSE)*1000</f>
        <v>0</v>
      </c>
      <c r="BR63" s="721">
        <f>+VLOOKUP("6790200",'[8]IS ACCTS'!$F$5:$ZZ$999,104,FALSE)*1000</f>
        <v>0</v>
      </c>
      <c r="BS63" s="721">
        <f>+VLOOKUP("6790200",'[8]IS ACCTS'!$F$5:$ZZ$999,105,FALSE)*1000</f>
        <v>0</v>
      </c>
      <c r="BT63" s="721">
        <f>+VLOOKUP("6790200",'[8]IS ACCTS'!$F$5:$ZZ$999,106,FALSE)*1000</f>
        <v>0</v>
      </c>
      <c r="BU63" s="721">
        <f>+VLOOKUP("6790200",'[8]IS ACCTS'!$F$5:$ZZ$999,107,FALSE)*1000</f>
        <v>0</v>
      </c>
      <c r="BV63" s="721">
        <f>+VLOOKUP("6790200",'[8]IS ACCTS'!$F$5:$ZZ$999,108,FALSE)*1000</f>
        <v>0</v>
      </c>
      <c r="BW63" s="721">
        <f>+VLOOKUP("6790200",'[8]IS ACCTS'!$F$5:$ZZ$999,109,FALSE)*1000</f>
        <v>0</v>
      </c>
      <c r="BX63" s="721">
        <f>+VLOOKUP("6790200",'[8]IS ACCTS'!$F$5:$ZZ$999,110,FALSE)*1000</f>
        <v>0</v>
      </c>
      <c r="BY63" s="721">
        <f>+VLOOKUP("6790200",'[8]IS ACCTS'!$F$5:$ZZ$999,111,FALSE)*1000</f>
        <v>0</v>
      </c>
      <c r="BZ63" s="721">
        <f>+VLOOKUP("6790200",'[8]IS ACCTS'!$F$5:$ZZ$999,112,FALSE)*1000</f>
        <v>0</v>
      </c>
      <c r="CA63" s="721">
        <f>VLOOKUP($D63,'[8]IS ACCTS'!$G:$ZZ,CA$52,FALSE)*1000</f>
        <v>0</v>
      </c>
      <c r="CB63" s="721">
        <f>VLOOKUP($D63,'[8]IS ACCTS'!$G:$ZZ,CB$52,FALSE)*1000</f>
        <v>0</v>
      </c>
      <c r="CC63" s="721">
        <f>VLOOKUP($D63,'[8]IS ACCTS'!$G:$ZZ,CC$52,FALSE)*1000</f>
        <v>0</v>
      </c>
      <c r="CD63" s="721">
        <f>VLOOKUP($D63,'[8]IS ACCTS'!$G:$ZZ,CD$52,FALSE)*1000</f>
        <v>0</v>
      </c>
      <c r="CE63" s="721">
        <f>VLOOKUP($D63,'[8]IS ACCTS'!$G:$ZZ,CE$52,FALSE)*1000</f>
        <v>0</v>
      </c>
      <c r="CF63" s="721">
        <f>VLOOKUP($D63,'[8]IS ACCTS'!$G:$ZZ,CF$52,FALSE)*1000</f>
        <v>0</v>
      </c>
      <c r="CG63" s="721">
        <f>VLOOKUP($D63,'[8]IS ACCTS'!$G:$ZZ,CG$52,FALSE)*1000</f>
        <v>0</v>
      </c>
      <c r="CH63" s="721">
        <f>VLOOKUP($D63,'[8]IS ACCTS'!$G:$ZZ,CH$52,FALSE)*1000</f>
        <v>0</v>
      </c>
      <c r="CI63" s="721">
        <f>VLOOKUP($D63,'[8]IS ACCTS'!$G:$ZZ,CI$52,FALSE)*1000</f>
        <v>0</v>
      </c>
      <c r="CJ63" s="721">
        <f>VLOOKUP($D63,'[8]IS ACCTS'!$G:$ZZ,CJ$52,FALSE)*1000</f>
        <v>0</v>
      </c>
      <c r="CK63" s="721">
        <f>VLOOKUP($D63,'[8]IS ACCTS'!$G:$ZZ,CK$52,FALSE)*1000</f>
        <v>0</v>
      </c>
      <c r="CL63" s="721">
        <f>VLOOKUP($D63,'[8]IS ACCTS'!$G:$ZZ,CL$52,FALSE)*1000</f>
        <v>0</v>
      </c>
      <c r="CM63" s="1060">
        <f t="shared" si="56"/>
        <v>0</v>
      </c>
      <c r="CN63" s="375"/>
      <c r="CO63" s="33"/>
      <c r="CP63" s="33"/>
    </row>
    <row r="64" spans="1:94">
      <c r="A64" t="s">
        <v>456</v>
      </c>
      <c r="C64" s="22"/>
      <c r="D64" t="s">
        <v>457</v>
      </c>
      <c r="E64" s="22"/>
      <c r="F64" s="708">
        <f ca="1">SUM(OFFSET(BO64:BZ64,0,'Bal Sheet'!$A$1))/1000</f>
        <v>0</v>
      </c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957"/>
      <c r="AL64" s="957"/>
      <c r="AM64" s="957"/>
      <c r="AN64" s="957"/>
      <c r="AO64" s="957"/>
      <c r="AP64" s="957"/>
      <c r="AQ64" s="957">
        <v>0</v>
      </c>
      <c r="AR64" s="957">
        <v>0</v>
      </c>
      <c r="AS64" s="957">
        <v>0</v>
      </c>
      <c r="AT64" s="957">
        <v>0</v>
      </c>
      <c r="AU64" s="957">
        <v>1100</v>
      </c>
      <c r="AV64" s="957">
        <v>0</v>
      </c>
      <c r="AW64" s="957">
        <v>0</v>
      </c>
      <c r="AX64" s="957">
        <v>0</v>
      </c>
      <c r="AY64" s="957">
        <v>0</v>
      </c>
      <c r="AZ64" s="957">
        <v>5000</v>
      </c>
      <c r="BA64" s="957">
        <v>0</v>
      </c>
      <c r="BB64" s="726">
        <v>0</v>
      </c>
      <c r="BC64" s="726"/>
      <c r="BD64" s="726"/>
      <c r="BE64" s="728"/>
      <c r="BF64" s="728"/>
      <c r="BG64" s="728"/>
      <c r="BH64" s="728"/>
      <c r="BI64" s="723"/>
      <c r="BJ64" s="723"/>
      <c r="BK64" s="723"/>
      <c r="BL64" s="723"/>
      <c r="BM64" s="723"/>
      <c r="BN64" s="723"/>
      <c r="BO64" s="723">
        <f>+VLOOKUP("6790220",'[8]IS ACCTS'!$F$5:$ZZ$999,101,FALSE)*1000</f>
        <v>0</v>
      </c>
      <c r="BP64" s="723">
        <f>+VLOOKUP("6790220",'[8]IS ACCTS'!$F$5:$ZZ$999,102,FALSE)*1000</f>
        <v>0</v>
      </c>
      <c r="BQ64" s="723">
        <f>+VLOOKUP("6790220",'[8]IS ACCTS'!$F$5:$ZZ$999,103,FALSE)*1000</f>
        <v>24000</v>
      </c>
      <c r="BR64" s="723">
        <f>+VLOOKUP("6790220",'[8]IS ACCTS'!$F$5:$ZZ$999,104,FALSE)*1000</f>
        <v>10000</v>
      </c>
      <c r="BS64" s="723">
        <f>+VLOOKUP("6790220",'[8]IS ACCTS'!$F$5:$ZZ$999,105,FALSE)*1000</f>
        <v>0</v>
      </c>
      <c r="BT64" s="723">
        <f>+VLOOKUP("6790220",'[8]IS ACCTS'!$F$5:$ZZ$999,106,FALSE)*1000</f>
        <v>0</v>
      </c>
      <c r="BU64" s="723">
        <f>+VLOOKUP("6790220",'[8]IS ACCTS'!$F$5:$ZZ$999,107,FALSE)*1000</f>
        <v>0</v>
      </c>
      <c r="BV64" s="723">
        <f>+VLOOKUP("6790220",'[8]IS ACCTS'!$F$5:$ZZ$999,108,FALSE)*1000</f>
        <v>16000</v>
      </c>
      <c r="BW64" s="723">
        <f>+VLOOKUP("6790220",'[8]IS ACCTS'!$F$5:$ZZ$999,109,FALSE)*1000</f>
        <v>1000</v>
      </c>
      <c r="BX64" s="723">
        <f>+VLOOKUP("6790220",'[8]IS ACCTS'!$F$5:$ZZ$999,110,FALSE)*1000</f>
        <v>0</v>
      </c>
      <c r="BY64" s="723">
        <f>+VLOOKUP("6790220",'[8]IS ACCTS'!$F$5:$ZZ$999,111,FALSE)*1000</f>
        <v>0</v>
      </c>
      <c r="BZ64" s="723">
        <f>+VLOOKUP("6790220",'[8]IS ACCTS'!$F$5:$ZZ$999,112,FALSE)*1000</f>
        <v>0</v>
      </c>
      <c r="CA64" s="721">
        <f>VLOOKUP($D64,'[8]IS ACCTS'!$G:$ZZ,CA$52,FALSE)*1000</f>
        <v>0</v>
      </c>
      <c r="CB64" s="721">
        <f>VLOOKUP($D64,'[8]IS ACCTS'!$G:$ZZ,CB$52,FALSE)*1000</f>
        <v>0</v>
      </c>
      <c r="CC64" s="721">
        <f>VLOOKUP($D64,'[8]IS ACCTS'!$G:$ZZ,CC$52,FALSE)*1000</f>
        <v>0</v>
      </c>
      <c r="CD64" s="721">
        <f>VLOOKUP($D64,'[8]IS ACCTS'!$G:$ZZ,CD$52,FALSE)*1000</f>
        <v>0</v>
      </c>
      <c r="CE64" s="721">
        <f>VLOOKUP($D64,'[8]IS ACCTS'!$G:$ZZ,CE$52,FALSE)*1000</f>
        <v>0</v>
      </c>
      <c r="CF64" s="721">
        <f>VLOOKUP($D64,'[8]IS ACCTS'!$G:$ZZ,CF$52,FALSE)*1000</f>
        <v>0</v>
      </c>
      <c r="CG64" s="721">
        <f>VLOOKUP($D64,'[8]IS ACCTS'!$G:$ZZ,CG$52,FALSE)*1000</f>
        <v>0</v>
      </c>
      <c r="CH64" s="721">
        <f>VLOOKUP($D64,'[8]IS ACCTS'!$G:$ZZ,CH$52,FALSE)*1000</f>
        <v>0</v>
      </c>
      <c r="CI64" s="721">
        <f>VLOOKUP($D64,'[8]IS ACCTS'!$G:$ZZ,CI$52,FALSE)*1000</f>
        <v>0</v>
      </c>
      <c r="CJ64" s="721">
        <f>VLOOKUP($D64,'[8]IS ACCTS'!$G:$ZZ,CJ$52,FALSE)*1000</f>
        <v>0</v>
      </c>
      <c r="CK64" s="721">
        <f>VLOOKUP($D64,'[8]IS ACCTS'!$G:$ZZ,CK$52,FALSE)*1000</f>
        <v>0</v>
      </c>
      <c r="CL64" s="721">
        <f>VLOOKUP($D64,'[8]IS ACCTS'!$G:$ZZ,CL$52,FALSE)*1000</f>
        <v>0</v>
      </c>
      <c r="CM64" s="1060">
        <f t="shared" si="56"/>
        <v>0</v>
      </c>
      <c r="CN64" s="375"/>
      <c r="CO64" s="33"/>
      <c r="CP64" s="33"/>
    </row>
    <row r="65" spans="1:94">
      <c r="A65" s="375" t="s">
        <v>458</v>
      </c>
      <c r="C65" s="22"/>
      <c r="D65" s="375" t="s">
        <v>459</v>
      </c>
      <c r="E65" s="22"/>
      <c r="F65" s="708">
        <f ca="1">SUM(OFFSET(BO65:BZ65,0,'Bal Sheet'!$A$1))/1000</f>
        <v>99.6</v>
      </c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957"/>
      <c r="AL65" s="957"/>
      <c r="AM65" s="957"/>
      <c r="AN65" s="957"/>
      <c r="AO65" s="957"/>
      <c r="AP65" s="957"/>
      <c r="AQ65" s="957">
        <v>0</v>
      </c>
      <c r="AR65" s="957">
        <v>0</v>
      </c>
      <c r="AS65" s="957">
        <v>0</v>
      </c>
      <c r="AT65" s="957">
        <v>0</v>
      </c>
      <c r="AU65" s="957">
        <v>1100</v>
      </c>
      <c r="AV65" s="957">
        <v>0</v>
      </c>
      <c r="AW65" s="957">
        <v>0</v>
      </c>
      <c r="AX65" s="957">
        <v>0</v>
      </c>
      <c r="AY65" s="957">
        <v>0</v>
      </c>
      <c r="AZ65" s="957">
        <v>5000</v>
      </c>
      <c r="BA65" s="957">
        <v>0</v>
      </c>
      <c r="BB65" s="726">
        <v>0</v>
      </c>
      <c r="BC65" s="726"/>
      <c r="BD65" s="726"/>
      <c r="BE65" s="726"/>
      <c r="BF65" s="726"/>
      <c r="BG65" s="726"/>
      <c r="BH65" s="726"/>
      <c r="BI65" s="722"/>
      <c r="BJ65" s="722"/>
      <c r="BK65" s="722"/>
      <c r="BL65" s="722"/>
      <c r="BM65" s="722"/>
      <c r="BN65" s="722"/>
      <c r="BO65" s="722">
        <f>+VLOOKUP("A_S6790220",'[8]IS ACCTS'!$G$5:$ZZ$999,101,FALSE)*1000</f>
        <v>0</v>
      </c>
      <c r="BP65" s="722">
        <f>+VLOOKUP("A_S6790220",'[8]IS ACCTS'!$G$5:$ZZ$999,102,FALSE)*1000</f>
        <v>0</v>
      </c>
      <c r="BQ65" s="722">
        <f>+VLOOKUP("A_S6790220",'[8]IS ACCTS'!$G$5:$ZZ$999,103,FALSE)*1000</f>
        <v>0</v>
      </c>
      <c r="BR65" s="722">
        <f>+VLOOKUP("A_S6790220",'[8]IS ACCTS'!$G$5:$ZZ$999,104,FALSE)*1000</f>
        <v>0</v>
      </c>
      <c r="BS65" s="722">
        <f>+VLOOKUP("A_S6790220",'[8]IS ACCTS'!$G$5:$ZZ$999,105,FALSE)*1000</f>
        <v>0</v>
      </c>
      <c r="BT65" s="722">
        <f>+VLOOKUP("A_S6790220",'[8]IS ACCTS'!$G$5:$ZZ$999,106,FALSE)*1000</f>
        <v>0</v>
      </c>
      <c r="BU65" s="722">
        <f>+VLOOKUP("A_S6790220",'[8]IS ACCTS'!$G$5:$ZZ$999,107,FALSE)*1000</f>
        <v>0</v>
      </c>
      <c r="BV65" s="722">
        <f>+VLOOKUP("A_S6790220",'[8]IS ACCTS'!$G$5:$ZZ$999,108,FALSE)*1000</f>
        <v>0</v>
      </c>
      <c r="BW65" s="722">
        <f>+VLOOKUP("A_S6790220",'[8]IS ACCTS'!$G$5:$ZZ$999,109,FALSE)*1000</f>
        <v>0</v>
      </c>
      <c r="BX65" s="722">
        <f>+VLOOKUP("A_S6790220",'[8]IS ACCTS'!$G$5:$ZZ$999,110,FALSE)*1000</f>
        <v>0</v>
      </c>
      <c r="BY65" s="722">
        <f>+VLOOKUP("A_S6790220",'[8]IS ACCTS'!$G$5:$ZZ$999,111,FALSE)*1000</f>
        <v>0</v>
      </c>
      <c r="BZ65" s="722">
        <f>+VLOOKUP("A_S6790220",'[8]IS ACCTS'!$G$5:$ZZ$999,112,FALSE)*1000</f>
        <v>8300</v>
      </c>
      <c r="CA65" s="721">
        <f>VLOOKUP($D65,'[8]IS ACCTS'!$G:$ZZ,CA$52,FALSE)*1000</f>
        <v>8300</v>
      </c>
      <c r="CB65" s="721">
        <f>VLOOKUP($D65,'[8]IS ACCTS'!$G:$ZZ,CB$52,FALSE)*1000</f>
        <v>8300</v>
      </c>
      <c r="CC65" s="721">
        <f>VLOOKUP($D65,'[8]IS ACCTS'!$G:$ZZ,CC$52,FALSE)*1000</f>
        <v>8300</v>
      </c>
      <c r="CD65" s="721">
        <f>VLOOKUP($D65,'[8]IS ACCTS'!$G:$ZZ,CD$52,FALSE)*1000</f>
        <v>8300</v>
      </c>
      <c r="CE65" s="721">
        <f>VLOOKUP($D65,'[8]IS ACCTS'!$G:$ZZ,CE$52,FALSE)*1000</f>
        <v>8300</v>
      </c>
      <c r="CF65" s="721">
        <f>VLOOKUP($D65,'[8]IS ACCTS'!$G:$ZZ,CF$52,FALSE)*1000</f>
        <v>8300</v>
      </c>
      <c r="CG65" s="721">
        <f>VLOOKUP($D65,'[8]IS ACCTS'!$G:$ZZ,CG$52,FALSE)*1000</f>
        <v>8300</v>
      </c>
      <c r="CH65" s="721">
        <f>VLOOKUP($D65,'[8]IS ACCTS'!$G:$ZZ,CH$52,FALSE)*1000</f>
        <v>8300</v>
      </c>
      <c r="CI65" s="721">
        <f>VLOOKUP($D65,'[8]IS ACCTS'!$G:$ZZ,CI$52,FALSE)*1000</f>
        <v>8300</v>
      </c>
      <c r="CJ65" s="721">
        <f>VLOOKUP($D65,'[8]IS ACCTS'!$G:$ZZ,CJ$52,FALSE)*1000</f>
        <v>8300</v>
      </c>
      <c r="CK65" s="721">
        <f>VLOOKUP($D65,'[8]IS ACCTS'!$G:$ZZ,CK$52,FALSE)*1000</f>
        <v>8300</v>
      </c>
      <c r="CL65" s="721">
        <f>VLOOKUP($D65,'[8]IS ACCTS'!$G:$ZZ,CL$52,FALSE)*1000</f>
        <v>8300</v>
      </c>
      <c r="CM65" s="1060">
        <f t="shared" si="56"/>
        <v>99600</v>
      </c>
      <c r="CN65" s="375"/>
      <c r="CO65" s="33"/>
      <c r="CP65" s="33"/>
    </row>
    <row r="66" spans="1:94">
      <c r="A66" s="455" t="s">
        <v>1229</v>
      </c>
      <c r="B66" s="442"/>
      <c r="C66" s="456"/>
      <c r="D66" s="456" t="s">
        <v>1230</v>
      </c>
      <c r="E66" s="456"/>
      <c r="F66" s="712">
        <f ca="1">SUM(OFFSET(BO66:BZ66,0,'Bal Sheet'!$A$1))/1000</f>
        <v>84.1</v>
      </c>
      <c r="G66" s="959"/>
      <c r="H66" s="959"/>
      <c r="I66" s="959"/>
      <c r="J66" s="959"/>
      <c r="K66" s="959"/>
      <c r="L66" s="959"/>
      <c r="M66" s="959"/>
      <c r="N66" s="959"/>
      <c r="O66" s="959"/>
      <c r="P66" s="959"/>
      <c r="Q66" s="959"/>
      <c r="R66" s="959"/>
      <c r="S66" s="959"/>
      <c r="T66" s="959"/>
      <c r="U66" s="959"/>
      <c r="V66" s="959"/>
      <c r="W66" s="959"/>
      <c r="X66" s="959"/>
      <c r="Y66" s="959"/>
      <c r="Z66" s="959"/>
      <c r="AA66" s="959"/>
      <c r="AB66" s="959"/>
      <c r="AC66" s="959"/>
      <c r="AD66" s="959"/>
      <c r="AE66" s="959">
        <v>0</v>
      </c>
      <c r="AF66" s="959">
        <v>4626.24</v>
      </c>
      <c r="AG66" s="959">
        <v>59783.8</v>
      </c>
      <c r="AH66" s="959">
        <v>12012.64</v>
      </c>
      <c r="AI66" s="959">
        <v>0</v>
      </c>
      <c r="AJ66" s="959">
        <v>0</v>
      </c>
      <c r="AK66" s="959">
        <v>2012.64</v>
      </c>
      <c r="AL66" s="959">
        <v>0</v>
      </c>
      <c r="AM66" s="959">
        <v>0</v>
      </c>
      <c r="AN66" s="959">
        <v>2012.64</v>
      </c>
      <c r="AO66" s="959">
        <v>0</v>
      </c>
      <c r="AP66" s="959">
        <v>0</v>
      </c>
      <c r="AQ66" s="960">
        <v>0</v>
      </c>
      <c r="AR66" s="960">
        <v>38414.83</v>
      </c>
      <c r="AS66" s="960">
        <v>1612.6</v>
      </c>
      <c r="AT66" s="960">
        <v>3631.03</v>
      </c>
      <c r="AU66" s="960">
        <v>0</v>
      </c>
      <c r="AV66" s="960">
        <v>0</v>
      </c>
      <c r="AW66" s="960">
        <v>3631.03</v>
      </c>
      <c r="AX66" s="960">
        <v>10000</v>
      </c>
      <c r="AY66" s="960">
        <v>0</v>
      </c>
      <c r="AZ66" s="960">
        <v>3631.03</v>
      </c>
      <c r="BA66" s="960">
        <v>0</v>
      </c>
      <c r="BB66" s="727">
        <v>-2754.8</v>
      </c>
      <c r="BC66" s="727"/>
      <c r="BD66" s="727"/>
      <c r="BE66" s="727"/>
      <c r="BF66" s="727"/>
      <c r="BG66" s="727"/>
      <c r="BH66" s="727"/>
      <c r="BI66" s="724"/>
      <c r="BJ66" s="724"/>
      <c r="BK66" s="724"/>
      <c r="BL66" s="724"/>
      <c r="BM66" s="724"/>
      <c r="BN66" s="724"/>
      <c r="BO66" s="724">
        <f>VLOOKUP("Other BTL",'[8]IS ACCTS'!$H$5:$ZZ$1017,99,FALSE)*1000</f>
        <v>0</v>
      </c>
      <c r="BP66" s="724">
        <f>VLOOKUP("Other BTL",'[8]IS ACCTS'!$H$5:$ZZ$1017,100,FALSE)*1000</f>
        <v>38000</v>
      </c>
      <c r="BQ66" s="724">
        <f>VLOOKUP("Other BTL",'[8]IS ACCTS'!$H$5:$ZZ$1017,101,FALSE)*1000</f>
        <v>0</v>
      </c>
      <c r="BR66" s="724">
        <f>VLOOKUP("Other BTL",'[8]IS ACCTS'!$H$5:$ZZ$1017,102,FALSE)*1000</f>
        <v>27900</v>
      </c>
      <c r="BS66" s="724">
        <f>VLOOKUP("Other BTL",'[8]IS ACCTS'!$H$5:$ZZ$1017,103,FALSE)*1000</f>
        <v>12000</v>
      </c>
      <c r="BT66" s="724">
        <f>VLOOKUP("Other BTL",'[8]IS ACCTS'!$H$5:$ZZ$1017,104,FALSE)*1000</f>
        <v>0</v>
      </c>
      <c r="BU66" s="724">
        <f>VLOOKUP("Other BTL",'[8]IS ACCTS'!$H$5:$ZZ$1017,105,FALSE)*1000</f>
        <v>2900</v>
      </c>
      <c r="BV66" s="724">
        <f>VLOOKUP("Other BTL",'[8]IS ACCTS'!$H$5:$ZZ$1017,106,FALSE)*1000</f>
        <v>0</v>
      </c>
      <c r="BW66" s="724">
        <f>VLOOKUP("Other BTL",'[8]IS ACCTS'!$H$5:$ZZ$1017,107,FALSE)*1000</f>
        <v>0</v>
      </c>
      <c r="BX66" s="724">
        <f>VLOOKUP("Other BTL",'[8]IS ACCTS'!$H$5:$ZZ$1017,108,FALSE)*1000</f>
        <v>2900</v>
      </c>
      <c r="BY66" s="724">
        <f>VLOOKUP("Other BTL",'[8]IS ACCTS'!$H$5:$ZZ$1017,109,FALSE)*1000</f>
        <v>0</v>
      </c>
      <c r="BZ66" s="724">
        <f>VLOOKUP("Other BTL",'[8]IS ACCTS'!$H$5:$ZZ$1017,110,FALSE)*1000</f>
        <v>0</v>
      </c>
      <c r="CA66" s="724">
        <f>VLOOKUP("Other BTL",'[8]IS ACCTS'!$H$5:$ZZ$1017,111,FALSE)*1000</f>
        <v>35100</v>
      </c>
      <c r="CB66" s="724">
        <f>VLOOKUP("Other BTL",'[8]IS ACCTS'!$H$5:$ZZ$1017,112,FALSE)*1000</f>
        <v>3000</v>
      </c>
      <c r="CC66" s="724">
        <f>VLOOKUP("Other BTL",'[8]IS ACCTS'!$H$5:$ZZ$1017,113,FALSE)*1000</f>
        <v>0</v>
      </c>
      <c r="CD66" s="724">
        <f>VLOOKUP("Other BTL",'[8]IS ACCTS'!$H$5:$ZZ$1017,114,FALSE)*1000</f>
        <v>28000</v>
      </c>
      <c r="CE66" s="724">
        <f>VLOOKUP("Other BTL",'[8]IS ACCTS'!$H$5:$ZZ$1017,115,FALSE)*1000</f>
        <v>12000</v>
      </c>
      <c r="CF66" s="724">
        <f>VLOOKUP("Other BTL",'[8]IS ACCTS'!$H$5:$ZZ$1017,116,FALSE)*1000</f>
        <v>0</v>
      </c>
      <c r="CG66" s="724">
        <f>VLOOKUP("Other BTL",'[8]IS ACCTS'!$H$5:$ZZ$1017,117,FALSE)*1000</f>
        <v>3000</v>
      </c>
      <c r="CH66" s="724">
        <f>VLOOKUP("Other BTL",'[8]IS ACCTS'!$H$5:$ZZ$1017,118,FALSE)*1000</f>
        <v>0</v>
      </c>
      <c r="CI66" s="724">
        <f>VLOOKUP("Other BTL",'[8]IS ACCTS'!$H$5:$ZZ$1017,119,FALSE)*1000</f>
        <v>0</v>
      </c>
      <c r="CJ66" s="724">
        <f>VLOOKUP("Other BTL",'[8]IS ACCTS'!$H$5:$ZZ$1017,120,FALSE)*1000</f>
        <v>3000</v>
      </c>
      <c r="CK66" s="724">
        <f>VLOOKUP("Other BTL",'[8]IS ACCTS'!$H$5:$ZZ$1017,121,FALSE)*1000</f>
        <v>0</v>
      </c>
      <c r="CL66" s="724">
        <f>VLOOKUP("Other BTL",'[8]IS ACCTS'!$H$5:$ZZ$1017,122,FALSE)*1000</f>
        <v>0</v>
      </c>
      <c r="CM66" s="1060">
        <f>SUM(CA66:CL66)</f>
        <v>84100</v>
      </c>
      <c r="CN66" s="375"/>
      <c r="CO66" s="33"/>
      <c r="CP66" s="33"/>
    </row>
    <row r="67" spans="1:94">
      <c r="A67" s="375" t="s">
        <v>460</v>
      </c>
      <c r="C67" s="22"/>
      <c r="E67" s="22"/>
      <c r="F67" s="708">
        <f ca="1">SUM(OFFSET(AE67:AP67,0,'Bal Sheet'!$A$1))/1000</f>
        <v>523.46572000000003</v>
      </c>
      <c r="G67" s="957"/>
      <c r="H67" s="957"/>
      <c r="I67" s="957"/>
      <c r="J67" s="957"/>
      <c r="K67" s="957"/>
      <c r="L67" s="957"/>
      <c r="M67" s="957"/>
      <c r="N67" s="957"/>
      <c r="O67" s="957"/>
      <c r="P67" s="957"/>
      <c r="Q67" s="957"/>
      <c r="R67" s="957"/>
      <c r="S67" s="957"/>
      <c r="T67" s="957"/>
      <c r="U67" s="957"/>
      <c r="V67" s="957"/>
      <c r="W67" s="957"/>
      <c r="X67" s="957"/>
      <c r="Y67" s="957"/>
      <c r="Z67" s="957"/>
      <c r="AA67" s="957"/>
      <c r="AB67" s="957"/>
      <c r="AC67" s="957"/>
      <c r="AD67" s="957"/>
      <c r="AE67" s="957"/>
      <c r="AF67" s="957"/>
      <c r="AG67" s="957"/>
      <c r="AH67" s="957"/>
      <c r="AI67" s="957"/>
      <c r="AJ67" s="957"/>
      <c r="AK67" s="961">
        <f t="shared" ref="AK67:BZ67" si="57">SUM(AK54:AK66)</f>
        <v>2012.64</v>
      </c>
      <c r="AL67" s="961">
        <f t="shared" si="57"/>
        <v>0</v>
      </c>
      <c r="AM67" s="961">
        <f t="shared" si="57"/>
        <v>0</v>
      </c>
      <c r="AN67" s="961">
        <f t="shared" si="57"/>
        <v>2012.64</v>
      </c>
      <c r="AO67" s="961">
        <f t="shared" si="57"/>
        <v>0</v>
      </c>
      <c r="AP67" s="961">
        <f t="shared" si="57"/>
        <v>0</v>
      </c>
      <c r="AQ67" s="961">
        <f t="shared" si="57"/>
        <v>9400</v>
      </c>
      <c r="AR67" s="961">
        <f t="shared" si="57"/>
        <v>113214.83</v>
      </c>
      <c r="AS67" s="961">
        <f t="shared" si="57"/>
        <v>42612.6</v>
      </c>
      <c r="AT67" s="961">
        <f t="shared" si="57"/>
        <v>110031.03</v>
      </c>
      <c r="AU67" s="961">
        <f t="shared" si="57"/>
        <v>33200</v>
      </c>
      <c r="AV67" s="961">
        <f t="shared" si="57"/>
        <v>56700</v>
      </c>
      <c r="AW67" s="961">
        <f t="shared" si="57"/>
        <v>6031.0300000000007</v>
      </c>
      <c r="AX67" s="961">
        <f t="shared" si="57"/>
        <v>19300</v>
      </c>
      <c r="AY67" s="961">
        <f t="shared" si="57"/>
        <v>4100</v>
      </c>
      <c r="AZ67" s="961">
        <f t="shared" si="57"/>
        <v>43931.03</v>
      </c>
      <c r="BA67" s="961">
        <f t="shared" si="57"/>
        <v>17100</v>
      </c>
      <c r="BB67" s="719">
        <f t="shared" si="57"/>
        <v>67845.2</v>
      </c>
      <c r="BC67" s="719">
        <f t="shared" si="57"/>
        <v>0</v>
      </c>
      <c r="BD67" s="719">
        <f t="shared" si="57"/>
        <v>0</v>
      </c>
      <c r="BE67" s="719">
        <f t="shared" si="57"/>
        <v>0</v>
      </c>
      <c r="BF67" s="719">
        <f t="shared" si="57"/>
        <v>0</v>
      </c>
      <c r="BG67" s="719">
        <f t="shared" si="57"/>
        <v>0</v>
      </c>
      <c r="BH67" s="719">
        <f t="shared" si="57"/>
        <v>0</v>
      </c>
      <c r="BI67" s="719">
        <f t="shared" si="57"/>
        <v>0</v>
      </c>
      <c r="BJ67" s="719">
        <f t="shared" si="57"/>
        <v>0</v>
      </c>
      <c r="BK67" s="719">
        <f t="shared" si="57"/>
        <v>0</v>
      </c>
      <c r="BL67" s="719">
        <f t="shared" si="57"/>
        <v>0</v>
      </c>
      <c r="BM67" s="719">
        <f t="shared" si="57"/>
        <v>0</v>
      </c>
      <c r="BN67" s="719">
        <f t="shared" si="57"/>
        <v>0</v>
      </c>
      <c r="BO67" s="719">
        <f t="shared" si="57"/>
        <v>53700</v>
      </c>
      <c r="BP67" s="719">
        <f t="shared" si="57"/>
        <v>46800</v>
      </c>
      <c r="BQ67" s="719">
        <f t="shared" si="57"/>
        <v>46900</v>
      </c>
      <c r="BR67" s="719">
        <f t="shared" si="57"/>
        <v>116700</v>
      </c>
      <c r="BS67" s="719">
        <f t="shared" si="57"/>
        <v>50200</v>
      </c>
      <c r="BT67" s="719">
        <f t="shared" si="57"/>
        <v>24800</v>
      </c>
      <c r="BU67" s="719">
        <f t="shared" si="57"/>
        <v>25500</v>
      </c>
      <c r="BV67" s="719">
        <f t="shared" si="57"/>
        <v>21800</v>
      </c>
      <c r="BW67" s="719">
        <f t="shared" si="57"/>
        <v>27100</v>
      </c>
      <c r="BX67" s="719">
        <f t="shared" si="57"/>
        <v>68700</v>
      </c>
      <c r="BY67" s="719">
        <f t="shared" si="57"/>
        <v>58000</v>
      </c>
      <c r="BZ67" s="719">
        <f t="shared" si="57"/>
        <v>54600</v>
      </c>
      <c r="CA67" s="719">
        <f t="shared" ref="CA67" si="58">SUM(CA54:CA66)</f>
        <v>82200</v>
      </c>
      <c r="CB67" s="719">
        <f t="shared" ref="CB67:CL67" si="59">SUM(CB54:CB66)</f>
        <v>50100</v>
      </c>
      <c r="CC67" s="719">
        <f t="shared" si="59"/>
        <v>52100</v>
      </c>
      <c r="CD67" s="719">
        <f t="shared" si="59"/>
        <v>97100</v>
      </c>
      <c r="CE67" s="719">
        <f t="shared" si="59"/>
        <v>59100</v>
      </c>
      <c r="CF67" s="719">
        <f t="shared" si="59"/>
        <v>52100</v>
      </c>
      <c r="CG67" s="719">
        <f t="shared" si="59"/>
        <v>50100</v>
      </c>
      <c r="CH67" s="719">
        <f t="shared" si="59"/>
        <v>47100</v>
      </c>
      <c r="CI67" s="719">
        <f t="shared" si="59"/>
        <v>52100</v>
      </c>
      <c r="CJ67" s="719">
        <f t="shared" si="59"/>
        <v>50100</v>
      </c>
      <c r="CK67" s="719">
        <f t="shared" si="59"/>
        <v>47100</v>
      </c>
      <c r="CL67" s="719">
        <f t="shared" si="59"/>
        <v>102100</v>
      </c>
      <c r="CM67" s="1060">
        <f t="shared" si="56"/>
        <v>741300</v>
      </c>
      <c r="CN67" s="375"/>
      <c r="CO67" s="33"/>
      <c r="CP67" s="33"/>
    </row>
    <row r="68" spans="1:94">
      <c r="C68" s="22"/>
      <c r="E68" s="22"/>
      <c r="F68" s="33"/>
      <c r="G68" s="957"/>
      <c r="H68" s="957"/>
      <c r="I68" s="957"/>
      <c r="J68" s="957"/>
      <c r="K68" s="957"/>
      <c r="L68" s="957"/>
      <c r="M68" s="957"/>
      <c r="N68" s="957"/>
      <c r="O68" s="957"/>
      <c r="P68" s="957"/>
      <c r="Q68" s="957"/>
      <c r="R68" s="957"/>
      <c r="S68" s="957"/>
      <c r="T68" s="957"/>
      <c r="U68" s="957"/>
      <c r="V68" s="957"/>
      <c r="W68" s="957"/>
      <c r="X68" s="957"/>
      <c r="Y68" s="957"/>
      <c r="Z68" s="957"/>
      <c r="AA68" s="957"/>
      <c r="AB68" s="957"/>
      <c r="AC68" s="957"/>
      <c r="AD68" s="957"/>
      <c r="AE68" s="957"/>
      <c r="AF68" s="957"/>
      <c r="AG68" s="957"/>
      <c r="AH68" s="957"/>
      <c r="AI68" s="957"/>
      <c r="AJ68" s="957"/>
      <c r="AK68" s="957"/>
      <c r="AL68" s="957"/>
      <c r="AM68" s="957"/>
      <c r="AN68" s="957"/>
      <c r="AO68" s="957"/>
      <c r="AP68" s="957"/>
      <c r="AQ68" s="957"/>
      <c r="AR68" s="957"/>
      <c r="AS68" s="957"/>
      <c r="AT68" s="957"/>
      <c r="AU68" s="957"/>
      <c r="AV68" s="957"/>
      <c r="AW68" s="957"/>
      <c r="AX68" s="957"/>
      <c r="AY68" s="957"/>
      <c r="AZ68" s="957"/>
      <c r="BA68" s="957"/>
      <c r="BB68" s="719"/>
      <c r="BC68" s="719"/>
      <c r="BD68" s="719"/>
      <c r="BE68" s="719"/>
      <c r="BF68" s="719"/>
      <c r="BG68" s="719"/>
      <c r="BH68" s="719"/>
      <c r="BI68" s="719"/>
      <c r="BJ68" s="719"/>
      <c r="BK68" s="719"/>
      <c r="BL68" s="719"/>
      <c r="BM68" s="719"/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1060"/>
      <c r="CN68" s="375"/>
      <c r="CO68" s="33"/>
      <c r="CP68" s="33"/>
    </row>
    <row r="69" spans="1:94">
      <c r="C69" s="22"/>
      <c r="E69" s="22"/>
      <c r="G69" s="957"/>
      <c r="H69" s="957"/>
      <c r="I69" s="957"/>
      <c r="J69" s="957"/>
      <c r="K69" s="957"/>
      <c r="L69" s="957"/>
      <c r="M69" s="957"/>
      <c r="N69" s="957"/>
      <c r="O69" s="957"/>
      <c r="P69" s="957"/>
      <c r="Q69" s="957"/>
      <c r="R69" s="957"/>
      <c r="S69" s="957"/>
      <c r="T69" s="957"/>
      <c r="U69" s="957"/>
      <c r="V69" s="957"/>
      <c r="W69" s="957"/>
      <c r="X69" s="957"/>
      <c r="Y69" s="957"/>
      <c r="Z69" s="957"/>
      <c r="AA69" s="957"/>
      <c r="AB69" s="957"/>
      <c r="AC69" s="957"/>
      <c r="AD69" s="957"/>
      <c r="AE69" s="957"/>
      <c r="AF69" s="957"/>
      <c r="AG69" s="957"/>
      <c r="AH69" s="957"/>
      <c r="AI69" s="957"/>
      <c r="AJ69" s="957"/>
      <c r="AK69" s="957"/>
      <c r="AL69" s="957"/>
      <c r="AM69" s="957"/>
      <c r="AN69" s="957"/>
      <c r="AO69" s="957"/>
      <c r="AP69" s="957"/>
      <c r="AQ69" s="957"/>
      <c r="AR69" s="957"/>
      <c r="AS69" s="957"/>
      <c r="AT69" s="957"/>
      <c r="AU69" s="957"/>
      <c r="AV69" s="957"/>
      <c r="AW69" s="957"/>
      <c r="AX69" s="957"/>
      <c r="AY69" s="957"/>
      <c r="AZ69" s="957"/>
      <c r="BA69" s="957"/>
      <c r="BB69" s="719"/>
      <c r="BC69" s="719"/>
      <c r="BD69" s="719"/>
      <c r="BE69" s="719"/>
      <c r="BF69" s="719"/>
      <c r="BG69" s="719"/>
      <c r="BH69" s="719"/>
      <c r="BI69" s="719"/>
      <c r="BJ69" s="719"/>
      <c r="BK69" s="719"/>
      <c r="BL69" s="719"/>
      <c r="BM69" s="719"/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  <c r="CC69" s="719"/>
      <c r="CD69" s="719"/>
      <c r="CE69" s="719"/>
      <c r="CF69" s="719"/>
      <c r="CG69" s="719"/>
      <c r="CH69" s="719"/>
      <c r="CI69" s="719"/>
      <c r="CJ69" s="719"/>
      <c r="CK69" s="719"/>
      <c r="CL69" s="719"/>
      <c r="CM69" s="1062"/>
      <c r="CN69" s="375"/>
      <c r="CO69" s="33"/>
      <c r="CP69" s="33"/>
    </row>
    <row r="70" spans="1:94">
      <c r="C70" s="22"/>
      <c r="D70" s="22"/>
      <c r="E70" s="22"/>
      <c r="G70" s="957"/>
      <c r="H70" s="957"/>
      <c r="I70" s="957"/>
      <c r="J70" s="957"/>
      <c r="K70" s="957"/>
      <c r="L70" s="957"/>
      <c r="M70" s="957"/>
      <c r="N70" s="957"/>
      <c r="O70" s="957"/>
      <c r="P70" s="957"/>
      <c r="Q70" s="957"/>
      <c r="R70" s="957"/>
      <c r="S70" s="957"/>
      <c r="T70" s="957"/>
      <c r="U70" s="957"/>
      <c r="V70" s="957"/>
      <c r="W70" s="957"/>
      <c r="X70" s="957"/>
      <c r="Y70" s="957"/>
      <c r="Z70" s="957"/>
      <c r="AA70" s="957"/>
      <c r="AB70" s="957"/>
      <c r="AC70" s="957"/>
      <c r="AD70" s="957"/>
      <c r="AE70" s="957"/>
      <c r="AF70" s="957"/>
      <c r="AG70" s="957"/>
      <c r="AH70" s="957"/>
      <c r="AI70" s="957"/>
      <c r="AJ70" s="957"/>
      <c r="AK70" s="957"/>
      <c r="AL70" s="957"/>
      <c r="AM70" s="957"/>
      <c r="AN70" s="957"/>
      <c r="AO70" s="957"/>
      <c r="AP70" s="957"/>
      <c r="AQ70" s="957"/>
      <c r="AR70" s="957"/>
      <c r="AS70" s="957"/>
      <c r="AT70" s="957"/>
      <c r="AU70" s="957"/>
      <c r="AV70" s="957"/>
      <c r="AW70" s="957"/>
      <c r="AX70" s="957"/>
      <c r="AY70" s="957"/>
      <c r="AZ70" s="957"/>
      <c r="BA70" s="957"/>
      <c r="BB70" s="719"/>
      <c r="BC70" s="719"/>
      <c r="BD70" s="719"/>
      <c r="BE70" s="719"/>
      <c r="BF70" s="719"/>
      <c r="BG70" s="719"/>
      <c r="BH70" s="719"/>
      <c r="BI70" s="719"/>
      <c r="BJ70" s="719"/>
      <c r="BK70" s="719"/>
      <c r="BL70" s="719"/>
      <c r="BM70" s="719"/>
      <c r="BN70" s="719"/>
      <c r="BO70" s="719"/>
      <c r="BP70" s="719"/>
      <c r="BQ70" s="719"/>
      <c r="BR70" s="719"/>
      <c r="BS70" s="719"/>
      <c r="BT70" s="719"/>
      <c r="BU70" s="719"/>
      <c r="BV70" s="719"/>
      <c r="BW70" s="719"/>
      <c r="BX70" s="719"/>
      <c r="BY70" s="719"/>
      <c r="BZ70" s="719"/>
      <c r="CA70" s="719"/>
      <c r="CB70" s="719"/>
      <c r="CC70" s="719"/>
      <c r="CD70" s="719"/>
      <c r="CE70" s="719"/>
      <c r="CF70" s="719"/>
      <c r="CG70" s="719"/>
      <c r="CH70" s="719"/>
      <c r="CI70" s="719"/>
      <c r="CJ70" s="719"/>
      <c r="CK70" s="719"/>
      <c r="CL70" s="719"/>
      <c r="CM70" s="1062"/>
      <c r="CN70" s="375"/>
      <c r="CO70" s="33"/>
      <c r="CP70" s="33"/>
    </row>
    <row r="71" spans="1:94">
      <c r="C71" s="22"/>
      <c r="D71" s="22"/>
      <c r="E71" s="22"/>
      <c r="G71" s="957"/>
      <c r="H71" s="957"/>
      <c r="I71" s="957"/>
      <c r="J71" s="957"/>
      <c r="K71" s="957"/>
      <c r="L71" s="957"/>
      <c r="M71" s="957"/>
      <c r="N71" s="957"/>
      <c r="O71" s="957"/>
      <c r="P71" s="957"/>
      <c r="Q71" s="957"/>
      <c r="R71" s="957"/>
      <c r="S71" s="957"/>
      <c r="T71" s="957"/>
      <c r="U71" s="957"/>
      <c r="V71" s="957"/>
      <c r="W71" s="957"/>
      <c r="X71" s="957"/>
      <c r="Y71" s="957"/>
      <c r="Z71" s="957"/>
      <c r="AA71" s="957"/>
      <c r="AB71" s="957"/>
      <c r="AC71" s="957"/>
      <c r="AD71" s="957"/>
      <c r="AE71" s="957"/>
      <c r="AF71" s="957"/>
      <c r="AG71" s="957"/>
      <c r="AH71" s="957"/>
      <c r="AI71" s="957"/>
      <c r="AJ71" s="957"/>
      <c r="AK71" s="957"/>
      <c r="AL71" s="957"/>
      <c r="AM71" s="957"/>
      <c r="AN71" s="957"/>
      <c r="AO71" s="957"/>
      <c r="AP71" s="957"/>
      <c r="AQ71" s="957"/>
      <c r="AR71" s="957"/>
      <c r="AS71" s="957"/>
      <c r="AT71" s="957"/>
      <c r="AU71" s="957"/>
      <c r="AV71" s="957"/>
      <c r="AW71" s="957"/>
      <c r="AX71" s="957"/>
      <c r="AY71" s="957"/>
      <c r="AZ71" s="957"/>
      <c r="BA71" s="957"/>
      <c r="BB71" s="957"/>
      <c r="BC71" s="957"/>
      <c r="BD71" s="957"/>
      <c r="BE71" s="957"/>
      <c r="BF71" s="957"/>
      <c r="BG71" s="957"/>
      <c r="BH71" s="957"/>
      <c r="BI71" s="957"/>
      <c r="BJ71" s="957"/>
      <c r="BK71" s="957"/>
      <c r="BL71" s="957"/>
      <c r="BM71" s="957"/>
      <c r="BN71" s="957"/>
      <c r="BO71" s="957"/>
      <c r="BP71" s="957"/>
      <c r="BQ71" s="957"/>
      <c r="BR71" s="957"/>
      <c r="BS71" s="957"/>
      <c r="BT71" s="957"/>
      <c r="BU71" s="957"/>
      <c r="BV71" s="957"/>
      <c r="BW71" s="957"/>
      <c r="BX71" s="957"/>
      <c r="BY71" s="957"/>
      <c r="BZ71" s="957"/>
      <c r="CA71" s="957"/>
      <c r="CB71" s="957"/>
      <c r="CC71" s="957"/>
      <c r="CD71" s="957"/>
      <c r="CE71" s="957"/>
      <c r="CF71" s="957"/>
      <c r="CG71" s="957"/>
      <c r="CH71" s="957"/>
      <c r="CI71" s="957"/>
      <c r="CJ71" s="957"/>
      <c r="CK71" s="957"/>
      <c r="CL71" s="957"/>
      <c r="CM71" s="1062"/>
      <c r="CN71" s="375"/>
      <c r="CO71" s="33"/>
      <c r="CP71" s="33"/>
    </row>
    <row r="72" spans="1:94">
      <c r="C72" s="22"/>
      <c r="D72" s="22"/>
      <c r="E72" s="22"/>
      <c r="G72" s="957"/>
      <c r="H72" s="957"/>
      <c r="I72" s="957"/>
      <c r="J72" s="957"/>
      <c r="K72" s="957"/>
      <c r="L72" s="957"/>
      <c r="M72" s="957"/>
      <c r="N72" s="957"/>
      <c r="O72" s="957"/>
      <c r="P72" s="957"/>
      <c r="Q72" s="957"/>
      <c r="R72" s="957"/>
      <c r="S72" s="957"/>
      <c r="T72" s="957"/>
      <c r="U72" s="957"/>
      <c r="V72" s="957"/>
      <c r="W72" s="957"/>
      <c r="X72" s="957"/>
      <c r="Y72" s="957"/>
      <c r="Z72" s="957"/>
      <c r="AA72" s="957"/>
      <c r="AB72" s="957"/>
      <c r="AC72" s="957"/>
      <c r="AD72" s="957"/>
      <c r="AE72" s="957"/>
      <c r="AF72" s="957"/>
      <c r="AG72" s="957"/>
      <c r="AH72" s="957"/>
      <c r="AI72" s="957"/>
      <c r="AJ72" s="957"/>
      <c r="AK72" s="957"/>
      <c r="AL72" s="957"/>
      <c r="AM72" s="957"/>
      <c r="AN72" s="957"/>
      <c r="AO72" s="957"/>
      <c r="AP72" s="957"/>
      <c r="AQ72" s="957"/>
      <c r="AR72" s="957"/>
      <c r="AS72" s="957"/>
      <c r="AT72" s="957"/>
      <c r="AU72" s="957"/>
      <c r="AV72" s="957"/>
      <c r="AW72" s="957"/>
      <c r="AX72" s="957"/>
      <c r="AY72" s="957"/>
      <c r="AZ72" s="957"/>
      <c r="BA72" s="957"/>
      <c r="BB72" s="957"/>
      <c r="BC72" s="957"/>
      <c r="BD72" s="957"/>
      <c r="BE72" s="957"/>
      <c r="BF72" s="957"/>
      <c r="BG72" s="957"/>
      <c r="BH72" s="957"/>
      <c r="BI72" s="957"/>
      <c r="BJ72" s="957"/>
      <c r="BK72" s="957"/>
      <c r="BL72" s="957"/>
      <c r="BM72" s="957"/>
      <c r="BN72" s="957"/>
      <c r="BO72" s="957"/>
      <c r="BP72" s="957"/>
      <c r="BQ72" s="957"/>
      <c r="BR72" s="957"/>
      <c r="BS72" s="957"/>
      <c r="BT72" s="957"/>
      <c r="BU72" s="957"/>
      <c r="BV72" s="957"/>
      <c r="BW72" s="957"/>
      <c r="BX72" s="957"/>
      <c r="BY72" s="957"/>
      <c r="BZ72" s="957"/>
      <c r="CA72" s="957"/>
      <c r="CB72" s="957"/>
      <c r="CC72" s="957"/>
      <c r="CD72" s="957"/>
      <c r="CE72" s="957"/>
      <c r="CF72" s="957"/>
      <c r="CG72" s="957"/>
      <c r="CH72" s="957"/>
      <c r="CI72" s="957"/>
      <c r="CJ72" s="957"/>
      <c r="CK72" s="957"/>
      <c r="CL72" s="957"/>
      <c r="CM72" s="1062"/>
      <c r="CN72" s="375"/>
      <c r="CO72" s="33"/>
      <c r="CP72" s="33"/>
    </row>
    <row r="73" spans="1:94">
      <c r="C73" s="22"/>
      <c r="D73" s="22"/>
      <c r="E73" s="22"/>
      <c r="G73" s="957"/>
      <c r="H73" s="957"/>
      <c r="I73" s="957"/>
      <c r="J73" s="957"/>
      <c r="K73" s="957"/>
      <c r="L73" s="957"/>
      <c r="M73" s="957"/>
      <c r="N73" s="957"/>
      <c r="O73" s="957"/>
      <c r="P73" s="957"/>
      <c r="Q73" s="957"/>
      <c r="R73" s="957"/>
      <c r="S73" s="957"/>
      <c r="T73" s="957"/>
      <c r="U73" s="957"/>
      <c r="V73" s="957"/>
      <c r="W73" s="957"/>
      <c r="X73" s="957"/>
      <c r="Y73" s="957"/>
      <c r="Z73" s="957"/>
      <c r="AA73" s="957"/>
      <c r="AB73" s="957"/>
      <c r="AC73" s="957"/>
      <c r="AD73" s="957"/>
      <c r="AE73" s="957"/>
      <c r="AF73" s="957"/>
      <c r="AG73" s="957"/>
      <c r="AH73" s="957"/>
      <c r="AI73" s="957"/>
      <c r="AJ73" s="957"/>
      <c r="AK73" s="957"/>
      <c r="AL73" s="957"/>
      <c r="AM73" s="957"/>
      <c r="AN73" s="957"/>
      <c r="AO73" s="957"/>
      <c r="AP73" s="957"/>
      <c r="AQ73" s="957"/>
      <c r="AR73" s="957"/>
      <c r="AS73" s="957"/>
      <c r="AT73" s="957"/>
      <c r="AU73" s="957"/>
      <c r="AV73" s="957"/>
      <c r="AW73" s="957"/>
      <c r="AX73" s="957"/>
      <c r="AY73" s="957"/>
      <c r="AZ73" s="957"/>
      <c r="BA73" s="957"/>
      <c r="BB73" s="957"/>
      <c r="BC73" s="957"/>
      <c r="BD73" s="957"/>
      <c r="BE73" s="957"/>
      <c r="BF73" s="957"/>
      <c r="BG73" s="957"/>
      <c r="BH73" s="957"/>
      <c r="BI73" s="957"/>
      <c r="BJ73" s="957"/>
      <c r="BK73" s="957"/>
      <c r="BL73" s="957"/>
      <c r="BM73" s="957"/>
      <c r="BN73" s="957"/>
      <c r="BO73" s="957"/>
      <c r="BP73" s="957"/>
      <c r="BQ73" s="957"/>
      <c r="BR73" s="957"/>
      <c r="BS73" s="957"/>
      <c r="BT73" s="957"/>
      <c r="BU73" s="957"/>
      <c r="BV73" s="957"/>
      <c r="BW73" s="957"/>
      <c r="BX73" s="957"/>
      <c r="BY73" s="957"/>
      <c r="BZ73" s="957"/>
      <c r="CA73" s="957"/>
      <c r="CB73" s="957"/>
      <c r="CC73" s="957"/>
      <c r="CD73" s="957"/>
      <c r="CE73" s="957"/>
      <c r="CF73" s="957"/>
      <c r="CG73" s="957"/>
      <c r="CH73" s="957"/>
      <c r="CI73" s="957"/>
      <c r="CJ73" s="957"/>
      <c r="CK73" s="957"/>
      <c r="CL73" s="957"/>
      <c r="CM73" s="1062"/>
      <c r="CN73" s="375"/>
      <c r="CO73" s="33"/>
      <c r="CP73" s="33"/>
    </row>
    <row r="74" spans="1:94">
      <c r="C74" s="22"/>
      <c r="D74" s="22"/>
      <c r="E74" s="22"/>
      <c r="G74" s="957"/>
      <c r="H74" s="957"/>
      <c r="I74" s="957"/>
      <c r="J74" s="957"/>
      <c r="K74" s="957"/>
      <c r="L74" s="957"/>
      <c r="M74" s="957"/>
      <c r="N74" s="957"/>
      <c r="O74" s="957"/>
      <c r="P74" s="957"/>
      <c r="Q74" s="957"/>
      <c r="R74" s="957"/>
      <c r="S74" s="957"/>
      <c r="T74" s="957"/>
      <c r="U74" s="957"/>
      <c r="V74" s="957"/>
      <c r="W74" s="957"/>
      <c r="X74" s="957"/>
      <c r="Y74" s="957"/>
      <c r="Z74" s="957"/>
      <c r="AA74" s="957"/>
      <c r="AB74" s="957"/>
      <c r="AC74" s="957"/>
      <c r="AD74" s="957"/>
      <c r="AE74" s="957"/>
      <c r="AF74" s="957"/>
      <c r="AG74" s="957"/>
      <c r="AH74" s="957"/>
      <c r="AI74" s="957"/>
      <c r="AJ74" s="957"/>
      <c r="AK74" s="957"/>
      <c r="AL74" s="957"/>
      <c r="AM74" s="957"/>
      <c r="AN74" s="957"/>
      <c r="AO74" s="957"/>
      <c r="AP74" s="957"/>
      <c r="AQ74" s="957"/>
      <c r="AR74" s="957"/>
      <c r="AS74" s="957"/>
      <c r="AT74" s="957"/>
      <c r="AU74" s="957"/>
      <c r="AV74" s="957"/>
      <c r="AW74" s="957"/>
      <c r="AX74" s="957"/>
      <c r="AY74" s="957"/>
      <c r="AZ74" s="957"/>
      <c r="BA74" s="957"/>
      <c r="BB74" s="957"/>
      <c r="BC74" s="957"/>
      <c r="BD74" s="957"/>
      <c r="BE74" s="957"/>
      <c r="BF74" s="957"/>
      <c r="BG74" s="957"/>
      <c r="BH74" s="957"/>
      <c r="BI74" s="957"/>
      <c r="BJ74" s="957"/>
      <c r="BK74" s="957"/>
      <c r="BL74" s="957"/>
      <c r="BM74" s="957"/>
      <c r="BN74" s="957"/>
      <c r="BO74" s="957"/>
      <c r="BP74" s="957"/>
      <c r="BQ74" s="957"/>
      <c r="BR74" s="957"/>
      <c r="BS74" s="957"/>
      <c r="BT74" s="957"/>
      <c r="BU74" s="957"/>
      <c r="BV74" s="957"/>
      <c r="BW74" s="957"/>
      <c r="BX74" s="957"/>
      <c r="BY74" s="957"/>
      <c r="BZ74" s="957"/>
      <c r="CA74" s="957"/>
      <c r="CB74" s="957"/>
      <c r="CC74" s="957"/>
      <c r="CD74" s="957"/>
      <c r="CE74" s="957"/>
      <c r="CF74" s="957"/>
      <c r="CG74" s="957"/>
      <c r="CH74" s="957"/>
      <c r="CI74" s="957"/>
      <c r="CJ74" s="957"/>
      <c r="CK74" s="957"/>
      <c r="CL74" s="957"/>
      <c r="CM74" s="1062"/>
      <c r="CN74" s="375"/>
      <c r="CO74" s="33"/>
      <c r="CP74" s="33"/>
    </row>
    <row r="75" spans="1:94">
      <c r="C75" s="22"/>
      <c r="D75" s="22"/>
      <c r="E75" s="22"/>
      <c r="G75" s="957"/>
      <c r="H75" s="957"/>
      <c r="I75" s="957"/>
      <c r="J75" s="957"/>
      <c r="K75" s="957"/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7"/>
      <c r="Y75" s="957"/>
      <c r="Z75" s="957"/>
      <c r="AA75" s="957"/>
      <c r="AB75" s="957"/>
      <c r="AC75" s="957"/>
      <c r="AD75" s="957"/>
      <c r="AE75" s="957"/>
      <c r="AF75" s="957"/>
      <c r="AG75" s="957"/>
      <c r="AH75" s="957"/>
      <c r="AI75" s="957"/>
      <c r="AJ75" s="957"/>
      <c r="AK75" s="957"/>
      <c r="AL75" s="957"/>
      <c r="AM75" s="957"/>
      <c r="AN75" s="957"/>
      <c r="AO75" s="957"/>
      <c r="AP75" s="957"/>
      <c r="AQ75" s="957"/>
      <c r="AR75" s="957"/>
      <c r="AS75" s="957"/>
      <c r="AT75" s="957"/>
      <c r="AU75" s="957"/>
      <c r="AV75" s="957"/>
      <c r="AW75" s="957"/>
      <c r="AX75" s="957"/>
      <c r="AY75" s="957"/>
      <c r="AZ75" s="957"/>
      <c r="BA75" s="957"/>
      <c r="BB75" s="957"/>
      <c r="BC75" s="957"/>
      <c r="BD75" s="957"/>
      <c r="BE75" s="957"/>
      <c r="BF75" s="957"/>
      <c r="BG75" s="957"/>
      <c r="BH75" s="957"/>
      <c r="BI75" s="957"/>
      <c r="BJ75" s="957"/>
      <c r="BK75" s="957"/>
      <c r="BL75" s="957"/>
      <c r="BM75" s="957"/>
      <c r="BN75" s="957"/>
      <c r="BO75" s="957"/>
      <c r="BP75" s="957"/>
      <c r="BQ75" s="957"/>
      <c r="BR75" s="957"/>
      <c r="BS75" s="957"/>
      <c r="BT75" s="957"/>
      <c r="BU75" s="957"/>
      <c r="BV75" s="957"/>
      <c r="BW75" s="957"/>
      <c r="BX75" s="957"/>
      <c r="BY75" s="957"/>
      <c r="BZ75" s="957"/>
      <c r="CA75" s="957"/>
      <c r="CB75" s="957"/>
      <c r="CC75" s="957"/>
      <c r="CD75" s="957"/>
      <c r="CE75" s="957"/>
      <c r="CF75" s="957"/>
      <c r="CG75" s="957"/>
      <c r="CH75" s="957"/>
      <c r="CI75" s="957"/>
      <c r="CJ75" s="957"/>
      <c r="CK75" s="957"/>
      <c r="CL75" s="957"/>
      <c r="CM75" s="1062"/>
      <c r="CN75" s="375"/>
      <c r="CO75" s="33"/>
      <c r="CP75" s="33"/>
    </row>
    <row r="76" spans="1:94">
      <c r="C76" s="22"/>
      <c r="D76" s="22"/>
      <c r="E76" s="22"/>
      <c r="G76" s="957"/>
      <c r="H76" s="957"/>
      <c r="I76" s="957"/>
      <c r="J76" s="957"/>
      <c r="K76" s="957"/>
      <c r="L76" s="957"/>
      <c r="M76" s="957"/>
      <c r="N76" s="957"/>
      <c r="O76" s="957"/>
      <c r="P76" s="957"/>
      <c r="Q76" s="957"/>
      <c r="R76" s="957"/>
      <c r="S76" s="957"/>
      <c r="T76" s="957"/>
      <c r="U76" s="957"/>
      <c r="V76" s="957"/>
      <c r="W76" s="957"/>
      <c r="X76" s="957"/>
      <c r="Y76" s="957"/>
      <c r="Z76" s="957"/>
      <c r="AA76" s="957"/>
      <c r="AB76" s="957"/>
      <c r="AC76" s="957"/>
      <c r="AD76" s="957"/>
      <c r="AE76" s="957"/>
      <c r="AF76" s="957"/>
      <c r="AG76" s="957"/>
      <c r="AH76" s="957"/>
      <c r="AI76" s="957"/>
      <c r="AJ76" s="957"/>
      <c r="AK76" s="957"/>
      <c r="AL76" s="957"/>
      <c r="AM76" s="957"/>
      <c r="AN76" s="957"/>
      <c r="AO76" s="957"/>
      <c r="AP76" s="957"/>
      <c r="AQ76" s="957"/>
      <c r="AR76" s="957"/>
      <c r="AS76" s="957"/>
      <c r="AT76" s="957"/>
      <c r="AU76" s="957"/>
      <c r="AV76" s="957"/>
      <c r="AW76" s="957"/>
      <c r="AX76" s="957"/>
      <c r="AY76" s="957"/>
      <c r="AZ76" s="957"/>
      <c r="BA76" s="957"/>
      <c r="BB76" s="957"/>
      <c r="BC76" s="957"/>
      <c r="BD76" s="957"/>
      <c r="BE76" s="957"/>
      <c r="BF76" s="957"/>
      <c r="BG76" s="957"/>
      <c r="BH76" s="957"/>
      <c r="BI76" s="957"/>
      <c r="BJ76" s="957"/>
      <c r="BK76" s="957"/>
      <c r="BL76" s="957"/>
      <c r="BM76" s="957"/>
      <c r="BN76" s="957"/>
      <c r="BO76" s="957"/>
      <c r="BP76" s="957"/>
      <c r="BQ76" s="957"/>
      <c r="BR76" s="957"/>
      <c r="BS76" s="957"/>
      <c r="BT76" s="957"/>
      <c r="BU76" s="957"/>
      <c r="BV76" s="957"/>
      <c r="BW76" s="957"/>
      <c r="BX76" s="957"/>
      <c r="BY76" s="957"/>
      <c r="BZ76" s="957"/>
      <c r="CA76" s="957"/>
      <c r="CB76" s="957"/>
      <c r="CC76" s="957"/>
      <c r="CD76" s="957"/>
      <c r="CE76" s="957"/>
      <c r="CF76" s="957"/>
      <c r="CG76" s="957"/>
      <c r="CH76" s="957"/>
      <c r="CI76" s="957"/>
      <c r="CJ76" s="957"/>
      <c r="CK76" s="957"/>
      <c r="CL76" s="957"/>
      <c r="CM76" s="1062"/>
      <c r="CN76" s="375"/>
      <c r="CO76" s="33"/>
      <c r="CP76" s="33"/>
    </row>
    <row r="77" spans="1:94">
      <c r="C77" s="22"/>
      <c r="D77" s="22"/>
      <c r="E77" s="22"/>
      <c r="G77" s="957"/>
      <c r="H77" s="957"/>
      <c r="I77" s="957"/>
      <c r="J77" s="957"/>
      <c r="K77" s="957"/>
      <c r="L77" s="957"/>
      <c r="M77" s="957"/>
      <c r="N77" s="957"/>
      <c r="O77" s="957"/>
      <c r="P77" s="957"/>
      <c r="Q77" s="957"/>
      <c r="R77" s="957"/>
      <c r="S77" s="957"/>
      <c r="T77" s="957"/>
      <c r="U77" s="957"/>
      <c r="V77" s="957"/>
      <c r="W77" s="957"/>
      <c r="X77" s="957"/>
      <c r="Y77" s="957"/>
      <c r="Z77" s="957"/>
      <c r="AA77" s="957"/>
      <c r="AB77" s="957"/>
      <c r="AC77" s="957"/>
      <c r="AD77" s="957"/>
      <c r="AE77" s="957"/>
      <c r="AF77" s="957"/>
      <c r="AG77" s="957"/>
      <c r="AH77" s="957"/>
      <c r="AI77" s="957"/>
      <c r="AJ77" s="957"/>
      <c r="AK77" s="957"/>
      <c r="AL77" s="957"/>
      <c r="AM77" s="957"/>
      <c r="AN77" s="957"/>
      <c r="AO77" s="957"/>
      <c r="AP77" s="957"/>
      <c r="AQ77" s="957"/>
      <c r="AR77" s="957"/>
      <c r="AS77" s="957"/>
      <c r="AT77" s="957"/>
      <c r="AU77" s="957"/>
      <c r="AV77" s="957"/>
      <c r="AW77" s="957"/>
      <c r="AX77" s="957"/>
      <c r="AY77" s="957"/>
      <c r="AZ77" s="957"/>
      <c r="BA77" s="957"/>
      <c r="BB77" s="957"/>
      <c r="BC77" s="957"/>
      <c r="BD77" s="957"/>
      <c r="BE77" s="957"/>
      <c r="BF77" s="957"/>
      <c r="BG77" s="957"/>
      <c r="BH77" s="957"/>
      <c r="BI77" s="957"/>
      <c r="BJ77" s="957"/>
      <c r="BK77" s="957"/>
      <c r="BL77" s="957"/>
      <c r="BM77" s="957"/>
      <c r="BN77" s="957"/>
      <c r="BO77" s="957"/>
      <c r="BP77" s="957"/>
      <c r="BQ77" s="957"/>
      <c r="BR77" s="957"/>
      <c r="BS77" s="957"/>
      <c r="BT77" s="957"/>
      <c r="BU77" s="957"/>
      <c r="BV77" s="957"/>
      <c r="BW77" s="957"/>
      <c r="BX77" s="957"/>
      <c r="BY77" s="957"/>
      <c r="BZ77" s="957"/>
      <c r="CA77" s="957"/>
      <c r="CB77" s="957"/>
      <c r="CC77" s="957"/>
      <c r="CD77" s="957"/>
      <c r="CE77" s="957"/>
      <c r="CF77" s="957"/>
      <c r="CG77" s="957"/>
      <c r="CH77" s="957"/>
      <c r="CI77" s="957"/>
      <c r="CJ77" s="957"/>
      <c r="CK77" s="957"/>
      <c r="CL77" s="957"/>
      <c r="CM77" s="1062"/>
      <c r="CN77" s="375"/>
      <c r="CO77" s="33"/>
      <c r="CP77" s="33"/>
    </row>
    <row r="78" spans="1:94">
      <c r="C78" s="22"/>
      <c r="D78" s="22"/>
      <c r="E78" s="22"/>
      <c r="G78" s="957"/>
      <c r="H78" s="957"/>
      <c r="I78" s="957"/>
      <c r="J78" s="957"/>
      <c r="K78" s="957"/>
      <c r="L78" s="957"/>
      <c r="M78" s="957"/>
      <c r="N78" s="957"/>
      <c r="O78" s="957"/>
      <c r="P78" s="957"/>
      <c r="Q78" s="957"/>
      <c r="R78" s="957"/>
      <c r="S78" s="957"/>
      <c r="T78" s="957"/>
      <c r="U78" s="957"/>
      <c r="V78" s="957"/>
      <c r="W78" s="957"/>
      <c r="X78" s="957"/>
      <c r="Y78" s="957"/>
      <c r="Z78" s="957"/>
      <c r="AA78" s="957"/>
      <c r="AB78" s="957"/>
      <c r="AC78" s="957"/>
      <c r="AD78" s="957"/>
      <c r="AE78" s="957"/>
      <c r="AF78" s="957"/>
      <c r="AG78" s="957"/>
      <c r="AH78" s="957"/>
      <c r="AI78" s="957"/>
      <c r="AJ78" s="957"/>
      <c r="AK78" s="957"/>
      <c r="AL78" s="957"/>
      <c r="AM78" s="957"/>
      <c r="AN78" s="957"/>
      <c r="AO78" s="957"/>
      <c r="AP78" s="957"/>
      <c r="AQ78" s="957"/>
      <c r="AR78" s="957"/>
      <c r="AS78" s="957"/>
      <c r="AT78" s="957"/>
      <c r="AU78" s="957"/>
      <c r="AV78" s="957"/>
      <c r="AW78" s="957"/>
      <c r="AX78" s="957"/>
      <c r="AY78" s="957"/>
      <c r="AZ78" s="957"/>
      <c r="BA78" s="957"/>
      <c r="BB78" s="957"/>
      <c r="BC78" s="957"/>
      <c r="BD78" s="957"/>
      <c r="BE78" s="957"/>
      <c r="BF78" s="957"/>
      <c r="BG78" s="957"/>
      <c r="BH78" s="957"/>
      <c r="BI78" s="957"/>
      <c r="BJ78" s="957"/>
      <c r="BK78" s="957"/>
      <c r="BL78" s="957"/>
      <c r="BM78" s="957"/>
      <c r="BN78" s="957"/>
      <c r="BO78" s="957"/>
      <c r="BP78" s="957"/>
      <c r="BQ78" s="957"/>
      <c r="BR78" s="957"/>
      <c r="BS78" s="957"/>
      <c r="BT78" s="957"/>
      <c r="BU78" s="957"/>
      <c r="BV78" s="957"/>
      <c r="BW78" s="957"/>
      <c r="BX78" s="957"/>
      <c r="BY78" s="957"/>
      <c r="BZ78" s="957"/>
      <c r="CA78" s="957"/>
      <c r="CB78" s="957"/>
      <c r="CC78" s="957"/>
      <c r="CD78" s="957"/>
      <c r="CE78" s="957"/>
      <c r="CF78" s="957"/>
      <c r="CG78" s="957"/>
      <c r="CH78" s="957"/>
      <c r="CI78" s="957"/>
      <c r="CJ78" s="957"/>
      <c r="CK78" s="957"/>
      <c r="CL78" s="957"/>
      <c r="CM78" s="1062"/>
      <c r="CN78" s="375"/>
      <c r="CO78" s="33"/>
      <c r="CP78" s="33"/>
    </row>
    <row r="79" spans="1:94">
      <c r="C79" s="22"/>
      <c r="D79" s="22"/>
      <c r="E79" s="22"/>
      <c r="G79" s="957"/>
      <c r="H79" s="957"/>
      <c r="I79" s="957"/>
      <c r="J79" s="957"/>
      <c r="K79" s="957"/>
      <c r="L79" s="957"/>
      <c r="M79" s="957"/>
      <c r="N79" s="957"/>
      <c r="O79" s="957"/>
      <c r="P79" s="957"/>
      <c r="Q79" s="957"/>
      <c r="R79" s="957"/>
      <c r="S79" s="957"/>
      <c r="T79" s="957"/>
      <c r="U79" s="957"/>
      <c r="V79" s="957"/>
      <c r="W79" s="957"/>
      <c r="X79" s="957"/>
      <c r="Y79" s="957"/>
      <c r="Z79" s="957"/>
      <c r="AA79" s="957"/>
      <c r="AB79" s="957"/>
      <c r="AC79" s="957"/>
      <c r="AD79" s="957"/>
      <c r="AE79" s="957"/>
      <c r="AF79" s="957"/>
      <c r="AG79" s="957"/>
      <c r="AH79" s="957"/>
      <c r="AI79" s="957"/>
      <c r="AJ79" s="957"/>
      <c r="AK79" s="957"/>
      <c r="AL79" s="957"/>
      <c r="AM79" s="957"/>
      <c r="AN79" s="957"/>
      <c r="AO79" s="957"/>
      <c r="AP79" s="957"/>
      <c r="AQ79" s="957"/>
      <c r="AR79" s="957"/>
      <c r="AS79" s="957"/>
      <c r="AT79" s="957"/>
      <c r="AU79" s="957"/>
      <c r="AV79" s="957"/>
      <c r="AW79" s="957"/>
      <c r="AX79" s="957"/>
      <c r="AY79" s="957"/>
      <c r="AZ79" s="957"/>
      <c r="BA79" s="957"/>
      <c r="BB79" s="957"/>
      <c r="BC79" s="957"/>
      <c r="BD79" s="957"/>
      <c r="BE79" s="957"/>
      <c r="BF79" s="957"/>
      <c r="BG79" s="957"/>
      <c r="BH79" s="957"/>
      <c r="BI79" s="957"/>
      <c r="BJ79" s="957"/>
      <c r="BK79" s="957"/>
      <c r="BL79" s="957"/>
      <c r="BM79" s="957"/>
      <c r="BN79" s="957"/>
      <c r="BO79" s="957"/>
      <c r="BP79" s="957"/>
      <c r="BQ79" s="957"/>
      <c r="BR79" s="957"/>
      <c r="BS79" s="957"/>
      <c r="BT79" s="957"/>
      <c r="BU79" s="957"/>
      <c r="BV79" s="957"/>
      <c r="BW79" s="957"/>
      <c r="BX79" s="957"/>
      <c r="BY79" s="957"/>
      <c r="BZ79" s="957"/>
      <c r="CA79" s="957"/>
      <c r="CB79" s="957"/>
      <c r="CC79" s="957"/>
      <c r="CD79" s="957"/>
      <c r="CE79" s="957"/>
      <c r="CF79" s="957"/>
      <c r="CG79" s="957"/>
      <c r="CH79" s="957"/>
      <c r="CI79" s="957"/>
      <c r="CJ79" s="957"/>
      <c r="CK79" s="957"/>
      <c r="CL79" s="957"/>
      <c r="CM79" s="1062"/>
      <c r="CN79" s="375"/>
      <c r="CO79" s="33"/>
      <c r="CP79" s="33"/>
    </row>
    <row r="80" spans="1:94">
      <c r="C80" s="22"/>
      <c r="D80" s="22"/>
      <c r="E80" s="22"/>
      <c r="G80" s="957"/>
      <c r="H80" s="957"/>
      <c r="I80" s="957"/>
      <c r="J80" s="957"/>
      <c r="K80" s="957"/>
      <c r="L80" s="957"/>
      <c r="M80" s="957"/>
      <c r="N80" s="957"/>
      <c r="O80" s="957"/>
      <c r="P80" s="957"/>
      <c r="Q80" s="957"/>
      <c r="R80" s="957"/>
      <c r="S80" s="957"/>
      <c r="T80" s="957"/>
      <c r="U80" s="957"/>
      <c r="V80" s="957"/>
      <c r="W80" s="957"/>
      <c r="X80" s="957"/>
      <c r="Y80" s="957"/>
      <c r="Z80" s="957"/>
      <c r="AA80" s="957"/>
      <c r="AB80" s="957"/>
      <c r="AC80" s="957"/>
      <c r="AD80" s="957"/>
      <c r="AE80" s="957"/>
      <c r="AF80" s="957"/>
      <c r="AG80" s="957"/>
      <c r="AH80" s="957"/>
      <c r="AI80" s="957"/>
      <c r="AJ80" s="957"/>
      <c r="AK80" s="957"/>
      <c r="AL80" s="957"/>
      <c r="AM80" s="957"/>
      <c r="AN80" s="957"/>
      <c r="AO80" s="957"/>
      <c r="AP80" s="957"/>
      <c r="AQ80" s="957"/>
      <c r="AR80" s="957"/>
      <c r="AS80" s="957"/>
      <c r="AT80" s="957"/>
      <c r="AU80" s="957"/>
      <c r="AV80" s="957"/>
      <c r="AW80" s="957"/>
      <c r="AX80" s="957"/>
      <c r="AY80" s="957"/>
      <c r="AZ80" s="957"/>
      <c r="BA80" s="957"/>
      <c r="BB80" s="957"/>
      <c r="BC80" s="957"/>
      <c r="BD80" s="957"/>
      <c r="BE80" s="957"/>
      <c r="BF80" s="957"/>
      <c r="BG80" s="957"/>
      <c r="BH80" s="957"/>
      <c r="BI80" s="957"/>
      <c r="BJ80" s="957"/>
      <c r="BK80" s="957"/>
      <c r="BL80" s="957"/>
      <c r="BM80" s="957"/>
      <c r="BN80" s="957"/>
      <c r="BO80" s="957"/>
      <c r="BP80" s="957"/>
      <c r="BQ80" s="957"/>
      <c r="BR80" s="957"/>
      <c r="BS80" s="957"/>
      <c r="BT80" s="957"/>
      <c r="BU80" s="957"/>
      <c r="BV80" s="957"/>
      <c r="BW80" s="957"/>
      <c r="BX80" s="957"/>
      <c r="BY80" s="957"/>
      <c r="BZ80" s="957"/>
      <c r="CA80" s="957"/>
      <c r="CB80" s="957"/>
      <c r="CC80" s="957"/>
      <c r="CD80" s="957"/>
      <c r="CE80" s="957"/>
      <c r="CF80" s="957"/>
      <c r="CG80" s="957"/>
      <c r="CH80" s="957"/>
      <c r="CI80" s="957"/>
      <c r="CJ80" s="957"/>
      <c r="CK80" s="957"/>
      <c r="CL80" s="957"/>
      <c r="CM80" s="1062"/>
      <c r="CN80" s="375"/>
      <c r="CO80" s="33"/>
      <c r="CP80" s="33"/>
    </row>
    <row r="81" spans="3:94">
      <c r="C81" s="22"/>
      <c r="D81" s="22"/>
      <c r="E81" s="22"/>
      <c r="G81" s="957"/>
      <c r="H81" s="957"/>
      <c r="I81" s="957"/>
      <c r="J81" s="957"/>
      <c r="K81" s="957"/>
      <c r="L81" s="957"/>
      <c r="M81" s="957"/>
      <c r="N81" s="957"/>
      <c r="O81" s="957"/>
      <c r="P81" s="957"/>
      <c r="Q81" s="957"/>
      <c r="R81" s="957"/>
      <c r="S81" s="957"/>
      <c r="T81" s="957"/>
      <c r="U81" s="957"/>
      <c r="V81" s="957"/>
      <c r="W81" s="957"/>
      <c r="X81" s="957"/>
      <c r="Y81" s="957"/>
      <c r="Z81" s="957"/>
      <c r="AA81" s="957"/>
      <c r="AB81" s="957"/>
      <c r="AC81" s="957"/>
      <c r="AD81" s="957"/>
      <c r="AE81" s="957"/>
      <c r="AF81" s="957"/>
      <c r="AG81" s="957"/>
      <c r="AH81" s="957"/>
      <c r="AI81" s="957"/>
      <c r="AJ81" s="957"/>
      <c r="AK81" s="957"/>
      <c r="AL81" s="957"/>
      <c r="AM81" s="957"/>
      <c r="AN81" s="957"/>
      <c r="AO81" s="957"/>
      <c r="AP81" s="957"/>
      <c r="AQ81" s="957"/>
      <c r="AR81" s="957"/>
      <c r="AS81" s="957"/>
      <c r="AT81" s="957"/>
      <c r="AU81" s="957"/>
      <c r="AV81" s="957"/>
      <c r="AW81" s="957"/>
      <c r="AX81" s="957"/>
      <c r="AY81" s="957"/>
      <c r="AZ81" s="957"/>
      <c r="BA81" s="957"/>
      <c r="BB81" s="957"/>
      <c r="BC81" s="957"/>
      <c r="BD81" s="957"/>
      <c r="BE81" s="957"/>
      <c r="BF81" s="957"/>
      <c r="BG81" s="957"/>
      <c r="BH81" s="957"/>
      <c r="BI81" s="957"/>
      <c r="BJ81" s="957"/>
      <c r="BK81" s="957"/>
      <c r="BL81" s="957"/>
      <c r="BM81" s="957"/>
      <c r="BN81" s="957"/>
      <c r="BO81" s="957"/>
      <c r="BP81" s="957"/>
      <c r="BQ81" s="957"/>
      <c r="BR81" s="957"/>
      <c r="BS81" s="957"/>
      <c r="BT81" s="957"/>
      <c r="BU81" s="957"/>
      <c r="BV81" s="957"/>
      <c r="BW81" s="957"/>
      <c r="BX81" s="957"/>
      <c r="BY81" s="957"/>
      <c r="BZ81" s="957"/>
      <c r="CA81" s="957"/>
      <c r="CB81" s="957"/>
      <c r="CC81" s="957"/>
      <c r="CD81" s="957"/>
      <c r="CE81" s="957"/>
      <c r="CF81" s="957"/>
      <c r="CG81" s="957"/>
      <c r="CH81" s="957"/>
      <c r="CI81" s="957"/>
      <c r="CJ81" s="957"/>
      <c r="CK81" s="957"/>
      <c r="CL81" s="957"/>
      <c r="CM81" s="1062"/>
      <c r="CN81" s="375"/>
      <c r="CO81" s="33"/>
      <c r="CP81" s="33"/>
    </row>
    <row r="82" spans="3:94">
      <c r="C82" s="22"/>
      <c r="D82" s="22"/>
      <c r="E82" s="22"/>
      <c r="G82" s="957"/>
      <c r="H82" s="957"/>
      <c r="I82" s="957"/>
      <c r="J82" s="957"/>
      <c r="K82" s="957"/>
      <c r="L82" s="957"/>
      <c r="M82" s="957"/>
      <c r="N82" s="957"/>
      <c r="O82" s="957"/>
      <c r="P82" s="957"/>
      <c r="Q82" s="957"/>
      <c r="R82" s="957"/>
      <c r="S82" s="957"/>
      <c r="T82" s="957"/>
      <c r="U82" s="957"/>
      <c r="V82" s="957"/>
      <c r="W82" s="957"/>
      <c r="X82" s="957"/>
      <c r="Y82" s="957"/>
      <c r="Z82" s="957"/>
      <c r="AA82" s="957"/>
      <c r="AB82" s="957"/>
      <c r="AC82" s="957"/>
      <c r="AD82" s="957"/>
      <c r="AE82" s="957"/>
      <c r="AF82" s="957"/>
      <c r="AG82" s="957"/>
      <c r="AH82" s="957"/>
      <c r="AI82" s="957"/>
      <c r="AJ82" s="957"/>
      <c r="AK82" s="957"/>
      <c r="AL82" s="957"/>
      <c r="AM82" s="957"/>
      <c r="AN82" s="957"/>
      <c r="AO82" s="957"/>
      <c r="AP82" s="957"/>
      <c r="AQ82" s="957"/>
      <c r="AR82" s="957"/>
      <c r="AS82" s="957"/>
      <c r="AT82" s="957"/>
      <c r="AU82" s="957"/>
      <c r="AV82" s="957"/>
      <c r="AW82" s="957"/>
      <c r="AX82" s="957"/>
      <c r="AY82" s="957"/>
      <c r="AZ82" s="957"/>
      <c r="BA82" s="957"/>
      <c r="BB82" s="957"/>
      <c r="BC82" s="957"/>
      <c r="BD82" s="957"/>
      <c r="BE82" s="957"/>
      <c r="BF82" s="957"/>
      <c r="BG82" s="957"/>
      <c r="BH82" s="957"/>
      <c r="BI82" s="957"/>
      <c r="BJ82" s="957"/>
      <c r="BK82" s="957"/>
      <c r="BL82" s="957"/>
      <c r="BM82" s="957"/>
      <c r="BN82" s="957"/>
      <c r="BO82" s="957"/>
      <c r="BP82" s="957"/>
      <c r="BQ82" s="957"/>
      <c r="BR82" s="957"/>
      <c r="BS82" s="957"/>
      <c r="BT82" s="957"/>
      <c r="BU82" s="957"/>
      <c r="BV82" s="957"/>
      <c r="BW82" s="957"/>
      <c r="BX82" s="957"/>
      <c r="BY82" s="957"/>
      <c r="BZ82" s="957"/>
      <c r="CA82" s="957"/>
      <c r="CB82" s="957"/>
      <c r="CC82" s="957"/>
      <c r="CD82" s="957"/>
      <c r="CE82" s="957"/>
      <c r="CF82" s="957"/>
      <c r="CG82" s="957"/>
      <c r="CH82" s="957"/>
      <c r="CI82" s="957"/>
      <c r="CJ82" s="957"/>
      <c r="CK82" s="957"/>
      <c r="CL82" s="957"/>
      <c r="CM82" s="1062"/>
      <c r="CN82" s="375"/>
      <c r="CO82" s="33"/>
      <c r="CP82" s="33"/>
    </row>
    <row r="83" spans="3:94">
      <c r="C83" s="22"/>
      <c r="D83" s="22"/>
      <c r="E83" s="22"/>
      <c r="G83" s="957"/>
      <c r="H83" s="957"/>
      <c r="I83" s="957"/>
      <c r="J83" s="957"/>
      <c r="K83" s="957"/>
      <c r="L83" s="957"/>
      <c r="M83" s="957"/>
      <c r="N83" s="957"/>
      <c r="O83" s="957"/>
      <c r="P83" s="957"/>
      <c r="Q83" s="957"/>
      <c r="R83" s="957"/>
      <c r="S83" s="957"/>
      <c r="T83" s="957"/>
      <c r="U83" s="957"/>
      <c r="V83" s="957"/>
      <c r="W83" s="957"/>
      <c r="X83" s="957"/>
      <c r="Y83" s="957"/>
      <c r="Z83" s="957"/>
      <c r="AA83" s="957"/>
      <c r="AB83" s="957"/>
      <c r="AC83" s="957"/>
      <c r="AD83" s="957"/>
      <c r="AE83" s="957"/>
      <c r="AF83" s="957"/>
      <c r="AG83" s="957"/>
      <c r="AH83" s="957"/>
      <c r="AI83" s="957"/>
      <c r="AJ83" s="957"/>
      <c r="AK83" s="957"/>
      <c r="AL83" s="957"/>
      <c r="AM83" s="957"/>
      <c r="AN83" s="957"/>
      <c r="AO83" s="957"/>
      <c r="AP83" s="957"/>
      <c r="AQ83" s="957"/>
      <c r="AR83" s="957"/>
      <c r="AS83" s="957"/>
      <c r="AT83" s="957"/>
      <c r="AU83" s="957"/>
      <c r="AV83" s="957"/>
      <c r="AW83" s="957"/>
      <c r="AX83" s="957"/>
      <c r="AY83" s="957"/>
      <c r="AZ83" s="957"/>
      <c r="BA83" s="957"/>
      <c r="BB83" s="957"/>
      <c r="BC83" s="957"/>
      <c r="BD83" s="957"/>
      <c r="BE83" s="957"/>
      <c r="BF83" s="957"/>
      <c r="BG83" s="957"/>
      <c r="BH83" s="957"/>
      <c r="BI83" s="957"/>
      <c r="BJ83" s="957"/>
      <c r="BK83" s="957"/>
      <c r="BL83" s="957"/>
      <c r="BM83" s="957"/>
      <c r="BN83" s="957"/>
      <c r="BO83" s="957"/>
      <c r="BP83" s="957"/>
      <c r="BQ83" s="957"/>
      <c r="BR83" s="957"/>
      <c r="BS83" s="957"/>
      <c r="BT83" s="957"/>
      <c r="BU83" s="957"/>
      <c r="BV83" s="957"/>
      <c r="BW83" s="957"/>
      <c r="BX83" s="957"/>
      <c r="BY83" s="957"/>
      <c r="BZ83" s="957"/>
      <c r="CA83" s="957"/>
      <c r="CB83" s="957"/>
      <c r="CC83" s="957"/>
      <c r="CD83" s="957"/>
      <c r="CE83" s="957"/>
      <c r="CF83" s="957"/>
      <c r="CG83" s="957"/>
      <c r="CH83" s="957"/>
      <c r="CI83" s="957"/>
      <c r="CJ83" s="957"/>
      <c r="CK83" s="957"/>
      <c r="CL83" s="957"/>
      <c r="CM83" s="1062"/>
      <c r="CN83" s="375"/>
      <c r="CO83" s="33"/>
      <c r="CP83" s="33"/>
    </row>
    <row r="84" spans="3:94">
      <c r="C84" s="22"/>
      <c r="D84" s="22"/>
      <c r="E84" s="22"/>
      <c r="G84" s="957"/>
      <c r="H84" s="957"/>
      <c r="I84" s="957"/>
      <c r="J84" s="957"/>
      <c r="K84" s="957"/>
      <c r="L84" s="957"/>
      <c r="M84" s="957"/>
      <c r="N84" s="957"/>
      <c r="O84" s="957"/>
      <c r="P84" s="957"/>
      <c r="Q84" s="957"/>
      <c r="R84" s="957"/>
      <c r="S84" s="957"/>
      <c r="T84" s="957"/>
      <c r="U84" s="957"/>
      <c r="V84" s="957"/>
      <c r="W84" s="957"/>
      <c r="X84" s="957"/>
      <c r="Y84" s="957"/>
      <c r="Z84" s="957"/>
      <c r="AA84" s="957"/>
      <c r="AB84" s="957"/>
      <c r="AC84" s="957"/>
      <c r="AD84" s="957"/>
      <c r="AE84" s="957"/>
      <c r="AF84" s="957"/>
      <c r="AG84" s="957"/>
      <c r="AH84" s="957"/>
      <c r="AI84" s="957"/>
      <c r="AJ84" s="957"/>
      <c r="AK84" s="957"/>
      <c r="AL84" s="957"/>
      <c r="AM84" s="957"/>
      <c r="AN84" s="957"/>
      <c r="AO84" s="957"/>
      <c r="AP84" s="957"/>
      <c r="AQ84" s="957"/>
      <c r="AR84" s="957"/>
      <c r="AS84" s="957"/>
      <c r="AT84" s="957"/>
      <c r="AU84" s="957"/>
      <c r="AV84" s="957"/>
      <c r="AW84" s="957"/>
      <c r="AX84" s="957"/>
      <c r="AY84" s="957"/>
      <c r="AZ84" s="957"/>
      <c r="BA84" s="957"/>
      <c r="BB84" s="957"/>
      <c r="BC84" s="957"/>
      <c r="BD84" s="957"/>
      <c r="BE84" s="957"/>
      <c r="BF84" s="957"/>
      <c r="BG84" s="957"/>
      <c r="BH84" s="957"/>
      <c r="BI84" s="957"/>
      <c r="BJ84" s="957"/>
      <c r="BK84" s="957"/>
      <c r="BL84" s="957"/>
      <c r="BM84" s="957"/>
      <c r="BN84" s="957"/>
      <c r="BO84" s="957"/>
      <c r="BP84" s="957"/>
      <c r="BQ84" s="957"/>
      <c r="BR84" s="957"/>
      <c r="BS84" s="957"/>
      <c r="BT84" s="957"/>
      <c r="BU84" s="957"/>
      <c r="BV84" s="957"/>
      <c r="BW84" s="957"/>
      <c r="BX84" s="957"/>
      <c r="BY84" s="957"/>
      <c r="BZ84" s="957"/>
      <c r="CA84" s="957"/>
      <c r="CB84" s="957"/>
      <c r="CC84" s="957"/>
      <c r="CD84" s="957"/>
      <c r="CE84" s="957"/>
      <c r="CF84" s="957"/>
      <c r="CG84" s="957"/>
      <c r="CH84" s="957"/>
      <c r="CI84" s="957"/>
      <c r="CJ84" s="957"/>
      <c r="CK84" s="957"/>
      <c r="CL84" s="957"/>
      <c r="CM84" s="1062"/>
      <c r="CN84" s="375"/>
      <c r="CO84" s="33"/>
      <c r="CP84" s="33"/>
    </row>
    <row r="85" spans="3:94">
      <c r="C85" s="22"/>
      <c r="D85" s="22"/>
      <c r="E85" s="22"/>
      <c r="G85" s="957"/>
      <c r="H85" s="957"/>
      <c r="I85" s="957"/>
      <c r="J85" s="957"/>
      <c r="K85" s="957"/>
      <c r="L85" s="957"/>
      <c r="M85" s="957"/>
      <c r="N85" s="957"/>
      <c r="O85" s="957"/>
      <c r="P85" s="957"/>
      <c r="Q85" s="957"/>
      <c r="R85" s="957"/>
      <c r="S85" s="957"/>
      <c r="T85" s="957"/>
      <c r="U85" s="957"/>
      <c r="V85" s="957"/>
      <c r="W85" s="957"/>
      <c r="X85" s="957"/>
      <c r="Y85" s="957"/>
      <c r="Z85" s="957"/>
      <c r="AA85" s="957"/>
      <c r="AB85" s="957"/>
      <c r="AC85" s="957"/>
      <c r="AD85" s="957"/>
      <c r="AE85" s="957"/>
      <c r="AF85" s="957"/>
      <c r="AG85" s="957"/>
      <c r="AH85" s="957"/>
      <c r="AI85" s="957"/>
      <c r="AJ85" s="957"/>
      <c r="AK85" s="957"/>
      <c r="AL85" s="957"/>
      <c r="AM85" s="957"/>
      <c r="AN85" s="957"/>
      <c r="AO85" s="957"/>
      <c r="AP85" s="957"/>
      <c r="AQ85" s="957"/>
      <c r="AR85" s="957"/>
      <c r="AS85" s="957"/>
      <c r="AT85" s="957"/>
      <c r="AU85" s="957"/>
      <c r="AV85" s="957"/>
      <c r="AW85" s="957"/>
      <c r="AX85" s="957"/>
      <c r="AY85" s="957"/>
      <c r="AZ85" s="957"/>
      <c r="BA85" s="957"/>
      <c r="BB85" s="957"/>
      <c r="BC85" s="957"/>
      <c r="BD85" s="957"/>
      <c r="BE85" s="957"/>
      <c r="BF85" s="957"/>
      <c r="BG85" s="957"/>
      <c r="BH85" s="957"/>
      <c r="BI85" s="957"/>
      <c r="BJ85" s="957"/>
      <c r="BK85" s="957"/>
      <c r="BL85" s="957"/>
      <c r="BM85" s="957"/>
      <c r="BN85" s="957"/>
      <c r="BO85" s="957"/>
      <c r="BP85" s="957"/>
      <c r="BQ85" s="957"/>
      <c r="BR85" s="957"/>
      <c r="BS85" s="957"/>
      <c r="BT85" s="957"/>
      <c r="BU85" s="957"/>
      <c r="BV85" s="957"/>
      <c r="BW85" s="957"/>
      <c r="BX85" s="957"/>
      <c r="BY85" s="957"/>
      <c r="BZ85" s="957"/>
      <c r="CA85" s="957"/>
      <c r="CB85" s="957"/>
      <c r="CC85" s="957"/>
      <c r="CD85" s="957"/>
      <c r="CE85" s="957"/>
      <c r="CF85" s="957"/>
      <c r="CG85" s="957"/>
      <c r="CH85" s="957"/>
      <c r="CI85" s="957"/>
      <c r="CJ85" s="957"/>
      <c r="CK85" s="957"/>
      <c r="CL85" s="957"/>
      <c r="CM85" s="1062"/>
      <c r="CN85" s="375"/>
      <c r="CO85" s="33"/>
      <c r="CP85" s="33"/>
    </row>
    <row r="86" spans="3:94">
      <c r="C86" s="22"/>
      <c r="D86" s="22"/>
      <c r="E86" s="22"/>
      <c r="G86" s="957"/>
      <c r="H86" s="957"/>
      <c r="I86" s="957"/>
      <c r="J86" s="957"/>
      <c r="K86" s="957"/>
      <c r="L86" s="957"/>
      <c r="M86" s="957"/>
      <c r="N86" s="957"/>
      <c r="O86" s="957"/>
      <c r="P86" s="957"/>
      <c r="Q86" s="957"/>
      <c r="R86" s="957"/>
      <c r="S86" s="957"/>
      <c r="T86" s="957"/>
      <c r="U86" s="957"/>
      <c r="V86" s="957"/>
      <c r="W86" s="957"/>
      <c r="X86" s="957"/>
      <c r="Y86" s="957"/>
      <c r="Z86" s="957"/>
      <c r="AA86" s="957"/>
      <c r="AB86" s="957"/>
      <c r="AC86" s="957"/>
      <c r="AD86" s="957"/>
      <c r="AE86" s="957"/>
      <c r="AF86" s="957"/>
      <c r="AG86" s="957"/>
      <c r="AH86" s="957"/>
      <c r="AI86" s="957"/>
      <c r="AJ86" s="957"/>
      <c r="AK86" s="957"/>
      <c r="AL86" s="957"/>
      <c r="AM86" s="957"/>
      <c r="AN86" s="957"/>
      <c r="AO86" s="957"/>
      <c r="AP86" s="957"/>
      <c r="AQ86" s="957"/>
      <c r="AR86" s="957"/>
      <c r="AS86" s="957"/>
      <c r="AT86" s="957"/>
      <c r="AU86" s="957"/>
      <c r="AV86" s="957"/>
      <c r="AW86" s="957"/>
      <c r="AX86" s="957"/>
      <c r="AY86" s="957"/>
      <c r="AZ86" s="957"/>
      <c r="BA86" s="957"/>
      <c r="BB86" s="957"/>
      <c r="BC86" s="957"/>
      <c r="BD86" s="957"/>
      <c r="BE86" s="957"/>
      <c r="BF86" s="957"/>
      <c r="BG86" s="957"/>
      <c r="BH86" s="957"/>
      <c r="BI86" s="957"/>
      <c r="BJ86" s="957"/>
      <c r="BK86" s="957"/>
      <c r="BL86" s="957"/>
      <c r="BM86" s="957"/>
      <c r="BN86" s="957"/>
      <c r="BO86" s="957"/>
      <c r="BP86" s="957"/>
      <c r="BQ86" s="957"/>
      <c r="BR86" s="957"/>
      <c r="BS86" s="957"/>
      <c r="BT86" s="957"/>
      <c r="BU86" s="957"/>
      <c r="BV86" s="957"/>
      <c r="BW86" s="957"/>
      <c r="BX86" s="957"/>
      <c r="BY86" s="957"/>
      <c r="BZ86" s="957"/>
      <c r="CA86" s="957"/>
      <c r="CB86" s="957"/>
      <c r="CC86" s="957"/>
      <c r="CD86" s="957"/>
      <c r="CE86" s="957"/>
      <c r="CF86" s="957"/>
      <c r="CG86" s="957"/>
      <c r="CH86" s="957"/>
      <c r="CI86" s="957"/>
      <c r="CJ86" s="957"/>
      <c r="CK86" s="957"/>
      <c r="CL86" s="957"/>
      <c r="CM86" s="1062"/>
      <c r="CN86" s="375"/>
      <c r="CO86" s="33"/>
      <c r="CP86" s="33"/>
    </row>
    <row r="87" spans="3:94">
      <c r="C87" s="22"/>
      <c r="D87" s="22"/>
      <c r="E87" s="22"/>
      <c r="G87" s="957"/>
      <c r="H87" s="957"/>
      <c r="I87" s="957"/>
      <c r="J87" s="957"/>
      <c r="K87" s="957"/>
      <c r="L87" s="957"/>
      <c r="M87" s="957"/>
      <c r="N87" s="957"/>
      <c r="O87" s="957"/>
      <c r="P87" s="957"/>
      <c r="Q87" s="957"/>
      <c r="R87" s="957"/>
      <c r="S87" s="957"/>
      <c r="T87" s="957"/>
      <c r="U87" s="957"/>
      <c r="V87" s="957"/>
      <c r="W87" s="957"/>
      <c r="X87" s="957"/>
      <c r="Y87" s="957"/>
      <c r="Z87" s="957"/>
      <c r="AA87" s="957"/>
      <c r="AB87" s="957"/>
      <c r="AC87" s="957"/>
      <c r="AD87" s="957"/>
      <c r="AE87" s="957"/>
      <c r="AF87" s="957"/>
      <c r="AG87" s="957"/>
      <c r="AH87" s="957"/>
      <c r="AI87" s="957"/>
      <c r="AJ87" s="957"/>
      <c r="AK87" s="957"/>
      <c r="AL87" s="957"/>
      <c r="AM87" s="957"/>
      <c r="AN87" s="957"/>
      <c r="AO87" s="957"/>
      <c r="AP87" s="957"/>
      <c r="AQ87" s="957"/>
      <c r="AR87" s="957"/>
      <c r="AS87" s="957"/>
      <c r="AT87" s="957"/>
      <c r="AU87" s="957"/>
      <c r="AV87" s="957"/>
      <c r="AW87" s="957"/>
      <c r="AX87" s="957"/>
      <c r="AY87" s="957"/>
      <c r="AZ87" s="957"/>
      <c r="BA87" s="957"/>
      <c r="BB87" s="957"/>
      <c r="BC87" s="957"/>
      <c r="BD87" s="957"/>
      <c r="BE87" s="957"/>
      <c r="BF87" s="957"/>
      <c r="BG87" s="957"/>
      <c r="BH87" s="957"/>
      <c r="BI87" s="957"/>
      <c r="BJ87" s="957"/>
      <c r="BK87" s="957"/>
      <c r="BL87" s="957"/>
      <c r="BM87" s="957"/>
      <c r="BN87" s="957"/>
      <c r="BO87" s="957"/>
      <c r="BP87" s="957"/>
      <c r="BQ87" s="957"/>
      <c r="BR87" s="957"/>
      <c r="BS87" s="957"/>
      <c r="BT87" s="957"/>
      <c r="BU87" s="957"/>
      <c r="BV87" s="957"/>
      <c r="BW87" s="957"/>
      <c r="BX87" s="957"/>
      <c r="BY87" s="957"/>
      <c r="BZ87" s="957"/>
      <c r="CA87" s="957"/>
      <c r="CB87" s="957"/>
      <c r="CC87" s="957"/>
      <c r="CD87" s="957"/>
      <c r="CE87" s="957"/>
      <c r="CF87" s="957"/>
      <c r="CG87" s="957"/>
      <c r="CH87" s="957"/>
      <c r="CI87" s="957"/>
      <c r="CJ87" s="957"/>
      <c r="CK87" s="957"/>
      <c r="CL87" s="957"/>
      <c r="CM87" s="1062"/>
      <c r="CN87" s="375"/>
      <c r="CO87" s="33"/>
      <c r="CP87" s="33"/>
    </row>
    <row r="88" spans="3:94">
      <c r="C88" s="22"/>
      <c r="D88" s="22"/>
      <c r="E88" s="22"/>
      <c r="G88" s="957"/>
      <c r="H88" s="957"/>
      <c r="I88" s="957"/>
      <c r="J88" s="957"/>
      <c r="K88" s="957"/>
      <c r="L88" s="957"/>
      <c r="M88" s="957"/>
      <c r="N88" s="957"/>
      <c r="O88" s="957"/>
      <c r="P88" s="957"/>
      <c r="Q88" s="957"/>
      <c r="R88" s="957"/>
      <c r="S88" s="957"/>
      <c r="T88" s="957"/>
      <c r="U88" s="957"/>
      <c r="V88" s="957"/>
      <c r="W88" s="957"/>
      <c r="X88" s="957"/>
      <c r="Y88" s="957"/>
      <c r="Z88" s="957"/>
      <c r="AA88" s="957"/>
      <c r="AB88" s="957"/>
      <c r="AC88" s="957"/>
      <c r="AD88" s="957"/>
      <c r="AE88" s="957"/>
      <c r="AF88" s="957"/>
      <c r="AG88" s="957"/>
      <c r="AH88" s="957"/>
      <c r="AI88" s="957"/>
      <c r="AJ88" s="957"/>
      <c r="AK88" s="957"/>
      <c r="AL88" s="957"/>
      <c r="AM88" s="957"/>
      <c r="AN88" s="957"/>
      <c r="AO88" s="957"/>
      <c r="AP88" s="957"/>
      <c r="AQ88" s="957"/>
      <c r="AR88" s="957"/>
      <c r="AS88" s="957"/>
      <c r="AT88" s="957"/>
      <c r="AU88" s="957"/>
      <c r="AV88" s="957"/>
      <c r="AW88" s="957"/>
      <c r="AX88" s="957"/>
      <c r="AY88" s="957"/>
      <c r="AZ88" s="957"/>
      <c r="BA88" s="957"/>
      <c r="BB88" s="957"/>
      <c r="BC88" s="957"/>
      <c r="BD88" s="957"/>
      <c r="BE88" s="957"/>
      <c r="BF88" s="957"/>
      <c r="BG88" s="957"/>
      <c r="BH88" s="957"/>
      <c r="BI88" s="957"/>
      <c r="BJ88" s="957"/>
      <c r="BK88" s="957"/>
      <c r="BL88" s="957"/>
      <c r="BM88" s="957"/>
      <c r="BN88" s="957"/>
      <c r="BO88" s="957"/>
      <c r="BP88" s="957"/>
      <c r="BQ88" s="957"/>
      <c r="BR88" s="957"/>
      <c r="BS88" s="957"/>
      <c r="BT88" s="957"/>
      <c r="BU88" s="957"/>
      <c r="BV88" s="957"/>
      <c r="BW88" s="957"/>
      <c r="BX88" s="957"/>
      <c r="BY88" s="957"/>
      <c r="BZ88" s="957"/>
      <c r="CA88" s="957"/>
      <c r="CB88" s="957"/>
      <c r="CC88" s="957"/>
      <c r="CD88" s="957"/>
      <c r="CE88" s="957"/>
      <c r="CF88" s="957"/>
      <c r="CG88" s="957"/>
      <c r="CH88" s="957"/>
      <c r="CI88" s="957"/>
      <c r="CJ88" s="957"/>
      <c r="CK88" s="957"/>
      <c r="CL88" s="957"/>
      <c r="CM88" s="1062"/>
      <c r="CN88" s="375"/>
      <c r="CO88" s="33"/>
      <c r="CP88" s="33"/>
    </row>
    <row r="89" spans="3:94">
      <c r="C89" s="22"/>
      <c r="D89" s="22"/>
      <c r="E89" s="22"/>
      <c r="G89" s="957"/>
      <c r="H89" s="957"/>
      <c r="I89" s="957"/>
      <c r="J89" s="957"/>
      <c r="K89" s="957"/>
      <c r="L89" s="957"/>
      <c r="M89" s="957"/>
      <c r="N89" s="957"/>
      <c r="O89" s="957"/>
      <c r="P89" s="957"/>
      <c r="Q89" s="957"/>
      <c r="R89" s="957"/>
      <c r="S89" s="957"/>
      <c r="T89" s="957"/>
      <c r="U89" s="957"/>
      <c r="V89" s="957"/>
      <c r="W89" s="957"/>
      <c r="X89" s="957"/>
      <c r="Y89" s="957"/>
      <c r="Z89" s="957"/>
      <c r="AA89" s="957"/>
      <c r="AB89" s="957"/>
      <c r="AC89" s="957"/>
      <c r="AD89" s="957"/>
      <c r="AE89" s="957"/>
      <c r="AF89" s="957"/>
      <c r="AG89" s="957"/>
      <c r="AH89" s="957"/>
      <c r="AI89" s="957"/>
      <c r="AJ89" s="957"/>
      <c r="AK89" s="957"/>
      <c r="AL89" s="957"/>
      <c r="AM89" s="957"/>
      <c r="AN89" s="957"/>
      <c r="AO89" s="957"/>
      <c r="AP89" s="957"/>
      <c r="AQ89" s="957"/>
      <c r="AR89" s="957"/>
      <c r="AS89" s="957"/>
      <c r="AT89" s="957"/>
      <c r="AU89" s="957"/>
      <c r="AV89" s="957"/>
      <c r="AW89" s="957"/>
      <c r="AX89" s="957"/>
      <c r="AY89" s="957"/>
      <c r="AZ89" s="957"/>
      <c r="BA89" s="957"/>
      <c r="BB89" s="957"/>
      <c r="BC89" s="957"/>
      <c r="BD89" s="957"/>
      <c r="BE89" s="957"/>
      <c r="BF89" s="957"/>
      <c r="BG89" s="957"/>
      <c r="BH89" s="957"/>
      <c r="BI89" s="957"/>
      <c r="BJ89" s="957"/>
      <c r="BK89" s="957"/>
      <c r="BL89" s="957"/>
      <c r="BM89" s="957"/>
      <c r="BN89" s="957"/>
      <c r="BO89" s="957"/>
      <c r="BP89" s="957"/>
      <c r="BQ89" s="957"/>
      <c r="BR89" s="957"/>
      <c r="BS89" s="957"/>
      <c r="BT89" s="957"/>
      <c r="BU89" s="957"/>
      <c r="BV89" s="957"/>
      <c r="BW89" s="957"/>
      <c r="BX89" s="957"/>
      <c r="BY89" s="957"/>
      <c r="BZ89" s="957"/>
      <c r="CA89" s="957"/>
      <c r="CB89" s="957"/>
      <c r="CC89" s="957"/>
      <c r="CD89" s="957"/>
      <c r="CE89" s="957"/>
      <c r="CF89" s="957"/>
      <c r="CG89" s="957"/>
      <c r="CH89" s="957"/>
      <c r="CI89" s="957"/>
      <c r="CJ89" s="957"/>
      <c r="CK89" s="957"/>
      <c r="CL89" s="957"/>
      <c r="CM89" s="382"/>
      <c r="CN89" s="375"/>
      <c r="CO89" s="33"/>
      <c r="CP89" s="33"/>
    </row>
    <row r="90" spans="3:94">
      <c r="C90" s="22"/>
      <c r="D90" s="22"/>
      <c r="E90" s="22"/>
      <c r="G90" s="957"/>
      <c r="H90" s="957"/>
      <c r="I90" s="957"/>
      <c r="J90" s="957"/>
      <c r="K90" s="957"/>
      <c r="L90" s="957"/>
      <c r="M90" s="957"/>
      <c r="N90" s="957"/>
      <c r="O90" s="957"/>
      <c r="P90" s="957"/>
      <c r="Q90" s="957"/>
      <c r="R90" s="957"/>
      <c r="S90" s="957"/>
      <c r="T90" s="957"/>
      <c r="U90" s="957"/>
      <c r="V90" s="957"/>
      <c r="W90" s="957"/>
      <c r="X90" s="957"/>
      <c r="Y90" s="957"/>
      <c r="Z90" s="957"/>
      <c r="AA90" s="957"/>
      <c r="AB90" s="957"/>
      <c r="AC90" s="957"/>
      <c r="AD90" s="957"/>
      <c r="AE90" s="957"/>
      <c r="AF90" s="957"/>
      <c r="AG90" s="957"/>
      <c r="AH90" s="957"/>
      <c r="AI90" s="957"/>
      <c r="AJ90" s="957"/>
      <c r="AK90" s="957"/>
      <c r="AL90" s="957"/>
      <c r="AM90" s="957"/>
      <c r="AN90" s="957"/>
      <c r="AO90" s="957"/>
      <c r="AP90" s="957"/>
      <c r="AQ90" s="957"/>
      <c r="AR90" s="957"/>
      <c r="AS90" s="957"/>
      <c r="AT90" s="957"/>
      <c r="AU90" s="957"/>
      <c r="AV90" s="957"/>
      <c r="AW90" s="957"/>
      <c r="AX90" s="957"/>
      <c r="AY90" s="957"/>
      <c r="AZ90" s="957"/>
      <c r="BA90" s="957"/>
      <c r="BB90" s="957"/>
      <c r="BC90" s="957"/>
      <c r="BD90" s="957"/>
      <c r="BE90" s="957"/>
      <c r="BF90" s="957"/>
      <c r="BG90" s="957"/>
      <c r="BH90" s="957"/>
      <c r="BI90" s="957"/>
      <c r="BJ90" s="957"/>
      <c r="BK90" s="957"/>
      <c r="BL90" s="957"/>
      <c r="BM90" s="957"/>
      <c r="BN90" s="957"/>
      <c r="BO90" s="957"/>
      <c r="BP90" s="957"/>
      <c r="BQ90" s="957"/>
      <c r="BR90" s="957"/>
      <c r="BS90" s="957"/>
      <c r="BT90" s="957"/>
      <c r="BU90" s="957"/>
      <c r="BV90" s="957"/>
      <c r="BW90" s="957"/>
      <c r="BX90" s="957"/>
      <c r="BY90" s="957"/>
      <c r="BZ90" s="957"/>
      <c r="CA90" s="957"/>
      <c r="CB90" s="957"/>
      <c r="CC90" s="957"/>
      <c r="CD90" s="957"/>
      <c r="CE90" s="957"/>
      <c r="CF90" s="957"/>
      <c r="CG90" s="957"/>
      <c r="CH90" s="957"/>
      <c r="CI90" s="957"/>
      <c r="CJ90" s="957"/>
      <c r="CK90" s="957"/>
      <c r="CL90" s="957"/>
      <c r="CM90" s="382"/>
      <c r="CN90" s="375"/>
      <c r="CO90" s="375"/>
      <c r="CP90" s="375"/>
    </row>
    <row r="91" spans="3:94">
      <c r="C91" s="22"/>
      <c r="D91" s="22"/>
      <c r="E91" s="22"/>
      <c r="G91" s="957"/>
      <c r="H91" s="957"/>
      <c r="I91" s="957"/>
      <c r="J91" s="957"/>
      <c r="K91" s="957"/>
      <c r="L91" s="957"/>
      <c r="M91" s="957"/>
      <c r="N91" s="957"/>
      <c r="O91" s="957"/>
      <c r="P91" s="957"/>
      <c r="Q91" s="957"/>
      <c r="R91" s="957"/>
      <c r="S91" s="957"/>
      <c r="T91" s="957"/>
      <c r="U91" s="957"/>
      <c r="V91" s="957"/>
      <c r="W91" s="957"/>
      <c r="X91" s="957"/>
      <c r="Y91" s="957"/>
      <c r="Z91" s="957"/>
      <c r="AA91" s="957"/>
      <c r="AB91" s="957"/>
      <c r="AC91" s="957"/>
      <c r="AD91" s="957"/>
      <c r="AE91" s="957"/>
      <c r="AF91" s="957"/>
      <c r="AG91" s="957"/>
      <c r="AH91" s="957"/>
      <c r="AI91" s="957"/>
      <c r="AJ91" s="957"/>
      <c r="AK91" s="957"/>
      <c r="AL91" s="957"/>
      <c r="AM91" s="957"/>
      <c r="AN91" s="957"/>
      <c r="AO91" s="957"/>
      <c r="AP91" s="957"/>
      <c r="AQ91" s="957"/>
      <c r="AR91" s="957"/>
      <c r="AS91" s="957"/>
      <c r="AT91" s="957"/>
      <c r="AU91" s="957"/>
      <c r="AV91" s="957"/>
      <c r="AW91" s="957"/>
      <c r="AX91" s="957"/>
      <c r="AY91" s="957"/>
      <c r="AZ91" s="957"/>
      <c r="BA91" s="957"/>
      <c r="BB91" s="957"/>
      <c r="BC91" s="957"/>
      <c r="BD91" s="957"/>
      <c r="BE91" s="957"/>
      <c r="BF91" s="957"/>
      <c r="BG91" s="957"/>
      <c r="BH91" s="957"/>
      <c r="BI91" s="957"/>
      <c r="BJ91" s="957"/>
      <c r="BK91" s="957"/>
      <c r="BL91" s="957"/>
      <c r="BM91" s="957"/>
      <c r="BN91" s="957"/>
      <c r="BO91" s="957"/>
      <c r="BP91" s="957"/>
      <c r="BQ91" s="957"/>
      <c r="BR91" s="957"/>
      <c r="BS91" s="957"/>
      <c r="BT91" s="957"/>
      <c r="BU91" s="957"/>
      <c r="BV91" s="957"/>
      <c r="BW91" s="957"/>
      <c r="BX91" s="957"/>
      <c r="BY91" s="957"/>
      <c r="BZ91" s="957"/>
      <c r="CA91" s="957"/>
      <c r="CB91" s="957"/>
      <c r="CC91" s="957"/>
      <c r="CD91" s="957"/>
      <c r="CE91" s="957"/>
      <c r="CF91" s="957"/>
      <c r="CG91" s="957"/>
      <c r="CH91" s="957"/>
      <c r="CI91" s="957"/>
      <c r="CJ91" s="957"/>
      <c r="CK91" s="957"/>
      <c r="CL91" s="957"/>
      <c r="CM91" s="382"/>
      <c r="CN91" s="375"/>
      <c r="CO91" s="375"/>
      <c r="CP91" s="375"/>
    </row>
    <row r="92" spans="3:94">
      <c r="C92" s="22"/>
      <c r="D92" s="22"/>
      <c r="E92" s="22"/>
      <c r="G92" s="957"/>
      <c r="H92" s="957"/>
      <c r="I92" s="957"/>
      <c r="J92" s="957"/>
      <c r="K92" s="957"/>
      <c r="L92" s="957"/>
      <c r="M92" s="957"/>
      <c r="N92" s="957"/>
      <c r="O92" s="957"/>
      <c r="P92" s="957"/>
      <c r="Q92" s="957"/>
      <c r="R92" s="957"/>
      <c r="S92" s="957"/>
      <c r="T92" s="957"/>
      <c r="U92" s="957"/>
      <c r="V92" s="957"/>
      <c r="W92" s="957"/>
      <c r="X92" s="957"/>
      <c r="Y92" s="957"/>
      <c r="Z92" s="957"/>
      <c r="AA92" s="957"/>
      <c r="AB92" s="957"/>
      <c r="AC92" s="957"/>
      <c r="AD92" s="957"/>
      <c r="AE92" s="957"/>
      <c r="AF92" s="957"/>
      <c r="AG92" s="957"/>
      <c r="AH92" s="957"/>
      <c r="AI92" s="957"/>
      <c r="AJ92" s="957"/>
      <c r="AK92" s="957"/>
      <c r="AL92" s="957"/>
      <c r="AM92" s="957"/>
      <c r="AN92" s="957"/>
      <c r="AO92" s="957"/>
      <c r="AP92" s="957"/>
      <c r="AQ92" s="957"/>
      <c r="AR92" s="957"/>
      <c r="AS92" s="957"/>
      <c r="AT92" s="957"/>
      <c r="AU92" s="957"/>
      <c r="AV92" s="957"/>
      <c r="AW92" s="957"/>
      <c r="AX92" s="957"/>
      <c r="AY92" s="957"/>
      <c r="AZ92" s="957"/>
      <c r="BA92" s="957"/>
      <c r="BB92" s="957"/>
      <c r="BC92" s="957"/>
      <c r="BD92" s="957"/>
      <c r="BE92" s="957"/>
      <c r="BF92" s="957"/>
      <c r="BG92" s="957"/>
      <c r="BH92" s="957"/>
      <c r="BI92" s="957"/>
      <c r="BJ92" s="957"/>
      <c r="BK92" s="957"/>
      <c r="BL92" s="957"/>
      <c r="BM92" s="957"/>
      <c r="BN92" s="957"/>
      <c r="BO92" s="957"/>
      <c r="BP92" s="957"/>
      <c r="BQ92" s="957"/>
      <c r="BR92" s="957"/>
      <c r="BS92" s="957"/>
      <c r="BT92" s="957"/>
      <c r="BU92" s="957"/>
      <c r="BV92" s="957"/>
      <c r="BW92" s="957"/>
      <c r="BX92" s="957"/>
      <c r="BY92" s="957"/>
      <c r="BZ92" s="957"/>
      <c r="CA92" s="957"/>
      <c r="CB92" s="957"/>
      <c r="CC92" s="957"/>
      <c r="CD92" s="957"/>
      <c r="CE92" s="957"/>
      <c r="CF92" s="957"/>
      <c r="CG92" s="957"/>
      <c r="CH92" s="957"/>
      <c r="CI92" s="957"/>
      <c r="CJ92" s="957"/>
      <c r="CK92" s="957"/>
      <c r="CL92" s="957"/>
      <c r="CM92" s="382"/>
      <c r="CN92" s="375"/>
      <c r="CO92" s="375"/>
      <c r="CP92" s="375"/>
    </row>
    <row r="93" spans="3:94">
      <c r="C93" s="22"/>
      <c r="D93" s="22"/>
      <c r="E93" s="22"/>
      <c r="G93" s="957"/>
      <c r="H93" s="957"/>
      <c r="I93" s="957"/>
      <c r="J93" s="957"/>
      <c r="K93" s="957"/>
      <c r="L93" s="957"/>
      <c r="M93" s="957"/>
      <c r="N93" s="957"/>
      <c r="O93" s="957"/>
      <c r="P93" s="957"/>
      <c r="Q93" s="957"/>
      <c r="R93" s="957"/>
      <c r="S93" s="957"/>
      <c r="T93" s="957"/>
      <c r="U93" s="957"/>
      <c r="V93" s="957"/>
      <c r="W93" s="957"/>
      <c r="X93" s="957"/>
      <c r="Y93" s="957"/>
      <c r="Z93" s="957"/>
      <c r="AA93" s="957"/>
      <c r="AB93" s="957"/>
      <c r="AC93" s="957"/>
      <c r="AD93" s="957"/>
      <c r="AE93" s="957"/>
      <c r="AF93" s="957"/>
      <c r="AG93" s="957"/>
      <c r="AH93" s="957"/>
      <c r="AI93" s="957"/>
      <c r="AJ93" s="957"/>
      <c r="AK93" s="957"/>
      <c r="AL93" s="957"/>
      <c r="AM93" s="957"/>
      <c r="AN93" s="957"/>
      <c r="AO93" s="957"/>
      <c r="AP93" s="957"/>
      <c r="AQ93" s="957"/>
      <c r="AR93" s="957"/>
      <c r="AS93" s="957"/>
      <c r="AT93" s="957"/>
      <c r="AU93" s="957"/>
      <c r="AV93" s="957"/>
      <c r="AW93" s="957"/>
      <c r="AX93" s="957"/>
      <c r="AY93" s="957"/>
      <c r="AZ93" s="957"/>
      <c r="BA93" s="957"/>
      <c r="BB93" s="957"/>
      <c r="BC93" s="957"/>
      <c r="BD93" s="957"/>
      <c r="BE93" s="957"/>
      <c r="BF93" s="957"/>
      <c r="BG93" s="957"/>
      <c r="BH93" s="957"/>
      <c r="BI93" s="957"/>
      <c r="BJ93" s="957"/>
      <c r="BK93" s="957"/>
      <c r="BL93" s="957"/>
      <c r="BM93" s="957"/>
      <c r="BN93" s="957"/>
      <c r="BO93" s="957"/>
      <c r="BP93" s="957"/>
      <c r="BQ93" s="957"/>
      <c r="BR93" s="957"/>
      <c r="BS93" s="957"/>
      <c r="BT93" s="957"/>
      <c r="BU93" s="957"/>
      <c r="BV93" s="957"/>
      <c r="BW93" s="957"/>
      <c r="BX93" s="957"/>
      <c r="BY93" s="957"/>
      <c r="BZ93" s="957"/>
      <c r="CA93" s="957"/>
      <c r="CB93" s="957"/>
      <c r="CC93" s="957"/>
      <c r="CD93" s="957"/>
      <c r="CE93" s="957"/>
      <c r="CF93" s="957"/>
      <c r="CG93" s="957"/>
      <c r="CH93" s="957"/>
      <c r="CI93" s="957"/>
      <c r="CJ93" s="957"/>
      <c r="CK93" s="957"/>
      <c r="CL93" s="957"/>
      <c r="CM93" s="382"/>
      <c r="CN93" s="375"/>
      <c r="CO93" s="375"/>
      <c r="CP93" s="375"/>
    </row>
    <row r="94" spans="3:94">
      <c r="C94" s="22"/>
      <c r="D94" s="22"/>
      <c r="E94" s="22"/>
      <c r="G94" s="957"/>
      <c r="H94" s="957"/>
      <c r="I94" s="957"/>
      <c r="J94" s="957"/>
      <c r="K94" s="957"/>
      <c r="L94" s="957"/>
      <c r="M94" s="957"/>
      <c r="N94" s="957"/>
      <c r="O94" s="957"/>
      <c r="P94" s="957"/>
      <c r="Q94" s="957"/>
      <c r="R94" s="957"/>
      <c r="S94" s="957"/>
      <c r="T94" s="957"/>
      <c r="U94" s="957"/>
      <c r="V94" s="957"/>
      <c r="W94" s="957"/>
      <c r="X94" s="957"/>
      <c r="Y94" s="957"/>
      <c r="Z94" s="957"/>
      <c r="AA94" s="957"/>
      <c r="AB94" s="957"/>
      <c r="AC94" s="957"/>
      <c r="AD94" s="957"/>
      <c r="AE94" s="957"/>
      <c r="AF94" s="957"/>
      <c r="AG94" s="957"/>
      <c r="AH94" s="957"/>
      <c r="AI94" s="957"/>
      <c r="AJ94" s="957"/>
      <c r="AK94" s="957"/>
      <c r="AL94" s="957"/>
      <c r="AM94" s="957"/>
      <c r="AN94" s="957"/>
      <c r="AO94" s="957"/>
      <c r="AP94" s="957"/>
      <c r="AQ94" s="957"/>
      <c r="AR94" s="957"/>
      <c r="AS94" s="957"/>
      <c r="AT94" s="957"/>
      <c r="AU94" s="957"/>
      <c r="AV94" s="957"/>
      <c r="AW94" s="957"/>
      <c r="AX94" s="957"/>
      <c r="AY94" s="957"/>
      <c r="AZ94" s="957"/>
      <c r="BA94" s="957"/>
      <c r="BB94" s="957"/>
      <c r="BC94" s="957"/>
      <c r="BD94" s="957"/>
      <c r="BE94" s="957"/>
      <c r="BF94" s="957"/>
      <c r="BG94" s="957"/>
      <c r="BH94" s="957"/>
      <c r="BI94" s="957"/>
      <c r="BJ94" s="957"/>
      <c r="BK94" s="957"/>
      <c r="BL94" s="957"/>
      <c r="BM94" s="957"/>
      <c r="BN94" s="957"/>
      <c r="BO94" s="957"/>
      <c r="BP94" s="957"/>
      <c r="BQ94" s="957"/>
      <c r="BR94" s="957"/>
      <c r="BS94" s="957"/>
      <c r="BT94" s="957"/>
      <c r="BU94" s="957"/>
      <c r="BV94" s="957"/>
      <c r="BW94" s="957"/>
      <c r="BX94" s="957"/>
      <c r="BY94" s="957"/>
      <c r="BZ94" s="957"/>
      <c r="CA94" s="957"/>
      <c r="CB94" s="957"/>
      <c r="CC94" s="957"/>
      <c r="CD94" s="957"/>
      <c r="CE94" s="957"/>
      <c r="CF94" s="957"/>
      <c r="CG94" s="957"/>
      <c r="CH94" s="957"/>
      <c r="CI94" s="957"/>
      <c r="CJ94" s="957"/>
      <c r="CK94" s="957"/>
      <c r="CL94" s="957"/>
      <c r="CM94" s="382"/>
      <c r="CN94" s="375"/>
      <c r="CO94" s="375"/>
      <c r="CP94" s="375"/>
    </row>
    <row r="95" spans="3:94">
      <c r="C95" s="22"/>
      <c r="D95" s="22"/>
      <c r="E95" s="22"/>
      <c r="G95" s="957"/>
      <c r="H95" s="957"/>
      <c r="I95" s="957"/>
      <c r="J95" s="957"/>
      <c r="K95" s="957"/>
      <c r="L95" s="957"/>
      <c r="M95" s="957"/>
      <c r="N95" s="957"/>
      <c r="O95" s="957"/>
      <c r="P95" s="957"/>
      <c r="Q95" s="957"/>
      <c r="R95" s="957"/>
      <c r="S95" s="957"/>
      <c r="T95" s="957"/>
      <c r="U95" s="957"/>
      <c r="V95" s="957"/>
      <c r="W95" s="957"/>
      <c r="X95" s="957"/>
      <c r="Y95" s="957"/>
      <c r="Z95" s="957"/>
      <c r="AA95" s="957"/>
      <c r="AB95" s="957"/>
      <c r="AC95" s="957"/>
      <c r="AD95" s="957"/>
      <c r="AE95" s="957"/>
      <c r="AF95" s="957"/>
      <c r="AG95" s="957"/>
      <c r="AH95" s="957"/>
      <c r="AI95" s="957"/>
      <c r="AJ95" s="957"/>
      <c r="AK95" s="957"/>
      <c r="AL95" s="957"/>
      <c r="AM95" s="957"/>
      <c r="AN95" s="957"/>
      <c r="AO95" s="957"/>
      <c r="AP95" s="957"/>
      <c r="AQ95" s="957"/>
      <c r="AR95" s="957"/>
      <c r="AS95" s="957"/>
      <c r="AT95" s="957"/>
      <c r="AU95" s="957"/>
      <c r="AV95" s="957"/>
      <c r="AW95" s="957"/>
      <c r="AX95" s="957"/>
      <c r="AY95" s="957"/>
      <c r="AZ95" s="957"/>
      <c r="BA95" s="957"/>
      <c r="BB95" s="957"/>
      <c r="BC95" s="957"/>
      <c r="BD95" s="957"/>
      <c r="BE95" s="957"/>
      <c r="BF95" s="957"/>
      <c r="BG95" s="957"/>
      <c r="BH95" s="957"/>
      <c r="BI95" s="957"/>
      <c r="BJ95" s="957"/>
      <c r="BK95" s="957"/>
      <c r="BL95" s="957"/>
      <c r="BM95" s="957"/>
      <c r="BN95" s="957"/>
      <c r="BO95" s="957"/>
      <c r="BP95" s="957"/>
      <c r="BQ95" s="957"/>
      <c r="BR95" s="957"/>
      <c r="BS95" s="957"/>
      <c r="BT95" s="957"/>
      <c r="BU95" s="957"/>
      <c r="BV95" s="957"/>
      <c r="BW95" s="957"/>
      <c r="BX95" s="957"/>
      <c r="BY95" s="957"/>
      <c r="BZ95" s="957"/>
      <c r="CA95" s="957"/>
      <c r="CB95" s="957"/>
      <c r="CC95" s="957"/>
      <c r="CD95" s="957"/>
      <c r="CE95" s="957"/>
      <c r="CF95" s="957"/>
      <c r="CG95" s="957"/>
      <c r="CH95" s="957"/>
      <c r="CI95" s="957"/>
      <c r="CJ95" s="957"/>
      <c r="CK95" s="957"/>
      <c r="CL95" s="957"/>
      <c r="CM95" s="382"/>
      <c r="CN95" s="375"/>
      <c r="CO95" s="375"/>
      <c r="CP95" s="375"/>
    </row>
    <row r="96" spans="3:94">
      <c r="C96" s="22"/>
      <c r="D96" s="22"/>
      <c r="E96" s="22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5"/>
      <c r="BP96" s="175"/>
      <c r="BQ96" s="175"/>
      <c r="BR96" s="175"/>
      <c r="BS96" s="175"/>
      <c r="BT96" s="175"/>
      <c r="BU96" s="175"/>
      <c r="BV96" s="175"/>
      <c r="BW96" s="175"/>
      <c r="BX96" s="175"/>
      <c r="BY96" s="175"/>
      <c r="BZ96" s="175"/>
      <c r="CA96" s="175"/>
      <c r="CB96" s="175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</row>
    <row r="97" spans="3:90">
      <c r="C97" s="22"/>
      <c r="D97" s="22"/>
      <c r="E97" s="22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T97" s="175"/>
      <c r="BU97" s="175"/>
      <c r="BV97" s="175"/>
      <c r="BW97" s="175"/>
      <c r="BX97" s="175"/>
      <c r="BY97" s="175"/>
      <c r="BZ97" s="175"/>
      <c r="CA97" s="175"/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</row>
  </sheetData>
  <phoneticPr fontId="0" type="noConversion"/>
  <conditionalFormatting sqref="A48 D48">
    <cfRule type="expression" dxfId="26" priority="3">
      <formula>$CM48="N"</formula>
    </cfRule>
  </conditionalFormatting>
  <pageMargins left="0.1" right="0.1" top="0.5" bottom="0.5" header="0.5" footer="0.5"/>
  <pageSetup paperSize="5" scale="67" orientation="landscape" blackAndWhite="1" r:id="rId1"/>
  <headerFooter alignWithMargins="0">
    <oddFooter>&amp;L&amp;Z&amp;F
&amp;D</oddFooter>
  </headerFooter>
  <customProperties>
    <customPr name="FPMExcelClientCellBasedFunctionStatus" r:id="rId2"/>
  </customProperties>
  <ignoredErrors>
    <ignoredError sqref="C9:C10 C7 C8 C20:C24 C11 C12 C13 C14 C15 C16 C17 C18 C19 C32:C34 C25 C26 C27 C28 C29 C31 C42:C43 C35 C36 C37 C38 C40 D33 D10 D34 D23:D24 F10 C41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DA155"/>
  <sheetViews>
    <sheetView tabSelected="1" zoomScaleNormal="100" workbookViewId="0">
      <pane xSplit="73" ySplit="6" topLeftCell="BW80" activePane="bottomRight" state="frozen"/>
      <selection pane="topRight" activeCell="BV1" sqref="BV1"/>
      <selection pane="bottomLeft" activeCell="A7" sqref="A7"/>
      <selection pane="bottomRight" activeCell="BX97" sqref="BX97:CH98"/>
    </sheetView>
  </sheetViews>
  <sheetFormatPr defaultRowHeight="12.75" outlineLevelCol="1"/>
  <cols>
    <col min="1" max="1" width="35.140625" customWidth="1"/>
    <col min="2" max="2" width="12.85546875" bestFit="1" customWidth="1"/>
    <col min="3" max="56" width="11.28515625" style="33" hidden="1" customWidth="1"/>
    <col min="57" max="62" width="11.28515625" style="449" hidden="1" customWidth="1"/>
    <col min="63" max="73" width="11.28515625" style="449" hidden="1" customWidth="1" outlineLevel="1"/>
    <col min="74" max="74" width="21.5703125" style="449" bestFit="1" customWidth="1" collapsed="1"/>
    <col min="75" max="86" width="15.42578125" style="449" customWidth="1"/>
    <col min="87" max="87" width="14.7109375" bestFit="1" customWidth="1"/>
    <col min="88" max="88" width="16.5703125" style="33" bestFit="1" customWidth="1"/>
    <col min="89" max="89" width="16.5703125" bestFit="1" customWidth="1"/>
    <col min="90" max="90" width="11.28515625" bestFit="1" customWidth="1"/>
    <col min="91" max="99" width="10.28515625" bestFit="1" customWidth="1"/>
    <col min="100" max="102" width="18.28515625" customWidth="1"/>
  </cols>
  <sheetData>
    <row r="1" spans="1:104" ht="15.75">
      <c r="A1" s="261">
        <v>12</v>
      </c>
      <c r="B1" s="29" t="s">
        <v>400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774"/>
      <c r="BF1" s="774"/>
      <c r="BG1" s="774"/>
      <c r="BH1" s="774"/>
      <c r="BI1" s="774"/>
      <c r="BJ1" s="774"/>
      <c r="BK1" s="774"/>
      <c r="BL1" s="774"/>
      <c r="BM1" s="774"/>
      <c r="BN1" s="774"/>
      <c r="BO1" s="774"/>
      <c r="BP1" s="774"/>
      <c r="BQ1" s="774"/>
      <c r="BR1" s="774"/>
      <c r="BS1" s="774"/>
      <c r="BT1" s="774"/>
      <c r="BU1" s="774"/>
      <c r="BV1" s="774"/>
      <c r="BW1" s="774"/>
      <c r="BX1" s="774"/>
      <c r="BY1" s="774"/>
      <c r="BZ1" s="774"/>
      <c r="CA1" s="774"/>
      <c r="CB1" s="774"/>
      <c r="CC1" s="774"/>
      <c r="CD1" s="774"/>
      <c r="CE1" s="774"/>
      <c r="CF1" s="774"/>
      <c r="CG1" s="774"/>
      <c r="CH1" s="774"/>
      <c r="CI1" s="14"/>
    </row>
    <row r="2" spans="1:104" ht="15.75">
      <c r="A2" s="30"/>
      <c r="B2" s="30" t="s">
        <v>461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774"/>
      <c r="BF2" s="774"/>
      <c r="BG2" s="774"/>
      <c r="BH2" s="774"/>
      <c r="BI2" s="774"/>
      <c r="BJ2" s="774"/>
      <c r="BK2" s="774"/>
      <c r="BL2" s="774"/>
      <c r="BM2" s="774"/>
      <c r="BN2" s="774"/>
      <c r="BO2" s="774"/>
      <c r="BP2" s="774"/>
      <c r="BQ2" s="774"/>
      <c r="BR2" s="774"/>
      <c r="BS2" s="774"/>
      <c r="BT2" s="774"/>
      <c r="BU2" s="774"/>
      <c r="BV2" s="774"/>
      <c r="BW2" s="774"/>
      <c r="BX2" s="774"/>
      <c r="BY2" s="774"/>
      <c r="BZ2" s="774"/>
      <c r="CA2" s="774"/>
      <c r="CB2" s="774"/>
      <c r="CC2" s="774"/>
      <c r="CD2" s="774"/>
      <c r="CE2" s="774"/>
      <c r="CF2" s="774"/>
      <c r="CG2" s="774"/>
      <c r="CH2" s="774"/>
      <c r="CI2" s="14"/>
    </row>
    <row r="3" spans="1:104" ht="15.75">
      <c r="A3" s="296">
        <f ca="1">+Report!N26</f>
        <v>7.8269000000000002</v>
      </c>
      <c r="B3" s="29" t="s">
        <v>402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774"/>
      <c r="BF3" s="774"/>
      <c r="BG3" s="774"/>
      <c r="BH3" s="774"/>
      <c r="BI3" s="774"/>
      <c r="BJ3" s="774"/>
      <c r="BK3" s="774"/>
      <c r="BL3" s="774"/>
      <c r="BM3" s="774"/>
      <c r="BN3" s="774"/>
      <c r="BO3" s="774"/>
      <c r="BP3" s="774"/>
      <c r="BQ3" s="774"/>
      <c r="BR3" s="774"/>
      <c r="BS3" s="774"/>
      <c r="BT3" s="774"/>
      <c r="BU3" s="774"/>
      <c r="BV3" s="774"/>
      <c r="BW3" s="774"/>
      <c r="BX3" s="774"/>
      <c r="BY3" s="774"/>
      <c r="BZ3" s="774"/>
      <c r="CA3" s="774"/>
      <c r="CB3" s="774"/>
      <c r="CC3" s="774"/>
      <c r="CD3" s="774"/>
      <c r="CE3" s="774"/>
      <c r="CF3" s="774"/>
      <c r="CG3" s="774"/>
      <c r="CH3" s="774"/>
      <c r="CI3" s="14"/>
    </row>
    <row r="4" spans="1:104" ht="15.75">
      <c r="A4" s="23" t="s">
        <v>462</v>
      </c>
      <c r="B4" s="29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774"/>
      <c r="BF4" s="774"/>
      <c r="BG4" s="774"/>
      <c r="BH4" s="774"/>
      <c r="BI4" s="774"/>
      <c r="BJ4" s="774"/>
      <c r="BK4" s="774"/>
      <c r="BL4" s="774"/>
      <c r="BM4" s="774"/>
      <c r="BN4" s="774"/>
      <c r="BO4" s="774"/>
      <c r="BP4" s="774"/>
      <c r="BQ4" s="774"/>
      <c r="BR4" s="774"/>
      <c r="BS4" s="774"/>
      <c r="BT4" s="774"/>
      <c r="BU4" s="774"/>
      <c r="BV4" s="774"/>
      <c r="BW4" s="774"/>
      <c r="BX4" s="774"/>
      <c r="BY4" s="774"/>
      <c r="BZ4" s="774"/>
      <c r="CA4" s="774"/>
      <c r="CB4" s="774"/>
      <c r="CC4" s="774"/>
      <c r="CD4" s="774"/>
      <c r="CE4" s="774"/>
      <c r="CF4" s="774"/>
      <c r="CG4" s="774"/>
      <c r="CH4" s="774"/>
      <c r="CI4" s="738" t="str">
        <f>+Input!A4</f>
        <v>December 2023</v>
      </c>
    </row>
    <row r="5" spans="1:104" ht="15">
      <c r="A5" s="375"/>
      <c r="B5" s="736" t="s">
        <v>204</v>
      </c>
      <c r="C5" s="314" t="s">
        <v>2</v>
      </c>
      <c r="D5" s="314" t="s">
        <v>2</v>
      </c>
      <c r="E5" s="314" t="s">
        <v>2</v>
      </c>
      <c r="F5" s="314" t="s">
        <v>2</v>
      </c>
      <c r="G5" s="314" t="s">
        <v>2</v>
      </c>
      <c r="H5" s="314" t="s">
        <v>2</v>
      </c>
      <c r="I5" s="314" t="s">
        <v>2</v>
      </c>
      <c r="J5" s="314" t="s">
        <v>2</v>
      </c>
      <c r="K5" s="314" t="s">
        <v>2</v>
      </c>
      <c r="L5" s="314" t="s">
        <v>2</v>
      </c>
      <c r="M5" s="314" t="s">
        <v>2</v>
      </c>
      <c r="N5" s="314" t="s">
        <v>2</v>
      </c>
      <c r="O5" s="314" t="s">
        <v>2</v>
      </c>
      <c r="P5" s="314" t="s">
        <v>2</v>
      </c>
      <c r="Q5" s="314" t="s">
        <v>2</v>
      </c>
      <c r="R5" s="314" t="s">
        <v>2</v>
      </c>
      <c r="S5" s="314" t="s">
        <v>2</v>
      </c>
      <c r="T5" s="314" t="s">
        <v>2</v>
      </c>
      <c r="U5" s="314" t="s">
        <v>2</v>
      </c>
      <c r="V5" s="314" t="s">
        <v>2</v>
      </c>
      <c r="W5" s="314" t="s">
        <v>2</v>
      </c>
      <c r="X5" s="314" t="s">
        <v>2</v>
      </c>
      <c r="Y5" s="314" t="s">
        <v>2</v>
      </c>
      <c r="Z5" s="314" t="s">
        <v>2</v>
      </c>
      <c r="AA5" s="314" t="s">
        <v>2</v>
      </c>
      <c r="AB5" s="314" t="s">
        <v>2</v>
      </c>
      <c r="AC5" s="314" t="s">
        <v>2</v>
      </c>
      <c r="AD5" s="314" t="s">
        <v>2</v>
      </c>
      <c r="AE5" s="314" t="s">
        <v>2</v>
      </c>
      <c r="AF5" s="314" t="s">
        <v>2</v>
      </c>
      <c r="AG5" s="314" t="s">
        <v>2</v>
      </c>
      <c r="AH5" s="314" t="s">
        <v>2</v>
      </c>
      <c r="AI5" s="314" t="s">
        <v>2</v>
      </c>
      <c r="AJ5" s="314" t="s">
        <v>2</v>
      </c>
      <c r="AK5" s="314" t="s">
        <v>2</v>
      </c>
      <c r="AL5" s="314" t="s">
        <v>2</v>
      </c>
      <c r="AM5" s="314" t="s">
        <v>2</v>
      </c>
      <c r="AN5" s="314" t="s">
        <v>2</v>
      </c>
      <c r="AO5" s="314" t="s">
        <v>2</v>
      </c>
      <c r="AP5" s="314" t="s">
        <v>2</v>
      </c>
      <c r="AQ5" s="314" t="s">
        <v>2</v>
      </c>
      <c r="AR5" s="314" t="s">
        <v>2</v>
      </c>
      <c r="AS5" s="314" t="s">
        <v>2</v>
      </c>
      <c r="AT5" s="314" t="s">
        <v>2</v>
      </c>
      <c r="AU5" s="314" t="s">
        <v>2</v>
      </c>
      <c r="AV5" s="314" t="s">
        <v>2</v>
      </c>
      <c r="AW5" s="314" t="s">
        <v>2</v>
      </c>
      <c r="AX5" s="741" t="s">
        <v>2</v>
      </c>
      <c r="AY5" s="741" t="s">
        <v>2</v>
      </c>
      <c r="AZ5" s="741" t="s">
        <v>2</v>
      </c>
      <c r="BA5" s="741" t="s">
        <v>2</v>
      </c>
      <c r="BB5" s="741" t="s">
        <v>2</v>
      </c>
      <c r="BC5" s="741" t="s">
        <v>2</v>
      </c>
      <c r="BD5" s="741" t="s">
        <v>2</v>
      </c>
      <c r="BE5" s="775" t="s">
        <v>2</v>
      </c>
      <c r="BF5" s="775" t="s">
        <v>2</v>
      </c>
      <c r="BG5" s="775" t="s">
        <v>2</v>
      </c>
      <c r="BH5" s="775" t="s">
        <v>2</v>
      </c>
      <c r="BI5" s="775" t="s">
        <v>2</v>
      </c>
      <c r="BJ5" s="775" t="s">
        <v>2</v>
      </c>
      <c r="BK5" s="775" t="s">
        <v>2</v>
      </c>
      <c r="BL5" s="775" t="s">
        <v>2</v>
      </c>
      <c r="BM5" s="775" t="s">
        <v>2</v>
      </c>
      <c r="BN5" s="775" t="str">
        <f t="shared" ref="BN5:BV5" si="0">+BM5</f>
        <v>Actual</v>
      </c>
      <c r="BO5" s="775" t="str">
        <f t="shared" si="0"/>
        <v>Actual</v>
      </c>
      <c r="BP5" s="775" t="str">
        <f t="shared" si="0"/>
        <v>Actual</v>
      </c>
      <c r="BQ5" s="775" t="str">
        <f t="shared" si="0"/>
        <v>Actual</v>
      </c>
      <c r="BR5" s="775" t="str">
        <f t="shared" si="0"/>
        <v>Actual</v>
      </c>
      <c r="BS5" s="775" t="s">
        <v>2</v>
      </c>
      <c r="BT5" s="775" t="str">
        <f t="shared" si="0"/>
        <v>Actual</v>
      </c>
      <c r="BU5" s="775" t="str">
        <f t="shared" si="0"/>
        <v>Actual</v>
      </c>
      <c r="BV5" s="775" t="str">
        <f t="shared" si="0"/>
        <v>Actual</v>
      </c>
      <c r="BW5" s="775" t="s">
        <v>3</v>
      </c>
      <c r="BX5" s="775" t="s">
        <v>3</v>
      </c>
      <c r="BY5" s="775" t="s">
        <v>3</v>
      </c>
      <c r="BZ5" s="775" t="s">
        <v>3</v>
      </c>
      <c r="CA5" s="775" t="s">
        <v>3</v>
      </c>
      <c r="CB5" s="775" t="s">
        <v>3</v>
      </c>
      <c r="CC5" s="775" t="s">
        <v>3</v>
      </c>
      <c r="CD5" s="775" t="s">
        <v>3</v>
      </c>
      <c r="CE5" s="775" t="s">
        <v>3</v>
      </c>
      <c r="CF5" s="775" t="s">
        <v>3</v>
      </c>
      <c r="CG5" s="775" t="s">
        <v>3</v>
      </c>
      <c r="CH5" s="775" t="s">
        <v>3</v>
      </c>
      <c r="CI5" s="739" t="s">
        <v>463</v>
      </c>
    </row>
    <row r="6" spans="1:104" ht="15.75" thickBot="1">
      <c r="A6" s="375"/>
      <c r="B6" s="737" t="s">
        <v>222</v>
      </c>
      <c r="C6" s="421">
        <v>42736</v>
      </c>
      <c r="D6" s="421">
        <f t="shared" ref="D6:Z6" si="1">+C6+31</f>
        <v>42767</v>
      </c>
      <c r="E6" s="421">
        <f t="shared" si="1"/>
        <v>42798</v>
      </c>
      <c r="F6" s="421">
        <f t="shared" si="1"/>
        <v>42829</v>
      </c>
      <c r="G6" s="421">
        <f t="shared" si="1"/>
        <v>42860</v>
      </c>
      <c r="H6" s="421">
        <f t="shared" si="1"/>
        <v>42891</v>
      </c>
      <c r="I6" s="421">
        <f t="shared" si="1"/>
        <v>42922</v>
      </c>
      <c r="J6" s="421">
        <f t="shared" si="1"/>
        <v>42953</v>
      </c>
      <c r="K6" s="421">
        <f t="shared" si="1"/>
        <v>42984</v>
      </c>
      <c r="L6" s="421">
        <f t="shared" si="1"/>
        <v>43015</v>
      </c>
      <c r="M6" s="421">
        <f t="shared" si="1"/>
        <v>43046</v>
      </c>
      <c r="N6" s="421">
        <f t="shared" si="1"/>
        <v>43077</v>
      </c>
      <c r="O6" s="421">
        <f t="shared" si="1"/>
        <v>43108</v>
      </c>
      <c r="P6" s="421">
        <f t="shared" si="1"/>
        <v>43139</v>
      </c>
      <c r="Q6" s="421">
        <f t="shared" si="1"/>
        <v>43170</v>
      </c>
      <c r="R6" s="421">
        <f t="shared" si="1"/>
        <v>43201</v>
      </c>
      <c r="S6" s="421">
        <f t="shared" si="1"/>
        <v>43232</v>
      </c>
      <c r="T6" s="421">
        <f t="shared" si="1"/>
        <v>43263</v>
      </c>
      <c r="U6" s="421">
        <f t="shared" si="1"/>
        <v>43294</v>
      </c>
      <c r="V6" s="421">
        <f t="shared" si="1"/>
        <v>43325</v>
      </c>
      <c r="W6" s="421">
        <f t="shared" si="1"/>
        <v>43356</v>
      </c>
      <c r="X6" s="421">
        <f t="shared" si="1"/>
        <v>43387</v>
      </c>
      <c r="Y6" s="421">
        <f t="shared" si="1"/>
        <v>43418</v>
      </c>
      <c r="Z6" s="421">
        <f t="shared" si="1"/>
        <v>43449</v>
      </c>
      <c r="AA6" s="421">
        <f t="shared" ref="AA6" si="2">+Z6+31</f>
        <v>43480</v>
      </c>
      <c r="AB6" s="421">
        <f t="shared" ref="AB6" si="3">+AA6+31</f>
        <v>43511</v>
      </c>
      <c r="AC6" s="421">
        <f t="shared" ref="AC6" si="4">+AB6+31</f>
        <v>43542</v>
      </c>
      <c r="AD6" s="421">
        <f t="shared" ref="AD6" si="5">+AC6+31</f>
        <v>43573</v>
      </c>
      <c r="AE6" s="421">
        <f t="shared" ref="AE6" si="6">+AD6+31</f>
        <v>43604</v>
      </c>
      <c r="AF6" s="421">
        <f t="shared" ref="AF6" si="7">+AE6+31</f>
        <v>43635</v>
      </c>
      <c r="AG6" s="421">
        <f t="shared" ref="AG6" si="8">+AF6+31</f>
        <v>43666</v>
      </c>
      <c r="AH6" s="421">
        <f t="shared" ref="AH6" si="9">+AG6+31</f>
        <v>43697</v>
      </c>
      <c r="AI6" s="421">
        <f t="shared" ref="AI6" si="10">+AH6+31</f>
        <v>43728</v>
      </c>
      <c r="AJ6" s="421">
        <f t="shared" ref="AJ6" si="11">+AI6+31</f>
        <v>43759</v>
      </c>
      <c r="AK6" s="421">
        <f t="shared" ref="AK6" si="12">+AJ6+31</f>
        <v>43790</v>
      </c>
      <c r="AL6" s="421">
        <f t="shared" ref="AL6" si="13">+AK6+31</f>
        <v>43821</v>
      </c>
      <c r="AM6" s="421">
        <f t="shared" ref="AM6" si="14">+AL6+31</f>
        <v>43852</v>
      </c>
      <c r="AN6" s="421">
        <f t="shared" ref="AN6" si="15">+AM6+31</f>
        <v>43883</v>
      </c>
      <c r="AO6" s="421">
        <f t="shared" ref="AO6" si="16">+AN6+31</f>
        <v>43914</v>
      </c>
      <c r="AP6" s="421">
        <f t="shared" ref="AP6" si="17">+AO6+31</f>
        <v>43945</v>
      </c>
      <c r="AQ6" s="421">
        <f t="shared" ref="AQ6" si="18">+AP6+31</f>
        <v>43976</v>
      </c>
      <c r="AR6" s="421">
        <f t="shared" ref="AR6" si="19">+AQ6+31</f>
        <v>44007</v>
      </c>
      <c r="AS6" s="421">
        <f t="shared" ref="AS6" si="20">+AR6+31</f>
        <v>44038</v>
      </c>
      <c r="AT6" s="421">
        <f t="shared" ref="AT6" si="21">+AS6+31</f>
        <v>44069</v>
      </c>
      <c r="AU6" s="421">
        <f t="shared" ref="AU6" si="22">+AT6+31</f>
        <v>44100</v>
      </c>
      <c r="AV6" s="421">
        <f t="shared" ref="AV6" si="23">+AU6+31</f>
        <v>44131</v>
      </c>
      <c r="AW6" s="421">
        <f t="shared" ref="AW6" si="24">+AV6+31</f>
        <v>44162</v>
      </c>
      <c r="AX6" s="729">
        <f t="shared" ref="AX6" si="25">+AW6+31</f>
        <v>44193</v>
      </c>
      <c r="AY6" s="729">
        <f t="shared" ref="AY6:AZ6" si="26">+AX6+31</f>
        <v>44224</v>
      </c>
      <c r="AZ6" s="729">
        <f t="shared" si="26"/>
        <v>44255</v>
      </c>
      <c r="BA6" s="729">
        <f>+AZ6+30</f>
        <v>44285</v>
      </c>
      <c r="BB6" s="729">
        <f t="shared" ref="BB6" si="27">+BA6+31</f>
        <v>44316</v>
      </c>
      <c r="BC6" s="729">
        <f t="shared" ref="BC6" si="28">+BB6+31</f>
        <v>44347</v>
      </c>
      <c r="BD6" s="729">
        <f>+BC6+30</f>
        <v>44377</v>
      </c>
      <c r="BE6" s="776">
        <f t="shared" ref="BE6" si="29">+BD6+31</f>
        <v>44408</v>
      </c>
      <c r="BF6" s="776">
        <f t="shared" ref="BF6" si="30">+BE6+31</f>
        <v>44439</v>
      </c>
      <c r="BG6" s="776">
        <f>+BF6+30</f>
        <v>44469</v>
      </c>
      <c r="BH6" s="776">
        <f t="shared" ref="BH6" si="31">+BG6+31</f>
        <v>44500</v>
      </c>
      <c r="BI6" s="776">
        <f>+BH6+30</f>
        <v>44530</v>
      </c>
      <c r="BJ6" s="776">
        <f t="shared" ref="BJ6" si="32">+BI6+31</f>
        <v>44561</v>
      </c>
      <c r="BK6" s="776">
        <v>44592</v>
      </c>
      <c r="BL6" s="776">
        <v>44620</v>
      </c>
      <c r="BM6" s="776">
        <v>44651</v>
      </c>
      <c r="BN6" s="776">
        <v>44681</v>
      </c>
      <c r="BO6" s="776">
        <v>44712</v>
      </c>
      <c r="BP6" s="776">
        <v>44742</v>
      </c>
      <c r="BQ6" s="776">
        <v>44773</v>
      </c>
      <c r="BR6" s="776">
        <v>44804</v>
      </c>
      <c r="BS6" s="776">
        <v>44834</v>
      </c>
      <c r="BT6" s="776">
        <v>44865</v>
      </c>
      <c r="BU6" s="776">
        <v>44895</v>
      </c>
      <c r="BV6" s="776">
        <v>44926</v>
      </c>
      <c r="BW6" s="776">
        <v>44957</v>
      </c>
      <c r="BX6" s="776">
        <v>44985</v>
      </c>
      <c r="BY6" s="776">
        <v>45016</v>
      </c>
      <c r="BZ6" s="776">
        <v>45046</v>
      </c>
      <c r="CA6" s="776">
        <v>45077</v>
      </c>
      <c r="CB6" s="776">
        <v>45107</v>
      </c>
      <c r="CC6" s="776">
        <v>45138</v>
      </c>
      <c r="CD6" s="776">
        <v>45169</v>
      </c>
      <c r="CE6" s="776">
        <v>45199</v>
      </c>
      <c r="CF6" s="776">
        <v>45230</v>
      </c>
      <c r="CG6" s="776">
        <v>45260</v>
      </c>
      <c r="CH6" s="776">
        <v>45291</v>
      </c>
      <c r="CI6" s="740" t="s">
        <v>464</v>
      </c>
    </row>
    <row r="7" spans="1:104">
      <c r="A7" s="28" t="s">
        <v>465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/>
      <c r="AO7" s="449"/>
      <c r="AP7" s="449"/>
      <c r="AQ7" s="449"/>
      <c r="AR7" s="449"/>
      <c r="AS7" s="449"/>
      <c r="AT7" s="449"/>
      <c r="AU7" s="449"/>
      <c r="AV7" s="449"/>
      <c r="AW7" s="449"/>
      <c r="AX7" s="449"/>
      <c r="CJ7" s="449"/>
    </row>
    <row r="8" spans="1:104" ht="15.75">
      <c r="A8" s="2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449"/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/>
      <c r="AO8" s="449"/>
      <c r="AP8" s="449"/>
      <c r="AQ8" s="449"/>
      <c r="AR8" s="449"/>
      <c r="AS8" s="449"/>
      <c r="AT8" s="449"/>
      <c r="AU8" s="449"/>
      <c r="AV8" s="449"/>
      <c r="AW8" s="449"/>
      <c r="AX8" s="449"/>
      <c r="CJ8" s="449"/>
    </row>
    <row r="9" spans="1:104">
      <c r="A9" s="13" t="s">
        <v>466</v>
      </c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449"/>
      <c r="AD9" s="449"/>
      <c r="AE9" s="449"/>
      <c r="AF9" s="449"/>
      <c r="AG9" s="449"/>
      <c r="AH9" s="449"/>
      <c r="AI9" s="449"/>
      <c r="AJ9" s="449"/>
      <c r="AK9" s="449"/>
      <c r="AL9" s="449"/>
      <c r="AM9" s="449"/>
      <c r="AN9" s="449"/>
      <c r="AO9" s="449"/>
      <c r="AP9" s="449"/>
      <c r="AQ9" s="449"/>
      <c r="AR9" s="449"/>
      <c r="AS9" s="449"/>
      <c r="AT9" s="449"/>
      <c r="AU9" s="449"/>
      <c r="AV9" s="449"/>
      <c r="AW9" s="449"/>
      <c r="AX9" s="449"/>
      <c r="AY9" s="449"/>
      <c r="AZ9" s="449"/>
      <c r="BA9" s="449"/>
      <c r="BB9" s="449"/>
      <c r="BC9" s="449"/>
      <c r="BD9" s="449"/>
      <c r="CI9" s="375"/>
      <c r="CJ9" s="449"/>
      <c r="CK9" s="421"/>
      <c r="CL9" s="421"/>
      <c r="CM9" s="421"/>
      <c r="CN9" s="421"/>
      <c r="CO9" s="421"/>
      <c r="CP9" s="421"/>
      <c r="CQ9" s="421"/>
      <c r="CR9" s="421"/>
      <c r="CS9" s="421"/>
      <c r="CT9" s="421"/>
      <c r="CU9" s="421"/>
      <c r="CV9" s="421"/>
      <c r="CW9" s="421"/>
      <c r="CX9" s="421"/>
      <c r="CY9" s="421"/>
      <c r="CZ9" s="421"/>
    </row>
    <row r="10" spans="1:104">
      <c r="A10" s="617" t="s">
        <v>467</v>
      </c>
      <c r="B10" s="260">
        <f ca="1">SUM(OFFSET(BK10:BW10,0,$A$1-1))/13</f>
        <v>2996394.015214615</v>
      </c>
      <c r="C10" s="347">
        <v>1516479.3960599999</v>
      </c>
      <c r="D10" s="347">
        <v>1522482.59812</v>
      </c>
      <c r="E10" s="347">
        <v>1532923.7282799999</v>
      </c>
      <c r="F10" s="347">
        <v>1538485.7622700001</v>
      </c>
      <c r="G10" s="347">
        <v>1544475.81485</v>
      </c>
      <c r="H10" s="347">
        <v>1550986.0935799999</v>
      </c>
      <c r="I10" s="347">
        <v>1558211.3684700001</v>
      </c>
      <c r="J10" s="347">
        <v>1568715.7838200002</v>
      </c>
      <c r="K10" s="347">
        <v>1583973.7129200001</v>
      </c>
      <c r="L10" s="347">
        <v>1594889.40692</v>
      </c>
      <c r="M10" s="347">
        <v>1602746.9758200003</v>
      </c>
      <c r="N10" s="347">
        <v>1613151.6469700001</v>
      </c>
      <c r="O10" s="410">
        <v>1626036.6806799998</v>
      </c>
      <c r="P10" s="410">
        <v>1633022.50082</v>
      </c>
      <c r="Q10" s="410">
        <v>1644964.51902</v>
      </c>
      <c r="R10" s="410">
        <v>1652084.33185</v>
      </c>
      <c r="S10" s="410">
        <v>1668298.5418</v>
      </c>
      <c r="T10" s="410">
        <v>1675825.4123499999</v>
      </c>
      <c r="U10" s="410">
        <v>1684329.0998600002</v>
      </c>
      <c r="V10" s="410">
        <v>1694202.0364999999</v>
      </c>
      <c r="W10" s="410">
        <v>1701086.99468</v>
      </c>
      <c r="X10" s="410">
        <v>1712322.8655000001</v>
      </c>
      <c r="Y10" s="410">
        <v>1738754.2584599999</v>
      </c>
      <c r="Z10" s="410">
        <v>1762065.90906</v>
      </c>
      <c r="AA10" s="410">
        <v>1774055.2858499999</v>
      </c>
      <c r="AB10" s="410">
        <v>1792772.51712</v>
      </c>
      <c r="AC10" s="410">
        <v>1809184.9008500001</v>
      </c>
      <c r="AD10" s="410">
        <v>1821273.9876299999</v>
      </c>
      <c r="AE10" s="410">
        <v>1834439.00239</v>
      </c>
      <c r="AF10" s="410">
        <v>1850083.69731</v>
      </c>
      <c r="AG10" s="410">
        <v>1862268.7733399998</v>
      </c>
      <c r="AH10" s="410">
        <v>1870726.0528199999</v>
      </c>
      <c r="AI10" s="410">
        <v>1889758.3285300001</v>
      </c>
      <c r="AJ10" s="410">
        <v>1900765.04259</v>
      </c>
      <c r="AK10" s="410">
        <v>1924455.1345200001</v>
      </c>
      <c r="AL10" s="410">
        <v>1940875.5429699998</v>
      </c>
      <c r="AM10" s="410">
        <v>1950239.5700700001</v>
      </c>
      <c r="AN10" s="410">
        <v>1964551.3654700001</v>
      </c>
      <c r="AO10" s="410">
        <v>1982872.32278</v>
      </c>
      <c r="AP10" s="410">
        <v>1996012.2223</v>
      </c>
      <c r="AQ10" s="410">
        <v>2008227.86421</v>
      </c>
      <c r="AR10" s="410">
        <v>2022803.4492200001</v>
      </c>
      <c r="AS10" s="410">
        <v>2033865.6456100002</v>
      </c>
      <c r="AT10" s="410">
        <v>2053556.69197</v>
      </c>
      <c r="AU10" s="410">
        <v>2069622.9344300001</v>
      </c>
      <c r="AV10" s="410">
        <v>2147906.9921900001</v>
      </c>
      <c r="AW10" s="410">
        <v>2168569.5812599999</v>
      </c>
      <c r="AX10" s="410">
        <v>2190266.0963099999</v>
      </c>
      <c r="AY10" s="410">
        <v>2210640.8616399998</v>
      </c>
      <c r="AZ10" s="410">
        <v>2218263.1992799998</v>
      </c>
      <c r="BA10" s="410">
        <v>2237535.2581700003</v>
      </c>
      <c r="BB10" s="410">
        <v>2312458.6691000001</v>
      </c>
      <c r="BC10" s="410">
        <v>2326859.5079699997</v>
      </c>
      <c r="BD10" s="410">
        <v>2339306.6069899998</v>
      </c>
      <c r="BE10" s="686">
        <v>2349282.6089499998</v>
      </c>
      <c r="BF10" s="686">
        <v>2360423.2762099998</v>
      </c>
      <c r="BG10" s="686">
        <v>2370466.1430699998</v>
      </c>
      <c r="BH10" s="686">
        <v>2381121.9106900003</v>
      </c>
      <c r="BI10" s="686">
        <v>2455392.2096199999</v>
      </c>
      <c r="BJ10" s="803">
        <v>2478715.9542</v>
      </c>
      <c r="BK10" s="803">
        <v>2490664.2849099999</v>
      </c>
      <c r="BL10" s="803">
        <v>2510368.1822299999</v>
      </c>
      <c r="BM10" s="803">
        <v>2520195.5334899998</v>
      </c>
      <c r="BN10" s="803">
        <v>2537843.1559300004</v>
      </c>
      <c r="BO10" s="803">
        <v>2558270.6101000002</v>
      </c>
      <c r="BP10" s="803">
        <v>2573891.0751799997</v>
      </c>
      <c r="BQ10" s="803">
        <v>2577548.3685099999</v>
      </c>
      <c r="BR10" s="803">
        <v>2593174.0702</v>
      </c>
      <c r="BS10" s="803">
        <v>2604597.7720699999</v>
      </c>
      <c r="BT10" s="803">
        <v>2660648.5707199997</v>
      </c>
      <c r="BU10" s="803">
        <v>2673300.8299000002</v>
      </c>
      <c r="BV10" s="803">
        <v>2680770.2977899997</v>
      </c>
      <c r="BW10" s="803">
        <f>+'[8]Balance Sheet Detail'!DG11-(VLOOKUP("1040001",'[8]BS ACCTS'!$D$6:$ZZ$999,113,FALSE))+BW115</f>
        <v>2812837.6</v>
      </c>
      <c r="BX10" s="803">
        <f>+'[8]Balance Sheet Detail'!DH11-(VLOOKUP("1040001",'[8]BS ACCTS'!$D$6:$ZZ$999,114,FALSE))+BX115</f>
        <v>2895376.3000000003</v>
      </c>
      <c r="BY10" s="803">
        <f>+'[8]Balance Sheet Detail'!DI11-(VLOOKUP("1040001",'[8]BS ACCTS'!$D$6:$ZZ$999,115,FALSE))+BY115</f>
        <v>2926735.2</v>
      </c>
      <c r="BZ10" s="803">
        <f>+'[8]Balance Sheet Detail'!DJ11-(VLOOKUP("1040001",'[8]BS ACCTS'!$D$6:$ZZ$999,116,FALSE))+BZ115</f>
        <v>2951481.7</v>
      </c>
      <c r="CA10" s="803">
        <f>+'[8]Balance Sheet Detail'!DK11-(VLOOKUP("1040001",'[8]BS ACCTS'!$D$6:$ZZ$999,117,FALSE))+CA115</f>
        <v>3004923.2</v>
      </c>
      <c r="CB10" s="803">
        <f>+'[8]Balance Sheet Detail'!DL11-(VLOOKUP("1040001",'[8]BS ACCTS'!$D$6:$ZZ$999,118,FALSE))+CB115</f>
        <v>3027935.3</v>
      </c>
      <c r="CC10" s="803">
        <f>+'[8]Balance Sheet Detail'!DM11-(VLOOKUP("1040001",'[8]BS ACCTS'!$D$6:$ZZ$999,119,FALSE))+CC115</f>
        <v>3045681.8000000003</v>
      </c>
      <c r="CD10" s="803">
        <f>+'[8]Balance Sheet Detail'!DN11-(VLOOKUP("1040001",'[8]BS ACCTS'!$D$6:$ZZ$999,120,FALSE))+CD115</f>
        <v>3061855.3000000003</v>
      </c>
      <c r="CE10" s="803">
        <f>+'[8]Balance Sheet Detail'!DO11-(VLOOKUP("1040001",'[8]BS ACCTS'!$D$6:$ZZ$999,121,FALSE))+CE115</f>
        <v>3078836.5</v>
      </c>
      <c r="CF10" s="803">
        <f>+'[8]Balance Sheet Detail'!DP11-(VLOOKUP("1040001",'[8]BS ACCTS'!$D$6:$ZZ$999,122,FALSE))+CF115</f>
        <v>3094622.2</v>
      </c>
      <c r="CG10" s="803">
        <f>+'[8]Balance Sheet Detail'!DQ11-(VLOOKUP("1040001",'[8]BS ACCTS'!$D$6:$ZZ$999,123,FALSE))+CG115</f>
        <v>3169383.9000000004</v>
      </c>
      <c r="CH10" s="803">
        <f>+'[8]Balance Sheet Detail'!DR11-(VLOOKUP("1040001",'[8]BS ACCTS'!$D$6:$ZZ$999,124,FALSE))+CH115</f>
        <v>3202682.9000000004</v>
      </c>
      <c r="CI10" s="698">
        <f>SUM(BV10:CH10)/13</f>
        <v>2996394.015214615</v>
      </c>
      <c r="CK10" s="33"/>
      <c r="CL10" s="184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</row>
    <row r="11" spans="1:104">
      <c r="A11" s="617" t="s">
        <v>468</v>
      </c>
      <c r="B11" s="260">
        <f t="shared" ref="B11:B16" ca="1" si="33">SUM(OFFSET(BK11:BW11,0,$A$1-1))/13</f>
        <v>1939.5962730769227</v>
      </c>
      <c r="C11" s="348">
        <v>1939.5515500000001</v>
      </c>
      <c r="D11" s="348">
        <v>1939.5515500000001</v>
      </c>
      <c r="E11" s="348">
        <v>1939.5515500000001</v>
      </c>
      <c r="F11" s="348">
        <v>1939.5515500000001</v>
      </c>
      <c r="G11" s="348">
        <v>1939.5515500000001</v>
      </c>
      <c r="H11" s="348">
        <v>1939.5515500000001</v>
      </c>
      <c r="I11" s="348">
        <v>1939.5515500000001</v>
      </c>
      <c r="J11" s="348">
        <v>1939.5515500000001</v>
      </c>
      <c r="K11" s="348">
        <v>1939.5515500000001</v>
      </c>
      <c r="L11" s="348">
        <v>1939.5515500000001</v>
      </c>
      <c r="M11" s="348">
        <v>1939.5515500000001</v>
      </c>
      <c r="N11" s="348">
        <v>1939.5515500000001</v>
      </c>
      <c r="O11" s="411">
        <v>1939.5515500000001</v>
      </c>
      <c r="P11" s="411">
        <v>1939.5515500000001</v>
      </c>
      <c r="Q11" s="411">
        <v>1939.5515500000001</v>
      </c>
      <c r="R11" s="411">
        <v>1939.5515500000001</v>
      </c>
      <c r="S11" s="411">
        <v>1939.5515500000001</v>
      </c>
      <c r="T11" s="411">
        <v>1939.5515500000001</v>
      </c>
      <c r="U11" s="411">
        <v>1939.5515500000001</v>
      </c>
      <c r="V11" s="411">
        <v>1939.5515500000001</v>
      </c>
      <c r="W11" s="411">
        <v>1939.5515500000001</v>
      </c>
      <c r="X11" s="411">
        <v>1939.5515500000001</v>
      </c>
      <c r="Y11" s="411">
        <v>1939.5515500000001</v>
      </c>
      <c r="Z11" s="411">
        <v>1939.5515500000001</v>
      </c>
      <c r="AA11" s="411">
        <v>1939.5515500000001</v>
      </c>
      <c r="AB11" s="411">
        <v>1939.5515500000001</v>
      </c>
      <c r="AC11" s="411">
        <v>1939.5515500000001</v>
      </c>
      <c r="AD11" s="411">
        <v>1939.5515500000001</v>
      </c>
      <c r="AE11" s="411">
        <v>1939.5515500000001</v>
      </c>
      <c r="AF11" s="411">
        <v>1939.5515500000001</v>
      </c>
      <c r="AG11" s="411">
        <v>1939.5515500000001</v>
      </c>
      <c r="AH11" s="411">
        <v>1939.5515500000001</v>
      </c>
      <c r="AI11" s="411">
        <v>1939.5515500000001</v>
      </c>
      <c r="AJ11" s="411">
        <v>1939.5515500000001</v>
      </c>
      <c r="AK11" s="411">
        <v>1939.5515500000001</v>
      </c>
      <c r="AL11" s="411">
        <v>1939.5515500000001</v>
      </c>
      <c r="AM11" s="411">
        <v>1939.5515500000001</v>
      </c>
      <c r="AN11" s="411">
        <v>1939.5515500000001</v>
      </c>
      <c r="AO11" s="411">
        <v>1939.5515500000001</v>
      </c>
      <c r="AP11" s="411">
        <v>1939.5515500000001</v>
      </c>
      <c r="AQ11" s="411">
        <v>1939.5515500000001</v>
      </c>
      <c r="AR11" s="411">
        <v>1939.5515500000001</v>
      </c>
      <c r="AS11" s="411">
        <v>1939.5515500000001</v>
      </c>
      <c r="AT11" s="411">
        <v>1939.5515500000001</v>
      </c>
      <c r="AU11" s="411">
        <v>1939.5515500000001</v>
      </c>
      <c r="AV11" s="411">
        <v>1939.5515500000001</v>
      </c>
      <c r="AW11" s="411">
        <v>1939.5515500000001</v>
      </c>
      <c r="AX11" s="411">
        <v>1939.5515500000001</v>
      </c>
      <c r="AY11" s="411">
        <v>1939.5515500000001</v>
      </c>
      <c r="AZ11" s="411">
        <v>1939.5515500000001</v>
      </c>
      <c r="BA11" s="411">
        <v>1939.5515500000001</v>
      </c>
      <c r="BB11" s="411">
        <v>1939.5515500000001</v>
      </c>
      <c r="BC11" s="411">
        <v>1939.5515500000001</v>
      </c>
      <c r="BD11" s="411">
        <v>1939.5515500000001</v>
      </c>
      <c r="BE11" s="588">
        <v>1939.5515500000001</v>
      </c>
      <c r="BF11" s="588">
        <v>1939.5515500000001</v>
      </c>
      <c r="BG11" s="588">
        <v>1939.5515500000001</v>
      </c>
      <c r="BH11" s="588">
        <v>1939.5515500000001</v>
      </c>
      <c r="BI11" s="588">
        <v>1939.5515500000001</v>
      </c>
      <c r="BJ11" s="588">
        <v>1939.5515500000001</v>
      </c>
      <c r="BK11" s="588">
        <v>1939.5515500000001</v>
      </c>
      <c r="BL11" s="588">
        <v>1939.5515500000001</v>
      </c>
      <c r="BM11" s="588">
        <v>1939.5515500000001</v>
      </c>
      <c r="BN11" s="588">
        <v>1939.5515500000001</v>
      </c>
      <c r="BO11" s="588">
        <v>1939.5515500000001</v>
      </c>
      <c r="BP11" s="588">
        <v>1939.5515500000001</v>
      </c>
      <c r="BQ11" s="588">
        <v>1939.5515500000001</v>
      </c>
      <c r="BR11" s="588">
        <v>1939.5515500000001</v>
      </c>
      <c r="BS11" s="588">
        <v>1939.5515500000001</v>
      </c>
      <c r="BT11" s="588">
        <v>1939.5515500000001</v>
      </c>
      <c r="BU11" s="588">
        <v>1939.5515500000001</v>
      </c>
      <c r="BV11" s="588">
        <v>1939.5515500000001</v>
      </c>
      <c r="BW11" s="345">
        <f>+'[8]Balance Sheet Detail'!DG12</f>
        <v>1939.6</v>
      </c>
      <c r="BX11" s="588">
        <f>+'[8]Balance Sheet Detail'!DH12</f>
        <v>1939.6</v>
      </c>
      <c r="BY11" s="588">
        <f>+'[8]Balance Sheet Detail'!DI12</f>
        <v>1939.6</v>
      </c>
      <c r="BZ11" s="588">
        <f>+'[8]Balance Sheet Detail'!DJ12</f>
        <v>1939.6</v>
      </c>
      <c r="CA11" s="588">
        <f>+'[8]Balance Sheet Detail'!DK12</f>
        <v>1939.6</v>
      </c>
      <c r="CB11" s="588">
        <f>+'[8]Balance Sheet Detail'!DL12</f>
        <v>1939.6</v>
      </c>
      <c r="CC11" s="588">
        <f>+'[8]Balance Sheet Detail'!DM12</f>
        <v>1939.6</v>
      </c>
      <c r="CD11" s="588">
        <f>+'[8]Balance Sheet Detail'!DN12</f>
        <v>1939.6</v>
      </c>
      <c r="CE11" s="588">
        <f>+'[8]Balance Sheet Detail'!DO12</f>
        <v>1939.6</v>
      </c>
      <c r="CF11" s="588">
        <f>+'[8]Balance Sheet Detail'!DP12</f>
        <v>1939.6</v>
      </c>
      <c r="CG11" s="588">
        <f>+'[8]Balance Sheet Detail'!DQ12</f>
        <v>1939.6</v>
      </c>
      <c r="CH11" s="345">
        <f>+'[8]Balance Sheet Detail'!DR12</f>
        <v>1939.6</v>
      </c>
      <c r="CI11" s="699">
        <f t="shared" ref="CI11:CI16" si="34">SUM(BV11:CH11)/13</f>
        <v>1939.5962730769227</v>
      </c>
      <c r="CJ11" s="1068"/>
      <c r="CK11" s="33"/>
      <c r="CL11" s="184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</row>
    <row r="12" spans="1:104">
      <c r="A12" s="617" t="s">
        <v>190</v>
      </c>
      <c r="B12" s="318">
        <f t="shared" ca="1" si="33"/>
        <v>133678.81936153845</v>
      </c>
      <c r="C12" s="348">
        <v>23589.092920000003</v>
      </c>
      <c r="D12" s="348">
        <v>25860.519969999998</v>
      </c>
      <c r="E12" s="348">
        <v>22431.305519999998</v>
      </c>
      <c r="F12" s="348">
        <v>19601.49555</v>
      </c>
      <c r="G12" s="348">
        <v>22896.68088</v>
      </c>
      <c r="H12" s="348">
        <v>23021.023920000003</v>
      </c>
      <c r="I12" s="348">
        <v>24466.916819999999</v>
      </c>
      <c r="J12" s="348">
        <v>26444.168329999997</v>
      </c>
      <c r="K12" s="348">
        <v>19059.484760000003</v>
      </c>
      <c r="L12" s="348">
        <v>18962.145</v>
      </c>
      <c r="M12" s="348">
        <v>20898.478719999999</v>
      </c>
      <c r="N12" s="348">
        <v>22182.235109999998</v>
      </c>
      <c r="O12" s="411">
        <v>18556.747960000001</v>
      </c>
      <c r="P12" s="411">
        <v>20715.951399999998</v>
      </c>
      <c r="Q12" s="411">
        <v>22686.371660000001</v>
      </c>
      <c r="R12" s="411">
        <v>24764.40857</v>
      </c>
      <c r="S12" s="411">
        <v>22852.997649999998</v>
      </c>
      <c r="T12" s="411">
        <v>25749.403039999997</v>
      </c>
      <c r="U12" s="411">
        <v>27787.37155</v>
      </c>
      <c r="V12" s="411">
        <v>32937.378980000001</v>
      </c>
      <c r="W12" s="411">
        <v>42024.779399999999</v>
      </c>
      <c r="X12" s="411">
        <v>49273.45001</v>
      </c>
      <c r="Y12" s="411">
        <v>40575.117020000005</v>
      </c>
      <c r="Z12" s="411">
        <v>32694.18089</v>
      </c>
      <c r="AA12" s="411">
        <v>37233.262219999997</v>
      </c>
      <c r="AB12" s="411">
        <v>30935.389950000001</v>
      </c>
      <c r="AC12" s="411">
        <v>31118.917460000001</v>
      </c>
      <c r="AD12" s="411">
        <v>32041.115710000002</v>
      </c>
      <c r="AE12" s="411">
        <v>37503.290119999998</v>
      </c>
      <c r="AF12" s="411">
        <v>39013.136270000003</v>
      </c>
      <c r="AG12" s="411">
        <v>43393.05083</v>
      </c>
      <c r="AH12" s="411">
        <v>55128.154759999998</v>
      </c>
      <c r="AI12" s="411">
        <v>55798.695200000002</v>
      </c>
      <c r="AJ12" s="411">
        <v>62985.742700000003</v>
      </c>
      <c r="AK12" s="411">
        <v>59495.069459999999</v>
      </c>
      <c r="AL12" s="411">
        <v>71222.206430000006</v>
      </c>
      <c r="AM12" s="411">
        <v>87383.269209999999</v>
      </c>
      <c r="AN12" s="411">
        <v>89788.572590000011</v>
      </c>
      <c r="AO12" s="411">
        <v>92714.028870000009</v>
      </c>
      <c r="AP12" s="411">
        <v>105186.28393000001</v>
      </c>
      <c r="AQ12" s="411">
        <v>119487.89845000001</v>
      </c>
      <c r="AR12" s="411">
        <v>129123.89542</v>
      </c>
      <c r="AS12" s="411">
        <v>142981.95392</v>
      </c>
      <c r="AT12" s="411">
        <v>160185.91000999999</v>
      </c>
      <c r="AU12" s="411">
        <v>169862.75434000001</v>
      </c>
      <c r="AV12" s="411">
        <v>123028.33882999999</v>
      </c>
      <c r="AW12" s="411">
        <v>131449.52866000001</v>
      </c>
      <c r="AX12" s="411">
        <v>140807.87794999999</v>
      </c>
      <c r="AY12" s="411">
        <v>142689.49903000001</v>
      </c>
      <c r="AZ12" s="411">
        <v>158270.83991000001</v>
      </c>
      <c r="BA12" s="411">
        <v>168655.14324999999</v>
      </c>
      <c r="BB12" s="411">
        <v>116700.53018999999</v>
      </c>
      <c r="BC12" s="411">
        <v>118593.70979000001</v>
      </c>
      <c r="BD12" s="411">
        <v>130442.94962</v>
      </c>
      <c r="BE12" s="588">
        <v>145786.05718999999</v>
      </c>
      <c r="BF12" s="588">
        <v>159472.17224000001</v>
      </c>
      <c r="BG12" s="588">
        <v>174423.90746000002</v>
      </c>
      <c r="BH12" s="588">
        <v>191413.44262000002</v>
      </c>
      <c r="BI12" s="588">
        <v>142092.42580000003</v>
      </c>
      <c r="BJ12" s="588">
        <v>147483.84961</v>
      </c>
      <c r="BK12" s="588">
        <v>158111.22904000001</v>
      </c>
      <c r="BL12" s="588">
        <v>162199.57815000002</v>
      </c>
      <c r="BM12" s="588">
        <v>174470.93997000001</v>
      </c>
      <c r="BN12" s="588">
        <v>184225.6269</v>
      </c>
      <c r="BO12" s="588">
        <v>188333.22303999998</v>
      </c>
      <c r="BP12" s="588">
        <v>201983.44096000001</v>
      </c>
      <c r="BQ12" s="588">
        <v>212538.81599</v>
      </c>
      <c r="BR12" s="588">
        <v>225280.63212999998</v>
      </c>
      <c r="BS12" s="588">
        <v>235379.56007000001</v>
      </c>
      <c r="BT12" s="588">
        <v>200850.23599000002</v>
      </c>
      <c r="BU12" s="588">
        <v>210666.56054000001</v>
      </c>
      <c r="BV12" s="588">
        <v>246108.95169999998</v>
      </c>
      <c r="BW12" s="345">
        <f>+'[8]Balance Sheet Detail'!DG13</f>
        <v>139895.4</v>
      </c>
      <c r="BX12" s="588">
        <f>+'[8]Balance Sheet Detail'!DH13</f>
        <v>119553.9</v>
      </c>
      <c r="BY12" s="588">
        <f>+'[8]Balance Sheet Detail'!DI13</f>
        <v>118095</v>
      </c>
      <c r="BZ12" s="588">
        <f>+'[8]Balance Sheet Detail'!DJ13</f>
        <v>138120.20000000001</v>
      </c>
      <c r="CA12" s="588">
        <f>+'[8]Balance Sheet Detail'!DK13</f>
        <v>110979.9</v>
      </c>
      <c r="CB12" s="588">
        <f>+'[8]Balance Sheet Detail'!DL13</f>
        <v>116583.6</v>
      </c>
      <c r="CC12" s="588">
        <f>+'[8]Balance Sheet Detail'!DM13</f>
        <v>127626</v>
      </c>
      <c r="CD12" s="588">
        <f>+'[8]Balance Sheet Detail'!DN13</f>
        <v>138177.9</v>
      </c>
      <c r="CE12" s="588">
        <f>+'[8]Balance Sheet Detail'!DO13</f>
        <v>145799.79999999999</v>
      </c>
      <c r="CF12" s="588">
        <f>+'[8]Balance Sheet Detail'!DP13</f>
        <v>152661.70000000001</v>
      </c>
      <c r="CG12" s="588">
        <f>+'[8]Balance Sheet Detail'!DQ13</f>
        <v>98595.9</v>
      </c>
      <c r="CH12" s="345">
        <f>+'[8]Balance Sheet Detail'!DR13</f>
        <v>85626.4</v>
      </c>
      <c r="CI12" s="699">
        <f t="shared" si="34"/>
        <v>133678.81936153845</v>
      </c>
      <c r="CJ12" s="1068"/>
      <c r="CK12" s="33"/>
      <c r="CL12" s="184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</row>
    <row r="13" spans="1:104">
      <c r="A13" s="617" t="s">
        <v>469</v>
      </c>
      <c r="B13" s="262">
        <f t="shared" ca="1" si="33"/>
        <v>5031.8997876923086</v>
      </c>
      <c r="C13" s="349">
        <v>5031.8972400000002</v>
      </c>
      <c r="D13" s="349">
        <v>5031.8972400000002</v>
      </c>
      <c r="E13" s="349">
        <v>5031.8972400000002</v>
      </c>
      <c r="F13" s="349">
        <v>5031.8972400000002</v>
      </c>
      <c r="G13" s="349">
        <v>5031.8972400000002</v>
      </c>
      <c r="H13" s="349">
        <v>5031.8972400000002</v>
      </c>
      <c r="I13" s="349">
        <v>5031.8972400000002</v>
      </c>
      <c r="J13" s="349">
        <v>5031.8972400000002</v>
      </c>
      <c r="K13" s="349">
        <v>5031.8972400000002</v>
      </c>
      <c r="L13" s="349">
        <v>5031.8972400000002</v>
      </c>
      <c r="M13" s="349">
        <v>5031.8972400000002</v>
      </c>
      <c r="N13" s="349">
        <v>5031.8972400000002</v>
      </c>
      <c r="O13" s="412">
        <v>5031.8972400000002</v>
      </c>
      <c r="P13" s="412">
        <v>5031.8972400000002</v>
      </c>
      <c r="Q13" s="412">
        <v>5031.8972400000002</v>
      </c>
      <c r="R13" s="412">
        <v>5031.8972400000002</v>
      </c>
      <c r="S13" s="412">
        <v>5031.8972400000002</v>
      </c>
      <c r="T13" s="412">
        <v>5031.8972400000002</v>
      </c>
      <c r="U13" s="412">
        <v>5031.8972400000002</v>
      </c>
      <c r="V13" s="412">
        <v>5031.8972400000002</v>
      </c>
      <c r="W13" s="412">
        <v>5031.8972400000002</v>
      </c>
      <c r="X13" s="412">
        <v>5031.8972400000002</v>
      </c>
      <c r="Y13" s="412">
        <v>5031.8972400000002</v>
      </c>
      <c r="Z13" s="412">
        <v>5031.8972400000002</v>
      </c>
      <c r="AA13" s="412">
        <v>5031.8972400000002</v>
      </c>
      <c r="AB13" s="412">
        <v>5031.8972400000002</v>
      </c>
      <c r="AC13" s="412">
        <v>5031.8972400000002</v>
      </c>
      <c r="AD13" s="412">
        <v>5031.8972400000002</v>
      </c>
      <c r="AE13" s="412">
        <v>5031.8972400000002</v>
      </c>
      <c r="AF13" s="412">
        <v>5031.8972400000002</v>
      </c>
      <c r="AG13" s="412">
        <v>5031.8972400000002</v>
      </c>
      <c r="AH13" s="412">
        <v>5031.8972400000002</v>
      </c>
      <c r="AI13" s="412">
        <v>5031.8972400000002</v>
      </c>
      <c r="AJ13" s="412">
        <v>5031.8972400000002</v>
      </c>
      <c r="AK13" s="412">
        <v>5031.8972400000002</v>
      </c>
      <c r="AL13" s="412">
        <v>5031.8972400000002</v>
      </c>
      <c r="AM13" s="412">
        <v>5031.8972400000002</v>
      </c>
      <c r="AN13" s="412">
        <v>5031.8972400000002</v>
      </c>
      <c r="AO13" s="412">
        <v>5031.8972400000002</v>
      </c>
      <c r="AP13" s="412">
        <v>5031.8972400000002</v>
      </c>
      <c r="AQ13" s="412">
        <v>5031.8972400000002</v>
      </c>
      <c r="AR13" s="412">
        <v>5031.8972400000002</v>
      </c>
      <c r="AS13" s="412">
        <v>5031.8972400000002</v>
      </c>
      <c r="AT13" s="412">
        <v>5031.8972400000002</v>
      </c>
      <c r="AU13" s="412">
        <v>5031.8972400000002</v>
      </c>
      <c r="AV13" s="412">
        <v>5031.8972400000002</v>
      </c>
      <c r="AW13" s="412">
        <v>5031.8972400000002</v>
      </c>
      <c r="AX13" s="412">
        <v>5031.8972400000002</v>
      </c>
      <c r="AY13" s="412">
        <v>5031.8972400000002</v>
      </c>
      <c r="AZ13" s="412">
        <v>5031.8972400000002</v>
      </c>
      <c r="BA13" s="412">
        <v>5031.8972400000002</v>
      </c>
      <c r="BB13" s="412">
        <v>5031.8972400000002</v>
      </c>
      <c r="BC13" s="412">
        <v>5031.8972400000002</v>
      </c>
      <c r="BD13" s="412">
        <v>5031.8972400000002</v>
      </c>
      <c r="BE13" s="681">
        <v>5031.8972400000002</v>
      </c>
      <c r="BF13" s="681">
        <v>5031.8972400000002</v>
      </c>
      <c r="BG13" s="681">
        <v>5031.8972400000002</v>
      </c>
      <c r="BH13" s="681">
        <v>5031.8972400000002</v>
      </c>
      <c r="BI13" s="681">
        <v>5031.8972400000002</v>
      </c>
      <c r="BJ13" s="681">
        <v>5031.8972400000002</v>
      </c>
      <c r="BK13" s="681">
        <v>5031.8972400000002</v>
      </c>
      <c r="BL13" s="681">
        <v>5031.8972400000002</v>
      </c>
      <c r="BM13" s="681">
        <v>5031.8972400000002</v>
      </c>
      <c r="BN13" s="681">
        <v>5031.8972400000002</v>
      </c>
      <c r="BO13" s="681">
        <v>5031.8972400000002</v>
      </c>
      <c r="BP13" s="681">
        <v>5031.8972400000002</v>
      </c>
      <c r="BQ13" s="681">
        <v>5031.8972400000002</v>
      </c>
      <c r="BR13" s="681">
        <v>5031.8972400000002</v>
      </c>
      <c r="BS13" s="681">
        <v>5031.8972400000002</v>
      </c>
      <c r="BT13" s="681">
        <v>5031.8972400000002</v>
      </c>
      <c r="BU13" s="681">
        <v>5031.8972400000002</v>
      </c>
      <c r="BV13" s="681">
        <v>5031.8972400000002</v>
      </c>
      <c r="BW13" s="1067">
        <f>+'[8]Balance Sheet Detail'!DG14</f>
        <v>5031.8999999999996</v>
      </c>
      <c r="BX13" s="681">
        <f>+'[8]Balance Sheet Detail'!DH14</f>
        <v>5031.8999999999996</v>
      </c>
      <c r="BY13" s="681">
        <f>+'[8]Balance Sheet Detail'!DI14</f>
        <v>5031.8999999999996</v>
      </c>
      <c r="BZ13" s="681">
        <f>+'[8]Balance Sheet Detail'!DJ14</f>
        <v>5031.8999999999996</v>
      </c>
      <c r="CA13" s="681">
        <f>+'[8]Balance Sheet Detail'!DK14</f>
        <v>5031.8999999999996</v>
      </c>
      <c r="CB13" s="681">
        <f>+'[8]Balance Sheet Detail'!DL14</f>
        <v>5031.8999999999996</v>
      </c>
      <c r="CC13" s="681">
        <f>+'[8]Balance Sheet Detail'!DM14</f>
        <v>5031.8999999999996</v>
      </c>
      <c r="CD13" s="681">
        <f>+'[8]Balance Sheet Detail'!DN14</f>
        <v>5031.8999999999996</v>
      </c>
      <c r="CE13" s="681">
        <f>+'[8]Balance Sheet Detail'!DO14</f>
        <v>5031.8999999999996</v>
      </c>
      <c r="CF13" s="681">
        <f>+'[8]Balance Sheet Detail'!DP14</f>
        <v>5031.8999999999996</v>
      </c>
      <c r="CG13" s="681">
        <f>+'[8]Balance Sheet Detail'!DQ14</f>
        <v>5031.8999999999996</v>
      </c>
      <c r="CH13" s="1067">
        <f>+'[8]Balance Sheet Detail'!DR14</f>
        <v>5031.8999999999996</v>
      </c>
      <c r="CI13" s="700">
        <f t="shared" si="34"/>
        <v>5031.8997876923086</v>
      </c>
      <c r="CJ13" s="1068"/>
      <c r="CK13" s="33"/>
      <c r="CL13" s="184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</row>
    <row r="14" spans="1:104">
      <c r="A14" s="599" t="s">
        <v>470</v>
      </c>
      <c r="B14" s="260">
        <f t="shared" ca="1" si="33"/>
        <v>3137044.3306369227</v>
      </c>
      <c r="C14" s="79">
        <f t="shared" ref="C14:N14" si="35">SUM(C10:C13)</f>
        <v>1547039.93777</v>
      </c>
      <c r="D14" s="79">
        <f t="shared" si="35"/>
        <v>1555314.5668800001</v>
      </c>
      <c r="E14" s="79">
        <f t="shared" si="35"/>
        <v>1562326.4825899999</v>
      </c>
      <c r="F14" s="79">
        <f t="shared" si="35"/>
        <v>1565058.7066100002</v>
      </c>
      <c r="G14" s="79">
        <f t="shared" si="35"/>
        <v>1574343.9445200001</v>
      </c>
      <c r="H14" s="79">
        <f t="shared" si="35"/>
        <v>1580978.56629</v>
      </c>
      <c r="I14" s="79">
        <f t="shared" si="35"/>
        <v>1589649.7340800001</v>
      </c>
      <c r="J14" s="79">
        <f t="shared" si="35"/>
        <v>1602131.4009400003</v>
      </c>
      <c r="K14" s="79">
        <f t="shared" si="35"/>
        <v>1610004.64647</v>
      </c>
      <c r="L14" s="79">
        <f t="shared" si="35"/>
        <v>1620823.0007100001</v>
      </c>
      <c r="M14" s="79">
        <f t="shared" si="35"/>
        <v>1630616.9033300004</v>
      </c>
      <c r="N14" s="79">
        <f t="shared" si="35"/>
        <v>1642305.3308700002</v>
      </c>
      <c r="O14" s="79">
        <f t="shared" ref="O14:Z14" si="36">SUM(O10:O13)</f>
        <v>1651564.8774299999</v>
      </c>
      <c r="P14" s="79">
        <f t="shared" si="36"/>
        <v>1660709.9010099999</v>
      </c>
      <c r="Q14" s="79">
        <f t="shared" si="36"/>
        <v>1674622.33947</v>
      </c>
      <c r="R14" s="79">
        <f t="shared" si="36"/>
        <v>1683820.18921</v>
      </c>
      <c r="S14" s="79">
        <f t="shared" si="36"/>
        <v>1698122.9882400001</v>
      </c>
      <c r="T14" s="79">
        <f t="shared" si="36"/>
        <v>1708546.2641799999</v>
      </c>
      <c r="U14" s="79">
        <f t="shared" si="36"/>
        <v>1719087.9202000003</v>
      </c>
      <c r="V14" s="79">
        <f t="shared" si="36"/>
        <v>1734110.86427</v>
      </c>
      <c r="W14" s="79">
        <f t="shared" si="36"/>
        <v>1750083.2228699999</v>
      </c>
      <c r="X14" s="79">
        <f t="shared" si="36"/>
        <v>1768567.7643000002</v>
      </c>
      <c r="Y14" s="79">
        <f t="shared" si="36"/>
        <v>1786300.82427</v>
      </c>
      <c r="Z14" s="79">
        <f t="shared" si="36"/>
        <v>1801731.53874</v>
      </c>
      <c r="AA14" s="79">
        <f t="shared" ref="AA14:AL14" si="37">SUM(AA10:AA13)</f>
        <v>1818259.9968599998</v>
      </c>
      <c r="AB14" s="79">
        <f t="shared" si="37"/>
        <v>1830679.35586</v>
      </c>
      <c r="AC14" s="79">
        <f t="shared" si="37"/>
        <v>1847275.2671000001</v>
      </c>
      <c r="AD14" s="79">
        <f t="shared" si="37"/>
        <v>1860286.55213</v>
      </c>
      <c r="AE14" s="79">
        <f t="shared" si="37"/>
        <v>1878913.7413000001</v>
      </c>
      <c r="AF14" s="79">
        <f t="shared" si="37"/>
        <v>1896068.2823699999</v>
      </c>
      <c r="AG14" s="79">
        <f t="shared" si="37"/>
        <v>1912633.27296</v>
      </c>
      <c r="AH14" s="79">
        <f t="shared" si="37"/>
        <v>1932825.65637</v>
      </c>
      <c r="AI14" s="79">
        <f t="shared" si="37"/>
        <v>1952528.4725200001</v>
      </c>
      <c r="AJ14" s="79">
        <f t="shared" si="37"/>
        <v>1970722.2340800001</v>
      </c>
      <c r="AK14" s="79">
        <f t="shared" si="37"/>
        <v>1990921.65277</v>
      </c>
      <c r="AL14" s="79">
        <f t="shared" si="37"/>
        <v>2019069.1981899999</v>
      </c>
      <c r="AM14" s="79">
        <f t="shared" ref="AM14:AR14" si="38">SUM(AM10:AM13)</f>
        <v>2044594.2880700002</v>
      </c>
      <c r="AN14" s="79">
        <f t="shared" si="38"/>
        <v>2061311.3868500001</v>
      </c>
      <c r="AO14" s="79">
        <f t="shared" si="38"/>
        <v>2082557.8004400001</v>
      </c>
      <c r="AP14" s="79">
        <f t="shared" si="38"/>
        <v>2108169.9550199998</v>
      </c>
      <c r="AQ14" s="79">
        <f t="shared" si="38"/>
        <v>2134687.2114499998</v>
      </c>
      <c r="AR14" s="79">
        <f t="shared" si="38"/>
        <v>2158898.7934300001</v>
      </c>
      <c r="AS14" s="79">
        <f t="shared" ref="AS14:AY14" si="39">SUM(AS10:AS13)</f>
        <v>2183819.0483200001</v>
      </c>
      <c r="AT14" s="79">
        <f t="shared" si="39"/>
        <v>2220714.0507699996</v>
      </c>
      <c r="AU14" s="79">
        <f t="shared" si="39"/>
        <v>2246457.1375600002</v>
      </c>
      <c r="AV14" s="79">
        <f t="shared" si="39"/>
        <v>2277906.7798099997</v>
      </c>
      <c r="AW14" s="79">
        <f t="shared" si="39"/>
        <v>2306990.5587099995</v>
      </c>
      <c r="AX14" s="79">
        <f t="shared" si="39"/>
        <v>2338045.4230499999</v>
      </c>
      <c r="AY14" s="79">
        <f t="shared" si="39"/>
        <v>2360301.8094599997</v>
      </c>
      <c r="AZ14" s="79">
        <f t="shared" ref="AZ14:BJ14" si="40">SUM(AZ10:AZ13)</f>
        <v>2383505.4879799997</v>
      </c>
      <c r="BA14" s="79">
        <f t="shared" si="40"/>
        <v>2413161.8502100003</v>
      </c>
      <c r="BB14" s="79">
        <f t="shared" si="40"/>
        <v>2436130.6480799997</v>
      </c>
      <c r="BC14" s="79">
        <f t="shared" si="40"/>
        <v>2452424.6665499997</v>
      </c>
      <c r="BD14" s="79">
        <f t="shared" si="40"/>
        <v>2476721.0053999997</v>
      </c>
      <c r="BE14" s="687">
        <f t="shared" si="40"/>
        <v>2502040.1149299997</v>
      </c>
      <c r="BF14" s="687">
        <f t="shared" si="40"/>
        <v>2526866.8972399998</v>
      </c>
      <c r="BG14" s="687">
        <f t="shared" si="40"/>
        <v>2551861.4993199995</v>
      </c>
      <c r="BH14" s="687">
        <f t="shared" si="40"/>
        <v>2579506.8021</v>
      </c>
      <c r="BI14" s="687">
        <f t="shared" si="40"/>
        <v>2604456.0842099995</v>
      </c>
      <c r="BJ14" s="687">
        <f t="shared" si="40"/>
        <v>2633171.2525999998</v>
      </c>
      <c r="BK14" s="687">
        <f t="shared" ref="BK14:BU14" si="41">SUM(BK10:BK13)</f>
        <v>2655746.9627399999</v>
      </c>
      <c r="BL14" s="687">
        <f t="shared" si="41"/>
        <v>2679539.2091699997</v>
      </c>
      <c r="BM14" s="687">
        <f t="shared" si="41"/>
        <v>2701637.9222499998</v>
      </c>
      <c r="BN14" s="687">
        <f t="shared" si="41"/>
        <v>2729040.2316200002</v>
      </c>
      <c r="BO14" s="687">
        <f t="shared" si="41"/>
        <v>2753575.2819300001</v>
      </c>
      <c r="BP14" s="687">
        <f t="shared" si="41"/>
        <v>2782845.9649299993</v>
      </c>
      <c r="BQ14" s="687">
        <f t="shared" si="41"/>
        <v>2797058.6332899998</v>
      </c>
      <c r="BR14" s="687">
        <f t="shared" si="41"/>
        <v>2825426.1511199996</v>
      </c>
      <c r="BS14" s="687">
        <f t="shared" si="41"/>
        <v>2846948.7809299999</v>
      </c>
      <c r="BT14" s="687">
        <f t="shared" si="41"/>
        <v>2868470.2554999995</v>
      </c>
      <c r="BU14" s="687">
        <f t="shared" si="41"/>
        <v>2890938.83923</v>
      </c>
      <c r="BV14" s="687">
        <f t="shared" ref="BV14" si="42">SUM(BV10:BV13)</f>
        <v>2933850.6982799997</v>
      </c>
      <c r="BW14" s="687">
        <f t="shared" ref="BW14:CH14" si="43">SUM(BW10:BW13)</f>
        <v>2959704.5</v>
      </c>
      <c r="BX14" s="687">
        <f t="shared" si="43"/>
        <v>3021901.7</v>
      </c>
      <c r="BY14" s="687">
        <f t="shared" si="43"/>
        <v>3051801.7</v>
      </c>
      <c r="BZ14" s="687">
        <f t="shared" si="43"/>
        <v>3096573.4000000004</v>
      </c>
      <c r="CA14" s="687">
        <f t="shared" si="43"/>
        <v>3122874.6</v>
      </c>
      <c r="CB14" s="687">
        <f t="shared" si="43"/>
        <v>3151490.4</v>
      </c>
      <c r="CC14" s="687">
        <f t="shared" si="43"/>
        <v>3180279.3000000003</v>
      </c>
      <c r="CD14" s="687">
        <f t="shared" si="43"/>
        <v>3207004.7</v>
      </c>
      <c r="CE14" s="687">
        <f t="shared" si="43"/>
        <v>3231607.8</v>
      </c>
      <c r="CF14" s="687">
        <f t="shared" si="43"/>
        <v>3254255.4000000004</v>
      </c>
      <c r="CG14" s="687">
        <f t="shared" si="43"/>
        <v>3274951.3000000003</v>
      </c>
      <c r="CH14" s="687">
        <f t="shared" si="43"/>
        <v>3295280.8000000003</v>
      </c>
      <c r="CI14" s="699">
        <f t="shared" si="34"/>
        <v>3137044.3306369227</v>
      </c>
      <c r="CK14" s="33"/>
      <c r="CL14" s="184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</row>
    <row r="15" spans="1:104">
      <c r="A15" s="617" t="s">
        <v>471</v>
      </c>
      <c r="B15" s="262">
        <f t="shared" ca="1" si="33"/>
        <v>-884208.11231846153</v>
      </c>
      <c r="C15" s="349">
        <v>-694592.30956000008</v>
      </c>
      <c r="D15" s="349">
        <v>-697588.47759999987</v>
      </c>
      <c r="E15" s="349">
        <v>-698719.32773999998</v>
      </c>
      <c r="F15" s="349">
        <v>-697644.22645999992</v>
      </c>
      <c r="G15" s="349">
        <v>-700445.57195000001</v>
      </c>
      <c r="H15" s="349">
        <v>-703019.45264000015</v>
      </c>
      <c r="I15" s="349">
        <v>-705812.23461000004</v>
      </c>
      <c r="J15" s="349">
        <v>-708424.44625000004</v>
      </c>
      <c r="K15" s="349">
        <v>-711243.34077999997</v>
      </c>
      <c r="L15" s="349">
        <v>-713977.76049999997</v>
      </c>
      <c r="M15" s="349">
        <v>-716670.55470999994</v>
      </c>
      <c r="N15" s="349">
        <v>-719063.08770000003</v>
      </c>
      <c r="O15" s="349">
        <v>-722524.05842999998</v>
      </c>
      <c r="P15" s="349">
        <v>-725240.92523000005</v>
      </c>
      <c r="Q15" s="349">
        <v>-728378.98065000004</v>
      </c>
      <c r="R15" s="412">
        <v>-731975.24098</v>
      </c>
      <c r="S15" s="412">
        <v>-735409.20021000004</v>
      </c>
      <c r="T15" s="412">
        <v>-738272.05023000005</v>
      </c>
      <c r="U15" s="412">
        <v>-742118.98193000001</v>
      </c>
      <c r="V15" s="412">
        <v>-745626.92359999986</v>
      </c>
      <c r="W15" s="412">
        <v>-748882.24586000002</v>
      </c>
      <c r="X15" s="412">
        <v>-751684.46262000001</v>
      </c>
      <c r="Y15" s="412">
        <v>-755466.39902000001</v>
      </c>
      <c r="Z15" s="412">
        <v>-758129.24977000011</v>
      </c>
      <c r="AA15" s="412">
        <v>-760427.69818999991</v>
      </c>
      <c r="AB15" s="412">
        <v>-762641.73822000006</v>
      </c>
      <c r="AC15" s="412">
        <v>-765354.78642999998</v>
      </c>
      <c r="AD15" s="412">
        <v>-767752.14535000001</v>
      </c>
      <c r="AE15" s="412">
        <v>-769711.85453000001</v>
      </c>
      <c r="AF15" s="412">
        <v>-770920.02195000008</v>
      </c>
      <c r="AG15" s="412">
        <v>-772946.63339000009</v>
      </c>
      <c r="AH15" s="412">
        <v>-775402.83401999995</v>
      </c>
      <c r="AI15" s="412">
        <v>-778136.92920000001</v>
      </c>
      <c r="AJ15" s="412">
        <v>-780280.56389999995</v>
      </c>
      <c r="AK15" s="412">
        <v>-783184.96276000002</v>
      </c>
      <c r="AL15" s="412">
        <v>-784450.41515000002</v>
      </c>
      <c r="AM15" s="412">
        <v>-792431.4029300001</v>
      </c>
      <c r="AN15" s="412">
        <v>-788885.87992999994</v>
      </c>
      <c r="AO15" s="412">
        <v>-791623.00071000005</v>
      </c>
      <c r="AP15" s="412">
        <v>-794409.43769000005</v>
      </c>
      <c r="AQ15" s="412">
        <v>-797443.21300999995</v>
      </c>
      <c r="AR15" s="412">
        <v>-800239.97668000008</v>
      </c>
      <c r="AS15" s="412">
        <v>-802710.54394999996</v>
      </c>
      <c r="AT15" s="412">
        <v>-805792.91047</v>
      </c>
      <c r="AU15" s="412">
        <v>-808642.1054</v>
      </c>
      <c r="AV15" s="412">
        <v>-811709.59298000007</v>
      </c>
      <c r="AW15" s="412">
        <v>-814911.56380999996</v>
      </c>
      <c r="AX15" s="412">
        <v>-814871.25658000004</v>
      </c>
      <c r="AY15" s="412">
        <v>-819800.75636999996</v>
      </c>
      <c r="AZ15" s="412">
        <v>-819721.29556000012</v>
      </c>
      <c r="BA15" s="412">
        <v>-823257.64730999991</v>
      </c>
      <c r="BB15" s="412">
        <v>-826598.42756999994</v>
      </c>
      <c r="BC15" s="412">
        <v>-830025.61285999999</v>
      </c>
      <c r="BD15" s="412">
        <v>-832905.90847999998</v>
      </c>
      <c r="BE15" s="681">
        <v>-835760.94222000008</v>
      </c>
      <c r="BF15" s="681">
        <v>-839632.93908000004</v>
      </c>
      <c r="BG15" s="681">
        <v>-842707.3200500001</v>
      </c>
      <c r="BH15" s="681">
        <v>-844274.21498000005</v>
      </c>
      <c r="BI15" s="681">
        <v>-845995.66951000004</v>
      </c>
      <c r="BJ15" s="681">
        <v>-854647.54587999999</v>
      </c>
      <c r="BK15" s="681">
        <v>-858077.48505000002</v>
      </c>
      <c r="BL15" s="681">
        <v>-862162.13824999996</v>
      </c>
      <c r="BM15" s="681">
        <v>-860289.80027000001</v>
      </c>
      <c r="BN15" s="681">
        <v>-863273.22218000004</v>
      </c>
      <c r="BO15" s="681">
        <v>-867290.80287999997</v>
      </c>
      <c r="BP15" s="681">
        <v>-865064.18667000008</v>
      </c>
      <c r="BQ15" s="681">
        <v>-866906.07411000005</v>
      </c>
      <c r="BR15" s="681">
        <v>-870668.67174999998</v>
      </c>
      <c r="BS15" s="681">
        <v>-870244.76711000002</v>
      </c>
      <c r="BT15" s="681">
        <v>-874586.28633999999</v>
      </c>
      <c r="BU15" s="681">
        <v>-878812.78233000007</v>
      </c>
      <c r="BV15" s="681">
        <v>-881239.46013999998</v>
      </c>
      <c r="BW15" s="681">
        <f>+'[8]Balance Sheet Detail'!DG16-(VLOOKUP("1080901",'[8]BS ACCTS'!$D$6:$ZZ$999,113,FALSE))</f>
        <v>-876648.29999999993</v>
      </c>
      <c r="BX15" s="681">
        <f>+'[8]Balance Sheet Detail'!DH16-(VLOOKUP("1080901",'[8]BS ACCTS'!$D$6:$ZZ$999,114,FALSE))</f>
        <v>-877046.89999999991</v>
      </c>
      <c r="BY15" s="681">
        <f>+'[8]Balance Sheet Detail'!DI16-(VLOOKUP("1080901",'[8]BS ACCTS'!$D$6:$ZZ$999,115,FALSE))</f>
        <v>-874143.39999999991</v>
      </c>
      <c r="BZ15" s="681">
        <f>+'[8]Balance Sheet Detail'!DJ16-(VLOOKUP("1080901",'[8]BS ACCTS'!$D$6:$ZZ$999,116,FALSE))</f>
        <v>-877026.59999999986</v>
      </c>
      <c r="CA15" s="681">
        <f>+'[8]Balance Sheet Detail'!DK16-(VLOOKUP("1080901",'[8]BS ACCTS'!$D$6:$ZZ$999,117,FALSE))</f>
        <v>-880454.39999999991</v>
      </c>
      <c r="CB15" s="681">
        <f>+'[8]Balance Sheet Detail'!DL16-(VLOOKUP("1080901",'[8]BS ACCTS'!$D$6:$ZZ$999,118,FALSE))</f>
        <v>-880155.7</v>
      </c>
      <c r="CC15" s="681">
        <f>+'[8]Balance Sheet Detail'!DM16-(VLOOKUP("1080901",'[8]BS ACCTS'!$D$6:$ZZ$999,119,FALSE))</f>
        <v>-884117.89999999991</v>
      </c>
      <c r="CD15" s="681">
        <f>+'[8]Balance Sheet Detail'!DN16-(VLOOKUP("1080901",'[8]BS ACCTS'!$D$6:$ZZ$999,120,FALSE))</f>
        <v>-888136.2</v>
      </c>
      <c r="CE15" s="681">
        <f>+'[8]Balance Sheet Detail'!DO16-(VLOOKUP("1080901",'[8]BS ACCTS'!$D$6:$ZZ$999,121,FALSE))</f>
        <v>-889747.99999999988</v>
      </c>
      <c r="CF15" s="681">
        <f>+'[8]Balance Sheet Detail'!DP16-(VLOOKUP("1080901",'[8]BS ACCTS'!$D$6:$ZZ$999,122,FALSE))</f>
        <v>-893878.29999999993</v>
      </c>
      <c r="CG15" s="681">
        <f>+'[8]Balance Sheet Detail'!DQ16-(VLOOKUP("1080901",'[8]BS ACCTS'!$D$6:$ZZ$999,123,FALSE))</f>
        <v>-898065.79999999993</v>
      </c>
      <c r="CH15" s="681">
        <f>+'[8]Balance Sheet Detail'!DR16-(VLOOKUP("1080901",'[8]BS ACCTS'!$D$6:$ZZ$999,124,FALSE))</f>
        <v>-894044.49999999988</v>
      </c>
      <c r="CI15" s="700">
        <f t="shared" si="34"/>
        <v>-884208.11231846153</v>
      </c>
      <c r="CK15" s="33"/>
      <c r="CL15" s="184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</row>
    <row r="16" spans="1:104">
      <c r="A16" s="599" t="s">
        <v>472</v>
      </c>
      <c r="B16" s="260">
        <f t="shared" ca="1" si="33"/>
        <v>2252836.2183184619</v>
      </c>
      <c r="C16" s="79">
        <f t="shared" ref="C16:N16" si="44">SUM(C14:C15)</f>
        <v>852447.62820999988</v>
      </c>
      <c r="D16" s="79">
        <f t="shared" si="44"/>
        <v>857726.08928000019</v>
      </c>
      <c r="E16" s="79">
        <f t="shared" si="44"/>
        <v>863607.15484999993</v>
      </c>
      <c r="F16" s="79">
        <f t="shared" si="44"/>
        <v>867414.48015000031</v>
      </c>
      <c r="G16" s="79">
        <f t="shared" si="44"/>
        <v>873898.37257000012</v>
      </c>
      <c r="H16" s="79">
        <f t="shared" si="44"/>
        <v>877959.11364999984</v>
      </c>
      <c r="I16" s="79">
        <f t="shared" si="44"/>
        <v>883837.49947000004</v>
      </c>
      <c r="J16" s="79">
        <f t="shared" si="44"/>
        <v>893706.95469000028</v>
      </c>
      <c r="K16" s="79">
        <f t="shared" si="44"/>
        <v>898761.30569000007</v>
      </c>
      <c r="L16" s="79">
        <f t="shared" si="44"/>
        <v>906845.24021000008</v>
      </c>
      <c r="M16" s="79">
        <f t="shared" si="44"/>
        <v>913946.34862000041</v>
      </c>
      <c r="N16" s="79">
        <f t="shared" si="44"/>
        <v>923242.24317000015</v>
      </c>
      <c r="O16" s="79">
        <f t="shared" ref="O16:Z16" si="45">SUM(O14:O15)</f>
        <v>929040.8189999999</v>
      </c>
      <c r="P16" s="79">
        <f t="shared" si="45"/>
        <v>935468.97577999986</v>
      </c>
      <c r="Q16" s="79">
        <f t="shared" si="45"/>
        <v>946243.35881999996</v>
      </c>
      <c r="R16" s="79">
        <f t="shared" si="45"/>
        <v>951844.94822999998</v>
      </c>
      <c r="S16" s="79">
        <f t="shared" si="45"/>
        <v>962713.78803000005</v>
      </c>
      <c r="T16" s="79">
        <f t="shared" si="45"/>
        <v>970274.21394999989</v>
      </c>
      <c r="U16" s="79">
        <f t="shared" si="45"/>
        <v>976968.93827000028</v>
      </c>
      <c r="V16" s="79">
        <f t="shared" si="45"/>
        <v>988483.94067000016</v>
      </c>
      <c r="W16" s="79">
        <f t="shared" si="45"/>
        <v>1001200.9770099999</v>
      </c>
      <c r="X16" s="79">
        <f t="shared" si="45"/>
        <v>1016883.3016800001</v>
      </c>
      <c r="Y16" s="79">
        <f t="shared" si="45"/>
        <v>1030834.42525</v>
      </c>
      <c r="Z16" s="79">
        <f t="shared" si="45"/>
        <v>1043602.2889699999</v>
      </c>
      <c r="AA16" s="79">
        <f t="shared" ref="AA16:AL16" si="46">SUM(AA14:AA15)</f>
        <v>1057832.2986699999</v>
      </c>
      <c r="AB16" s="79">
        <f t="shared" si="46"/>
        <v>1068037.6176399998</v>
      </c>
      <c r="AC16" s="79">
        <f t="shared" si="46"/>
        <v>1081920.48067</v>
      </c>
      <c r="AD16" s="79">
        <f t="shared" si="46"/>
        <v>1092534.4067799998</v>
      </c>
      <c r="AE16" s="79">
        <f t="shared" si="46"/>
        <v>1109201.8867700002</v>
      </c>
      <c r="AF16" s="79">
        <f t="shared" si="46"/>
        <v>1125148.2604199997</v>
      </c>
      <c r="AG16" s="79">
        <f t="shared" si="46"/>
        <v>1139686.6395699999</v>
      </c>
      <c r="AH16" s="79">
        <f t="shared" si="46"/>
        <v>1157422.82235</v>
      </c>
      <c r="AI16" s="79">
        <f t="shared" si="46"/>
        <v>1174391.5433200002</v>
      </c>
      <c r="AJ16" s="79">
        <f t="shared" si="46"/>
        <v>1190441.6701800001</v>
      </c>
      <c r="AK16" s="79">
        <f t="shared" si="46"/>
        <v>1207736.69001</v>
      </c>
      <c r="AL16" s="79">
        <f t="shared" si="46"/>
        <v>1234618.7830399999</v>
      </c>
      <c r="AM16" s="79">
        <f t="shared" ref="AM16:AR16" si="47">SUM(AM14:AM15)</f>
        <v>1252162.8851400001</v>
      </c>
      <c r="AN16" s="79">
        <f t="shared" si="47"/>
        <v>1272425.5069200001</v>
      </c>
      <c r="AO16" s="79">
        <f t="shared" si="47"/>
        <v>1290934.7997300001</v>
      </c>
      <c r="AP16" s="79">
        <f t="shared" si="47"/>
        <v>1313760.5173299997</v>
      </c>
      <c r="AQ16" s="79">
        <f t="shared" si="47"/>
        <v>1337243.9984399998</v>
      </c>
      <c r="AR16" s="79">
        <f t="shared" si="47"/>
        <v>1358658.81675</v>
      </c>
      <c r="AS16" s="79">
        <f t="shared" ref="AS16:AY16" si="48">SUM(AS14:AS15)</f>
        <v>1381108.5043700002</v>
      </c>
      <c r="AT16" s="79">
        <f t="shared" si="48"/>
        <v>1414921.1402999996</v>
      </c>
      <c r="AU16" s="79">
        <f t="shared" si="48"/>
        <v>1437815.0321600002</v>
      </c>
      <c r="AV16" s="79">
        <f t="shared" si="48"/>
        <v>1466197.1868299996</v>
      </c>
      <c r="AW16" s="79">
        <f t="shared" si="48"/>
        <v>1492078.9948999996</v>
      </c>
      <c r="AX16" s="79">
        <f t="shared" si="48"/>
        <v>1523174.1664699998</v>
      </c>
      <c r="AY16" s="79">
        <f t="shared" si="48"/>
        <v>1540501.0530899996</v>
      </c>
      <c r="AZ16" s="79">
        <f t="shared" ref="AZ16:BJ16" si="49">SUM(AZ14:AZ15)</f>
        <v>1563784.1924199997</v>
      </c>
      <c r="BA16" s="79">
        <f t="shared" si="49"/>
        <v>1589904.2029000004</v>
      </c>
      <c r="BB16" s="79">
        <f t="shared" si="49"/>
        <v>1609532.2205099999</v>
      </c>
      <c r="BC16" s="79">
        <f t="shared" si="49"/>
        <v>1622399.0536899997</v>
      </c>
      <c r="BD16" s="79">
        <f t="shared" si="49"/>
        <v>1643815.0969199997</v>
      </c>
      <c r="BE16" s="687">
        <f t="shared" si="49"/>
        <v>1666279.1727099996</v>
      </c>
      <c r="BF16" s="687">
        <f t="shared" si="49"/>
        <v>1687233.9581599999</v>
      </c>
      <c r="BG16" s="687">
        <f t="shared" si="49"/>
        <v>1709154.1792699993</v>
      </c>
      <c r="BH16" s="687">
        <f t="shared" si="49"/>
        <v>1735232.5871199998</v>
      </c>
      <c r="BI16" s="687">
        <f t="shared" si="49"/>
        <v>1758460.4146999996</v>
      </c>
      <c r="BJ16" s="687">
        <f t="shared" si="49"/>
        <v>1778523.7067199997</v>
      </c>
      <c r="BK16" s="687">
        <f t="shared" ref="BK16:BU16" si="50">SUM(BK14:BK15)</f>
        <v>1797669.4776899999</v>
      </c>
      <c r="BL16" s="687">
        <f t="shared" si="50"/>
        <v>1817377.0709199999</v>
      </c>
      <c r="BM16" s="687">
        <f t="shared" si="50"/>
        <v>1841348.1219799998</v>
      </c>
      <c r="BN16" s="687">
        <f t="shared" si="50"/>
        <v>1865767.0094400002</v>
      </c>
      <c r="BO16" s="687">
        <f t="shared" si="50"/>
        <v>1886284.4790500002</v>
      </c>
      <c r="BP16" s="687">
        <f t="shared" si="50"/>
        <v>1917781.7782599991</v>
      </c>
      <c r="BQ16" s="687">
        <f t="shared" si="50"/>
        <v>1930152.5591799999</v>
      </c>
      <c r="BR16" s="687">
        <f t="shared" si="50"/>
        <v>1954757.4793699996</v>
      </c>
      <c r="BS16" s="687">
        <f t="shared" si="50"/>
        <v>1976704.01382</v>
      </c>
      <c r="BT16" s="687">
        <f t="shared" si="50"/>
        <v>1993883.9691599994</v>
      </c>
      <c r="BU16" s="687">
        <f t="shared" si="50"/>
        <v>2012126.0569</v>
      </c>
      <c r="BV16" s="687">
        <f t="shared" ref="BV16" si="51">SUM(BV14:BV15)</f>
        <v>2052611.2381399996</v>
      </c>
      <c r="BW16" s="687">
        <f t="shared" ref="BW16:CH16" si="52">SUM(BW14:BW15)</f>
        <v>2083056.2000000002</v>
      </c>
      <c r="BX16" s="687">
        <f t="shared" si="52"/>
        <v>2144854.8000000003</v>
      </c>
      <c r="BY16" s="687">
        <f t="shared" si="52"/>
        <v>2177658.3000000003</v>
      </c>
      <c r="BZ16" s="687">
        <f t="shared" si="52"/>
        <v>2219546.8000000007</v>
      </c>
      <c r="CA16" s="687">
        <f t="shared" si="52"/>
        <v>2242420.2000000002</v>
      </c>
      <c r="CB16" s="687">
        <f t="shared" si="52"/>
        <v>2271334.7000000002</v>
      </c>
      <c r="CC16" s="687">
        <f t="shared" si="52"/>
        <v>2296161.4000000004</v>
      </c>
      <c r="CD16" s="687">
        <f t="shared" si="52"/>
        <v>2318868.5</v>
      </c>
      <c r="CE16" s="687">
        <f t="shared" si="52"/>
        <v>2341859.7999999998</v>
      </c>
      <c r="CF16" s="687">
        <f t="shared" si="52"/>
        <v>2360377.1000000006</v>
      </c>
      <c r="CG16" s="687">
        <f t="shared" si="52"/>
        <v>2376885.5000000005</v>
      </c>
      <c r="CH16" s="687">
        <f t="shared" si="52"/>
        <v>2401236.3000000003</v>
      </c>
      <c r="CI16" s="699">
        <f t="shared" si="34"/>
        <v>2252836.2183184619</v>
      </c>
      <c r="CK16" s="33"/>
      <c r="CL16" s="184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</row>
    <row r="17" spans="1:104">
      <c r="A17" s="599"/>
      <c r="B17" s="260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687"/>
      <c r="BF17" s="687"/>
      <c r="BG17" s="687"/>
      <c r="BH17" s="687"/>
      <c r="BI17" s="687"/>
      <c r="BJ17" s="687"/>
      <c r="BK17" s="687"/>
      <c r="BL17" s="687"/>
      <c r="BM17" s="687"/>
      <c r="BN17" s="687"/>
      <c r="BO17" s="687"/>
      <c r="BP17" s="687"/>
      <c r="BQ17" s="687"/>
      <c r="BR17" s="687"/>
      <c r="BS17" s="687"/>
      <c r="BT17" s="687"/>
      <c r="BU17" s="687"/>
      <c r="BV17" s="687"/>
      <c r="BW17" s="687"/>
      <c r="BX17" s="687"/>
      <c r="BY17" s="687"/>
      <c r="BZ17" s="687"/>
      <c r="CA17" s="687"/>
      <c r="CB17" s="687"/>
      <c r="CC17" s="687"/>
      <c r="CD17" s="687"/>
      <c r="CE17" s="687"/>
      <c r="CF17" s="687"/>
      <c r="CG17" s="687"/>
      <c r="CH17" s="687"/>
      <c r="CI17" s="699"/>
      <c r="CK17" s="33"/>
      <c r="CL17" s="184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</row>
    <row r="18" spans="1:104">
      <c r="A18" s="617" t="s">
        <v>473</v>
      </c>
      <c r="B18" s="260">
        <f t="shared" ref="B18:B21" ca="1" si="53">SUM(OFFSET(BK18:BW18,0,$A$1-1))/13</f>
        <v>1196.6926553846154</v>
      </c>
      <c r="C18" s="348">
        <v>2030.34005</v>
      </c>
      <c r="D18" s="348">
        <v>1185.82446</v>
      </c>
      <c r="E18" s="348">
        <v>1472.99361</v>
      </c>
      <c r="F18" s="348">
        <v>1619.9621599999998</v>
      </c>
      <c r="G18" s="348">
        <v>1068.5400500000001</v>
      </c>
      <c r="H18" s="348">
        <v>915.17888000000005</v>
      </c>
      <c r="I18" s="348">
        <v>1208.4352699999999</v>
      </c>
      <c r="J18" s="348">
        <v>564.15692000000001</v>
      </c>
      <c r="K18" s="348">
        <v>862.12744999999995</v>
      </c>
      <c r="L18" s="348">
        <v>1107.73821</v>
      </c>
      <c r="M18" s="348">
        <v>1166.60979</v>
      </c>
      <c r="N18" s="348">
        <v>1715.6787099999999</v>
      </c>
      <c r="O18" s="411">
        <v>2142.9444600000002</v>
      </c>
      <c r="P18" s="411">
        <v>1123.29252</v>
      </c>
      <c r="Q18" s="411">
        <v>1235.8950199999999</v>
      </c>
      <c r="R18" s="411">
        <v>1742.17374</v>
      </c>
      <c r="S18" s="411">
        <v>1049.7999199999999</v>
      </c>
      <c r="T18" s="411">
        <v>1272.4601100000002</v>
      </c>
      <c r="U18" s="411">
        <v>1562.0039400000001</v>
      </c>
      <c r="V18" s="411">
        <v>760.63626999999997</v>
      </c>
      <c r="W18" s="411">
        <v>935.10873000000004</v>
      </c>
      <c r="X18" s="411">
        <v>1188.78576</v>
      </c>
      <c r="Y18" s="411">
        <v>777.88049000000001</v>
      </c>
      <c r="Z18" s="411">
        <v>1195.21766</v>
      </c>
      <c r="AA18" s="411">
        <v>1451.86625</v>
      </c>
      <c r="AB18" s="411">
        <v>823.64361999999994</v>
      </c>
      <c r="AC18" s="411">
        <v>1284.7723600000002</v>
      </c>
      <c r="AD18" s="411">
        <v>1701.8793799999999</v>
      </c>
      <c r="AE18" s="411">
        <v>1022.39748</v>
      </c>
      <c r="AF18" s="411">
        <v>1256.9318000000001</v>
      </c>
      <c r="AG18" s="411">
        <v>1595.8619199999998</v>
      </c>
      <c r="AH18" s="411">
        <v>1079.8651299999999</v>
      </c>
      <c r="AI18" s="411">
        <v>1299.02946</v>
      </c>
      <c r="AJ18" s="411">
        <v>1496.62032</v>
      </c>
      <c r="AK18" s="411">
        <v>673.25096999999994</v>
      </c>
      <c r="AL18" s="411">
        <v>902.04340999999999</v>
      </c>
      <c r="AM18" s="411">
        <v>1028.3160500000001</v>
      </c>
      <c r="AN18" s="411">
        <v>832.64310999999998</v>
      </c>
      <c r="AO18" s="411">
        <v>926.54253000000006</v>
      </c>
      <c r="AP18" s="411">
        <v>1260.9897699999999</v>
      </c>
      <c r="AQ18" s="411">
        <v>1026.2549300000001</v>
      </c>
      <c r="AR18" s="411">
        <v>1250.5963700000002</v>
      </c>
      <c r="AS18" s="411">
        <v>1439.03629</v>
      </c>
      <c r="AT18" s="411">
        <v>781.25278000000003</v>
      </c>
      <c r="AU18" s="411">
        <v>1020.48308</v>
      </c>
      <c r="AV18" s="411">
        <v>1371.2764999999999</v>
      </c>
      <c r="AW18" s="411">
        <v>841.29766000000006</v>
      </c>
      <c r="AX18" s="411">
        <v>1208.3459700000001</v>
      </c>
      <c r="AY18" s="411">
        <v>1542.4809399999999</v>
      </c>
      <c r="AZ18" s="411">
        <v>1003.46887</v>
      </c>
      <c r="BA18" s="411">
        <v>1278.8301899999999</v>
      </c>
      <c r="BB18" s="411">
        <v>612.94316000000003</v>
      </c>
      <c r="BC18" s="411">
        <v>1003.45624</v>
      </c>
      <c r="BD18" s="411">
        <v>1274.9468200000001</v>
      </c>
      <c r="BE18" s="588">
        <v>1549.0675700000002</v>
      </c>
      <c r="BF18" s="588">
        <v>892.66068999999993</v>
      </c>
      <c r="BG18" s="588">
        <v>1188.4883400000001</v>
      </c>
      <c r="BH18" s="588">
        <v>1502.23612</v>
      </c>
      <c r="BI18" s="588">
        <v>868.33180000000004</v>
      </c>
      <c r="BJ18" s="588">
        <v>1027.7767200000001</v>
      </c>
      <c r="BK18" s="588">
        <v>1172.7731200000001</v>
      </c>
      <c r="BL18" s="588">
        <v>679.78675999999996</v>
      </c>
      <c r="BM18" s="588">
        <v>1153.4104499999999</v>
      </c>
      <c r="BN18" s="588">
        <v>538.84781999999996</v>
      </c>
      <c r="BO18" s="588">
        <v>814.85322999999994</v>
      </c>
      <c r="BP18" s="588">
        <v>1037.8276000000001</v>
      </c>
      <c r="BQ18" s="588">
        <v>1474.4403300000001</v>
      </c>
      <c r="BR18" s="588">
        <v>1006.0719200000001</v>
      </c>
      <c r="BS18" s="588">
        <v>1343.62769</v>
      </c>
      <c r="BT18" s="588">
        <v>532.97133999999994</v>
      </c>
      <c r="BU18" s="588">
        <v>833.07556999999997</v>
      </c>
      <c r="BV18" s="588">
        <v>846.20452</v>
      </c>
      <c r="BW18" s="345">
        <f>+'[8]Balance Sheet Detail'!DG20</f>
        <v>1677.2</v>
      </c>
      <c r="BX18" s="588">
        <f>+'[8]Balance Sheet Detail'!DH20</f>
        <v>742.7</v>
      </c>
      <c r="BY18" s="588">
        <f>+'[8]Balance Sheet Detail'!DI20</f>
        <v>965.4</v>
      </c>
      <c r="BZ18" s="588">
        <f>+'[8]Balance Sheet Detail'!DJ20</f>
        <v>1317</v>
      </c>
      <c r="CA18" s="588">
        <f>+'[8]Balance Sheet Detail'!DK20</f>
        <v>943</v>
      </c>
      <c r="CB18" s="588">
        <f>+'[8]Balance Sheet Detail'!DL20</f>
        <v>1252.5</v>
      </c>
      <c r="CC18" s="588">
        <f>+'[8]Balance Sheet Detail'!DM20</f>
        <v>1588.8</v>
      </c>
      <c r="CD18" s="588">
        <f>+'[8]Balance Sheet Detail'!DN20</f>
        <v>923.8</v>
      </c>
      <c r="CE18" s="588">
        <f>+'[8]Balance Sheet Detail'!DO20</f>
        <v>1248</v>
      </c>
      <c r="CF18" s="588">
        <f>+'[8]Balance Sheet Detail'!DP20</f>
        <v>1569.6</v>
      </c>
      <c r="CG18" s="588">
        <f>+'[8]Balance Sheet Detail'!DQ20</f>
        <v>958.1</v>
      </c>
      <c r="CH18" s="345">
        <f>+'[8]Balance Sheet Detail'!DR20</f>
        <v>1524.7</v>
      </c>
      <c r="CI18" s="699">
        <f t="shared" ref="CI18:CI21" si="54">SUM(BV18:CH18)/13</f>
        <v>1196.6926553846154</v>
      </c>
      <c r="CJ18" s="1068"/>
      <c r="CK18" s="33"/>
      <c r="CL18" s="184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</row>
    <row r="19" spans="1:104">
      <c r="A19" s="617" t="s">
        <v>474</v>
      </c>
      <c r="B19" s="260">
        <f t="shared" ca="1" si="53"/>
        <v>0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O19" s="411">
        <v>0</v>
      </c>
      <c r="P19" s="411">
        <v>0</v>
      </c>
      <c r="Q19" s="411">
        <v>0</v>
      </c>
      <c r="R19" s="411">
        <v>0</v>
      </c>
      <c r="S19" s="411">
        <v>0</v>
      </c>
      <c r="T19" s="411">
        <v>0</v>
      </c>
      <c r="U19" s="411">
        <v>0</v>
      </c>
      <c r="V19" s="411">
        <v>0</v>
      </c>
      <c r="W19" s="411">
        <v>0</v>
      </c>
      <c r="X19" s="411">
        <v>0</v>
      </c>
      <c r="Y19" s="411">
        <v>0</v>
      </c>
      <c r="Z19" s="411">
        <v>0</v>
      </c>
      <c r="AA19" s="411">
        <v>0</v>
      </c>
      <c r="AB19" s="411">
        <v>0</v>
      </c>
      <c r="AC19" s="411">
        <v>0</v>
      </c>
      <c r="AD19" s="411">
        <v>0</v>
      </c>
      <c r="AE19" s="411">
        <v>0</v>
      </c>
      <c r="AF19" s="411">
        <v>0</v>
      </c>
      <c r="AG19" s="411">
        <v>0</v>
      </c>
      <c r="AH19" s="411">
        <v>0</v>
      </c>
      <c r="AI19" s="411">
        <v>0</v>
      </c>
      <c r="AJ19" s="411">
        <v>0</v>
      </c>
      <c r="AK19" s="411">
        <v>0</v>
      </c>
      <c r="AL19" s="411">
        <v>0</v>
      </c>
      <c r="AM19" s="411">
        <v>0</v>
      </c>
      <c r="AN19" s="411">
        <v>0</v>
      </c>
      <c r="AO19" s="411">
        <v>0</v>
      </c>
      <c r="AP19" s="411">
        <v>0</v>
      </c>
      <c r="AQ19" s="411">
        <v>0</v>
      </c>
      <c r="AR19" s="411">
        <v>0</v>
      </c>
      <c r="AS19" s="411">
        <v>0</v>
      </c>
      <c r="AT19" s="411">
        <v>0</v>
      </c>
      <c r="AU19" s="411">
        <v>0</v>
      </c>
      <c r="AV19" s="411">
        <v>0</v>
      </c>
      <c r="AW19" s="411">
        <v>0</v>
      </c>
      <c r="AX19" s="411">
        <v>0</v>
      </c>
      <c r="AY19" s="411">
        <v>0</v>
      </c>
      <c r="AZ19" s="411">
        <v>0</v>
      </c>
      <c r="BA19" s="411">
        <v>0</v>
      </c>
      <c r="BB19" s="411">
        <v>0</v>
      </c>
      <c r="BC19" s="411">
        <v>0</v>
      </c>
      <c r="BD19" s="411">
        <v>0</v>
      </c>
      <c r="BE19" s="588">
        <v>0</v>
      </c>
      <c r="BF19" s="588">
        <v>0</v>
      </c>
      <c r="BG19" s="588">
        <v>0</v>
      </c>
      <c r="BH19" s="588">
        <v>0</v>
      </c>
      <c r="BI19" s="588">
        <v>0</v>
      </c>
      <c r="BJ19" s="588">
        <v>0</v>
      </c>
      <c r="BK19" s="588">
        <v>0</v>
      </c>
      <c r="BL19" s="588">
        <v>0</v>
      </c>
      <c r="BM19" s="588">
        <v>0</v>
      </c>
      <c r="BN19" s="588">
        <v>0</v>
      </c>
      <c r="BO19" s="588">
        <v>0</v>
      </c>
      <c r="BP19" s="588">
        <v>0</v>
      </c>
      <c r="BQ19" s="588">
        <v>0</v>
      </c>
      <c r="BR19" s="588">
        <v>0</v>
      </c>
      <c r="BS19" s="588">
        <v>0</v>
      </c>
      <c r="BT19" s="588">
        <v>0</v>
      </c>
      <c r="BU19" s="588">
        <v>0</v>
      </c>
      <c r="BV19" s="588">
        <v>0</v>
      </c>
      <c r="BW19" s="588">
        <f>+'[8]Balance Sheet Detail'!DG21</f>
        <v>0</v>
      </c>
      <c r="BX19" s="588">
        <f>+'[8]Balance Sheet Detail'!DH21</f>
        <v>0</v>
      </c>
      <c r="BY19" s="588">
        <f>+'[8]Balance Sheet Detail'!DI21</f>
        <v>0</v>
      </c>
      <c r="BZ19" s="588">
        <f>+'[8]Balance Sheet Detail'!DJ21</f>
        <v>0</v>
      </c>
      <c r="CA19" s="588">
        <f>+'[8]Balance Sheet Detail'!DK21</f>
        <v>0</v>
      </c>
      <c r="CB19" s="588">
        <f>+'[8]Balance Sheet Detail'!DL21</f>
        <v>0</v>
      </c>
      <c r="CC19" s="588">
        <f>+'[8]Balance Sheet Detail'!DM21</f>
        <v>0</v>
      </c>
      <c r="CD19" s="588">
        <f>+'[8]Balance Sheet Detail'!DN21</f>
        <v>0</v>
      </c>
      <c r="CE19" s="588">
        <f>+'[8]Balance Sheet Detail'!DO21</f>
        <v>0</v>
      </c>
      <c r="CF19" s="588">
        <f>+'[8]Balance Sheet Detail'!DP21</f>
        <v>0</v>
      </c>
      <c r="CG19" s="588">
        <f>+'[8]Balance Sheet Detail'!DQ21</f>
        <v>0</v>
      </c>
      <c r="CH19" s="588">
        <f>+'[8]Balance Sheet Detail'!DR21</f>
        <v>0</v>
      </c>
      <c r="CI19" s="699">
        <f t="shared" si="54"/>
        <v>0</v>
      </c>
      <c r="CK19" s="33"/>
      <c r="CL19" s="184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</row>
    <row r="20" spans="1:104">
      <c r="A20" s="617" t="s">
        <v>475</v>
      </c>
      <c r="B20" s="262">
        <f t="shared" ca="1" si="53"/>
        <v>0</v>
      </c>
      <c r="C20" s="349">
        <v>0</v>
      </c>
      <c r="D20" s="349">
        <v>0</v>
      </c>
      <c r="E20" s="349">
        <v>0</v>
      </c>
      <c r="F20" s="349">
        <v>0</v>
      </c>
      <c r="G20" s="349">
        <v>0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412">
        <v>0</v>
      </c>
      <c r="P20" s="412">
        <v>0</v>
      </c>
      <c r="Q20" s="412">
        <v>0</v>
      </c>
      <c r="R20" s="412">
        <v>0</v>
      </c>
      <c r="S20" s="412">
        <v>0</v>
      </c>
      <c r="T20" s="412">
        <v>0</v>
      </c>
      <c r="U20" s="412">
        <v>0</v>
      </c>
      <c r="V20" s="412">
        <v>0</v>
      </c>
      <c r="W20" s="412">
        <v>0</v>
      </c>
      <c r="X20" s="412">
        <v>0</v>
      </c>
      <c r="Y20" s="412">
        <v>0</v>
      </c>
      <c r="Z20" s="412">
        <v>0</v>
      </c>
      <c r="AA20" s="412">
        <v>0</v>
      </c>
      <c r="AB20" s="412">
        <v>0</v>
      </c>
      <c r="AC20" s="412">
        <v>0</v>
      </c>
      <c r="AD20" s="412">
        <v>0</v>
      </c>
      <c r="AE20" s="412">
        <v>0</v>
      </c>
      <c r="AF20" s="412">
        <v>0</v>
      </c>
      <c r="AG20" s="412">
        <v>0</v>
      </c>
      <c r="AH20" s="412">
        <v>0</v>
      </c>
      <c r="AI20" s="412">
        <v>0</v>
      </c>
      <c r="AJ20" s="412">
        <v>0</v>
      </c>
      <c r="AK20" s="412">
        <v>0</v>
      </c>
      <c r="AL20" s="412">
        <v>0</v>
      </c>
      <c r="AM20" s="412">
        <v>0</v>
      </c>
      <c r="AN20" s="412">
        <v>0</v>
      </c>
      <c r="AO20" s="412">
        <v>0</v>
      </c>
      <c r="AP20" s="412">
        <v>0</v>
      </c>
      <c r="AQ20" s="412">
        <v>0</v>
      </c>
      <c r="AR20" s="412">
        <v>0</v>
      </c>
      <c r="AS20" s="412">
        <v>0</v>
      </c>
      <c r="AT20" s="412">
        <v>0</v>
      </c>
      <c r="AU20" s="412">
        <v>0</v>
      </c>
      <c r="AV20" s="412">
        <v>0</v>
      </c>
      <c r="AW20" s="412">
        <v>0</v>
      </c>
      <c r="AX20" s="412">
        <v>0</v>
      </c>
      <c r="AY20" s="412">
        <v>0</v>
      </c>
      <c r="AZ20" s="412">
        <v>0</v>
      </c>
      <c r="BA20" s="412">
        <v>0</v>
      </c>
      <c r="BB20" s="412">
        <v>0</v>
      </c>
      <c r="BC20" s="412">
        <v>0</v>
      </c>
      <c r="BD20" s="412">
        <v>0</v>
      </c>
      <c r="BE20" s="681">
        <v>0</v>
      </c>
      <c r="BF20" s="681">
        <v>0</v>
      </c>
      <c r="BG20" s="681">
        <v>0</v>
      </c>
      <c r="BH20" s="681">
        <v>0</v>
      </c>
      <c r="BI20" s="681">
        <v>0</v>
      </c>
      <c r="BJ20" s="681">
        <v>0</v>
      </c>
      <c r="BK20" s="681">
        <v>0</v>
      </c>
      <c r="BL20" s="681">
        <v>0</v>
      </c>
      <c r="BM20" s="681">
        <v>0</v>
      </c>
      <c r="BN20" s="681">
        <v>0</v>
      </c>
      <c r="BO20" s="681">
        <v>0</v>
      </c>
      <c r="BP20" s="681">
        <v>0</v>
      </c>
      <c r="BQ20" s="681">
        <v>0</v>
      </c>
      <c r="BR20" s="681">
        <v>0</v>
      </c>
      <c r="BS20" s="681">
        <v>0</v>
      </c>
      <c r="BT20" s="681">
        <v>0</v>
      </c>
      <c r="BU20" s="681">
        <v>0</v>
      </c>
      <c r="BV20" s="681">
        <v>0</v>
      </c>
      <c r="BW20" s="681">
        <f>+'[8]Balance Sheet Detail'!DG22</f>
        <v>0</v>
      </c>
      <c r="BX20" s="681">
        <f>+'[8]Balance Sheet Detail'!DH22</f>
        <v>0</v>
      </c>
      <c r="BY20" s="681">
        <f>+'[8]Balance Sheet Detail'!DI22</f>
        <v>0</v>
      </c>
      <c r="BZ20" s="681">
        <f>+'[8]Balance Sheet Detail'!DJ22</f>
        <v>0</v>
      </c>
      <c r="CA20" s="681">
        <f>+'[8]Balance Sheet Detail'!DK22</f>
        <v>0</v>
      </c>
      <c r="CB20" s="681">
        <f>+'[8]Balance Sheet Detail'!DL22</f>
        <v>0</v>
      </c>
      <c r="CC20" s="681">
        <f>+'[8]Balance Sheet Detail'!DM22</f>
        <v>0</v>
      </c>
      <c r="CD20" s="681">
        <f>+'[8]Balance Sheet Detail'!DN22</f>
        <v>0</v>
      </c>
      <c r="CE20" s="681">
        <f>+'[8]Balance Sheet Detail'!DO22</f>
        <v>0</v>
      </c>
      <c r="CF20" s="681">
        <f>+'[8]Balance Sheet Detail'!DP22</f>
        <v>0</v>
      </c>
      <c r="CG20" s="681">
        <f>+'[8]Balance Sheet Detail'!DQ22</f>
        <v>0</v>
      </c>
      <c r="CH20" s="681">
        <f>+'[8]Balance Sheet Detail'!DR22</f>
        <v>0</v>
      </c>
      <c r="CI20" s="700">
        <f t="shared" si="54"/>
        <v>0</v>
      </c>
      <c r="CK20" s="33"/>
      <c r="CL20" s="184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</row>
    <row r="21" spans="1:104">
      <c r="A21" s="599" t="s">
        <v>476</v>
      </c>
      <c r="B21" s="260">
        <f t="shared" ca="1" si="53"/>
        <v>1196.6926553846154</v>
      </c>
      <c r="C21" s="79">
        <f t="shared" ref="C21:N21" si="55">SUM(C18:C20)</f>
        <v>2030.34005</v>
      </c>
      <c r="D21" s="79">
        <f t="shared" si="55"/>
        <v>1185.82446</v>
      </c>
      <c r="E21" s="79">
        <f t="shared" si="55"/>
        <v>1472.99361</v>
      </c>
      <c r="F21" s="79">
        <f t="shared" si="55"/>
        <v>1619.9621599999998</v>
      </c>
      <c r="G21" s="79">
        <f t="shared" si="55"/>
        <v>1068.5400500000001</v>
      </c>
      <c r="H21" s="79">
        <f t="shared" si="55"/>
        <v>915.17888000000005</v>
      </c>
      <c r="I21" s="79">
        <f t="shared" si="55"/>
        <v>1208.4352699999999</v>
      </c>
      <c r="J21" s="79">
        <f t="shared" si="55"/>
        <v>564.15692000000001</v>
      </c>
      <c r="K21" s="79">
        <f t="shared" si="55"/>
        <v>862.12744999999995</v>
      </c>
      <c r="L21" s="79">
        <f t="shared" si="55"/>
        <v>1107.73821</v>
      </c>
      <c r="M21" s="79">
        <f t="shared" si="55"/>
        <v>1166.60979</v>
      </c>
      <c r="N21" s="79">
        <f t="shared" si="55"/>
        <v>1715.6787099999999</v>
      </c>
      <c r="O21" s="79">
        <f t="shared" ref="O21:Z21" si="56">SUM(O18:O20)</f>
        <v>2142.9444600000002</v>
      </c>
      <c r="P21" s="79">
        <f t="shared" si="56"/>
        <v>1123.29252</v>
      </c>
      <c r="Q21" s="79">
        <f t="shared" si="56"/>
        <v>1235.8950199999999</v>
      </c>
      <c r="R21" s="79">
        <f t="shared" si="56"/>
        <v>1742.17374</v>
      </c>
      <c r="S21" s="79">
        <f t="shared" si="56"/>
        <v>1049.7999199999999</v>
      </c>
      <c r="T21" s="79">
        <f t="shared" si="56"/>
        <v>1272.4601100000002</v>
      </c>
      <c r="U21" s="79">
        <f t="shared" si="56"/>
        <v>1562.0039400000001</v>
      </c>
      <c r="V21" s="79">
        <f t="shared" si="56"/>
        <v>760.63626999999997</v>
      </c>
      <c r="W21" s="79">
        <f t="shared" si="56"/>
        <v>935.10873000000004</v>
      </c>
      <c r="X21" s="79">
        <f t="shared" si="56"/>
        <v>1188.78576</v>
      </c>
      <c r="Y21" s="79">
        <f t="shared" si="56"/>
        <v>777.88049000000001</v>
      </c>
      <c r="Z21" s="79">
        <f t="shared" si="56"/>
        <v>1195.21766</v>
      </c>
      <c r="AA21" s="79">
        <f t="shared" ref="AA21:AL21" si="57">SUM(AA18:AA20)</f>
        <v>1451.86625</v>
      </c>
      <c r="AB21" s="79">
        <f t="shared" si="57"/>
        <v>823.64361999999994</v>
      </c>
      <c r="AC21" s="79">
        <f t="shared" si="57"/>
        <v>1284.7723600000002</v>
      </c>
      <c r="AD21" s="79">
        <f t="shared" si="57"/>
        <v>1701.8793799999999</v>
      </c>
      <c r="AE21" s="79">
        <f t="shared" si="57"/>
        <v>1022.39748</v>
      </c>
      <c r="AF21" s="79">
        <f t="shared" si="57"/>
        <v>1256.9318000000001</v>
      </c>
      <c r="AG21" s="79">
        <f t="shared" si="57"/>
        <v>1595.8619199999998</v>
      </c>
      <c r="AH21" s="79">
        <f t="shared" si="57"/>
        <v>1079.8651299999999</v>
      </c>
      <c r="AI21" s="79">
        <f t="shared" si="57"/>
        <v>1299.02946</v>
      </c>
      <c r="AJ21" s="79">
        <f t="shared" si="57"/>
        <v>1496.62032</v>
      </c>
      <c r="AK21" s="79">
        <f t="shared" si="57"/>
        <v>673.25096999999994</v>
      </c>
      <c r="AL21" s="79">
        <f t="shared" si="57"/>
        <v>902.04340999999999</v>
      </c>
      <c r="AM21" s="79">
        <f t="shared" ref="AM21:AR21" si="58">SUM(AM18:AM20)</f>
        <v>1028.3160500000001</v>
      </c>
      <c r="AN21" s="79">
        <f t="shared" si="58"/>
        <v>832.64310999999998</v>
      </c>
      <c r="AO21" s="79">
        <f t="shared" si="58"/>
        <v>926.54253000000006</v>
      </c>
      <c r="AP21" s="79">
        <f t="shared" si="58"/>
        <v>1260.9897699999999</v>
      </c>
      <c r="AQ21" s="79">
        <f t="shared" si="58"/>
        <v>1026.2549300000001</v>
      </c>
      <c r="AR21" s="79">
        <f t="shared" si="58"/>
        <v>1250.5963700000002</v>
      </c>
      <c r="AS21" s="79">
        <f t="shared" ref="AS21:AY21" si="59">SUM(AS18:AS20)</f>
        <v>1439.03629</v>
      </c>
      <c r="AT21" s="79">
        <f t="shared" si="59"/>
        <v>781.25278000000003</v>
      </c>
      <c r="AU21" s="79">
        <f t="shared" si="59"/>
        <v>1020.48308</v>
      </c>
      <c r="AV21" s="79">
        <f t="shared" si="59"/>
        <v>1371.2764999999999</v>
      </c>
      <c r="AW21" s="79">
        <f t="shared" si="59"/>
        <v>841.29766000000006</v>
      </c>
      <c r="AX21" s="79">
        <f t="shared" si="59"/>
        <v>1208.3459700000001</v>
      </c>
      <c r="AY21" s="79">
        <f t="shared" si="59"/>
        <v>1542.4809399999999</v>
      </c>
      <c r="AZ21" s="79">
        <f t="shared" ref="AZ21:BJ21" si="60">SUM(AZ18:AZ20)</f>
        <v>1003.46887</v>
      </c>
      <c r="BA21" s="79">
        <f t="shared" si="60"/>
        <v>1278.8301899999999</v>
      </c>
      <c r="BB21" s="79">
        <f t="shared" si="60"/>
        <v>612.94316000000003</v>
      </c>
      <c r="BC21" s="79">
        <f t="shared" si="60"/>
        <v>1003.45624</v>
      </c>
      <c r="BD21" s="79">
        <f t="shared" si="60"/>
        <v>1274.9468200000001</v>
      </c>
      <c r="BE21" s="687">
        <f t="shared" si="60"/>
        <v>1549.0675700000002</v>
      </c>
      <c r="BF21" s="687">
        <f t="shared" si="60"/>
        <v>892.66068999999993</v>
      </c>
      <c r="BG21" s="687">
        <f t="shared" si="60"/>
        <v>1188.4883400000001</v>
      </c>
      <c r="BH21" s="687">
        <f t="shared" si="60"/>
        <v>1502.23612</v>
      </c>
      <c r="BI21" s="687">
        <f t="shared" si="60"/>
        <v>868.33180000000004</v>
      </c>
      <c r="BJ21" s="687">
        <f t="shared" si="60"/>
        <v>1027.7767200000001</v>
      </c>
      <c r="BK21" s="687">
        <f t="shared" ref="BK21:BU21" si="61">SUM(BK18:BK20)</f>
        <v>1172.7731200000001</v>
      </c>
      <c r="BL21" s="687">
        <f t="shared" si="61"/>
        <v>679.78675999999996</v>
      </c>
      <c r="BM21" s="687">
        <f t="shared" si="61"/>
        <v>1153.4104499999999</v>
      </c>
      <c r="BN21" s="687">
        <f t="shared" si="61"/>
        <v>538.84781999999996</v>
      </c>
      <c r="BO21" s="687">
        <f t="shared" si="61"/>
        <v>814.85322999999994</v>
      </c>
      <c r="BP21" s="687">
        <f t="shared" si="61"/>
        <v>1037.8276000000001</v>
      </c>
      <c r="BQ21" s="687">
        <f t="shared" si="61"/>
        <v>1474.4403300000001</v>
      </c>
      <c r="BR21" s="687">
        <f t="shared" si="61"/>
        <v>1006.0719200000001</v>
      </c>
      <c r="BS21" s="687">
        <f t="shared" si="61"/>
        <v>1343.62769</v>
      </c>
      <c r="BT21" s="687">
        <f t="shared" si="61"/>
        <v>532.97133999999994</v>
      </c>
      <c r="BU21" s="687">
        <f t="shared" si="61"/>
        <v>833.07556999999997</v>
      </c>
      <c r="BV21" s="687">
        <f t="shared" ref="BV21" si="62">SUM(BV18:BV20)</f>
        <v>846.20452</v>
      </c>
      <c r="BW21" s="687">
        <f t="shared" ref="BW21:CH21" si="63">SUM(BW18:BW20)</f>
        <v>1677.2</v>
      </c>
      <c r="BX21" s="687">
        <f t="shared" si="63"/>
        <v>742.7</v>
      </c>
      <c r="BY21" s="687">
        <f t="shared" si="63"/>
        <v>965.4</v>
      </c>
      <c r="BZ21" s="687">
        <f t="shared" si="63"/>
        <v>1317</v>
      </c>
      <c r="CA21" s="687">
        <f t="shared" si="63"/>
        <v>943</v>
      </c>
      <c r="CB21" s="687">
        <f t="shared" si="63"/>
        <v>1252.5</v>
      </c>
      <c r="CC21" s="687">
        <f t="shared" si="63"/>
        <v>1588.8</v>
      </c>
      <c r="CD21" s="687">
        <f t="shared" si="63"/>
        <v>923.8</v>
      </c>
      <c r="CE21" s="687">
        <f t="shared" si="63"/>
        <v>1248</v>
      </c>
      <c r="CF21" s="687">
        <f t="shared" si="63"/>
        <v>1569.6</v>
      </c>
      <c r="CG21" s="687">
        <f t="shared" si="63"/>
        <v>958.1</v>
      </c>
      <c r="CH21" s="687">
        <f t="shared" si="63"/>
        <v>1524.7</v>
      </c>
      <c r="CI21" s="699">
        <f t="shared" si="54"/>
        <v>1196.6926553846154</v>
      </c>
      <c r="CK21" s="33"/>
      <c r="CL21" s="184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</row>
    <row r="22" spans="1:104">
      <c r="A22" s="27"/>
      <c r="B22" s="260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687"/>
      <c r="BF22" s="687"/>
      <c r="BG22" s="687"/>
      <c r="BH22" s="687"/>
      <c r="BI22" s="687"/>
      <c r="BJ22" s="687"/>
      <c r="BK22" s="687"/>
      <c r="BL22" s="687"/>
      <c r="BM22" s="687"/>
      <c r="BN22" s="687"/>
      <c r="BO22" s="687"/>
      <c r="BP22" s="687"/>
      <c r="BQ22" s="687"/>
      <c r="BR22" s="687"/>
      <c r="BS22" s="687"/>
      <c r="BT22" s="687"/>
      <c r="BU22" s="687"/>
      <c r="BV22" s="687"/>
      <c r="BW22" s="687"/>
      <c r="BX22" s="687"/>
      <c r="BY22" s="687"/>
      <c r="BZ22" s="687"/>
      <c r="CA22" s="687"/>
      <c r="CB22" s="687"/>
      <c r="CC22" s="687"/>
      <c r="CD22" s="687"/>
      <c r="CE22" s="687"/>
      <c r="CF22" s="687"/>
      <c r="CG22" s="687"/>
      <c r="CH22" s="687"/>
      <c r="CI22" s="699"/>
      <c r="CK22" s="33"/>
      <c r="CL22" s="184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</row>
    <row r="23" spans="1:104">
      <c r="A23" s="13" t="s">
        <v>477</v>
      </c>
      <c r="B23" s="260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687"/>
      <c r="BF23" s="687"/>
      <c r="BG23" s="687"/>
      <c r="BH23" s="687"/>
      <c r="BI23" s="687"/>
      <c r="BJ23" s="687"/>
      <c r="BK23" s="687"/>
      <c r="BL23" s="687"/>
      <c r="BM23" s="687"/>
      <c r="BN23" s="687"/>
      <c r="BO23" s="687"/>
      <c r="BP23" s="687"/>
      <c r="BQ23" s="687"/>
      <c r="BR23" s="687"/>
      <c r="BS23" s="687"/>
      <c r="BT23" s="687"/>
      <c r="BU23" s="687"/>
      <c r="BV23" s="687"/>
      <c r="BW23" s="687"/>
      <c r="BX23" s="687"/>
      <c r="BY23" s="687"/>
      <c r="BZ23" s="687"/>
      <c r="CA23" s="687"/>
      <c r="CB23" s="687"/>
      <c r="CC23" s="687"/>
      <c r="CD23" s="687"/>
      <c r="CE23" s="687"/>
      <c r="CF23" s="687"/>
      <c r="CG23" s="687"/>
      <c r="CH23" s="687"/>
      <c r="CI23" s="699"/>
      <c r="CK23" s="33"/>
      <c r="CL23" s="184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</row>
    <row r="24" spans="1:104">
      <c r="A24" s="617" t="s">
        <v>478</v>
      </c>
      <c r="B24" s="260">
        <f t="shared" ref="B24:B40" ca="1" si="64">SUM(OFFSET(BK24:BW24,0,$A$1-1))/13</f>
        <v>1184.5254784615386</v>
      </c>
      <c r="C24" s="350">
        <v>-1311.8254899999999</v>
      </c>
      <c r="D24" s="350">
        <v>7683.0090700000001</v>
      </c>
      <c r="E24" s="350">
        <v>5527.9843600000004</v>
      </c>
      <c r="F24" s="350">
        <v>10732.318499999999</v>
      </c>
      <c r="G24" s="350">
        <v>13109.00223</v>
      </c>
      <c r="H24" s="350">
        <v>7235.2193799999995</v>
      </c>
      <c r="I24" s="350">
        <v>9454.7994099999996</v>
      </c>
      <c r="J24" s="350">
        <v>3982.9443300000003</v>
      </c>
      <c r="K24" s="350">
        <v>9295.5920700000006</v>
      </c>
      <c r="L24" s="350">
        <v>9556.7676699999993</v>
      </c>
      <c r="M24" s="350">
        <v>9285.5061000000005</v>
      </c>
      <c r="N24" s="350">
        <v>9677.3490099999999</v>
      </c>
      <c r="O24" s="413">
        <v>7688.52376</v>
      </c>
      <c r="P24" s="413">
        <v>10910.22869</v>
      </c>
      <c r="Q24" s="413">
        <v>8678.5849899999994</v>
      </c>
      <c r="R24" s="413">
        <v>7205.1813400000001</v>
      </c>
      <c r="S24" s="413">
        <v>9524.5121199999994</v>
      </c>
      <c r="T24" s="413">
        <v>8981.6409999999996</v>
      </c>
      <c r="U24" s="413">
        <v>8637.22163</v>
      </c>
      <c r="V24" s="413">
        <v>9145.0041000000001</v>
      </c>
      <c r="W24" s="413">
        <v>9419.2051999999985</v>
      </c>
      <c r="X24" s="413">
        <v>8961.32834</v>
      </c>
      <c r="Y24" s="413">
        <v>8984.9199200000003</v>
      </c>
      <c r="Z24" s="413">
        <v>8481.8151899999993</v>
      </c>
      <c r="AA24" s="413">
        <v>9183.2239499999996</v>
      </c>
      <c r="AB24" s="413">
        <v>8750.163050000001</v>
      </c>
      <c r="AC24" s="413">
        <v>8471.5416300000015</v>
      </c>
      <c r="AD24" s="413">
        <v>8031.7285499999998</v>
      </c>
      <c r="AE24" s="413">
        <v>8438.4384800000007</v>
      </c>
      <c r="AF24" s="413">
        <v>8121.36625</v>
      </c>
      <c r="AG24" s="413">
        <v>7908.7163</v>
      </c>
      <c r="AH24" s="413">
        <v>8508.869279999999</v>
      </c>
      <c r="AI24" s="413">
        <v>8534.6572899999992</v>
      </c>
      <c r="AJ24" s="413">
        <v>7780.8382499999998</v>
      </c>
      <c r="AK24" s="413">
        <v>8085.6366500000004</v>
      </c>
      <c r="AL24" s="413">
        <v>8303.8692900000005</v>
      </c>
      <c r="AM24" s="413">
        <v>7302.5158499999998</v>
      </c>
      <c r="AN24" s="413">
        <v>8287.9159299999992</v>
      </c>
      <c r="AO24" s="413">
        <v>7325.8216299999995</v>
      </c>
      <c r="AP24" s="413">
        <v>8579.0919200000008</v>
      </c>
      <c r="AQ24" s="413">
        <v>7939.8649500000001</v>
      </c>
      <c r="AR24" s="413">
        <v>9217.2904699999999</v>
      </c>
      <c r="AS24" s="413">
        <v>8748.9912899999999</v>
      </c>
      <c r="AT24" s="413">
        <v>9091.1896799999995</v>
      </c>
      <c r="AU24" s="413">
        <v>8693.9527699999999</v>
      </c>
      <c r="AV24" s="413">
        <v>7909.4248299999999</v>
      </c>
      <c r="AW24" s="413">
        <v>-2329.2906499999999</v>
      </c>
      <c r="AX24" s="413">
        <v>0</v>
      </c>
      <c r="AY24" s="413">
        <v>-2689.7489300000002</v>
      </c>
      <c r="AZ24" s="413">
        <v>-3162.0561400000001</v>
      </c>
      <c r="BA24" s="413">
        <v>-11401.52347</v>
      </c>
      <c r="BB24" s="413">
        <v>-5509.3533399999997</v>
      </c>
      <c r="BC24" s="413">
        <v>-6460.9939800000002</v>
      </c>
      <c r="BD24" s="413">
        <v>-6949.0251900000003</v>
      </c>
      <c r="BE24" s="587">
        <v>-7398.45363</v>
      </c>
      <c r="BF24" s="587">
        <v>-8227.6177100000004</v>
      </c>
      <c r="BG24" s="587">
        <v>-7765.8545400000003</v>
      </c>
      <c r="BH24" s="587">
        <v>-7470.3617300000005</v>
      </c>
      <c r="BI24" s="587">
        <v>-7735.3893499999995</v>
      </c>
      <c r="BJ24" s="587">
        <v>2104.29709</v>
      </c>
      <c r="BK24" s="587">
        <v>2421.36841</v>
      </c>
      <c r="BL24" s="587">
        <v>2914.0834199999999</v>
      </c>
      <c r="BM24" s="587">
        <v>2916.9857900000002</v>
      </c>
      <c r="BN24" s="587">
        <v>3086.2512999999999</v>
      </c>
      <c r="BO24" s="587">
        <v>3094.2603399999998</v>
      </c>
      <c r="BP24" s="587">
        <v>3178.44407</v>
      </c>
      <c r="BQ24" s="587">
        <v>3526.5861299999997</v>
      </c>
      <c r="BR24" s="587">
        <v>3591.6478399999996</v>
      </c>
      <c r="BS24" s="587">
        <v>3683.8454400000001</v>
      </c>
      <c r="BT24" s="587">
        <v>4119.3302000000003</v>
      </c>
      <c r="BU24" s="587">
        <v>3693.1476899999998</v>
      </c>
      <c r="BV24" s="587">
        <v>3398.83122</v>
      </c>
      <c r="BW24" s="805">
        <f>+'[8]Balance Sheet Detail'!DG26</f>
        <v>1000</v>
      </c>
      <c r="BX24" s="587">
        <f>+'[8]Balance Sheet Detail'!DH26</f>
        <v>1000</v>
      </c>
      <c r="BY24" s="587">
        <f>+'[8]Balance Sheet Detail'!DI26</f>
        <v>1000</v>
      </c>
      <c r="BZ24" s="587">
        <f>+'[8]Balance Sheet Detail'!DJ26</f>
        <v>1000</v>
      </c>
      <c r="CA24" s="587">
        <f>+'[8]Balance Sheet Detail'!DK26</f>
        <v>1000</v>
      </c>
      <c r="CB24" s="587">
        <f>+'[8]Balance Sheet Detail'!DL26</f>
        <v>1000</v>
      </c>
      <c r="CC24" s="587">
        <f>+'[8]Balance Sheet Detail'!DM26</f>
        <v>1000</v>
      </c>
      <c r="CD24" s="587">
        <f>+'[8]Balance Sheet Detail'!DN26</f>
        <v>1000</v>
      </c>
      <c r="CE24" s="587">
        <f>+'[8]Balance Sheet Detail'!DO26</f>
        <v>1000</v>
      </c>
      <c r="CF24" s="587">
        <f>+'[8]Balance Sheet Detail'!DP26</f>
        <v>1000</v>
      </c>
      <c r="CG24" s="587">
        <f>+'[8]Balance Sheet Detail'!DQ26</f>
        <v>1000</v>
      </c>
      <c r="CH24" s="805">
        <f>+'[8]Balance Sheet Detail'!DR26</f>
        <v>1000</v>
      </c>
      <c r="CI24" s="699">
        <f t="shared" ref="CI24:CI40" si="65">SUM(BV24:CH24)/13</f>
        <v>1184.5254784615386</v>
      </c>
      <c r="CJ24" s="1068"/>
      <c r="CK24" s="33"/>
      <c r="CL24" s="184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</row>
    <row r="25" spans="1:104">
      <c r="A25" s="617" t="s">
        <v>479</v>
      </c>
      <c r="B25" s="260">
        <f t="shared" ca="1" si="64"/>
        <v>0</v>
      </c>
      <c r="C25" s="350">
        <v>0</v>
      </c>
      <c r="D25" s="350">
        <v>0</v>
      </c>
      <c r="E25" s="350">
        <v>0</v>
      </c>
      <c r="F25" s="350">
        <v>0</v>
      </c>
      <c r="G25" s="350">
        <v>0</v>
      </c>
      <c r="H25" s="350">
        <v>0</v>
      </c>
      <c r="I25" s="350">
        <v>0</v>
      </c>
      <c r="J25" s="350">
        <v>0</v>
      </c>
      <c r="K25" s="350">
        <v>0</v>
      </c>
      <c r="L25" s="350">
        <v>0</v>
      </c>
      <c r="M25" s="350">
        <v>0</v>
      </c>
      <c r="N25" s="350">
        <v>0</v>
      </c>
      <c r="O25" s="413">
        <v>0</v>
      </c>
      <c r="P25" s="413">
        <v>0</v>
      </c>
      <c r="Q25" s="413">
        <v>0</v>
      </c>
      <c r="R25" s="413">
        <v>0</v>
      </c>
      <c r="S25" s="413">
        <v>0</v>
      </c>
      <c r="T25" s="413">
        <v>0</v>
      </c>
      <c r="U25" s="413">
        <v>0</v>
      </c>
      <c r="V25" s="413">
        <v>0</v>
      </c>
      <c r="W25" s="413">
        <v>0</v>
      </c>
      <c r="X25" s="413">
        <v>0</v>
      </c>
      <c r="Y25" s="413">
        <v>0</v>
      </c>
      <c r="Z25" s="413">
        <v>0</v>
      </c>
      <c r="AA25" s="413">
        <v>0</v>
      </c>
      <c r="AB25" s="413">
        <v>0</v>
      </c>
      <c r="AC25" s="413">
        <v>0</v>
      </c>
      <c r="AD25" s="413">
        <v>0</v>
      </c>
      <c r="AE25" s="413">
        <v>0</v>
      </c>
      <c r="AF25" s="413">
        <v>0</v>
      </c>
      <c r="AG25" s="413">
        <v>0</v>
      </c>
      <c r="AH25" s="413">
        <v>0</v>
      </c>
      <c r="AI25" s="413">
        <v>0</v>
      </c>
      <c r="AJ25" s="413">
        <v>0</v>
      </c>
      <c r="AK25" s="413">
        <v>0</v>
      </c>
      <c r="AL25" s="413">
        <v>0</v>
      </c>
      <c r="AM25" s="413">
        <v>0</v>
      </c>
      <c r="AN25" s="413">
        <v>0</v>
      </c>
      <c r="AO25" s="413">
        <v>0</v>
      </c>
      <c r="AP25" s="413">
        <v>0</v>
      </c>
      <c r="AQ25" s="413">
        <v>0</v>
      </c>
      <c r="AR25" s="413">
        <v>0</v>
      </c>
      <c r="AS25" s="413">
        <v>0</v>
      </c>
      <c r="AT25" s="413">
        <v>0</v>
      </c>
      <c r="AU25" s="413">
        <v>0</v>
      </c>
      <c r="AV25" s="413">
        <v>0</v>
      </c>
      <c r="AW25" s="413">
        <v>0</v>
      </c>
      <c r="AX25" s="413">
        <v>0</v>
      </c>
      <c r="AY25" s="413">
        <v>0</v>
      </c>
      <c r="AZ25" s="413">
        <v>0</v>
      </c>
      <c r="BA25" s="413">
        <v>0</v>
      </c>
      <c r="BB25" s="413">
        <v>0</v>
      </c>
      <c r="BC25" s="413">
        <v>0</v>
      </c>
      <c r="BD25" s="413">
        <v>0</v>
      </c>
      <c r="BE25" s="587">
        <v>0</v>
      </c>
      <c r="BF25" s="587">
        <v>0</v>
      </c>
      <c r="BG25" s="587">
        <v>0</v>
      </c>
      <c r="BH25" s="587">
        <v>0</v>
      </c>
      <c r="BI25" s="587">
        <v>0</v>
      </c>
      <c r="BJ25" s="587">
        <v>0</v>
      </c>
      <c r="BK25" s="587">
        <v>0</v>
      </c>
      <c r="BL25" s="587">
        <v>0</v>
      </c>
      <c r="BM25" s="587">
        <v>0</v>
      </c>
      <c r="BN25" s="587">
        <v>0</v>
      </c>
      <c r="BO25" s="587">
        <v>0</v>
      </c>
      <c r="BP25" s="587">
        <v>0</v>
      </c>
      <c r="BQ25" s="587">
        <v>0</v>
      </c>
      <c r="BR25" s="587">
        <v>0</v>
      </c>
      <c r="BS25" s="587">
        <v>0</v>
      </c>
      <c r="BT25" s="587">
        <v>0</v>
      </c>
      <c r="BU25" s="587">
        <v>0</v>
      </c>
      <c r="BV25" s="587">
        <v>0</v>
      </c>
      <c r="BW25" s="805">
        <f>+'[8]Balance Sheet Detail'!DG27</f>
        <v>0</v>
      </c>
      <c r="BX25" s="587">
        <f>+'[8]Balance Sheet Detail'!DH27</f>
        <v>0</v>
      </c>
      <c r="BY25" s="587">
        <f>+'[8]Balance Sheet Detail'!DI27</f>
        <v>0</v>
      </c>
      <c r="BZ25" s="587">
        <f>+'[8]Balance Sheet Detail'!DJ27</f>
        <v>0</v>
      </c>
      <c r="CA25" s="587">
        <f>+'[8]Balance Sheet Detail'!DK27</f>
        <v>0</v>
      </c>
      <c r="CB25" s="587">
        <f>+'[8]Balance Sheet Detail'!DL27</f>
        <v>0</v>
      </c>
      <c r="CC25" s="587">
        <f>+'[8]Balance Sheet Detail'!DM27</f>
        <v>0</v>
      </c>
      <c r="CD25" s="587">
        <f>+'[8]Balance Sheet Detail'!DN27</f>
        <v>0</v>
      </c>
      <c r="CE25" s="587">
        <f>+'[8]Balance Sheet Detail'!DO27</f>
        <v>0</v>
      </c>
      <c r="CF25" s="587">
        <f>+'[8]Balance Sheet Detail'!DP27</f>
        <v>0</v>
      </c>
      <c r="CG25" s="587">
        <f>+'[8]Balance Sheet Detail'!DQ27</f>
        <v>0</v>
      </c>
      <c r="CH25" s="805">
        <f>+'[8]Balance Sheet Detail'!DR27</f>
        <v>0</v>
      </c>
      <c r="CI25" s="699">
        <f t="shared" si="65"/>
        <v>0</v>
      </c>
      <c r="CJ25" s="1068"/>
      <c r="CK25" s="33"/>
      <c r="CL25" s="184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</row>
    <row r="26" spans="1:104">
      <c r="A26" s="617" t="s">
        <v>480</v>
      </c>
      <c r="B26" s="260">
        <f t="shared" ca="1" si="64"/>
        <v>25</v>
      </c>
      <c r="C26" s="350">
        <v>25</v>
      </c>
      <c r="D26" s="350">
        <v>25</v>
      </c>
      <c r="E26" s="350">
        <v>25</v>
      </c>
      <c r="F26" s="350">
        <v>25</v>
      </c>
      <c r="G26" s="350">
        <v>25</v>
      </c>
      <c r="H26" s="350">
        <v>25</v>
      </c>
      <c r="I26" s="350">
        <v>25</v>
      </c>
      <c r="J26" s="350">
        <v>25</v>
      </c>
      <c r="K26" s="350">
        <v>25</v>
      </c>
      <c r="L26" s="350">
        <v>25</v>
      </c>
      <c r="M26" s="350">
        <v>25</v>
      </c>
      <c r="N26" s="350">
        <v>25</v>
      </c>
      <c r="O26" s="413">
        <v>25</v>
      </c>
      <c r="P26" s="413">
        <v>25</v>
      </c>
      <c r="Q26" s="413">
        <v>25</v>
      </c>
      <c r="R26" s="413">
        <v>25</v>
      </c>
      <c r="S26" s="413">
        <v>25</v>
      </c>
      <c r="T26" s="413">
        <v>25</v>
      </c>
      <c r="U26" s="413">
        <v>25</v>
      </c>
      <c r="V26" s="413">
        <v>25</v>
      </c>
      <c r="W26" s="413">
        <v>25</v>
      </c>
      <c r="X26" s="413">
        <v>25</v>
      </c>
      <c r="Y26" s="413">
        <v>25</v>
      </c>
      <c r="Z26" s="413">
        <v>25</v>
      </c>
      <c r="AA26" s="413">
        <v>25</v>
      </c>
      <c r="AB26" s="413">
        <v>25</v>
      </c>
      <c r="AC26" s="413">
        <v>25</v>
      </c>
      <c r="AD26" s="413">
        <v>25</v>
      </c>
      <c r="AE26" s="413">
        <v>25</v>
      </c>
      <c r="AF26" s="413">
        <v>25</v>
      </c>
      <c r="AG26" s="413">
        <v>25</v>
      </c>
      <c r="AH26" s="413">
        <v>25</v>
      </c>
      <c r="AI26" s="413">
        <v>25</v>
      </c>
      <c r="AJ26" s="413">
        <v>25</v>
      </c>
      <c r="AK26" s="413">
        <v>25</v>
      </c>
      <c r="AL26" s="413">
        <v>25</v>
      </c>
      <c r="AM26" s="413">
        <v>25</v>
      </c>
      <c r="AN26" s="413">
        <v>25</v>
      </c>
      <c r="AO26" s="413">
        <v>25</v>
      </c>
      <c r="AP26" s="413">
        <v>25</v>
      </c>
      <c r="AQ26" s="413">
        <v>25</v>
      </c>
      <c r="AR26" s="413">
        <v>25</v>
      </c>
      <c r="AS26" s="413">
        <v>25</v>
      </c>
      <c r="AT26" s="413">
        <v>25</v>
      </c>
      <c r="AU26" s="413">
        <v>25</v>
      </c>
      <c r="AV26" s="413">
        <v>25</v>
      </c>
      <c r="AW26" s="413">
        <v>25</v>
      </c>
      <c r="AX26" s="413">
        <v>25</v>
      </c>
      <c r="AY26" s="413">
        <v>25</v>
      </c>
      <c r="AZ26" s="413">
        <v>25</v>
      </c>
      <c r="BA26" s="413">
        <v>25</v>
      </c>
      <c r="BB26" s="413">
        <v>25</v>
      </c>
      <c r="BC26" s="413">
        <v>25</v>
      </c>
      <c r="BD26" s="413">
        <v>25</v>
      </c>
      <c r="BE26" s="587">
        <v>25</v>
      </c>
      <c r="BF26" s="587">
        <v>25</v>
      </c>
      <c r="BG26" s="587">
        <v>25</v>
      </c>
      <c r="BH26" s="587">
        <v>25</v>
      </c>
      <c r="BI26" s="587">
        <v>25</v>
      </c>
      <c r="BJ26" s="587">
        <v>25</v>
      </c>
      <c r="BK26" s="587">
        <v>25</v>
      </c>
      <c r="BL26" s="587">
        <v>25</v>
      </c>
      <c r="BM26" s="587">
        <v>25</v>
      </c>
      <c r="BN26" s="587">
        <v>25</v>
      </c>
      <c r="BO26" s="587">
        <v>25</v>
      </c>
      <c r="BP26" s="587">
        <v>25</v>
      </c>
      <c r="BQ26" s="587">
        <v>25</v>
      </c>
      <c r="BR26" s="587">
        <v>25</v>
      </c>
      <c r="BS26" s="587">
        <v>25</v>
      </c>
      <c r="BT26" s="587">
        <v>25</v>
      </c>
      <c r="BU26" s="587">
        <v>25</v>
      </c>
      <c r="BV26" s="587">
        <v>25</v>
      </c>
      <c r="BW26" s="805">
        <f>+'[8]Balance Sheet Detail'!DG28</f>
        <v>25</v>
      </c>
      <c r="BX26" s="587">
        <f>+'[8]Balance Sheet Detail'!DH28</f>
        <v>25</v>
      </c>
      <c r="BY26" s="587">
        <f>+'[8]Balance Sheet Detail'!DI28</f>
        <v>25</v>
      </c>
      <c r="BZ26" s="587">
        <f>+'[8]Balance Sheet Detail'!DJ28</f>
        <v>25</v>
      </c>
      <c r="CA26" s="587">
        <f>+'[8]Balance Sheet Detail'!DK28</f>
        <v>25</v>
      </c>
      <c r="CB26" s="587">
        <f>+'[8]Balance Sheet Detail'!DL28</f>
        <v>25</v>
      </c>
      <c r="CC26" s="587">
        <f>+'[8]Balance Sheet Detail'!DM28</f>
        <v>25</v>
      </c>
      <c r="CD26" s="587">
        <f>+'[8]Balance Sheet Detail'!DN28</f>
        <v>25</v>
      </c>
      <c r="CE26" s="587">
        <f>+'[8]Balance Sheet Detail'!DO28</f>
        <v>25</v>
      </c>
      <c r="CF26" s="587">
        <f>+'[8]Balance Sheet Detail'!DP28</f>
        <v>25</v>
      </c>
      <c r="CG26" s="587">
        <f>+'[8]Balance Sheet Detail'!DQ28</f>
        <v>25</v>
      </c>
      <c r="CH26" s="805">
        <f>+'[8]Balance Sheet Detail'!DR28</f>
        <v>25</v>
      </c>
      <c r="CI26" s="699">
        <f t="shared" si="65"/>
        <v>25</v>
      </c>
      <c r="CJ26" s="1068"/>
      <c r="CK26" s="33"/>
      <c r="CL26" s="184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</row>
    <row r="27" spans="1:104">
      <c r="A27" s="617" t="s">
        <v>481</v>
      </c>
      <c r="B27" s="260">
        <f t="shared" ca="1" si="64"/>
        <v>2.9961538461538462</v>
      </c>
      <c r="C27" s="350">
        <v>2.95</v>
      </c>
      <c r="D27" s="350">
        <v>2.95</v>
      </c>
      <c r="E27" s="350">
        <v>2.95</v>
      </c>
      <c r="F27" s="350">
        <v>2.95</v>
      </c>
      <c r="G27" s="350">
        <v>2.95</v>
      </c>
      <c r="H27" s="350">
        <v>2.95</v>
      </c>
      <c r="I27" s="350">
        <v>2.95</v>
      </c>
      <c r="J27" s="350">
        <v>2.95</v>
      </c>
      <c r="K27" s="350">
        <v>2.95</v>
      </c>
      <c r="L27" s="350">
        <v>2.95</v>
      </c>
      <c r="M27" s="350">
        <v>2.95</v>
      </c>
      <c r="N27" s="350">
        <v>2.95</v>
      </c>
      <c r="O27" s="413">
        <v>2.95</v>
      </c>
      <c r="P27" s="413">
        <v>2.95</v>
      </c>
      <c r="Q27" s="413">
        <v>2.95</v>
      </c>
      <c r="R27" s="413">
        <v>2.95</v>
      </c>
      <c r="S27" s="413">
        <v>2.95</v>
      </c>
      <c r="T27" s="413">
        <v>2.95</v>
      </c>
      <c r="U27" s="413">
        <v>2.95</v>
      </c>
      <c r="V27" s="413">
        <v>2.95</v>
      </c>
      <c r="W27" s="413">
        <v>2.95</v>
      </c>
      <c r="X27" s="413">
        <v>2.95</v>
      </c>
      <c r="Y27" s="413">
        <v>2.95</v>
      </c>
      <c r="Z27" s="413">
        <v>2.95</v>
      </c>
      <c r="AA27" s="413">
        <v>2.95</v>
      </c>
      <c r="AB27" s="413">
        <v>2.95</v>
      </c>
      <c r="AC27" s="413">
        <v>2.95</v>
      </c>
      <c r="AD27" s="413">
        <v>2.95</v>
      </c>
      <c r="AE27" s="413">
        <v>2.95</v>
      </c>
      <c r="AF27" s="413">
        <v>2.95</v>
      </c>
      <c r="AG27" s="413">
        <v>2.95</v>
      </c>
      <c r="AH27" s="413">
        <v>2.95</v>
      </c>
      <c r="AI27" s="413">
        <v>2.95</v>
      </c>
      <c r="AJ27" s="413">
        <v>2.95</v>
      </c>
      <c r="AK27" s="413">
        <v>2.95</v>
      </c>
      <c r="AL27" s="413">
        <v>2.95</v>
      </c>
      <c r="AM27" s="413">
        <v>2.95</v>
      </c>
      <c r="AN27" s="413">
        <v>2.95</v>
      </c>
      <c r="AO27" s="413">
        <v>2.95</v>
      </c>
      <c r="AP27" s="413">
        <v>2.95</v>
      </c>
      <c r="AQ27" s="413">
        <v>2.95</v>
      </c>
      <c r="AR27" s="413">
        <v>2.95</v>
      </c>
      <c r="AS27" s="413">
        <v>2.95</v>
      </c>
      <c r="AT27" s="413">
        <v>2.95</v>
      </c>
      <c r="AU27" s="413">
        <v>2.95</v>
      </c>
      <c r="AV27" s="413">
        <v>2.95</v>
      </c>
      <c r="AW27" s="413">
        <v>2.95</v>
      </c>
      <c r="AX27" s="413">
        <v>2.95</v>
      </c>
      <c r="AY27" s="413">
        <v>2.95</v>
      </c>
      <c r="AZ27" s="413">
        <v>2.95</v>
      </c>
      <c r="BA27" s="413">
        <v>2.95</v>
      </c>
      <c r="BB27" s="413">
        <v>2.95</v>
      </c>
      <c r="BC27" s="413">
        <v>2.95</v>
      </c>
      <c r="BD27" s="413">
        <v>2.95</v>
      </c>
      <c r="BE27" s="587">
        <v>2.95</v>
      </c>
      <c r="BF27" s="587">
        <v>2.95</v>
      </c>
      <c r="BG27" s="587">
        <v>2.95</v>
      </c>
      <c r="BH27" s="587">
        <v>2.95</v>
      </c>
      <c r="BI27" s="587">
        <v>2.95</v>
      </c>
      <c r="BJ27" s="587">
        <v>2.95</v>
      </c>
      <c r="BK27" s="587">
        <v>2.95</v>
      </c>
      <c r="BL27" s="587">
        <v>2.95</v>
      </c>
      <c r="BM27" s="587">
        <v>2.95</v>
      </c>
      <c r="BN27" s="587">
        <v>2.95</v>
      </c>
      <c r="BO27" s="587">
        <v>2.95</v>
      </c>
      <c r="BP27" s="587">
        <v>2.95</v>
      </c>
      <c r="BQ27" s="587">
        <v>2.95</v>
      </c>
      <c r="BR27" s="587">
        <v>2.95</v>
      </c>
      <c r="BS27" s="587">
        <v>2.95</v>
      </c>
      <c r="BT27" s="587">
        <v>2.95</v>
      </c>
      <c r="BU27" s="587">
        <v>2.95</v>
      </c>
      <c r="BV27" s="587">
        <v>2.95</v>
      </c>
      <c r="BW27" s="587">
        <f>+'[8]Balance Sheet Detail'!DG29</f>
        <v>3</v>
      </c>
      <c r="BX27" s="587">
        <f>+'[8]Balance Sheet Detail'!DH29</f>
        <v>3</v>
      </c>
      <c r="BY27" s="587">
        <f>+'[8]Balance Sheet Detail'!DI29</f>
        <v>3</v>
      </c>
      <c r="BZ27" s="587">
        <f>+'[8]Balance Sheet Detail'!DJ29</f>
        <v>3</v>
      </c>
      <c r="CA27" s="587">
        <f>+'[8]Balance Sheet Detail'!DK29</f>
        <v>3</v>
      </c>
      <c r="CB27" s="587">
        <f>+'[8]Balance Sheet Detail'!DL29</f>
        <v>3</v>
      </c>
      <c r="CC27" s="587">
        <f>+'[8]Balance Sheet Detail'!DM29</f>
        <v>3</v>
      </c>
      <c r="CD27" s="587">
        <f>+'[8]Balance Sheet Detail'!DN29</f>
        <v>3</v>
      </c>
      <c r="CE27" s="587">
        <f>+'[8]Balance Sheet Detail'!DO29</f>
        <v>3</v>
      </c>
      <c r="CF27" s="587">
        <f>+'[8]Balance Sheet Detail'!DP29</f>
        <v>3</v>
      </c>
      <c r="CG27" s="587">
        <f>+'[8]Balance Sheet Detail'!DQ29</f>
        <v>3</v>
      </c>
      <c r="CH27" s="587">
        <f>+'[8]Balance Sheet Detail'!DR29</f>
        <v>3</v>
      </c>
      <c r="CI27" s="699">
        <f t="shared" si="65"/>
        <v>2.9961538461538462</v>
      </c>
      <c r="CK27" s="33"/>
      <c r="CL27" s="184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</row>
    <row r="28" spans="1:104">
      <c r="A28" s="617" t="s">
        <v>482</v>
      </c>
      <c r="B28" s="260">
        <f t="shared" ca="1" si="64"/>
        <v>0</v>
      </c>
      <c r="C28" s="350">
        <v>0</v>
      </c>
      <c r="D28" s="350">
        <v>0</v>
      </c>
      <c r="E28" s="350">
        <v>0</v>
      </c>
      <c r="F28" s="350">
        <v>0</v>
      </c>
      <c r="G28" s="350">
        <v>0</v>
      </c>
      <c r="H28" s="350">
        <v>0</v>
      </c>
      <c r="I28" s="350">
        <v>0</v>
      </c>
      <c r="J28" s="350">
        <v>0</v>
      </c>
      <c r="K28" s="350">
        <v>0</v>
      </c>
      <c r="L28" s="350">
        <v>0</v>
      </c>
      <c r="M28" s="350">
        <v>0</v>
      </c>
      <c r="N28" s="350">
        <v>0</v>
      </c>
      <c r="O28" s="413">
        <v>0</v>
      </c>
      <c r="P28" s="413">
        <v>0</v>
      </c>
      <c r="Q28" s="413">
        <v>0</v>
      </c>
      <c r="R28" s="413">
        <v>0</v>
      </c>
      <c r="S28" s="413">
        <v>0</v>
      </c>
      <c r="T28" s="413">
        <v>0</v>
      </c>
      <c r="U28" s="413">
        <v>0</v>
      </c>
      <c r="V28" s="413">
        <v>0</v>
      </c>
      <c r="W28" s="413">
        <v>0</v>
      </c>
      <c r="X28" s="413">
        <v>0</v>
      </c>
      <c r="Y28" s="413">
        <v>0</v>
      </c>
      <c r="Z28" s="413">
        <v>0</v>
      </c>
      <c r="AA28" s="413">
        <v>0</v>
      </c>
      <c r="AB28" s="413">
        <v>0</v>
      </c>
      <c r="AC28" s="413">
        <v>0</v>
      </c>
      <c r="AD28" s="413">
        <v>0</v>
      </c>
      <c r="AE28" s="413">
        <v>0</v>
      </c>
      <c r="AF28" s="413">
        <v>0</v>
      </c>
      <c r="AG28" s="413">
        <v>0</v>
      </c>
      <c r="AH28" s="413">
        <v>0</v>
      </c>
      <c r="AI28" s="413">
        <v>0</v>
      </c>
      <c r="AJ28" s="413">
        <v>0</v>
      </c>
      <c r="AK28" s="413">
        <v>0</v>
      </c>
      <c r="AL28" s="413">
        <v>0</v>
      </c>
      <c r="AM28" s="413">
        <v>0</v>
      </c>
      <c r="AN28" s="413">
        <v>0</v>
      </c>
      <c r="AO28" s="413">
        <v>0</v>
      </c>
      <c r="AP28" s="413">
        <v>0</v>
      </c>
      <c r="AQ28" s="413">
        <v>0</v>
      </c>
      <c r="AR28" s="413">
        <v>0</v>
      </c>
      <c r="AS28" s="413">
        <v>0</v>
      </c>
      <c r="AT28" s="413">
        <v>0</v>
      </c>
      <c r="AU28" s="413">
        <v>0</v>
      </c>
      <c r="AV28" s="413">
        <v>0</v>
      </c>
      <c r="AW28" s="413">
        <v>0</v>
      </c>
      <c r="AX28" s="413">
        <v>0</v>
      </c>
      <c r="AY28" s="413">
        <v>0</v>
      </c>
      <c r="AZ28" s="413">
        <v>0</v>
      </c>
      <c r="BA28" s="413">
        <v>0</v>
      </c>
      <c r="BB28" s="413">
        <v>0</v>
      </c>
      <c r="BC28" s="413">
        <v>0</v>
      </c>
      <c r="BD28" s="413">
        <v>0</v>
      </c>
      <c r="BE28" s="587">
        <v>0</v>
      </c>
      <c r="BF28" s="587">
        <v>0</v>
      </c>
      <c r="BG28" s="587">
        <v>0</v>
      </c>
      <c r="BH28" s="587">
        <v>0</v>
      </c>
      <c r="BI28" s="587">
        <v>0</v>
      </c>
      <c r="BJ28" s="587">
        <v>0</v>
      </c>
      <c r="BK28" s="587">
        <v>0</v>
      </c>
      <c r="BL28" s="587">
        <v>0</v>
      </c>
      <c r="BM28" s="587">
        <v>0</v>
      </c>
      <c r="BN28" s="587">
        <v>0</v>
      </c>
      <c r="BO28" s="587">
        <v>0</v>
      </c>
      <c r="BP28" s="587">
        <v>0</v>
      </c>
      <c r="BQ28" s="587">
        <v>0</v>
      </c>
      <c r="BR28" s="587">
        <v>0</v>
      </c>
      <c r="BS28" s="587">
        <v>0</v>
      </c>
      <c r="BT28" s="587">
        <v>0</v>
      </c>
      <c r="BU28" s="587">
        <v>0</v>
      </c>
      <c r="BV28" s="587">
        <v>0</v>
      </c>
      <c r="BW28" s="587">
        <f>+'[8]Balance Sheet Detail'!DG30</f>
        <v>0</v>
      </c>
      <c r="BX28" s="587">
        <f>+'[8]Balance Sheet Detail'!DH30</f>
        <v>0</v>
      </c>
      <c r="BY28" s="587">
        <f>+'[8]Balance Sheet Detail'!DI30</f>
        <v>0</v>
      </c>
      <c r="BZ28" s="587">
        <f>+'[8]Balance Sheet Detail'!DJ30</f>
        <v>0</v>
      </c>
      <c r="CA28" s="587">
        <f>+'[8]Balance Sheet Detail'!DK30</f>
        <v>0</v>
      </c>
      <c r="CB28" s="587">
        <f>+'[8]Balance Sheet Detail'!DL30</f>
        <v>0</v>
      </c>
      <c r="CC28" s="587">
        <f>+'[8]Balance Sheet Detail'!DM30</f>
        <v>0</v>
      </c>
      <c r="CD28" s="587">
        <f>+'[8]Balance Sheet Detail'!DN30</f>
        <v>0</v>
      </c>
      <c r="CE28" s="587">
        <f>+'[8]Balance Sheet Detail'!DO30</f>
        <v>0</v>
      </c>
      <c r="CF28" s="587">
        <f>+'[8]Balance Sheet Detail'!DP30</f>
        <v>0</v>
      </c>
      <c r="CG28" s="587">
        <f>+'[8]Balance Sheet Detail'!DQ30</f>
        <v>0</v>
      </c>
      <c r="CH28" s="587">
        <f>+'[8]Balance Sheet Detail'!DR30</f>
        <v>0</v>
      </c>
      <c r="CI28" s="699">
        <f t="shared" si="65"/>
        <v>0</v>
      </c>
      <c r="CK28" s="33"/>
      <c r="CL28" s="184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</row>
    <row r="29" spans="1:104">
      <c r="A29" s="617" t="s">
        <v>483</v>
      </c>
      <c r="B29" s="260">
        <f t="shared" ca="1" si="64"/>
        <v>37662.945926923079</v>
      </c>
      <c r="C29" s="350">
        <v>29988.88334</v>
      </c>
      <c r="D29" s="350">
        <v>30496.22898</v>
      </c>
      <c r="E29" s="350">
        <v>25425.34894</v>
      </c>
      <c r="F29" s="350">
        <v>29266.124250000001</v>
      </c>
      <c r="G29" s="350">
        <v>26763.987870000001</v>
      </c>
      <c r="H29" s="350">
        <v>23778.38897</v>
      </c>
      <c r="I29" s="350">
        <v>24866.772410000001</v>
      </c>
      <c r="J29" s="350">
        <v>19382.73099</v>
      </c>
      <c r="K29" s="350">
        <v>26222.13406</v>
      </c>
      <c r="L29" s="350">
        <v>21363.062819999999</v>
      </c>
      <c r="M29" s="350">
        <v>23526.603070000001</v>
      </c>
      <c r="N29" s="350">
        <v>29589.589309999999</v>
      </c>
      <c r="O29" s="413">
        <v>39142.637479999998</v>
      </c>
      <c r="P29" s="413">
        <v>33520.126620000003</v>
      </c>
      <c r="Q29" s="413">
        <v>28369.965609999999</v>
      </c>
      <c r="R29" s="413">
        <v>30347.437300000001</v>
      </c>
      <c r="S29" s="413">
        <v>26461.489610000001</v>
      </c>
      <c r="T29" s="413">
        <v>26323.048569999999</v>
      </c>
      <c r="U29" s="413">
        <v>27677.789359999999</v>
      </c>
      <c r="V29" s="413">
        <v>22422.804370000002</v>
      </c>
      <c r="W29" s="413">
        <v>26981.163199999999</v>
      </c>
      <c r="X29" s="413">
        <v>25315.728010000003</v>
      </c>
      <c r="Y29" s="413">
        <v>24158.601609999998</v>
      </c>
      <c r="Z29" s="413">
        <v>29542.589260000001</v>
      </c>
      <c r="AA29" s="413">
        <v>32582.158719999999</v>
      </c>
      <c r="AB29" s="413">
        <v>32195.81365</v>
      </c>
      <c r="AC29" s="413">
        <v>29074.433710000001</v>
      </c>
      <c r="AD29" s="413">
        <v>27185.46384</v>
      </c>
      <c r="AE29" s="413">
        <v>25642.351340000001</v>
      </c>
      <c r="AF29" s="413">
        <v>23881.225350000001</v>
      </c>
      <c r="AG29" s="413">
        <v>21407.37066</v>
      </c>
      <c r="AH29" s="413">
        <v>20163.176579999999</v>
      </c>
      <c r="AI29" s="413">
        <v>23570.156899999998</v>
      </c>
      <c r="AJ29" s="413">
        <v>20921.762350000001</v>
      </c>
      <c r="AK29" s="413">
        <v>25051.047790000001</v>
      </c>
      <c r="AL29" s="413">
        <v>28445.71646</v>
      </c>
      <c r="AM29" s="413">
        <v>33690.965270000001</v>
      </c>
      <c r="AN29" s="413">
        <v>31434.966370000002</v>
      </c>
      <c r="AO29" s="413">
        <v>28960.246870000003</v>
      </c>
      <c r="AP29" s="413">
        <v>25442.43147</v>
      </c>
      <c r="AQ29" s="413">
        <v>24859.606969999997</v>
      </c>
      <c r="AR29" s="413">
        <v>24328.61275</v>
      </c>
      <c r="AS29" s="413">
        <v>22554.22565</v>
      </c>
      <c r="AT29" s="413">
        <v>22331.643629999999</v>
      </c>
      <c r="AU29" s="413">
        <v>23076.572399999997</v>
      </c>
      <c r="AV29" s="413">
        <v>21627.94054</v>
      </c>
      <c r="AW29" s="413">
        <v>25437.275010000001</v>
      </c>
      <c r="AX29" s="413">
        <v>29061.274129999998</v>
      </c>
      <c r="AY29" s="413">
        <v>41434.704340000004</v>
      </c>
      <c r="AZ29" s="413">
        <v>43191.845930000003</v>
      </c>
      <c r="BA29" s="413">
        <v>37311.112030000004</v>
      </c>
      <c r="BB29" s="413">
        <v>33050.040489999999</v>
      </c>
      <c r="BC29" s="413">
        <v>31383.89314</v>
      </c>
      <c r="BD29" s="413">
        <v>28707.721799999999</v>
      </c>
      <c r="BE29" s="587">
        <v>28842.32962</v>
      </c>
      <c r="BF29" s="587">
        <v>27207.266440000003</v>
      </c>
      <c r="BG29" s="587">
        <v>28836.682519999998</v>
      </c>
      <c r="BH29" s="587">
        <v>30680.668960000003</v>
      </c>
      <c r="BI29" s="587">
        <v>29358.886930000001</v>
      </c>
      <c r="BJ29" s="587">
        <v>34889.403490000004</v>
      </c>
      <c r="BK29" s="587">
        <v>46802.983999999997</v>
      </c>
      <c r="BL29" s="587">
        <v>51862.174679999996</v>
      </c>
      <c r="BM29" s="587">
        <v>42268.944790000001</v>
      </c>
      <c r="BN29" s="587">
        <v>40632.814960000003</v>
      </c>
      <c r="BO29" s="587">
        <v>41650.049290000003</v>
      </c>
      <c r="BP29" s="587">
        <v>37929.803</v>
      </c>
      <c r="BQ29" s="587">
        <v>40669.428009999996</v>
      </c>
      <c r="BR29" s="587">
        <v>36887.532149999999</v>
      </c>
      <c r="BS29" s="587">
        <v>36611.247779999998</v>
      </c>
      <c r="BT29" s="587">
        <v>34676.257579999998</v>
      </c>
      <c r="BU29" s="587">
        <v>32838.622920000002</v>
      </c>
      <c r="BV29" s="587">
        <v>37678.297049999994</v>
      </c>
      <c r="BW29" s="805">
        <f>+'[8]Balance Sheet Detail'!DG31</f>
        <v>45420</v>
      </c>
      <c r="BX29" s="587">
        <f>+'[8]Balance Sheet Detail'!DH31</f>
        <v>49020</v>
      </c>
      <c r="BY29" s="587">
        <f>+'[8]Balance Sheet Detail'!DI31</f>
        <v>41020</v>
      </c>
      <c r="BZ29" s="587">
        <f>+'[8]Balance Sheet Detail'!DJ31</f>
        <v>38320</v>
      </c>
      <c r="CA29" s="587">
        <f>+'[8]Balance Sheet Detail'!DK31</f>
        <v>37720</v>
      </c>
      <c r="CB29" s="587">
        <f>+'[8]Balance Sheet Detail'!DL31</f>
        <v>34220</v>
      </c>
      <c r="CC29" s="587">
        <f>+'[8]Balance Sheet Detail'!DM31</f>
        <v>35720</v>
      </c>
      <c r="CD29" s="587">
        <f>+'[8]Balance Sheet Detail'!DN31</f>
        <v>33020</v>
      </c>
      <c r="CE29" s="587">
        <f>+'[8]Balance Sheet Detail'!DO31</f>
        <v>33520</v>
      </c>
      <c r="CF29" s="587">
        <f>+'[8]Balance Sheet Detail'!DP31</f>
        <v>33820</v>
      </c>
      <c r="CG29" s="587">
        <f>+'[8]Balance Sheet Detail'!DQ31</f>
        <v>32320</v>
      </c>
      <c r="CH29" s="805">
        <f>+'[8]Balance Sheet Detail'!DR31</f>
        <v>37820</v>
      </c>
      <c r="CI29" s="699">
        <f t="shared" si="65"/>
        <v>37662.945926923079</v>
      </c>
      <c r="CJ29" s="1068"/>
      <c r="CK29" s="33"/>
      <c r="CL29" s="184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</row>
    <row r="30" spans="1:104">
      <c r="A30" s="617" t="s">
        <v>484</v>
      </c>
      <c r="B30" s="260">
        <f t="shared" ca="1" si="64"/>
        <v>821.61441384615364</v>
      </c>
      <c r="C30" s="350">
        <v>6087.6171100000001</v>
      </c>
      <c r="D30" s="350">
        <v>6172.0228299999999</v>
      </c>
      <c r="E30" s="350">
        <v>6196.4625900000001</v>
      </c>
      <c r="F30" s="350">
        <v>5795.7047199999997</v>
      </c>
      <c r="G30" s="350">
        <v>6018.7200700000003</v>
      </c>
      <c r="H30" s="350">
        <v>5669.4922200000001</v>
      </c>
      <c r="I30" s="350">
        <v>5125.17749</v>
      </c>
      <c r="J30" s="350">
        <v>4739.0860700000003</v>
      </c>
      <c r="K30" s="350">
        <v>4631.8351600000005</v>
      </c>
      <c r="L30" s="350">
        <v>4457.6022999999996</v>
      </c>
      <c r="M30" s="350">
        <v>4244.8139900000006</v>
      </c>
      <c r="N30" s="350">
        <v>4383.6045899999999</v>
      </c>
      <c r="O30" s="413">
        <v>4161.4626699999999</v>
      </c>
      <c r="P30" s="413">
        <v>3979.33142</v>
      </c>
      <c r="Q30" s="413">
        <v>3806.1103499999999</v>
      </c>
      <c r="R30" s="413">
        <v>3613.90427</v>
      </c>
      <c r="S30" s="413">
        <v>3896.2269700000002</v>
      </c>
      <c r="T30" s="413">
        <v>3557.2132700000002</v>
      </c>
      <c r="U30" s="413">
        <v>3186.2670899999998</v>
      </c>
      <c r="V30" s="413">
        <v>3210.9202</v>
      </c>
      <c r="W30" s="413">
        <v>2980.0737799999997</v>
      </c>
      <c r="X30" s="413">
        <v>2806.9069399999998</v>
      </c>
      <c r="Y30" s="413">
        <v>2450.8917700000002</v>
      </c>
      <c r="Z30" s="413">
        <v>2653.97253</v>
      </c>
      <c r="AA30" s="413">
        <v>2331.8029900000001</v>
      </c>
      <c r="AB30" s="413">
        <v>2227.5472999999997</v>
      </c>
      <c r="AC30" s="413">
        <v>1943.3202099999999</v>
      </c>
      <c r="AD30" s="413">
        <v>1737.12609</v>
      </c>
      <c r="AE30" s="413">
        <v>1704.7474099999999</v>
      </c>
      <c r="AF30" s="413">
        <v>1711.3189399999999</v>
      </c>
      <c r="AG30" s="413">
        <v>1624.2636399999999</v>
      </c>
      <c r="AH30" s="413">
        <v>1471.1828500000001</v>
      </c>
      <c r="AI30" s="413">
        <v>1369.29252</v>
      </c>
      <c r="AJ30" s="413">
        <v>1167.1250400000001</v>
      </c>
      <c r="AK30" s="413">
        <v>1141.3553400000001</v>
      </c>
      <c r="AL30" s="413">
        <v>1394.5312200000001</v>
      </c>
      <c r="AM30" s="413">
        <v>1189.5704900000001</v>
      </c>
      <c r="AN30" s="413">
        <v>1177.1706399999998</v>
      </c>
      <c r="AO30" s="413">
        <v>1427.78595</v>
      </c>
      <c r="AP30" s="413">
        <v>1303.7188999999998</v>
      </c>
      <c r="AQ30" s="413">
        <v>1513.5950700000001</v>
      </c>
      <c r="AR30" s="413">
        <v>1657.45327</v>
      </c>
      <c r="AS30" s="413">
        <v>1666.52377</v>
      </c>
      <c r="AT30" s="413">
        <v>1315.23272</v>
      </c>
      <c r="AU30" s="413">
        <v>1134.16428</v>
      </c>
      <c r="AV30" s="413">
        <v>513.32558000000006</v>
      </c>
      <c r="AW30" s="413">
        <v>1398.2170900000001</v>
      </c>
      <c r="AX30" s="413">
        <v>621.52270999999996</v>
      </c>
      <c r="AY30" s="413">
        <v>258.84895</v>
      </c>
      <c r="AZ30" s="413">
        <v>339.72192999999999</v>
      </c>
      <c r="BA30" s="413">
        <v>248.66470000000001</v>
      </c>
      <c r="BB30" s="413">
        <v>380.07317</v>
      </c>
      <c r="BC30" s="413">
        <v>367.84702000000004</v>
      </c>
      <c r="BD30" s="413">
        <v>311.07601</v>
      </c>
      <c r="BE30" s="587">
        <v>413.51828999999998</v>
      </c>
      <c r="BF30" s="587">
        <v>490.88663000000003</v>
      </c>
      <c r="BG30" s="587">
        <v>621.24131999999997</v>
      </c>
      <c r="BH30" s="587">
        <v>403.06855999999999</v>
      </c>
      <c r="BI30" s="587">
        <v>425.06536</v>
      </c>
      <c r="BJ30" s="587">
        <v>4473.6198099999992</v>
      </c>
      <c r="BK30" s="587">
        <v>334.65398999999996</v>
      </c>
      <c r="BL30" s="587">
        <v>639.10868999999991</v>
      </c>
      <c r="BM30" s="587">
        <v>446.41818999999998</v>
      </c>
      <c r="BN30" s="587">
        <v>467.66415999999998</v>
      </c>
      <c r="BO30" s="587">
        <v>549.19646</v>
      </c>
      <c r="BP30" s="587">
        <v>1602.8360500000001</v>
      </c>
      <c r="BQ30" s="587">
        <v>3601.35707</v>
      </c>
      <c r="BR30" s="587">
        <v>706.08162000000004</v>
      </c>
      <c r="BS30" s="587">
        <v>2131.3829999999998</v>
      </c>
      <c r="BT30" s="587">
        <v>1460.70973</v>
      </c>
      <c r="BU30" s="587">
        <v>2753.1477200000004</v>
      </c>
      <c r="BV30" s="587">
        <v>1528.4873799999998</v>
      </c>
      <c r="BW30" s="587">
        <f>+'[8]Balance Sheet Detail'!DG32-(VLOOKUP("1720101",'[8]BS ACCTS'!$D$6:$ZZ$999,113,FALSE))+Input!BM36/1000</f>
        <v>419.7</v>
      </c>
      <c r="BX30" s="587">
        <f>+'[8]Balance Sheet Detail'!DH32-(VLOOKUP("1720101",'[8]BS ACCTS'!$D$6:$ZZ$999,114,FALSE))+Input!BN36/1000</f>
        <v>627.5</v>
      </c>
      <c r="BY30" s="587">
        <f>+'[8]Balance Sheet Detail'!DI32-(VLOOKUP("1720101",'[8]BS ACCTS'!$D$6:$ZZ$999,115,FALSE))+Input!BO36/1000</f>
        <v>531.19999999999982</v>
      </c>
      <c r="BZ30" s="587">
        <f>+'[8]Balance Sheet Detail'!DJ32-(VLOOKUP("1720101",'[8]BS ACCTS'!$D$6:$ZZ$999,116,FALSE))+Input!BP36/1000</f>
        <v>661</v>
      </c>
      <c r="CA30" s="587">
        <f>+'[8]Balance Sheet Detail'!DK32-(VLOOKUP("1720101",'[8]BS ACCTS'!$D$6:$ZZ$999,117,FALSE))+Input!BQ36/1000</f>
        <v>746.19999999999982</v>
      </c>
      <c r="CB30" s="587">
        <f>+'[8]Balance Sheet Detail'!DL32-(VLOOKUP("1720101",'[8]BS ACCTS'!$D$6:$ZZ$999,118,FALSE))+Input!BR36/1000</f>
        <v>818</v>
      </c>
      <c r="CC30" s="587">
        <f>+'[8]Balance Sheet Detail'!DM32-(VLOOKUP("1720101",'[8]BS ACCTS'!$D$6:$ZZ$999,119,FALSE))+Input!BS36/1000</f>
        <v>2063.8000000000002</v>
      </c>
      <c r="CD30" s="587">
        <f>+'[8]Balance Sheet Detail'!DN32-(VLOOKUP("1720101",'[8]BS ACCTS'!$D$6:$ZZ$999,120,FALSE))+Input!BT36/1000</f>
        <v>751.69999999999982</v>
      </c>
      <c r="CE30" s="587">
        <f>+'[8]Balance Sheet Detail'!DO32-(VLOOKUP("1720101",'[8]BS ACCTS'!$D$6:$ZZ$999,121,FALSE))+Input!BU36/1000</f>
        <v>738.69999999999982</v>
      </c>
      <c r="CF30" s="587">
        <f>+'[8]Balance Sheet Detail'!DP32-(VLOOKUP("1720101",'[8]BS ACCTS'!$D$6:$ZZ$999,122,FALSE))+Input!BV36/1000</f>
        <v>456.89999999999964</v>
      </c>
      <c r="CG30" s="587">
        <f>+'[8]Balance Sheet Detail'!DQ32-(VLOOKUP("1720101",'[8]BS ACCTS'!$D$6:$ZZ$999,123,FALSE))+Input!BW36/1000</f>
        <v>759.19999999999982</v>
      </c>
      <c r="CH30" s="587">
        <f>+'[8]Balance Sheet Detail'!DR32-(VLOOKUP("1720101",'[8]BS ACCTS'!$D$6:$ZZ$999,124,FALSE))+Input!BX36/1000</f>
        <v>578.60000000000036</v>
      </c>
      <c r="CI30" s="699">
        <f t="shared" si="65"/>
        <v>821.61441384615364</v>
      </c>
      <c r="CK30" s="33"/>
      <c r="CL30" s="184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</row>
    <row r="31" spans="1:104" ht="15">
      <c r="A31" s="617" t="s">
        <v>485</v>
      </c>
      <c r="B31" s="260">
        <f t="shared" ca="1" si="64"/>
        <v>-858.19730692307667</v>
      </c>
      <c r="C31" s="351">
        <v>-207.04419000000001</v>
      </c>
      <c r="D31" s="351">
        <v>-288.99347999999998</v>
      </c>
      <c r="E31" s="351">
        <v>-453.04740999999996</v>
      </c>
      <c r="F31" s="351">
        <v>-288.87128999999999</v>
      </c>
      <c r="G31" s="351">
        <v>-310.80003999999997</v>
      </c>
      <c r="H31" s="351">
        <v>-222.27127999999999</v>
      </c>
      <c r="I31" s="351">
        <v>-283.59184000000005</v>
      </c>
      <c r="J31" s="351">
        <v>-271.50496000000004</v>
      </c>
      <c r="K31" s="351">
        <v>-260.75554</v>
      </c>
      <c r="L31" s="351">
        <v>-259.62815000000001</v>
      </c>
      <c r="M31" s="351">
        <v>-275.75657000000001</v>
      </c>
      <c r="N31" s="351">
        <v>-302.18698999999998</v>
      </c>
      <c r="O31" s="414">
        <v>-382.59059999999999</v>
      </c>
      <c r="P31" s="414">
        <v>-281.09752000000003</v>
      </c>
      <c r="Q31" s="414">
        <v>-251.70170000000002</v>
      </c>
      <c r="R31" s="414">
        <v>-213.84951999999998</v>
      </c>
      <c r="S31" s="414">
        <v>-201.88492000000002</v>
      </c>
      <c r="T31" s="414">
        <v>-195.49482</v>
      </c>
      <c r="U31" s="414">
        <v>-201.99557999999999</v>
      </c>
      <c r="V31" s="414">
        <v>-221.12253000000001</v>
      </c>
      <c r="W31" s="414">
        <v>-220.73206999999999</v>
      </c>
      <c r="X31" s="414">
        <v>-205.02083999999999</v>
      </c>
      <c r="Y31" s="414">
        <v>-208.15711999999999</v>
      </c>
      <c r="Z31" s="414">
        <v>-248.77445</v>
      </c>
      <c r="AA31" s="414">
        <v>-268.02341999999999</v>
      </c>
      <c r="AB31" s="414">
        <v>-261.91167000000002</v>
      </c>
      <c r="AC31" s="414">
        <v>-260.67527999999999</v>
      </c>
      <c r="AD31" s="414">
        <v>-260.92232999999999</v>
      </c>
      <c r="AE31" s="414">
        <v>-252.48989</v>
      </c>
      <c r="AF31" s="414">
        <v>-230.23067</v>
      </c>
      <c r="AG31" s="414">
        <v>-41.51567</v>
      </c>
      <c r="AH31" s="414">
        <v>-32.340849999999996</v>
      </c>
      <c r="AI31" s="414">
        <v>1.25783</v>
      </c>
      <c r="AJ31" s="414">
        <v>-14.3606</v>
      </c>
      <c r="AK31" s="414">
        <v>-32.95722</v>
      </c>
      <c r="AL31" s="414">
        <v>-36.809249999999999</v>
      </c>
      <c r="AM31" s="414">
        <v>-59.079529999999998</v>
      </c>
      <c r="AN31" s="414">
        <v>-25.68627</v>
      </c>
      <c r="AO31" s="414">
        <v>-207.87317999999999</v>
      </c>
      <c r="AP31" s="414">
        <v>-452.78482000000002</v>
      </c>
      <c r="AQ31" s="414">
        <v>-804.53057999999999</v>
      </c>
      <c r="AR31" s="414">
        <v>-1102.6375600000001</v>
      </c>
      <c r="AS31" s="414">
        <v>-1311.63338</v>
      </c>
      <c r="AT31" s="414">
        <v>-1549.8083799999999</v>
      </c>
      <c r="AU31" s="414">
        <v>-1725.01656</v>
      </c>
      <c r="AV31" s="414">
        <v>-1516.63996</v>
      </c>
      <c r="AW31" s="414">
        <v>-1648.0353700000001</v>
      </c>
      <c r="AX31" s="414">
        <v>-1047.18869</v>
      </c>
      <c r="AY31" s="414">
        <v>-1240.2019599999999</v>
      </c>
      <c r="AZ31" s="414">
        <v>-1410.58762</v>
      </c>
      <c r="BA31" s="414">
        <v>-1088.1991</v>
      </c>
      <c r="BB31" s="414">
        <v>-1175.9852800000001</v>
      </c>
      <c r="BC31" s="414">
        <v>-1250.5653600000001</v>
      </c>
      <c r="BD31" s="414">
        <v>-1225.4410800000001</v>
      </c>
      <c r="BE31" s="688">
        <v>-1256.98207</v>
      </c>
      <c r="BF31" s="688">
        <v>-1305.7005200000001</v>
      </c>
      <c r="BG31" s="688">
        <v>-1353.8476000000001</v>
      </c>
      <c r="BH31" s="688">
        <v>-1419.7396799999999</v>
      </c>
      <c r="BI31" s="688">
        <v>-1392.4896299999998</v>
      </c>
      <c r="BJ31" s="688">
        <v>-1399.5217299999999</v>
      </c>
      <c r="BK31" s="688">
        <v>-1454.3242</v>
      </c>
      <c r="BL31" s="688">
        <v>-1452.66841</v>
      </c>
      <c r="BM31" s="688">
        <v>-1468.6395500000001</v>
      </c>
      <c r="BN31" s="688">
        <v>-1385.69353</v>
      </c>
      <c r="BO31" s="688">
        <v>-1400.06124</v>
      </c>
      <c r="BP31" s="688">
        <v>-1421.2813600000002</v>
      </c>
      <c r="BQ31" s="688">
        <v>-1418.4673700000001</v>
      </c>
      <c r="BR31" s="688">
        <v>-1499.4611299999999</v>
      </c>
      <c r="BS31" s="688">
        <v>-1499.7898300000002</v>
      </c>
      <c r="BT31" s="688">
        <v>-1499.66741</v>
      </c>
      <c r="BU31" s="688">
        <v>-1403.5660500000001</v>
      </c>
      <c r="BV31" s="688">
        <v>-888.66498999999999</v>
      </c>
      <c r="BW31" s="688">
        <f>+'[8]Balance Sheet Detail'!DG33-Input!BX36/1000</f>
        <v>-1100.6999999999998</v>
      </c>
      <c r="BX31" s="688">
        <f>+'[8]Balance Sheet Detail'!DH33-Input!BN36/1000</f>
        <v>-1052</v>
      </c>
      <c r="BY31" s="688">
        <f>+'[8]Balance Sheet Detail'!DI33-Input!BO36/1000</f>
        <v>-1004.6999999999998</v>
      </c>
      <c r="BZ31" s="688">
        <f>+'[8]Balance Sheet Detail'!DJ33-Input!BP36/1000</f>
        <v>-958.59999999999991</v>
      </c>
      <c r="CA31" s="688">
        <f>+'[8]Balance Sheet Detail'!DK33-Input!BQ36/1000</f>
        <v>-913.8</v>
      </c>
      <c r="CB31" s="688">
        <f>+'[8]Balance Sheet Detail'!DL33-Input!BR36/1000</f>
        <v>-870.09999999999991</v>
      </c>
      <c r="CC31" s="688">
        <f>+'[8]Balance Sheet Detail'!DM33-Input!BS36/1000</f>
        <v>-827.69999999999982</v>
      </c>
      <c r="CD31" s="688">
        <f>+'[8]Balance Sheet Detail'!DN33-Input!BT36/1000</f>
        <v>-786.39999999999986</v>
      </c>
      <c r="CE31" s="688">
        <f>+'[8]Balance Sheet Detail'!DO33-Input!BU36/1000</f>
        <v>-746.19999999999982</v>
      </c>
      <c r="CF31" s="688">
        <f>+'[8]Balance Sheet Detail'!DP33-Input!BV36/1000</f>
        <v>-707</v>
      </c>
      <c r="CG31" s="688">
        <f>+'[8]Balance Sheet Detail'!DQ33-Input!BW36/1000</f>
        <v>-668.89999999999986</v>
      </c>
      <c r="CH31" s="688">
        <f>+'[8]Balance Sheet Detail'!DR33-Input!BX36/1000</f>
        <v>-631.79999999999995</v>
      </c>
      <c r="CI31" s="699">
        <f t="shared" si="65"/>
        <v>-858.19730692307667</v>
      </c>
      <c r="CK31" s="33"/>
      <c r="CL31" s="184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</row>
    <row r="32" spans="1:104">
      <c r="A32" s="617" t="s">
        <v>486</v>
      </c>
      <c r="B32" s="260">
        <f t="shared" ca="1" si="64"/>
        <v>10078.251204615386</v>
      </c>
      <c r="C32" s="350">
        <v>0</v>
      </c>
      <c r="D32" s="350">
        <v>0</v>
      </c>
      <c r="E32" s="350">
        <v>0</v>
      </c>
      <c r="F32" s="350">
        <v>0</v>
      </c>
      <c r="G32" s="350">
        <v>0</v>
      </c>
      <c r="H32" s="350">
        <v>0</v>
      </c>
      <c r="I32" s="350">
        <v>0</v>
      </c>
      <c r="J32" s="350">
        <v>0</v>
      </c>
      <c r="K32" s="350">
        <v>0</v>
      </c>
      <c r="L32" s="350">
        <v>0</v>
      </c>
      <c r="M32" s="350">
        <v>0</v>
      </c>
      <c r="N32" s="350">
        <v>0</v>
      </c>
      <c r="O32" s="413">
        <v>0</v>
      </c>
      <c r="P32" s="413">
        <v>0</v>
      </c>
      <c r="Q32" s="413">
        <v>0</v>
      </c>
      <c r="R32" s="413">
        <v>0</v>
      </c>
      <c r="S32" s="413">
        <v>0</v>
      </c>
      <c r="T32" s="413">
        <v>0</v>
      </c>
      <c r="U32" s="413">
        <v>0</v>
      </c>
      <c r="V32" s="413">
        <v>0</v>
      </c>
      <c r="W32" s="413">
        <v>0</v>
      </c>
      <c r="X32" s="413">
        <v>0</v>
      </c>
      <c r="Y32" s="413">
        <v>0</v>
      </c>
      <c r="Z32" s="413">
        <v>0</v>
      </c>
      <c r="AA32" s="413">
        <v>0</v>
      </c>
      <c r="AB32" s="413">
        <v>0</v>
      </c>
      <c r="AC32" s="413">
        <v>0</v>
      </c>
      <c r="AD32" s="413">
        <v>0</v>
      </c>
      <c r="AE32" s="413">
        <v>0</v>
      </c>
      <c r="AF32" s="413">
        <v>0</v>
      </c>
      <c r="AG32" s="413">
        <v>0</v>
      </c>
      <c r="AH32" s="413">
        <v>0</v>
      </c>
      <c r="AI32" s="413">
        <v>0</v>
      </c>
      <c r="AJ32" s="413">
        <v>0</v>
      </c>
      <c r="AK32" s="413">
        <v>0</v>
      </c>
      <c r="AL32" s="413">
        <v>0</v>
      </c>
      <c r="AM32" s="413">
        <v>0</v>
      </c>
      <c r="AN32" s="413">
        <v>0</v>
      </c>
      <c r="AO32" s="413">
        <v>0</v>
      </c>
      <c r="AP32" s="413">
        <v>0</v>
      </c>
      <c r="AQ32" s="413">
        <v>0</v>
      </c>
      <c r="AR32" s="413">
        <v>0</v>
      </c>
      <c r="AS32" s="413">
        <v>0</v>
      </c>
      <c r="AT32" s="413">
        <v>0</v>
      </c>
      <c r="AU32" s="413">
        <v>0</v>
      </c>
      <c r="AV32" s="413">
        <v>0</v>
      </c>
      <c r="AW32" s="413">
        <v>9532.7538199999999</v>
      </c>
      <c r="AX32" s="413">
        <v>9933.65949</v>
      </c>
      <c r="AY32" s="413">
        <v>10459.212380000001</v>
      </c>
      <c r="AZ32" s="413">
        <v>9618.3033200000009</v>
      </c>
      <c r="BA32" s="413">
        <v>10315.787269999999</v>
      </c>
      <c r="BB32" s="413">
        <v>9943.2950999999994</v>
      </c>
      <c r="BC32" s="413">
        <v>10267.36</v>
      </c>
      <c r="BD32" s="413">
        <v>9828.8352899999991</v>
      </c>
      <c r="BE32" s="587">
        <v>9719.8535900000006</v>
      </c>
      <c r="BF32" s="587">
        <v>10043.801519999999</v>
      </c>
      <c r="BG32" s="587">
        <v>9672.4492899999987</v>
      </c>
      <c r="BH32" s="587">
        <v>9146.8085800000008</v>
      </c>
      <c r="BI32" s="587">
        <v>9368.7775999999994</v>
      </c>
      <c r="BJ32" s="587">
        <v>9985.2147299999997</v>
      </c>
      <c r="BK32" s="587">
        <v>8951.9654800000008</v>
      </c>
      <c r="BL32" s="587">
        <v>10205.36274</v>
      </c>
      <c r="BM32" s="587">
        <v>10528.065710000001</v>
      </c>
      <c r="BN32" s="587">
        <v>9956.7176400000008</v>
      </c>
      <c r="BO32" s="587">
        <v>10337.559310000001</v>
      </c>
      <c r="BP32" s="587">
        <v>9979.1676400000015</v>
      </c>
      <c r="BQ32" s="587">
        <v>9678.8863599999986</v>
      </c>
      <c r="BR32" s="587">
        <v>10135.31781</v>
      </c>
      <c r="BS32" s="587">
        <v>9639.0074199999999</v>
      </c>
      <c r="BT32" s="587">
        <v>9123.3623000000007</v>
      </c>
      <c r="BU32" s="587">
        <v>9579.0745900000002</v>
      </c>
      <c r="BV32" s="587">
        <v>9393.6656600000006</v>
      </c>
      <c r="BW32" s="805">
        <f>+'[8]Balance Sheet Detail'!DG34</f>
        <v>10135.299999999999</v>
      </c>
      <c r="BX32" s="587">
        <f>+'[8]Balance Sheet Detail'!DH34</f>
        <v>10135.299999999999</v>
      </c>
      <c r="BY32" s="587">
        <f>+'[8]Balance Sheet Detail'!DI34</f>
        <v>10135.299999999999</v>
      </c>
      <c r="BZ32" s="587">
        <f>+'[8]Balance Sheet Detail'!DJ34</f>
        <v>10135.299999999999</v>
      </c>
      <c r="CA32" s="587">
        <f>+'[8]Balance Sheet Detail'!DK34</f>
        <v>10135.299999999999</v>
      </c>
      <c r="CB32" s="587">
        <f>+'[8]Balance Sheet Detail'!DL34</f>
        <v>10135.299999999999</v>
      </c>
      <c r="CC32" s="587">
        <f>+'[8]Balance Sheet Detail'!DM34</f>
        <v>10135.299999999999</v>
      </c>
      <c r="CD32" s="587">
        <f>+'[8]Balance Sheet Detail'!DN34</f>
        <v>10135.299999999999</v>
      </c>
      <c r="CE32" s="587">
        <f>+'[8]Balance Sheet Detail'!DO34</f>
        <v>10135.299999999999</v>
      </c>
      <c r="CF32" s="587">
        <f>+'[8]Balance Sheet Detail'!DP34</f>
        <v>10135.299999999999</v>
      </c>
      <c r="CG32" s="587">
        <f>+'[8]Balance Sheet Detail'!DQ34</f>
        <v>10135.299999999999</v>
      </c>
      <c r="CH32" s="805">
        <f>+'[8]Balance Sheet Detail'!DR34</f>
        <v>10135.299999999999</v>
      </c>
      <c r="CI32" s="699">
        <f t="shared" si="65"/>
        <v>10078.251204615386</v>
      </c>
      <c r="CJ32" s="1068"/>
      <c r="CK32" s="33"/>
      <c r="CL32" s="184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</row>
    <row r="33" spans="1:104">
      <c r="A33" s="617" t="s">
        <v>487</v>
      </c>
      <c r="B33" s="260">
        <f t="shared" ca="1" si="64"/>
        <v>3816.903293076924</v>
      </c>
      <c r="C33" s="350">
        <v>619.80268999999998</v>
      </c>
      <c r="D33" s="350">
        <v>634.64260999999999</v>
      </c>
      <c r="E33" s="350">
        <v>939.79313999999999</v>
      </c>
      <c r="F33" s="350">
        <v>408.07337999999999</v>
      </c>
      <c r="G33" s="350">
        <v>1572.72947</v>
      </c>
      <c r="H33" s="350">
        <v>1404.36923</v>
      </c>
      <c r="I33" s="350">
        <v>1100.67823</v>
      </c>
      <c r="J33" s="350">
        <v>20878.471289999998</v>
      </c>
      <c r="K33" s="350">
        <v>5018.4910999999993</v>
      </c>
      <c r="L33" s="350">
        <v>1025.1634899999999</v>
      </c>
      <c r="M33" s="350">
        <v>435.68347</v>
      </c>
      <c r="N33" s="350">
        <v>1710.0338100000001</v>
      </c>
      <c r="O33" s="413">
        <v>3492.4702200000002</v>
      </c>
      <c r="P33" s="413">
        <v>2241.7507500000002</v>
      </c>
      <c r="Q33" s="413">
        <v>890.00284999999997</v>
      </c>
      <c r="R33" s="413">
        <v>318.54793000000001</v>
      </c>
      <c r="S33" s="413">
        <v>1161.3851100000002</v>
      </c>
      <c r="T33" s="413">
        <v>3415.4628199999997</v>
      </c>
      <c r="U33" s="413">
        <v>2333.7491400000004</v>
      </c>
      <c r="V33" s="413">
        <v>1768.84213</v>
      </c>
      <c r="W33" s="413">
        <v>3627.74386</v>
      </c>
      <c r="X33" s="413">
        <v>5204.9230700000007</v>
      </c>
      <c r="Y33" s="413">
        <v>4402.6377199999997</v>
      </c>
      <c r="Z33" s="413">
        <v>713.31309999999996</v>
      </c>
      <c r="AA33" s="413">
        <v>3029.00092</v>
      </c>
      <c r="AB33" s="413">
        <v>922.45672000000002</v>
      </c>
      <c r="AC33" s="413">
        <v>2538.9434300000003</v>
      </c>
      <c r="AD33" s="413">
        <v>985.41375000000005</v>
      </c>
      <c r="AE33" s="413">
        <v>2162.6116400000001</v>
      </c>
      <c r="AF33" s="413">
        <v>793.87063999999998</v>
      </c>
      <c r="AG33" s="413">
        <v>899.72450000000003</v>
      </c>
      <c r="AH33" s="413">
        <v>1123.6444899999999</v>
      </c>
      <c r="AI33" s="413">
        <v>3093.5126700000001</v>
      </c>
      <c r="AJ33" s="413">
        <v>2962.53656</v>
      </c>
      <c r="AK33" s="413">
        <v>790.71066000000008</v>
      </c>
      <c r="AL33" s="413">
        <v>1028.39149</v>
      </c>
      <c r="AM33" s="413">
        <v>1617.2676200000001</v>
      </c>
      <c r="AN33" s="413">
        <v>615.54357999999991</v>
      </c>
      <c r="AO33" s="413">
        <v>1051.8504499999999</v>
      </c>
      <c r="AP33" s="413">
        <v>320.40886999999998</v>
      </c>
      <c r="AQ33" s="413">
        <v>925.31073000000004</v>
      </c>
      <c r="AR33" s="413">
        <v>964.79186000000004</v>
      </c>
      <c r="AS33" s="413">
        <v>1181.4413999999999</v>
      </c>
      <c r="AT33" s="413">
        <v>941.5471</v>
      </c>
      <c r="AU33" s="413">
        <v>485.40080999999998</v>
      </c>
      <c r="AV33" s="413">
        <v>651.19672000000003</v>
      </c>
      <c r="AW33" s="413">
        <v>498.78246999999999</v>
      </c>
      <c r="AX33" s="413">
        <v>692.22036000000003</v>
      </c>
      <c r="AY33" s="413">
        <v>445.12609999999995</v>
      </c>
      <c r="AZ33" s="413">
        <v>585.52635999999995</v>
      </c>
      <c r="BA33" s="413">
        <v>1317.4557</v>
      </c>
      <c r="BB33" s="413">
        <v>1448.72</v>
      </c>
      <c r="BC33" s="413">
        <v>797.51106000000004</v>
      </c>
      <c r="BD33" s="413">
        <v>2124.0678199999998</v>
      </c>
      <c r="BE33" s="587">
        <v>2972.5672799999998</v>
      </c>
      <c r="BF33" s="587">
        <v>2620.58151</v>
      </c>
      <c r="BG33" s="587">
        <v>1434.04691</v>
      </c>
      <c r="BH33" s="587">
        <v>1871.28954</v>
      </c>
      <c r="BI33" s="587">
        <v>906.42084999999997</v>
      </c>
      <c r="BJ33" s="587">
        <v>828.79310999999996</v>
      </c>
      <c r="BK33" s="587">
        <v>1924.0427500000001</v>
      </c>
      <c r="BL33" s="587">
        <v>1004.31377</v>
      </c>
      <c r="BM33" s="587">
        <v>2367.83097</v>
      </c>
      <c r="BN33" s="587">
        <v>1594.4240199999999</v>
      </c>
      <c r="BO33" s="587">
        <v>5390.5550400000002</v>
      </c>
      <c r="BP33" s="587">
        <v>7130.6475700000001</v>
      </c>
      <c r="BQ33" s="587">
        <v>4630.4276399999999</v>
      </c>
      <c r="BR33" s="587">
        <v>5402.5178599999999</v>
      </c>
      <c r="BS33" s="587">
        <v>4004.2515899999999</v>
      </c>
      <c r="BT33" s="587">
        <v>2491.0508599999998</v>
      </c>
      <c r="BU33" s="587">
        <v>1993.2344800000001</v>
      </c>
      <c r="BV33" s="587">
        <v>3816.94281</v>
      </c>
      <c r="BW33" s="805">
        <f>+'[8]Balance Sheet Detail'!DG35</f>
        <v>3816.8999999999996</v>
      </c>
      <c r="BX33" s="587">
        <f>+'[8]Balance Sheet Detail'!DH35</f>
        <v>3816.8999999999996</v>
      </c>
      <c r="BY33" s="587">
        <f>+'[8]Balance Sheet Detail'!DI35</f>
        <v>3816.8999999999996</v>
      </c>
      <c r="BZ33" s="587">
        <f>+'[8]Balance Sheet Detail'!DJ35</f>
        <v>3816.8999999999996</v>
      </c>
      <c r="CA33" s="587">
        <f>+'[8]Balance Sheet Detail'!DK35</f>
        <v>3816.8999999999996</v>
      </c>
      <c r="CB33" s="587">
        <f>+'[8]Balance Sheet Detail'!DL35</f>
        <v>3816.8999999999996</v>
      </c>
      <c r="CC33" s="587">
        <f>+'[8]Balance Sheet Detail'!DM35</f>
        <v>3816.8999999999996</v>
      </c>
      <c r="CD33" s="587">
        <f>+'[8]Balance Sheet Detail'!DN35</f>
        <v>3816.8999999999996</v>
      </c>
      <c r="CE33" s="587">
        <f>+'[8]Balance Sheet Detail'!DO35</f>
        <v>3816.8999999999996</v>
      </c>
      <c r="CF33" s="587">
        <f>+'[8]Balance Sheet Detail'!DP35</f>
        <v>3816.8999999999996</v>
      </c>
      <c r="CG33" s="587">
        <f>+'[8]Balance Sheet Detail'!DQ35</f>
        <v>3816.8999999999996</v>
      </c>
      <c r="CH33" s="805">
        <f>+'[8]Balance Sheet Detail'!DR35</f>
        <v>3816.8999999999996</v>
      </c>
      <c r="CI33" s="699">
        <f t="shared" si="65"/>
        <v>3816.903293076924</v>
      </c>
      <c r="CK33" s="33"/>
      <c r="CL33" s="184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</row>
    <row r="34" spans="1:104">
      <c r="A34" s="617" t="s">
        <v>488</v>
      </c>
      <c r="B34" s="260">
        <f t="shared" ca="1" si="64"/>
        <v>413.69918999999993</v>
      </c>
      <c r="C34" s="350">
        <v>332.84199000000001</v>
      </c>
      <c r="D34" s="350">
        <v>441.10059000000001</v>
      </c>
      <c r="E34" s="350">
        <v>276.58972999999997</v>
      </c>
      <c r="F34" s="350">
        <v>326.1728</v>
      </c>
      <c r="G34" s="350">
        <v>326.1728</v>
      </c>
      <c r="H34" s="350">
        <v>467.07808</v>
      </c>
      <c r="I34" s="350">
        <v>344.97122999999999</v>
      </c>
      <c r="J34" s="350">
        <v>354.48354999999998</v>
      </c>
      <c r="K34" s="350">
        <v>-2.3700000000000001E-3</v>
      </c>
      <c r="L34" s="350">
        <v>-2.3700000000000001E-3</v>
      </c>
      <c r="M34" s="350">
        <v>-2.3700000000000001E-3</v>
      </c>
      <c r="N34" s="350">
        <v>-2.3700000000000001E-3</v>
      </c>
      <c r="O34" s="413">
        <v>-2.3700000000000001E-3</v>
      </c>
      <c r="P34" s="413">
        <v>-2.3700000000000001E-3</v>
      </c>
      <c r="Q34" s="413">
        <v>-2.3700000000000001E-3</v>
      </c>
      <c r="R34" s="413">
        <v>-2.3700000000000001E-3</v>
      </c>
      <c r="S34" s="413">
        <v>-2.3700000000000001E-3</v>
      </c>
      <c r="T34" s="413">
        <v>-2.3700000000000001E-3</v>
      </c>
      <c r="U34" s="413">
        <v>0</v>
      </c>
      <c r="V34" s="413">
        <v>0</v>
      </c>
      <c r="W34" s="413">
        <v>0</v>
      </c>
      <c r="X34" s="413">
        <v>0</v>
      </c>
      <c r="Y34" s="413">
        <v>0</v>
      </c>
      <c r="Z34" s="413">
        <v>0</v>
      </c>
      <c r="AA34" s="413">
        <v>0</v>
      </c>
      <c r="AB34" s="413">
        <v>0</v>
      </c>
      <c r="AC34" s="413">
        <v>0</v>
      </c>
      <c r="AD34" s="413">
        <v>0</v>
      </c>
      <c r="AE34" s="413">
        <v>0</v>
      </c>
      <c r="AF34" s="413">
        <v>0</v>
      </c>
      <c r="AG34" s="413">
        <v>0</v>
      </c>
      <c r="AH34" s="413">
        <v>0</v>
      </c>
      <c r="AI34" s="413">
        <v>0</v>
      </c>
      <c r="AJ34" s="413">
        <v>0</v>
      </c>
      <c r="AK34" s="413">
        <v>0</v>
      </c>
      <c r="AL34" s="413">
        <v>0</v>
      </c>
      <c r="AM34" s="413">
        <v>0</v>
      </c>
      <c r="AN34" s="413">
        <v>0</v>
      </c>
      <c r="AO34" s="413">
        <v>0</v>
      </c>
      <c r="AP34" s="413">
        <v>0</v>
      </c>
      <c r="AQ34" s="413">
        <v>0</v>
      </c>
      <c r="AR34" s="413">
        <v>0</v>
      </c>
      <c r="AS34" s="413">
        <v>0</v>
      </c>
      <c r="AT34" s="413">
        <v>0</v>
      </c>
      <c r="AU34" s="413">
        <v>0</v>
      </c>
      <c r="AV34" s="413">
        <v>0</v>
      </c>
      <c r="AW34" s="413">
        <v>0</v>
      </c>
      <c r="AX34" s="413">
        <v>0</v>
      </c>
      <c r="AY34" s="413">
        <v>0</v>
      </c>
      <c r="AZ34" s="413">
        <v>0</v>
      </c>
      <c r="BA34" s="413">
        <v>0</v>
      </c>
      <c r="BB34" s="413">
        <v>0</v>
      </c>
      <c r="BC34" s="413">
        <v>0</v>
      </c>
      <c r="BD34" s="413">
        <v>0</v>
      </c>
      <c r="BE34" s="587">
        <v>0</v>
      </c>
      <c r="BF34" s="587">
        <v>0</v>
      </c>
      <c r="BG34" s="587">
        <v>0</v>
      </c>
      <c r="BH34" s="587">
        <v>0</v>
      </c>
      <c r="BI34" s="587">
        <v>995.77774999999997</v>
      </c>
      <c r="BJ34" s="587">
        <v>864.73208999999997</v>
      </c>
      <c r="BK34" s="587">
        <v>891.56741</v>
      </c>
      <c r="BL34" s="587">
        <v>785.93759999999997</v>
      </c>
      <c r="BM34" s="587">
        <v>566.42501000000004</v>
      </c>
      <c r="BN34" s="587">
        <v>566.42501000000004</v>
      </c>
      <c r="BO34" s="587">
        <v>566.42501000000004</v>
      </c>
      <c r="BP34" s="587">
        <v>708.42912999999999</v>
      </c>
      <c r="BQ34" s="587">
        <v>708.42912999999999</v>
      </c>
      <c r="BR34" s="587">
        <v>703.62182999999993</v>
      </c>
      <c r="BS34" s="587">
        <v>769.73397999999997</v>
      </c>
      <c r="BT34" s="587">
        <v>933.79704000000004</v>
      </c>
      <c r="BU34" s="587">
        <v>959.43250999999998</v>
      </c>
      <c r="BV34" s="587">
        <v>413.68946999999997</v>
      </c>
      <c r="BW34" s="805">
        <f>+'[8]Balance Sheet Detail'!DG36</f>
        <v>413.7</v>
      </c>
      <c r="BX34" s="587">
        <f>+'[8]Balance Sheet Detail'!DH36</f>
        <v>413.7</v>
      </c>
      <c r="BY34" s="587">
        <f>+'[8]Balance Sheet Detail'!DI36</f>
        <v>413.7</v>
      </c>
      <c r="BZ34" s="587">
        <f>+'[8]Balance Sheet Detail'!DJ36</f>
        <v>413.7</v>
      </c>
      <c r="CA34" s="587">
        <f>+'[8]Balance Sheet Detail'!DK36</f>
        <v>413.7</v>
      </c>
      <c r="CB34" s="587">
        <f>+'[8]Balance Sheet Detail'!DL36</f>
        <v>413.7</v>
      </c>
      <c r="CC34" s="587">
        <f>+'[8]Balance Sheet Detail'!DM36</f>
        <v>413.7</v>
      </c>
      <c r="CD34" s="587">
        <f>+'[8]Balance Sheet Detail'!DN36</f>
        <v>413.7</v>
      </c>
      <c r="CE34" s="587">
        <f>+'[8]Balance Sheet Detail'!DO36</f>
        <v>413.7</v>
      </c>
      <c r="CF34" s="587">
        <f>+'[8]Balance Sheet Detail'!DP36</f>
        <v>413.7</v>
      </c>
      <c r="CG34" s="587">
        <f>+'[8]Balance Sheet Detail'!DQ36</f>
        <v>413.7</v>
      </c>
      <c r="CH34" s="805">
        <f>+'[8]Balance Sheet Detail'!DR36</f>
        <v>413.7</v>
      </c>
      <c r="CI34" s="699">
        <f t="shared" si="65"/>
        <v>413.69918999999993</v>
      </c>
      <c r="CK34" s="33"/>
      <c r="CL34" s="184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</row>
    <row r="35" spans="1:104">
      <c r="A35" s="617" t="s">
        <v>489</v>
      </c>
      <c r="B35" s="260">
        <f t="shared" ca="1" si="64"/>
        <v>4155.1657292307691</v>
      </c>
      <c r="C35" s="350">
        <v>1858.85581</v>
      </c>
      <c r="D35" s="350">
        <v>1904.81791</v>
      </c>
      <c r="E35" s="350">
        <v>1988.6876599999998</v>
      </c>
      <c r="F35" s="350">
        <v>1926.6388700000002</v>
      </c>
      <c r="G35" s="350">
        <v>2100.7299199999998</v>
      </c>
      <c r="H35" s="350">
        <v>2046.6683600000001</v>
      </c>
      <c r="I35" s="350">
        <v>2071.0376799999999</v>
      </c>
      <c r="J35" s="350">
        <v>2016.8184199999998</v>
      </c>
      <c r="K35" s="350">
        <v>2131.6477999999997</v>
      </c>
      <c r="L35" s="350">
        <v>2042.21668</v>
      </c>
      <c r="M35" s="350">
        <v>1900.58482</v>
      </c>
      <c r="N35" s="350">
        <v>1887.6953899999999</v>
      </c>
      <c r="O35" s="413">
        <v>2070.9976499999998</v>
      </c>
      <c r="P35" s="413">
        <v>2149.8761099999997</v>
      </c>
      <c r="Q35" s="413">
        <v>2006.6903200000002</v>
      </c>
      <c r="R35" s="413">
        <v>1972.0976699999999</v>
      </c>
      <c r="S35" s="413">
        <v>2190.1771699999999</v>
      </c>
      <c r="T35" s="413">
        <v>2163.4520299999999</v>
      </c>
      <c r="U35" s="413">
        <v>2125.5768499999999</v>
      </c>
      <c r="V35" s="413">
        <v>2476.3780499999998</v>
      </c>
      <c r="W35" s="413">
        <v>2741.2183300000002</v>
      </c>
      <c r="X35" s="413">
        <v>2360.1098500000003</v>
      </c>
      <c r="Y35" s="413">
        <v>2172.17722</v>
      </c>
      <c r="Z35" s="413">
        <v>2073.1301000000003</v>
      </c>
      <c r="AA35" s="413">
        <v>2183.6043300000001</v>
      </c>
      <c r="AB35" s="413">
        <v>2363.7887900000001</v>
      </c>
      <c r="AC35" s="413">
        <v>2385.5491000000002</v>
      </c>
      <c r="AD35" s="413">
        <v>2474.7155499999999</v>
      </c>
      <c r="AE35" s="413">
        <v>2512.81936</v>
      </c>
      <c r="AF35" s="413">
        <v>2780.05456</v>
      </c>
      <c r="AG35" s="413">
        <v>2687.2378199999998</v>
      </c>
      <c r="AH35" s="413">
        <v>2783.1900099999998</v>
      </c>
      <c r="AI35" s="413">
        <v>2571.7018800000001</v>
      </c>
      <c r="AJ35" s="413">
        <v>2738.6709500000002</v>
      </c>
      <c r="AK35" s="413">
        <v>2709.3845899999997</v>
      </c>
      <c r="AL35" s="413">
        <v>2401.2287299999998</v>
      </c>
      <c r="AM35" s="413">
        <v>2400.7927300000001</v>
      </c>
      <c r="AN35" s="413">
        <v>2617.7897499999999</v>
      </c>
      <c r="AO35" s="413">
        <v>2444.4091699999999</v>
      </c>
      <c r="AP35" s="413">
        <v>2661.1590499999998</v>
      </c>
      <c r="AQ35" s="413">
        <v>2807.18921</v>
      </c>
      <c r="AR35" s="413">
        <v>2832.0857400000004</v>
      </c>
      <c r="AS35" s="413">
        <v>2649.7683700000002</v>
      </c>
      <c r="AT35" s="413">
        <v>2895.9602999999997</v>
      </c>
      <c r="AU35" s="413">
        <v>2763.2782499999998</v>
      </c>
      <c r="AV35" s="413">
        <v>3044.5369999999998</v>
      </c>
      <c r="AW35" s="413">
        <v>2851.20361</v>
      </c>
      <c r="AX35" s="413">
        <v>2998.3360899999998</v>
      </c>
      <c r="AY35" s="413">
        <v>3185.9684300000004</v>
      </c>
      <c r="AZ35" s="413">
        <v>3089.8690299999998</v>
      </c>
      <c r="BA35" s="413">
        <v>3262.0091499999999</v>
      </c>
      <c r="BB35" s="413">
        <v>3750.2274900000002</v>
      </c>
      <c r="BC35" s="413">
        <v>3835.2547999999997</v>
      </c>
      <c r="BD35" s="413">
        <v>4186.3105500000001</v>
      </c>
      <c r="BE35" s="587">
        <v>3842.9464500000004</v>
      </c>
      <c r="BF35" s="587">
        <v>4056.1723500000003</v>
      </c>
      <c r="BG35" s="587">
        <v>4544.3318499999996</v>
      </c>
      <c r="BH35" s="587">
        <v>4167.0122599999995</v>
      </c>
      <c r="BI35" s="587">
        <v>4010.6269900000002</v>
      </c>
      <c r="BJ35" s="587">
        <v>2635.0119900000004</v>
      </c>
      <c r="BK35" s="587">
        <v>3634.1590200000001</v>
      </c>
      <c r="BL35" s="587">
        <v>3462.77367</v>
      </c>
      <c r="BM35" s="587">
        <v>3847.4987900000001</v>
      </c>
      <c r="BN35" s="587">
        <v>4272.2143399999995</v>
      </c>
      <c r="BO35" s="587">
        <v>4533.2977300000002</v>
      </c>
      <c r="BP35" s="587">
        <v>4553.4972500000003</v>
      </c>
      <c r="BQ35" s="587">
        <v>4636.4796299999998</v>
      </c>
      <c r="BR35" s="587">
        <v>4527.0092999999997</v>
      </c>
      <c r="BS35" s="587">
        <v>5185.6639400000004</v>
      </c>
      <c r="BT35" s="587">
        <v>6167.0613200000007</v>
      </c>
      <c r="BU35" s="587">
        <v>6268.2998899999993</v>
      </c>
      <c r="BV35" s="587">
        <v>4817.1544800000001</v>
      </c>
      <c r="BW35" s="805">
        <f>+'[8]Balance Sheet Detail'!DG37</f>
        <v>4100</v>
      </c>
      <c r="BX35" s="587">
        <f>+'[8]Balance Sheet Detail'!DH37</f>
        <v>4100</v>
      </c>
      <c r="BY35" s="587">
        <f>+'[8]Balance Sheet Detail'!DI37</f>
        <v>4100</v>
      </c>
      <c r="BZ35" s="587">
        <f>+'[8]Balance Sheet Detail'!DJ37</f>
        <v>4100</v>
      </c>
      <c r="CA35" s="587">
        <f>+'[8]Balance Sheet Detail'!DK37</f>
        <v>4100</v>
      </c>
      <c r="CB35" s="587">
        <f>+'[8]Balance Sheet Detail'!DL37</f>
        <v>4100</v>
      </c>
      <c r="CC35" s="587">
        <f>+'[8]Balance Sheet Detail'!DM37</f>
        <v>4100</v>
      </c>
      <c r="CD35" s="587">
        <f>+'[8]Balance Sheet Detail'!DN37</f>
        <v>4100</v>
      </c>
      <c r="CE35" s="587">
        <f>+'[8]Balance Sheet Detail'!DO37</f>
        <v>4100</v>
      </c>
      <c r="CF35" s="587">
        <f>+'[8]Balance Sheet Detail'!DP37</f>
        <v>4100</v>
      </c>
      <c r="CG35" s="587">
        <f>+'[8]Balance Sheet Detail'!DQ37</f>
        <v>4100</v>
      </c>
      <c r="CH35" s="805">
        <f>+'[8]Balance Sheet Detail'!DR37</f>
        <v>4100</v>
      </c>
      <c r="CI35" s="699">
        <f t="shared" si="65"/>
        <v>4155.1657292307691</v>
      </c>
      <c r="CJ35" s="1068"/>
      <c r="CK35" s="33"/>
      <c r="CL35" s="184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</row>
    <row r="36" spans="1:104">
      <c r="A36" s="617" t="s">
        <v>490</v>
      </c>
      <c r="B36" s="260">
        <f t="shared" ca="1" si="64"/>
        <v>0</v>
      </c>
      <c r="C36" s="350">
        <v>0</v>
      </c>
      <c r="D36" s="350">
        <v>0</v>
      </c>
      <c r="E36" s="350">
        <v>0</v>
      </c>
      <c r="F36" s="350">
        <v>0</v>
      </c>
      <c r="G36" s="350">
        <v>0</v>
      </c>
      <c r="H36" s="350">
        <v>0</v>
      </c>
      <c r="I36" s="350">
        <v>0</v>
      </c>
      <c r="J36" s="350">
        <v>0</v>
      </c>
      <c r="K36" s="350">
        <v>0</v>
      </c>
      <c r="L36" s="350">
        <v>0</v>
      </c>
      <c r="M36" s="350">
        <v>0</v>
      </c>
      <c r="N36" s="350">
        <v>0</v>
      </c>
      <c r="O36" s="413">
        <v>0</v>
      </c>
      <c r="P36" s="413">
        <v>0</v>
      </c>
      <c r="Q36" s="413">
        <v>0</v>
      </c>
      <c r="R36" s="413">
        <v>0</v>
      </c>
      <c r="S36" s="413">
        <v>0</v>
      </c>
      <c r="T36" s="413">
        <v>0</v>
      </c>
      <c r="U36" s="413">
        <v>0</v>
      </c>
      <c r="V36" s="413">
        <v>0</v>
      </c>
      <c r="W36" s="413">
        <v>0</v>
      </c>
      <c r="X36" s="413">
        <v>0</v>
      </c>
      <c r="Y36" s="413">
        <v>0</v>
      </c>
      <c r="Z36" s="413">
        <v>0</v>
      </c>
      <c r="AA36" s="413">
        <v>0</v>
      </c>
      <c r="AB36" s="413">
        <v>0</v>
      </c>
      <c r="AC36" s="413">
        <v>0</v>
      </c>
      <c r="AD36" s="413">
        <v>0</v>
      </c>
      <c r="AE36" s="413">
        <v>0</v>
      </c>
      <c r="AF36" s="413">
        <v>0</v>
      </c>
      <c r="AG36" s="413">
        <v>0</v>
      </c>
      <c r="AH36" s="413">
        <v>0</v>
      </c>
      <c r="AI36" s="413">
        <v>0</v>
      </c>
      <c r="AJ36" s="413">
        <v>0</v>
      </c>
      <c r="AK36" s="413">
        <v>0</v>
      </c>
      <c r="AL36" s="413">
        <v>0</v>
      </c>
      <c r="AM36" s="413">
        <v>0</v>
      </c>
      <c r="AN36" s="413">
        <v>0</v>
      </c>
      <c r="AO36" s="413">
        <v>0</v>
      </c>
      <c r="AP36" s="413">
        <v>0</v>
      </c>
      <c r="AQ36" s="413">
        <v>0</v>
      </c>
      <c r="AR36" s="413">
        <v>0</v>
      </c>
      <c r="AS36" s="413">
        <v>0</v>
      </c>
      <c r="AT36" s="413">
        <v>0</v>
      </c>
      <c r="AU36" s="413">
        <v>0</v>
      </c>
      <c r="AV36" s="413">
        <v>0</v>
      </c>
      <c r="AW36" s="413">
        <v>0</v>
      </c>
      <c r="AX36" s="413">
        <v>0</v>
      </c>
      <c r="AY36" s="413">
        <v>0</v>
      </c>
      <c r="AZ36" s="413">
        <v>0</v>
      </c>
      <c r="BA36" s="413">
        <v>0</v>
      </c>
      <c r="BB36" s="413">
        <v>0</v>
      </c>
      <c r="BC36" s="413">
        <v>0</v>
      </c>
      <c r="BD36" s="413">
        <v>0</v>
      </c>
      <c r="BE36" s="587">
        <v>0</v>
      </c>
      <c r="BF36" s="587">
        <v>0</v>
      </c>
      <c r="BG36" s="587">
        <v>0</v>
      </c>
      <c r="BH36" s="587">
        <v>0</v>
      </c>
      <c r="BI36" s="587">
        <v>0</v>
      </c>
      <c r="BJ36" s="587">
        <v>0</v>
      </c>
      <c r="BK36" s="587">
        <v>0</v>
      </c>
      <c r="BL36" s="587">
        <v>0</v>
      </c>
      <c r="BM36" s="587">
        <v>0</v>
      </c>
      <c r="BN36" s="587">
        <v>0</v>
      </c>
      <c r="BO36" s="587">
        <v>0</v>
      </c>
      <c r="BP36" s="587">
        <v>0</v>
      </c>
      <c r="BQ36" s="587">
        <v>0</v>
      </c>
      <c r="BR36" s="587">
        <v>0</v>
      </c>
      <c r="BS36" s="587">
        <v>0</v>
      </c>
      <c r="BT36" s="587">
        <v>0</v>
      </c>
      <c r="BU36" s="587">
        <v>0</v>
      </c>
      <c r="BV36" s="587">
        <v>0</v>
      </c>
      <c r="BW36" s="587">
        <f>+'[8]Balance Sheet Detail'!DG39</f>
        <v>0</v>
      </c>
      <c r="BX36" s="587">
        <f>+'[8]Balance Sheet Detail'!DH39</f>
        <v>0</v>
      </c>
      <c r="BY36" s="587">
        <f>+'[8]Balance Sheet Detail'!DI39</f>
        <v>0</v>
      </c>
      <c r="BZ36" s="587">
        <f>+'[8]Balance Sheet Detail'!DJ39</f>
        <v>0</v>
      </c>
      <c r="CA36" s="587">
        <f>+'[8]Balance Sheet Detail'!DK39</f>
        <v>0</v>
      </c>
      <c r="CB36" s="587">
        <f>+'[8]Balance Sheet Detail'!DL39</f>
        <v>0</v>
      </c>
      <c r="CC36" s="587">
        <f>+'[8]Balance Sheet Detail'!DM39</f>
        <v>0</v>
      </c>
      <c r="CD36" s="587">
        <f>+'[8]Balance Sheet Detail'!DN39</f>
        <v>0</v>
      </c>
      <c r="CE36" s="587">
        <f>+'[8]Balance Sheet Detail'!DO39</f>
        <v>0</v>
      </c>
      <c r="CF36" s="587">
        <f>+'[8]Balance Sheet Detail'!DP39</f>
        <v>0</v>
      </c>
      <c r="CG36" s="587">
        <f>+'[8]Balance Sheet Detail'!DQ39</f>
        <v>0</v>
      </c>
      <c r="CH36" s="587">
        <f>+'[8]Balance Sheet Detail'!DR39</f>
        <v>0</v>
      </c>
      <c r="CI36" s="699">
        <f t="shared" si="65"/>
        <v>0</v>
      </c>
      <c r="CK36" s="33"/>
      <c r="CL36" s="184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</row>
    <row r="37" spans="1:104">
      <c r="A37" s="617" t="s">
        <v>491</v>
      </c>
      <c r="B37" s="260">
        <f t="shared" ca="1" si="64"/>
        <v>4732.4090492307687</v>
      </c>
      <c r="C37" s="350">
        <v>2637.0799099999999</v>
      </c>
      <c r="D37" s="350">
        <v>2412.6867699999998</v>
      </c>
      <c r="E37" s="350">
        <v>2493.8299900000002</v>
      </c>
      <c r="F37" s="350">
        <v>2161.50191</v>
      </c>
      <c r="G37" s="350">
        <v>1938.41113</v>
      </c>
      <c r="H37" s="350">
        <v>1711.05675</v>
      </c>
      <c r="I37" s="350">
        <v>1533.56122</v>
      </c>
      <c r="J37" s="350">
        <v>1302.4572499999999</v>
      </c>
      <c r="K37" s="350">
        <v>1068.4173400000002</v>
      </c>
      <c r="L37" s="350">
        <v>814.98104000000001</v>
      </c>
      <c r="M37" s="350">
        <v>580.51129000000003</v>
      </c>
      <c r="N37" s="350">
        <v>1546.85229</v>
      </c>
      <c r="O37" s="413">
        <v>2611.1723900000002</v>
      </c>
      <c r="P37" s="413">
        <v>2661.3756800000001</v>
      </c>
      <c r="Q37" s="413">
        <v>2747.6321699999999</v>
      </c>
      <c r="R37" s="413">
        <v>2397.4975800000002</v>
      </c>
      <c r="S37" s="413">
        <v>2167.9458</v>
      </c>
      <c r="T37" s="413">
        <v>1836.9848</v>
      </c>
      <c r="U37" s="413">
        <v>1481.3093700000002</v>
      </c>
      <c r="V37" s="413">
        <v>1278.4829399999999</v>
      </c>
      <c r="W37" s="413">
        <v>1030.99389</v>
      </c>
      <c r="X37" s="413">
        <v>805.90486999999996</v>
      </c>
      <c r="Y37" s="413">
        <v>548.55631999999991</v>
      </c>
      <c r="Z37" s="413">
        <v>619.35390000000007</v>
      </c>
      <c r="AA37" s="413">
        <v>2100.32987</v>
      </c>
      <c r="AB37" s="413">
        <v>2804.7330200000001</v>
      </c>
      <c r="AC37" s="413">
        <v>2555.7909799999998</v>
      </c>
      <c r="AD37" s="413">
        <v>2236.0284300000003</v>
      </c>
      <c r="AE37" s="413">
        <v>1973.52477</v>
      </c>
      <c r="AF37" s="413">
        <v>1716.8366599999999</v>
      </c>
      <c r="AG37" s="413">
        <v>1570.5801899999999</v>
      </c>
      <c r="AH37" s="413">
        <v>1545.0938899999999</v>
      </c>
      <c r="AI37" s="413">
        <v>1550.6350400000001</v>
      </c>
      <c r="AJ37" s="413">
        <v>1228.4786200000001</v>
      </c>
      <c r="AK37" s="413">
        <v>967.25804000000005</v>
      </c>
      <c r="AL37" s="413">
        <v>1409.7787599999999</v>
      </c>
      <c r="AM37" s="413">
        <v>3557.4746299999997</v>
      </c>
      <c r="AN37" s="413">
        <v>3489.93318</v>
      </c>
      <c r="AO37" s="413">
        <v>3363.9924700000001</v>
      </c>
      <c r="AP37" s="413">
        <v>2969.9907599999997</v>
      </c>
      <c r="AQ37" s="413">
        <v>2639.3216299999999</v>
      </c>
      <c r="AR37" s="413">
        <v>2532.9717999999998</v>
      </c>
      <c r="AS37" s="413">
        <v>2080.12122</v>
      </c>
      <c r="AT37" s="413">
        <v>1822.0522900000001</v>
      </c>
      <c r="AU37" s="413">
        <v>1503.25596</v>
      </c>
      <c r="AV37" s="413">
        <v>1044.0214100000001</v>
      </c>
      <c r="AW37" s="413">
        <v>703.36581999999999</v>
      </c>
      <c r="AX37" s="413">
        <v>1156.9128000000001</v>
      </c>
      <c r="AY37" s="413">
        <v>3134.7263499999999</v>
      </c>
      <c r="AZ37" s="413">
        <v>3235.2801199999999</v>
      </c>
      <c r="BA37" s="413">
        <v>3057.3586099999998</v>
      </c>
      <c r="BB37" s="413">
        <v>2786.9159199999999</v>
      </c>
      <c r="BC37" s="413">
        <v>2369.6821</v>
      </c>
      <c r="BD37" s="413">
        <v>2210.4805899999997</v>
      </c>
      <c r="BE37" s="587">
        <v>4759.7897599999997</v>
      </c>
      <c r="BF37" s="587">
        <v>4377.5653300000004</v>
      </c>
      <c r="BG37" s="587">
        <v>3826.77277</v>
      </c>
      <c r="BH37" s="587">
        <v>3194.1755099999996</v>
      </c>
      <c r="BI37" s="587">
        <v>2743.1066800000003</v>
      </c>
      <c r="BJ37" s="587">
        <v>3413.03042</v>
      </c>
      <c r="BK37" s="587">
        <v>6193.2354699999996</v>
      </c>
      <c r="BL37" s="587">
        <v>6227.4814500000002</v>
      </c>
      <c r="BM37" s="587">
        <v>5022.5029500000001</v>
      </c>
      <c r="BN37" s="587">
        <v>4682.7540599999993</v>
      </c>
      <c r="BO37" s="587">
        <v>3907.1144800000002</v>
      </c>
      <c r="BP37" s="587">
        <v>3587.7756199999999</v>
      </c>
      <c r="BQ37" s="587">
        <v>7492.9475300000004</v>
      </c>
      <c r="BR37" s="587">
        <v>7172.5128099999993</v>
      </c>
      <c r="BS37" s="587">
        <v>5981.2952000000005</v>
      </c>
      <c r="BT37" s="587">
        <v>5185.9816600000004</v>
      </c>
      <c r="BU37" s="587">
        <v>4429.9679000000006</v>
      </c>
      <c r="BV37" s="587">
        <v>3955.6176399999999</v>
      </c>
      <c r="BW37" s="805">
        <f>+'[8]Balance Sheet Detail'!DG42</f>
        <v>4191.3999999999996</v>
      </c>
      <c r="BX37" s="587">
        <f>+'[8]Balance Sheet Detail'!DH42</f>
        <v>4159.2</v>
      </c>
      <c r="BY37" s="587">
        <f>+'[8]Balance Sheet Detail'!DI42</f>
        <v>2924.8</v>
      </c>
      <c r="BZ37" s="587">
        <f>+'[8]Balance Sheet Detail'!DJ42</f>
        <v>2590</v>
      </c>
      <c r="CA37" s="587">
        <f>+'[8]Balance Sheet Detail'!DK42</f>
        <v>1666.1</v>
      </c>
      <c r="CB37" s="587">
        <f>+'[8]Balance Sheet Detail'!DL42</f>
        <v>7725.6</v>
      </c>
      <c r="CC37" s="587">
        <f>+'[8]Balance Sheet Detail'!DM42</f>
        <v>7425.2</v>
      </c>
      <c r="CD37" s="587">
        <f>+'[8]Balance Sheet Detail'!DN42</f>
        <v>6763.4</v>
      </c>
      <c r="CE37" s="587">
        <f>+'[8]Balance Sheet Detail'!DO42</f>
        <v>6058.7</v>
      </c>
      <c r="CF37" s="587">
        <f>+'[8]Balance Sheet Detail'!DP42</f>
        <v>5359</v>
      </c>
      <c r="CG37" s="587">
        <f>+'[8]Balance Sheet Detail'!DQ42</f>
        <v>4704.3</v>
      </c>
      <c r="CH37" s="805">
        <f>+'[8]Balance Sheet Detail'!DR42</f>
        <v>3998</v>
      </c>
      <c r="CI37" s="701">
        <f t="shared" si="65"/>
        <v>4732.4090492307687</v>
      </c>
      <c r="CJ37" s="1068"/>
      <c r="CK37" s="33"/>
      <c r="CL37" s="184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</row>
    <row r="38" spans="1:104">
      <c r="A38" s="617" t="s">
        <v>492</v>
      </c>
      <c r="B38" s="260">
        <f t="shared" ca="1" si="64"/>
        <v>19282.212179999999</v>
      </c>
      <c r="C38" s="352">
        <v>14793.90136</v>
      </c>
      <c r="D38" s="352">
        <v>14647.02475</v>
      </c>
      <c r="E38" s="352">
        <v>13891.25894</v>
      </c>
      <c r="F38" s="352">
        <v>13674.195830000001</v>
      </c>
      <c r="G38" s="352">
        <v>12482.27217</v>
      </c>
      <c r="H38" s="352">
        <v>11616.502460000002</v>
      </c>
      <c r="I38" s="352">
        <v>11103.855129999998</v>
      </c>
      <c r="J38" s="352">
        <v>11058.723689999999</v>
      </c>
      <c r="K38" s="352">
        <v>11559.348890000001</v>
      </c>
      <c r="L38" s="352">
        <v>11936.884789999998</v>
      </c>
      <c r="M38" s="352">
        <v>13068.461640000001</v>
      </c>
      <c r="N38" s="352">
        <v>14923.24071</v>
      </c>
      <c r="O38" s="415">
        <v>19709.78095</v>
      </c>
      <c r="P38" s="415">
        <v>17782.254499999999</v>
      </c>
      <c r="Q38" s="415">
        <v>15051.948460000001</v>
      </c>
      <c r="R38" s="415">
        <v>15420.493490000001</v>
      </c>
      <c r="S38" s="415">
        <v>13318.813340000001</v>
      </c>
      <c r="T38" s="415">
        <v>12093.90439</v>
      </c>
      <c r="U38" s="415">
        <v>11886.70873</v>
      </c>
      <c r="V38" s="415">
        <v>11640.14566</v>
      </c>
      <c r="W38" s="415">
        <v>11662.559230000001</v>
      </c>
      <c r="X38" s="415">
        <v>11825.160310000001</v>
      </c>
      <c r="Y38" s="415">
        <v>13201.89531</v>
      </c>
      <c r="Z38" s="415">
        <v>15400.69614</v>
      </c>
      <c r="AA38" s="415">
        <v>16928.492259999999</v>
      </c>
      <c r="AB38" s="415">
        <v>14775.235269999999</v>
      </c>
      <c r="AC38" s="415">
        <v>15319.771419999999</v>
      </c>
      <c r="AD38" s="415">
        <v>15017.36967</v>
      </c>
      <c r="AE38" s="415">
        <v>13805.728929999999</v>
      </c>
      <c r="AF38" s="415">
        <v>12437.552470000001</v>
      </c>
      <c r="AG38" s="415">
        <v>12103.067550000002</v>
      </c>
      <c r="AH38" s="415">
        <v>11409.97128</v>
      </c>
      <c r="AI38" s="415">
        <v>11774.779460000002</v>
      </c>
      <c r="AJ38" s="415">
        <v>11943.43881</v>
      </c>
      <c r="AK38" s="415">
        <v>14474.12564</v>
      </c>
      <c r="AL38" s="415">
        <v>15620.86781</v>
      </c>
      <c r="AM38" s="415">
        <v>16930.267980000001</v>
      </c>
      <c r="AN38" s="415">
        <v>16289.747710000001</v>
      </c>
      <c r="AO38" s="415">
        <v>14402.74877</v>
      </c>
      <c r="AP38" s="415">
        <v>13045.89567</v>
      </c>
      <c r="AQ38" s="415">
        <v>12219.947970000001</v>
      </c>
      <c r="AR38" s="415">
        <v>12196.21343</v>
      </c>
      <c r="AS38" s="413">
        <v>11554.755009999999</v>
      </c>
      <c r="AT38" s="413">
        <v>11615.52332</v>
      </c>
      <c r="AU38" s="413">
        <v>11591.304679999999</v>
      </c>
      <c r="AV38" s="413">
        <v>12294.438970000001</v>
      </c>
      <c r="AW38" s="413">
        <v>13578.59181</v>
      </c>
      <c r="AX38" s="413">
        <v>18296.16387</v>
      </c>
      <c r="AY38" s="413">
        <v>22112.605070000001</v>
      </c>
      <c r="AZ38" s="413">
        <v>18587.515509999997</v>
      </c>
      <c r="BA38" s="413">
        <v>19522.572199999999</v>
      </c>
      <c r="BB38" s="413">
        <v>19357.34979</v>
      </c>
      <c r="BC38" s="413">
        <v>17195.15754</v>
      </c>
      <c r="BD38" s="413">
        <v>16430.362300000001</v>
      </c>
      <c r="BE38" s="583">
        <v>16061.876699999999</v>
      </c>
      <c r="BF38" s="583">
        <v>15505.416999999999</v>
      </c>
      <c r="BG38" s="583">
        <v>16065.272199999999</v>
      </c>
      <c r="BH38" s="583">
        <v>16090.04326</v>
      </c>
      <c r="BI38" s="583">
        <v>17707.285210000002</v>
      </c>
      <c r="BJ38" s="583">
        <v>20933.310990000002</v>
      </c>
      <c r="BK38" s="583">
        <v>26483.953750000001</v>
      </c>
      <c r="BL38" s="583">
        <v>25252.832039999998</v>
      </c>
      <c r="BM38" s="583">
        <v>22032.305809999998</v>
      </c>
      <c r="BN38" s="583">
        <v>20486.81135</v>
      </c>
      <c r="BO38" s="583">
        <v>19034.18259</v>
      </c>
      <c r="BP38" s="583">
        <v>17118.975899999998</v>
      </c>
      <c r="BQ38" s="583">
        <v>16220.343490000001</v>
      </c>
      <c r="BR38" s="583">
        <v>17742.28645</v>
      </c>
      <c r="BS38" s="583">
        <v>16780.03011</v>
      </c>
      <c r="BT38" s="583">
        <v>19784.86536</v>
      </c>
      <c r="BU38" s="583">
        <v>17916.29279</v>
      </c>
      <c r="BV38" s="583">
        <v>20018.75834</v>
      </c>
      <c r="BW38" s="583">
        <f>(VLOOKUP("173",'[8]BS ACCTS'!$D$6:$ZZ$999,113,FALSE))+(VLOOKUP("1823070",'[8]BS ACCTS'!$D$6:$ZZ$999,113,FALSE))</f>
        <v>24900</v>
      </c>
      <c r="BX38" s="583">
        <f>(VLOOKUP("173",'[8]BS ACCTS'!$D$6:$ZZ$999,114,FALSE))+(VLOOKUP("1823070",'[8]BS ACCTS'!$D$6:$ZZ$999,114,FALSE))</f>
        <v>22300</v>
      </c>
      <c r="BY38" s="583">
        <f>(VLOOKUP("173",'[8]BS ACCTS'!$D$6:$ZZ$999,115,FALSE))+(VLOOKUP("1823070",'[8]BS ACCTS'!$D$6:$ZZ$999,115,FALSE))</f>
        <v>21000</v>
      </c>
      <c r="BZ38" s="583">
        <f>(VLOOKUP("173",'[8]BS ACCTS'!$D$6:$ZZ$999,116,FALSE))+(VLOOKUP("1823070",'[8]BS ACCTS'!$D$6:$ZZ$999,116,FALSE))</f>
        <v>20250</v>
      </c>
      <c r="CA38" s="583">
        <f>(VLOOKUP("173",'[8]BS ACCTS'!$D$6:$ZZ$999,117,FALSE))+(VLOOKUP("1823070",'[8]BS ACCTS'!$D$6:$ZZ$999,117,FALSE))</f>
        <v>18400</v>
      </c>
      <c r="CB38" s="583">
        <f>(VLOOKUP("173",'[8]BS ACCTS'!$D$6:$ZZ$999,118,FALSE))+(VLOOKUP("1823070",'[8]BS ACCTS'!$D$6:$ZZ$999,118,FALSE))</f>
        <v>17050</v>
      </c>
      <c r="CC38" s="583">
        <f>(VLOOKUP("173",'[8]BS ACCTS'!$D$6:$ZZ$999,119,FALSE))+(VLOOKUP("1823070",'[8]BS ACCTS'!$D$6:$ZZ$999,119,FALSE))</f>
        <v>16375</v>
      </c>
      <c r="CD38" s="583">
        <f>(VLOOKUP("173",'[8]BS ACCTS'!$D$6:$ZZ$999,120,FALSE))+(VLOOKUP("1823070",'[8]BS ACCTS'!$D$6:$ZZ$999,120,FALSE))</f>
        <v>16875</v>
      </c>
      <c r="CE38" s="583">
        <f>(VLOOKUP("173",'[8]BS ACCTS'!$D$6:$ZZ$999,121,FALSE))+(VLOOKUP("1823070",'[8]BS ACCTS'!$D$6:$ZZ$999,121,FALSE))</f>
        <v>16675</v>
      </c>
      <c r="CF38" s="583">
        <f>(VLOOKUP("173",'[8]BS ACCTS'!$D$6:$ZZ$999,122,FALSE))+(VLOOKUP("1823070",'[8]BS ACCTS'!$D$6:$ZZ$999,122,FALSE))</f>
        <v>18175</v>
      </c>
      <c r="CG38" s="583">
        <f>(VLOOKUP("173",'[8]BS ACCTS'!$D$6:$ZZ$999,123,FALSE))+(VLOOKUP("1823070",'[8]BS ACCTS'!$D$6:$ZZ$999,123,FALSE))</f>
        <v>17900</v>
      </c>
      <c r="CH38" s="583">
        <f>(VLOOKUP("173",'[8]BS ACCTS'!$D$6:$ZZ$999,124,FALSE))+(VLOOKUP("1823070",'[8]BS ACCTS'!$D$6:$ZZ$999,124,FALSE))</f>
        <v>20750</v>
      </c>
      <c r="CI38" s="699">
        <f t="shared" si="65"/>
        <v>19282.212179999999</v>
      </c>
      <c r="CK38" s="33"/>
      <c r="CL38" s="184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</row>
    <row r="39" spans="1:104">
      <c r="A39" s="617" t="s">
        <v>493</v>
      </c>
      <c r="B39" s="262">
        <f t="shared" ca="1" si="64"/>
        <v>0</v>
      </c>
      <c r="C39" s="353">
        <v>535.4</v>
      </c>
      <c r="D39" s="353">
        <v>31.52</v>
      </c>
      <c r="E39" s="353">
        <v>482.88</v>
      </c>
      <c r="F39" s="353">
        <v>538.84500000000003</v>
      </c>
      <c r="G39" s="353">
        <v>169.52500000000001</v>
      </c>
      <c r="H39" s="353">
        <v>88.275000000000006</v>
      </c>
      <c r="I39" s="353">
        <v>8.4499999999999993</v>
      </c>
      <c r="J39" s="353">
        <v>101.19499999999999</v>
      </c>
      <c r="K39" s="353">
        <v>79.745000000000005</v>
      </c>
      <c r="L39" s="353">
        <v>4.8</v>
      </c>
      <c r="M39" s="353">
        <v>7.23</v>
      </c>
      <c r="N39" s="353">
        <v>0</v>
      </c>
      <c r="O39" s="416">
        <v>77.894999999999996</v>
      </c>
      <c r="P39" s="416">
        <v>0</v>
      </c>
      <c r="Q39" s="416">
        <v>0</v>
      </c>
      <c r="R39" s="416">
        <v>2.04</v>
      </c>
      <c r="S39" s="416">
        <v>20.02</v>
      </c>
      <c r="T39" s="416">
        <v>15.33</v>
      </c>
      <c r="U39" s="416">
        <v>0</v>
      </c>
      <c r="V39" s="416">
        <v>3.5</v>
      </c>
      <c r="W39" s="416">
        <v>10.039999999999999</v>
      </c>
      <c r="X39" s="416">
        <v>14.65</v>
      </c>
      <c r="Y39" s="416">
        <v>0</v>
      </c>
      <c r="Z39" s="416">
        <v>0</v>
      </c>
      <c r="AA39" s="416">
        <v>0</v>
      </c>
      <c r="AB39" s="416">
        <v>0</v>
      </c>
      <c r="AC39" s="416">
        <v>0</v>
      </c>
      <c r="AD39" s="416">
        <v>0</v>
      </c>
      <c r="AE39" s="416">
        <v>0</v>
      </c>
      <c r="AF39" s="416">
        <v>0</v>
      </c>
      <c r="AG39" s="416">
        <v>0</v>
      </c>
      <c r="AH39" s="416">
        <v>0</v>
      </c>
      <c r="AI39" s="416">
        <v>0</v>
      </c>
      <c r="AJ39" s="416">
        <v>0</v>
      </c>
      <c r="AK39" s="416">
        <v>0</v>
      </c>
      <c r="AL39" s="416">
        <v>0</v>
      </c>
      <c r="AM39" s="416">
        <v>0</v>
      </c>
      <c r="AN39" s="416">
        <v>0</v>
      </c>
      <c r="AO39" s="416">
        <v>0</v>
      </c>
      <c r="AP39" s="416">
        <v>0</v>
      </c>
      <c r="AQ39" s="416">
        <v>0</v>
      </c>
      <c r="AR39" s="416">
        <v>0</v>
      </c>
      <c r="AS39" s="417">
        <v>0</v>
      </c>
      <c r="AT39" s="417">
        <v>0</v>
      </c>
      <c r="AU39" s="417">
        <v>0</v>
      </c>
      <c r="AV39" s="417">
        <v>0</v>
      </c>
      <c r="AW39" s="417">
        <v>0</v>
      </c>
      <c r="AX39" s="417">
        <v>0</v>
      </c>
      <c r="AY39" s="417">
        <v>0</v>
      </c>
      <c r="AZ39" s="417">
        <v>0</v>
      </c>
      <c r="BA39" s="417">
        <v>0</v>
      </c>
      <c r="BB39" s="417">
        <v>0</v>
      </c>
      <c r="BC39" s="417">
        <v>0</v>
      </c>
      <c r="BD39" s="417">
        <v>0</v>
      </c>
      <c r="BE39" s="689">
        <v>0</v>
      </c>
      <c r="BF39" s="689">
        <v>0</v>
      </c>
      <c r="BG39" s="689">
        <v>0</v>
      </c>
      <c r="BH39" s="689">
        <v>0</v>
      </c>
      <c r="BI39" s="689">
        <v>0</v>
      </c>
      <c r="BJ39" s="689">
        <v>0</v>
      </c>
      <c r="BK39" s="689">
        <v>0</v>
      </c>
      <c r="BL39" s="689">
        <v>0</v>
      </c>
      <c r="BM39" s="689">
        <v>0</v>
      </c>
      <c r="BN39" s="689">
        <v>0</v>
      </c>
      <c r="BO39" s="689">
        <v>0</v>
      </c>
      <c r="BP39" s="689">
        <v>0</v>
      </c>
      <c r="BQ39" s="689">
        <v>0</v>
      </c>
      <c r="BR39" s="689">
        <v>0</v>
      </c>
      <c r="BS39" s="689">
        <v>0</v>
      </c>
      <c r="BT39" s="689">
        <v>0</v>
      </c>
      <c r="BU39" s="689">
        <v>0</v>
      </c>
      <c r="BV39" s="689">
        <v>0</v>
      </c>
      <c r="BW39" s="689">
        <f>(VLOOKUP("176",'[8]BS ACCTS'!$D$6:$ZZ$999,113,FALSE))</f>
        <v>0</v>
      </c>
      <c r="BX39" s="689">
        <f>(VLOOKUP("176",'[8]BS ACCTS'!$D$6:$ZZ$999,114,FALSE))</f>
        <v>0</v>
      </c>
      <c r="BY39" s="689">
        <f>(VLOOKUP("176",'[8]BS ACCTS'!$D$6:$ZZ$999,115,FALSE))</f>
        <v>0</v>
      </c>
      <c r="BZ39" s="689">
        <f>(VLOOKUP("176",'[8]BS ACCTS'!$D$6:$ZZ$999,116,FALSE))</f>
        <v>0</v>
      </c>
      <c r="CA39" s="689">
        <f>(VLOOKUP("176",'[8]BS ACCTS'!$D$6:$ZZ$999,117,FALSE))</f>
        <v>0</v>
      </c>
      <c r="CB39" s="689">
        <f>(VLOOKUP("176",'[8]BS ACCTS'!$D$6:$ZZ$999,118,FALSE))</f>
        <v>0</v>
      </c>
      <c r="CC39" s="689">
        <f>(VLOOKUP("176",'[8]BS ACCTS'!$D$6:$ZZ$999,119,FALSE))</f>
        <v>0</v>
      </c>
      <c r="CD39" s="689">
        <f>(VLOOKUP("176",'[8]BS ACCTS'!$D$6:$ZZ$999,120,FALSE))</f>
        <v>0</v>
      </c>
      <c r="CE39" s="689">
        <f>(VLOOKUP("176",'[8]BS ACCTS'!$D$6:$ZZ$999,121,FALSE))</f>
        <v>0</v>
      </c>
      <c r="CF39" s="689">
        <f>(VLOOKUP("176",'[8]BS ACCTS'!$D$6:$ZZ$999,122,FALSE))</f>
        <v>0</v>
      </c>
      <c r="CG39" s="689">
        <f>(VLOOKUP("176",'[8]BS ACCTS'!$D$6:$ZZ$999,123,FALSE))</f>
        <v>0</v>
      </c>
      <c r="CH39" s="689">
        <f>(VLOOKUP("176",'[8]BS ACCTS'!$D$6:$ZZ$999,124,FALSE))</f>
        <v>0</v>
      </c>
      <c r="CI39" s="700">
        <f t="shared" si="65"/>
        <v>0</v>
      </c>
      <c r="CK39" s="33"/>
      <c r="CL39" s="184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</row>
    <row r="40" spans="1:104">
      <c r="A40" s="599" t="s">
        <v>494</v>
      </c>
      <c r="B40" s="318">
        <f t="shared" ca="1" si="64"/>
        <v>81317.525312307684</v>
      </c>
      <c r="C40" s="79">
        <f t="shared" ref="C40:AH40" si="66">SUM(C24:C39)</f>
        <v>55363.462529999997</v>
      </c>
      <c r="D40" s="79">
        <f t="shared" si="66"/>
        <v>64162.010029999998</v>
      </c>
      <c r="E40" s="79">
        <f t="shared" si="66"/>
        <v>56797.737939999999</v>
      </c>
      <c r="F40" s="79">
        <f t="shared" si="66"/>
        <v>64568.653969999999</v>
      </c>
      <c r="G40" s="79">
        <f t="shared" si="66"/>
        <v>64198.700619999996</v>
      </c>
      <c r="H40" s="79">
        <f t="shared" si="66"/>
        <v>53822.729170000006</v>
      </c>
      <c r="I40" s="79">
        <f t="shared" si="66"/>
        <v>55353.660960000001</v>
      </c>
      <c r="J40" s="79">
        <f t="shared" si="66"/>
        <v>63573.355629999998</v>
      </c>
      <c r="K40" s="79">
        <f t="shared" si="66"/>
        <v>59774.403510000004</v>
      </c>
      <c r="L40" s="79">
        <f t="shared" si="66"/>
        <v>50969.798269999992</v>
      </c>
      <c r="M40" s="79">
        <f t="shared" si="66"/>
        <v>52801.585440000017</v>
      </c>
      <c r="N40" s="79">
        <f t="shared" si="66"/>
        <v>63444.125749999999</v>
      </c>
      <c r="O40" s="79">
        <f t="shared" si="66"/>
        <v>78600.297149999999</v>
      </c>
      <c r="P40" s="79">
        <f t="shared" si="66"/>
        <v>72991.793879999997</v>
      </c>
      <c r="Q40" s="79">
        <f t="shared" si="66"/>
        <v>61327.180679999998</v>
      </c>
      <c r="R40" s="79">
        <f t="shared" si="66"/>
        <v>61091.297689999999</v>
      </c>
      <c r="S40" s="79">
        <f t="shared" si="66"/>
        <v>58566.63283000001</v>
      </c>
      <c r="T40" s="79">
        <f t="shared" si="66"/>
        <v>58219.489690000002</v>
      </c>
      <c r="U40" s="79">
        <f t="shared" si="66"/>
        <v>57154.576589999997</v>
      </c>
      <c r="V40" s="79">
        <f t="shared" si="66"/>
        <v>51752.904920000001</v>
      </c>
      <c r="W40" s="79">
        <f t="shared" si="66"/>
        <v>58260.21542</v>
      </c>
      <c r="X40" s="79">
        <f t="shared" si="66"/>
        <v>57117.640550000004</v>
      </c>
      <c r="Y40" s="79">
        <f t="shared" si="66"/>
        <v>55739.472749999994</v>
      </c>
      <c r="Z40" s="79">
        <f t="shared" si="66"/>
        <v>59264.045770000004</v>
      </c>
      <c r="AA40" s="79">
        <f t="shared" si="66"/>
        <v>68098.539619999996</v>
      </c>
      <c r="AB40" s="79">
        <f t="shared" si="66"/>
        <v>63805.776129999998</v>
      </c>
      <c r="AC40" s="79">
        <f t="shared" si="66"/>
        <v>62056.625199999995</v>
      </c>
      <c r="AD40" s="79">
        <f t="shared" si="66"/>
        <v>57434.873549999997</v>
      </c>
      <c r="AE40" s="79">
        <f t="shared" si="66"/>
        <v>56015.68204</v>
      </c>
      <c r="AF40" s="79">
        <f t="shared" si="66"/>
        <v>51239.944200000005</v>
      </c>
      <c r="AG40" s="79">
        <f t="shared" si="66"/>
        <v>48187.394990000001</v>
      </c>
      <c r="AH40" s="79">
        <f t="shared" si="66"/>
        <v>47000.737529999991</v>
      </c>
      <c r="AI40" s="79">
        <f t="shared" ref="AI40:BJ40" si="67">SUM(AI24:AI39)</f>
        <v>52493.94359000001</v>
      </c>
      <c r="AJ40" s="79">
        <f t="shared" si="67"/>
        <v>48756.439980000003</v>
      </c>
      <c r="AK40" s="79">
        <f t="shared" si="67"/>
        <v>53214.511490000004</v>
      </c>
      <c r="AL40" s="79">
        <f t="shared" si="67"/>
        <v>58595.524510000003</v>
      </c>
      <c r="AM40" s="79">
        <f t="shared" si="67"/>
        <v>66657.72503999999</v>
      </c>
      <c r="AN40" s="79">
        <f t="shared" si="67"/>
        <v>63915.330889999997</v>
      </c>
      <c r="AO40" s="79">
        <f t="shared" si="67"/>
        <v>58796.932129999994</v>
      </c>
      <c r="AP40" s="79">
        <f t="shared" si="67"/>
        <v>53897.861819999998</v>
      </c>
      <c r="AQ40" s="79">
        <f t="shared" si="67"/>
        <v>52128.255949999992</v>
      </c>
      <c r="AR40" s="79">
        <f t="shared" si="67"/>
        <v>52654.731759999995</v>
      </c>
      <c r="AS40" s="79">
        <f t="shared" si="67"/>
        <v>49152.143330000006</v>
      </c>
      <c r="AT40" s="79">
        <f t="shared" si="67"/>
        <v>48491.290659999999</v>
      </c>
      <c r="AU40" s="79">
        <f t="shared" si="67"/>
        <v>47550.862589999997</v>
      </c>
      <c r="AV40" s="79">
        <f t="shared" si="67"/>
        <v>45596.195090000001</v>
      </c>
      <c r="AW40" s="79">
        <f t="shared" si="67"/>
        <v>50050.81360999999</v>
      </c>
      <c r="AX40" s="79">
        <f t="shared" si="67"/>
        <v>61740.850760000001</v>
      </c>
      <c r="AY40" s="79">
        <f t="shared" si="67"/>
        <v>77129.190730000017</v>
      </c>
      <c r="AZ40" s="79">
        <f t="shared" si="67"/>
        <v>74103.368440000006</v>
      </c>
      <c r="BA40" s="79">
        <f t="shared" si="67"/>
        <v>62573.187090000007</v>
      </c>
      <c r="BB40" s="79">
        <f t="shared" si="67"/>
        <v>64059.233339999992</v>
      </c>
      <c r="BC40" s="79">
        <f t="shared" si="67"/>
        <v>58533.096319999997</v>
      </c>
      <c r="BD40" s="79">
        <f t="shared" si="67"/>
        <v>55652.338089999997</v>
      </c>
      <c r="BE40" s="687">
        <f t="shared" si="67"/>
        <v>57985.395990000005</v>
      </c>
      <c r="BF40" s="687">
        <f t="shared" si="67"/>
        <v>54796.322550000004</v>
      </c>
      <c r="BG40" s="687">
        <f t="shared" si="67"/>
        <v>55909.044719999998</v>
      </c>
      <c r="BH40" s="687">
        <f t="shared" si="67"/>
        <v>56690.915260000002</v>
      </c>
      <c r="BI40" s="687">
        <f t="shared" si="67"/>
        <v>56416.018389999997</v>
      </c>
      <c r="BJ40" s="687">
        <f t="shared" si="67"/>
        <v>78755.841990000001</v>
      </c>
      <c r="BK40" s="687">
        <f t="shared" ref="BK40:BU40" si="68">SUM(BK24:BK39)</f>
        <v>96211.556079999995</v>
      </c>
      <c r="BL40" s="687">
        <f t="shared" si="68"/>
        <v>100929.34964999999</v>
      </c>
      <c r="BM40" s="687">
        <f t="shared" si="68"/>
        <v>88556.288460000011</v>
      </c>
      <c r="BN40" s="687">
        <f t="shared" si="68"/>
        <v>84388.333310000002</v>
      </c>
      <c r="BO40" s="687">
        <f t="shared" si="68"/>
        <v>87690.529009999984</v>
      </c>
      <c r="BP40" s="687">
        <f t="shared" si="68"/>
        <v>84396.244869999995</v>
      </c>
      <c r="BQ40" s="687">
        <f t="shared" si="68"/>
        <v>89774.36761999999</v>
      </c>
      <c r="BR40" s="687">
        <f t="shared" si="68"/>
        <v>85397.016539999982</v>
      </c>
      <c r="BS40" s="687">
        <f t="shared" si="68"/>
        <v>83314.618629999983</v>
      </c>
      <c r="BT40" s="687">
        <f t="shared" si="68"/>
        <v>82470.698640000002</v>
      </c>
      <c r="BU40" s="687">
        <f t="shared" si="68"/>
        <v>79055.60444000001</v>
      </c>
      <c r="BV40" s="687">
        <f t="shared" ref="BV40" si="69">SUM(BV24:BV39)</f>
        <v>84160.729059999983</v>
      </c>
      <c r="BW40" s="687">
        <f t="shared" ref="BW40:CH40" si="70">SUM(BW24:BW39)</f>
        <v>93324.3</v>
      </c>
      <c r="BX40" s="687">
        <f t="shared" si="70"/>
        <v>94548.599999999991</v>
      </c>
      <c r="BY40" s="687">
        <f t="shared" si="70"/>
        <v>83965.200000000012</v>
      </c>
      <c r="BZ40" s="687">
        <f t="shared" si="70"/>
        <v>80356.299999999988</v>
      </c>
      <c r="CA40" s="687">
        <f t="shared" si="70"/>
        <v>77112.399999999994</v>
      </c>
      <c r="CB40" s="687">
        <f t="shared" si="70"/>
        <v>78437.399999999994</v>
      </c>
      <c r="CC40" s="687">
        <f t="shared" si="70"/>
        <v>80250.200000000012</v>
      </c>
      <c r="CD40" s="687">
        <f t="shared" si="70"/>
        <v>76117.599999999991</v>
      </c>
      <c r="CE40" s="687">
        <f t="shared" si="70"/>
        <v>75740.100000000006</v>
      </c>
      <c r="CF40" s="687">
        <f t="shared" si="70"/>
        <v>76597.799999999988</v>
      </c>
      <c r="CG40" s="687">
        <f t="shared" si="70"/>
        <v>74508.5</v>
      </c>
      <c r="CH40" s="687">
        <f t="shared" si="70"/>
        <v>82008.699999999983</v>
      </c>
      <c r="CI40" s="701">
        <f t="shared" si="65"/>
        <v>81317.525312307684</v>
      </c>
      <c r="CK40" s="33"/>
      <c r="CL40" s="184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</row>
    <row r="41" spans="1:104">
      <c r="A41" s="27"/>
      <c r="B41" s="26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687"/>
      <c r="BF41" s="687"/>
      <c r="BG41" s="687"/>
      <c r="BH41" s="687"/>
      <c r="BI41" s="687"/>
      <c r="BJ41" s="687"/>
      <c r="BK41" s="687"/>
      <c r="BL41" s="687"/>
      <c r="BM41" s="687"/>
      <c r="BN41" s="687"/>
      <c r="BO41" s="687"/>
      <c r="BP41" s="687"/>
      <c r="BQ41" s="687"/>
      <c r="BR41" s="687"/>
      <c r="BS41" s="687"/>
      <c r="BT41" s="687"/>
      <c r="BU41" s="687"/>
      <c r="BV41" s="687"/>
      <c r="BW41" s="687"/>
      <c r="BX41" s="687"/>
      <c r="BY41" s="687"/>
      <c r="BZ41" s="687"/>
      <c r="CA41" s="687"/>
      <c r="CB41" s="687"/>
      <c r="CC41" s="687"/>
      <c r="CD41" s="687"/>
      <c r="CE41" s="687"/>
      <c r="CF41" s="687"/>
      <c r="CG41" s="687"/>
      <c r="CH41" s="687"/>
      <c r="CI41" s="699"/>
      <c r="CK41" s="33"/>
      <c r="CL41" s="184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</row>
    <row r="42" spans="1:104">
      <c r="A42" s="13" t="s">
        <v>495</v>
      </c>
      <c r="B42" s="260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687"/>
      <c r="BF42" s="687"/>
      <c r="BG42" s="687"/>
      <c r="BH42" s="687"/>
      <c r="BI42" s="687"/>
      <c r="BJ42" s="687"/>
      <c r="BK42" s="687"/>
      <c r="BL42" s="687"/>
      <c r="BM42" s="687"/>
      <c r="BN42" s="687"/>
      <c r="BO42" s="687"/>
      <c r="BP42" s="687"/>
      <c r="BQ42" s="687"/>
      <c r="BR42" s="687"/>
      <c r="BS42" s="687"/>
      <c r="BT42" s="687"/>
      <c r="BU42" s="687"/>
      <c r="BV42" s="687"/>
      <c r="BW42" s="687"/>
      <c r="BX42" s="687"/>
      <c r="BY42" s="687"/>
      <c r="BZ42" s="687"/>
      <c r="CA42" s="687"/>
      <c r="CB42" s="687"/>
      <c r="CC42" s="687"/>
      <c r="CD42" s="687"/>
      <c r="CE42" s="687"/>
      <c r="CF42" s="687"/>
      <c r="CG42" s="687"/>
      <c r="CH42" s="687"/>
      <c r="CI42" s="699"/>
      <c r="CK42" s="33"/>
      <c r="CL42" s="184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</row>
    <row r="43" spans="1:104">
      <c r="A43" s="617" t="s">
        <v>496</v>
      </c>
      <c r="B43" s="260">
        <f t="shared" ref="B43:B53" ca="1" si="71">SUM(OFFSET(BK43:BW43,0,$A$1-1))/13</f>
        <v>349.48033615384617</v>
      </c>
      <c r="C43" s="348">
        <v>1135.33413</v>
      </c>
      <c r="D43" s="348">
        <v>1127.24026</v>
      </c>
      <c r="E43" s="348">
        <v>1119.1463899999999</v>
      </c>
      <c r="F43" s="348">
        <v>1111.05252</v>
      </c>
      <c r="G43" s="348">
        <v>1102.9586499999998</v>
      </c>
      <c r="H43" s="348">
        <v>1094.8647800000001</v>
      </c>
      <c r="I43" s="348">
        <v>1086.77091</v>
      </c>
      <c r="J43" s="348">
        <v>1078.67704</v>
      </c>
      <c r="K43" s="348">
        <v>1070.5831699999999</v>
      </c>
      <c r="L43" s="348">
        <v>1062.4893</v>
      </c>
      <c r="M43" s="348">
        <v>1054.39543</v>
      </c>
      <c r="N43" s="348">
        <v>1046.3015600000001</v>
      </c>
      <c r="O43" s="411">
        <v>1038.20769</v>
      </c>
      <c r="P43" s="411">
        <v>1030.11382</v>
      </c>
      <c r="Q43" s="411">
        <v>1067.87933</v>
      </c>
      <c r="R43" s="411">
        <v>1053.2341200000001</v>
      </c>
      <c r="S43" s="411">
        <v>1040.1659300000001</v>
      </c>
      <c r="T43" s="411">
        <v>1785.06277</v>
      </c>
      <c r="U43" s="411">
        <v>1787.67147</v>
      </c>
      <c r="V43" s="411">
        <v>1779.1369099999999</v>
      </c>
      <c r="W43" s="411">
        <v>1807.0138899999999</v>
      </c>
      <c r="X43" s="411">
        <v>2037.07448</v>
      </c>
      <c r="Y43" s="411">
        <v>2030.6094499999999</v>
      </c>
      <c r="Z43" s="411">
        <v>2027.97783</v>
      </c>
      <c r="AA43" s="411">
        <v>2020.07215</v>
      </c>
      <c r="AB43" s="411">
        <v>2012.1834799999999</v>
      </c>
      <c r="AC43" s="411">
        <v>2018.04828</v>
      </c>
      <c r="AD43" s="411">
        <v>2010.10456</v>
      </c>
      <c r="AE43" s="411">
        <v>2002.16084</v>
      </c>
      <c r="AF43" s="411">
        <v>1994.21712</v>
      </c>
      <c r="AG43" s="411">
        <v>2205.5789</v>
      </c>
      <c r="AH43" s="411">
        <v>2242.15967</v>
      </c>
      <c r="AI43" s="411">
        <v>2244.4437000000003</v>
      </c>
      <c r="AJ43" s="411">
        <v>2235.7572300000002</v>
      </c>
      <c r="AK43" s="411">
        <v>2227.0707599999996</v>
      </c>
      <c r="AL43" s="411">
        <v>2233.0608900000002</v>
      </c>
      <c r="AM43" s="411">
        <v>2224.3343199999999</v>
      </c>
      <c r="AN43" s="411">
        <v>2226.9272999999998</v>
      </c>
      <c r="AO43" s="411">
        <v>2222.0164199999999</v>
      </c>
      <c r="AP43" s="411">
        <v>2211.8215099999998</v>
      </c>
      <c r="AQ43" s="411">
        <v>2201.6266000000001</v>
      </c>
      <c r="AR43" s="411">
        <v>2191.4316899999999</v>
      </c>
      <c r="AS43" s="411">
        <v>2181.2367799999997</v>
      </c>
      <c r="AT43" s="411">
        <v>2171.04187</v>
      </c>
      <c r="AU43" s="411">
        <v>2160.8469599999999</v>
      </c>
      <c r="AV43" s="411">
        <v>2150.6520499999997</v>
      </c>
      <c r="AW43" s="411">
        <v>2140.45714</v>
      </c>
      <c r="AX43" s="411">
        <v>2130.2622299999998</v>
      </c>
      <c r="AY43" s="411">
        <v>2126.6312200000002</v>
      </c>
      <c r="AZ43" s="411">
        <v>2115.7154100000002</v>
      </c>
      <c r="BA43" s="411">
        <v>3962.9508900000001</v>
      </c>
      <c r="BB43" s="411">
        <v>4083.4283599999999</v>
      </c>
      <c r="BC43" s="411">
        <v>4214.9540700000007</v>
      </c>
      <c r="BD43" s="411">
        <v>4360.24496</v>
      </c>
      <c r="BE43" s="588">
        <v>4339.27621</v>
      </c>
      <c r="BF43" s="588">
        <v>4318.30746</v>
      </c>
      <c r="BG43" s="588">
        <v>4297.33871</v>
      </c>
      <c r="BH43" s="588">
        <v>4276.36996</v>
      </c>
      <c r="BI43" s="588">
        <v>4255.40121</v>
      </c>
      <c r="BJ43" s="588">
        <v>4248.9452799999999</v>
      </c>
      <c r="BK43" s="588">
        <v>4226.5231299999996</v>
      </c>
      <c r="BL43" s="588">
        <v>4204.3671599999998</v>
      </c>
      <c r="BM43" s="588">
        <v>4182.21119</v>
      </c>
      <c r="BN43" s="588">
        <v>4161.0365000000002</v>
      </c>
      <c r="BO43" s="588">
        <v>4138.7578700000004</v>
      </c>
      <c r="BP43" s="588">
        <v>4116.4792400000006</v>
      </c>
      <c r="BQ43" s="588">
        <v>4568.2277899999999</v>
      </c>
      <c r="BR43" s="588">
        <v>4607.0475999999999</v>
      </c>
      <c r="BS43" s="588">
        <v>4577.8456399999995</v>
      </c>
      <c r="BT43" s="588">
        <v>4562.2672300000004</v>
      </c>
      <c r="BU43" s="588">
        <v>4533.6203099999993</v>
      </c>
      <c r="BV43" s="588">
        <v>4543.2443700000003</v>
      </c>
      <c r="BW43" s="588">
        <f>+'[8]Balance Sheet Detail'!DG47</f>
        <v>0</v>
      </c>
      <c r="BX43" s="588">
        <f>+'[8]Balance Sheet Detail'!DH47</f>
        <v>0</v>
      </c>
      <c r="BY43" s="588">
        <f>+'[8]Balance Sheet Detail'!DI47</f>
        <v>0</v>
      </c>
      <c r="BZ43" s="588">
        <f>+'[8]Balance Sheet Detail'!DJ47</f>
        <v>0</v>
      </c>
      <c r="CA43" s="588">
        <f>+'[8]Balance Sheet Detail'!DK47</f>
        <v>0</v>
      </c>
      <c r="CB43" s="588">
        <f>+'[8]Balance Sheet Detail'!DL47</f>
        <v>0</v>
      </c>
      <c r="CC43" s="588">
        <f>+'[8]Balance Sheet Detail'!DM47</f>
        <v>0</v>
      </c>
      <c r="CD43" s="588">
        <f>+'[8]Balance Sheet Detail'!DN47</f>
        <v>0</v>
      </c>
      <c r="CE43" s="588">
        <f>+'[8]Balance Sheet Detail'!DO47</f>
        <v>0</v>
      </c>
      <c r="CF43" s="588">
        <f>+'[8]Balance Sheet Detail'!DP47</f>
        <v>0</v>
      </c>
      <c r="CG43" s="588">
        <f>+'[8]Balance Sheet Detail'!DQ47</f>
        <v>0</v>
      </c>
      <c r="CH43" s="345">
        <f>+'[8]Balance Sheet Detail'!DR47</f>
        <v>0</v>
      </c>
      <c r="CI43" s="699">
        <f t="shared" ref="CI43:CI53" si="72">SUM(BV43:CH43)/13</f>
        <v>349.48033615384617</v>
      </c>
      <c r="CJ43" s="1068"/>
      <c r="CK43" s="33"/>
      <c r="CL43" s="184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</row>
    <row r="44" spans="1:104">
      <c r="A44" s="617" t="s">
        <v>497</v>
      </c>
      <c r="B44" s="260">
        <f t="shared" ca="1" si="71"/>
        <v>66497.046850769228</v>
      </c>
      <c r="C44" s="348">
        <v>48216.61666</v>
      </c>
      <c r="D44" s="348">
        <v>46704.51627</v>
      </c>
      <c r="E44" s="348">
        <v>47090.265090000001</v>
      </c>
      <c r="F44" s="348">
        <v>47407.65726</v>
      </c>
      <c r="G44" s="348">
        <v>47433.163059999999</v>
      </c>
      <c r="H44" s="348">
        <v>47955.941989999999</v>
      </c>
      <c r="I44" s="348">
        <v>48144.508670000003</v>
      </c>
      <c r="J44" s="348">
        <v>48101.782039999998</v>
      </c>
      <c r="K44" s="348">
        <v>50081.276340000004</v>
      </c>
      <c r="L44" s="348">
        <v>50006.575429999997</v>
      </c>
      <c r="M44" s="348">
        <v>50110.54724</v>
      </c>
      <c r="N44" s="348">
        <v>48257.584149999995</v>
      </c>
      <c r="O44" s="411">
        <v>48838.259310000001</v>
      </c>
      <c r="P44" s="411">
        <v>48545.168709999998</v>
      </c>
      <c r="Q44" s="411">
        <v>49500.818460000002</v>
      </c>
      <c r="R44" s="411">
        <v>49805.606399999997</v>
      </c>
      <c r="S44" s="411">
        <v>50060.779259999996</v>
      </c>
      <c r="T44" s="411">
        <v>50103.163070000002</v>
      </c>
      <c r="U44" s="411">
        <v>50170.800889999999</v>
      </c>
      <c r="V44" s="411">
        <v>50206.779840000003</v>
      </c>
      <c r="W44" s="411">
        <v>51841.777099999999</v>
      </c>
      <c r="X44" s="411">
        <v>51915.224390000003</v>
      </c>
      <c r="Y44" s="411">
        <v>52443.29264</v>
      </c>
      <c r="Z44" s="411">
        <v>53579.534350000002</v>
      </c>
      <c r="AA44" s="411">
        <v>53810.178520000001</v>
      </c>
      <c r="AB44" s="411">
        <v>53025.245880000002</v>
      </c>
      <c r="AC44" s="411">
        <v>53554.50389</v>
      </c>
      <c r="AD44" s="411">
        <v>53675.832280000002</v>
      </c>
      <c r="AE44" s="411">
        <v>53712.964659999998</v>
      </c>
      <c r="AF44" s="411">
        <v>53733.761479999994</v>
      </c>
      <c r="AG44" s="411">
        <v>54023.538009999997</v>
      </c>
      <c r="AH44" s="411">
        <v>54120.208020000005</v>
      </c>
      <c r="AI44" s="411">
        <v>53966.607810000001</v>
      </c>
      <c r="AJ44" s="411">
        <v>54087.865170000005</v>
      </c>
      <c r="AK44" s="411">
        <v>54371.823479999999</v>
      </c>
      <c r="AL44" s="411">
        <v>54966.422409999999</v>
      </c>
      <c r="AM44" s="411">
        <v>55524.351119999999</v>
      </c>
      <c r="AN44" s="411">
        <v>54592.50808</v>
      </c>
      <c r="AO44" s="411">
        <v>54777.93939</v>
      </c>
      <c r="AP44" s="411">
        <v>55026.802189999995</v>
      </c>
      <c r="AQ44" s="411">
        <v>55161.969799999999</v>
      </c>
      <c r="AR44" s="411">
        <v>55446.318920000005</v>
      </c>
      <c r="AS44" s="411">
        <v>55534.916149999997</v>
      </c>
      <c r="AT44" s="411">
        <v>55479.405709999999</v>
      </c>
      <c r="AU44" s="411">
        <v>55670.420039999997</v>
      </c>
      <c r="AV44" s="411">
        <v>56074.141859999996</v>
      </c>
      <c r="AW44" s="411">
        <v>55851.066880000006</v>
      </c>
      <c r="AX44" s="411">
        <v>58693.568859999999</v>
      </c>
      <c r="AY44" s="411">
        <v>59351.200259999998</v>
      </c>
      <c r="AZ44" s="411">
        <v>59691.522689999998</v>
      </c>
      <c r="BA44" s="411">
        <v>57907.116580000002</v>
      </c>
      <c r="BB44" s="411">
        <v>58338.223229999996</v>
      </c>
      <c r="BC44" s="411">
        <v>58283.557430000001</v>
      </c>
      <c r="BD44" s="411">
        <v>58536.297549999996</v>
      </c>
      <c r="BE44" s="588">
        <v>58652.68002</v>
      </c>
      <c r="BF44" s="588">
        <v>58933.954409999998</v>
      </c>
      <c r="BG44" s="588">
        <v>59497.046470000001</v>
      </c>
      <c r="BH44" s="588">
        <v>58863.673240000004</v>
      </c>
      <c r="BI44" s="588">
        <v>59548.096990000005</v>
      </c>
      <c r="BJ44" s="588">
        <v>58824.206109999999</v>
      </c>
      <c r="BK44" s="588">
        <v>59182.826119999998</v>
      </c>
      <c r="BL44" s="588">
        <v>60411.84274</v>
      </c>
      <c r="BM44" s="588">
        <v>58537.919139999998</v>
      </c>
      <c r="BN44" s="588">
        <v>58883.217750000003</v>
      </c>
      <c r="BO44" s="588">
        <v>59124.026039999997</v>
      </c>
      <c r="BP44" s="588">
        <v>59227.864950000003</v>
      </c>
      <c r="BQ44" s="588">
        <v>59234.740399999995</v>
      </c>
      <c r="BR44" s="588">
        <v>58915.849070000004</v>
      </c>
      <c r="BS44" s="588">
        <v>59442.146409999994</v>
      </c>
      <c r="BT44" s="588">
        <v>59602.49613</v>
      </c>
      <c r="BU44" s="588">
        <v>59999.36606</v>
      </c>
      <c r="BV44" s="588">
        <v>62146.609060000003</v>
      </c>
      <c r="BW44" s="345">
        <f>+'[8]Balance Sheet Detail'!DG48</f>
        <v>66926.8</v>
      </c>
      <c r="BX44" s="588">
        <f>+'[8]Balance Sheet Detail'!DH48</f>
        <v>67418.799999999988</v>
      </c>
      <c r="BY44" s="588">
        <f>+'[8]Balance Sheet Detail'!DI48</f>
        <v>65678.699999999983</v>
      </c>
      <c r="BZ44" s="588">
        <f>+'[8]Balance Sheet Detail'!DJ48</f>
        <v>66023.5</v>
      </c>
      <c r="CA44" s="588">
        <f>+'[8]Balance Sheet Detail'!DK48</f>
        <v>66250.599999999991</v>
      </c>
      <c r="CB44" s="588">
        <f>+'[8]Balance Sheet Detail'!DL48</f>
        <v>66615.099999999991</v>
      </c>
      <c r="CC44" s="588">
        <f>+'[8]Balance Sheet Detail'!DM48</f>
        <v>66778.399999999994</v>
      </c>
      <c r="CD44" s="588">
        <f>+'[8]Balance Sheet Detail'!DN48</f>
        <v>66890.2</v>
      </c>
      <c r="CE44" s="588">
        <f>+'[8]Balance Sheet Detail'!DO48</f>
        <v>67132</v>
      </c>
      <c r="CF44" s="588">
        <f>+'[8]Balance Sheet Detail'!DP48</f>
        <v>67233.099999999991</v>
      </c>
      <c r="CG44" s="588">
        <f>+'[8]Balance Sheet Detail'!DQ48</f>
        <v>67424.5</v>
      </c>
      <c r="CH44" s="345">
        <f>+'[8]Balance Sheet Detail'!DR48</f>
        <v>67943.3</v>
      </c>
      <c r="CI44" s="699">
        <f t="shared" si="72"/>
        <v>66497.046850769228</v>
      </c>
      <c r="CJ44" s="1068"/>
      <c r="CK44" s="33"/>
      <c r="CL44" s="184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</row>
    <row r="45" spans="1:104">
      <c r="A45" s="617" t="s">
        <v>498</v>
      </c>
      <c r="B45" s="260">
        <f t="shared" ca="1" si="71"/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O45" s="411">
        <v>0</v>
      </c>
      <c r="P45" s="411">
        <v>0</v>
      </c>
      <c r="Q45" s="411">
        <v>0</v>
      </c>
      <c r="R45" s="411">
        <v>0</v>
      </c>
      <c r="S45" s="411">
        <v>0</v>
      </c>
      <c r="T45" s="411">
        <v>0</v>
      </c>
      <c r="U45" s="411">
        <v>0</v>
      </c>
      <c r="V45" s="411">
        <v>0</v>
      </c>
      <c r="W45" s="411">
        <v>0</v>
      </c>
      <c r="X45" s="411">
        <v>0</v>
      </c>
      <c r="Y45" s="411">
        <v>0</v>
      </c>
      <c r="Z45" s="411">
        <v>0</v>
      </c>
      <c r="AA45" s="411">
        <v>0</v>
      </c>
      <c r="AB45" s="411">
        <v>0</v>
      </c>
      <c r="AC45" s="411">
        <v>0</v>
      </c>
      <c r="AD45" s="411">
        <v>0</v>
      </c>
      <c r="AE45" s="411">
        <v>0</v>
      </c>
      <c r="AF45" s="411">
        <v>0</v>
      </c>
      <c r="AG45" s="411">
        <v>0</v>
      </c>
      <c r="AH45" s="411">
        <v>0</v>
      </c>
      <c r="AI45" s="411">
        <v>0</v>
      </c>
      <c r="AJ45" s="411">
        <v>0</v>
      </c>
      <c r="AK45" s="411">
        <v>0</v>
      </c>
      <c r="AL45" s="411">
        <v>0</v>
      </c>
      <c r="AM45" s="411">
        <v>0</v>
      </c>
      <c r="AN45" s="411">
        <v>0</v>
      </c>
      <c r="AO45" s="411">
        <v>0</v>
      </c>
      <c r="AP45" s="411">
        <v>0</v>
      </c>
      <c r="AQ45" s="411">
        <v>0</v>
      </c>
      <c r="AR45" s="411">
        <v>0</v>
      </c>
      <c r="AS45" s="411">
        <v>0</v>
      </c>
      <c r="AT45" s="411">
        <v>0</v>
      </c>
      <c r="AU45" s="411">
        <v>0</v>
      </c>
      <c r="AV45" s="411">
        <v>0.06</v>
      </c>
      <c r="AW45" s="411">
        <v>0</v>
      </c>
      <c r="AX45" s="411">
        <v>0</v>
      </c>
      <c r="AY45" s="411">
        <v>0</v>
      </c>
      <c r="AZ45" s="411">
        <v>0</v>
      </c>
      <c r="BA45" s="411">
        <v>0</v>
      </c>
      <c r="BB45" s="411">
        <v>0</v>
      </c>
      <c r="BC45" s="411">
        <v>0</v>
      </c>
      <c r="BD45" s="411">
        <v>0</v>
      </c>
      <c r="BE45" s="588">
        <v>0</v>
      </c>
      <c r="BF45" s="588">
        <v>0</v>
      </c>
      <c r="BG45" s="588">
        <v>0</v>
      </c>
      <c r="BH45" s="588">
        <v>0</v>
      </c>
      <c r="BI45" s="588">
        <v>0</v>
      </c>
      <c r="BJ45" s="588">
        <v>0</v>
      </c>
      <c r="BK45" s="588">
        <v>0</v>
      </c>
      <c r="BL45" s="588">
        <v>0</v>
      </c>
      <c r="BM45" s="588">
        <v>0</v>
      </c>
      <c r="BN45" s="588">
        <v>0</v>
      </c>
      <c r="BO45" s="588">
        <v>0</v>
      </c>
      <c r="BP45" s="588">
        <v>0</v>
      </c>
      <c r="BQ45" s="588">
        <v>0</v>
      </c>
      <c r="BR45" s="588">
        <v>0</v>
      </c>
      <c r="BS45" s="588">
        <v>0</v>
      </c>
      <c r="BT45" s="588">
        <v>0</v>
      </c>
      <c r="BU45" s="588">
        <v>0</v>
      </c>
      <c r="BV45" s="588">
        <v>0</v>
      </c>
      <c r="BW45" s="588">
        <f>+'[8]Balance Sheet Detail'!DG49</f>
        <v>0</v>
      </c>
      <c r="BX45" s="588">
        <f>+'[8]Balance Sheet Detail'!DH49</f>
        <v>0</v>
      </c>
      <c r="BY45" s="588">
        <f>+'[8]Balance Sheet Detail'!DI49</f>
        <v>0</v>
      </c>
      <c r="BZ45" s="588">
        <f>+'[8]Balance Sheet Detail'!DJ49</f>
        <v>0</v>
      </c>
      <c r="CA45" s="588">
        <f>+'[8]Balance Sheet Detail'!DK49</f>
        <v>0</v>
      </c>
      <c r="CB45" s="588">
        <f>+'[8]Balance Sheet Detail'!DL49</f>
        <v>0</v>
      </c>
      <c r="CC45" s="588">
        <f>+'[8]Balance Sheet Detail'!DM49</f>
        <v>0</v>
      </c>
      <c r="CD45" s="588">
        <f>+'[8]Balance Sheet Detail'!DN49</f>
        <v>0</v>
      </c>
      <c r="CE45" s="588">
        <f>+'[8]Balance Sheet Detail'!DO49</f>
        <v>0</v>
      </c>
      <c r="CF45" s="588">
        <f>+'[8]Balance Sheet Detail'!DP49</f>
        <v>0</v>
      </c>
      <c r="CG45" s="588">
        <f>+'[8]Balance Sheet Detail'!DQ49</f>
        <v>0</v>
      </c>
      <c r="CH45" s="588">
        <f>+'[8]Balance Sheet Detail'!DR49</f>
        <v>0</v>
      </c>
      <c r="CI45" s="699">
        <f t="shared" si="72"/>
        <v>0</v>
      </c>
      <c r="CK45" s="33"/>
      <c r="CL45" s="184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</row>
    <row r="46" spans="1:104">
      <c r="A46" s="617" t="s">
        <v>499</v>
      </c>
      <c r="B46" s="260">
        <f t="shared" ca="1" si="71"/>
        <v>55067.991410769217</v>
      </c>
      <c r="C46" s="352">
        <v>70830.252769999992</v>
      </c>
      <c r="D46" s="352">
        <v>70254.901520000014</v>
      </c>
      <c r="E46" s="352">
        <v>68535.840510000009</v>
      </c>
      <c r="F46" s="352">
        <v>68112.887950000004</v>
      </c>
      <c r="G46" s="352">
        <v>67688.72024000001</v>
      </c>
      <c r="H46" s="352">
        <v>68115.282019999999</v>
      </c>
      <c r="I46" s="352">
        <v>67731.605639999994</v>
      </c>
      <c r="J46" s="352">
        <v>67890.483330000003</v>
      </c>
      <c r="K46" s="352">
        <v>66962.067909999998</v>
      </c>
      <c r="L46" s="352">
        <v>66619.551349999994</v>
      </c>
      <c r="M46" s="352">
        <v>66264.137279999995</v>
      </c>
      <c r="N46" s="352">
        <v>64835.58266</v>
      </c>
      <c r="O46" s="415">
        <v>64933.396590000004</v>
      </c>
      <c r="P46" s="415">
        <v>65244.409619999999</v>
      </c>
      <c r="Q46" s="415">
        <v>59827.964010000003</v>
      </c>
      <c r="R46" s="415">
        <v>60105.970669999995</v>
      </c>
      <c r="S46" s="415">
        <v>60086.399309999993</v>
      </c>
      <c r="T46" s="415">
        <v>59622.403859999999</v>
      </c>
      <c r="U46" s="415">
        <v>59973.886749999998</v>
      </c>
      <c r="V46" s="415">
        <v>60632.430609999996</v>
      </c>
      <c r="W46" s="415">
        <v>53375.956300000005</v>
      </c>
      <c r="X46" s="415">
        <v>54283.035830000001</v>
      </c>
      <c r="Y46" s="415">
        <v>55830.138780000001</v>
      </c>
      <c r="Z46" s="415">
        <v>58277.144090000002</v>
      </c>
      <c r="AA46" s="415">
        <v>58080.181830000001</v>
      </c>
      <c r="AB46" s="415">
        <v>58864.521289999997</v>
      </c>
      <c r="AC46" s="415">
        <v>58624.363279999998</v>
      </c>
      <c r="AD46" s="415">
        <v>59133.599669999996</v>
      </c>
      <c r="AE46" s="415">
        <v>59790.011739999994</v>
      </c>
      <c r="AF46" s="415">
        <v>59988.540849999998</v>
      </c>
      <c r="AG46" s="415">
        <v>60019.876629999999</v>
      </c>
      <c r="AH46" s="415">
        <v>60424.509920000004</v>
      </c>
      <c r="AI46" s="415">
        <v>61106.555189999999</v>
      </c>
      <c r="AJ46" s="415">
        <v>61357.266819999997</v>
      </c>
      <c r="AK46" s="415">
        <v>62186.112700000005</v>
      </c>
      <c r="AL46" s="415">
        <v>54632.48934</v>
      </c>
      <c r="AM46" s="415">
        <v>54624.616520000003</v>
      </c>
      <c r="AN46" s="415">
        <v>54848.027120000006</v>
      </c>
      <c r="AO46" s="415">
        <v>54894.123350000002</v>
      </c>
      <c r="AP46" s="415">
        <v>55206.396160000004</v>
      </c>
      <c r="AQ46" s="415">
        <v>55954.289480000007</v>
      </c>
      <c r="AR46" s="413">
        <v>55732.483930000002</v>
      </c>
      <c r="AS46" s="413">
        <v>56163.926220000001</v>
      </c>
      <c r="AT46" s="413">
        <v>57439.180289999997</v>
      </c>
      <c r="AU46" s="413">
        <v>58517.494700000003</v>
      </c>
      <c r="AV46" s="413">
        <v>58105.062389999999</v>
      </c>
      <c r="AW46" s="413">
        <v>59291.394589999996</v>
      </c>
      <c r="AX46" s="413">
        <v>61848.501990000004</v>
      </c>
      <c r="AY46" s="413">
        <v>61431.951190000007</v>
      </c>
      <c r="AZ46" s="413">
        <v>62507.009010000009</v>
      </c>
      <c r="BA46" s="413">
        <v>62885.483009999996</v>
      </c>
      <c r="BB46" s="413">
        <v>62852.994260000007</v>
      </c>
      <c r="BC46" s="413">
        <v>64288.750349999995</v>
      </c>
      <c r="BD46" s="413">
        <v>64171.958269999996</v>
      </c>
      <c r="BE46" s="583">
        <v>65457.203960000006</v>
      </c>
      <c r="BF46" s="583">
        <v>65526.210789999997</v>
      </c>
      <c r="BG46" s="583">
        <v>63159.92985</v>
      </c>
      <c r="BH46" s="583">
        <v>63487.314690000007</v>
      </c>
      <c r="BI46" s="583">
        <v>64304.817139999999</v>
      </c>
      <c r="BJ46" s="583">
        <v>54783.441789999997</v>
      </c>
      <c r="BK46" s="583">
        <v>54802.484989999997</v>
      </c>
      <c r="BL46" s="583">
        <v>54476.854079999997</v>
      </c>
      <c r="BM46" s="583">
        <v>53656.083579999999</v>
      </c>
      <c r="BN46" s="583">
        <v>53893.433839999998</v>
      </c>
      <c r="BO46" s="583">
        <v>54557.734810000002</v>
      </c>
      <c r="BP46" s="583">
        <v>52421.864460000004</v>
      </c>
      <c r="BQ46" s="583">
        <v>52496.172849999995</v>
      </c>
      <c r="BR46" s="583">
        <v>52694.693240000001</v>
      </c>
      <c r="BS46" s="583">
        <v>52216.605019999995</v>
      </c>
      <c r="BT46" s="583">
        <v>51696.577039999996</v>
      </c>
      <c r="BU46" s="583">
        <v>51887.732459999999</v>
      </c>
      <c r="BV46" s="583">
        <v>59791.088340000002</v>
      </c>
      <c r="BW46" s="583">
        <f>VLOOKUP("1860800",'[8]BS ACCTS'!$D$6:$ZZ$999,113,FALSE)+VLOOKUP("1720201",'[8]BS ACCTS'!$D$6:$ZZ$999,113,FALSE)+VLOOKUP("1720202",'[8]BS ACCTS'!$D$6:$ZZ$999,113,FALSE)+VLOOKUP("1860020",'[8]BS ACCTS'!$D$6:$ZZ$999,113,FALSE)+VLOOKUP("182",'[8]BS ACCTS'!$D$6:$ZZ$999,113,FALSE)-VLOOKUP("1823040",'[8]BS ACCTS'!$D$6:$ZZ$999,113,FALSE)-VLOOKUP("1823070",'[8]BS ACCTS'!$D$6:$ZZ$999,113,FALSE)-VLOOKUP("1823071",'[8]BS ACCTS'!$D$6:$ZZ$999,113,FALSE)-VLOOKUP("1823102",'[8]BS ACCTS'!$D$6:$ZZ$999,113,FALSE)-VLOOKUP("1823105",'[8]BS ACCTS'!$D$6:$ZZ$999,113,FALSE)-VLOOKUP("1823205",'[8]BS ACCTS'!$D$6:$ZZ$999,113,FALSE)-VLOOKUP("1720201",'[8]BS ACCTS'!$D$6:$ZZ$999,113,FALSE)-VLOOKUP("1720202",'[8]BS ACCTS'!$D$6:$ZZ$999,113,FALSE)-VLOOKUP("1823202",'[8]BS ACCTS'!$D$6:$ZZ$999,113,FALSE)</f>
        <v>54886.399999999994</v>
      </c>
      <c r="BX46" s="583">
        <f>VLOOKUP("1860800",'[8]BS ACCTS'!$D$6:$ZZ$999,114,FALSE)+VLOOKUP("1720201",'[8]BS ACCTS'!$D$6:$ZZ$999,114,FALSE)+VLOOKUP("1720202",'[8]BS ACCTS'!$D$6:$ZZ$999,114,FALSE)+VLOOKUP("1860020",'[8]BS ACCTS'!$D$6:$ZZ$999,114,FALSE)+VLOOKUP("182",'[8]BS ACCTS'!$D$6:$ZZ$999,114,FALSE)-VLOOKUP("1823040",'[8]BS ACCTS'!$D$6:$ZZ$999,114,FALSE)-VLOOKUP("1823070",'[8]BS ACCTS'!$D$6:$ZZ$999,114,FALSE)-VLOOKUP("1823071",'[8]BS ACCTS'!$D$6:$ZZ$999,114,FALSE)-VLOOKUP("1823102",'[8]BS ACCTS'!$D$6:$ZZ$999,114,FALSE)-VLOOKUP("1823105",'[8]BS ACCTS'!$D$6:$ZZ$999,114,FALSE)-VLOOKUP("1823205",'[8]BS ACCTS'!$D$6:$ZZ$999,114,FALSE)-VLOOKUP("1720201",'[8]BS ACCTS'!$D$6:$ZZ$999,114,FALSE)-VLOOKUP("1720202",'[8]BS ACCTS'!$D$6:$ZZ$999,114,FALSE)-VLOOKUP("1823202",'[8]BS ACCTS'!$D$6:$ZZ$999,114,FALSE)</f>
        <v>54852.700000000004</v>
      </c>
      <c r="BY46" s="583">
        <f>VLOOKUP("1860800",'[8]BS ACCTS'!$D$6:$ZZ$999,115,FALSE)+VLOOKUP("1720201",'[8]BS ACCTS'!$D$6:$ZZ$999,115,FALSE)+VLOOKUP("1720202",'[8]BS ACCTS'!$D$6:$ZZ$999,115,FALSE)+VLOOKUP("1860020",'[8]BS ACCTS'!$D$6:$ZZ$999,115,FALSE)+VLOOKUP("182",'[8]BS ACCTS'!$D$6:$ZZ$999,115,FALSE)-VLOOKUP("1823040",'[8]BS ACCTS'!$D$6:$ZZ$999,115,FALSE)-VLOOKUP("1823070",'[8]BS ACCTS'!$D$6:$ZZ$999,115,FALSE)-VLOOKUP("1823071",'[8]BS ACCTS'!$D$6:$ZZ$999,115,FALSE)-VLOOKUP("1823102",'[8]BS ACCTS'!$D$6:$ZZ$999,115,FALSE)-VLOOKUP("1823105",'[8]BS ACCTS'!$D$6:$ZZ$999,115,FALSE)-VLOOKUP("1823205",'[8]BS ACCTS'!$D$6:$ZZ$999,115,FALSE)-VLOOKUP("1720201",'[8]BS ACCTS'!$D$6:$ZZ$999,115,FALSE)-VLOOKUP("1720202",'[8]BS ACCTS'!$D$6:$ZZ$999,115,FALSE)-VLOOKUP("1823202",'[8]BS ACCTS'!$D$6:$ZZ$999,115,FALSE)</f>
        <v>54458.89999999998</v>
      </c>
      <c r="BZ46" s="583">
        <f>VLOOKUP("1860800",'[8]BS ACCTS'!$D$6:$ZZ$999,116,FALSE)+VLOOKUP("1720201",'[8]BS ACCTS'!$D$6:$ZZ$999,116,FALSE)+VLOOKUP("1720202",'[8]BS ACCTS'!$D$6:$ZZ$999,116,FALSE)+VLOOKUP("1860020",'[8]BS ACCTS'!$D$6:$ZZ$999,116,FALSE)+VLOOKUP("182",'[8]BS ACCTS'!$D$6:$ZZ$999,116,FALSE)-VLOOKUP("1823040",'[8]BS ACCTS'!$D$6:$ZZ$999,116,FALSE)-VLOOKUP("1823070",'[8]BS ACCTS'!$D$6:$ZZ$999,116,FALSE)-VLOOKUP("1823071",'[8]BS ACCTS'!$D$6:$ZZ$999,116,FALSE)-VLOOKUP("1823102",'[8]BS ACCTS'!$D$6:$ZZ$999,116,FALSE)-VLOOKUP("1823105",'[8]BS ACCTS'!$D$6:$ZZ$999,116,FALSE)-VLOOKUP("1823205",'[8]BS ACCTS'!$D$6:$ZZ$999,116,FALSE)-VLOOKUP("1720201",'[8]BS ACCTS'!$D$6:$ZZ$999,116,FALSE)-VLOOKUP("1720202",'[8]BS ACCTS'!$D$6:$ZZ$999,116,FALSE)-VLOOKUP("1823202",'[8]BS ACCTS'!$D$6:$ZZ$999,116,FALSE)</f>
        <v>54674.399999999994</v>
      </c>
      <c r="CA46" s="583">
        <f>VLOOKUP("1860800",'[8]BS ACCTS'!$D$6:$ZZ$999,117,FALSE)+VLOOKUP("1720201",'[8]BS ACCTS'!$D$6:$ZZ$999,117,FALSE)+VLOOKUP("1720202",'[8]BS ACCTS'!$D$6:$ZZ$999,117,FALSE)+VLOOKUP("1860020",'[8]BS ACCTS'!$D$6:$ZZ$999,117,FALSE)+VLOOKUP("182",'[8]BS ACCTS'!$D$6:$ZZ$999,117,FALSE)-VLOOKUP("1823040",'[8]BS ACCTS'!$D$6:$ZZ$999,117,FALSE)-VLOOKUP("1823070",'[8]BS ACCTS'!$D$6:$ZZ$999,117,FALSE)-VLOOKUP("1823071",'[8]BS ACCTS'!$D$6:$ZZ$999,117,FALSE)-VLOOKUP("1823102",'[8]BS ACCTS'!$D$6:$ZZ$999,117,FALSE)-VLOOKUP("1823105",'[8]BS ACCTS'!$D$6:$ZZ$999,117,FALSE)-VLOOKUP("1823205",'[8]BS ACCTS'!$D$6:$ZZ$999,117,FALSE)-VLOOKUP("1720201",'[8]BS ACCTS'!$D$6:$ZZ$999,117,FALSE)-VLOOKUP("1720202",'[8]BS ACCTS'!$D$6:$ZZ$999,117,FALSE)-VLOOKUP("1823202",'[8]BS ACCTS'!$D$6:$ZZ$999,117,FALSE)</f>
        <v>54884.5</v>
      </c>
      <c r="CB46" s="583">
        <f>VLOOKUP("1860800",'[8]BS ACCTS'!$D$6:$ZZ$999,118,FALSE)+VLOOKUP("1720201",'[8]BS ACCTS'!$D$6:$ZZ$999,118,FALSE)+VLOOKUP("1720202",'[8]BS ACCTS'!$D$6:$ZZ$999,118,FALSE)+VLOOKUP("1860020",'[8]BS ACCTS'!$D$6:$ZZ$999,118,FALSE)+VLOOKUP("182",'[8]BS ACCTS'!$D$6:$ZZ$999,118,FALSE)-VLOOKUP("1823040",'[8]BS ACCTS'!$D$6:$ZZ$999,118,FALSE)-VLOOKUP("1823070",'[8]BS ACCTS'!$D$6:$ZZ$999,118,FALSE)-VLOOKUP("1823071",'[8]BS ACCTS'!$D$6:$ZZ$999,118,FALSE)-VLOOKUP("1823102",'[8]BS ACCTS'!$D$6:$ZZ$999,118,FALSE)-VLOOKUP("1823105",'[8]BS ACCTS'!$D$6:$ZZ$999,118,FALSE)-VLOOKUP("1823205",'[8]BS ACCTS'!$D$6:$ZZ$999,118,FALSE)-VLOOKUP("1720201",'[8]BS ACCTS'!$D$6:$ZZ$999,118,FALSE)-VLOOKUP("1720202",'[8]BS ACCTS'!$D$6:$ZZ$999,118,FALSE)-VLOOKUP("1823202",'[8]BS ACCTS'!$D$6:$ZZ$999,118,FALSE)</f>
        <v>53367.400000000009</v>
      </c>
      <c r="CC46" s="583">
        <f>VLOOKUP("1860800",'[8]BS ACCTS'!$D$6:$ZZ$999,119,FALSE)+VLOOKUP("1720201",'[8]BS ACCTS'!$D$6:$ZZ$999,119,FALSE)+VLOOKUP("1720202",'[8]BS ACCTS'!$D$6:$ZZ$999,119,FALSE)+VLOOKUP("1860020",'[8]BS ACCTS'!$D$6:$ZZ$999,119,FALSE)+VLOOKUP("182",'[8]BS ACCTS'!$D$6:$ZZ$999,119,FALSE)-VLOOKUP("1823040",'[8]BS ACCTS'!$D$6:$ZZ$999,119,FALSE)-VLOOKUP("1823070",'[8]BS ACCTS'!$D$6:$ZZ$999,119,FALSE)-VLOOKUP("1823071",'[8]BS ACCTS'!$D$6:$ZZ$999,119,FALSE)-VLOOKUP("1823102",'[8]BS ACCTS'!$D$6:$ZZ$999,119,FALSE)-VLOOKUP("1823105",'[8]BS ACCTS'!$D$6:$ZZ$999,119,FALSE)-VLOOKUP("1823205",'[8]BS ACCTS'!$D$6:$ZZ$999,119,FALSE)-VLOOKUP("1720201",'[8]BS ACCTS'!$D$6:$ZZ$999,119,FALSE)-VLOOKUP("1720202",'[8]BS ACCTS'!$D$6:$ZZ$999,119,FALSE)-VLOOKUP("1823202",'[8]BS ACCTS'!$D$6:$ZZ$999,119,FALSE)</f>
        <v>53589.599999999999</v>
      </c>
      <c r="CD46" s="583">
        <f>VLOOKUP("1860800",'[8]BS ACCTS'!$D$6:$ZZ$999,120,FALSE)+VLOOKUP("1720201",'[8]BS ACCTS'!$D$6:$ZZ$999,120,FALSE)+VLOOKUP("1720202",'[8]BS ACCTS'!$D$6:$ZZ$999,120,FALSE)+VLOOKUP("1860020",'[8]BS ACCTS'!$D$6:$ZZ$999,120,FALSE)+VLOOKUP("182",'[8]BS ACCTS'!$D$6:$ZZ$999,120,FALSE)-VLOOKUP("1823040",'[8]BS ACCTS'!$D$6:$ZZ$999,120,FALSE)-VLOOKUP("1823070",'[8]BS ACCTS'!$D$6:$ZZ$999,120,FALSE)-VLOOKUP("1823071",'[8]BS ACCTS'!$D$6:$ZZ$999,120,FALSE)-VLOOKUP("1823102",'[8]BS ACCTS'!$D$6:$ZZ$999,120,FALSE)-VLOOKUP("1823105",'[8]BS ACCTS'!$D$6:$ZZ$999,120,FALSE)-VLOOKUP("1823205",'[8]BS ACCTS'!$D$6:$ZZ$999,120,FALSE)-VLOOKUP("1720201",'[8]BS ACCTS'!$D$6:$ZZ$999,120,FALSE)-VLOOKUP("1720202",'[8]BS ACCTS'!$D$6:$ZZ$999,120,FALSE)-VLOOKUP("1823202",'[8]BS ACCTS'!$D$6:$ZZ$999,120,FALSE)</f>
        <v>53854.7</v>
      </c>
      <c r="CE46" s="583">
        <f>VLOOKUP("1860800",'[8]BS ACCTS'!$D$6:$ZZ$999,121,FALSE)+VLOOKUP("1720201",'[8]BS ACCTS'!$D$6:$ZZ$999,121,FALSE)+VLOOKUP("1720202",'[8]BS ACCTS'!$D$6:$ZZ$999,121,FALSE)+VLOOKUP("1860020",'[8]BS ACCTS'!$D$6:$ZZ$999,121,FALSE)+VLOOKUP("182",'[8]BS ACCTS'!$D$6:$ZZ$999,121,FALSE)-VLOOKUP("1823040",'[8]BS ACCTS'!$D$6:$ZZ$999,121,FALSE)-VLOOKUP("1823070",'[8]BS ACCTS'!$D$6:$ZZ$999,121,FALSE)-VLOOKUP("1823071",'[8]BS ACCTS'!$D$6:$ZZ$999,121,FALSE)-VLOOKUP("1823102",'[8]BS ACCTS'!$D$6:$ZZ$999,121,FALSE)-VLOOKUP("1823105",'[8]BS ACCTS'!$D$6:$ZZ$999,121,FALSE)-VLOOKUP("1823205",'[8]BS ACCTS'!$D$6:$ZZ$999,121,FALSE)-VLOOKUP("1720201",'[8]BS ACCTS'!$D$6:$ZZ$999,121,FALSE)-VLOOKUP("1720202",'[8]BS ACCTS'!$D$6:$ZZ$999,121,FALSE)-VLOOKUP("1823202",'[8]BS ACCTS'!$D$6:$ZZ$999,121,FALSE)</f>
        <v>53675.8</v>
      </c>
      <c r="CF46" s="583">
        <f>VLOOKUP("1860800",'[8]BS ACCTS'!$D$6:$ZZ$999,122,FALSE)+VLOOKUP("1720201",'[8]BS ACCTS'!$D$6:$ZZ$999,122,FALSE)+VLOOKUP("1720202",'[8]BS ACCTS'!$D$6:$ZZ$999,122,FALSE)+VLOOKUP("1860020",'[8]BS ACCTS'!$D$6:$ZZ$999,122,FALSE)+VLOOKUP("182",'[8]BS ACCTS'!$D$6:$ZZ$999,122,FALSE)-VLOOKUP("1823040",'[8]BS ACCTS'!$D$6:$ZZ$999,122,FALSE)-VLOOKUP("1823070",'[8]BS ACCTS'!$D$6:$ZZ$999,122,FALSE)-VLOOKUP("1823071",'[8]BS ACCTS'!$D$6:$ZZ$999,122,FALSE)-VLOOKUP("1823102",'[8]BS ACCTS'!$D$6:$ZZ$999,122,FALSE)-VLOOKUP("1823105",'[8]BS ACCTS'!$D$6:$ZZ$999,122,FALSE)-VLOOKUP("1823205",'[8]BS ACCTS'!$D$6:$ZZ$999,122,FALSE)-VLOOKUP("1720201",'[8]BS ACCTS'!$D$6:$ZZ$999,122,FALSE)-VLOOKUP("1720202",'[8]BS ACCTS'!$D$6:$ZZ$999,122,FALSE)-VLOOKUP("1823202",'[8]BS ACCTS'!$D$6:$ZZ$999,122,FALSE)</f>
        <v>54065.7</v>
      </c>
      <c r="CG46" s="583">
        <f>VLOOKUP("1860800",'[8]BS ACCTS'!$D$6:$ZZ$999,123,FALSE)+VLOOKUP("1720201",'[8]BS ACCTS'!$D$6:$ZZ$999,123,FALSE)+VLOOKUP("1720202",'[8]BS ACCTS'!$D$6:$ZZ$999,123,FALSE)+VLOOKUP("1860020",'[8]BS ACCTS'!$D$6:$ZZ$999,123,FALSE)+VLOOKUP("182",'[8]BS ACCTS'!$D$6:$ZZ$999,123,FALSE)-VLOOKUP("1823040",'[8]BS ACCTS'!$D$6:$ZZ$999,123,FALSE)-VLOOKUP("1823070",'[8]BS ACCTS'!$D$6:$ZZ$999,123,FALSE)-VLOOKUP("1823071",'[8]BS ACCTS'!$D$6:$ZZ$999,123,FALSE)-VLOOKUP("1823102",'[8]BS ACCTS'!$D$6:$ZZ$999,123,FALSE)-VLOOKUP("1823105",'[8]BS ACCTS'!$D$6:$ZZ$999,123,FALSE)-VLOOKUP("1823205",'[8]BS ACCTS'!$D$6:$ZZ$999,123,FALSE)-VLOOKUP("1720201",'[8]BS ACCTS'!$D$6:$ZZ$999,123,FALSE)-VLOOKUP("1720202",'[8]BS ACCTS'!$D$6:$ZZ$999,123,FALSE)-VLOOKUP("1823202",'[8]BS ACCTS'!$D$6:$ZZ$999,123,FALSE)</f>
        <v>54333.4</v>
      </c>
      <c r="CH46" s="583">
        <f>VLOOKUP("1860800",'[8]BS ACCTS'!$D$6:$ZZ$999,124,FALSE)+VLOOKUP("1720201",'[8]BS ACCTS'!$D$6:$ZZ$999,124,FALSE)+VLOOKUP("1720202",'[8]BS ACCTS'!$D$6:$ZZ$999,124,FALSE)+VLOOKUP("1860020",'[8]BS ACCTS'!$D$6:$ZZ$999,124,FALSE)+VLOOKUP("182",'[8]BS ACCTS'!$D$6:$ZZ$999,124,FALSE)-VLOOKUP("1823040",'[8]BS ACCTS'!$D$6:$ZZ$999,124,FALSE)-VLOOKUP("1823070",'[8]BS ACCTS'!$D$6:$ZZ$999,124,FALSE)-VLOOKUP("1823071",'[8]BS ACCTS'!$D$6:$ZZ$999,124,FALSE)-VLOOKUP("1823102",'[8]BS ACCTS'!$D$6:$ZZ$999,124,FALSE)-VLOOKUP("1823105",'[8]BS ACCTS'!$D$6:$ZZ$999,124,FALSE)-VLOOKUP("1823205",'[8]BS ACCTS'!$D$6:$ZZ$999,124,FALSE)-VLOOKUP("1720201",'[8]BS ACCTS'!$D$6:$ZZ$999,124,FALSE)-VLOOKUP("1720202",'[8]BS ACCTS'!$D$6:$ZZ$999,124,FALSE)-VLOOKUP("1823202",'[8]BS ACCTS'!$D$6:$ZZ$999,124,FALSE)</f>
        <v>59449.299999999988</v>
      </c>
      <c r="CI46" s="699">
        <f t="shared" si="72"/>
        <v>55067.991410769217</v>
      </c>
      <c r="CK46" s="33"/>
      <c r="CL46" s="184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</row>
    <row r="47" spans="1:104">
      <c r="A47" s="617" t="s">
        <v>500</v>
      </c>
      <c r="B47" s="260">
        <f t="shared" ca="1" si="71"/>
        <v>491.90769230769223</v>
      </c>
      <c r="C47" s="352"/>
      <c r="D47" s="352"/>
      <c r="E47" s="352"/>
      <c r="F47" s="352"/>
      <c r="G47" s="352"/>
      <c r="H47" s="352"/>
      <c r="I47" s="352">
        <v>0</v>
      </c>
      <c r="J47" s="352">
        <v>644.17999999999995</v>
      </c>
      <c r="K47" s="352">
        <v>1043.8399999999999</v>
      </c>
      <c r="L47" s="352">
        <v>2243.0770000000002</v>
      </c>
      <c r="M47" s="352">
        <v>2637.5909999999999</v>
      </c>
      <c r="N47" s="352">
        <v>2498.4279999999999</v>
      </c>
      <c r="O47" s="415">
        <v>1599.3420000000001</v>
      </c>
      <c r="P47" s="415">
        <v>1232.539</v>
      </c>
      <c r="Q47" s="415">
        <v>1526.2539999999999</v>
      </c>
      <c r="R47" s="415">
        <v>2526.5859999999998</v>
      </c>
      <c r="S47" s="415">
        <v>2276.018</v>
      </c>
      <c r="T47" s="415">
        <v>2209.5439999999999</v>
      </c>
      <c r="U47" s="415">
        <v>3301.2719999999999</v>
      </c>
      <c r="V47" s="415">
        <v>3838.4580000000001</v>
      </c>
      <c r="W47" s="415">
        <v>3615.23</v>
      </c>
      <c r="X47" s="415">
        <v>4659.576</v>
      </c>
      <c r="Y47" s="415">
        <v>4538.8100000000004</v>
      </c>
      <c r="Z47" s="415">
        <v>4327.5010000000002</v>
      </c>
      <c r="AA47" s="415">
        <v>3928.9780000000001</v>
      </c>
      <c r="AB47" s="415">
        <v>2604.221</v>
      </c>
      <c r="AC47" s="415">
        <v>1941.3720000000001</v>
      </c>
      <c r="AD47" s="415">
        <v>1695.605</v>
      </c>
      <c r="AE47" s="415">
        <v>1332.769</v>
      </c>
      <c r="AF47" s="415">
        <v>1894.2370000000001</v>
      </c>
      <c r="AG47" s="415">
        <v>2877.2060000000001</v>
      </c>
      <c r="AH47" s="415">
        <v>3118.9749999999999</v>
      </c>
      <c r="AI47" s="415">
        <v>2922.4319999999998</v>
      </c>
      <c r="AJ47" s="415">
        <v>3370.67</v>
      </c>
      <c r="AK47" s="415">
        <v>3465.7420000000002</v>
      </c>
      <c r="AL47" s="415">
        <v>3036.8220000000001</v>
      </c>
      <c r="AM47" s="415">
        <v>2633.6970000000001</v>
      </c>
      <c r="AN47" s="415">
        <v>1715.623</v>
      </c>
      <c r="AO47" s="415">
        <v>691.83600000000001</v>
      </c>
      <c r="AP47" s="415">
        <v>723.55700000000002</v>
      </c>
      <c r="AQ47" s="415">
        <v>748.01800000000003</v>
      </c>
      <c r="AR47" s="413">
        <v>833.63699999999994</v>
      </c>
      <c r="AS47" s="413">
        <v>867.66099999999994</v>
      </c>
      <c r="AT47" s="413">
        <v>1134.3910000000001</v>
      </c>
      <c r="AU47" s="413">
        <v>1694.7570000000001</v>
      </c>
      <c r="AV47" s="413">
        <v>2368.913</v>
      </c>
      <c r="AW47" s="413">
        <v>2272.665</v>
      </c>
      <c r="AX47" s="413">
        <v>1885.1020000000001</v>
      </c>
      <c r="AY47" s="413">
        <v>889.68399999999997</v>
      </c>
      <c r="AZ47" s="413">
        <v>650.52</v>
      </c>
      <c r="BA47" s="413">
        <v>483.07799999999997</v>
      </c>
      <c r="BB47" s="413">
        <v>194.67500000000001</v>
      </c>
      <c r="BC47" s="413">
        <v>88.787000000000006</v>
      </c>
      <c r="BD47" s="413">
        <v>5.1230000000000002</v>
      </c>
      <c r="BE47" s="583">
        <v>209.42</v>
      </c>
      <c r="BF47" s="583">
        <v>59.927</v>
      </c>
      <c r="BG47" s="583">
        <v>468.40600000000001</v>
      </c>
      <c r="BH47" s="583">
        <v>764.14599999999996</v>
      </c>
      <c r="BI47" s="583">
        <v>808.83299999999997</v>
      </c>
      <c r="BJ47" s="583">
        <v>601.75800000000004</v>
      </c>
      <c r="BK47" s="583">
        <v>0</v>
      </c>
      <c r="BL47" s="583">
        <v>0</v>
      </c>
      <c r="BM47" s="583">
        <v>0</v>
      </c>
      <c r="BN47" s="583">
        <v>0</v>
      </c>
      <c r="BO47" s="583">
        <v>0</v>
      </c>
      <c r="BP47" s="583">
        <v>0</v>
      </c>
      <c r="BQ47" s="583">
        <v>0</v>
      </c>
      <c r="BR47" s="583">
        <v>0</v>
      </c>
      <c r="BS47" s="583">
        <v>0</v>
      </c>
      <c r="BT47" s="583">
        <v>0</v>
      </c>
      <c r="BU47" s="583">
        <v>0</v>
      </c>
      <c r="BV47" s="583">
        <v>0</v>
      </c>
      <c r="BW47" s="583">
        <f>VLOOKUP("1823040",'[8]BS ACCTS'!$D$6:$ZZ$999,113,FALSE)</f>
        <v>0</v>
      </c>
      <c r="BX47" s="583">
        <f>VLOOKUP("1823040",'[8]BS ACCTS'!$D$6:$ZZ$999,114,FALSE)</f>
        <v>0</v>
      </c>
      <c r="BY47" s="583">
        <f>VLOOKUP("1823040",'[8]BS ACCTS'!$D$6:$ZZ$999,115,FALSE)</f>
        <v>0</v>
      </c>
      <c r="BZ47" s="583">
        <f>VLOOKUP("1823040",'[8]BS ACCTS'!$D$6:$ZZ$999,116,FALSE)</f>
        <v>0</v>
      </c>
      <c r="CA47" s="583">
        <f>VLOOKUP("1823040",'[8]BS ACCTS'!$D$6:$ZZ$999,117,FALSE)</f>
        <v>0</v>
      </c>
      <c r="CB47" s="583">
        <f>VLOOKUP("1823040",'[8]BS ACCTS'!$D$6:$ZZ$999,118,FALSE)</f>
        <v>0</v>
      </c>
      <c r="CC47" s="583">
        <f>VLOOKUP("1823040",'[8]BS ACCTS'!$D$6:$ZZ$999,119,FALSE)</f>
        <v>0</v>
      </c>
      <c r="CD47" s="583">
        <f>VLOOKUP("1823040",'[8]BS ACCTS'!$D$6:$ZZ$999,120,FALSE)</f>
        <v>177.1</v>
      </c>
      <c r="CE47" s="583">
        <f>VLOOKUP("1823040",'[8]BS ACCTS'!$D$6:$ZZ$999,121,FALSE)</f>
        <v>816.6</v>
      </c>
      <c r="CF47" s="583">
        <f>VLOOKUP("1823040",'[8]BS ACCTS'!$D$6:$ZZ$999,122,FALSE)</f>
        <v>1482.2</v>
      </c>
      <c r="CG47" s="583">
        <f>VLOOKUP("1823040",'[8]BS ACCTS'!$D$6:$ZZ$999,123,FALSE)</f>
        <v>1950.8</v>
      </c>
      <c r="CH47" s="440">
        <f>VLOOKUP("1823040",'[8]BS ACCTS'!$D$6:$ZZ$999,124,FALSE)</f>
        <v>1968.1</v>
      </c>
      <c r="CI47" s="699">
        <f t="shared" si="72"/>
        <v>491.90769230769223</v>
      </c>
      <c r="CJ47" s="1068"/>
      <c r="CK47" s="33"/>
      <c r="CL47" s="184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</row>
    <row r="48" spans="1:104">
      <c r="A48" s="617" t="s">
        <v>501</v>
      </c>
      <c r="B48" s="260">
        <f t="shared" ca="1" si="71"/>
        <v>92.834393076923078</v>
      </c>
      <c r="C48" s="352"/>
      <c r="D48" s="352"/>
      <c r="E48" s="352"/>
      <c r="F48" s="352"/>
      <c r="G48" s="352"/>
      <c r="H48" s="352"/>
      <c r="I48" s="352">
        <v>0</v>
      </c>
      <c r="J48" s="352">
        <v>0</v>
      </c>
      <c r="K48" s="352">
        <v>20.891999999999999</v>
      </c>
      <c r="L48" s="352">
        <v>374.99400000000003</v>
      </c>
      <c r="M48" s="352">
        <v>691.18499999999995</v>
      </c>
      <c r="N48" s="352">
        <v>1030.5519999999999</v>
      </c>
      <c r="O48" s="415">
        <v>409.47899999999998</v>
      </c>
      <c r="P48" s="415">
        <v>0</v>
      </c>
      <c r="Q48" s="415">
        <v>0</v>
      </c>
      <c r="R48" s="415">
        <v>0</v>
      </c>
      <c r="S48" s="415">
        <v>0</v>
      </c>
      <c r="T48" s="415">
        <v>0</v>
      </c>
      <c r="U48" s="415">
        <v>0</v>
      </c>
      <c r="V48" s="415">
        <v>0</v>
      </c>
      <c r="W48" s="415">
        <v>0</v>
      </c>
      <c r="X48" s="415">
        <v>0</v>
      </c>
      <c r="Y48" s="415">
        <v>0</v>
      </c>
      <c r="Z48" s="415">
        <v>0</v>
      </c>
      <c r="AA48" s="415">
        <v>0</v>
      </c>
      <c r="AB48" s="415">
        <v>0</v>
      </c>
      <c r="AC48" s="415">
        <v>0</v>
      </c>
      <c r="AD48" s="415">
        <v>0</v>
      </c>
      <c r="AE48" s="415">
        <v>0</v>
      </c>
      <c r="AF48" s="415">
        <v>296.89600000000002</v>
      </c>
      <c r="AG48" s="415">
        <v>764.38</v>
      </c>
      <c r="AH48" s="415">
        <v>1275.1410000000001</v>
      </c>
      <c r="AI48" s="415">
        <v>1795.596</v>
      </c>
      <c r="AJ48" s="415">
        <v>2279.5509999999999</v>
      </c>
      <c r="AK48" s="415">
        <v>2772.7640000000001</v>
      </c>
      <c r="AL48" s="415">
        <v>3382.549</v>
      </c>
      <c r="AM48" s="415">
        <v>2748.2489999999998</v>
      </c>
      <c r="AN48" s="415">
        <v>2185.6979999999999</v>
      </c>
      <c r="AO48" s="415">
        <v>1786.204</v>
      </c>
      <c r="AP48" s="415">
        <v>1888.6959999999999</v>
      </c>
      <c r="AQ48" s="415">
        <v>2168.596</v>
      </c>
      <c r="AR48" s="413">
        <v>2473.6979999999999</v>
      </c>
      <c r="AS48" s="413">
        <v>2911.0990000000002</v>
      </c>
      <c r="AT48" s="413">
        <v>3383.4540000000002</v>
      </c>
      <c r="AU48" s="413">
        <v>3892.511</v>
      </c>
      <c r="AV48" s="413">
        <v>4349.6639999999998</v>
      </c>
      <c r="AW48" s="413">
        <v>4644.3119999999999</v>
      </c>
      <c r="AX48" s="413">
        <v>4581.2120000000004</v>
      </c>
      <c r="AY48" s="413">
        <v>3927.8789999999999</v>
      </c>
      <c r="AZ48" s="413">
        <v>3358.08</v>
      </c>
      <c r="BA48" s="413">
        <v>2895.96</v>
      </c>
      <c r="BB48" s="413">
        <v>2471.0880000000002</v>
      </c>
      <c r="BC48" s="413">
        <v>2144.0070000000001</v>
      </c>
      <c r="BD48" s="413">
        <v>1861.7829999999999</v>
      </c>
      <c r="BE48" s="583">
        <v>1609.829</v>
      </c>
      <c r="BF48" s="583">
        <v>1407.7550000000001</v>
      </c>
      <c r="BG48" s="583">
        <v>1200.758</v>
      </c>
      <c r="BH48" s="583">
        <v>1033.527</v>
      </c>
      <c r="BI48" s="583">
        <v>837.17</v>
      </c>
      <c r="BJ48" s="583">
        <v>563.79399999999998</v>
      </c>
      <c r="BK48" s="583">
        <v>359.09500000000003</v>
      </c>
      <c r="BL48" s="583">
        <v>131.72800000000001</v>
      </c>
      <c r="BM48" s="583">
        <v>4.6779999999999999</v>
      </c>
      <c r="BN48" s="583">
        <v>0</v>
      </c>
      <c r="BO48" s="583">
        <v>0</v>
      </c>
      <c r="BP48" s="583">
        <v>0</v>
      </c>
      <c r="BQ48" s="583">
        <v>0</v>
      </c>
      <c r="BR48" s="583">
        <v>0</v>
      </c>
      <c r="BS48" s="583">
        <v>318.93860999999998</v>
      </c>
      <c r="BT48" s="583">
        <v>426.78361000000001</v>
      </c>
      <c r="BU48" s="583">
        <v>525.66061000000002</v>
      </c>
      <c r="BV48" s="583">
        <v>845.04710999999998</v>
      </c>
      <c r="BW48" s="583">
        <f>VLOOKUP("1823071",'[8]BS ACCTS'!$D$6:$ZZ$999,113,FALSE)</f>
        <v>361.8</v>
      </c>
      <c r="BX48" s="583">
        <f>VLOOKUP("1823071",'[8]BS ACCTS'!$D$6:$ZZ$999,114,FALSE)</f>
        <v>0</v>
      </c>
      <c r="BY48" s="583">
        <f>VLOOKUP("1823071",'[8]BS ACCTS'!$D$6:$ZZ$999,115,FALSE)</f>
        <v>0</v>
      </c>
      <c r="BZ48" s="583">
        <f>VLOOKUP("1823071",'[8]BS ACCTS'!$D$6:$ZZ$999,116,FALSE)</f>
        <v>0</v>
      </c>
      <c r="CA48" s="583">
        <f>VLOOKUP("1823071",'[8]BS ACCTS'!$D$6:$ZZ$999,117,FALSE)</f>
        <v>0</v>
      </c>
      <c r="CB48" s="583">
        <f>VLOOKUP("1823071",'[8]BS ACCTS'!$D$6:$ZZ$999,118,FALSE)</f>
        <v>0</v>
      </c>
      <c r="CC48" s="583">
        <f>VLOOKUP("1823071",'[8]BS ACCTS'!$D$6:$ZZ$999,119,FALSE)</f>
        <v>0</v>
      </c>
      <c r="CD48" s="583">
        <f>VLOOKUP("1823071",'[8]BS ACCTS'!$D$6:$ZZ$999,120,FALSE)</f>
        <v>0</v>
      </c>
      <c r="CE48" s="583">
        <f>VLOOKUP("1823071",'[8]BS ACCTS'!$D$6:$ZZ$999,121,FALSE)</f>
        <v>0</v>
      </c>
      <c r="CF48" s="583">
        <f>VLOOKUP("1823071",'[8]BS ACCTS'!$D$6:$ZZ$999,122,FALSE)</f>
        <v>0</v>
      </c>
      <c r="CG48" s="583">
        <f>VLOOKUP("1823071",'[8]BS ACCTS'!$D$6:$ZZ$999,123,FALSE)</f>
        <v>0</v>
      </c>
      <c r="CH48" s="583">
        <f>VLOOKUP("1823071",'[8]BS ACCTS'!$D$6:$ZZ$999,124,FALSE)</f>
        <v>0</v>
      </c>
      <c r="CI48" s="699">
        <f t="shared" si="72"/>
        <v>92.834393076923078</v>
      </c>
      <c r="CK48" s="33"/>
      <c r="CL48" s="184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</row>
    <row r="49" spans="1:104">
      <c r="A49" s="617" t="s">
        <v>502</v>
      </c>
      <c r="B49" s="260">
        <f t="shared" ca="1" si="71"/>
        <v>0</v>
      </c>
      <c r="C49" s="348">
        <v>0</v>
      </c>
      <c r="D49" s="348">
        <v>0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0</v>
      </c>
      <c r="K49" s="348">
        <v>0</v>
      </c>
      <c r="L49" s="348">
        <v>0</v>
      </c>
      <c r="M49" s="348">
        <v>0</v>
      </c>
      <c r="N49" s="348">
        <v>0</v>
      </c>
      <c r="O49" s="411">
        <v>0</v>
      </c>
      <c r="P49" s="411">
        <v>0</v>
      </c>
      <c r="Q49" s="411">
        <v>0</v>
      </c>
      <c r="R49" s="411">
        <v>0</v>
      </c>
      <c r="S49" s="411">
        <v>0</v>
      </c>
      <c r="T49" s="411">
        <v>0</v>
      </c>
      <c r="U49" s="411">
        <v>0</v>
      </c>
      <c r="V49" s="411">
        <v>0</v>
      </c>
      <c r="W49" s="411">
        <v>0</v>
      </c>
      <c r="X49" s="411">
        <v>0</v>
      </c>
      <c r="Y49" s="411">
        <v>0</v>
      </c>
      <c r="Z49" s="411">
        <v>0</v>
      </c>
      <c r="AA49" s="411">
        <v>0</v>
      </c>
      <c r="AB49" s="411">
        <v>0</v>
      </c>
      <c r="AC49" s="411">
        <v>0</v>
      </c>
      <c r="AD49" s="411">
        <v>0</v>
      </c>
      <c r="AE49" s="411">
        <v>0</v>
      </c>
      <c r="AF49" s="411">
        <v>0</v>
      </c>
      <c r="AG49" s="411">
        <v>0</v>
      </c>
      <c r="AH49" s="411">
        <v>0</v>
      </c>
      <c r="AI49" s="411">
        <v>0</v>
      </c>
      <c r="AJ49" s="411">
        <v>0</v>
      </c>
      <c r="AK49" s="411">
        <v>0</v>
      </c>
      <c r="AL49" s="411">
        <v>0</v>
      </c>
      <c r="AM49" s="411">
        <v>0</v>
      </c>
      <c r="AN49" s="411">
        <v>0</v>
      </c>
      <c r="AO49" s="411">
        <v>0</v>
      </c>
      <c r="AP49" s="411">
        <v>0</v>
      </c>
      <c r="AQ49" s="411">
        <v>0</v>
      </c>
      <c r="AR49" s="411">
        <v>0</v>
      </c>
      <c r="AS49" s="411">
        <v>0</v>
      </c>
      <c r="AT49" s="411">
        <v>0</v>
      </c>
      <c r="AU49" s="411">
        <v>0</v>
      </c>
      <c r="AV49" s="411">
        <v>0</v>
      </c>
      <c r="AW49" s="411">
        <v>0</v>
      </c>
      <c r="AX49" s="411">
        <v>0</v>
      </c>
      <c r="AY49" s="411">
        <v>0</v>
      </c>
      <c r="AZ49" s="411">
        <v>0</v>
      </c>
      <c r="BA49" s="411">
        <v>0</v>
      </c>
      <c r="BB49" s="411">
        <v>0</v>
      </c>
      <c r="BC49" s="411">
        <v>0</v>
      </c>
      <c r="BD49" s="411">
        <v>0</v>
      </c>
      <c r="BE49" s="588">
        <v>0</v>
      </c>
      <c r="BF49" s="588">
        <v>0</v>
      </c>
      <c r="BG49" s="588">
        <v>0</v>
      </c>
      <c r="BH49" s="588">
        <v>0</v>
      </c>
      <c r="BI49" s="588">
        <v>0</v>
      </c>
      <c r="BJ49" s="588">
        <v>0</v>
      </c>
      <c r="BK49" s="588">
        <v>0</v>
      </c>
      <c r="BL49" s="588">
        <v>0</v>
      </c>
      <c r="BM49" s="588">
        <v>0</v>
      </c>
      <c r="BN49" s="588">
        <v>0</v>
      </c>
      <c r="BO49" s="588">
        <v>0</v>
      </c>
      <c r="BP49" s="588">
        <v>0</v>
      </c>
      <c r="BQ49" s="588">
        <v>0</v>
      </c>
      <c r="BR49" s="588">
        <v>0</v>
      </c>
      <c r="BS49" s="588">
        <v>0</v>
      </c>
      <c r="BT49" s="588">
        <v>0</v>
      </c>
      <c r="BU49" s="588">
        <v>0</v>
      </c>
      <c r="BV49" s="588">
        <v>0</v>
      </c>
      <c r="BW49" s="588">
        <v>0</v>
      </c>
      <c r="BX49" s="588">
        <v>0</v>
      </c>
      <c r="BY49" s="588">
        <v>0</v>
      </c>
      <c r="BZ49" s="588">
        <v>0</v>
      </c>
      <c r="CA49" s="588">
        <v>0</v>
      </c>
      <c r="CB49" s="588">
        <v>0</v>
      </c>
      <c r="CC49" s="588">
        <v>0</v>
      </c>
      <c r="CD49" s="588">
        <v>0</v>
      </c>
      <c r="CE49" s="588">
        <v>0</v>
      </c>
      <c r="CF49" s="588">
        <v>0</v>
      </c>
      <c r="CG49" s="588">
        <v>0</v>
      </c>
      <c r="CH49" s="588">
        <v>0</v>
      </c>
      <c r="CI49" s="699">
        <f t="shared" si="72"/>
        <v>0</v>
      </c>
      <c r="CK49" s="33"/>
      <c r="CL49" s="184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</row>
    <row r="50" spans="1:104">
      <c r="A50" s="617" t="s">
        <v>503</v>
      </c>
      <c r="B50" s="260">
        <f t="shared" ca="1" si="71"/>
        <v>332.51357076923074</v>
      </c>
      <c r="C50" s="348">
        <v>0</v>
      </c>
      <c r="D50" s="348">
        <v>0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O50" s="411">
        <v>0</v>
      </c>
      <c r="P50" s="411">
        <v>0</v>
      </c>
      <c r="Q50" s="411">
        <v>0</v>
      </c>
      <c r="R50" s="411">
        <v>0</v>
      </c>
      <c r="S50" s="411">
        <v>0</v>
      </c>
      <c r="T50" s="411">
        <v>0</v>
      </c>
      <c r="U50" s="411">
        <v>0</v>
      </c>
      <c r="V50" s="411">
        <v>0</v>
      </c>
      <c r="W50" s="411">
        <v>0</v>
      </c>
      <c r="X50" s="411">
        <v>0</v>
      </c>
      <c r="Y50" s="411">
        <v>0</v>
      </c>
      <c r="Z50" s="411">
        <v>0</v>
      </c>
      <c r="AA50" s="411">
        <v>0</v>
      </c>
      <c r="AB50" s="411">
        <v>0</v>
      </c>
      <c r="AC50" s="411">
        <v>0</v>
      </c>
      <c r="AD50" s="411">
        <v>0</v>
      </c>
      <c r="AE50" s="411">
        <v>0</v>
      </c>
      <c r="AF50" s="411">
        <v>0</v>
      </c>
      <c r="AG50" s="411">
        <v>0</v>
      </c>
      <c r="AH50" s="411">
        <v>0</v>
      </c>
      <c r="AI50" s="411">
        <v>0</v>
      </c>
      <c r="AJ50" s="411">
        <v>0</v>
      </c>
      <c r="AK50" s="411">
        <v>0</v>
      </c>
      <c r="AL50" s="411">
        <v>0</v>
      </c>
      <c r="AM50" s="411">
        <v>0</v>
      </c>
      <c r="AN50" s="411">
        <v>0</v>
      </c>
      <c r="AO50" s="411">
        <v>0</v>
      </c>
      <c r="AP50" s="411">
        <v>0</v>
      </c>
      <c r="AQ50" s="411">
        <v>0</v>
      </c>
      <c r="AR50" s="411">
        <v>0</v>
      </c>
      <c r="AS50" s="411">
        <v>0</v>
      </c>
      <c r="AT50" s="411">
        <v>0</v>
      </c>
      <c r="AU50" s="411">
        <v>0</v>
      </c>
      <c r="AV50" s="411">
        <v>0</v>
      </c>
      <c r="AW50" s="411">
        <v>0</v>
      </c>
      <c r="AX50" s="411">
        <v>1230.44886</v>
      </c>
      <c r="AY50" s="411">
        <v>1224.81459</v>
      </c>
      <c r="AZ50" s="411">
        <v>1190.2958899999999</v>
      </c>
      <c r="BA50" s="411">
        <v>1155.32736</v>
      </c>
      <c r="BB50" s="411">
        <v>1120.31744</v>
      </c>
      <c r="BC50" s="411">
        <v>1093.98074</v>
      </c>
      <c r="BD50" s="411">
        <v>1058.6910399999999</v>
      </c>
      <c r="BE50" s="588">
        <v>1023.40134</v>
      </c>
      <c r="BF50" s="588">
        <v>988.11163999999997</v>
      </c>
      <c r="BG50" s="588">
        <v>952.82193999999993</v>
      </c>
      <c r="BH50" s="588">
        <v>917.53224</v>
      </c>
      <c r="BI50" s="588">
        <v>882.24253999999996</v>
      </c>
      <c r="BJ50" s="588">
        <v>846.95283999999992</v>
      </c>
      <c r="BK50" s="588">
        <v>811.66313999999988</v>
      </c>
      <c r="BL50" s="588">
        <v>776.37343999999996</v>
      </c>
      <c r="BM50" s="588">
        <v>741.08374000000003</v>
      </c>
      <c r="BN50" s="588">
        <v>705.79404</v>
      </c>
      <c r="BO50" s="588">
        <v>670.50433999999996</v>
      </c>
      <c r="BP50" s="588">
        <v>635.21463999999992</v>
      </c>
      <c r="BQ50" s="588">
        <v>599.92493999999999</v>
      </c>
      <c r="BR50" s="588">
        <v>564.63523999999995</v>
      </c>
      <c r="BS50" s="588">
        <v>529.34553999999991</v>
      </c>
      <c r="BT50" s="588">
        <v>494.05583999999999</v>
      </c>
      <c r="BU50" s="588">
        <v>458.76613999999995</v>
      </c>
      <c r="BV50" s="588">
        <v>423.47641999999996</v>
      </c>
      <c r="BW50" s="345">
        <f>+'[8]Balance Sheet Detail'!DG52</f>
        <v>388.2</v>
      </c>
      <c r="BX50" s="588">
        <f>+'[8]Balance Sheet Detail'!DH52</f>
        <v>352.9</v>
      </c>
      <c r="BY50" s="588">
        <f>+'[8]Balance Sheet Detail'!DI52</f>
        <v>317.60000000000002</v>
      </c>
      <c r="BZ50" s="588">
        <f>+'[8]Balance Sheet Detail'!DJ52</f>
        <v>282.3</v>
      </c>
      <c r="CA50" s="588">
        <f>+'[8]Balance Sheet Detail'!DK52</f>
        <v>247</v>
      </c>
      <c r="CB50" s="588">
        <f>+'[8]Balance Sheet Detail'!DL52</f>
        <v>211.7</v>
      </c>
      <c r="CC50" s="588">
        <f>+'[8]Balance Sheet Detail'!DM52</f>
        <v>176.4</v>
      </c>
      <c r="CD50" s="588">
        <f>+'[8]Balance Sheet Detail'!DN52</f>
        <v>141.1</v>
      </c>
      <c r="CE50" s="588">
        <f>+'[8]Balance Sheet Detail'!DO52</f>
        <v>105.8</v>
      </c>
      <c r="CF50" s="588">
        <f>+'[8]Balance Sheet Detail'!DP52</f>
        <v>70.5</v>
      </c>
      <c r="CG50" s="588">
        <f>+'[8]Balance Sheet Detail'!DQ52</f>
        <v>35.200000000000003</v>
      </c>
      <c r="CH50" s="345">
        <f>+'[8]Balance Sheet Detail'!DR52</f>
        <v>1570.5</v>
      </c>
      <c r="CI50" s="699">
        <f t="shared" si="72"/>
        <v>332.51357076923074</v>
      </c>
      <c r="CJ50" s="1068"/>
      <c r="CK50" s="33"/>
      <c r="CL50" s="184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</row>
    <row r="51" spans="1:104">
      <c r="A51" s="617" t="s">
        <v>504</v>
      </c>
      <c r="B51" s="318">
        <f t="shared" ca="1" si="71"/>
        <v>656.67635230768735</v>
      </c>
      <c r="C51" s="348">
        <v>-2642.3463999999999</v>
      </c>
      <c r="D51" s="348">
        <v>-5804.9904100000003</v>
      </c>
      <c r="E51" s="348">
        <v>-2294.8544100000004</v>
      </c>
      <c r="F51" s="348">
        <v>-3251.3334100000002</v>
      </c>
      <c r="G51" s="348">
        <v>-3259.4184100000002</v>
      </c>
      <c r="H51" s="348">
        <v>-2333.7824100000003</v>
      </c>
      <c r="I51" s="348">
        <v>-1140.35977</v>
      </c>
      <c r="J51" s="348">
        <v>62.853230000000003</v>
      </c>
      <c r="K51" s="348">
        <v>-1125.28477</v>
      </c>
      <c r="L51" s="348">
        <v>2293.4382300000002</v>
      </c>
      <c r="M51" s="348">
        <v>3505.8082300000001</v>
      </c>
      <c r="N51" s="348">
        <v>2834.6660699999998</v>
      </c>
      <c r="O51" s="411">
        <v>-2384.06493</v>
      </c>
      <c r="P51" s="411">
        <v>-8545.5559300000004</v>
      </c>
      <c r="Q51" s="411">
        <v>-5868.12093</v>
      </c>
      <c r="R51" s="411">
        <v>-9522.9779299999991</v>
      </c>
      <c r="S51" s="411">
        <v>-9400.2139299999999</v>
      </c>
      <c r="T51" s="411">
        <v>-9953.1939299999995</v>
      </c>
      <c r="U51" s="411">
        <v>-10094.4262</v>
      </c>
      <c r="V51" s="411">
        <v>-9688.2971999999991</v>
      </c>
      <c r="W51" s="411">
        <v>-10202.183199999999</v>
      </c>
      <c r="X51" s="411">
        <v>-7149.3702499999999</v>
      </c>
      <c r="Y51" s="411">
        <v>-834.98125000000005</v>
      </c>
      <c r="Z51" s="411">
        <v>2412.1773399999997</v>
      </c>
      <c r="AA51" s="411">
        <v>629.81018999999992</v>
      </c>
      <c r="AB51" s="411">
        <v>-2764.29981</v>
      </c>
      <c r="AC51" s="411">
        <v>-3806.5178100000003</v>
      </c>
      <c r="AD51" s="411">
        <v>-6734.3098099999997</v>
      </c>
      <c r="AE51" s="411">
        <v>-9153.0648099999999</v>
      </c>
      <c r="AF51" s="411">
        <v>-10301.39481</v>
      </c>
      <c r="AG51" s="411">
        <v>-10461.658810000001</v>
      </c>
      <c r="AH51" s="411">
        <v>-8902.0558099999998</v>
      </c>
      <c r="AI51" s="411">
        <v>-9455.8124700000008</v>
      </c>
      <c r="AJ51" s="411">
        <v>-6835.5414700000001</v>
      </c>
      <c r="AK51" s="411">
        <v>-4507.6064699999997</v>
      </c>
      <c r="AL51" s="411">
        <v>-5610.4994699999997</v>
      </c>
      <c r="AM51" s="411">
        <v>-9000.5974700000006</v>
      </c>
      <c r="AN51" s="411">
        <v>-12085.26064</v>
      </c>
      <c r="AO51" s="411">
        <v>-13315.27664</v>
      </c>
      <c r="AP51" s="411">
        <v>-13955.91264</v>
      </c>
      <c r="AQ51" s="411">
        <v>-13419.80364</v>
      </c>
      <c r="AR51" s="411">
        <v>-14069.898640000001</v>
      </c>
      <c r="AS51" s="411">
        <v>-13486.354640000001</v>
      </c>
      <c r="AT51" s="411">
        <v>-10977.932640000001</v>
      </c>
      <c r="AU51" s="411">
        <v>-10183.908800000001</v>
      </c>
      <c r="AV51" s="411">
        <v>-6168.0937999999996</v>
      </c>
      <c r="AW51" s="411">
        <v>-2672.3439900000003</v>
      </c>
      <c r="AX51" s="411">
        <v>-1887.38102</v>
      </c>
      <c r="AY51" s="411">
        <v>-5514.3590199999999</v>
      </c>
      <c r="AZ51" s="411">
        <v>-2984.17236</v>
      </c>
      <c r="BA51" s="411">
        <v>-1677.6023600000001</v>
      </c>
      <c r="BB51" s="411">
        <v>-5499.4693600000001</v>
      </c>
      <c r="BC51" s="411">
        <v>-5895.4843600000004</v>
      </c>
      <c r="BD51" s="411">
        <v>-5154.9673600000006</v>
      </c>
      <c r="BE51" s="588">
        <v>-5465.9473600000001</v>
      </c>
      <c r="BF51" s="588">
        <v>-4455.3223600000001</v>
      </c>
      <c r="BG51" s="588">
        <v>-2979.20154</v>
      </c>
      <c r="BH51" s="588">
        <v>4737.4064600000002</v>
      </c>
      <c r="BI51" s="588">
        <v>12530.13495</v>
      </c>
      <c r="BJ51" s="588">
        <v>12048.953949999999</v>
      </c>
      <c r="BK51" s="588">
        <v>7487.2629500000003</v>
      </c>
      <c r="BL51" s="588">
        <v>2120.7769399999997</v>
      </c>
      <c r="BM51" s="588">
        <v>2683.9515000000001</v>
      </c>
      <c r="BN51" s="588">
        <v>-1958.6478</v>
      </c>
      <c r="BO51" s="588">
        <v>-376.23379999999997</v>
      </c>
      <c r="BP51" s="588">
        <v>-676.00280000000009</v>
      </c>
      <c r="BQ51" s="588">
        <v>-1437.7038</v>
      </c>
      <c r="BR51" s="588">
        <v>-5007.8992500000004</v>
      </c>
      <c r="BS51" s="588">
        <v>-10208.06142</v>
      </c>
      <c r="BT51" s="588">
        <v>-13346.90742</v>
      </c>
      <c r="BU51" s="588">
        <v>-3400.04342</v>
      </c>
      <c r="BV51" s="588">
        <v>2081.8925800000002</v>
      </c>
      <c r="BW51" s="345">
        <f>+'[8]Balance Sheet Detail'!DG53</f>
        <v>2089.5</v>
      </c>
      <c r="BX51" s="588">
        <f>+'[8]Balance Sheet Detail'!DH53</f>
        <v>2097.1999999999971</v>
      </c>
      <c r="BY51" s="588">
        <f>+'[8]Balance Sheet Detail'!DI53</f>
        <v>1353.5</v>
      </c>
      <c r="BZ51" s="588">
        <f>+'[8]Balance Sheet Detail'!DJ53</f>
        <v>616.09999999999127</v>
      </c>
      <c r="CA51" s="588">
        <f>+'[8]Balance Sheet Detail'!DK53</f>
        <v>297.79999999998836</v>
      </c>
      <c r="CB51" s="588">
        <f>+'[8]Balance Sheet Detail'!DL53</f>
        <v>0</v>
      </c>
      <c r="CC51" s="588">
        <f>+'[8]Balance Sheet Detail'!DM53</f>
        <v>9.9999999991268851E-2</v>
      </c>
      <c r="CD51" s="588">
        <f>+'[8]Balance Sheet Detail'!DN53</f>
        <v>9.9999999991268851E-2</v>
      </c>
      <c r="CE51" s="588">
        <f>+'[8]Balance Sheet Detail'!DO53</f>
        <v>9.9999999991268851E-2</v>
      </c>
      <c r="CF51" s="588">
        <f>+'[8]Balance Sheet Detail'!DP53</f>
        <v>9.9999999991268851E-2</v>
      </c>
      <c r="CG51" s="588">
        <f>+'[8]Balance Sheet Detail'!DQ53</f>
        <v>0.19999999999708962</v>
      </c>
      <c r="CH51" s="345">
        <f>+'[8]Balance Sheet Detail'!DR53</f>
        <v>0.19999999999708962</v>
      </c>
      <c r="CI51" s="699">
        <f t="shared" si="72"/>
        <v>656.67635230768735</v>
      </c>
      <c r="CJ51" s="1068"/>
      <c r="CK51" s="33"/>
      <c r="CL51" s="184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</row>
    <row r="52" spans="1:104">
      <c r="A52" s="617" t="s">
        <v>505</v>
      </c>
      <c r="B52" s="262">
        <f t="shared" ca="1" si="71"/>
        <v>0</v>
      </c>
      <c r="C52" s="353">
        <v>56.05</v>
      </c>
      <c r="D52" s="353">
        <v>389.5</v>
      </c>
      <c r="E52" s="353">
        <v>4.2350000000000003</v>
      </c>
      <c r="F52" s="353">
        <v>0</v>
      </c>
      <c r="G52" s="353">
        <v>3.92</v>
      </c>
      <c r="H52" s="353">
        <v>22.28</v>
      </c>
      <c r="I52" s="353">
        <v>140.02500000000001</v>
      </c>
      <c r="J52" s="353">
        <v>4.68</v>
      </c>
      <c r="K52" s="353">
        <v>9.23</v>
      </c>
      <c r="L52" s="353">
        <v>138.22499999999999</v>
      </c>
      <c r="M52" s="353">
        <v>60.555</v>
      </c>
      <c r="N52" s="353">
        <v>181.065</v>
      </c>
      <c r="O52" s="416">
        <v>1.78</v>
      </c>
      <c r="P52" s="416">
        <v>113.125</v>
      </c>
      <c r="Q52" s="416">
        <v>32.645000000000003</v>
      </c>
      <c r="R52" s="416">
        <v>25.69</v>
      </c>
      <c r="S52" s="416">
        <v>0</v>
      </c>
      <c r="T52" s="416">
        <v>0.28000000000000003</v>
      </c>
      <c r="U52" s="416">
        <v>11.72</v>
      </c>
      <c r="V52" s="416">
        <v>0</v>
      </c>
      <c r="W52" s="416">
        <v>0</v>
      </c>
      <c r="X52" s="416">
        <v>0</v>
      </c>
      <c r="Y52" s="416">
        <v>0</v>
      </c>
      <c r="Z52" s="416">
        <v>0</v>
      </c>
      <c r="AA52" s="416">
        <v>0</v>
      </c>
      <c r="AB52" s="416">
        <v>0</v>
      </c>
      <c r="AC52" s="416">
        <v>0</v>
      </c>
      <c r="AD52" s="416">
        <v>0</v>
      </c>
      <c r="AE52" s="416">
        <v>0</v>
      </c>
      <c r="AF52" s="416">
        <v>0</v>
      </c>
      <c r="AG52" s="416">
        <v>0</v>
      </c>
      <c r="AH52" s="416">
        <v>0</v>
      </c>
      <c r="AI52" s="416">
        <v>0</v>
      </c>
      <c r="AJ52" s="416">
        <v>0</v>
      </c>
      <c r="AK52" s="416">
        <v>0</v>
      </c>
      <c r="AL52" s="416">
        <v>0</v>
      </c>
      <c r="AM52" s="416">
        <v>0</v>
      </c>
      <c r="AN52" s="416">
        <v>0</v>
      </c>
      <c r="AO52" s="416">
        <v>0</v>
      </c>
      <c r="AP52" s="416">
        <v>0</v>
      </c>
      <c r="AQ52" s="416">
        <v>0</v>
      </c>
      <c r="AR52" s="416">
        <v>0</v>
      </c>
      <c r="AS52" s="416">
        <v>0</v>
      </c>
      <c r="AT52" s="416">
        <v>0</v>
      </c>
      <c r="AU52" s="416">
        <v>0</v>
      </c>
      <c r="AV52" s="416">
        <v>0</v>
      </c>
      <c r="AW52" s="416">
        <v>0</v>
      </c>
      <c r="AX52" s="416">
        <v>0</v>
      </c>
      <c r="AY52" s="416">
        <v>0</v>
      </c>
      <c r="AZ52" s="416">
        <v>0</v>
      </c>
      <c r="BA52" s="416">
        <v>0</v>
      </c>
      <c r="BB52" s="416">
        <v>0</v>
      </c>
      <c r="BC52" s="416">
        <v>0</v>
      </c>
      <c r="BD52" s="416">
        <v>0</v>
      </c>
      <c r="BE52" s="689">
        <v>0</v>
      </c>
      <c r="BF52" s="689">
        <v>0</v>
      </c>
      <c r="BG52" s="689">
        <v>0</v>
      </c>
      <c r="BH52" s="689">
        <v>0</v>
      </c>
      <c r="BI52" s="689">
        <v>0</v>
      </c>
      <c r="BJ52" s="689">
        <v>0</v>
      </c>
      <c r="BK52" s="689">
        <v>0</v>
      </c>
      <c r="BL52" s="689">
        <v>0</v>
      </c>
      <c r="BM52" s="689">
        <v>0</v>
      </c>
      <c r="BN52" s="689">
        <v>0</v>
      </c>
      <c r="BO52" s="689">
        <v>0</v>
      </c>
      <c r="BP52" s="689">
        <v>0</v>
      </c>
      <c r="BQ52" s="689">
        <v>0</v>
      </c>
      <c r="BR52" s="689">
        <v>0</v>
      </c>
      <c r="BS52" s="689">
        <v>0</v>
      </c>
      <c r="BT52" s="689">
        <v>0</v>
      </c>
      <c r="BU52" s="689">
        <v>0</v>
      </c>
      <c r="BV52" s="689">
        <v>0</v>
      </c>
      <c r="BW52" s="689">
        <f>(VLOOKUP("1823105",'[8]BS ACCTS'!$D$6:$ZZ$999,113,FALSE))+(VLOOKUP("1823205",'[8]BS ACCTS'!$D$6:$ZZ$999,113,FALSE))</f>
        <v>0</v>
      </c>
      <c r="BX52" s="689">
        <f>(VLOOKUP("1823105",'[8]BS ACCTS'!$D$6:$ZZ$999,114,FALSE))+(VLOOKUP("1823205",'[8]BS ACCTS'!$D$6:$ZZ$999,114,FALSE))</f>
        <v>0</v>
      </c>
      <c r="BY52" s="689">
        <f>(VLOOKUP("1823105",'[8]BS ACCTS'!$D$6:$ZZ$999,115,FALSE))+(VLOOKUP("1823205",'[8]BS ACCTS'!$D$6:$ZZ$999,115,FALSE))</f>
        <v>0</v>
      </c>
      <c r="BZ52" s="689">
        <f>(VLOOKUP("1823105",'[8]BS ACCTS'!$D$6:$ZZ$999,116,FALSE))+(VLOOKUP("1823205",'[8]BS ACCTS'!$D$6:$ZZ$999,116,FALSE))</f>
        <v>0</v>
      </c>
      <c r="CA52" s="689">
        <f>(VLOOKUP("1823105",'[8]BS ACCTS'!$D$6:$ZZ$999,117,FALSE))+(VLOOKUP("1823205",'[8]BS ACCTS'!$D$6:$ZZ$999,117,FALSE))</f>
        <v>0</v>
      </c>
      <c r="CB52" s="689">
        <f>(VLOOKUP("1823105",'[8]BS ACCTS'!$D$6:$ZZ$999,118,FALSE))+(VLOOKUP("1823205",'[8]BS ACCTS'!$D$6:$ZZ$999,118,FALSE))</f>
        <v>0</v>
      </c>
      <c r="CC52" s="689">
        <f>(VLOOKUP("1823105",'[8]BS ACCTS'!$D$6:$ZZ$999,119,FALSE))+(VLOOKUP("1823205",'[8]BS ACCTS'!$D$6:$ZZ$999,119,FALSE))</f>
        <v>0</v>
      </c>
      <c r="CD52" s="689">
        <f>(VLOOKUP("1823105",'[8]BS ACCTS'!$D$6:$ZZ$999,120,FALSE))+(VLOOKUP("1823205",'[8]BS ACCTS'!$D$6:$ZZ$999,120,FALSE))</f>
        <v>0</v>
      </c>
      <c r="CE52" s="689">
        <f>(VLOOKUP("1823105",'[8]BS ACCTS'!$D$6:$ZZ$999,121,FALSE))+(VLOOKUP("1823205",'[8]BS ACCTS'!$D$6:$ZZ$999,121,FALSE))</f>
        <v>0</v>
      </c>
      <c r="CF52" s="689">
        <f>(VLOOKUP("1823105",'[8]BS ACCTS'!$D$6:$ZZ$999,122,FALSE))+(VLOOKUP("1823205",'[8]BS ACCTS'!$D$6:$ZZ$999,122,FALSE))</f>
        <v>0</v>
      </c>
      <c r="CG52" s="689">
        <f>(VLOOKUP("1823105",'[8]BS ACCTS'!$D$6:$ZZ$999,123,FALSE))+(VLOOKUP("1823205",'[8]BS ACCTS'!$D$6:$ZZ$999,123,FALSE))</f>
        <v>0</v>
      </c>
      <c r="CH52" s="689">
        <f>(VLOOKUP("1823105",'[8]BS ACCTS'!$D$6:$ZZ$999,124,FALSE))+(VLOOKUP("1823205",'[8]BS ACCTS'!$D$6:$ZZ$999,124,FALSE))</f>
        <v>0</v>
      </c>
      <c r="CI52" s="700">
        <f t="shared" si="72"/>
        <v>0</v>
      </c>
      <c r="CK52" s="33"/>
      <c r="CL52" s="184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</row>
    <row r="53" spans="1:104">
      <c r="A53" s="599" t="s">
        <v>506</v>
      </c>
      <c r="B53" s="260">
        <f t="shared" ca="1" si="71"/>
        <v>123488.45060615384</v>
      </c>
      <c r="C53" s="79">
        <f t="shared" ref="C53:N53" si="73">SUM(C43:C52)</f>
        <v>117595.90716</v>
      </c>
      <c r="D53" s="79">
        <f t="shared" si="73"/>
        <v>112671.16764000001</v>
      </c>
      <c r="E53" s="79">
        <f t="shared" si="73"/>
        <v>114454.63258000002</v>
      </c>
      <c r="F53" s="79">
        <f t="shared" si="73"/>
        <v>113380.26432</v>
      </c>
      <c r="G53" s="79">
        <f t="shared" si="73"/>
        <v>112969.34354</v>
      </c>
      <c r="H53" s="79">
        <f t="shared" si="73"/>
        <v>114854.58638000001</v>
      </c>
      <c r="I53" s="79">
        <f t="shared" si="73"/>
        <v>115962.55045</v>
      </c>
      <c r="J53" s="79">
        <f t="shared" si="73"/>
        <v>117782.65563999998</v>
      </c>
      <c r="K53" s="79">
        <f t="shared" si="73"/>
        <v>118062.60464999999</v>
      </c>
      <c r="L53" s="79">
        <f t="shared" si="73"/>
        <v>122738.35031000001</v>
      </c>
      <c r="M53" s="79">
        <f t="shared" si="73"/>
        <v>124324.21917999997</v>
      </c>
      <c r="N53" s="79">
        <f t="shared" si="73"/>
        <v>120684.17943999999</v>
      </c>
      <c r="O53" s="79">
        <f t="shared" ref="O53:Z53" si="74">SUM(O43:O52)</f>
        <v>114436.39966000002</v>
      </c>
      <c r="P53" s="79">
        <f t="shared" si="74"/>
        <v>107619.80021999999</v>
      </c>
      <c r="Q53" s="79">
        <f t="shared" si="74"/>
        <v>106087.43987</v>
      </c>
      <c r="R53" s="79">
        <f t="shared" si="74"/>
        <v>103994.10926</v>
      </c>
      <c r="S53" s="79">
        <f t="shared" si="74"/>
        <v>104063.14856999999</v>
      </c>
      <c r="T53" s="79">
        <f t="shared" si="74"/>
        <v>103767.25976999999</v>
      </c>
      <c r="U53" s="79">
        <f t="shared" si="74"/>
        <v>105150.92490999999</v>
      </c>
      <c r="V53" s="79">
        <f t="shared" si="74"/>
        <v>106768.50816</v>
      </c>
      <c r="W53" s="79">
        <f t="shared" si="74"/>
        <v>100437.79409</v>
      </c>
      <c r="X53" s="79">
        <f t="shared" si="74"/>
        <v>105745.54045</v>
      </c>
      <c r="Y53" s="79">
        <f t="shared" si="74"/>
        <v>114007.86962</v>
      </c>
      <c r="Z53" s="79">
        <f t="shared" si="74"/>
        <v>120624.33461000001</v>
      </c>
      <c r="AA53" s="79">
        <f t="shared" ref="AA53:AL53" si="75">SUM(AA43:AA52)</f>
        <v>118469.22069</v>
      </c>
      <c r="AB53" s="79">
        <f t="shared" si="75"/>
        <v>113741.87184000001</v>
      </c>
      <c r="AC53" s="79">
        <f t="shared" si="75"/>
        <v>112331.76964</v>
      </c>
      <c r="AD53" s="79">
        <f t="shared" si="75"/>
        <v>109780.8317</v>
      </c>
      <c r="AE53" s="79">
        <f t="shared" si="75"/>
        <v>107684.84142999999</v>
      </c>
      <c r="AF53" s="79">
        <f t="shared" si="75"/>
        <v>107606.25763999998</v>
      </c>
      <c r="AG53" s="79">
        <f t="shared" si="75"/>
        <v>109428.92073000001</v>
      </c>
      <c r="AH53" s="79">
        <f t="shared" si="75"/>
        <v>112278.93780000001</v>
      </c>
      <c r="AI53" s="79">
        <f t="shared" si="75"/>
        <v>112579.82223000001</v>
      </c>
      <c r="AJ53" s="79">
        <f t="shared" si="75"/>
        <v>116495.56875000002</v>
      </c>
      <c r="AK53" s="79">
        <f t="shared" si="75"/>
        <v>120515.90647</v>
      </c>
      <c r="AL53" s="79">
        <f t="shared" si="75"/>
        <v>112640.84417</v>
      </c>
      <c r="AM53" s="79">
        <f t="shared" ref="AM53:AR53" si="76">SUM(AM43:AM52)</f>
        <v>108754.65049</v>
      </c>
      <c r="AN53" s="79">
        <f t="shared" si="76"/>
        <v>103483.52286000003</v>
      </c>
      <c r="AO53" s="79">
        <f t="shared" si="76"/>
        <v>101056.84251999999</v>
      </c>
      <c r="AP53" s="79">
        <f t="shared" si="76"/>
        <v>101101.36022</v>
      </c>
      <c r="AQ53" s="79">
        <f t="shared" si="76"/>
        <v>102814.69624000002</v>
      </c>
      <c r="AR53" s="79">
        <f t="shared" si="76"/>
        <v>102607.67090000001</v>
      </c>
      <c r="AS53" s="79">
        <f t="shared" ref="AS53" si="77">SUM(AS43:AS52)</f>
        <v>104172.48450999999</v>
      </c>
      <c r="AT53" s="79">
        <f t="shared" ref="AT53:AY53" si="78">SUM(AT43:AT52)</f>
        <v>108629.54023</v>
      </c>
      <c r="AU53" s="79">
        <f t="shared" si="78"/>
        <v>111752.12089999999</v>
      </c>
      <c r="AV53" s="79">
        <f t="shared" si="78"/>
        <v>116880.39949999998</v>
      </c>
      <c r="AW53" s="79">
        <f t="shared" si="78"/>
        <v>121527.55162</v>
      </c>
      <c r="AX53" s="79">
        <f t="shared" si="78"/>
        <v>128481.71492000001</v>
      </c>
      <c r="AY53" s="79">
        <f t="shared" si="78"/>
        <v>123437.80124</v>
      </c>
      <c r="AZ53" s="79">
        <f t="shared" ref="AZ53:BJ53" si="79">SUM(AZ43:AZ52)</f>
        <v>126528.97064</v>
      </c>
      <c r="BA53" s="79">
        <f t="shared" si="79"/>
        <v>127612.31348</v>
      </c>
      <c r="BB53" s="79">
        <f t="shared" si="79"/>
        <v>123561.25693</v>
      </c>
      <c r="BC53" s="79">
        <f t="shared" si="79"/>
        <v>124218.55222999999</v>
      </c>
      <c r="BD53" s="79">
        <f t="shared" si="79"/>
        <v>124839.13046000001</v>
      </c>
      <c r="BE53" s="687">
        <f t="shared" si="79"/>
        <v>125825.86316999998</v>
      </c>
      <c r="BF53" s="687">
        <f t="shared" si="79"/>
        <v>126778.94393999998</v>
      </c>
      <c r="BG53" s="687">
        <f t="shared" si="79"/>
        <v>126597.09943</v>
      </c>
      <c r="BH53" s="687">
        <f t="shared" si="79"/>
        <v>134079.96959000002</v>
      </c>
      <c r="BI53" s="687">
        <f t="shared" si="79"/>
        <v>143166.69583000001</v>
      </c>
      <c r="BJ53" s="687">
        <f t="shared" si="79"/>
        <v>131918.05197</v>
      </c>
      <c r="BK53" s="687">
        <f t="shared" ref="BK53:BU53" si="80">SUM(BK43:BK52)</f>
        <v>126869.85533000001</v>
      </c>
      <c r="BL53" s="687">
        <f t="shared" si="80"/>
        <v>122121.94236</v>
      </c>
      <c r="BM53" s="687">
        <f t="shared" si="80"/>
        <v>119805.92714999999</v>
      </c>
      <c r="BN53" s="687">
        <f t="shared" si="80"/>
        <v>115684.83433</v>
      </c>
      <c r="BO53" s="687">
        <f t="shared" si="80"/>
        <v>118114.78925999999</v>
      </c>
      <c r="BP53" s="687">
        <f t="shared" si="80"/>
        <v>115725.42049000002</v>
      </c>
      <c r="BQ53" s="687">
        <f t="shared" si="80"/>
        <v>115461.36217999998</v>
      </c>
      <c r="BR53" s="687">
        <f t="shared" si="80"/>
        <v>111774.32590000001</v>
      </c>
      <c r="BS53" s="687">
        <f t="shared" si="80"/>
        <v>106876.81979999998</v>
      </c>
      <c r="BT53" s="687">
        <f t="shared" si="80"/>
        <v>103435.27242999998</v>
      </c>
      <c r="BU53" s="687">
        <f t="shared" si="80"/>
        <v>114005.10216000001</v>
      </c>
      <c r="BV53" s="687">
        <f t="shared" ref="BV53" si="81">SUM(BV43:BV52)</f>
        <v>129831.35788000001</v>
      </c>
      <c r="BW53" s="687">
        <f t="shared" ref="BW53:CH53" si="82">SUM(BW43:BW52)</f>
        <v>124652.7</v>
      </c>
      <c r="BX53" s="687">
        <f t="shared" si="82"/>
        <v>124721.59999999999</v>
      </c>
      <c r="BY53" s="687">
        <f t="shared" si="82"/>
        <v>121808.69999999997</v>
      </c>
      <c r="BZ53" s="687">
        <f t="shared" si="82"/>
        <v>121596.29999999999</v>
      </c>
      <c r="CA53" s="687">
        <f t="shared" si="82"/>
        <v>121679.89999999998</v>
      </c>
      <c r="CB53" s="687">
        <f t="shared" si="82"/>
        <v>120194.2</v>
      </c>
      <c r="CC53" s="687">
        <f t="shared" si="82"/>
        <v>120544.49999999999</v>
      </c>
      <c r="CD53" s="687">
        <f t="shared" si="82"/>
        <v>121063.2</v>
      </c>
      <c r="CE53" s="687">
        <f t="shared" si="82"/>
        <v>121730.3</v>
      </c>
      <c r="CF53" s="687">
        <f t="shared" si="82"/>
        <v>122851.59999999998</v>
      </c>
      <c r="CG53" s="687">
        <f t="shared" si="82"/>
        <v>123744.09999999999</v>
      </c>
      <c r="CH53" s="687">
        <f t="shared" si="82"/>
        <v>130931.4</v>
      </c>
      <c r="CI53" s="699">
        <f t="shared" si="72"/>
        <v>123488.45060615384</v>
      </c>
      <c r="CK53" s="33"/>
      <c r="CL53" s="184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</row>
    <row r="54" spans="1:104" s="42" customFormat="1">
      <c r="A54" s="599"/>
      <c r="B54" s="26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690"/>
      <c r="BF54" s="690"/>
      <c r="BG54" s="690"/>
      <c r="BH54" s="690"/>
      <c r="BI54" s="690"/>
      <c r="BJ54" s="690"/>
      <c r="BK54" s="690"/>
      <c r="BL54" s="690"/>
      <c r="BM54" s="690"/>
      <c r="BN54" s="690"/>
      <c r="BO54" s="690"/>
      <c r="BP54" s="690"/>
      <c r="BQ54" s="690"/>
      <c r="BR54" s="690"/>
      <c r="BS54" s="690"/>
      <c r="BT54" s="690"/>
      <c r="BU54" s="690"/>
      <c r="BV54" s="690"/>
      <c r="BW54" s="690"/>
      <c r="BX54" s="690"/>
      <c r="BY54" s="690"/>
      <c r="BZ54" s="690"/>
      <c r="CA54" s="690"/>
      <c r="CB54" s="690"/>
      <c r="CC54" s="690"/>
      <c r="CD54" s="690"/>
      <c r="CE54" s="690"/>
      <c r="CF54" s="690"/>
      <c r="CG54" s="690"/>
      <c r="CH54" s="690"/>
      <c r="CI54" s="699"/>
      <c r="CJ54" s="33"/>
      <c r="CK54" s="33"/>
      <c r="CL54" s="184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</row>
    <row r="55" spans="1:104" ht="13.5" thickBot="1">
      <c r="A55" s="26" t="s">
        <v>507</v>
      </c>
      <c r="B55" s="435">
        <f ca="1">SUM(OFFSET(BK55:BW55,0,$A$1-1))/13</f>
        <v>2458838.886892308</v>
      </c>
      <c r="C55" s="81">
        <f t="shared" ref="C55:AR55" si="83">C16+C21+C40+C53</f>
        <v>1027437.3379499998</v>
      </c>
      <c r="D55" s="81">
        <f t="shared" si="83"/>
        <v>1035745.0914100002</v>
      </c>
      <c r="E55" s="81">
        <f t="shared" si="83"/>
        <v>1036332.5189799999</v>
      </c>
      <c r="F55" s="81">
        <f t="shared" si="83"/>
        <v>1046983.3606000002</v>
      </c>
      <c r="G55" s="81">
        <f t="shared" si="83"/>
        <v>1052134.9567800001</v>
      </c>
      <c r="H55" s="81">
        <f t="shared" si="83"/>
        <v>1047551.6080799999</v>
      </c>
      <c r="I55" s="81">
        <f t="shared" si="83"/>
        <v>1056362.1461500002</v>
      </c>
      <c r="J55" s="81">
        <f t="shared" si="83"/>
        <v>1075627.1228800002</v>
      </c>
      <c r="K55" s="81">
        <f t="shared" si="83"/>
        <v>1077460.4413000001</v>
      </c>
      <c r="L55" s="81">
        <f t="shared" si="83"/>
        <v>1081661.1270000001</v>
      </c>
      <c r="M55" s="81">
        <f t="shared" si="83"/>
        <v>1092238.7630300005</v>
      </c>
      <c r="N55" s="81">
        <f t="shared" si="83"/>
        <v>1109086.2270700003</v>
      </c>
      <c r="O55" s="81">
        <f t="shared" si="83"/>
        <v>1124220.4602699999</v>
      </c>
      <c r="P55" s="81">
        <f t="shared" si="83"/>
        <v>1117203.8624</v>
      </c>
      <c r="Q55" s="81">
        <f t="shared" si="83"/>
        <v>1114893.87439</v>
      </c>
      <c r="R55" s="81">
        <f t="shared" si="83"/>
        <v>1118672.52892</v>
      </c>
      <c r="S55" s="81">
        <f t="shared" si="83"/>
        <v>1126393.3693500001</v>
      </c>
      <c r="T55" s="81">
        <f t="shared" si="83"/>
        <v>1133533.4235199997</v>
      </c>
      <c r="U55" s="81">
        <f t="shared" si="83"/>
        <v>1140836.4437100003</v>
      </c>
      <c r="V55" s="81">
        <f t="shared" si="83"/>
        <v>1147765.9900200001</v>
      </c>
      <c r="W55" s="81">
        <f t="shared" si="83"/>
        <v>1160834.0952499998</v>
      </c>
      <c r="X55" s="81">
        <f t="shared" si="83"/>
        <v>1180935.26844</v>
      </c>
      <c r="Y55" s="81">
        <f t="shared" si="83"/>
        <v>1201359.64811</v>
      </c>
      <c r="Z55" s="81">
        <f t="shared" si="83"/>
        <v>1224685.8870099999</v>
      </c>
      <c r="AA55" s="81">
        <f t="shared" si="83"/>
        <v>1245851.9252299999</v>
      </c>
      <c r="AB55" s="81">
        <f t="shared" si="83"/>
        <v>1246408.9092299996</v>
      </c>
      <c r="AC55" s="81">
        <f t="shared" si="83"/>
        <v>1257593.64787</v>
      </c>
      <c r="AD55" s="81">
        <f t="shared" si="83"/>
        <v>1261451.9914099998</v>
      </c>
      <c r="AE55" s="81">
        <f t="shared" si="83"/>
        <v>1273924.8077200004</v>
      </c>
      <c r="AF55" s="81">
        <f t="shared" si="83"/>
        <v>1285251.3940599996</v>
      </c>
      <c r="AG55" s="81">
        <f t="shared" si="83"/>
        <v>1298898.81721</v>
      </c>
      <c r="AH55" s="81">
        <f t="shared" si="83"/>
        <v>1317782.3628100001</v>
      </c>
      <c r="AI55" s="81">
        <f t="shared" si="83"/>
        <v>1340764.3386000004</v>
      </c>
      <c r="AJ55" s="81">
        <f t="shared" si="83"/>
        <v>1357190.2992300002</v>
      </c>
      <c r="AK55" s="81">
        <f t="shared" si="83"/>
        <v>1382140.3589399999</v>
      </c>
      <c r="AL55" s="81">
        <f t="shared" si="83"/>
        <v>1406757.1951299997</v>
      </c>
      <c r="AM55" s="81">
        <f t="shared" si="83"/>
        <v>1428603.57672</v>
      </c>
      <c r="AN55" s="81">
        <f t="shared" si="83"/>
        <v>1440657.0037800004</v>
      </c>
      <c r="AO55" s="81">
        <f t="shared" si="83"/>
        <v>1451715.1169100001</v>
      </c>
      <c r="AP55" s="81">
        <f t="shared" si="83"/>
        <v>1470020.7291399997</v>
      </c>
      <c r="AQ55" s="81">
        <f t="shared" si="83"/>
        <v>1493213.2055599997</v>
      </c>
      <c r="AR55" s="81">
        <f t="shared" si="83"/>
        <v>1515171.8157800001</v>
      </c>
      <c r="AS55" s="81">
        <v>1535872.1685000004</v>
      </c>
      <c r="AT55" s="81">
        <v>1572823.2239699995</v>
      </c>
      <c r="AU55" s="81">
        <v>1598138.4987300001</v>
      </c>
      <c r="AV55" s="81">
        <f t="shared" ref="AV55:BJ55" si="84">AV16+AV21+AV40+AV53</f>
        <v>1630045.0579199996</v>
      </c>
      <c r="AW55" s="81">
        <f t="shared" si="84"/>
        <v>1664498.6577899996</v>
      </c>
      <c r="AX55" s="81">
        <f t="shared" si="84"/>
        <v>1714605.0781199997</v>
      </c>
      <c r="AY55" s="81">
        <f t="shared" si="84"/>
        <v>1742610.5259999994</v>
      </c>
      <c r="AZ55" s="81">
        <f t="shared" si="84"/>
        <v>1765420.0003699998</v>
      </c>
      <c r="BA55" s="81">
        <f t="shared" si="84"/>
        <v>1781368.5336600002</v>
      </c>
      <c r="BB55" s="81">
        <f t="shared" si="84"/>
        <v>1797765.6539399999</v>
      </c>
      <c r="BC55" s="81">
        <f t="shared" si="84"/>
        <v>1806154.1584799998</v>
      </c>
      <c r="BD55" s="81">
        <f t="shared" si="84"/>
        <v>1825581.5122899995</v>
      </c>
      <c r="BE55" s="691">
        <f t="shared" si="84"/>
        <v>1851639.4994399997</v>
      </c>
      <c r="BF55" s="691">
        <f t="shared" si="84"/>
        <v>1869701.8853399998</v>
      </c>
      <c r="BG55" s="691">
        <f t="shared" si="84"/>
        <v>1892848.811759999</v>
      </c>
      <c r="BH55" s="691">
        <f t="shared" si="84"/>
        <v>1927505.7080899999</v>
      </c>
      <c r="BI55" s="691">
        <f t="shared" si="84"/>
        <v>1958911.4607199999</v>
      </c>
      <c r="BJ55" s="691">
        <f t="shared" si="84"/>
        <v>1990225.3773999996</v>
      </c>
      <c r="BK55" s="691">
        <f t="shared" ref="BK55:BU55" si="85">BK16+BK21+BK40+BK53</f>
        <v>2021923.6622199998</v>
      </c>
      <c r="BL55" s="691">
        <f t="shared" si="85"/>
        <v>2041108.1496899999</v>
      </c>
      <c r="BM55" s="691">
        <f t="shared" si="85"/>
        <v>2050863.7480399997</v>
      </c>
      <c r="BN55" s="691">
        <f t="shared" si="85"/>
        <v>2066379.0249000001</v>
      </c>
      <c r="BO55" s="691">
        <f t="shared" si="85"/>
        <v>2092904.6505500001</v>
      </c>
      <c r="BP55" s="691">
        <f t="shared" si="85"/>
        <v>2118941.2712199991</v>
      </c>
      <c r="BQ55" s="691">
        <f t="shared" si="85"/>
        <v>2136862.7293099998</v>
      </c>
      <c r="BR55" s="691">
        <f t="shared" si="85"/>
        <v>2152934.8937299997</v>
      </c>
      <c r="BS55" s="691">
        <f t="shared" si="85"/>
        <v>2168239.0799400001</v>
      </c>
      <c r="BT55" s="691">
        <f t="shared" si="85"/>
        <v>2180322.9115699995</v>
      </c>
      <c r="BU55" s="691">
        <f t="shared" si="85"/>
        <v>2206019.8390699998</v>
      </c>
      <c r="BV55" s="691">
        <f t="shared" ref="BV55" si="86">BV16+BV21+BV40+BV53</f>
        <v>2267449.5295999995</v>
      </c>
      <c r="BW55" s="691">
        <f t="shared" ref="BW55:CH55" si="87">BW16+BW21+BW40+BW53</f>
        <v>2302710.4000000004</v>
      </c>
      <c r="BX55" s="691">
        <f t="shared" si="87"/>
        <v>2364867.7000000007</v>
      </c>
      <c r="BY55" s="691">
        <f t="shared" si="87"/>
        <v>2384397.6000000006</v>
      </c>
      <c r="BZ55" s="691">
        <f t="shared" si="87"/>
        <v>2422816.4000000004</v>
      </c>
      <c r="CA55" s="691">
        <f t="shared" si="87"/>
        <v>2442155.5</v>
      </c>
      <c r="CB55" s="691">
        <f t="shared" si="87"/>
        <v>2471218.8000000003</v>
      </c>
      <c r="CC55" s="691">
        <f t="shared" si="87"/>
        <v>2498544.9000000004</v>
      </c>
      <c r="CD55" s="691">
        <f t="shared" si="87"/>
        <v>2516973.1</v>
      </c>
      <c r="CE55" s="691">
        <f t="shared" si="87"/>
        <v>2540578.1999999997</v>
      </c>
      <c r="CF55" s="691">
        <f t="shared" si="87"/>
        <v>2561396.1000000006</v>
      </c>
      <c r="CG55" s="691">
        <f t="shared" si="87"/>
        <v>2576096.2000000007</v>
      </c>
      <c r="CH55" s="691">
        <f t="shared" si="87"/>
        <v>2615701.1000000006</v>
      </c>
      <c r="CI55" s="702">
        <f>SUM(BV55:CH55)/13</f>
        <v>2458838.886892308</v>
      </c>
      <c r="CK55" s="33"/>
      <c r="CL55" s="184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</row>
    <row r="56" spans="1:104" ht="13.5" thickTop="1">
      <c r="A56" s="27"/>
      <c r="B56" s="260"/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f>+AG55-'[8]Balance Sheet Detail'!BQ57</f>
        <v>-1448.5827899998985</v>
      </c>
      <c r="AH56" s="79">
        <f>+AH55-'[8]Balance Sheet Detail'!BR57</f>
        <v>-1457.6371899996884</v>
      </c>
      <c r="AI56" s="79">
        <f>+AI55-'[8]Balance Sheet Detail'!BS57</f>
        <v>-1466.0613999995403</v>
      </c>
      <c r="AJ56" s="79">
        <f>+AJ55-'[8]Balance Sheet Detail'!BT57</f>
        <v>-1474.700769999763</v>
      </c>
      <c r="AK56" s="79">
        <f>+AK55-'[8]Balance Sheet Detail'!BU57</f>
        <v>-1482.741059999913</v>
      </c>
      <c r="AL56" s="79">
        <f>+AL55-'[8]Balance Sheet Detail'!BV57</f>
        <v>-1490.5048700005282</v>
      </c>
      <c r="AM56" s="79">
        <f>+AM55-'[8]Balance Sheet Detail'!BW57</f>
        <v>-1496.9232799999882</v>
      </c>
      <c r="AN56" s="79">
        <f>+AN55-'[8]Balance Sheet Detail'!BX57</f>
        <v>-1504.1962199998088</v>
      </c>
      <c r="AO56" s="79">
        <f>+AO55-'[8]Balance Sheet Detail'!BY57</f>
        <v>-1510.4830899995286</v>
      </c>
      <c r="AP56" s="79">
        <f>+AP55-'[8]Balance Sheet Detail'!BZ57</f>
        <v>-1531.8708600003738</v>
      </c>
      <c r="AQ56" s="79">
        <f>+AQ55-'[8]Balance Sheet Detail'!CA57</f>
        <v>-1552.8944399999455</v>
      </c>
      <c r="AR56" s="79">
        <f>+AR55-'[8]Balance Sheet Detail'!CB57</f>
        <v>-1574.2842199997976</v>
      </c>
      <c r="AS56" s="79">
        <f>+AS55-'[8]Balance Sheet Detail'!CC57</f>
        <v>-1595.7314999995288</v>
      </c>
      <c r="AT56" s="79">
        <f>+AT55-'[8]Balance Sheet Detail'!CD57</f>
        <v>-1616.5760300008114</v>
      </c>
      <c r="AU56" s="79">
        <f>+AU55-'[8]Balance Sheet Detail'!CE57</f>
        <v>-1637.2012699996121</v>
      </c>
      <c r="AV56" s="79">
        <f>+AV55-'[8]Balance Sheet Detail'!CF57</f>
        <v>-1662.9420800004154</v>
      </c>
      <c r="AW56" s="79">
        <f>+AW55-'[8]Balance Sheet Detail'!CG57</f>
        <v>-1689.0422100001015</v>
      </c>
      <c r="AX56" s="79">
        <f>+AX55-'[8]Balance Sheet Detail'!CH57</f>
        <v>802.27811999991536</v>
      </c>
      <c r="AY56" s="79">
        <f>+AY55-'[8]Balance Sheet Detail'!CI57</f>
        <v>-1739.4740000003949</v>
      </c>
      <c r="AZ56" s="79">
        <f>+AZ55-'[8]Balance Sheet Detail'!CJ57</f>
        <v>-1764.2996299997903</v>
      </c>
      <c r="BA56" s="79">
        <f>+BA55-'[8]Balance Sheet Detail'!CK57</f>
        <v>-1788.3663400001824</v>
      </c>
      <c r="BB56" s="79">
        <f>+BB55-'[8]Balance Sheet Detail'!CL57</f>
        <v>-1812.6460599997081</v>
      </c>
      <c r="BC56" s="79">
        <f>+BC55-'[8]Balance Sheet Detail'!CM57</f>
        <v>-1837.0415200004354</v>
      </c>
      <c r="BD56" s="79">
        <f>+BD55-'[8]Balance Sheet Detail'!CN57</f>
        <v>-1860.6877100002021</v>
      </c>
      <c r="BE56" s="687">
        <f>+BE55-'[8]Balance Sheet Detail'!CO57</f>
        <v>-1884.6005600001663</v>
      </c>
      <c r="BF56" s="687">
        <f>+BF55-'[8]Balance Sheet Detail'!CP57</f>
        <v>-1908.6146600001957</v>
      </c>
      <c r="BG56" s="687">
        <f>+BG55-'[8]Balance Sheet Detail'!CQ57</f>
        <v>-1931.8882400006987</v>
      </c>
      <c r="BH56" s="687">
        <f>+BH55-'[8]Balance Sheet Detail'!CR57</f>
        <v>-1955.1919099998195</v>
      </c>
      <c r="BI56" s="687">
        <f>+BI55-'[8]Balance Sheet Detail'!CS57</f>
        <v>-1978.3392799999565</v>
      </c>
      <c r="BJ56" s="687">
        <f>+BJ55-'[8]Balance Sheet Detail'!CT57</f>
        <v>-2001.3226000003051</v>
      </c>
      <c r="BK56" s="687">
        <f>+BK55-'[8]Balance Sheet Detail'!CU57</f>
        <v>-2023.737780000316</v>
      </c>
      <c r="BL56" s="687">
        <f>+BL55-'[8]Balance Sheet Detail'!CV57</f>
        <v>-2045.6503100006375</v>
      </c>
      <c r="BM56" s="687">
        <f>+BM55-'[8]Balance Sheet Detail'!CW57</f>
        <v>-1557.1519600006286</v>
      </c>
      <c r="BN56" s="687">
        <f>+BN55-'[8]Balance Sheet Detail'!CX57</f>
        <v>-1572.7751000002027</v>
      </c>
      <c r="BO56" s="687">
        <f>+BO55-'[8]Balance Sheet Detail'!CY57</f>
        <v>-1588.5494500002824</v>
      </c>
      <c r="BP56" s="687">
        <f>+BP55-'[8]Balance Sheet Detail'!CZ57</f>
        <v>-1603.8287800010294</v>
      </c>
      <c r="BQ56" s="687">
        <f>+BQ55-'[8]Balance Sheet Detail'!DA57</f>
        <v>2.9310000129044056E-2</v>
      </c>
      <c r="BR56" s="687">
        <f>+BR55-'[8]Balance Sheet Detail'!DB57</f>
        <v>9.3729999382048845E-2</v>
      </c>
      <c r="BS56" s="687">
        <f>+BS55-'[8]Balance Sheet Detail'!DC57</f>
        <v>-0.22006000019609928</v>
      </c>
      <c r="BT56" s="687">
        <f>+BT55-'[8]Balance Sheet Detail'!DD57</f>
        <v>-0.28843000112101436</v>
      </c>
      <c r="BU56" s="687">
        <f>+BU55-'[8]Balance Sheet Detail'!DE57</f>
        <v>-0.4609300009906292</v>
      </c>
      <c r="BV56" s="687">
        <f>+BV55-'[8]Balance Sheet Detail'!DF57</f>
        <v>-0.17040000064298511</v>
      </c>
      <c r="BW56" s="687">
        <f>+BW55-'[8]Balance Sheet Detail'!DG57</f>
        <v>0</v>
      </c>
      <c r="BX56" s="687">
        <f>+BX55-'[8]Balance Sheet Detail'!DH57</f>
        <v>0</v>
      </c>
      <c r="BY56" s="687">
        <f>+BY55-'[8]Balance Sheet Detail'!DI57</f>
        <v>1.6000000005587935</v>
      </c>
      <c r="BZ56" s="687">
        <f>+BZ55-'[8]Balance Sheet Detail'!DJ57</f>
        <v>3.8999999999068677</v>
      </c>
      <c r="CA56" s="687">
        <f>+CA55-'[8]Balance Sheet Detail'!DK57</f>
        <v>6.9999999995343387</v>
      </c>
      <c r="CB56" s="687">
        <f>+CB55-'[8]Balance Sheet Detail'!DL57</f>
        <v>10.700000000651926</v>
      </c>
      <c r="CC56" s="687">
        <f>+CC55-'[8]Balance Sheet Detail'!DM57</f>
        <v>15.100000000558794</v>
      </c>
      <c r="CD56" s="687">
        <f>+CD55-'[8]Balance Sheet Detail'!DN57</f>
        <v>20.200000000651926</v>
      </c>
      <c r="CE56" s="687">
        <f>+CE55-'[8]Balance Sheet Detail'!DO57</f>
        <v>25.899999999906868</v>
      </c>
      <c r="CF56" s="687">
        <f>+CF55-'[8]Balance Sheet Detail'!DP57</f>
        <v>32.400000000372529</v>
      </c>
      <c r="CG56" s="687">
        <f>+CG55-'[8]Balance Sheet Detail'!DQ57</f>
        <v>39.600000000558794</v>
      </c>
      <c r="CH56" s="687">
        <f>+CH55-'[8]Balance Sheet Detail'!DR57</f>
        <v>47.600000000093132</v>
      </c>
      <c r="CI56" s="703">
        <f>SUM(BV56:CH56)/13</f>
        <v>15.67920000016546</v>
      </c>
      <c r="CK56" s="33"/>
      <c r="CL56" s="184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</row>
    <row r="57" spans="1:104">
      <c r="A57" s="28" t="s">
        <v>508</v>
      </c>
      <c r="B57" s="26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687"/>
      <c r="BF57" s="687"/>
      <c r="BG57" s="687"/>
      <c r="BH57" s="687"/>
      <c r="BI57" s="687"/>
      <c r="BJ57" s="687"/>
      <c r="BK57" s="687"/>
      <c r="BL57" s="687"/>
      <c r="BM57" s="687"/>
      <c r="BN57" s="687"/>
      <c r="BO57" s="687"/>
      <c r="BP57" s="687"/>
      <c r="BQ57" s="687"/>
      <c r="BR57" s="687"/>
      <c r="BS57" s="687"/>
      <c r="BT57" s="687"/>
      <c r="BU57" s="687"/>
      <c r="BV57" s="687"/>
      <c r="BW57" s="687"/>
      <c r="BX57" s="687"/>
      <c r="BY57" s="687"/>
      <c r="BZ57" s="687">
        <f>BZ56-BY56</f>
        <v>2.2999999993480742</v>
      </c>
      <c r="CA57" s="687">
        <f t="shared" ref="CA57:CH57" si="88">CA56-BZ56</f>
        <v>3.099999999627471</v>
      </c>
      <c r="CB57" s="687">
        <f t="shared" si="88"/>
        <v>3.7000000011175871</v>
      </c>
      <c r="CC57" s="687">
        <f t="shared" si="88"/>
        <v>4.3999999999068677</v>
      </c>
      <c r="CD57" s="687">
        <f t="shared" si="88"/>
        <v>5.1000000000931323</v>
      </c>
      <c r="CE57" s="687">
        <f t="shared" si="88"/>
        <v>5.6999999992549419</v>
      </c>
      <c r="CF57" s="687">
        <f t="shared" si="88"/>
        <v>6.5000000004656613</v>
      </c>
      <c r="CG57" s="687">
        <f t="shared" si="88"/>
        <v>7.2000000001862645</v>
      </c>
      <c r="CH57" s="687">
        <f t="shared" si="88"/>
        <v>7.9999999995343387</v>
      </c>
      <c r="CI57" s="699"/>
      <c r="CK57" s="33"/>
      <c r="CL57" s="184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</row>
    <row r="58" spans="1:104">
      <c r="A58" s="599"/>
      <c r="B58" s="26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687"/>
      <c r="BF58" s="687"/>
      <c r="BG58" s="687"/>
      <c r="BH58" s="687"/>
      <c r="BI58" s="687"/>
      <c r="BJ58" s="687"/>
      <c r="BK58" s="687"/>
      <c r="BL58" s="687"/>
      <c r="BM58" s="687"/>
      <c r="BN58" s="687"/>
      <c r="BO58" s="687"/>
      <c r="BP58" s="687"/>
      <c r="BQ58" s="687"/>
      <c r="BR58" s="687"/>
      <c r="BS58" s="687"/>
      <c r="BT58" s="687"/>
      <c r="BU58" s="687"/>
      <c r="BV58" s="687"/>
      <c r="BW58" s="687"/>
      <c r="BX58" s="687"/>
      <c r="BY58" s="687"/>
      <c r="BZ58" s="687"/>
      <c r="CA58" s="687"/>
      <c r="CB58" s="687"/>
      <c r="CC58" s="687"/>
      <c r="CD58" s="687"/>
      <c r="CE58" s="687"/>
      <c r="CF58" s="687"/>
      <c r="CG58" s="687"/>
      <c r="CH58" s="687"/>
      <c r="CI58" s="699"/>
      <c r="CK58" s="33"/>
      <c r="CL58" s="184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</row>
    <row r="59" spans="1:104">
      <c r="A59" s="617" t="s">
        <v>509</v>
      </c>
      <c r="B59" s="260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692"/>
      <c r="BF59" s="692"/>
      <c r="BG59" s="692"/>
      <c r="BH59" s="692"/>
      <c r="BI59" s="692"/>
      <c r="BJ59" s="692"/>
      <c r="BK59" s="692"/>
      <c r="BL59" s="692"/>
      <c r="BM59" s="692"/>
      <c r="BN59" s="692"/>
      <c r="BO59" s="692"/>
      <c r="BP59" s="692"/>
      <c r="BQ59" s="692"/>
      <c r="BR59" s="692"/>
      <c r="BS59" s="692"/>
      <c r="BT59" s="692"/>
      <c r="BU59" s="692"/>
      <c r="BV59" s="692"/>
      <c r="BW59" s="692"/>
      <c r="BX59" s="692"/>
      <c r="BY59" s="692"/>
      <c r="BZ59" s="692"/>
      <c r="CA59" s="692"/>
      <c r="CB59" s="692"/>
      <c r="CC59" s="692"/>
      <c r="CD59" s="692"/>
      <c r="CE59" s="692"/>
      <c r="CF59" s="692"/>
      <c r="CG59" s="692"/>
      <c r="CH59" s="692"/>
      <c r="CI59" s="699"/>
      <c r="CK59" s="33"/>
      <c r="CL59" s="184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</row>
    <row r="60" spans="1:104">
      <c r="A60" s="617" t="s">
        <v>510</v>
      </c>
      <c r="B60" s="260">
        <f t="shared" ref="B60:B63" ca="1" si="89">SUM(OFFSET(BK60:BW60,0,$A$1-1))/13</f>
        <v>925357.79762999981</v>
      </c>
      <c r="C60" s="348">
        <v>235550.16919000002</v>
      </c>
      <c r="D60" s="348">
        <v>242550.16919000002</v>
      </c>
      <c r="E60" s="348">
        <v>242550.16919000002</v>
      </c>
      <c r="F60" s="348">
        <v>242550.16919000002</v>
      </c>
      <c r="G60" s="348">
        <v>258550.16919000002</v>
      </c>
      <c r="H60" s="348">
        <v>258550.16919000002</v>
      </c>
      <c r="I60" s="348">
        <v>258550.16919000002</v>
      </c>
      <c r="J60" s="348">
        <v>268550.16918999999</v>
      </c>
      <c r="K60" s="348">
        <v>268550.16918999999</v>
      </c>
      <c r="L60" s="348">
        <v>268550.16918999999</v>
      </c>
      <c r="M60" s="348">
        <v>275550.16918999999</v>
      </c>
      <c r="N60" s="348">
        <v>275550.16918999999</v>
      </c>
      <c r="O60" s="411">
        <v>275550.16918999999</v>
      </c>
      <c r="P60" s="411">
        <v>285550.16918999999</v>
      </c>
      <c r="Q60" s="411">
        <v>285550.16918999999</v>
      </c>
      <c r="R60" s="411">
        <v>285550.16918999999</v>
      </c>
      <c r="S60" s="411">
        <v>300550.16918999999</v>
      </c>
      <c r="T60" s="411">
        <v>300550.16918999999</v>
      </c>
      <c r="U60" s="411">
        <v>300550.16918999999</v>
      </c>
      <c r="V60" s="411">
        <v>310550.16918999999</v>
      </c>
      <c r="W60" s="411">
        <v>310550.16918999999</v>
      </c>
      <c r="X60" s="411">
        <v>310550.16918999999</v>
      </c>
      <c r="Y60" s="411">
        <v>320550.16918999999</v>
      </c>
      <c r="Z60" s="411">
        <v>320550.16918999999</v>
      </c>
      <c r="AA60" s="411">
        <v>320550.16918999999</v>
      </c>
      <c r="AB60" s="411">
        <v>355550.16918999999</v>
      </c>
      <c r="AC60" s="411">
        <v>355550.16918999999</v>
      </c>
      <c r="AD60" s="411">
        <v>355550.16918999999</v>
      </c>
      <c r="AE60" s="411">
        <v>390550.16918999999</v>
      </c>
      <c r="AF60" s="411">
        <v>390550.16918999999</v>
      </c>
      <c r="AG60" s="411">
        <v>390550.16918999999</v>
      </c>
      <c r="AH60" s="411">
        <v>390550.16918999999</v>
      </c>
      <c r="AI60" s="411">
        <v>415550.16918999999</v>
      </c>
      <c r="AJ60" s="411">
        <v>415550.16918999999</v>
      </c>
      <c r="AK60" s="411">
        <v>415550.16918999999</v>
      </c>
      <c r="AL60" s="411">
        <v>415550.16918999999</v>
      </c>
      <c r="AM60" s="411">
        <v>415550.16918999999</v>
      </c>
      <c r="AN60" s="411">
        <v>455550.16918999999</v>
      </c>
      <c r="AO60" s="411">
        <v>455550.16918999999</v>
      </c>
      <c r="AP60" s="411">
        <v>455550.16918999999</v>
      </c>
      <c r="AQ60" s="411">
        <v>485550.16918999999</v>
      </c>
      <c r="AR60" s="411">
        <v>485550.16918999999</v>
      </c>
      <c r="AS60" s="411">
        <v>485550.16918999999</v>
      </c>
      <c r="AT60" s="411">
        <v>530550.16919000004</v>
      </c>
      <c r="AU60" s="411">
        <v>530550.16919000004</v>
      </c>
      <c r="AV60" s="411">
        <v>530550.16919000004</v>
      </c>
      <c r="AW60" s="411">
        <v>545550.16919000004</v>
      </c>
      <c r="AX60" s="411">
        <v>545550.16919000004</v>
      </c>
      <c r="AY60" s="411">
        <v>545550.16919000004</v>
      </c>
      <c r="AZ60" s="411">
        <v>585550.16919000004</v>
      </c>
      <c r="BA60" s="411">
        <v>585550.16919000004</v>
      </c>
      <c r="BB60" s="411">
        <v>585550.16919000004</v>
      </c>
      <c r="BC60" s="411">
        <v>605550.16919000004</v>
      </c>
      <c r="BD60" s="411">
        <v>605550.16919000004</v>
      </c>
      <c r="BE60" s="588">
        <v>605550.16919000004</v>
      </c>
      <c r="BF60" s="588">
        <v>640550.16919000004</v>
      </c>
      <c r="BG60" s="588">
        <v>640550.16919000004</v>
      </c>
      <c r="BH60" s="588">
        <v>640550.16919000004</v>
      </c>
      <c r="BI60" s="588">
        <v>665550.16919000004</v>
      </c>
      <c r="BJ60" s="588">
        <v>665550.16919000004</v>
      </c>
      <c r="BK60" s="588">
        <v>665550.16919000004</v>
      </c>
      <c r="BL60" s="588">
        <v>740550.16919000004</v>
      </c>
      <c r="BM60" s="588">
        <v>740550.16919000004</v>
      </c>
      <c r="BN60" s="588">
        <v>740550.16919000004</v>
      </c>
      <c r="BO60" s="588">
        <v>770550.16919000004</v>
      </c>
      <c r="BP60" s="588">
        <v>770550.16919000004</v>
      </c>
      <c r="BQ60" s="588">
        <v>770550.16919000004</v>
      </c>
      <c r="BR60" s="588">
        <v>810550.16919000004</v>
      </c>
      <c r="BS60" s="588">
        <v>810550.16919000004</v>
      </c>
      <c r="BT60" s="588">
        <v>810550.16919000004</v>
      </c>
      <c r="BU60" s="588">
        <v>835550.16919000004</v>
      </c>
      <c r="BV60" s="588">
        <v>870550.16919000004</v>
      </c>
      <c r="BW60" s="588">
        <f>+'[8]Balance Sheet Detail'!DG62</f>
        <v>870550.10000000009</v>
      </c>
      <c r="BX60" s="588">
        <f>+'[8]Balance Sheet Detail'!DH62</f>
        <v>893050.10000000009</v>
      </c>
      <c r="BY60" s="588">
        <f>+'[8]Balance Sheet Detail'!DI62</f>
        <v>893050.10000000009</v>
      </c>
      <c r="BZ60" s="588">
        <f>+'[8]Balance Sheet Detail'!DJ62</f>
        <v>893050.10000000009</v>
      </c>
      <c r="CA60" s="588">
        <f>+'[8]Balance Sheet Detail'!DK62</f>
        <v>918050.10000000009</v>
      </c>
      <c r="CB60" s="588">
        <f>+'[8]Balance Sheet Detail'!DL62</f>
        <v>918050.10000000009</v>
      </c>
      <c r="CC60" s="588">
        <f>+'[8]Balance Sheet Detail'!DM62</f>
        <v>918050.10000000009</v>
      </c>
      <c r="CD60" s="588">
        <f>+'[8]Balance Sheet Detail'!DN62</f>
        <v>948050.10000000009</v>
      </c>
      <c r="CE60" s="588">
        <f>+'[8]Balance Sheet Detail'!DO62</f>
        <v>948050.10000000009</v>
      </c>
      <c r="CF60" s="588">
        <f>+'[8]Balance Sheet Detail'!DP62</f>
        <v>948050.10000000009</v>
      </c>
      <c r="CG60" s="588">
        <f>+'[8]Balance Sheet Detail'!DQ62</f>
        <v>1005550.1000000001</v>
      </c>
      <c r="CH60" s="588">
        <f>+'[8]Balance Sheet Detail'!DR62</f>
        <v>1005550.1000000001</v>
      </c>
      <c r="CI60" s="701">
        <f t="shared" ref="CI60:CI63" si="90">SUM(BV60:CH60)/13</f>
        <v>925357.79762999981</v>
      </c>
      <c r="CK60" s="33"/>
      <c r="CL60" s="184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</row>
    <row r="61" spans="1:104">
      <c r="A61" s="617" t="s">
        <v>511</v>
      </c>
      <c r="B61" s="260">
        <f t="shared" ca="1" si="89"/>
        <v>123744.46700565725</v>
      </c>
      <c r="C61" s="348">
        <v>119639.98492999999</v>
      </c>
      <c r="D61" s="348">
        <v>115503.88343999999</v>
      </c>
      <c r="E61" s="348">
        <v>120040.67487</v>
      </c>
      <c r="F61" s="348">
        <v>123871.64290000001</v>
      </c>
      <c r="G61" s="348">
        <v>116300.72661</v>
      </c>
      <c r="H61" s="348">
        <v>118382.34568000001</v>
      </c>
      <c r="I61" s="348">
        <v>121141.22944</v>
      </c>
      <c r="J61" s="348">
        <v>111552.00487999999</v>
      </c>
      <c r="K61" s="348">
        <v>114259.92331</v>
      </c>
      <c r="L61" s="348">
        <v>116890.07322000001</v>
      </c>
      <c r="M61" s="348">
        <v>112995.99304</v>
      </c>
      <c r="N61" s="348">
        <v>118580.11211</v>
      </c>
      <c r="O61" s="411">
        <v>127882.21840000001</v>
      </c>
      <c r="P61" s="411">
        <v>118020.16909</v>
      </c>
      <c r="Q61" s="411">
        <v>119670.73780999999</v>
      </c>
      <c r="R61" s="411">
        <v>124975.63945</v>
      </c>
      <c r="S61" s="411">
        <v>112207.66015000001</v>
      </c>
      <c r="T61" s="411">
        <v>115304.03515</v>
      </c>
      <c r="U61" s="411">
        <v>118409.30535</v>
      </c>
      <c r="V61" s="411">
        <v>109851.96798999999</v>
      </c>
      <c r="W61" s="411">
        <v>113549.9185</v>
      </c>
      <c r="X61" s="411">
        <v>116353.19173000001</v>
      </c>
      <c r="Y61" s="411">
        <v>110539.73106000001</v>
      </c>
      <c r="Z61" s="411">
        <v>116033.08682</v>
      </c>
      <c r="AA61" s="411">
        <v>122651.03271</v>
      </c>
      <c r="AB61" s="411">
        <v>116699.20221</v>
      </c>
      <c r="AC61" s="411">
        <v>122195.25251999999</v>
      </c>
      <c r="AD61" s="411">
        <v>127422.18271000001</v>
      </c>
      <c r="AE61" s="411">
        <v>114024.68578</v>
      </c>
      <c r="AF61" s="411">
        <v>117789.85914999999</v>
      </c>
      <c r="AG61" s="411">
        <v>120848.67453</v>
      </c>
      <c r="AH61" s="411">
        <v>111115.29369000001</v>
      </c>
      <c r="AI61" s="411">
        <v>114799.15332000001</v>
      </c>
      <c r="AJ61" s="411">
        <v>118224.76241000001</v>
      </c>
      <c r="AK61" s="411">
        <v>112041.84311999999</v>
      </c>
      <c r="AL61" s="411">
        <v>116103.24680999998</v>
      </c>
      <c r="AM61" s="411">
        <v>123778.86442999999</v>
      </c>
      <c r="AN61" s="411">
        <v>117830.68035</v>
      </c>
      <c r="AO61" s="411">
        <v>122675.46353000001</v>
      </c>
      <c r="AP61" s="411">
        <v>126386.19180999999</v>
      </c>
      <c r="AQ61" s="411">
        <v>111533.67065</v>
      </c>
      <c r="AR61" s="411">
        <v>114743.46379000001</v>
      </c>
      <c r="AS61" s="411">
        <v>117839.59721000001</v>
      </c>
      <c r="AT61" s="411">
        <v>111068.55206</v>
      </c>
      <c r="AU61" s="411">
        <v>114483.90970999999</v>
      </c>
      <c r="AV61" s="411">
        <v>117430.78700999999</v>
      </c>
      <c r="AW61" s="411">
        <v>112251.37008999998</v>
      </c>
      <c r="AX61" s="411">
        <v>116870.93506999999</v>
      </c>
      <c r="AY61" s="411">
        <v>128266.4224</v>
      </c>
      <c r="AZ61" s="411">
        <v>123619.7215</v>
      </c>
      <c r="BA61" s="411">
        <v>131310.52197</v>
      </c>
      <c r="BB61" s="411">
        <v>111908.32908</v>
      </c>
      <c r="BC61" s="411">
        <v>117431.75122000002</v>
      </c>
      <c r="BD61" s="411">
        <v>122874.36940000001</v>
      </c>
      <c r="BE61" s="588">
        <v>127308.97186000001</v>
      </c>
      <c r="BF61" s="588">
        <v>113416.72528999999</v>
      </c>
      <c r="BG61" s="588">
        <v>118972.65316</v>
      </c>
      <c r="BH61" s="588">
        <v>124078.34031</v>
      </c>
      <c r="BI61" s="588">
        <v>115121.16907999999</v>
      </c>
      <c r="BJ61" s="588">
        <v>120983.76886999999</v>
      </c>
      <c r="BK61" s="588">
        <v>130771.70633</v>
      </c>
      <c r="BL61" s="588">
        <v>122850.96669</v>
      </c>
      <c r="BM61" s="588">
        <v>133757.59856000001</v>
      </c>
      <c r="BN61" s="588">
        <v>110923.73589</v>
      </c>
      <c r="BO61" s="588">
        <v>117179.0802</v>
      </c>
      <c r="BP61" s="588">
        <v>123837.64003</v>
      </c>
      <c r="BQ61" s="588">
        <v>128232.83838</v>
      </c>
      <c r="BR61" s="588">
        <v>113171.95388</v>
      </c>
      <c r="BS61" s="588">
        <v>120441.96230999999</v>
      </c>
      <c r="BT61" s="588">
        <v>109018.66183</v>
      </c>
      <c r="BU61" s="588">
        <v>114951.68089</v>
      </c>
      <c r="BV61" s="588">
        <v>121058.80081999999</v>
      </c>
      <c r="BW61" s="588">
        <f>+'[8]Balance Sheet Detail'!DG63</f>
        <v>130628.49999999997</v>
      </c>
      <c r="BX61" s="588">
        <f>+'[8]Balance Sheet Detail'!DH63</f>
        <v>122444.69999999998</v>
      </c>
      <c r="BY61" s="588">
        <f>+'[8]Balance Sheet Detail'!DI63</f>
        <v>133245.09999999998</v>
      </c>
      <c r="BZ61" s="588">
        <f>+'[8]Balance Sheet Detail'!DJ63</f>
        <v>140249.19999999995</v>
      </c>
      <c r="CA61" s="588">
        <f>+'[8]Balance Sheet Detail'!DK63</f>
        <v>116529.29999999999</v>
      </c>
      <c r="CB61" s="588">
        <f>+'[8]Balance Sheet Detail'!DL63</f>
        <v>123407.19999999998</v>
      </c>
      <c r="CC61" s="588">
        <f>+'[8]Balance Sheet Detail'!DM63</f>
        <v>127830.19999999997</v>
      </c>
      <c r="CD61" s="588">
        <f>+'[8]Balance Sheet Detail'!DN63</f>
        <v>112854.50000000001</v>
      </c>
      <c r="CE61" s="588">
        <f>+'[8]Balance Sheet Detail'!DO63</f>
        <v>119116.79999999999</v>
      </c>
      <c r="CF61" s="588">
        <f>+'[8]Balance Sheet Detail'!DP63</f>
        <v>122310.39169154299</v>
      </c>
      <c r="CG61" s="588">
        <f>+'[8]Balance Sheet Detail'!DQ63</f>
        <v>113209.22813335656</v>
      </c>
      <c r="CH61" s="588">
        <f>+'[8]Balance Sheet Detail'!DR63</f>
        <v>125794.1504286448</v>
      </c>
      <c r="CI61" s="699">
        <f t="shared" si="90"/>
        <v>123744.46700565725</v>
      </c>
      <c r="CK61" s="33"/>
      <c r="CL61" s="184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</row>
    <row r="62" spans="1:104">
      <c r="A62" s="617" t="s">
        <v>512</v>
      </c>
      <c r="B62" s="262">
        <f t="shared" ca="1" si="89"/>
        <v>-21.133196923076923</v>
      </c>
      <c r="C62" s="349">
        <v>-804.67511000000002</v>
      </c>
      <c r="D62" s="349">
        <v>-782.84054000000003</v>
      </c>
      <c r="E62" s="349">
        <v>-761.00595999999996</v>
      </c>
      <c r="F62" s="349">
        <v>-739.17138999999997</v>
      </c>
      <c r="G62" s="349">
        <v>-717.33681999999999</v>
      </c>
      <c r="H62" s="349">
        <v>-695.50225</v>
      </c>
      <c r="I62" s="349">
        <v>-673.66767000000004</v>
      </c>
      <c r="J62" s="349">
        <v>-651.83309999999994</v>
      </c>
      <c r="K62" s="349">
        <v>-629.99853000000007</v>
      </c>
      <c r="L62" s="349">
        <v>-608.16395999999997</v>
      </c>
      <c r="M62" s="349">
        <v>-586.32938999999999</v>
      </c>
      <c r="N62" s="349">
        <v>-508.06084000000004</v>
      </c>
      <c r="O62" s="412">
        <v>-481.52343999999999</v>
      </c>
      <c r="P62" s="412">
        <v>-454.98603000000003</v>
      </c>
      <c r="Q62" s="412">
        <v>-428.44862999999998</v>
      </c>
      <c r="R62" s="412">
        <v>-401.91121999999996</v>
      </c>
      <c r="S62" s="412">
        <v>-387.61651000000001</v>
      </c>
      <c r="T62" s="412">
        <v>-385.56428999999997</v>
      </c>
      <c r="U62" s="412">
        <v>-383.51208000000003</v>
      </c>
      <c r="V62" s="412">
        <v>-381.45984000000004</v>
      </c>
      <c r="W62" s="412">
        <v>-379.40762000000001</v>
      </c>
      <c r="X62" s="412">
        <v>-377.35540000000003</v>
      </c>
      <c r="Y62" s="412">
        <v>-375.30318</v>
      </c>
      <c r="Z62" s="412">
        <v>-373.25094999999999</v>
      </c>
      <c r="AA62" s="412">
        <v>-371.19872999999995</v>
      </c>
      <c r="AB62" s="412">
        <v>-369.1465</v>
      </c>
      <c r="AC62" s="412">
        <v>-367.09429</v>
      </c>
      <c r="AD62" s="412">
        <v>-365.04207000000002</v>
      </c>
      <c r="AE62" s="412">
        <v>-362.98984999999999</v>
      </c>
      <c r="AF62" s="412">
        <v>-360.93761999999998</v>
      </c>
      <c r="AG62" s="412">
        <v>-358.8854</v>
      </c>
      <c r="AH62" s="412">
        <v>-356.83317999999997</v>
      </c>
      <c r="AI62" s="412">
        <v>-354.78096999999997</v>
      </c>
      <c r="AJ62" s="412">
        <v>-352.72874000000002</v>
      </c>
      <c r="AK62" s="412">
        <v>-350.67652000000004</v>
      </c>
      <c r="AL62" s="412">
        <v>-348.62430000000001</v>
      </c>
      <c r="AM62" s="412">
        <v>-346.57208000000003</v>
      </c>
      <c r="AN62" s="412">
        <v>-344.51984999999996</v>
      </c>
      <c r="AO62" s="412">
        <v>-342.46764000000002</v>
      </c>
      <c r="AP62" s="412">
        <v>-340.41541999999998</v>
      </c>
      <c r="AQ62" s="412">
        <v>-338.36320000000001</v>
      </c>
      <c r="AR62" s="412">
        <v>-336.31097</v>
      </c>
      <c r="AS62" s="412">
        <v>-334.25875000000002</v>
      </c>
      <c r="AT62" s="412">
        <v>-332.20653000000004</v>
      </c>
      <c r="AU62" s="412">
        <v>-330.15431999999998</v>
      </c>
      <c r="AV62" s="412">
        <v>-328.10209000000003</v>
      </c>
      <c r="AW62" s="412">
        <v>-326.04987</v>
      </c>
      <c r="AX62" s="412">
        <v>-323.99765000000002</v>
      </c>
      <c r="AY62" s="412">
        <v>-321.94542999999999</v>
      </c>
      <c r="AZ62" s="412">
        <v>-319.89320000000004</v>
      </c>
      <c r="BA62" s="412">
        <v>-317.84098999999998</v>
      </c>
      <c r="BB62" s="412">
        <v>-315.77598</v>
      </c>
      <c r="BC62" s="412">
        <v>-313.72376000000003</v>
      </c>
      <c r="BD62" s="412">
        <v>-311.67153000000002</v>
      </c>
      <c r="BE62" s="681">
        <v>-309.61930999999998</v>
      </c>
      <c r="BF62" s="681">
        <v>-307.56709000000001</v>
      </c>
      <c r="BG62" s="681">
        <v>-305.51488000000001</v>
      </c>
      <c r="BH62" s="681">
        <v>-303.46265</v>
      </c>
      <c r="BI62" s="681">
        <v>-301.41043000000002</v>
      </c>
      <c r="BJ62" s="681">
        <v>-299.35821000000004</v>
      </c>
      <c r="BK62" s="681">
        <v>-297.30599000000001</v>
      </c>
      <c r="BL62" s="681">
        <v>-295.25376</v>
      </c>
      <c r="BM62" s="681">
        <v>-293.20155</v>
      </c>
      <c r="BN62" s="681">
        <v>-291.14933000000002</v>
      </c>
      <c r="BO62" s="681">
        <v>-289.09710999999999</v>
      </c>
      <c r="BP62" s="681">
        <v>-287.04487999999998</v>
      </c>
      <c r="BQ62" s="681">
        <v>-284.99266</v>
      </c>
      <c r="BR62" s="681">
        <v>-282.94044000000002</v>
      </c>
      <c r="BS62" s="681">
        <v>-280.88822999999996</v>
      </c>
      <c r="BT62" s="681">
        <v>-278.83600000000001</v>
      </c>
      <c r="BU62" s="681">
        <v>-276.78378000000004</v>
      </c>
      <c r="BV62" s="681">
        <v>-274.73156</v>
      </c>
      <c r="BW62" s="681">
        <f>+'[8]Balance Sheet Detail'!DG64</f>
        <v>0</v>
      </c>
      <c r="BX62" s="681">
        <f>+'[8]Balance Sheet Detail'!DH64</f>
        <v>0</v>
      </c>
      <c r="BY62" s="681">
        <f>+'[8]Balance Sheet Detail'!DI64</f>
        <v>0</v>
      </c>
      <c r="BZ62" s="681">
        <f>+'[8]Balance Sheet Detail'!DJ64</f>
        <v>0</v>
      </c>
      <c r="CA62" s="681">
        <f>+'[8]Balance Sheet Detail'!DK64</f>
        <v>0</v>
      </c>
      <c r="CB62" s="681">
        <f>+'[8]Balance Sheet Detail'!DL64</f>
        <v>0</v>
      </c>
      <c r="CC62" s="681">
        <f>+'[8]Balance Sheet Detail'!DM64</f>
        <v>0</v>
      </c>
      <c r="CD62" s="681">
        <f>+'[8]Balance Sheet Detail'!DN64</f>
        <v>0</v>
      </c>
      <c r="CE62" s="681">
        <f>+'[8]Balance Sheet Detail'!DO64</f>
        <v>0</v>
      </c>
      <c r="CF62" s="681">
        <f>+'[8]Balance Sheet Detail'!DP64</f>
        <v>0</v>
      </c>
      <c r="CG62" s="681">
        <f>+'[8]Balance Sheet Detail'!DQ64</f>
        <v>0</v>
      </c>
      <c r="CH62" s="681">
        <f>+'[8]Balance Sheet Detail'!DR64</f>
        <v>0</v>
      </c>
      <c r="CI62" s="700">
        <f t="shared" si="90"/>
        <v>-21.133196923076923</v>
      </c>
      <c r="CK62" s="33"/>
      <c r="CL62" s="184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</row>
    <row r="63" spans="1:104">
      <c r="A63" s="599" t="s">
        <v>513</v>
      </c>
      <c r="B63" s="260">
        <f t="shared" ca="1" si="89"/>
        <v>1049081.1314387342</v>
      </c>
      <c r="C63" s="79">
        <f t="shared" ref="C63:N63" si="91">SUM(C60:C62)</f>
        <v>354385.47901000001</v>
      </c>
      <c r="D63" s="79">
        <f t="shared" si="91"/>
        <v>357271.21208999999</v>
      </c>
      <c r="E63" s="79">
        <f t="shared" si="91"/>
        <v>361829.83810000005</v>
      </c>
      <c r="F63" s="79">
        <f t="shared" si="91"/>
        <v>365682.64070000005</v>
      </c>
      <c r="G63" s="79">
        <f t="shared" si="91"/>
        <v>374133.55897999997</v>
      </c>
      <c r="H63" s="79">
        <f t="shared" si="91"/>
        <v>376237.01261999999</v>
      </c>
      <c r="I63" s="79">
        <f t="shared" si="91"/>
        <v>379017.73096000002</v>
      </c>
      <c r="J63" s="79">
        <f t="shared" si="91"/>
        <v>379450.34096999996</v>
      </c>
      <c r="K63" s="79">
        <f t="shared" si="91"/>
        <v>382180.09396999999</v>
      </c>
      <c r="L63" s="79">
        <f t="shared" si="91"/>
        <v>384832.07845000003</v>
      </c>
      <c r="M63" s="79">
        <f t="shared" si="91"/>
        <v>387959.83283999999</v>
      </c>
      <c r="N63" s="79">
        <f t="shared" si="91"/>
        <v>393622.22045999998</v>
      </c>
      <c r="O63" s="79">
        <f t="shared" ref="O63:Z63" si="92">SUM(O60:O62)</f>
        <v>402950.86414999998</v>
      </c>
      <c r="P63" s="79">
        <f t="shared" si="92"/>
        <v>403115.35225</v>
      </c>
      <c r="Q63" s="79">
        <f t="shared" si="92"/>
        <v>404792.45837000001</v>
      </c>
      <c r="R63" s="79">
        <f t="shared" si="92"/>
        <v>410123.89741999999</v>
      </c>
      <c r="S63" s="79">
        <f t="shared" si="92"/>
        <v>412370.21282999997</v>
      </c>
      <c r="T63" s="79">
        <f t="shared" si="92"/>
        <v>415468.64004999999</v>
      </c>
      <c r="U63" s="79">
        <f t="shared" si="92"/>
        <v>418575.96245999995</v>
      </c>
      <c r="V63" s="79">
        <f t="shared" si="92"/>
        <v>420020.67733999994</v>
      </c>
      <c r="W63" s="79">
        <f t="shared" si="92"/>
        <v>423720.68006999994</v>
      </c>
      <c r="X63" s="79">
        <f t="shared" si="92"/>
        <v>426526.00552000001</v>
      </c>
      <c r="Y63" s="79">
        <f t="shared" si="92"/>
        <v>430714.59707000002</v>
      </c>
      <c r="Z63" s="79">
        <f t="shared" si="92"/>
        <v>436210.00506</v>
      </c>
      <c r="AA63" s="79">
        <f t="shared" ref="AA63:AL63" si="93">SUM(AA60:AA62)</f>
        <v>442830.00316999998</v>
      </c>
      <c r="AB63" s="79">
        <f t="shared" si="93"/>
        <v>471880.22490000003</v>
      </c>
      <c r="AC63" s="79">
        <f t="shared" si="93"/>
        <v>477378.32741999999</v>
      </c>
      <c r="AD63" s="79">
        <f t="shared" si="93"/>
        <v>482607.30982999998</v>
      </c>
      <c r="AE63" s="79">
        <f t="shared" si="93"/>
        <v>504211.86511999997</v>
      </c>
      <c r="AF63" s="79">
        <f t="shared" si="93"/>
        <v>507979.09071999998</v>
      </c>
      <c r="AG63" s="79">
        <f t="shared" si="93"/>
        <v>511039.95831999998</v>
      </c>
      <c r="AH63" s="79">
        <f t="shared" si="93"/>
        <v>501308.62969999999</v>
      </c>
      <c r="AI63" s="79">
        <f t="shared" si="93"/>
        <v>529994.54154000001</v>
      </c>
      <c r="AJ63" s="79">
        <f t="shared" si="93"/>
        <v>533422.20285999996</v>
      </c>
      <c r="AK63" s="79">
        <f t="shared" si="93"/>
        <v>527241.33579000004</v>
      </c>
      <c r="AL63" s="79">
        <f t="shared" si="93"/>
        <v>531304.79169999994</v>
      </c>
      <c r="AM63" s="79">
        <f t="shared" ref="AM63:AR63" si="94">SUM(AM60:AM62)</f>
        <v>538982.46154000005</v>
      </c>
      <c r="AN63" s="79">
        <f t="shared" si="94"/>
        <v>573036.32968999993</v>
      </c>
      <c r="AO63" s="79">
        <f t="shared" si="94"/>
        <v>577883.16507999995</v>
      </c>
      <c r="AP63" s="79">
        <f t="shared" si="94"/>
        <v>581595.94558000006</v>
      </c>
      <c r="AQ63" s="79">
        <f t="shared" si="94"/>
        <v>596745.47664000001</v>
      </c>
      <c r="AR63" s="79">
        <f t="shared" si="94"/>
        <v>599957.32201</v>
      </c>
      <c r="AS63" s="79">
        <f t="shared" ref="AS63" si="95">SUM(AS60:AS62)</f>
        <v>603055.50764999993</v>
      </c>
      <c r="AT63" s="79">
        <f t="shared" ref="AT63:AY63" si="96">SUM(AT60:AT62)</f>
        <v>641286.51472000009</v>
      </c>
      <c r="AU63" s="79">
        <f t="shared" si="96"/>
        <v>644703.92458000011</v>
      </c>
      <c r="AV63" s="79">
        <f t="shared" si="96"/>
        <v>647652.85411000007</v>
      </c>
      <c r="AW63" s="79">
        <f t="shared" si="96"/>
        <v>657475.48941000004</v>
      </c>
      <c r="AX63" s="79">
        <f t="shared" si="96"/>
        <v>662097.10661000002</v>
      </c>
      <c r="AY63" s="79">
        <f t="shared" si="96"/>
        <v>673494.64616000012</v>
      </c>
      <c r="AZ63" s="79">
        <f t="shared" ref="AZ63:BJ63" si="97">SUM(AZ60:AZ62)</f>
        <v>708849.99748999998</v>
      </c>
      <c r="BA63" s="79">
        <f t="shared" si="97"/>
        <v>716542.85016999999</v>
      </c>
      <c r="BB63" s="79">
        <f t="shared" si="97"/>
        <v>697142.72229000006</v>
      </c>
      <c r="BC63" s="79">
        <f t="shared" si="97"/>
        <v>722668.19665000006</v>
      </c>
      <c r="BD63" s="79">
        <f t="shared" si="97"/>
        <v>728112.86705999996</v>
      </c>
      <c r="BE63" s="687">
        <f t="shared" si="97"/>
        <v>732549.52174000011</v>
      </c>
      <c r="BF63" s="687">
        <f t="shared" si="97"/>
        <v>753659.32738999999</v>
      </c>
      <c r="BG63" s="687">
        <f t="shared" si="97"/>
        <v>759217.30747</v>
      </c>
      <c r="BH63" s="687">
        <f t="shared" si="97"/>
        <v>764325.04685000004</v>
      </c>
      <c r="BI63" s="687">
        <f t="shared" si="97"/>
        <v>780369.92784000002</v>
      </c>
      <c r="BJ63" s="687">
        <f t="shared" si="97"/>
        <v>786234.5798500001</v>
      </c>
      <c r="BK63" s="687">
        <f t="shared" ref="BK63:BU63" si="98">SUM(BK60:BK62)</f>
        <v>796024.56952999998</v>
      </c>
      <c r="BL63" s="687">
        <f t="shared" si="98"/>
        <v>863105.88212000008</v>
      </c>
      <c r="BM63" s="687">
        <f t="shared" si="98"/>
        <v>874014.56620000012</v>
      </c>
      <c r="BN63" s="687">
        <f t="shared" si="98"/>
        <v>851182.75575000001</v>
      </c>
      <c r="BO63" s="687">
        <f t="shared" si="98"/>
        <v>887440.15228000004</v>
      </c>
      <c r="BP63" s="687">
        <f t="shared" si="98"/>
        <v>894100.76434000011</v>
      </c>
      <c r="BQ63" s="687">
        <f t="shared" si="98"/>
        <v>898498.01491000003</v>
      </c>
      <c r="BR63" s="687">
        <f t="shared" si="98"/>
        <v>923439.18263000005</v>
      </c>
      <c r="BS63" s="687">
        <f t="shared" si="98"/>
        <v>930711.24326999998</v>
      </c>
      <c r="BT63" s="687">
        <f t="shared" si="98"/>
        <v>919289.99502000003</v>
      </c>
      <c r="BU63" s="687">
        <f t="shared" si="98"/>
        <v>950225.06629999995</v>
      </c>
      <c r="BV63" s="687">
        <f t="shared" ref="BV63" si="99">SUM(BV60:BV62)</f>
        <v>991334.23845000006</v>
      </c>
      <c r="BW63" s="687">
        <f t="shared" ref="BW63:CH63" si="100">SUM(BW60:BW62)</f>
        <v>1001178.6000000001</v>
      </c>
      <c r="BX63" s="687">
        <f t="shared" si="100"/>
        <v>1015494.8</v>
      </c>
      <c r="BY63" s="687">
        <f t="shared" si="100"/>
        <v>1026295.2000000001</v>
      </c>
      <c r="BZ63" s="687">
        <f t="shared" si="100"/>
        <v>1033299.3</v>
      </c>
      <c r="CA63" s="687">
        <f t="shared" si="100"/>
        <v>1034579.4000000001</v>
      </c>
      <c r="CB63" s="687">
        <f t="shared" si="100"/>
        <v>1041457.3</v>
      </c>
      <c r="CC63" s="687">
        <f t="shared" si="100"/>
        <v>1045880.3</v>
      </c>
      <c r="CD63" s="687">
        <f t="shared" si="100"/>
        <v>1060904.6000000001</v>
      </c>
      <c r="CE63" s="687">
        <f t="shared" si="100"/>
        <v>1067166.9000000001</v>
      </c>
      <c r="CF63" s="687">
        <f t="shared" si="100"/>
        <v>1070360.491691543</v>
      </c>
      <c r="CG63" s="687">
        <f t="shared" si="100"/>
        <v>1118759.3281333568</v>
      </c>
      <c r="CH63" s="687">
        <f t="shared" si="100"/>
        <v>1131344.2504286449</v>
      </c>
      <c r="CI63" s="699">
        <f t="shared" si="90"/>
        <v>1049081.1314387342</v>
      </c>
      <c r="CK63" s="33"/>
      <c r="CL63" s="184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</row>
    <row r="64" spans="1:104">
      <c r="A64" s="599"/>
      <c r="B64" s="26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687"/>
      <c r="BF64" s="687"/>
      <c r="BG64" s="687"/>
      <c r="BH64" s="687"/>
      <c r="BI64" s="687"/>
      <c r="BJ64" s="687"/>
      <c r="BK64" s="687"/>
      <c r="BL64" s="687"/>
      <c r="BM64" s="687"/>
      <c r="BN64" s="687"/>
      <c r="BO64" s="687"/>
      <c r="BP64" s="687"/>
      <c r="BQ64" s="687"/>
      <c r="BR64" s="687"/>
      <c r="BS64" s="687"/>
      <c r="BT64" s="687"/>
      <c r="BU64" s="687"/>
      <c r="BV64" s="687"/>
      <c r="BW64" s="687"/>
      <c r="BX64" s="687"/>
      <c r="BY64" s="687"/>
      <c r="BZ64" s="687"/>
      <c r="CA64" s="687"/>
      <c r="CB64" s="687"/>
      <c r="CC64" s="687"/>
      <c r="CD64" s="687"/>
      <c r="CE64" s="687"/>
      <c r="CF64" s="687"/>
      <c r="CG64" s="687"/>
      <c r="CH64" s="687"/>
      <c r="CI64" s="699"/>
      <c r="CK64" s="33"/>
      <c r="CL64" s="184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</row>
    <row r="65" spans="1:104">
      <c r="A65" s="617" t="s">
        <v>514</v>
      </c>
      <c r="B65" s="260">
        <f t="shared" ref="B65:B68" ca="1" si="101">SUM(OFFSET(BK65:BW65,0,$A$1-1))/13</f>
        <v>628846.15384615387</v>
      </c>
      <c r="C65" s="348">
        <v>261764.68</v>
      </c>
      <c r="D65" s="348">
        <v>261764.68</v>
      </c>
      <c r="E65" s="348">
        <v>261764.68</v>
      </c>
      <c r="F65" s="348">
        <v>261764.68</v>
      </c>
      <c r="G65" s="348">
        <v>261764.68</v>
      </c>
      <c r="H65" s="348">
        <v>261764.68</v>
      </c>
      <c r="I65" s="348">
        <v>261764.68</v>
      </c>
      <c r="J65" s="348">
        <v>261764.68</v>
      </c>
      <c r="K65" s="348">
        <v>261764.68</v>
      </c>
      <c r="L65" s="348">
        <v>261764.68</v>
      </c>
      <c r="M65" s="348">
        <v>261764.68</v>
      </c>
      <c r="N65" s="348">
        <v>261764.68</v>
      </c>
      <c r="O65" s="411">
        <v>261764.68</v>
      </c>
      <c r="P65" s="411">
        <v>261764.68</v>
      </c>
      <c r="Q65" s="411">
        <v>261764.68</v>
      </c>
      <c r="R65" s="411">
        <v>261764.68</v>
      </c>
      <c r="S65" s="411">
        <v>211764.68</v>
      </c>
      <c r="T65" s="411">
        <v>286764.68</v>
      </c>
      <c r="U65" s="411">
        <v>286764.68</v>
      </c>
      <c r="V65" s="411">
        <v>286764.68</v>
      </c>
      <c r="W65" s="411">
        <v>286764.68</v>
      </c>
      <c r="X65" s="411">
        <v>311764.68</v>
      </c>
      <c r="Y65" s="411">
        <v>311764.68</v>
      </c>
      <c r="Z65" s="411">
        <v>311764.68</v>
      </c>
      <c r="AA65" s="411">
        <v>311764.68</v>
      </c>
      <c r="AB65" s="411">
        <v>311764.68</v>
      </c>
      <c r="AC65" s="411">
        <v>311764.68</v>
      </c>
      <c r="AD65" s="411">
        <v>311764.68</v>
      </c>
      <c r="AE65" s="411">
        <v>311764.68</v>
      </c>
      <c r="AF65" s="411">
        <v>311764.68</v>
      </c>
      <c r="AG65" s="411">
        <v>336764.68</v>
      </c>
      <c r="AH65" s="411">
        <v>336764.68</v>
      </c>
      <c r="AI65" s="411">
        <v>336764.68</v>
      </c>
      <c r="AJ65" s="411">
        <v>336764.68</v>
      </c>
      <c r="AK65" s="411">
        <v>336764.68</v>
      </c>
      <c r="AL65" s="411">
        <v>336764.68</v>
      </c>
      <c r="AM65" s="411">
        <v>336764.68</v>
      </c>
      <c r="AN65" s="411">
        <v>336764.68</v>
      </c>
      <c r="AO65" s="411">
        <v>336764.68</v>
      </c>
      <c r="AP65" s="411">
        <v>336764.68</v>
      </c>
      <c r="AQ65" s="411">
        <v>336764.68</v>
      </c>
      <c r="AR65" s="411">
        <v>336764.68</v>
      </c>
      <c r="AS65" s="411">
        <v>336764.68</v>
      </c>
      <c r="AT65" s="411">
        <v>336764.68</v>
      </c>
      <c r="AU65" s="411">
        <v>336764.68</v>
      </c>
      <c r="AV65" s="411">
        <v>336764.68</v>
      </c>
      <c r="AW65" s="411">
        <v>336764.68</v>
      </c>
      <c r="AX65" s="411">
        <v>336764.68</v>
      </c>
      <c r="AY65" s="411">
        <v>336764.68</v>
      </c>
      <c r="AZ65" s="411">
        <v>336764.68</v>
      </c>
      <c r="BA65" s="411">
        <v>566764.68000000005</v>
      </c>
      <c r="BB65" s="411">
        <v>566764.68000000005</v>
      </c>
      <c r="BC65" s="411">
        <v>520000</v>
      </c>
      <c r="BD65" s="411">
        <v>520000</v>
      </c>
      <c r="BE65" s="588">
        <v>520000</v>
      </c>
      <c r="BF65" s="588">
        <v>520000</v>
      </c>
      <c r="BG65" s="588">
        <v>520000</v>
      </c>
      <c r="BH65" s="588">
        <v>520000</v>
      </c>
      <c r="BI65" s="588">
        <v>520000</v>
      </c>
      <c r="BJ65" s="588">
        <v>520000</v>
      </c>
      <c r="BK65" s="588">
        <v>520000</v>
      </c>
      <c r="BL65" s="588">
        <v>520000</v>
      </c>
      <c r="BM65" s="588">
        <v>520000</v>
      </c>
      <c r="BN65" s="588">
        <v>520000</v>
      </c>
      <c r="BO65" s="588">
        <v>520000</v>
      </c>
      <c r="BP65" s="588">
        <v>520000</v>
      </c>
      <c r="BQ65" s="588">
        <v>595000</v>
      </c>
      <c r="BR65" s="588">
        <v>595000</v>
      </c>
      <c r="BS65" s="588">
        <v>570000</v>
      </c>
      <c r="BT65" s="588">
        <v>570000</v>
      </c>
      <c r="BU65" s="588">
        <v>570000</v>
      </c>
      <c r="BV65" s="588">
        <v>570000</v>
      </c>
      <c r="BW65" s="1074">
        <f>(+'[8]Balance Sheet Detail'!DG67+(VLOOKUP("2330713",'[8]BS ACCTS'!$D$6:$ZZ$999,113,FALSE))*0)+'2023 Intercompany Debt Schedule'!D20</f>
        <v>570000</v>
      </c>
      <c r="BX65" s="1074">
        <f>(+'[8]Balance Sheet Detail'!DH67+(VLOOKUP("2330713",'[8]BS ACCTS'!$D$6:$ZZ$999,113,FALSE))*0)+'2023 Intercompany Debt Schedule'!E20</f>
        <v>570000</v>
      </c>
      <c r="BY65" s="1074">
        <f>(+'[8]Balance Sheet Detail'!DI67+(VLOOKUP("2330713",'[8]BS ACCTS'!$D$6:$ZZ$999,113,FALSE))*0)+'2023 Intercompany Debt Schedule'!F20</f>
        <v>570000</v>
      </c>
      <c r="BZ65" s="1074">
        <f>(+'[8]Balance Sheet Detail'!DJ67+(VLOOKUP("2330713",'[8]BS ACCTS'!$D$6:$ZZ$999,113,FALSE))*0)+'2023 Intercompany Debt Schedule'!G20</f>
        <v>570000</v>
      </c>
      <c r="CA65" s="1074">
        <f>(+'[8]Balance Sheet Detail'!DK67+(VLOOKUP("2330713",'[8]BS ACCTS'!$D$6:$ZZ$999,113,FALSE))*0)+'2023 Intercompany Debt Schedule'!H20</f>
        <v>570000</v>
      </c>
      <c r="CB65" s="1074">
        <f>+'[8]Balance Sheet Detail'!DL67+(VLOOKUP("2330713",'[8]BS ACCTS'!$D$6:$ZZ$999,118,FALSE))*0+'2023 Intercompany Debt Schedule'!I20</f>
        <v>570000</v>
      </c>
      <c r="CC65" s="1074">
        <f>+'[8]Balance Sheet Detail'!DM67+(VLOOKUP("2330713",'[8]BS ACCTS'!$D$6:$ZZ$999,119,FALSE))*0+'2023 Intercompany Debt Schedule'!J20</f>
        <v>570000</v>
      </c>
      <c r="CD65" s="1074">
        <f>+'[8]Balance Sheet Detail'!DN67+(VLOOKUP("2330713",'[8]BS ACCTS'!$D$6:$ZZ$999,120,FALSE))*0+'2023 Intercompany Debt Schedule'!K20</f>
        <v>570000</v>
      </c>
      <c r="CE65" s="1074">
        <f>+'[8]Balance Sheet Detail'!DO67+(VLOOKUP("2330713",'[8]BS ACCTS'!$D$6:$ZZ$999,121,FALSE))*0+'2023 Intercompany Debt Schedule'!L20</f>
        <v>570000</v>
      </c>
      <c r="CF65" s="588">
        <f>+'[8]Balance Sheet Detail'!DP67+(VLOOKUP("2330713",'[8]BS ACCTS'!$D$6:$ZZ$999,122,FALSE))</f>
        <v>825000</v>
      </c>
      <c r="CG65" s="588">
        <f>+'[8]Balance Sheet Detail'!DQ67+(VLOOKUP("2330713",'[8]BS ACCTS'!$D$6:$ZZ$999,123,FALSE))</f>
        <v>825000</v>
      </c>
      <c r="CH65" s="588">
        <f>+'[8]Balance Sheet Detail'!DR67+(VLOOKUP("2330713",'[8]BS ACCTS'!$D$6:$ZZ$999,124,FALSE))</f>
        <v>825000</v>
      </c>
      <c r="CI65" s="701">
        <f t="shared" ref="CI65:CI68" si="102">SUM(BV65:CH65)/13</f>
        <v>628846.15384615387</v>
      </c>
      <c r="CK65" s="33"/>
      <c r="CL65" s="184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</row>
    <row r="66" spans="1:104">
      <c r="A66" s="617" t="s">
        <v>515</v>
      </c>
      <c r="B66" s="260">
        <f t="shared" ca="1" si="101"/>
        <v>0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O66" s="411">
        <v>0</v>
      </c>
      <c r="P66" s="411">
        <v>0</v>
      </c>
      <c r="Q66" s="411">
        <v>0</v>
      </c>
      <c r="R66" s="411">
        <v>0</v>
      </c>
      <c r="S66" s="411">
        <v>0</v>
      </c>
      <c r="T66" s="411">
        <v>0</v>
      </c>
      <c r="U66" s="411">
        <v>0</v>
      </c>
      <c r="V66" s="411">
        <v>0</v>
      </c>
      <c r="W66" s="411">
        <v>0</v>
      </c>
      <c r="X66" s="411">
        <v>0</v>
      </c>
      <c r="Y66" s="411">
        <v>0</v>
      </c>
      <c r="Z66" s="411">
        <v>0</v>
      </c>
      <c r="AA66" s="411">
        <v>0</v>
      </c>
      <c r="AB66" s="411">
        <v>0</v>
      </c>
      <c r="AC66" s="411">
        <v>0</v>
      </c>
      <c r="AD66" s="411">
        <v>0</v>
      </c>
      <c r="AE66" s="411">
        <v>0</v>
      </c>
      <c r="AF66" s="411">
        <v>0</v>
      </c>
      <c r="AG66" s="411">
        <v>0</v>
      </c>
      <c r="AH66" s="411">
        <v>0</v>
      </c>
      <c r="AI66" s="411">
        <v>0</v>
      </c>
      <c r="AJ66" s="411">
        <v>0</v>
      </c>
      <c r="AK66" s="411">
        <v>0</v>
      </c>
      <c r="AL66" s="411">
        <v>0</v>
      </c>
      <c r="AM66" s="411">
        <v>0</v>
      </c>
      <c r="AN66" s="411">
        <v>0</v>
      </c>
      <c r="AO66" s="411">
        <v>0</v>
      </c>
      <c r="AP66" s="411">
        <v>0</v>
      </c>
      <c r="AQ66" s="411">
        <v>0</v>
      </c>
      <c r="AR66" s="411">
        <v>0</v>
      </c>
      <c r="AS66" s="411">
        <v>0</v>
      </c>
      <c r="AT66" s="411">
        <v>0</v>
      </c>
      <c r="AU66" s="411">
        <v>0</v>
      </c>
      <c r="AV66" s="411">
        <v>0</v>
      </c>
      <c r="AW66" s="411">
        <v>0</v>
      </c>
      <c r="AX66" s="411">
        <v>0</v>
      </c>
      <c r="AY66" s="411">
        <v>0</v>
      </c>
      <c r="AZ66" s="411">
        <v>0</v>
      </c>
      <c r="BA66" s="411">
        <v>0</v>
      </c>
      <c r="BB66" s="411">
        <v>0</v>
      </c>
      <c r="BC66" s="411">
        <v>0</v>
      </c>
      <c r="BD66" s="411">
        <v>0</v>
      </c>
      <c r="BE66" s="588">
        <v>0</v>
      </c>
      <c r="BF66" s="588">
        <v>0</v>
      </c>
      <c r="BG66" s="588">
        <v>0</v>
      </c>
      <c r="BH66" s="588">
        <v>0</v>
      </c>
      <c r="BI66" s="588">
        <v>0</v>
      </c>
      <c r="BJ66" s="588">
        <v>0</v>
      </c>
      <c r="BK66" s="588">
        <v>0</v>
      </c>
      <c r="BL66" s="588">
        <v>0</v>
      </c>
      <c r="BM66" s="588">
        <v>0</v>
      </c>
      <c r="BN66" s="588">
        <v>0</v>
      </c>
      <c r="BO66" s="588">
        <v>0</v>
      </c>
      <c r="BP66" s="588">
        <v>0</v>
      </c>
      <c r="BQ66" s="588">
        <v>0</v>
      </c>
      <c r="BR66" s="588">
        <v>0</v>
      </c>
      <c r="BS66" s="588">
        <v>0</v>
      </c>
      <c r="BT66" s="588">
        <v>0</v>
      </c>
      <c r="BU66" s="588">
        <v>0</v>
      </c>
      <c r="BV66" s="588">
        <v>0</v>
      </c>
      <c r="BW66" s="588">
        <f>+'[8]Balance Sheet Detail'!DG68</f>
        <v>0</v>
      </c>
      <c r="BX66" s="588">
        <f>+'[8]Balance Sheet Detail'!DH68</f>
        <v>0</v>
      </c>
      <c r="BY66" s="588">
        <f>+'[8]Balance Sheet Detail'!DI68</f>
        <v>0</v>
      </c>
      <c r="BZ66" s="588">
        <f>+'[8]Balance Sheet Detail'!DJ68</f>
        <v>0</v>
      </c>
      <c r="CA66" s="588">
        <f>+'[8]Balance Sheet Detail'!DK68</f>
        <v>0</v>
      </c>
      <c r="CB66" s="588">
        <f>+'[8]Balance Sheet Detail'!DL68</f>
        <v>0</v>
      </c>
      <c r="CC66" s="588">
        <f>+'[8]Balance Sheet Detail'!DM68</f>
        <v>0</v>
      </c>
      <c r="CD66" s="588">
        <f>+'[8]Balance Sheet Detail'!DN68</f>
        <v>0</v>
      </c>
      <c r="CE66" s="588">
        <f>+'[8]Balance Sheet Detail'!DO68</f>
        <v>0</v>
      </c>
      <c r="CF66" s="588">
        <f>+'[8]Balance Sheet Detail'!DP68</f>
        <v>0</v>
      </c>
      <c r="CG66" s="588">
        <f>+'[8]Balance Sheet Detail'!DQ68</f>
        <v>0</v>
      </c>
      <c r="CH66" s="588">
        <f>+'[8]Balance Sheet Detail'!DR68</f>
        <v>0</v>
      </c>
      <c r="CI66" s="699">
        <f t="shared" si="102"/>
        <v>0</v>
      </c>
      <c r="CK66" s="33"/>
      <c r="CL66" s="184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</row>
    <row r="67" spans="1:104">
      <c r="A67" s="617" t="s">
        <v>516</v>
      </c>
      <c r="B67" s="262">
        <f t="shared" ca="1" si="101"/>
        <v>-1212.331430769231</v>
      </c>
      <c r="C67" s="349">
        <v>-405.43504999999999</v>
      </c>
      <c r="D67" s="349">
        <v>-403.73061000000001</v>
      </c>
      <c r="E67" s="349">
        <v>-402.02616999999998</v>
      </c>
      <c r="F67" s="349">
        <v>-400.32173</v>
      </c>
      <c r="G67" s="349">
        <v>-398.61728999999997</v>
      </c>
      <c r="H67" s="349">
        <v>-396.91284999999999</v>
      </c>
      <c r="I67" s="349">
        <v>-395.20840999999996</v>
      </c>
      <c r="J67" s="349">
        <v>-393.50396999999998</v>
      </c>
      <c r="K67" s="349">
        <v>-391.79953</v>
      </c>
      <c r="L67" s="349">
        <v>-390.09509000000003</v>
      </c>
      <c r="M67" s="349">
        <v>-388.39065000000005</v>
      </c>
      <c r="N67" s="349">
        <v>-386.68621000000002</v>
      </c>
      <c r="O67" s="412">
        <v>-384.98177000000004</v>
      </c>
      <c r="P67" s="412">
        <v>-383.27733000000001</v>
      </c>
      <c r="Q67" s="412">
        <v>-381.57289000000003</v>
      </c>
      <c r="R67" s="412">
        <v>-379.86845</v>
      </c>
      <c r="S67" s="412">
        <v>-378.16401000000002</v>
      </c>
      <c r="T67" s="412">
        <v>-571.30250999999998</v>
      </c>
      <c r="U67" s="412">
        <v>-774.52298999999994</v>
      </c>
      <c r="V67" s="412">
        <v>-771.70187999999996</v>
      </c>
      <c r="W67" s="412">
        <v>-768.88076999999998</v>
      </c>
      <c r="X67" s="412">
        <v>-893.46370999999999</v>
      </c>
      <c r="Y67" s="412">
        <v>-890.29544999999996</v>
      </c>
      <c r="Z67" s="412">
        <v>-887.12718999999993</v>
      </c>
      <c r="AA67" s="412">
        <v>-883.95893000000001</v>
      </c>
      <c r="AB67" s="412">
        <v>-880.79067000000009</v>
      </c>
      <c r="AC67" s="412">
        <v>-877.62241000000006</v>
      </c>
      <c r="AD67" s="412">
        <v>-874.45415000000003</v>
      </c>
      <c r="AE67" s="412">
        <v>-871.28588999999999</v>
      </c>
      <c r="AF67" s="412">
        <v>-868.11762999999996</v>
      </c>
      <c r="AG67" s="412">
        <v>-1171.44937</v>
      </c>
      <c r="AH67" s="412">
        <v>-1167.4566100000002</v>
      </c>
      <c r="AI67" s="412">
        <v>-1163.4621999999999</v>
      </c>
      <c r="AJ67" s="412">
        <v>-1159.4677900000002</v>
      </c>
      <c r="AK67" s="412">
        <v>-1155.4733799999999</v>
      </c>
      <c r="AL67" s="412">
        <v>-1151.4789699999999</v>
      </c>
      <c r="AM67" s="412">
        <v>-1147.4845600000001</v>
      </c>
      <c r="AN67" s="412">
        <v>-1143.4901499999999</v>
      </c>
      <c r="AO67" s="412">
        <v>-1139.4957400000001</v>
      </c>
      <c r="AP67" s="412">
        <v>-1135.5013300000001</v>
      </c>
      <c r="AQ67" s="412">
        <v>-1131.50692</v>
      </c>
      <c r="AR67" s="412">
        <v>-1127.51251</v>
      </c>
      <c r="AS67" s="412">
        <v>-1123.5181</v>
      </c>
      <c r="AT67" s="412">
        <v>-1119.52369</v>
      </c>
      <c r="AU67" s="412">
        <v>-1115.52928</v>
      </c>
      <c r="AV67" s="412">
        <v>-1111.5348700000002</v>
      </c>
      <c r="AW67" s="412">
        <v>-1107.5404599999999</v>
      </c>
      <c r="AX67" s="412">
        <v>-1103.5460500000002</v>
      </c>
      <c r="AY67" s="412">
        <v>-1099.5516399999999</v>
      </c>
      <c r="AZ67" s="412">
        <v>-1095.5572299999999</v>
      </c>
      <c r="BA67" s="412">
        <v>-1719.07629</v>
      </c>
      <c r="BB67" s="412">
        <v>-1711.4238500000001</v>
      </c>
      <c r="BC67" s="412">
        <v>-1703.5929099999998</v>
      </c>
      <c r="BD67" s="412">
        <v>-1695.76197</v>
      </c>
      <c r="BE67" s="681">
        <v>-1687.93103</v>
      </c>
      <c r="BF67" s="681">
        <v>-1680.1000900000001</v>
      </c>
      <c r="BG67" s="681">
        <v>-1672.2691499999999</v>
      </c>
      <c r="BH67" s="681">
        <v>-1664.43821</v>
      </c>
      <c r="BI67" s="681">
        <v>-1656.60727</v>
      </c>
      <c r="BJ67" s="681">
        <v>-1648.7763300000001</v>
      </c>
      <c r="BK67" s="681">
        <v>-1640.9453899999999</v>
      </c>
      <c r="BL67" s="681">
        <v>-1633.11445</v>
      </c>
      <c r="BM67" s="681">
        <v>-1625.28351</v>
      </c>
      <c r="BN67" s="681">
        <v>-1617.4525700000002</v>
      </c>
      <c r="BO67" s="681">
        <v>-1609.6216299999999</v>
      </c>
      <c r="BP67" s="681">
        <v>-1601.79069</v>
      </c>
      <c r="BQ67" s="681">
        <v>-1654.0476999999998</v>
      </c>
      <c r="BR67" s="681">
        <v>-1645.4918300000002</v>
      </c>
      <c r="BS67" s="681">
        <v>-1636.93596</v>
      </c>
      <c r="BT67" s="681">
        <v>-1628.63426</v>
      </c>
      <c r="BU67" s="681">
        <v>-1620.3325600000001</v>
      </c>
      <c r="BV67" s="681">
        <v>-1612.0308600000001</v>
      </c>
      <c r="BW67" s="1077">
        <f>(+'[8]Balance Sheet Detail'!DG69)+BV67+8</f>
        <v>-1604.0308600000001</v>
      </c>
      <c r="BX67" s="1077">
        <f>(+'[8]Balance Sheet Detail'!DH69)+BW67+8</f>
        <v>-1596.0308600000001</v>
      </c>
      <c r="BY67" s="1077">
        <f>(+'[8]Balance Sheet Detail'!DI69)+BX67+8</f>
        <v>-1588.0308600000001</v>
      </c>
      <c r="BZ67" s="1077">
        <f>(+'[8]Balance Sheet Detail'!DJ69)+BY67+8</f>
        <v>-1580.0308600000001</v>
      </c>
      <c r="CA67" s="1077">
        <f>(+'[8]Balance Sheet Detail'!DK69)+BZ67+8</f>
        <v>-1572.0308600000001</v>
      </c>
      <c r="CB67" s="1077">
        <f>(+'[8]Balance Sheet Detail'!DL69)+CA67+8</f>
        <v>-1564.0308600000001</v>
      </c>
      <c r="CC67" s="1077">
        <f>(+'[8]Balance Sheet Detail'!DM69)+CB67+8</f>
        <v>-1556.0308600000001</v>
      </c>
      <c r="CD67" s="1077">
        <f>(+'[8]Balance Sheet Detail'!DN69)+CC67+8</f>
        <v>-1548.0308600000001</v>
      </c>
      <c r="CE67" s="1077">
        <f>(+'[8]Balance Sheet Detail'!DO69)+CD67+8</f>
        <v>-1540.0308600000001</v>
      </c>
      <c r="CF67" s="681">
        <f>+'[8]Balance Sheet Detail'!DP69</f>
        <v>0</v>
      </c>
      <c r="CG67" s="681">
        <f>+'[8]Balance Sheet Detail'!DQ69</f>
        <v>0</v>
      </c>
      <c r="CH67" s="681">
        <f>+'[8]Balance Sheet Detail'!DR69</f>
        <v>0</v>
      </c>
      <c r="CI67" s="700">
        <f t="shared" si="102"/>
        <v>-1212.331430769231</v>
      </c>
      <c r="CK67" s="33"/>
      <c r="CL67" s="184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</row>
    <row r="68" spans="1:104">
      <c r="A68" s="599" t="s">
        <v>517</v>
      </c>
      <c r="B68" s="263">
        <f t="shared" ca="1" si="101"/>
        <v>627633.82241538446</v>
      </c>
      <c r="C68" s="82">
        <f t="shared" ref="C68:N68" si="103">SUM(C65:C67)</f>
        <v>261359.24494999999</v>
      </c>
      <c r="D68" s="82">
        <f t="shared" si="103"/>
        <v>261360.94938999999</v>
      </c>
      <c r="E68" s="82">
        <f t="shared" si="103"/>
        <v>261362.65383</v>
      </c>
      <c r="F68" s="82">
        <f t="shared" si="103"/>
        <v>261364.35827</v>
      </c>
      <c r="G68" s="82">
        <f t="shared" si="103"/>
        <v>261366.06271</v>
      </c>
      <c r="H68" s="82">
        <f t="shared" si="103"/>
        <v>261367.76715</v>
      </c>
      <c r="I68" s="82">
        <f t="shared" si="103"/>
        <v>261369.47159</v>
      </c>
      <c r="J68" s="82">
        <f t="shared" si="103"/>
        <v>261371.17603</v>
      </c>
      <c r="K68" s="82">
        <f t="shared" si="103"/>
        <v>261372.88047</v>
      </c>
      <c r="L68" s="82">
        <f t="shared" si="103"/>
        <v>261374.58491000001</v>
      </c>
      <c r="M68" s="82">
        <f t="shared" si="103"/>
        <v>261376.28935000001</v>
      </c>
      <c r="N68" s="82">
        <f t="shared" si="103"/>
        <v>261377.99378999998</v>
      </c>
      <c r="O68" s="82">
        <f t="shared" ref="O68:Z68" si="104">SUM(O65:O67)</f>
        <v>261379.69822999998</v>
      </c>
      <c r="P68" s="82">
        <f t="shared" si="104"/>
        <v>261381.40266999998</v>
      </c>
      <c r="Q68" s="82">
        <f t="shared" si="104"/>
        <v>261383.10710999998</v>
      </c>
      <c r="R68" s="82">
        <f t="shared" si="104"/>
        <v>261384.81154999998</v>
      </c>
      <c r="S68" s="82">
        <f t="shared" si="104"/>
        <v>211386.51598999999</v>
      </c>
      <c r="T68" s="82">
        <f t="shared" si="104"/>
        <v>286193.37748999998</v>
      </c>
      <c r="U68" s="82">
        <f t="shared" si="104"/>
        <v>285990.15700999997</v>
      </c>
      <c r="V68" s="82">
        <f t="shared" si="104"/>
        <v>285992.97811999999</v>
      </c>
      <c r="W68" s="82">
        <f t="shared" si="104"/>
        <v>285995.79923</v>
      </c>
      <c r="X68" s="82">
        <f t="shared" si="104"/>
        <v>310871.21629000001</v>
      </c>
      <c r="Y68" s="82">
        <f t="shared" si="104"/>
        <v>310874.38455000002</v>
      </c>
      <c r="Z68" s="82">
        <f t="shared" si="104"/>
        <v>310877.55280999996</v>
      </c>
      <c r="AA68" s="82">
        <f t="shared" ref="AA68:AL68" si="105">SUM(AA65:AA67)</f>
        <v>310880.72106999997</v>
      </c>
      <c r="AB68" s="82">
        <f t="shared" si="105"/>
        <v>310883.88932999998</v>
      </c>
      <c r="AC68" s="82">
        <f t="shared" si="105"/>
        <v>310887.05758999998</v>
      </c>
      <c r="AD68" s="82">
        <f t="shared" si="105"/>
        <v>310890.22584999999</v>
      </c>
      <c r="AE68" s="82">
        <f t="shared" si="105"/>
        <v>310893.39410999999</v>
      </c>
      <c r="AF68" s="82">
        <f t="shared" si="105"/>
        <v>310896.56237</v>
      </c>
      <c r="AG68" s="82">
        <f t="shared" si="105"/>
        <v>335593.23063000001</v>
      </c>
      <c r="AH68" s="82">
        <f t="shared" si="105"/>
        <v>335597.22339</v>
      </c>
      <c r="AI68" s="82">
        <f t="shared" si="105"/>
        <v>335601.21779999998</v>
      </c>
      <c r="AJ68" s="82">
        <f t="shared" si="105"/>
        <v>335605.21220999997</v>
      </c>
      <c r="AK68" s="82">
        <f t="shared" si="105"/>
        <v>335609.20662000001</v>
      </c>
      <c r="AL68" s="82">
        <f t="shared" si="105"/>
        <v>335613.20103</v>
      </c>
      <c r="AM68" s="82">
        <f t="shared" ref="AM68:AR68" si="106">SUM(AM65:AM67)</f>
        <v>335617.19543999998</v>
      </c>
      <c r="AN68" s="82">
        <f t="shared" si="106"/>
        <v>335621.18984999997</v>
      </c>
      <c r="AO68" s="82">
        <f t="shared" si="106"/>
        <v>335625.18426000001</v>
      </c>
      <c r="AP68" s="82">
        <f t="shared" si="106"/>
        <v>335629.17866999999</v>
      </c>
      <c r="AQ68" s="82">
        <f t="shared" si="106"/>
        <v>335633.17307999998</v>
      </c>
      <c r="AR68" s="82">
        <f t="shared" si="106"/>
        <v>335637.16749000002</v>
      </c>
      <c r="AS68" s="82">
        <f t="shared" ref="AS68" si="107">SUM(AS65:AS67)</f>
        <v>335641.16190000001</v>
      </c>
      <c r="AT68" s="82">
        <f t="shared" ref="AT68:AY68" si="108">SUM(AT65:AT67)</f>
        <v>335645.15630999999</v>
      </c>
      <c r="AU68" s="82">
        <f t="shared" si="108"/>
        <v>335649.15071999998</v>
      </c>
      <c r="AV68" s="82">
        <f t="shared" si="108"/>
        <v>335653.14513000002</v>
      </c>
      <c r="AW68" s="82">
        <f t="shared" si="108"/>
        <v>335657.13954</v>
      </c>
      <c r="AX68" s="82">
        <f t="shared" si="108"/>
        <v>335661.13394999999</v>
      </c>
      <c r="AY68" s="82">
        <f t="shared" si="108"/>
        <v>335665.12835999997</v>
      </c>
      <c r="AZ68" s="82">
        <f t="shared" ref="AZ68:BJ68" si="109">SUM(AZ65:AZ67)</f>
        <v>335669.12277000002</v>
      </c>
      <c r="BA68" s="82">
        <f t="shared" si="109"/>
        <v>565045.60371000005</v>
      </c>
      <c r="BB68" s="82">
        <f t="shared" si="109"/>
        <v>565053.25615000003</v>
      </c>
      <c r="BC68" s="82">
        <f t="shared" si="109"/>
        <v>518296.40708999999</v>
      </c>
      <c r="BD68" s="82">
        <f t="shared" si="109"/>
        <v>518304.23803000001</v>
      </c>
      <c r="BE68" s="693">
        <f t="shared" si="109"/>
        <v>518312.06897000002</v>
      </c>
      <c r="BF68" s="693">
        <f t="shared" si="109"/>
        <v>518319.89990999998</v>
      </c>
      <c r="BG68" s="693">
        <f t="shared" si="109"/>
        <v>518327.73084999999</v>
      </c>
      <c r="BH68" s="693">
        <f t="shared" si="109"/>
        <v>518335.56179000001</v>
      </c>
      <c r="BI68" s="693">
        <f t="shared" si="109"/>
        <v>518343.39273000002</v>
      </c>
      <c r="BJ68" s="693">
        <f t="shared" si="109"/>
        <v>518351.22366999998</v>
      </c>
      <c r="BK68" s="693">
        <f t="shared" ref="BK68:BU68" si="110">SUM(BK65:BK67)</f>
        <v>518359.05460999999</v>
      </c>
      <c r="BL68" s="693">
        <f t="shared" si="110"/>
        <v>518366.88555000001</v>
      </c>
      <c r="BM68" s="693">
        <f t="shared" si="110"/>
        <v>518374.71649000002</v>
      </c>
      <c r="BN68" s="693">
        <f t="shared" si="110"/>
        <v>518382.54742999998</v>
      </c>
      <c r="BO68" s="693">
        <f t="shared" si="110"/>
        <v>518390.37836999999</v>
      </c>
      <c r="BP68" s="693">
        <f t="shared" si="110"/>
        <v>518398.20931000001</v>
      </c>
      <c r="BQ68" s="693">
        <f t="shared" si="110"/>
        <v>593345.9523</v>
      </c>
      <c r="BR68" s="693">
        <f t="shared" si="110"/>
        <v>593354.50817000004</v>
      </c>
      <c r="BS68" s="693">
        <f t="shared" si="110"/>
        <v>568363.06403999997</v>
      </c>
      <c r="BT68" s="693">
        <f t="shared" si="110"/>
        <v>568371.36574000004</v>
      </c>
      <c r="BU68" s="693">
        <f t="shared" si="110"/>
        <v>568379.66743999999</v>
      </c>
      <c r="BV68" s="693">
        <f t="shared" ref="BV68" si="111">SUM(BV65:BV67)</f>
        <v>568387.96913999994</v>
      </c>
      <c r="BW68" s="693">
        <f t="shared" ref="BW68:CH68" si="112">SUM(BW65:BW67)</f>
        <v>568395.96913999994</v>
      </c>
      <c r="BX68" s="693">
        <f t="shared" si="112"/>
        <v>568403.96913999994</v>
      </c>
      <c r="BY68" s="693">
        <f t="shared" si="112"/>
        <v>568411.96913999994</v>
      </c>
      <c r="BZ68" s="693">
        <f t="shared" si="112"/>
        <v>568419.96913999994</v>
      </c>
      <c r="CA68" s="693">
        <f t="shared" si="112"/>
        <v>568427.96913999994</v>
      </c>
      <c r="CB68" s="693">
        <f t="shared" si="112"/>
        <v>568435.96913999994</v>
      </c>
      <c r="CC68" s="693">
        <f t="shared" si="112"/>
        <v>568443.96913999994</v>
      </c>
      <c r="CD68" s="693">
        <f t="shared" si="112"/>
        <v>568451.96913999994</v>
      </c>
      <c r="CE68" s="693">
        <f t="shared" si="112"/>
        <v>568459.96913999994</v>
      </c>
      <c r="CF68" s="693">
        <f t="shared" si="112"/>
        <v>825000</v>
      </c>
      <c r="CG68" s="693">
        <f t="shared" si="112"/>
        <v>825000</v>
      </c>
      <c r="CH68" s="693">
        <f t="shared" si="112"/>
        <v>825000</v>
      </c>
      <c r="CI68" s="700">
        <f t="shared" si="102"/>
        <v>627633.82241538446</v>
      </c>
      <c r="CK68" s="33"/>
      <c r="CL68" s="184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</row>
    <row r="69" spans="1:104">
      <c r="A69" s="599"/>
      <c r="B69" s="26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687"/>
      <c r="BF69" s="687"/>
      <c r="BG69" s="687"/>
      <c r="BH69" s="687"/>
      <c r="BI69" s="687"/>
      <c r="BJ69" s="687"/>
      <c r="BK69" s="687"/>
      <c r="BL69" s="687"/>
      <c r="BM69" s="687"/>
      <c r="BN69" s="687"/>
      <c r="BO69" s="687"/>
      <c r="BP69" s="687"/>
      <c r="BQ69" s="687"/>
      <c r="BR69" s="687"/>
      <c r="BS69" s="687"/>
      <c r="BT69" s="687"/>
      <c r="BU69" s="687"/>
      <c r="BV69" s="687"/>
      <c r="BW69" s="687"/>
      <c r="BX69" s="687"/>
      <c r="BY69" s="687"/>
      <c r="BZ69" s="687"/>
      <c r="CA69" s="687"/>
      <c r="CB69" s="687"/>
      <c r="CC69" s="687"/>
      <c r="CD69" s="687"/>
      <c r="CE69" s="687"/>
      <c r="CF69" s="687"/>
      <c r="CG69" s="687">
        <f t="shared" ref="CG69:CH69" si="113">CF67-CG67</f>
        <v>0</v>
      </c>
      <c r="CH69" s="687">
        <f t="shared" si="113"/>
        <v>0</v>
      </c>
      <c r="CI69" s="699"/>
      <c r="CK69" s="33"/>
      <c r="CL69" s="184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</row>
    <row r="70" spans="1:104">
      <c r="A70" s="599" t="s">
        <v>518</v>
      </c>
      <c r="B70" s="260">
        <f ca="1">SUM(OFFSET(BK70:BW70,0,$A$1-1))/13</f>
        <v>1676714.9538541189</v>
      </c>
      <c r="C70" s="447">
        <f t="shared" ref="C70:N70" si="114">C63+C68</f>
        <v>615744.72395999997</v>
      </c>
      <c r="D70" s="447">
        <f t="shared" si="114"/>
        <v>618632.16148000001</v>
      </c>
      <c r="E70" s="447">
        <f t="shared" si="114"/>
        <v>623192.49193000002</v>
      </c>
      <c r="F70" s="447">
        <f t="shared" si="114"/>
        <v>627046.99897000007</v>
      </c>
      <c r="G70" s="447">
        <f t="shared" si="114"/>
        <v>635499.62168999994</v>
      </c>
      <c r="H70" s="447">
        <f t="shared" si="114"/>
        <v>637604.77977000002</v>
      </c>
      <c r="I70" s="447">
        <f t="shared" si="114"/>
        <v>640387.20255000005</v>
      </c>
      <c r="J70" s="447">
        <f t="shared" si="114"/>
        <v>640821.51699999999</v>
      </c>
      <c r="K70" s="447">
        <f t="shared" si="114"/>
        <v>643552.97444000002</v>
      </c>
      <c r="L70" s="447">
        <f t="shared" si="114"/>
        <v>646206.66336000001</v>
      </c>
      <c r="M70" s="447">
        <f t="shared" si="114"/>
        <v>649336.12219000002</v>
      </c>
      <c r="N70" s="447">
        <f t="shared" si="114"/>
        <v>655000.21424999996</v>
      </c>
      <c r="O70" s="447">
        <f t="shared" ref="O70:Z70" si="115">O63+O68</f>
        <v>664330.56238000002</v>
      </c>
      <c r="P70" s="447">
        <f t="shared" si="115"/>
        <v>664496.75491999998</v>
      </c>
      <c r="Q70" s="447">
        <f t="shared" si="115"/>
        <v>666175.56547999999</v>
      </c>
      <c r="R70" s="447">
        <f t="shared" si="115"/>
        <v>671508.70897000004</v>
      </c>
      <c r="S70" s="447">
        <f t="shared" si="115"/>
        <v>623756.72881999996</v>
      </c>
      <c r="T70" s="447">
        <f t="shared" si="115"/>
        <v>701662.01753999991</v>
      </c>
      <c r="U70" s="447">
        <f t="shared" si="115"/>
        <v>704566.11946999992</v>
      </c>
      <c r="V70" s="447">
        <f t="shared" si="115"/>
        <v>706013.65545999992</v>
      </c>
      <c r="W70" s="447">
        <f t="shared" si="115"/>
        <v>709716.47930000001</v>
      </c>
      <c r="X70" s="447">
        <f t="shared" si="115"/>
        <v>737397.22181000002</v>
      </c>
      <c r="Y70" s="447">
        <f t="shared" si="115"/>
        <v>741588.98161999998</v>
      </c>
      <c r="Z70" s="447">
        <f t="shared" si="115"/>
        <v>747087.5578699999</v>
      </c>
      <c r="AA70" s="447">
        <f t="shared" ref="AA70:AL70" si="116">AA63+AA68</f>
        <v>753710.72423999989</v>
      </c>
      <c r="AB70" s="447">
        <f t="shared" si="116"/>
        <v>782764.11422999995</v>
      </c>
      <c r="AC70" s="447">
        <f t="shared" si="116"/>
        <v>788265.38500999997</v>
      </c>
      <c r="AD70" s="447">
        <f t="shared" si="116"/>
        <v>793497.53567999997</v>
      </c>
      <c r="AE70" s="447">
        <f t="shared" si="116"/>
        <v>815105.25922999997</v>
      </c>
      <c r="AF70" s="447">
        <f t="shared" si="116"/>
        <v>818875.65308999992</v>
      </c>
      <c r="AG70" s="447">
        <f t="shared" si="116"/>
        <v>846633.18894999998</v>
      </c>
      <c r="AH70" s="447">
        <f t="shared" si="116"/>
        <v>836905.85308999999</v>
      </c>
      <c r="AI70" s="447">
        <f t="shared" si="116"/>
        <v>865595.75933999999</v>
      </c>
      <c r="AJ70" s="447">
        <f t="shared" si="116"/>
        <v>869027.41506999987</v>
      </c>
      <c r="AK70" s="447">
        <f t="shared" si="116"/>
        <v>862850.54240999999</v>
      </c>
      <c r="AL70" s="447">
        <f t="shared" si="116"/>
        <v>866917.99272999994</v>
      </c>
      <c r="AM70" s="447">
        <f t="shared" ref="AM70:AS70" si="117">AM63+AM68</f>
        <v>874599.65697999997</v>
      </c>
      <c r="AN70" s="447">
        <f t="shared" si="117"/>
        <v>908657.51953999989</v>
      </c>
      <c r="AO70" s="447">
        <f t="shared" si="117"/>
        <v>913508.34933999996</v>
      </c>
      <c r="AP70" s="447">
        <f t="shared" si="117"/>
        <v>917225.12425000011</v>
      </c>
      <c r="AQ70" s="447">
        <f t="shared" si="117"/>
        <v>932378.64971999999</v>
      </c>
      <c r="AR70" s="447">
        <f t="shared" si="117"/>
        <v>935594.48950000003</v>
      </c>
      <c r="AS70" s="447">
        <f t="shared" si="117"/>
        <v>938696.66954999999</v>
      </c>
      <c r="AT70" s="447">
        <f t="shared" ref="AT70:AY70" si="118">AT63+AT68</f>
        <v>976931.67103000009</v>
      </c>
      <c r="AU70" s="447">
        <f t="shared" si="118"/>
        <v>980353.07530000014</v>
      </c>
      <c r="AV70" s="447">
        <f t="shared" si="118"/>
        <v>983305.99924000003</v>
      </c>
      <c r="AW70" s="447">
        <f t="shared" si="118"/>
        <v>993132.62895000004</v>
      </c>
      <c r="AX70" s="447">
        <f t="shared" si="118"/>
        <v>997758.24056000006</v>
      </c>
      <c r="AY70" s="447">
        <f t="shared" si="118"/>
        <v>1009159.7745200001</v>
      </c>
      <c r="AZ70" s="447">
        <f t="shared" ref="AZ70:BJ70" si="119">AZ63+AZ68</f>
        <v>1044519.12026</v>
      </c>
      <c r="BA70" s="447">
        <f t="shared" si="119"/>
        <v>1281588.4538799999</v>
      </c>
      <c r="BB70" s="447">
        <f t="shared" si="119"/>
        <v>1262195.9784400002</v>
      </c>
      <c r="BC70" s="447">
        <f t="shared" si="119"/>
        <v>1240964.6037400002</v>
      </c>
      <c r="BD70" s="447">
        <f t="shared" si="119"/>
        <v>1246417.10509</v>
      </c>
      <c r="BE70" s="474">
        <f t="shared" si="119"/>
        <v>1250861.5907100001</v>
      </c>
      <c r="BF70" s="474">
        <f t="shared" si="119"/>
        <v>1271979.2272999999</v>
      </c>
      <c r="BG70" s="474">
        <f t="shared" si="119"/>
        <v>1277545.0383200001</v>
      </c>
      <c r="BH70" s="474">
        <f t="shared" si="119"/>
        <v>1282660.60864</v>
      </c>
      <c r="BI70" s="474">
        <f t="shared" si="119"/>
        <v>1298713.32057</v>
      </c>
      <c r="BJ70" s="474">
        <f t="shared" si="119"/>
        <v>1304585.8035200001</v>
      </c>
      <c r="BK70" s="474">
        <f t="shared" ref="BK70:BU70" si="120">BK63+BK68</f>
        <v>1314383.62414</v>
      </c>
      <c r="BL70" s="474">
        <f t="shared" si="120"/>
        <v>1381472.76767</v>
      </c>
      <c r="BM70" s="474">
        <f t="shared" si="120"/>
        <v>1392389.2826900003</v>
      </c>
      <c r="BN70" s="474">
        <f t="shared" si="120"/>
        <v>1369565.30318</v>
      </c>
      <c r="BO70" s="474">
        <f t="shared" si="120"/>
        <v>1405830.5306500001</v>
      </c>
      <c r="BP70" s="474">
        <f t="shared" si="120"/>
        <v>1412498.9736500001</v>
      </c>
      <c r="BQ70" s="474">
        <f t="shared" si="120"/>
        <v>1491843.9672099999</v>
      </c>
      <c r="BR70" s="474">
        <f t="shared" si="120"/>
        <v>1516793.6908</v>
      </c>
      <c r="BS70" s="474">
        <f t="shared" si="120"/>
        <v>1499074.3073100001</v>
      </c>
      <c r="BT70" s="474">
        <f t="shared" si="120"/>
        <v>1487661.3607600001</v>
      </c>
      <c r="BU70" s="474">
        <f t="shared" si="120"/>
        <v>1518604.7337400001</v>
      </c>
      <c r="BV70" s="474">
        <f t="shared" ref="BV70" si="121">BV63+BV68</f>
        <v>1559722.20759</v>
      </c>
      <c r="BW70" s="474">
        <f t="shared" ref="BW70:CH70" si="122">BW63+BW68</f>
        <v>1569574.56914</v>
      </c>
      <c r="BX70" s="474">
        <f t="shared" si="122"/>
        <v>1583898.76914</v>
      </c>
      <c r="BY70" s="474">
        <f t="shared" si="122"/>
        <v>1594707.1691399999</v>
      </c>
      <c r="BZ70" s="474">
        <f t="shared" si="122"/>
        <v>1601719.26914</v>
      </c>
      <c r="CA70" s="474">
        <f t="shared" si="122"/>
        <v>1603007.3691400001</v>
      </c>
      <c r="CB70" s="474">
        <f t="shared" si="122"/>
        <v>1609893.26914</v>
      </c>
      <c r="CC70" s="474">
        <f t="shared" si="122"/>
        <v>1614324.26914</v>
      </c>
      <c r="CD70" s="474">
        <f t="shared" si="122"/>
        <v>1629356.56914</v>
      </c>
      <c r="CE70" s="474">
        <f t="shared" si="122"/>
        <v>1635626.8691400001</v>
      </c>
      <c r="CF70" s="474">
        <f t="shared" si="122"/>
        <v>1895360.491691543</v>
      </c>
      <c r="CG70" s="474">
        <f t="shared" si="122"/>
        <v>1943759.3281333568</v>
      </c>
      <c r="CH70" s="474">
        <f t="shared" si="122"/>
        <v>1956344.2504286449</v>
      </c>
      <c r="CI70" s="699">
        <f>SUM(BV70:CH70)/13</f>
        <v>1676714.9538541189</v>
      </c>
      <c r="CK70" s="33"/>
      <c r="CL70" s="184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</row>
    <row r="71" spans="1:104">
      <c r="A71" s="599"/>
      <c r="B71" s="26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687"/>
      <c r="BF71" s="687"/>
      <c r="BG71" s="687"/>
      <c r="BH71" s="687"/>
      <c r="BI71" s="687"/>
      <c r="BJ71" s="687"/>
      <c r="BK71" s="687"/>
      <c r="BL71" s="687"/>
      <c r="BM71" s="687"/>
      <c r="BN71" s="687"/>
      <c r="BO71" s="687"/>
      <c r="BP71" s="687"/>
      <c r="BQ71" s="687"/>
      <c r="BR71" s="687"/>
      <c r="BS71" s="687"/>
      <c r="BT71" s="687"/>
      <c r="BU71" s="687"/>
      <c r="BV71" s="687"/>
      <c r="BW71" s="687"/>
      <c r="BX71" s="687"/>
      <c r="BY71" s="687"/>
      <c r="BZ71" s="687"/>
      <c r="CA71" s="687"/>
      <c r="CB71" s="687"/>
      <c r="CC71" s="687"/>
      <c r="CD71" s="687"/>
      <c r="CE71" s="687"/>
      <c r="CF71" s="687"/>
      <c r="CG71" s="687"/>
      <c r="CH71" s="687"/>
      <c r="CI71" s="699"/>
      <c r="CK71" s="33"/>
      <c r="CL71" s="184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</row>
    <row r="72" spans="1:104">
      <c r="A72" s="13" t="s">
        <v>519</v>
      </c>
      <c r="B72" s="2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694"/>
      <c r="BF72" s="694"/>
      <c r="BG72" s="694"/>
      <c r="BH72" s="694"/>
      <c r="BI72" s="694"/>
      <c r="BJ72" s="694"/>
      <c r="BK72" s="694"/>
      <c r="BL72" s="694"/>
      <c r="BM72" s="694"/>
      <c r="BN72" s="694"/>
      <c r="BO72" s="694"/>
      <c r="BP72" s="694"/>
      <c r="BQ72" s="694"/>
      <c r="BR72" s="694"/>
      <c r="BS72" s="694"/>
      <c r="BT72" s="694"/>
      <c r="BU72" s="694"/>
      <c r="BV72" s="694"/>
      <c r="BW72" s="694"/>
      <c r="BX72" s="694"/>
      <c r="BY72" s="694"/>
      <c r="BZ72" s="694"/>
      <c r="CA72" s="694"/>
      <c r="CB72" s="694"/>
      <c r="CC72" s="694"/>
      <c r="CD72" s="694"/>
      <c r="CE72" s="694"/>
      <c r="CF72" s="694"/>
      <c r="CG72" s="694"/>
      <c r="CH72" s="694"/>
      <c r="CI72" s="699"/>
      <c r="CK72" s="33"/>
      <c r="CL72" s="184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</row>
    <row r="73" spans="1:104">
      <c r="A73" s="617" t="s">
        <v>520</v>
      </c>
      <c r="B73" s="260">
        <f t="shared" ref="B73:B89" ca="1" si="123">SUM(OFFSET(BK73:BW73,0,$A$1-1))/13</f>
        <v>237829.61571560969</v>
      </c>
      <c r="C73" s="350">
        <v>41225.800000000003</v>
      </c>
      <c r="D73" s="350">
        <v>40506.800000000003</v>
      </c>
      <c r="E73" s="350">
        <v>41810.800000000003</v>
      </c>
      <c r="F73" s="350">
        <v>37148.300000000003</v>
      </c>
      <c r="G73" s="350">
        <v>31842.1</v>
      </c>
      <c r="H73" s="350">
        <v>36126.699999999997</v>
      </c>
      <c r="I73" s="350">
        <v>33325.4</v>
      </c>
      <c r="J73" s="350">
        <v>46233.9</v>
      </c>
      <c r="K73" s="350">
        <v>48013.8</v>
      </c>
      <c r="L73" s="350">
        <v>43884.1</v>
      </c>
      <c r="M73" s="350">
        <v>46059.9</v>
      </c>
      <c r="N73" s="350">
        <v>57684.3</v>
      </c>
      <c r="O73" s="413">
        <v>55045.713000000003</v>
      </c>
      <c r="P73" s="413">
        <v>58203.643530000001</v>
      </c>
      <c r="Q73" s="413">
        <v>53438.296759999997</v>
      </c>
      <c r="R73" s="413">
        <v>53973.759039999997</v>
      </c>
      <c r="S73" s="413">
        <v>86871.59375</v>
      </c>
      <c r="T73" s="413">
        <v>32647.32645</v>
      </c>
      <c r="U73" s="413">
        <v>32403.666739999997</v>
      </c>
      <c r="V73" s="413">
        <v>36635.669780000004</v>
      </c>
      <c r="W73" s="413">
        <v>44924.345580000001</v>
      </c>
      <c r="X73" s="413">
        <v>26601.973979999999</v>
      </c>
      <c r="Y73" s="413">
        <v>35033.765530000004</v>
      </c>
      <c r="Z73" s="413">
        <v>53651.64284</v>
      </c>
      <c r="AA73" s="413">
        <v>70274.1008</v>
      </c>
      <c r="AB73" s="413">
        <v>51017.831979999995</v>
      </c>
      <c r="AC73" s="413">
        <v>43526.147640000003</v>
      </c>
      <c r="AD73" s="413">
        <v>47854.03026</v>
      </c>
      <c r="AE73" s="413">
        <v>32302.624949999998</v>
      </c>
      <c r="AF73" s="413">
        <v>43946.02736</v>
      </c>
      <c r="AG73" s="413">
        <v>30168.533420000003</v>
      </c>
      <c r="AH73" s="413">
        <v>48717.414859999997</v>
      </c>
      <c r="AI73" s="413">
        <v>44435.200189999996</v>
      </c>
      <c r="AJ73" s="413">
        <v>47028.28342</v>
      </c>
      <c r="AK73" s="413">
        <v>77517.735260000001</v>
      </c>
      <c r="AL73" s="413">
        <v>91138.979059999998</v>
      </c>
      <c r="AM73" s="413">
        <v>104160.10278</v>
      </c>
      <c r="AN73" s="413">
        <v>90190.82</v>
      </c>
      <c r="AO73" s="413">
        <v>91778.96686</v>
      </c>
      <c r="AP73" s="413">
        <v>99145.211670000004</v>
      </c>
      <c r="AQ73" s="413">
        <v>104893.603</v>
      </c>
      <c r="AR73" s="413">
        <v>127591.36500000001</v>
      </c>
      <c r="AS73" s="413">
        <v>145194.42319</v>
      </c>
      <c r="AT73" s="413">
        <v>133998.43737999999</v>
      </c>
      <c r="AU73" s="413">
        <v>144415.73919999998</v>
      </c>
      <c r="AV73" s="413">
        <v>162258.20669999998</v>
      </c>
      <c r="AW73" s="413">
        <v>179528.11132</v>
      </c>
      <c r="AX73" s="413">
        <v>214352.13493999999</v>
      </c>
      <c r="AY73" s="413">
        <v>236511.39825999999</v>
      </c>
      <c r="AZ73" s="413">
        <v>221147.72566</v>
      </c>
      <c r="BA73" s="413">
        <v>14181.103999999999</v>
      </c>
      <c r="BB73" s="413">
        <v>17122.357</v>
      </c>
      <c r="BC73" s="413">
        <v>87741.525890000004</v>
      </c>
      <c r="BD73" s="413">
        <v>99244.299809999997</v>
      </c>
      <c r="BE73" s="587">
        <v>111939.289</v>
      </c>
      <c r="BF73" s="587">
        <v>101333.505</v>
      </c>
      <c r="BG73" s="587">
        <v>115219.00199999999</v>
      </c>
      <c r="BH73" s="587">
        <v>136200.897</v>
      </c>
      <c r="BI73" s="587">
        <v>144763.516</v>
      </c>
      <c r="BJ73" s="804">
        <v>189522.084</v>
      </c>
      <c r="BK73" s="804">
        <v>210398.8</v>
      </c>
      <c r="BL73" s="804">
        <v>158200.10248</v>
      </c>
      <c r="BM73" s="804">
        <v>166329.49208000003</v>
      </c>
      <c r="BN73" s="804">
        <v>174483.97778000002</v>
      </c>
      <c r="BO73" s="804">
        <v>177717.84408000001</v>
      </c>
      <c r="BP73" s="804">
        <v>198344.90317999999</v>
      </c>
      <c r="BQ73" s="804">
        <v>136571.24698</v>
      </c>
      <c r="BR73" s="804">
        <v>124775.69228</v>
      </c>
      <c r="BS73" s="804">
        <v>156383.68047999998</v>
      </c>
      <c r="BT73" s="804">
        <v>159112.87497999999</v>
      </c>
      <c r="BU73" s="804">
        <v>161937.35708000002</v>
      </c>
      <c r="BV73" s="587">
        <v>166097.1501</v>
      </c>
      <c r="BW73" s="804">
        <f>+'[8]Balance Sheet Detail'!DG75+(VLOOKUP("2330711",'[8]BS ACCTS'!$D$6:$ZZ$999,113,FALSE))+BW115+'2023 Intercompany Debt Schedule'!D9</f>
        <v>200760.12118052706</v>
      </c>
      <c r="BX73" s="804">
        <f>+'[8]Balance Sheet Detail'!DH75+(VLOOKUP("2330711",'[8]BS ACCTS'!$D$6:$ZZ$999,114,FALSE))+BX115+'2023 Intercompany Debt Schedule'!E9</f>
        <v>249611.30169351317</v>
      </c>
      <c r="BY73" s="804">
        <f>+'[8]Balance Sheet Detail'!DI75+(VLOOKUP("2330711",'[8]BS ACCTS'!$D$6:$ZZ$999,115,FALSE))+BY115+'2023 Intercompany Debt Schedule'!F9</f>
        <v>267160.48534790176</v>
      </c>
      <c r="BZ73" s="804">
        <f>+'[8]Balance Sheet Detail'!DJ75+(VLOOKUP("2330711",'[8]BS ACCTS'!$D$6:$ZZ$999,116,FALSE))+BZ115+'2023 Intercompany Debt Schedule'!G9</f>
        <v>288943.20600232383</v>
      </c>
      <c r="CA73" s="804">
        <f>+'[8]Balance Sheet Detail'!DK75+(VLOOKUP("2330711",'[8]BS ACCTS'!$D$6:$ZZ$999,117,FALSE))+CA115+'2023 Intercompany Debt Schedule'!H9</f>
        <v>294595.72464084515</v>
      </c>
      <c r="CB73" s="804">
        <f>+'[8]Balance Sheet Detail'!DL75+(VLOOKUP("2330711",'[8]BS ACCTS'!$D$6:$ZZ$999,118,FALSE))+CB115+'2023 Intercompany Debt Schedule'!I9</f>
        <v>312955.13522041368</v>
      </c>
      <c r="CC73" s="804">
        <f>+'[8]Balance Sheet Detail'!DM75+(VLOOKUP("2330711",'[8]BS ACCTS'!$D$6:$ZZ$999,119,FALSE))+CC115+'2023 Intercompany Debt Schedule'!J9</f>
        <v>332059.66013961291</v>
      </c>
      <c r="CD73" s="804">
        <f>+'[8]Balance Sheet Detail'!DN75+(VLOOKUP("2330711",'[8]BS ACCTS'!$D$6:$ZZ$999,120,FALSE))+CD115+'2023 Intercompany Debt Schedule'!K9</f>
        <v>328865.65297220211</v>
      </c>
      <c r="CE73" s="804">
        <f>+'[8]Balance Sheet Detail'!DO75+(VLOOKUP("2330711",'[8]BS ACCTS'!$D$6:$ZZ$999,121,FALSE))+CE115+'2023 Intercompany Debt Schedule'!L9</f>
        <v>338687.5372591308</v>
      </c>
      <c r="CF73" s="804">
        <f>+'[8]Balance Sheet Detail'!DP75+(VLOOKUP("2330711",'[8]BS ACCTS'!$D$6:$ZZ$999,122,FALSE))+CF115</f>
        <v>112693.70830845693</v>
      </c>
      <c r="CG73" s="804">
        <f>+'[8]Balance Sheet Detail'!DQ75+(VLOOKUP("2330711",'[8]BS ACCTS'!$D$6:$ZZ$999,123,FALSE))+CG115</f>
        <v>91589.771866643408</v>
      </c>
      <c r="CH73" s="804">
        <f>+'[8]Balance Sheet Detail'!DR75+(VLOOKUP("2330711",'[8]BS ACCTS'!$D$6:$ZZ$999,124,FALSE))+CH115</f>
        <v>107765.54957135532</v>
      </c>
      <c r="CI73" s="699">
        <f t="shared" ref="CI73:CI89" si="124">SUM(BV73:CH73)/13</f>
        <v>237829.61571560969</v>
      </c>
      <c r="CK73" s="33"/>
      <c r="CL73" s="184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</row>
    <row r="74" spans="1:104">
      <c r="A74" s="617" t="s">
        <v>521</v>
      </c>
      <c r="B74" s="260">
        <f t="shared" ca="1" si="123"/>
        <v>60861.055883076937</v>
      </c>
      <c r="C74" s="352">
        <v>29614.249519999998</v>
      </c>
      <c r="D74" s="352">
        <v>23250.567239999997</v>
      </c>
      <c r="E74" s="352">
        <v>22646.528630000001</v>
      </c>
      <c r="F74" s="352">
        <v>25314.02679</v>
      </c>
      <c r="G74" s="352">
        <v>24235.38408</v>
      </c>
      <c r="H74" s="352">
        <v>22358.859919999995</v>
      </c>
      <c r="I74" s="352">
        <v>26713.88077</v>
      </c>
      <c r="J74" s="352">
        <v>32954.537100000001</v>
      </c>
      <c r="K74" s="352">
        <v>27562.694949999997</v>
      </c>
      <c r="L74" s="352">
        <v>27556.440710000003</v>
      </c>
      <c r="M74" s="352">
        <v>36878.143369999998</v>
      </c>
      <c r="N74" s="352">
        <v>37851.570309999996</v>
      </c>
      <c r="O74" s="415">
        <v>42384.39819</v>
      </c>
      <c r="P74" s="415">
        <v>28529.321889999996</v>
      </c>
      <c r="Q74" s="415">
        <v>27191.031509999997</v>
      </c>
      <c r="R74" s="415">
        <v>26859.843059999996</v>
      </c>
      <c r="S74" s="415">
        <v>31526.73201</v>
      </c>
      <c r="T74" s="415">
        <v>32289.214540000001</v>
      </c>
      <c r="U74" s="415">
        <v>35032.979610000002</v>
      </c>
      <c r="V74" s="415">
        <v>33136.66502</v>
      </c>
      <c r="W74" s="415">
        <v>36345.488340000004</v>
      </c>
      <c r="X74" s="415">
        <v>44135.03153</v>
      </c>
      <c r="Y74" s="415">
        <v>59377.74145999999</v>
      </c>
      <c r="Z74" s="415">
        <v>49836.349900000001</v>
      </c>
      <c r="AA74" s="415">
        <v>43828.983799999995</v>
      </c>
      <c r="AB74" s="415">
        <v>33595.937319999997</v>
      </c>
      <c r="AC74" s="415">
        <v>40949.708469999998</v>
      </c>
      <c r="AD74" s="415">
        <v>36762.280700000003</v>
      </c>
      <c r="AE74" s="415">
        <v>40153.656750000002</v>
      </c>
      <c r="AF74" s="415">
        <v>36642.683879999997</v>
      </c>
      <c r="AG74" s="415">
        <v>35874.949749999992</v>
      </c>
      <c r="AH74" s="415">
        <v>39844.774130000005</v>
      </c>
      <c r="AI74" s="415">
        <v>38448.288360000006</v>
      </c>
      <c r="AJ74" s="415">
        <v>44342.945189999991</v>
      </c>
      <c r="AK74" s="415">
        <v>51420.960829999989</v>
      </c>
      <c r="AL74" s="415">
        <v>62038.988300000005</v>
      </c>
      <c r="AM74" s="415">
        <v>61688.316500000001</v>
      </c>
      <c r="AN74" s="415">
        <v>53206.636410000006</v>
      </c>
      <c r="AO74" s="415">
        <v>52216.403459999994</v>
      </c>
      <c r="AP74" s="415">
        <v>56659.843179999989</v>
      </c>
      <c r="AQ74" s="415">
        <v>54419.067229999993</v>
      </c>
      <c r="AR74" s="413">
        <v>48085.875910000002</v>
      </c>
      <c r="AS74" s="413">
        <v>49198.686760000004</v>
      </c>
      <c r="AT74" s="413">
        <v>55932.038059999992</v>
      </c>
      <c r="AU74" s="413">
        <v>62017.170850000002</v>
      </c>
      <c r="AV74" s="413">
        <v>70456.453890000004</v>
      </c>
      <c r="AW74" s="413">
        <v>82145.932429999986</v>
      </c>
      <c r="AX74" s="413">
        <v>83946.034320000006</v>
      </c>
      <c r="AY74" s="413">
        <v>72913.717289999986</v>
      </c>
      <c r="AZ74" s="413">
        <v>72152.029780000012</v>
      </c>
      <c r="BA74" s="413">
        <v>67553.222450000001</v>
      </c>
      <c r="BB74" s="413">
        <v>60583.162370000005</v>
      </c>
      <c r="BC74" s="413">
        <v>49549.497879999995</v>
      </c>
      <c r="BD74" s="413">
        <v>50599.638369999993</v>
      </c>
      <c r="BE74" s="583">
        <v>57251.743600000002</v>
      </c>
      <c r="BF74" s="583">
        <v>62063.100990000006</v>
      </c>
      <c r="BG74" s="583">
        <v>63853.377550000005</v>
      </c>
      <c r="BH74" s="583">
        <v>75490.841990000001</v>
      </c>
      <c r="BI74" s="583">
        <v>86452.891669999997</v>
      </c>
      <c r="BJ74" s="583">
        <v>73129.695100000026</v>
      </c>
      <c r="BK74" s="583">
        <v>72888.359290000008</v>
      </c>
      <c r="BL74" s="583">
        <v>65834.937080000003</v>
      </c>
      <c r="BM74" s="583">
        <v>55387.404740000013</v>
      </c>
      <c r="BN74" s="583">
        <v>54040.904860000002</v>
      </c>
      <c r="BO74" s="583">
        <v>64432.227980000003</v>
      </c>
      <c r="BP74" s="583">
        <v>60540.164509999995</v>
      </c>
      <c r="BQ74" s="583">
        <v>59584.701799999995</v>
      </c>
      <c r="BR74" s="583">
        <v>63132.710599999999</v>
      </c>
      <c r="BS74" s="583">
        <v>60897.482299999996</v>
      </c>
      <c r="BT74" s="583">
        <v>63213.065170000002</v>
      </c>
      <c r="BU74" s="583">
        <v>81182.573349999991</v>
      </c>
      <c r="BV74" s="583">
        <v>72943.726480000012</v>
      </c>
      <c r="BW74" s="583">
        <f>VLOOKUP("2420300",'[8]BS ACCTS'!$D$6:$ZZ$999,113,FALSE)+VLOOKUP("232",'[8]BS ACCTS'!$D$6:$ZZ$999,113,FALSE)-VLOOKUP("2320008",'[8]BS ACCTS'!$D$6:$ZZ$999,113,FALSE)-VLOOKUP("2320015",'[8]BS ACCTS'!$D$6:$ZZ$999,113,FALSE)-VLOOKUP("2320020",'[8]BS ACCTS'!$D$6:$ZZ$999,113,FALSE)-VLOOKUP("2320022",'[8]BS ACCTS'!$D$6:$ZZ$999,113,FALSE)</f>
        <v>68363.300000000017</v>
      </c>
      <c r="BX74" s="583">
        <f>VLOOKUP("2420300",'[8]BS ACCTS'!$D$6:$ZZ$999,114,FALSE)+VLOOKUP("232",'[8]BS ACCTS'!$D$6:$ZZ$999,114,FALSE)-VLOOKUP("2320008",'[8]BS ACCTS'!$D$6:$ZZ$999,114,FALSE)-VLOOKUP("2320015",'[8]BS ACCTS'!$D$6:$ZZ$999,114,FALSE)-VLOOKUP("2320020",'[8]BS ACCTS'!$D$6:$ZZ$999,114,FALSE)-VLOOKUP("2320022",'[8]BS ACCTS'!$D$6:$ZZ$999,114,FALSE)</f>
        <v>62154.900000000016</v>
      </c>
      <c r="BY74" s="583">
        <f>VLOOKUP("2420300",'[8]BS ACCTS'!$D$6:$ZZ$999,115,FALSE)+VLOOKUP("232",'[8]BS ACCTS'!$D$6:$ZZ$999,115,FALSE)-VLOOKUP("2320008",'[8]BS ACCTS'!$D$6:$ZZ$999,115,FALSE)-VLOOKUP("2320015",'[8]BS ACCTS'!$D$6:$ZZ$999,115,FALSE)-VLOOKUP("2320020",'[8]BS ACCTS'!$D$6:$ZZ$999,115,FALSE)-VLOOKUP("2320022",'[8]BS ACCTS'!$D$6:$ZZ$999,115,FALSE)</f>
        <v>52092.700000000004</v>
      </c>
      <c r="BZ74" s="583">
        <f>VLOOKUP("2420300",'[8]BS ACCTS'!$D$6:$ZZ$999,116,FALSE)+VLOOKUP("232",'[8]BS ACCTS'!$D$6:$ZZ$999,116,FALSE)-VLOOKUP("2320008",'[8]BS ACCTS'!$D$6:$ZZ$999,116,FALSE)-VLOOKUP("2320015",'[8]BS ACCTS'!$D$6:$ZZ$999,116,FALSE)-VLOOKUP("2320020",'[8]BS ACCTS'!$D$6:$ZZ$999,116,FALSE)-VLOOKUP("2320022",'[8]BS ACCTS'!$D$6:$ZZ$999,116,FALSE)</f>
        <v>51590.5</v>
      </c>
      <c r="CA74" s="583">
        <f>VLOOKUP("2420300",'[8]BS ACCTS'!$D$6:$ZZ$999,117,FALSE)+VLOOKUP("232",'[8]BS ACCTS'!$D$6:$ZZ$999,117,FALSE)-VLOOKUP("2320008",'[8]BS ACCTS'!$D$6:$ZZ$999,117,FALSE)-VLOOKUP("2320015",'[8]BS ACCTS'!$D$6:$ZZ$999,117,FALSE)-VLOOKUP("2320020",'[8]BS ACCTS'!$D$6:$ZZ$999,117,FALSE)-VLOOKUP("2320022",'[8]BS ACCTS'!$D$6:$ZZ$999,117,FALSE)</f>
        <v>61803.3</v>
      </c>
      <c r="CB74" s="583">
        <f>VLOOKUP("2420300",'[8]BS ACCTS'!$D$6:$ZZ$999,118,FALSE)+VLOOKUP("232",'[8]BS ACCTS'!$D$6:$ZZ$999,118,FALSE)-VLOOKUP("2320008",'[8]BS ACCTS'!$D$6:$ZZ$999,118,FALSE)-VLOOKUP("2320015",'[8]BS ACCTS'!$D$6:$ZZ$999,118,FALSE)-VLOOKUP("2320020",'[8]BS ACCTS'!$D$6:$ZZ$999,118,FALSE)-VLOOKUP("2320022",'[8]BS ACCTS'!$D$6:$ZZ$999,118,FALSE)</f>
        <v>57509.799999999988</v>
      </c>
      <c r="CC74" s="583">
        <f>VLOOKUP("2420300",'[8]BS ACCTS'!$D$6:$ZZ$999,119,FALSE)+VLOOKUP("232",'[8]BS ACCTS'!$D$6:$ZZ$999,119,FALSE)-VLOOKUP("2320008",'[8]BS ACCTS'!$D$6:$ZZ$999,119,FALSE)-VLOOKUP("2320015",'[8]BS ACCTS'!$D$6:$ZZ$999,119,FALSE)-VLOOKUP("2320020",'[8]BS ACCTS'!$D$6:$ZZ$999,119,FALSE)-VLOOKUP("2320022",'[8]BS ACCTS'!$D$6:$ZZ$999,119,FALSE)</f>
        <v>56628.4</v>
      </c>
      <c r="CD74" s="583">
        <f>VLOOKUP("2420300",'[8]BS ACCTS'!$D$6:$ZZ$999,120,FALSE)+VLOOKUP("232",'[8]BS ACCTS'!$D$6:$ZZ$999,120,FALSE)-VLOOKUP("2320008",'[8]BS ACCTS'!$D$6:$ZZ$999,120,FALSE)-VLOOKUP("2320015",'[8]BS ACCTS'!$D$6:$ZZ$999,120,FALSE)-VLOOKUP("2320020",'[8]BS ACCTS'!$D$6:$ZZ$999,120,FALSE)-VLOOKUP("2320022",'[8]BS ACCTS'!$D$6:$ZZ$999,120,FALSE)</f>
        <v>61232.299999999996</v>
      </c>
      <c r="CE74" s="583">
        <f>VLOOKUP("2420300",'[8]BS ACCTS'!$D$6:$ZZ$999,121,FALSE)+VLOOKUP("232",'[8]BS ACCTS'!$D$6:$ZZ$999,121,FALSE)-VLOOKUP("2320008",'[8]BS ACCTS'!$D$6:$ZZ$999,121,FALSE)-VLOOKUP("2320015",'[8]BS ACCTS'!$D$6:$ZZ$999,121,FALSE)-VLOOKUP("2320020",'[8]BS ACCTS'!$D$6:$ZZ$999,121,FALSE)-VLOOKUP("2320022",'[8]BS ACCTS'!$D$6:$ZZ$999,121,FALSE)</f>
        <v>61559.399999999987</v>
      </c>
      <c r="CF74" s="583">
        <f>VLOOKUP("2420300",'[8]BS ACCTS'!$D$6:$ZZ$999,122,FALSE)+VLOOKUP("232",'[8]BS ACCTS'!$D$6:$ZZ$999,122,FALSE)-VLOOKUP("2320008",'[8]BS ACCTS'!$D$6:$ZZ$999,122,FALSE)-VLOOKUP("2320015",'[8]BS ACCTS'!$D$6:$ZZ$999,122,FALSE)-VLOOKUP("2320020",'[8]BS ACCTS'!$D$6:$ZZ$999,122,FALSE)-VLOOKUP("2320022",'[8]BS ACCTS'!$D$6:$ZZ$999,122,FALSE)</f>
        <v>61861.899999999994</v>
      </c>
      <c r="CG74" s="583">
        <f>VLOOKUP("2420300",'[8]BS ACCTS'!$D$6:$ZZ$999,123,FALSE)+VLOOKUP("232",'[8]BS ACCTS'!$D$6:$ZZ$999,123,FALSE)-VLOOKUP("2320008",'[8]BS ACCTS'!$D$6:$ZZ$999,123,FALSE)-VLOOKUP("2320015",'[8]BS ACCTS'!$D$6:$ZZ$999,123,FALSE)-VLOOKUP("2320020",'[8]BS ACCTS'!$D$6:$ZZ$999,123,FALSE)-VLOOKUP("2320022",'[8]BS ACCTS'!$D$6:$ZZ$999,123,FALSE)</f>
        <v>61625.799999999996</v>
      </c>
      <c r="CH74" s="583">
        <f>VLOOKUP("2420300",'[8]BS ACCTS'!$D$6:$ZZ$999,124,FALSE)+VLOOKUP("232",'[8]BS ACCTS'!$D$6:$ZZ$999,124,FALSE)-VLOOKUP("2320008",'[8]BS ACCTS'!$D$6:$ZZ$999,124,FALSE)-VLOOKUP("2320015",'[8]BS ACCTS'!$D$6:$ZZ$999,124,FALSE)-VLOOKUP("2320020",'[8]BS ACCTS'!$D$6:$ZZ$999,124,FALSE)-VLOOKUP("2320022",'[8]BS ACCTS'!$D$6:$ZZ$999,124,FALSE)</f>
        <v>61827.69999999999</v>
      </c>
      <c r="CI74" s="699">
        <f t="shared" si="124"/>
        <v>60861.055883076937</v>
      </c>
      <c r="CK74" s="33"/>
      <c r="CL74" s="184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</row>
    <row r="75" spans="1:104">
      <c r="A75" s="617" t="s">
        <v>522</v>
      </c>
      <c r="B75" s="260">
        <f t="shared" ca="1" si="123"/>
        <v>0</v>
      </c>
      <c r="C75" s="352">
        <v>0</v>
      </c>
      <c r="D75" s="352">
        <v>0</v>
      </c>
      <c r="E75" s="352">
        <v>0</v>
      </c>
      <c r="F75" s="352">
        <v>0</v>
      </c>
      <c r="G75" s="352">
        <v>0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415">
        <v>0</v>
      </c>
      <c r="P75" s="415">
        <v>0</v>
      </c>
      <c r="Q75" s="415">
        <v>0</v>
      </c>
      <c r="R75" s="415">
        <v>0</v>
      </c>
      <c r="S75" s="415">
        <v>0</v>
      </c>
      <c r="T75" s="415">
        <v>0</v>
      </c>
      <c r="U75" s="415">
        <v>0</v>
      </c>
      <c r="V75" s="415">
        <v>0</v>
      </c>
      <c r="W75" s="415">
        <v>0</v>
      </c>
      <c r="X75" s="415">
        <v>0</v>
      </c>
      <c r="Y75" s="415">
        <v>0</v>
      </c>
      <c r="Z75" s="415">
        <v>0</v>
      </c>
      <c r="AA75" s="415">
        <v>0</v>
      </c>
      <c r="AB75" s="415">
        <v>0</v>
      </c>
      <c r="AC75" s="415">
        <v>0</v>
      </c>
      <c r="AD75" s="415">
        <v>0</v>
      </c>
      <c r="AE75" s="415">
        <v>0</v>
      </c>
      <c r="AF75" s="415">
        <v>0</v>
      </c>
      <c r="AG75" s="415">
        <v>0</v>
      </c>
      <c r="AH75" s="415">
        <v>0</v>
      </c>
      <c r="AI75" s="415">
        <v>0</v>
      </c>
      <c r="AJ75" s="415">
        <v>0</v>
      </c>
      <c r="AK75" s="415">
        <v>0</v>
      </c>
      <c r="AL75" s="415">
        <v>0</v>
      </c>
      <c r="AM75" s="415">
        <v>0</v>
      </c>
      <c r="AN75" s="415">
        <v>0</v>
      </c>
      <c r="AO75" s="415">
        <v>0</v>
      </c>
      <c r="AP75" s="415">
        <v>0</v>
      </c>
      <c r="AQ75" s="415">
        <v>0</v>
      </c>
      <c r="AR75" s="413">
        <v>0</v>
      </c>
      <c r="AS75" s="413">
        <v>0</v>
      </c>
      <c r="AT75" s="413">
        <v>0</v>
      </c>
      <c r="AU75" s="413">
        <v>0</v>
      </c>
      <c r="AV75" s="413">
        <v>0</v>
      </c>
      <c r="AW75" s="413">
        <v>0</v>
      </c>
      <c r="AX75" s="413">
        <v>0</v>
      </c>
      <c r="AY75" s="413">
        <v>0</v>
      </c>
      <c r="AZ75" s="413">
        <v>0</v>
      </c>
      <c r="BA75" s="413">
        <v>0</v>
      </c>
      <c r="BB75" s="413">
        <v>0</v>
      </c>
      <c r="BC75" s="413">
        <v>0</v>
      </c>
      <c r="BD75" s="413">
        <v>0</v>
      </c>
      <c r="BE75" s="583">
        <v>0</v>
      </c>
      <c r="BF75" s="583">
        <v>0</v>
      </c>
      <c r="BG75" s="583">
        <v>0</v>
      </c>
      <c r="BH75" s="583">
        <v>0</v>
      </c>
      <c r="BI75" s="583">
        <v>0</v>
      </c>
      <c r="BJ75" s="583">
        <v>0</v>
      </c>
      <c r="BK75" s="583">
        <v>0</v>
      </c>
      <c r="BL75" s="583">
        <v>0</v>
      </c>
      <c r="BM75" s="583">
        <v>0</v>
      </c>
      <c r="BN75" s="583">
        <v>0</v>
      </c>
      <c r="BO75" s="583">
        <v>0</v>
      </c>
      <c r="BP75" s="583">
        <v>0</v>
      </c>
      <c r="BQ75" s="583">
        <v>0</v>
      </c>
      <c r="BR75" s="583">
        <v>0</v>
      </c>
      <c r="BS75" s="583">
        <v>0</v>
      </c>
      <c r="BT75" s="583">
        <v>0</v>
      </c>
      <c r="BU75" s="583">
        <v>0</v>
      </c>
      <c r="BV75" s="583">
        <v>0</v>
      </c>
      <c r="BW75" s="583">
        <f>(VLOOKUP("2330711",'[8]BS ACCTS'!$D$6:$ZZ$999,113,FALSE))-(VLOOKUP("2330711",'[8]BS ACCTS'!$D$6:$ZZ$999,113,FALSE))</f>
        <v>0</v>
      </c>
      <c r="BX75" s="583">
        <f>(VLOOKUP("2330711",'[8]BS ACCTS'!$D$6:$ZZ$999,114,FALSE))-(VLOOKUP("2330711",'[8]BS ACCTS'!$D$6:$ZZ$999,114,FALSE))</f>
        <v>0</v>
      </c>
      <c r="BY75" s="583">
        <f>(VLOOKUP("2330711",'[8]BS ACCTS'!$D$6:$ZZ$999,115,FALSE))-(VLOOKUP("2330711",'[8]BS ACCTS'!$D$6:$ZZ$999,115,FALSE))</f>
        <v>0</v>
      </c>
      <c r="BZ75" s="583">
        <f>(VLOOKUP("2330711",'[8]BS ACCTS'!$D$6:$ZZ$999,116,FALSE))-(VLOOKUP("2330711",'[8]BS ACCTS'!$D$6:$ZZ$999,116,FALSE))</f>
        <v>0</v>
      </c>
      <c r="CA75" s="583">
        <f>(VLOOKUP("2330711",'[8]BS ACCTS'!$D$6:$ZZ$999,117,FALSE))-(VLOOKUP("2330711",'[8]BS ACCTS'!$D$6:$ZZ$999,117,FALSE))</f>
        <v>0</v>
      </c>
      <c r="CB75" s="583">
        <f>(VLOOKUP("2330711",'[8]BS ACCTS'!$D$6:$ZZ$999,118,FALSE))-(VLOOKUP("2330711",'[8]BS ACCTS'!$D$6:$ZZ$999,118,FALSE))</f>
        <v>0</v>
      </c>
      <c r="CC75" s="583">
        <f>(VLOOKUP("2330711",'[8]BS ACCTS'!$D$6:$ZZ$999,119,FALSE))-(VLOOKUP("2330711",'[8]BS ACCTS'!$D$6:$ZZ$999,119,FALSE))</f>
        <v>0</v>
      </c>
      <c r="CD75" s="583">
        <f>(VLOOKUP("2330711",'[8]BS ACCTS'!$D$6:$ZZ$999,120,FALSE))-(VLOOKUP("2330711",'[8]BS ACCTS'!$D$6:$ZZ$999,120,FALSE))</f>
        <v>0</v>
      </c>
      <c r="CE75" s="583">
        <f>(VLOOKUP("2330711",'[8]BS ACCTS'!$D$6:$ZZ$999,121,FALSE))-(VLOOKUP("2330711",'[8]BS ACCTS'!$D$6:$ZZ$999,121,FALSE))</f>
        <v>0</v>
      </c>
      <c r="CF75" s="583">
        <f>(VLOOKUP("2330711",'[8]BS ACCTS'!$D$6:$ZZ$999,122,FALSE))-(VLOOKUP("2330711",'[8]BS ACCTS'!$D$6:$ZZ$999,122,FALSE))</f>
        <v>0</v>
      </c>
      <c r="CG75" s="583">
        <f>(VLOOKUP("2330711",'[8]BS ACCTS'!$D$6:$ZZ$999,123,FALSE))-(VLOOKUP("2330711",'[8]BS ACCTS'!$D$6:$ZZ$999,123,FALSE))</f>
        <v>0</v>
      </c>
      <c r="CH75" s="583">
        <f>(VLOOKUP("2330711",'[8]BS ACCTS'!$D$6:$ZZ$999,124,FALSE))-(VLOOKUP("2330711",'[8]BS ACCTS'!$D$6:$ZZ$999,124,FALSE))</f>
        <v>0</v>
      </c>
      <c r="CI75" s="699">
        <f t="shared" si="124"/>
        <v>0</v>
      </c>
      <c r="CK75" s="33"/>
      <c r="CL75" s="184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</row>
    <row r="76" spans="1:104">
      <c r="A76" s="617" t="s">
        <v>523</v>
      </c>
      <c r="B76" s="260">
        <f t="shared" ca="1" si="123"/>
        <v>18046.694266153845</v>
      </c>
      <c r="C76" s="352">
        <v>2335.0118499999999</v>
      </c>
      <c r="D76" s="352">
        <v>11570.825409999999</v>
      </c>
      <c r="E76" s="352">
        <v>4085.8183300000001</v>
      </c>
      <c r="F76" s="352">
        <v>8579.6544200000008</v>
      </c>
      <c r="G76" s="352">
        <v>13996.85288</v>
      </c>
      <c r="H76" s="352">
        <v>2652.29457</v>
      </c>
      <c r="I76" s="352">
        <v>7947.7794699999995</v>
      </c>
      <c r="J76" s="352">
        <v>4475.47876</v>
      </c>
      <c r="K76" s="352">
        <v>3001.0500099999999</v>
      </c>
      <c r="L76" s="352">
        <v>4552.1015599999992</v>
      </c>
      <c r="M76" s="352">
        <v>11106.33135</v>
      </c>
      <c r="N76" s="352">
        <v>8001.4238399999995</v>
      </c>
      <c r="O76" s="415">
        <v>7200.9321200000004</v>
      </c>
      <c r="P76" s="415">
        <v>6628.3147499999995</v>
      </c>
      <c r="Q76" s="415">
        <v>6442.00461</v>
      </c>
      <c r="R76" s="415">
        <v>6810.7524899999999</v>
      </c>
      <c r="S76" s="415">
        <v>10383.811169999999</v>
      </c>
      <c r="T76" s="415">
        <v>8069.8789900000002</v>
      </c>
      <c r="U76" s="415">
        <v>7327.8662999999997</v>
      </c>
      <c r="V76" s="415">
        <v>6511.5921900000003</v>
      </c>
      <c r="W76" s="415">
        <v>7276.4551500000007</v>
      </c>
      <c r="X76" s="415">
        <v>7215.6289900000002</v>
      </c>
      <c r="Y76" s="415">
        <v>10352.34922</v>
      </c>
      <c r="Z76" s="415">
        <v>9568.9542000000001</v>
      </c>
      <c r="AA76" s="415">
        <v>9616.3110399999987</v>
      </c>
      <c r="AB76" s="415">
        <v>6876.6940800000002</v>
      </c>
      <c r="AC76" s="415">
        <v>7920.9587300000003</v>
      </c>
      <c r="AD76" s="415">
        <v>6148.6368000000002</v>
      </c>
      <c r="AE76" s="415">
        <v>9403.0199900000007</v>
      </c>
      <c r="AF76" s="415">
        <v>8706.5546799999993</v>
      </c>
      <c r="AG76" s="415">
        <v>5766.29126</v>
      </c>
      <c r="AH76" s="415">
        <v>6705.1080700000002</v>
      </c>
      <c r="AI76" s="415">
        <v>6340.70525</v>
      </c>
      <c r="AJ76" s="415">
        <v>5809.0511900000001</v>
      </c>
      <c r="AK76" s="415">
        <v>9435.7610399999994</v>
      </c>
      <c r="AL76" s="415">
        <v>11465.299789999999</v>
      </c>
      <c r="AM76" s="415">
        <v>8005.2563899999996</v>
      </c>
      <c r="AN76" s="415">
        <v>6583.2082399999999</v>
      </c>
      <c r="AO76" s="415">
        <v>8367.6247100000001</v>
      </c>
      <c r="AP76" s="415">
        <v>6436.9436799999994</v>
      </c>
      <c r="AQ76" s="415">
        <v>9806.2314000000006</v>
      </c>
      <c r="AR76" s="413">
        <v>10042.27017</v>
      </c>
      <c r="AS76" s="413">
        <v>6059.6397400000005</v>
      </c>
      <c r="AT76" s="413">
        <v>5253.8059699999994</v>
      </c>
      <c r="AU76" s="413">
        <v>7058.4332699999995</v>
      </c>
      <c r="AV76" s="413">
        <v>6069.0720199999996</v>
      </c>
      <c r="AW76" s="413">
        <v>12802.38442</v>
      </c>
      <c r="AX76" s="413">
        <v>14186.404259999999</v>
      </c>
      <c r="AY76" s="413">
        <v>12774.503279999999</v>
      </c>
      <c r="AZ76" s="413">
        <v>12213.36923</v>
      </c>
      <c r="BA76" s="413">
        <v>5551.0028600000005</v>
      </c>
      <c r="BB76" s="413">
        <v>15103.570750000001</v>
      </c>
      <c r="BC76" s="413">
        <v>11668.17966</v>
      </c>
      <c r="BD76" s="413">
        <v>13634.860560000001</v>
      </c>
      <c r="BE76" s="583">
        <v>12336.51057</v>
      </c>
      <c r="BF76" s="583">
        <v>10228.56855</v>
      </c>
      <c r="BG76" s="583">
        <v>14919.462680000001</v>
      </c>
      <c r="BH76" s="583">
        <v>11299.470589999999</v>
      </c>
      <c r="BI76" s="583">
        <v>13776.142669999999</v>
      </c>
      <c r="BJ76" s="583">
        <v>16072.202789999999</v>
      </c>
      <c r="BK76" s="583">
        <v>13834.65186</v>
      </c>
      <c r="BL76" s="583">
        <v>13329.201519999999</v>
      </c>
      <c r="BM76" s="583">
        <v>15230.920619999999</v>
      </c>
      <c r="BN76" s="583">
        <v>10942.50354</v>
      </c>
      <c r="BO76" s="583">
        <v>13229.11045</v>
      </c>
      <c r="BP76" s="583">
        <v>15795.04981</v>
      </c>
      <c r="BQ76" s="583">
        <v>15179.281590000001</v>
      </c>
      <c r="BR76" s="583">
        <v>11760.57324</v>
      </c>
      <c r="BS76" s="583">
        <v>11920.240179999999</v>
      </c>
      <c r="BT76" s="583">
        <v>9260.2499700000008</v>
      </c>
      <c r="BU76" s="583">
        <v>14395.23034</v>
      </c>
      <c r="BV76" s="583">
        <v>28136.525460000001</v>
      </c>
      <c r="BW76" s="583">
        <f>(VLOOKUP("234",'[8]BS ACCTS'!$D$6:$ZZ$999,113,FALSE))</f>
        <v>18870.599999999999</v>
      </c>
      <c r="BX76" s="583">
        <f>(VLOOKUP("234",'[8]BS ACCTS'!$D$6:$ZZ$999,114,FALSE))</f>
        <v>16882</v>
      </c>
      <c r="BY76" s="583">
        <f>(VLOOKUP("234",'[8]BS ACCTS'!$D$6:$ZZ$999,115,FALSE))</f>
        <v>15111.4</v>
      </c>
      <c r="BZ76" s="583">
        <f>(VLOOKUP("234",'[8]BS ACCTS'!$D$6:$ZZ$999,116,FALSE))</f>
        <v>19194.999999999996</v>
      </c>
      <c r="CA76" s="583">
        <f>(VLOOKUP("234",'[8]BS ACCTS'!$D$6:$ZZ$999,117,FALSE))</f>
        <v>16049.800000000001</v>
      </c>
      <c r="CB76" s="583">
        <f>(VLOOKUP("234",'[8]BS ACCTS'!$D$6:$ZZ$999,118,FALSE))</f>
        <v>17296.2</v>
      </c>
      <c r="CC76" s="583">
        <f>(VLOOKUP("234",'[8]BS ACCTS'!$D$6:$ZZ$999,119,FALSE))</f>
        <v>19150.099999999999</v>
      </c>
      <c r="CD76" s="583">
        <f>(VLOOKUP("234",'[8]BS ACCTS'!$D$6:$ZZ$999,120,FALSE))</f>
        <v>15760.5</v>
      </c>
      <c r="CE76" s="583">
        <f>(VLOOKUP("234",'[8]BS ACCTS'!$D$6:$ZZ$999,121,FALSE))</f>
        <v>16606.399999999998</v>
      </c>
      <c r="CF76" s="583">
        <f>(VLOOKUP("234",'[8]BS ACCTS'!$D$6:$ZZ$999,122,FALSE))</f>
        <v>15747.1</v>
      </c>
      <c r="CG76" s="583">
        <f>(VLOOKUP("234",'[8]BS ACCTS'!$D$6:$ZZ$999,123,FALSE))</f>
        <v>16885.3</v>
      </c>
      <c r="CH76" s="583">
        <f>(VLOOKUP("234",'[8]BS ACCTS'!$D$6:$ZZ$999,124,FALSE))</f>
        <v>18916.099999999999</v>
      </c>
      <c r="CI76" s="699">
        <f t="shared" si="124"/>
        <v>18046.694266153845</v>
      </c>
      <c r="CK76" s="33"/>
      <c r="CL76" s="184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</row>
    <row r="77" spans="1:104">
      <c r="A77" s="617" t="s">
        <v>524</v>
      </c>
      <c r="B77" s="260">
        <f t="shared" ca="1" si="123"/>
        <v>608.84615384615381</v>
      </c>
      <c r="C77" s="352">
        <v>826</v>
      </c>
      <c r="D77" s="352">
        <v>826</v>
      </c>
      <c r="E77" s="352">
        <v>826</v>
      </c>
      <c r="F77" s="352">
        <v>826</v>
      </c>
      <c r="G77" s="352">
        <v>826</v>
      </c>
      <c r="H77" s="352">
        <v>826</v>
      </c>
      <c r="I77" s="352">
        <v>826</v>
      </c>
      <c r="J77" s="352">
        <v>826</v>
      </c>
      <c r="K77" s="352">
        <v>826</v>
      </c>
      <c r="L77" s="352">
        <v>826</v>
      </c>
      <c r="M77" s="352">
        <v>826</v>
      </c>
      <c r="N77" s="352">
        <v>826</v>
      </c>
      <c r="O77" s="415">
        <v>826</v>
      </c>
      <c r="P77" s="415">
        <v>826</v>
      </c>
      <c r="Q77" s="415">
        <v>826</v>
      </c>
      <c r="R77" s="415">
        <v>826</v>
      </c>
      <c r="S77" s="415">
        <v>826</v>
      </c>
      <c r="T77" s="415">
        <v>836</v>
      </c>
      <c r="U77" s="415">
        <v>836</v>
      </c>
      <c r="V77" s="415">
        <v>661</v>
      </c>
      <c r="W77" s="415">
        <v>661</v>
      </c>
      <c r="X77" s="415">
        <v>511</v>
      </c>
      <c r="Y77" s="415">
        <v>511</v>
      </c>
      <c r="Z77" s="415">
        <v>511</v>
      </c>
      <c r="AA77" s="415">
        <v>511</v>
      </c>
      <c r="AB77" s="415">
        <v>511</v>
      </c>
      <c r="AC77" s="415">
        <v>511</v>
      </c>
      <c r="AD77" s="415">
        <v>521</v>
      </c>
      <c r="AE77" s="415">
        <v>521</v>
      </c>
      <c r="AF77" s="415">
        <v>521</v>
      </c>
      <c r="AG77" s="415">
        <v>605</v>
      </c>
      <c r="AH77" s="415">
        <v>595</v>
      </c>
      <c r="AI77" s="415">
        <v>569</v>
      </c>
      <c r="AJ77" s="415">
        <v>569</v>
      </c>
      <c r="AK77" s="415">
        <v>569</v>
      </c>
      <c r="AL77" s="415">
        <v>569</v>
      </c>
      <c r="AM77" s="415">
        <v>569</v>
      </c>
      <c r="AN77" s="415">
        <v>594</v>
      </c>
      <c r="AO77" s="415">
        <v>594</v>
      </c>
      <c r="AP77" s="415">
        <v>594</v>
      </c>
      <c r="AQ77" s="415">
        <v>594</v>
      </c>
      <c r="AR77" s="413">
        <v>594</v>
      </c>
      <c r="AS77" s="413">
        <v>594</v>
      </c>
      <c r="AT77" s="413">
        <v>594</v>
      </c>
      <c r="AU77" s="413">
        <v>594</v>
      </c>
      <c r="AV77" s="413">
        <v>594</v>
      </c>
      <c r="AW77" s="413">
        <v>594</v>
      </c>
      <c r="AX77" s="413">
        <v>594</v>
      </c>
      <c r="AY77" s="413">
        <v>594</v>
      </c>
      <c r="AZ77" s="413">
        <v>589</v>
      </c>
      <c r="BA77" s="413">
        <v>589</v>
      </c>
      <c r="BB77" s="413">
        <v>589</v>
      </c>
      <c r="BC77" s="413">
        <v>589</v>
      </c>
      <c r="BD77" s="413">
        <v>589</v>
      </c>
      <c r="BE77" s="583">
        <v>579</v>
      </c>
      <c r="BF77" s="583">
        <v>579</v>
      </c>
      <c r="BG77" s="583">
        <v>579</v>
      </c>
      <c r="BH77" s="583">
        <v>604</v>
      </c>
      <c r="BI77" s="583">
        <v>604</v>
      </c>
      <c r="BJ77" s="583">
        <v>604</v>
      </c>
      <c r="BK77" s="583">
        <v>604</v>
      </c>
      <c r="BL77" s="583">
        <v>604</v>
      </c>
      <c r="BM77" s="583">
        <v>604</v>
      </c>
      <c r="BN77" s="583">
        <v>604</v>
      </c>
      <c r="BO77" s="583">
        <v>614</v>
      </c>
      <c r="BP77" s="583">
        <v>614</v>
      </c>
      <c r="BQ77" s="583">
        <v>614</v>
      </c>
      <c r="BR77" s="583">
        <v>614</v>
      </c>
      <c r="BS77" s="583">
        <v>614</v>
      </c>
      <c r="BT77" s="583">
        <v>614</v>
      </c>
      <c r="BU77" s="583">
        <v>614</v>
      </c>
      <c r="BV77" s="583">
        <v>715</v>
      </c>
      <c r="BW77" s="583">
        <f>(VLOOKUP("2350110",'[8]BS ACCTS'!$D$6:$ZZ$999,113,FALSE))</f>
        <v>600</v>
      </c>
      <c r="BX77" s="583">
        <f>(VLOOKUP("2350110",'[8]BS ACCTS'!$D$6:$ZZ$999,114,FALSE))</f>
        <v>600</v>
      </c>
      <c r="BY77" s="583">
        <f>(VLOOKUP("2350110",'[8]BS ACCTS'!$D$6:$ZZ$999,115,FALSE))</f>
        <v>600</v>
      </c>
      <c r="BZ77" s="583">
        <f>(VLOOKUP("2350110",'[8]BS ACCTS'!$D$6:$ZZ$999,116,FALSE))</f>
        <v>600</v>
      </c>
      <c r="CA77" s="583">
        <f>(VLOOKUP("2350110",'[8]BS ACCTS'!$D$6:$ZZ$999,117,FALSE))</f>
        <v>600</v>
      </c>
      <c r="CB77" s="583">
        <f>(VLOOKUP("2350110",'[8]BS ACCTS'!$D$6:$ZZ$999,118,FALSE))</f>
        <v>600</v>
      </c>
      <c r="CC77" s="583">
        <f>(VLOOKUP("2350110",'[8]BS ACCTS'!$D$6:$ZZ$999,119,FALSE))</f>
        <v>600</v>
      </c>
      <c r="CD77" s="583">
        <f>(VLOOKUP("2350110",'[8]BS ACCTS'!$D$6:$ZZ$999,120,FALSE))</f>
        <v>600</v>
      </c>
      <c r="CE77" s="583">
        <f>(VLOOKUP("2350110",'[8]BS ACCTS'!$D$6:$ZZ$999,121,FALSE))</f>
        <v>600</v>
      </c>
      <c r="CF77" s="583">
        <f>(VLOOKUP("2350110",'[8]BS ACCTS'!$D$6:$ZZ$999,122,FALSE))</f>
        <v>600</v>
      </c>
      <c r="CG77" s="583">
        <f>(VLOOKUP("2350110",'[8]BS ACCTS'!$D$6:$ZZ$999,123,FALSE))</f>
        <v>600</v>
      </c>
      <c r="CH77" s="583">
        <f>(VLOOKUP("2350110",'[8]BS ACCTS'!$D$6:$ZZ$999,124,FALSE))</f>
        <v>600</v>
      </c>
      <c r="CI77" s="701">
        <f t="shared" si="124"/>
        <v>608.84615384615381</v>
      </c>
      <c r="CK77" s="33"/>
      <c r="CL77" s="184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</row>
    <row r="78" spans="1:104">
      <c r="A78" s="617" t="s">
        <v>525</v>
      </c>
      <c r="B78" s="260">
        <f t="shared" ca="1" si="123"/>
        <v>11955.175672307691</v>
      </c>
      <c r="C78" s="352">
        <v>1826.5664100000001</v>
      </c>
      <c r="D78" s="352">
        <v>3484.9449500000001</v>
      </c>
      <c r="E78" s="352">
        <v>4515.6567599999998</v>
      </c>
      <c r="F78" s="352">
        <v>5475.2851300000002</v>
      </c>
      <c r="G78" s="352">
        <v>6085.7606299999998</v>
      </c>
      <c r="H78" s="352">
        <v>6944.7039799999993</v>
      </c>
      <c r="I78" s="352">
        <v>6788.0562000000009</v>
      </c>
      <c r="J78" s="352">
        <v>7816.5889500000003</v>
      </c>
      <c r="K78" s="352">
        <v>8672.3568800000012</v>
      </c>
      <c r="L78" s="352">
        <v>9670.360319999998</v>
      </c>
      <c r="M78" s="352">
        <v>1085.2319000000002</v>
      </c>
      <c r="N78" s="352">
        <v>2302.5307799999996</v>
      </c>
      <c r="O78" s="415">
        <v>3112.4171799999999</v>
      </c>
      <c r="P78" s="415">
        <v>3900.6653700000002</v>
      </c>
      <c r="Q78" s="415">
        <v>4805.9942899999996</v>
      </c>
      <c r="R78" s="415">
        <v>5975.929180000001</v>
      </c>
      <c r="S78" s="415">
        <v>6833.498959999999</v>
      </c>
      <c r="T78" s="415">
        <v>7906.3087799999994</v>
      </c>
      <c r="U78" s="415">
        <v>7757.4725899999994</v>
      </c>
      <c r="V78" s="415">
        <v>8848.4747899999984</v>
      </c>
      <c r="W78" s="415">
        <v>10118.895889999998</v>
      </c>
      <c r="X78" s="415">
        <v>11132.661629999999</v>
      </c>
      <c r="Y78" s="415">
        <v>1093.6059300000002</v>
      </c>
      <c r="Z78" s="415">
        <v>2719.5430200000001</v>
      </c>
      <c r="AA78" s="415">
        <v>3392.6411699999999</v>
      </c>
      <c r="AB78" s="415">
        <v>4397.5642500000004</v>
      </c>
      <c r="AC78" s="415">
        <v>5331.8971500000007</v>
      </c>
      <c r="AD78" s="415">
        <v>6269.4486200000001</v>
      </c>
      <c r="AE78" s="415">
        <v>7567.9415099999997</v>
      </c>
      <c r="AF78" s="415">
        <v>8644.428969999999</v>
      </c>
      <c r="AG78" s="415">
        <v>8782.1048800000008</v>
      </c>
      <c r="AH78" s="415">
        <v>9443.5895099999998</v>
      </c>
      <c r="AI78" s="415">
        <v>10635.391030000001</v>
      </c>
      <c r="AJ78" s="415">
        <v>11792.56782</v>
      </c>
      <c r="AK78" s="415">
        <v>1285.7686999999999</v>
      </c>
      <c r="AL78" s="415">
        <v>2911.5146299999997</v>
      </c>
      <c r="AM78" s="415">
        <v>3393.4568699999995</v>
      </c>
      <c r="AN78" s="415">
        <v>4383.3032400000002</v>
      </c>
      <c r="AO78" s="415">
        <v>5525.7501899999997</v>
      </c>
      <c r="AP78" s="415">
        <v>6545.5603300000002</v>
      </c>
      <c r="AQ78" s="415">
        <v>7971.6265999999996</v>
      </c>
      <c r="AR78" s="413">
        <v>9502.5875399999986</v>
      </c>
      <c r="AS78" s="413">
        <v>10854.755899999998</v>
      </c>
      <c r="AT78" s="413">
        <v>12425.299010000001</v>
      </c>
      <c r="AU78" s="413">
        <v>13747.201730000001</v>
      </c>
      <c r="AV78" s="413">
        <v>15397.22748</v>
      </c>
      <c r="AW78" s="413">
        <v>3762.20037</v>
      </c>
      <c r="AX78" s="413">
        <v>5259.8825099999995</v>
      </c>
      <c r="AY78" s="413">
        <v>6711.2380899999998</v>
      </c>
      <c r="AZ78" s="413">
        <v>7920.3094099999998</v>
      </c>
      <c r="BA78" s="413">
        <v>8751.4627899999996</v>
      </c>
      <c r="BB78" s="413">
        <v>10180.265290000001</v>
      </c>
      <c r="BC78" s="413">
        <v>11278.53404</v>
      </c>
      <c r="BD78" s="413">
        <v>12612.689839999999</v>
      </c>
      <c r="BE78" s="583">
        <v>12730.01604</v>
      </c>
      <c r="BF78" s="583">
        <v>13959.51836</v>
      </c>
      <c r="BG78" s="583">
        <v>14835.18792</v>
      </c>
      <c r="BH78" s="583">
        <v>16316.390210000001</v>
      </c>
      <c r="BI78" s="583">
        <v>4307.0778300000002</v>
      </c>
      <c r="BJ78" s="583">
        <v>5474.3132600000008</v>
      </c>
      <c r="BK78" s="583">
        <v>6474.3813199999995</v>
      </c>
      <c r="BL78" s="583">
        <v>8297.2767500000009</v>
      </c>
      <c r="BM78" s="583">
        <v>9448.6411700000008</v>
      </c>
      <c r="BN78" s="583">
        <v>11075.494269999999</v>
      </c>
      <c r="BO78" s="583">
        <v>12632.660280000002</v>
      </c>
      <c r="BP78" s="583">
        <v>14367.794550000001</v>
      </c>
      <c r="BQ78" s="583">
        <v>14345.528010000002</v>
      </c>
      <c r="BR78" s="583">
        <v>16090.25628</v>
      </c>
      <c r="BS78" s="583">
        <v>17343.187839999999</v>
      </c>
      <c r="BT78" s="583">
        <v>19264.953020000001</v>
      </c>
      <c r="BU78" s="583">
        <v>3602.9451099999997</v>
      </c>
      <c r="BV78" s="583">
        <v>4856.9837400000006</v>
      </c>
      <c r="BW78" s="583">
        <f>VLOOKUP("2360600",'[8]BS ACCTS'!$D$6:$ZZ$999,113,FALSE)+VLOOKUP("2360800",'[8]BS ACCTS'!$D$6:$ZZ$999,113,FALSE)+VLOOKUP("2360601",'[8]BS ACCTS'!$D$6:$ZZ$999,113,FALSE)+VLOOKUP("2360602",'[8]BS ACCTS'!$D$6:$ZZ$999,113,FALSE)+VLOOKUP("2360603",'[8]BS ACCTS'!$D$6:$ZZ$999,113,FALSE)+VLOOKUP("2360604",'[8]BS ACCTS'!$D$6:$ZZ$999,113,FALSE)+VLOOKUP("2360605",'[8]BS ACCTS'!$D$6:$ZZ$999,113,FALSE)+VLOOKUP("2360620",'[8]BS ACCTS'!$D$6:$ZZ$999,113,FALSE)</f>
        <v>6609</v>
      </c>
      <c r="BX78" s="583">
        <f>VLOOKUP("2360600",'[8]BS ACCTS'!$D$6:$ZZ$999,114,FALSE)+VLOOKUP("2360800",'[8]BS ACCTS'!$D$6:$ZZ$999,114,FALSE)+VLOOKUP("2360601",'[8]BS ACCTS'!$D$6:$ZZ$999,114,FALSE)+VLOOKUP("2360602",'[8]BS ACCTS'!$D$6:$ZZ$999,114,FALSE)+VLOOKUP("2360603",'[8]BS ACCTS'!$D$6:$ZZ$999,114,FALSE)+VLOOKUP("2360604",'[8]BS ACCTS'!$D$6:$ZZ$999,114,FALSE)+VLOOKUP("2360605",'[8]BS ACCTS'!$D$6:$ZZ$999,114,FALSE)+VLOOKUP("2360620",'[8]BS ACCTS'!$D$6:$ZZ$999,114,FALSE)</f>
        <v>8508.3000000000011</v>
      </c>
      <c r="BY78" s="583">
        <f>VLOOKUP("2360600",'[8]BS ACCTS'!$D$6:$ZZ$999,115,FALSE)+VLOOKUP("2360800",'[8]BS ACCTS'!$D$6:$ZZ$999,115,FALSE)+VLOOKUP("2360601",'[8]BS ACCTS'!$D$6:$ZZ$999,115,FALSE)+VLOOKUP("2360602",'[8]BS ACCTS'!$D$6:$ZZ$999,115,FALSE)+VLOOKUP("2360603",'[8]BS ACCTS'!$D$6:$ZZ$999,115,FALSE)+VLOOKUP("2360604",'[8]BS ACCTS'!$D$6:$ZZ$999,115,FALSE)+VLOOKUP("2360605",'[8]BS ACCTS'!$D$6:$ZZ$999,115,FALSE)+VLOOKUP("2360620",'[8]BS ACCTS'!$D$6:$ZZ$999,115,FALSE)</f>
        <v>9994.7000000000007</v>
      </c>
      <c r="BZ78" s="583">
        <f>VLOOKUP("2360600",'[8]BS ACCTS'!$D$6:$ZZ$999,116,FALSE)+VLOOKUP("2360800",'[8]BS ACCTS'!$D$6:$ZZ$999,116,FALSE)+VLOOKUP("2360601",'[8]BS ACCTS'!$D$6:$ZZ$999,116,FALSE)+VLOOKUP("2360602",'[8]BS ACCTS'!$D$6:$ZZ$999,116,FALSE)+VLOOKUP("2360603",'[8]BS ACCTS'!$D$6:$ZZ$999,116,FALSE)+VLOOKUP("2360604",'[8]BS ACCTS'!$D$6:$ZZ$999,116,FALSE)+VLOOKUP("2360605",'[8]BS ACCTS'!$D$6:$ZZ$999,116,FALSE)+VLOOKUP("2360620",'[8]BS ACCTS'!$D$6:$ZZ$999,116,FALSE)</f>
        <v>11831.1</v>
      </c>
      <c r="CA78" s="583">
        <f>VLOOKUP("2360600",'[8]BS ACCTS'!$D$6:$ZZ$999,117,FALSE)+VLOOKUP("2360800",'[8]BS ACCTS'!$D$6:$ZZ$999,117,FALSE)+VLOOKUP("2360601",'[8]BS ACCTS'!$D$6:$ZZ$999,117,FALSE)+VLOOKUP("2360602",'[8]BS ACCTS'!$D$6:$ZZ$999,117,FALSE)+VLOOKUP("2360603",'[8]BS ACCTS'!$D$6:$ZZ$999,117,FALSE)+VLOOKUP("2360604",'[8]BS ACCTS'!$D$6:$ZZ$999,117,FALSE)+VLOOKUP("2360605",'[8]BS ACCTS'!$D$6:$ZZ$999,117,FALSE)+VLOOKUP("2360620",'[8]BS ACCTS'!$D$6:$ZZ$999,117,FALSE)</f>
        <v>13639.800000000001</v>
      </c>
      <c r="CB78" s="583">
        <f>VLOOKUP("2360600",'[8]BS ACCTS'!$D$6:$ZZ$999,118,FALSE)+VLOOKUP("2360800",'[8]BS ACCTS'!$D$6:$ZZ$999,118,FALSE)+VLOOKUP("2360601",'[8]BS ACCTS'!$D$6:$ZZ$999,118,FALSE)+VLOOKUP("2360602",'[8]BS ACCTS'!$D$6:$ZZ$999,118,FALSE)+VLOOKUP("2360603",'[8]BS ACCTS'!$D$6:$ZZ$999,118,FALSE)+VLOOKUP("2360604",'[8]BS ACCTS'!$D$6:$ZZ$999,118,FALSE)+VLOOKUP("2360605",'[8]BS ACCTS'!$D$6:$ZZ$999,118,FALSE)+VLOOKUP("2360620",'[8]BS ACCTS'!$D$6:$ZZ$999,118,FALSE)</f>
        <v>15622.099999999999</v>
      </c>
      <c r="CC78" s="583">
        <f>VLOOKUP("2360600",'[8]BS ACCTS'!$D$6:$ZZ$999,119,FALSE)+VLOOKUP("2360800",'[8]BS ACCTS'!$D$6:$ZZ$999,119,FALSE)+VLOOKUP("2360601",'[8]BS ACCTS'!$D$6:$ZZ$999,119,FALSE)+VLOOKUP("2360602",'[8]BS ACCTS'!$D$6:$ZZ$999,119,FALSE)+VLOOKUP("2360603",'[8]BS ACCTS'!$D$6:$ZZ$999,119,FALSE)+VLOOKUP("2360604",'[8]BS ACCTS'!$D$6:$ZZ$999,119,FALSE)+VLOOKUP("2360605",'[8]BS ACCTS'!$D$6:$ZZ$999,119,FALSE)+VLOOKUP("2360620",'[8]BS ACCTS'!$D$6:$ZZ$999,119,FALSE)</f>
        <v>16171.300000000001</v>
      </c>
      <c r="CD78" s="583">
        <f>VLOOKUP("2360600",'[8]BS ACCTS'!$D$6:$ZZ$999,120,FALSE)+VLOOKUP("2360800",'[8]BS ACCTS'!$D$6:$ZZ$999,120,FALSE)+VLOOKUP("2360601",'[8]BS ACCTS'!$D$6:$ZZ$999,120,FALSE)+VLOOKUP("2360602",'[8]BS ACCTS'!$D$6:$ZZ$999,120,FALSE)+VLOOKUP("2360603",'[8]BS ACCTS'!$D$6:$ZZ$999,120,FALSE)+VLOOKUP("2360604",'[8]BS ACCTS'!$D$6:$ZZ$999,120,FALSE)+VLOOKUP("2360605",'[8]BS ACCTS'!$D$6:$ZZ$999,120,FALSE)+VLOOKUP("2360620",'[8]BS ACCTS'!$D$6:$ZZ$999,120,FALSE)</f>
        <v>18014.7</v>
      </c>
      <c r="CE78" s="583">
        <f>VLOOKUP("2360600",'[8]BS ACCTS'!$D$6:$ZZ$999,121,FALSE)+VLOOKUP("2360800",'[8]BS ACCTS'!$D$6:$ZZ$999,121,FALSE)+VLOOKUP("2360601",'[8]BS ACCTS'!$D$6:$ZZ$999,121,FALSE)+VLOOKUP("2360602",'[8]BS ACCTS'!$D$6:$ZZ$999,121,FALSE)+VLOOKUP("2360603",'[8]BS ACCTS'!$D$6:$ZZ$999,121,FALSE)+VLOOKUP("2360604",'[8]BS ACCTS'!$D$6:$ZZ$999,121,FALSE)+VLOOKUP("2360605",'[8]BS ACCTS'!$D$6:$ZZ$999,121,FALSE)+VLOOKUP("2360620",'[8]BS ACCTS'!$D$6:$ZZ$999,121,FALSE)</f>
        <v>20063.899999999998</v>
      </c>
      <c r="CF78" s="583">
        <f>VLOOKUP("2360600",'[8]BS ACCTS'!$D$6:$ZZ$999,122,FALSE)+VLOOKUP("2360800",'[8]BS ACCTS'!$D$6:$ZZ$999,122,FALSE)+VLOOKUP("2360601",'[8]BS ACCTS'!$D$6:$ZZ$999,122,FALSE)+VLOOKUP("2360602",'[8]BS ACCTS'!$D$6:$ZZ$999,122,FALSE)+VLOOKUP("2360603",'[8]BS ACCTS'!$D$6:$ZZ$999,122,FALSE)+VLOOKUP("2360604",'[8]BS ACCTS'!$D$6:$ZZ$999,122,FALSE)+VLOOKUP("2360605",'[8]BS ACCTS'!$D$6:$ZZ$999,122,FALSE)+VLOOKUP("2360620",'[8]BS ACCTS'!$D$6:$ZZ$999,122,FALSE)</f>
        <v>22189.8</v>
      </c>
      <c r="CG78" s="583">
        <f>VLOOKUP("2360600",'[8]BS ACCTS'!$D$6:$ZZ$999,123,FALSE)+VLOOKUP("2360800",'[8]BS ACCTS'!$D$6:$ZZ$999,123,FALSE)+VLOOKUP("2360601",'[8]BS ACCTS'!$D$6:$ZZ$999,123,FALSE)+VLOOKUP("2360602",'[8]BS ACCTS'!$D$6:$ZZ$999,123,FALSE)+VLOOKUP("2360603",'[8]BS ACCTS'!$D$6:$ZZ$999,123,FALSE)+VLOOKUP("2360604",'[8]BS ACCTS'!$D$6:$ZZ$999,123,FALSE)+VLOOKUP("2360605",'[8]BS ACCTS'!$D$6:$ZZ$999,123,FALSE)+VLOOKUP("2360620",'[8]BS ACCTS'!$D$6:$ZZ$999,123,FALSE)</f>
        <v>3105.6</v>
      </c>
      <c r="CH78" s="583">
        <f>VLOOKUP("2360600",'[8]BS ACCTS'!$D$6:$ZZ$999,124,FALSE)+VLOOKUP("2360800",'[8]BS ACCTS'!$D$6:$ZZ$999,124,FALSE)+VLOOKUP("2360601",'[8]BS ACCTS'!$D$6:$ZZ$999,124,FALSE)+VLOOKUP("2360602",'[8]BS ACCTS'!$D$6:$ZZ$999,124,FALSE)+VLOOKUP("2360603",'[8]BS ACCTS'!$D$6:$ZZ$999,124,FALSE)+VLOOKUP("2360604",'[8]BS ACCTS'!$D$6:$ZZ$999,124,FALSE)+VLOOKUP("2360605",'[8]BS ACCTS'!$D$6:$ZZ$999,124,FALSE)+VLOOKUP("2360620",'[8]BS ACCTS'!$D$6:$ZZ$999,124,FALSE)</f>
        <v>4810</v>
      </c>
      <c r="CI78" s="699">
        <f t="shared" si="124"/>
        <v>11955.175672307691</v>
      </c>
      <c r="CK78" s="33"/>
      <c r="CL78" s="184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</row>
    <row r="79" spans="1:104">
      <c r="A79" s="617" t="s">
        <v>526</v>
      </c>
      <c r="B79" s="260">
        <f t="shared" ca="1" si="123"/>
        <v>565.38590999999985</v>
      </c>
      <c r="C79" s="350">
        <v>1218.3196600000001</v>
      </c>
      <c r="D79" s="350">
        <v>664.62072000000001</v>
      </c>
      <c r="E79" s="350">
        <v>776.46587999999997</v>
      </c>
      <c r="F79" s="350">
        <v>1627.8128000000002</v>
      </c>
      <c r="G79" s="350">
        <v>855.23186999999996</v>
      </c>
      <c r="H79" s="350">
        <v>483.44291999999996</v>
      </c>
      <c r="I79" s="350">
        <v>-431.38654000000002</v>
      </c>
      <c r="J79" s="350">
        <v>-1391.2199500000002</v>
      </c>
      <c r="K79" s="350">
        <v>183.89595</v>
      </c>
      <c r="L79" s="350">
        <v>-1760.4175400000001</v>
      </c>
      <c r="M79" s="350">
        <v>-2712.9843100000003</v>
      </c>
      <c r="N79" s="350">
        <v>5917.8919100000003</v>
      </c>
      <c r="O79" s="413">
        <v>9137.7768799999994</v>
      </c>
      <c r="P79" s="413">
        <v>9528.6870699999999</v>
      </c>
      <c r="Q79" s="413">
        <v>10351.167939999999</v>
      </c>
      <c r="R79" s="413">
        <v>4074.8491899999999</v>
      </c>
      <c r="S79" s="413">
        <v>4320.2222700000002</v>
      </c>
      <c r="T79" s="413">
        <v>2686.9885899999999</v>
      </c>
      <c r="U79" s="413">
        <v>2898.5594300000002</v>
      </c>
      <c r="V79" s="413">
        <v>2060.4149300000004</v>
      </c>
      <c r="W79" s="413">
        <v>1143.8678300000001</v>
      </c>
      <c r="X79" s="413">
        <v>821.47520000000009</v>
      </c>
      <c r="Y79" s="413">
        <v>-2529.3949400000006</v>
      </c>
      <c r="Z79" s="413">
        <v>2694.5114199999998</v>
      </c>
      <c r="AA79" s="413">
        <v>4355.7901700000002</v>
      </c>
      <c r="AB79" s="413">
        <v>4311.5134900000003</v>
      </c>
      <c r="AC79" s="413">
        <v>5435.6130999999996</v>
      </c>
      <c r="AD79" s="413">
        <v>2908.0823</v>
      </c>
      <c r="AE79" s="413">
        <v>3228.2966199999996</v>
      </c>
      <c r="AF79" s="413">
        <v>2414.2994899999999</v>
      </c>
      <c r="AG79" s="413">
        <v>2448.7563500000001</v>
      </c>
      <c r="AH79" s="413">
        <v>2493.2497400000002</v>
      </c>
      <c r="AI79" s="413">
        <v>697.39471000000003</v>
      </c>
      <c r="AJ79" s="413">
        <v>871.61304000000007</v>
      </c>
      <c r="AK79" s="413">
        <v>1410.9714799999999</v>
      </c>
      <c r="AL79" s="413">
        <v>-1.0000000000000001E-5</v>
      </c>
      <c r="AM79" s="413">
        <v>3124.5150300000005</v>
      </c>
      <c r="AN79" s="413">
        <v>1117.3269299999999</v>
      </c>
      <c r="AO79" s="413">
        <v>1492.18869</v>
      </c>
      <c r="AP79" s="413">
        <v>2220.2245200000002</v>
      </c>
      <c r="AQ79" s="413">
        <v>1908.7737099999999</v>
      </c>
      <c r="AR79" s="413">
        <v>2493.3735099999999</v>
      </c>
      <c r="AS79" s="413">
        <v>2074.2094900000002</v>
      </c>
      <c r="AT79" s="413">
        <v>2044.7551899999999</v>
      </c>
      <c r="AU79" s="413">
        <v>2340.2763399999999</v>
      </c>
      <c r="AV79" s="413">
        <v>706.76859999999999</v>
      </c>
      <c r="AW79" s="413">
        <v>1853.6941600000002</v>
      </c>
      <c r="AX79" s="413">
        <v>1537.1815300000001</v>
      </c>
      <c r="AY79" s="413">
        <v>4384.3406999999997</v>
      </c>
      <c r="AZ79" s="413">
        <v>5537.8809799999999</v>
      </c>
      <c r="BA79" s="413">
        <v>4948.4920499999998</v>
      </c>
      <c r="BB79" s="413">
        <v>3068.42688</v>
      </c>
      <c r="BC79" s="413">
        <v>2487.3352699999996</v>
      </c>
      <c r="BD79" s="413">
        <v>2665.9445100000003</v>
      </c>
      <c r="BE79" s="587">
        <v>2347.3771200000001</v>
      </c>
      <c r="BF79" s="587">
        <v>2992.1392700000001</v>
      </c>
      <c r="BG79" s="587">
        <v>-422.22386999999998</v>
      </c>
      <c r="BH79" s="587">
        <v>-2041.9777900000001</v>
      </c>
      <c r="BI79" s="587">
        <v>-3677.1605999999997</v>
      </c>
      <c r="BJ79" s="587">
        <v>0</v>
      </c>
      <c r="BK79" s="587">
        <v>-1115.7638599999998</v>
      </c>
      <c r="BL79" s="587">
        <v>2334.8768999999998</v>
      </c>
      <c r="BM79" s="587">
        <v>2523.7108499999999</v>
      </c>
      <c r="BN79" s="587">
        <v>5651.2866699999995</v>
      </c>
      <c r="BO79" s="587">
        <v>6110.6467599999996</v>
      </c>
      <c r="BP79" s="587">
        <v>4441.9673499999999</v>
      </c>
      <c r="BQ79" s="587">
        <v>4240.3239199999998</v>
      </c>
      <c r="BR79" s="587">
        <v>814.50284999999997</v>
      </c>
      <c r="BS79" s="587">
        <v>1624.9827499999999</v>
      </c>
      <c r="BT79" s="587">
        <v>1025.91219</v>
      </c>
      <c r="BU79" s="587">
        <v>1042.3304900000001</v>
      </c>
      <c r="BV79" s="587">
        <v>339.21682999999996</v>
      </c>
      <c r="BW79" s="587">
        <f>+'[8]Balance Sheet Detail'!DG82</f>
        <v>1217.5999999999999</v>
      </c>
      <c r="BX79" s="587">
        <f>+'[8]Balance Sheet Detail'!DH82</f>
        <v>2181.6999999999998</v>
      </c>
      <c r="BY79" s="587">
        <f>+'[8]Balance Sheet Detail'!DI82</f>
        <v>1557</v>
      </c>
      <c r="BZ79" s="587">
        <f>+'[8]Balance Sheet Detail'!DJ82</f>
        <v>1835.5</v>
      </c>
      <c r="CA79" s="587">
        <f>+'[8]Balance Sheet Detail'!DK82</f>
        <v>1398</v>
      </c>
      <c r="CB79" s="587">
        <f>+'[8]Balance Sheet Detail'!DL82</f>
        <v>1672.4</v>
      </c>
      <c r="CC79" s="587">
        <f>+'[8]Balance Sheet Detail'!DM82</f>
        <v>849.30000000000007</v>
      </c>
      <c r="CD79" s="587">
        <f>+'[8]Balance Sheet Detail'!DN82</f>
        <v>-111.69999999999999</v>
      </c>
      <c r="CE79" s="587">
        <f>+'[8]Balance Sheet Detail'!DO82</f>
        <v>-163.6</v>
      </c>
      <c r="CF79" s="587">
        <f>+'[8]Balance Sheet Detail'!DP82</f>
        <v>-1563</v>
      </c>
      <c r="CG79" s="587">
        <f>+'[8]Balance Sheet Detail'!DQ82</f>
        <v>-1862.4</v>
      </c>
      <c r="CH79" s="587">
        <f>+'[8]Balance Sheet Detail'!DR82</f>
        <v>0</v>
      </c>
      <c r="CI79" s="699">
        <f t="shared" si="124"/>
        <v>565.38590999999985</v>
      </c>
      <c r="CK79" s="33"/>
      <c r="CL79" s="184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</row>
    <row r="80" spans="1:104">
      <c r="A80" s="617" t="s">
        <v>527</v>
      </c>
      <c r="B80" s="260">
        <f t="shared" ca="1" si="123"/>
        <v>7272.3621877388032</v>
      </c>
      <c r="C80" s="350">
        <v>2770.21173</v>
      </c>
      <c r="D80" s="350">
        <v>3926.4707400000002</v>
      </c>
      <c r="E80" s="350">
        <v>4756.6811999999991</v>
      </c>
      <c r="F80" s="350">
        <v>5910.0565700000006</v>
      </c>
      <c r="G80" s="350">
        <v>1791.8053599999998</v>
      </c>
      <c r="H80" s="350">
        <v>1918.3488300000001</v>
      </c>
      <c r="I80" s="350">
        <v>3064.0813800000001</v>
      </c>
      <c r="J80" s="350">
        <v>4211.7048900000009</v>
      </c>
      <c r="K80" s="350">
        <v>5034.8600999999999</v>
      </c>
      <c r="L80" s="350">
        <v>6181.1579399999991</v>
      </c>
      <c r="M80" s="350">
        <v>2053.0972099999999</v>
      </c>
      <c r="N80" s="350">
        <v>1610.1098599999998</v>
      </c>
      <c r="O80" s="413">
        <v>2767.5090900000005</v>
      </c>
      <c r="P80" s="413">
        <v>3924.17</v>
      </c>
      <c r="Q80" s="413">
        <v>4753.8465400000005</v>
      </c>
      <c r="R80" s="413">
        <v>5908.4847099999997</v>
      </c>
      <c r="S80" s="413">
        <v>1665.3694499999999</v>
      </c>
      <c r="T80" s="413">
        <v>1537.0272000000002</v>
      </c>
      <c r="U80" s="413">
        <v>2909.7936900000004</v>
      </c>
      <c r="V80" s="413">
        <v>4075.8676199999995</v>
      </c>
      <c r="W80" s="413">
        <v>4916.0469299999995</v>
      </c>
      <c r="X80" s="413">
        <v>6159.8755600000004</v>
      </c>
      <c r="Y80" s="413">
        <v>3671.2960800000001</v>
      </c>
      <c r="Z80" s="413">
        <v>1628.03539</v>
      </c>
      <c r="AA80" s="413">
        <v>2893.1340799999998</v>
      </c>
      <c r="AB80" s="413">
        <v>4157.3870999999999</v>
      </c>
      <c r="AC80" s="413">
        <v>5094.9714800000002</v>
      </c>
      <c r="AD80" s="413">
        <v>6357.8734999999997</v>
      </c>
      <c r="AE80" s="413">
        <v>3873.8124600000001</v>
      </c>
      <c r="AF80" s="413">
        <v>1719.86643</v>
      </c>
      <c r="AG80" s="413">
        <v>2996.9513299999999</v>
      </c>
      <c r="AH80" s="413">
        <v>4329.0941399999992</v>
      </c>
      <c r="AI80" s="413">
        <v>5336.7681700000003</v>
      </c>
      <c r="AJ80" s="413">
        <v>6668.6694100000004</v>
      </c>
      <c r="AK80" s="413">
        <v>4253.4423200000001</v>
      </c>
      <c r="AL80" s="413">
        <v>1450.83709</v>
      </c>
      <c r="AM80" s="413">
        <v>2790.87041</v>
      </c>
      <c r="AN80" s="413">
        <v>4130.76</v>
      </c>
      <c r="AO80" s="413">
        <v>5138.9768300000005</v>
      </c>
      <c r="AP80" s="413">
        <v>6476.2561700000006</v>
      </c>
      <c r="AQ80" s="413">
        <v>4067.1598899999995</v>
      </c>
      <c r="AR80" s="413">
        <v>1755.2275</v>
      </c>
      <c r="AS80" s="413">
        <v>3088.45496</v>
      </c>
      <c r="AT80" s="413">
        <v>4420.7581799999998</v>
      </c>
      <c r="AU80" s="413">
        <v>5426.8159399999995</v>
      </c>
      <c r="AV80" s="413">
        <v>6756.1770100000003</v>
      </c>
      <c r="AW80" s="413">
        <v>4341.5842599999996</v>
      </c>
      <c r="AX80" s="413">
        <v>1444.46074</v>
      </c>
      <c r="AY80" s="413">
        <v>2783.8603700000003</v>
      </c>
      <c r="AZ80" s="413">
        <v>4122.85214</v>
      </c>
      <c r="BA80" s="413">
        <v>5453.95208</v>
      </c>
      <c r="BB80" s="413">
        <v>7351.6719999999996</v>
      </c>
      <c r="BC80" s="413">
        <v>5292.8487700000005</v>
      </c>
      <c r="BD80" s="413">
        <v>3437.04873</v>
      </c>
      <c r="BE80" s="587">
        <v>5123.9392400000006</v>
      </c>
      <c r="BF80" s="587">
        <v>6809.8387199999997</v>
      </c>
      <c r="BG80" s="587">
        <v>4769.5174800000004</v>
      </c>
      <c r="BH80" s="587">
        <v>6452.8537000000006</v>
      </c>
      <c r="BI80" s="587">
        <v>5655.6043000000009</v>
      </c>
      <c r="BJ80" s="587">
        <v>3091.8601200000003</v>
      </c>
      <c r="BK80" s="587">
        <v>4784.6255699999992</v>
      </c>
      <c r="BL80" s="587">
        <v>6477.2407999999996</v>
      </c>
      <c r="BM80" s="587">
        <v>4481.1447800000005</v>
      </c>
      <c r="BN80" s="587">
        <v>6172.9776900000006</v>
      </c>
      <c r="BO80" s="587">
        <v>5381.6669599999996</v>
      </c>
      <c r="BP80" s="587">
        <v>3425.0602599999997</v>
      </c>
      <c r="BQ80" s="587">
        <v>5281.6561400000001</v>
      </c>
      <c r="BR80" s="587">
        <v>7248.7848700000004</v>
      </c>
      <c r="BS80" s="587">
        <v>5501.1635500000002</v>
      </c>
      <c r="BT80" s="587">
        <v>7413.2856700000002</v>
      </c>
      <c r="BU80" s="587">
        <v>6844.2570199999991</v>
      </c>
      <c r="BV80" s="587">
        <v>4458.9065299999993</v>
      </c>
      <c r="BW80" s="805">
        <f>+'[8]Balance Sheet Detail'!DG83+'2023 Intercompany Debt Schedule'!D24</f>
        <v>610.63891012095849</v>
      </c>
      <c r="BX80" s="805">
        <f>+'[8]Balance Sheet Detail'!DH83+'2023 Intercompany Debt Schedule'!E24</f>
        <v>2572.8212101210606</v>
      </c>
      <c r="BY80" s="805">
        <f>+'[8]Balance Sheet Detail'!DI83+'2023 Intercompany Debt Schedule'!F24</f>
        <v>4535.2035101210467</v>
      </c>
      <c r="BZ80" s="805">
        <f>+'[8]Balance Sheet Detail'!DJ83+'2023 Intercompany Debt Schedule'!G24</f>
        <v>6496.8472301210277</v>
      </c>
      <c r="CA80" s="805">
        <f>+'[8]Balance Sheet Detail'!DK83+'2023 Intercompany Debt Schedule'!H24</f>
        <v>8458.4908901210183</v>
      </c>
      <c r="CB80" s="805">
        <f>+'[8]Balance Sheet Detail'!DL83+'2023 Intercompany Debt Schedule'!I24</f>
        <v>10420.234550000168</v>
      </c>
      <c r="CC80" s="805">
        <f>+'[8]Balance Sheet Detail'!DM83+'2023 Intercompany Debt Schedule'!J24</f>
        <v>12381.978210000041</v>
      </c>
      <c r="CD80" s="805">
        <f>+'[8]Balance Sheet Detail'!DN83+'2023 Intercompany Debt Schedule'!K24</f>
        <v>14343.821870000033</v>
      </c>
      <c r="CE80" s="805">
        <f>+'[8]Balance Sheet Detail'!DO83+'2023 Intercompany Debt Schedule'!L24</f>
        <v>16305.765529999091</v>
      </c>
      <c r="CF80" s="587">
        <f>+'[8]Balance Sheet Detail'!DP83</f>
        <v>817.80000000000007</v>
      </c>
      <c r="CG80" s="587">
        <f>+'[8]Balance Sheet Detail'!DQ83</f>
        <v>4931.5</v>
      </c>
      <c r="CH80" s="587">
        <f>+'[8]Balance Sheet Detail'!DR83</f>
        <v>8206.7000000000007</v>
      </c>
      <c r="CI80" s="699">
        <f t="shared" si="124"/>
        <v>7272.3621877388032</v>
      </c>
      <c r="CK80" s="33"/>
      <c r="CL80" s="184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</row>
    <row r="81" spans="1:104">
      <c r="A81" s="617" t="s">
        <v>528</v>
      </c>
      <c r="B81" s="260">
        <f t="shared" ca="1" si="123"/>
        <v>0</v>
      </c>
      <c r="C81" s="350">
        <v>0</v>
      </c>
      <c r="D81" s="350">
        <v>0</v>
      </c>
      <c r="E81" s="350">
        <v>0</v>
      </c>
      <c r="F81" s="350">
        <v>0</v>
      </c>
      <c r="G81" s="350">
        <v>0</v>
      </c>
      <c r="H81" s="350">
        <v>0</v>
      </c>
      <c r="I81" s="350">
        <v>0</v>
      </c>
      <c r="J81" s="350">
        <v>0</v>
      </c>
      <c r="K81" s="350">
        <v>0</v>
      </c>
      <c r="L81" s="350">
        <v>0</v>
      </c>
      <c r="M81" s="350">
        <v>0</v>
      </c>
      <c r="N81" s="350">
        <v>0</v>
      </c>
      <c r="O81" s="413">
        <v>0</v>
      </c>
      <c r="P81" s="413">
        <v>0</v>
      </c>
      <c r="Q81" s="413">
        <v>0</v>
      </c>
      <c r="R81" s="413">
        <v>0</v>
      </c>
      <c r="S81" s="413">
        <v>15456.143340000001</v>
      </c>
      <c r="T81" s="413">
        <v>0</v>
      </c>
      <c r="U81" s="413">
        <v>0</v>
      </c>
      <c r="V81" s="413">
        <v>0</v>
      </c>
      <c r="W81" s="413">
        <v>0</v>
      </c>
      <c r="X81" s="413">
        <v>0</v>
      </c>
      <c r="Y81" s="413">
        <v>0</v>
      </c>
      <c r="Z81" s="413">
        <v>0</v>
      </c>
      <c r="AA81" s="413">
        <v>0</v>
      </c>
      <c r="AB81" s="413">
        <v>0</v>
      </c>
      <c r="AC81" s="413">
        <v>0</v>
      </c>
      <c r="AD81" s="413">
        <v>0</v>
      </c>
      <c r="AE81" s="413">
        <v>0</v>
      </c>
      <c r="AF81" s="413">
        <v>0</v>
      </c>
      <c r="AG81" s="413">
        <v>0</v>
      </c>
      <c r="AH81" s="413">
        <v>0</v>
      </c>
      <c r="AI81" s="413">
        <v>0</v>
      </c>
      <c r="AJ81" s="413">
        <v>0</v>
      </c>
      <c r="AK81" s="413">
        <v>0</v>
      </c>
      <c r="AL81" s="413">
        <v>0</v>
      </c>
      <c r="AM81" s="413">
        <v>0</v>
      </c>
      <c r="AN81" s="413">
        <v>0</v>
      </c>
      <c r="AO81" s="413">
        <v>0</v>
      </c>
      <c r="AP81" s="413">
        <v>0</v>
      </c>
      <c r="AQ81" s="413">
        <v>0</v>
      </c>
      <c r="AR81" s="413">
        <v>0</v>
      </c>
      <c r="AS81" s="413">
        <v>0</v>
      </c>
      <c r="AT81" s="413">
        <v>0</v>
      </c>
      <c r="AU81" s="413">
        <v>0</v>
      </c>
      <c r="AV81" s="413">
        <v>0</v>
      </c>
      <c r="AW81" s="413">
        <v>0</v>
      </c>
      <c r="AX81" s="413">
        <v>0</v>
      </c>
      <c r="AY81" s="413">
        <v>0</v>
      </c>
      <c r="AZ81" s="413">
        <v>0</v>
      </c>
      <c r="BA81" s="413">
        <v>0</v>
      </c>
      <c r="BB81" s="413">
        <v>27095.925999999999</v>
      </c>
      <c r="BC81" s="413">
        <v>0</v>
      </c>
      <c r="BD81" s="413">
        <v>0</v>
      </c>
      <c r="BE81" s="587">
        <v>0</v>
      </c>
      <c r="BF81" s="587">
        <v>0</v>
      </c>
      <c r="BG81" s="587">
        <v>0</v>
      </c>
      <c r="BH81" s="587">
        <v>0</v>
      </c>
      <c r="BI81" s="587">
        <v>0</v>
      </c>
      <c r="BJ81" s="587">
        <v>0</v>
      </c>
      <c r="BK81" s="587">
        <v>0</v>
      </c>
      <c r="BL81" s="587">
        <v>0</v>
      </c>
      <c r="BM81" s="587">
        <v>0</v>
      </c>
      <c r="BN81" s="587">
        <v>29543.003000000001</v>
      </c>
      <c r="BO81" s="587">
        <v>0</v>
      </c>
      <c r="BP81" s="587">
        <v>0</v>
      </c>
      <c r="BQ81" s="587">
        <v>0</v>
      </c>
      <c r="BR81" s="587">
        <v>0</v>
      </c>
      <c r="BS81" s="587">
        <v>0</v>
      </c>
      <c r="BT81" s="587">
        <v>16227.366</v>
      </c>
      <c r="BU81" s="587">
        <v>0</v>
      </c>
      <c r="BV81" s="587">
        <v>0</v>
      </c>
      <c r="BW81" s="587">
        <f>+'[8]Balance Sheet Detail'!DG84</f>
        <v>0</v>
      </c>
      <c r="BX81" s="587">
        <f>+'[8]Balance Sheet Detail'!DH84</f>
        <v>0</v>
      </c>
      <c r="BY81" s="587">
        <f>+'[8]Balance Sheet Detail'!DI84</f>
        <v>0</v>
      </c>
      <c r="BZ81" s="587">
        <f>+'[8]Balance Sheet Detail'!DJ84</f>
        <v>0</v>
      </c>
      <c r="CA81" s="587">
        <f>+'[8]Balance Sheet Detail'!DK84</f>
        <v>0</v>
      </c>
      <c r="CB81" s="587">
        <f>+'[8]Balance Sheet Detail'!DL84</f>
        <v>0</v>
      </c>
      <c r="CC81" s="587">
        <f>+'[8]Balance Sheet Detail'!DM84</f>
        <v>0</v>
      </c>
      <c r="CD81" s="587">
        <f>+'[8]Balance Sheet Detail'!DN84</f>
        <v>0</v>
      </c>
      <c r="CE81" s="587">
        <f>+'[8]Balance Sheet Detail'!DO84</f>
        <v>0</v>
      </c>
      <c r="CF81" s="587">
        <f>+'[8]Balance Sheet Detail'!DP84</f>
        <v>0</v>
      </c>
      <c r="CG81" s="587">
        <f>+'[8]Balance Sheet Detail'!DQ84</f>
        <v>0</v>
      </c>
      <c r="CH81" s="587">
        <f>+'[8]Balance Sheet Detail'!DR84</f>
        <v>0</v>
      </c>
      <c r="CI81" s="699">
        <f t="shared" si="124"/>
        <v>0</v>
      </c>
      <c r="CK81" s="33"/>
      <c r="CL81" s="184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</row>
    <row r="82" spans="1:104">
      <c r="A82" s="617" t="s">
        <v>529</v>
      </c>
      <c r="B82" s="260">
        <f t="shared" ca="1" si="123"/>
        <v>896.77449923076915</v>
      </c>
      <c r="C82" s="352">
        <v>1739.53745</v>
      </c>
      <c r="D82" s="352">
        <v>1657.9418599999999</v>
      </c>
      <c r="E82" s="352">
        <v>1645.99074</v>
      </c>
      <c r="F82" s="352">
        <v>1647.9765499999999</v>
      </c>
      <c r="G82" s="352">
        <v>1521.2219299999999</v>
      </c>
      <c r="H82" s="352">
        <v>1461.8667499999999</v>
      </c>
      <c r="I82" s="352">
        <v>1348.9797600000002</v>
      </c>
      <c r="J82" s="352">
        <v>1665.6821600000001</v>
      </c>
      <c r="K82" s="352">
        <v>1410.1788499999998</v>
      </c>
      <c r="L82" s="352">
        <v>1476.4627399999999</v>
      </c>
      <c r="M82" s="352">
        <v>1607.8430499999999</v>
      </c>
      <c r="N82" s="352">
        <v>1727.9974700000002</v>
      </c>
      <c r="O82" s="415">
        <v>2291.6139400000002</v>
      </c>
      <c r="P82" s="415">
        <v>2052.3722200000002</v>
      </c>
      <c r="Q82" s="415">
        <v>1863.32602</v>
      </c>
      <c r="R82" s="415">
        <v>1843.2516900000001</v>
      </c>
      <c r="S82" s="415">
        <v>1660.7070100000001</v>
      </c>
      <c r="T82" s="415">
        <v>1692.3985399999999</v>
      </c>
      <c r="U82" s="415">
        <v>1515.9500400000002</v>
      </c>
      <c r="V82" s="415">
        <v>1488.6635100000001</v>
      </c>
      <c r="W82" s="415">
        <v>1522.31511</v>
      </c>
      <c r="X82" s="415">
        <v>1484.4625300000002</v>
      </c>
      <c r="Y82" s="415">
        <v>1572.6592700000001</v>
      </c>
      <c r="Z82" s="415">
        <v>1798.75433</v>
      </c>
      <c r="AA82" s="415">
        <v>2383.3020999999999</v>
      </c>
      <c r="AB82" s="415">
        <v>2280.16617</v>
      </c>
      <c r="AC82" s="415">
        <v>1848.2118500000001</v>
      </c>
      <c r="AD82" s="415">
        <v>1876.33005</v>
      </c>
      <c r="AE82" s="415">
        <v>1603.5855900000001</v>
      </c>
      <c r="AF82" s="415">
        <v>1525.3141499999999</v>
      </c>
      <c r="AG82" s="415">
        <v>1431.4026100000001</v>
      </c>
      <c r="AH82" s="415">
        <v>1401.8700799999999</v>
      </c>
      <c r="AI82" s="415">
        <v>1385.1925200000001</v>
      </c>
      <c r="AJ82" s="415">
        <v>1415.6146200000001</v>
      </c>
      <c r="AK82" s="415">
        <v>1597.57818</v>
      </c>
      <c r="AL82" s="415">
        <v>1916.7235499999999</v>
      </c>
      <c r="AM82" s="415">
        <v>2087.0717100000002</v>
      </c>
      <c r="AN82" s="415">
        <v>2029.4528700000001</v>
      </c>
      <c r="AO82" s="415">
        <v>1922.8997300000001</v>
      </c>
      <c r="AP82" s="415">
        <v>1712.8587399999999</v>
      </c>
      <c r="AQ82" s="415">
        <v>1558.58401</v>
      </c>
      <c r="AR82" s="413">
        <v>1377.3766900000001</v>
      </c>
      <c r="AS82" s="413">
        <v>593.42741999999998</v>
      </c>
      <c r="AT82" s="413">
        <v>576.31646000000001</v>
      </c>
      <c r="AU82" s="413">
        <v>533.22586000000001</v>
      </c>
      <c r="AV82" s="413">
        <v>573.55948999999998</v>
      </c>
      <c r="AW82" s="413">
        <v>666.99331999999993</v>
      </c>
      <c r="AX82" s="413">
        <v>1108.71639</v>
      </c>
      <c r="AY82" s="413">
        <v>1146.2326400000002</v>
      </c>
      <c r="AZ82" s="413">
        <v>1164.4791299999999</v>
      </c>
      <c r="BA82" s="413">
        <v>1004.45417</v>
      </c>
      <c r="BB82" s="413">
        <v>1010.34399</v>
      </c>
      <c r="BC82" s="413">
        <v>877.14477999999997</v>
      </c>
      <c r="BD82" s="413">
        <v>833.51041999999995</v>
      </c>
      <c r="BE82" s="583">
        <v>833.17724999999996</v>
      </c>
      <c r="BF82" s="583">
        <v>795.57998999999995</v>
      </c>
      <c r="BG82" s="583">
        <v>871.00315999999998</v>
      </c>
      <c r="BH82" s="583">
        <v>782.77256999999997</v>
      </c>
      <c r="BI82" s="583">
        <v>885.56154000000004</v>
      </c>
      <c r="BJ82" s="583">
        <v>1049.8805300000001</v>
      </c>
      <c r="BK82" s="583">
        <v>1134.87617</v>
      </c>
      <c r="BL82" s="583">
        <v>1266.38292</v>
      </c>
      <c r="BM82" s="583">
        <v>1089.6453499999998</v>
      </c>
      <c r="BN82" s="583">
        <v>1018.5686400000001</v>
      </c>
      <c r="BO82" s="583">
        <v>953.86703</v>
      </c>
      <c r="BP82" s="583">
        <v>1369.25899</v>
      </c>
      <c r="BQ82" s="583">
        <v>1151.1687899999999</v>
      </c>
      <c r="BR82" s="583">
        <v>903.28201999999999</v>
      </c>
      <c r="BS82" s="583">
        <v>942.40950000000009</v>
      </c>
      <c r="BT82" s="583">
        <v>984.10316</v>
      </c>
      <c r="BU82" s="583">
        <v>888.56784000000005</v>
      </c>
      <c r="BV82" s="583">
        <v>1006.7684899999999</v>
      </c>
      <c r="BW82" s="583">
        <f>VLOOKUP("2360606",'[8]BS ACCTS'!$D$6:$ZZ$999,113,FALSE)+VLOOKUP("241",'[8]BS ACCTS'!$D$6:$ZZ$999,113,FALSE)</f>
        <v>1083.8999999999999</v>
      </c>
      <c r="BX82" s="583">
        <f>VLOOKUP("2360606",'[8]BS ACCTS'!$D$6:$ZZ$999,114,FALSE)+VLOOKUP("241",'[8]BS ACCTS'!$D$6:$ZZ$999,114,FALSE)</f>
        <v>1160.4999999999998</v>
      </c>
      <c r="BY82" s="583">
        <f>VLOOKUP("2360606",'[8]BS ACCTS'!$D$6:$ZZ$999,115,FALSE)+VLOOKUP("241",'[8]BS ACCTS'!$D$6:$ZZ$999,115,FALSE)</f>
        <v>1009.6</v>
      </c>
      <c r="BZ82" s="583">
        <f>VLOOKUP("2360606",'[8]BS ACCTS'!$D$6:$ZZ$999,116,FALSE)+VLOOKUP("241",'[8]BS ACCTS'!$D$6:$ZZ$999,116,FALSE)</f>
        <v>956.1</v>
      </c>
      <c r="CA82" s="583">
        <f>VLOOKUP("2360606",'[8]BS ACCTS'!$D$6:$ZZ$999,117,FALSE)+VLOOKUP("241",'[8]BS ACCTS'!$D$6:$ZZ$999,117,FALSE)</f>
        <v>874.00000000000011</v>
      </c>
      <c r="CB82" s="583">
        <f>VLOOKUP("2360606",'[8]BS ACCTS'!$D$6:$ZZ$999,118,FALSE)+VLOOKUP("241",'[8]BS ACCTS'!$D$6:$ZZ$999,118,FALSE)</f>
        <v>1043.9999999999998</v>
      </c>
      <c r="CC82" s="583">
        <f>VLOOKUP("2360606",'[8]BS ACCTS'!$D$6:$ZZ$999,119,FALSE)+VLOOKUP("241",'[8]BS ACCTS'!$D$6:$ZZ$999,119,FALSE)</f>
        <v>944.20000000000016</v>
      </c>
      <c r="CD82" s="583">
        <f>VLOOKUP("2360606",'[8]BS ACCTS'!$D$6:$ZZ$999,120,FALSE)+VLOOKUP("241",'[8]BS ACCTS'!$D$6:$ZZ$999,120,FALSE)</f>
        <v>647.5</v>
      </c>
      <c r="CE82" s="583">
        <f>VLOOKUP("2360606",'[8]BS ACCTS'!$D$6:$ZZ$999,121,FALSE)+VLOOKUP("241",'[8]BS ACCTS'!$D$6:$ZZ$999,121,FALSE)</f>
        <v>626.59999999999991</v>
      </c>
      <c r="CF82" s="583">
        <f>VLOOKUP("2360606",'[8]BS ACCTS'!$D$6:$ZZ$999,122,FALSE)+VLOOKUP("241",'[8]BS ACCTS'!$D$6:$ZZ$999,122,FALSE)</f>
        <v>619.69999999999982</v>
      </c>
      <c r="CG82" s="583">
        <f>VLOOKUP("2360606",'[8]BS ACCTS'!$D$6:$ZZ$999,123,FALSE)+VLOOKUP("241",'[8]BS ACCTS'!$D$6:$ZZ$999,123,FALSE)</f>
        <v>708.8</v>
      </c>
      <c r="CH82" s="583">
        <f>VLOOKUP("2360606",'[8]BS ACCTS'!$D$6:$ZZ$999,124,FALSE)+VLOOKUP("241",'[8]BS ACCTS'!$D$6:$ZZ$999,124,FALSE)</f>
        <v>976.4</v>
      </c>
      <c r="CI82" s="699">
        <f t="shared" si="124"/>
        <v>896.77449923076915</v>
      </c>
      <c r="CK82" s="33"/>
      <c r="CL82" s="184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</row>
    <row r="83" spans="1:104">
      <c r="A83" s="617" t="s">
        <v>530</v>
      </c>
      <c r="B83" s="260">
        <f t="shared" ca="1" si="123"/>
        <v>50.095874615384623</v>
      </c>
      <c r="C83" s="350">
        <v>506.09003000000001</v>
      </c>
      <c r="D83" s="350">
        <v>516.85190999999998</v>
      </c>
      <c r="E83" s="350">
        <v>551.19386999999995</v>
      </c>
      <c r="F83" s="350">
        <v>337.57054999999997</v>
      </c>
      <c r="G83" s="350">
        <v>364.78951000000001</v>
      </c>
      <c r="H83" s="350">
        <v>425.14254</v>
      </c>
      <c r="I83" s="350">
        <v>424.70418999999998</v>
      </c>
      <c r="J83" s="350">
        <v>472.30826999999999</v>
      </c>
      <c r="K83" s="350">
        <v>470.34499</v>
      </c>
      <c r="L83" s="350">
        <v>467.29038000000003</v>
      </c>
      <c r="M83" s="350">
        <v>467.23520000000002</v>
      </c>
      <c r="N83" s="350">
        <v>418.23414000000002</v>
      </c>
      <c r="O83" s="413">
        <v>418.29614000000004</v>
      </c>
      <c r="P83" s="413">
        <v>420.2747</v>
      </c>
      <c r="Q83" s="413">
        <v>398.13698999999997</v>
      </c>
      <c r="R83" s="413">
        <v>18.499890000000001</v>
      </c>
      <c r="S83" s="413">
        <v>17.96782</v>
      </c>
      <c r="T83" s="413">
        <v>11.903780000000001</v>
      </c>
      <c r="U83" s="413">
        <v>11.903780000000001</v>
      </c>
      <c r="V83" s="413">
        <v>11.931760000000001</v>
      </c>
      <c r="W83" s="413">
        <v>10.16513</v>
      </c>
      <c r="X83" s="413">
        <v>0.55321000000000009</v>
      </c>
      <c r="Y83" s="413">
        <v>0.55321000000000009</v>
      </c>
      <c r="Z83" s="413">
        <v>0.55321000000000009</v>
      </c>
      <c r="AA83" s="413">
        <v>0.55321000000000009</v>
      </c>
      <c r="AB83" s="413">
        <v>0.52522999999999997</v>
      </c>
      <c r="AC83" s="413">
        <v>0.52522999999999997</v>
      </c>
      <c r="AD83" s="413">
        <v>-2.26512</v>
      </c>
      <c r="AE83" s="413">
        <v>1.2217199999999999</v>
      </c>
      <c r="AF83" s="413">
        <v>1.4446300000000001</v>
      </c>
      <c r="AG83" s="413">
        <v>1.4446300000000001</v>
      </c>
      <c r="AH83" s="413">
        <v>4.1596299999999999</v>
      </c>
      <c r="AI83" s="413">
        <v>-2.3749600000000002</v>
      </c>
      <c r="AJ83" s="413">
        <v>2.0500400000000001</v>
      </c>
      <c r="AK83" s="413">
        <v>5.9486000000000008</v>
      </c>
      <c r="AL83" s="413">
        <v>5.9486000000000008</v>
      </c>
      <c r="AM83" s="413">
        <v>5.9486000000000008</v>
      </c>
      <c r="AN83" s="413">
        <v>7.5486000000000004</v>
      </c>
      <c r="AO83" s="413">
        <v>37.371169999999999</v>
      </c>
      <c r="AP83" s="413">
        <v>37.371169999999999</v>
      </c>
      <c r="AQ83" s="413">
        <v>32.093110000000003</v>
      </c>
      <c r="AR83" s="413">
        <v>31.462919999999997</v>
      </c>
      <c r="AS83" s="413">
        <v>31.20412</v>
      </c>
      <c r="AT83" s="413">
        <v>34.579120000000003</v>
      </c>
      <c r="AU83" s="413">
        <v>28.95168</v>
      </c>
      <c r="AV83" s="413">
        <v>26.57002</v>
      </c>
      <c r="AW83" s="413">
        <v>26.57002</v>
      </c>
      <c r="AX83" s="413">
        <v>26.425129999999999</v>
      </c>
      <c r="AY83" s="413">
        <v>35.625129999999999</v>
      </c>
      <c r="AZ83" s="413">
        <v>49.118730000000006</v>
      </c>
      <c r="BA83" s="413">
        <v>48.930610000000001</v>
      </c>
      <c r="BB83" s="413">
        <v>48.868660000000006</v>
      </c>
      <c r="BC83" s="413">
        <v>46.580419999999997</v>
      </c>
      <c r="BD83" s="413">
        <v>47.880420000000001</v>
      </c>
      <c r="BE83" s="587">
        <v>48.230419999999995</v>
      </c>
      <c r="BF83" s="587">
        <v>48.230419999999995</v>
      </c>
      <c r="BG83" s="587">
        <v>48.230419999999995</v>
      </c>
      <c r="BH83" s="587">
        <v>51.395890000000001</v>
      </c>
      <c r="BI83" s="587">
        <v>51.289389999999997</v>
      </c>
      <c r="BJ83" s="587">
        <v>51.289389999999997</v>
      </c>
      <c r="BK83" s="587">
        <v>51.289389999999997</v>
      </c>
      <c r="BL83" s="587">
        <v>52.022760000000005</v>
      </c>
      <c r="BM83" s="587">
        <v>87.422029999999992</v>
      </c>
      <c r="BN83" s="587">
        <v>87.422029999999992</v>
      </c>
      <c r="BO83" s="587">
        <v>87.422029999999992</v>
      </c>
      <c r="BP83" s="587">
        <v>91.297029999999992</v>
      </c>
      <c r="BQ83" s="587">
        <v>91.297029999999992</v>
      </c>
      <c r="BR83" s="587">
        <v>91.297029999999992</v>
      </c>
      <c r="BS83" s="587">
        <v>93.897030000000001</v>
      </c>
      <c r="BT83" s="587">
        <v>93.727220000000003</v>
      </c>
      <c r="BU83" s="587">
        <v>93.246369999999999</v>
      </c>
      <c r="BV83" s="587">
        <v>93.246369999999999</v>
      </c>
      <c r="BW83" s="587">
        <f>+'[8]Balance Sheet Detail'!DG88</f>
        <v>46.5</v>
      </c>
      <c r="BX83" s="587">
        <f>+'[8]Balance Sheet Detail'!DH88</f>
        <v>46.5</v>
      </c>
      <c r="BY83" s="587">
        <f>+'[8]Balance Sheet Detail'!DI88</f>
        <v>46.5</v>
      </c>
      <c r="BZ83" s="587">
        <f>+'[8]Balance Sheet Detail'!DJ88</f>
        <v>46.5</v>
      </c>
      <c r="CA83" s="587">
        <f>+'[8]Balance Sheet Detail'!DK88</f>
        <v>46.5</v>
      </c>
      <c r="CB83" s="587">
        <f>+'[8]Balance Sheet Detail'!DL88</f>
        <v>46.5</v>
      </c>
      <c r="CC83" s="587">
        <f>+'[8]Balance Sheet Detail'!DM88</f>
        <v>46.5</v>
      </c>
      <c r="CD83" s="587">
        <f>+'[8]Balance Sheet Detail'!DN88</f>
        <v>46.5</v>
      </c>
      <c r="CE83" s="587">
        <f>+'[8]Balance Sheet Detail'!DO88</f>
        <v>46.5</v>
      </c>
      <c r="CF83" s="587">
        <f>+'[8]Balance Sheet Detail'!DP88</f>
        <v>46.5</v>
      </c>
      <c r="CG83" s="587">
        <f>+'[8]Balance Sheet Detail'!DQ88</f>
        <v>46.5</v>
      </c>
      <c r="CH83" s="587">
        <f>+'[8]Balance Sheet Detail'!DR88</f>
        <v>46.5</v>
      </c>
      <c r="CI83" s="699">
        <f t="shared" si="124"/>
        <v>50.095874615384623</v>
      </c>
      <c r="CK83" s="33"/>
      <c r="CL83" s="184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</row>
    <row r="84" spans="1:104">
      <c r="A84" s="617" t="s">
        <v>531</v>
      </c>
      <c r="B84" s="260">
        <f t="shared" ca="1" si="123"/>
        <v>1026.7875384615386</v>
      </c>
      <c r="C84" s="350">
        <v>771.85299999999995</v>
      </c>
      <c r="D84" s="350">
        <v>1322.874</v>
      </c>
      <c r="E84" s="350">
        <v>1614.664</v>
      </c>
      <c r="F84" s="350">
        <v>1899.2180000000001</v>
      </c>
      <c r="G84" s="350">
        <v>1462.1849999999999</v>
      </c>
      <c r="H84" s="350">
        <v>838.53899999999999</v>
      </c>
      <c r="I84" s="350">
        <v>182.62</v>
      </c>
      <c r="J84" s="350">
        <v>0</v>
      </c>
      <c r="K84" s="350">
        <v>0</v>
      </c>
      <c r="L84" s="350">
        <v>0</v>
      </c>
      <c r="M84" s="350">
        <v>0</v>
      </c>
      <c r="N84" s="350">
        <v>0</v>
      </c>
      <c r="O84" s="413">
        <v>0</v>
      </c>
      <c r="P84" s="413">
        <v>0</v>
      </c>
      <c r="Q84" s="413">
        <v>0</v>
      </c>
      <c r="R84" s="413">
        <v>0</v>
      </c>
      <c r="S84" s="413">
        <v>0</v>
      </c>
      <c r="T84" s="413">
        <v>0</v>
      </c>
      <c r="U84" s="413">
        <v>0</v>
      </c>
      <c r="V84" s="413">
        <v>0</v>
      </c>
      <c r="W84" s="413">
        <v>0</v>
      </c>
      <c r="X84" s="413">
        <v>0</v>
      </c>
      <c r="Y84" s="413">
        <v>0</v>
      </c>
      <c r="Z84" s="413">
        <v>0</v>
      </c>
      <c r="AA84" s="413">
        <v>0</v>
      </c>
      <c r="AB84" s="413">
        <v>0</v>
      </c>
      <c r="AC84" s="413">
        <v>0</v>
      </c>
      <c r="AD84" s="413">
        <v>0</v>
      </c>
      <c r="AE84" s="413">
        <v>0</v>
      </c>
      <c r="AF84" s="413">
        <v>0</v>
      </c>
      <c r="AG84" s="413">
        <v>0</v>
      </c>
      <c r="AH84" s="413">
        <v>0</v>
      </c>
      <c r="AI84" s="413">
        <v>0</v>
      </c>
      <c r="AJ84" s="413">
        <v>0</v>
      </c>
      <c r="AK84" s="413">
        <v>0</v>
      </c>
      <c r="AL84" s="413">
        <v>0</v>
      </c>
      <c r="AM84" s="413">
        <v>0</v>
      </c>
      <c r="AN84" s="413">
        <v>0</v>
      </c>
      <c r="AO84" s="413">
        <v>0</v>
      </c>
      <c r="AP84" s="413">
        <v>0</v>
      </c>
      <c r="AQ84" s="413">
        <v>0</v>
      </c>
      <c r="AR84" s="413">
        <v>0</v>
      </c>
      <c r="AS84" s="413">
        <v>0</v>
      </c>
      <c r="AT84" s="413">
        <v>0</v>
      </c>
      <c r="AU84" s="413">
        <v>0</v>
      </c>
      <c r="AV84" s="413">
        <v>0</v>
      </c>
      <c r="AW84" s="413">
        <v>0</v>
      </c>
      <c r="AX84" s="413">
        <v>0</v>
      </c>
      <c r="AY84" s="413">
        <v>0</v>
      </c>
      <c r="AZ84" s="413">
        <v>0</v>
      </c>
      <c r="BA84" s="413">
        <v>0</v>
      </c>
      <c r="BB84" s="413">
        <v>0</v>
      </c>
      <c r="BC84" s="413">
        <v>0</v>
      </c>
      <c r="BD84" s="413">
        <v>0</v>
      </c>
      <c r="BE84" s="587">
        <v>0</v>
      </c>
      <c r="BF84" s="587">
        <v>0</v>
      </c>
      <c r="BG84" s="587">
        <v>0</v>
      </c>
      <c r="BH84" s="587">
        <v>0</v>
      </c>
      <c r="BI84" s="587">
        <v>0</v>
      </c>
      <c r="BJ84" s="587">
        <v>0</v>
      </c>
      <c r="BK84" s="587">
        <v>511.351</v>
      </c>
      <c r="BL84" s="587">
        <v>2149.5340000000001</v>
      </c>
      <c r="BM84" s="587">
        <v>1757.0170000000001</v>
      </c>
      <c r="BN84" s="587">
        <v>2533.9299999999998</v>
      </c>
      <c r="BO84" s="587">
        <v>3255.9679999999998</v>
      </c>
      <c r="BP84" s="587">
        <v>4198.7070000000003</v>
      </c>
      <c r="BQ84" s="587">
        <v>2816.0509999999999</v>
      </c>
      <c r="BR84" s="587">
        <v>2530.232</v>
      </c>
      <c r="BS84" s="587">
        <v>1877.8030000000001</v>
      </c>
      <c r="BT84" s="587">
        <v>1636.684</v>
      </c>
      <c r="BU84" s="587">
        <v>1405.116</v>
      </c>
      <c r="BV84" s="587">
        <v>1548.4380000000001</v>
      </c>
      <c r="BW84" s="587">
        <f>+'[8]Balance Sheet Detail'!DG85</f>
        <v>2009.7</v>
      </c>
      <c r="BX84" s="587">
        <f>+'[8]Balance Sheet Detail'!DH85</f>
        <v>2238</v>
      </c>
      <c r="BY84" s="587">
        <f>+'[8]Balance Sheet Detail'!DI85</f>
        <v>2163.1999999999998</v>
      </c>
      <c r="BZ84" s="587">
        <f>+'[8]Balance Sheet Detail'!DJ85</f>
        <v>2081.9</v>
      </c>
      <c r="CA84" s="587">
        <f>+'[8]Balance Sheet Detail'!DK85</f>
        <v>1659.2</v>
      </c>
      <c r="CB84" s="587">
        <f>+'[8]Balance Sheet Detail'!DL85</f>
        <v>1122.2</v>
      </c>
      <c r="CC84" s="587">
        <f>+'[8]Balance Sheet Detail'!DM85</f>
        <v>525.6</v>
      </c>
      <c r="CD84" s="587">
        <f>+'[8]Balance Sheet Detail'!DN85</f>
        <v>0</v>
      </c>
      <c r="CE84" s="587">
        <f>+'[8]Balance Sheet Detail'!DO85</f>
        <v>0</v>
      </c>
      <c r="CF84" s="587">
        <f>+'[8]Balance Sheet Detail'!DP85</f>
        <v>0</v>
      </c>
      <c r="CG84" s="587">
        <f>+'[8]Balance Sheet Detail'!DQ85</f>
        <v>0</v>
      </c>
      <c r="CH84" s="587">
        <f>+'[8]Balance Sheet Detail'!DR85</f>
        <v>0</v>
      </c>
      <c r="CI84" s="699">
        <f t="shared" si="124"/>
        <v>1026.7875384615386</v>
      </c>
      <c r="CK84" s="33"/>
      <c r="CL84" s="184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</row>
    <row r="85" spans="1:104">
      <c r="A85" s="617" t="s">
        <v>532</v>
      </c>
      <c r="B85" s="260">
        <f t="shared" ca="1" si="123"/>
        <v>295.95384615384614</v>
      </c>
      <c r="C85" s="352">
        <v>1651.07</v>
      </c>
      <c r="D85" s="352">
        <v>1606.7760000000001</v>
      </c>
      <c r="E85" s="352">
        <v>1497.895</v>
      </c>
      <c r="F85" s="352">
        <v>1361.048</v>
      </c>
      <c r="G85" s="352">
        <v>1147.2560000000001</v>
      </c>
      <c r="H85" s="352">
        <v>888.87099999999998</v>
      </c>
      <c r="I85" s="352">
        <v>593.55399999999997</v>
      </c>
      <c r="J85" s="352">
        <v>277.24</v>
      </c>
      <c r="K85" s="352">
        <v>0</v>
      </c>
      <c r="L85" s="352">
        <v>0</v>
      </c>
      <c r="M85" s="352">
        <v>0</v>
      </c>
      <c r="N85" s="352">
        <v>0</v>
      </c>
      <c r="O85" s="415">
        <v>0</v>
      </c>
      <c r="P85" s="415">
        <v>48.914000000000001</v>
      </c>
      <c r="Q85" s="415">
        <v>265.83300000000003</v>
      </c>
      <c r="R85" s="415">
        <v>496.09399999999999</v>
      </c>
      <c r="S85" s="415">
        <v>872.13699999999994</v>
      </c>
      <c r="T85" s="415">
        <v>800.05899999999997</v>
      </c>
      <c r="U85" s="415">
        <v>704.92700000000002</v>
      </c>
      <c r="V85" s="415">
        <v>566.85299999999995</v>
      </c>
      <c r="W85" s="415">
        <v>459.26799999999997</v>
      </c>
      <c r="X85" s="415">
        <v>240.15</v>
      </c>
      <c r="Y85" s="415">
        <v>63.302</v>
      </c>
      <c r="Z85" s="415">
        <v>102.065</v>
      </c>
      <c r="AA85" s="415">
        <v>349.91</v>
      </c>
      <c r="AB85" s="415">
        <v>466.3</v>
      </c>
      <c r="AC85" s="415">
        <v>451.73</v>
      </c>
      <c r="AD85" s="415">
        <v>335.09100000000001</v>
      </c>
      <c r="AE85" s="415">
        <v>98.513999999999996</v>
      </c>
      <c r="AF85" s="415">
        <v>0</v>
      </c>
      <c r="AG85" s="415">
        <v>0</v>
      </c>
      <c r="AH85" s="415">
        <v>0</v>
      </c>
      <c r="AI85" s="415">
        <v>0</v>
      </c>
      <c r="AJ85" s="415">
        <v>0</v>
      </c>
      <c r="AK85" s="415">
        <v>0</v>
      </c>
      <c r="AL85" s="415">
        <v>0</v>
      </c>
      <c r="AM85" s="415">
        <v>0</v>
      </c>
      <c r="AN85" s="415">
        <v>0</v>
      </c>
      <c r="AO85" s="415">
        <v>0</v>
      </c>
      <c r="AP85" s="415">
        <v>0</v>
      </c>
      <c r="AQ85" s="415">
        <v>0</v>
      </c>
      <c r="AR85" s="413">
        <v>0</v>
      </c>
      <c r="AS85" s="413">
        <v>0</v>
      </c>
      <c r="AT85" s="413">
        <v>0</v>
      </c>
      <c r="AU85" s="413">
        <v>0</v>
      </c>
      <c r="AV85" s="413">
        <v>0</v>
      </c>
      <c r="AW85" s="413">
        <v>0</v>
      </c>
      <c r="AX85" s="413">
        <v>0</v>
      </c>
      <c r="AY85" s="413">
        <v>0</v>
      </c>
      <c r="AZ85" s="413">
        <v>0</v>
      </c>
      <c r="BA85" s="413">
        <v>0</v>
      </c>
      <c r="BB85" s="413">
        <v>0</v>
      </c>
      <c r="BC85" s="413">
        <v>0</v>
      </c>
      <c r="BD85" s="413">
        <v>0</v>
      </c>
      <c r="BE85" s="583">
        <v>0</v>
      </c>
      <c r="BF85" s="583">
        <v>0</v>
      </c>
      <c r="BG85" s="583">
        <v>0</v>
      </c>
      <c r="BH85" s="583">
        <v>0</v>
      </c>
      <c r="BI85" s="583">
        <v>0</v>
      </c>
      <c r="BJ85" s="583">
        <v>0</v>
      </c>
      <c r="BK85" s="583">
        <v>0</v>
      </c>
      <c r="BL85" s="583">
        <v>0</v>
      </c>
      <c r="BM85" s="583">
        <v>0</v>
      </c>
      <c r="BN85" s="583">
        <v>54.905999999999999</v>
      </c>
      <c r="BO85" s="583">
        <v>64.227999999999994</v>
      </c>
      <c r="BP85" s="583">
        <v>303.34789000000001</v>
      </c>
      <c r="BQ85" s="583">
        <v>203.34589000000003</v>
      </c>
      <c r="BR85" s="583">
        <v>79.91789</v>
      </c>
      <c r="BS85" s="583">
        <v>0</v>
      </c>
      <c r="BT85" s="583">
        <v>0</v>
      </c>
      <c r="BU85" s="583">
        <v>0</v>
      </c>
      <c r="BV85" s="583">
        <v>0</v>
      </c>
      <c r="BW85" s="583">
        <f>+VLOOKUP("2540071",'[8]BS ACCTS'!$D$6:$ZZ$999,113,FALSE)</f>
        <v>0</v>
      </c>
      <c r="BX85" s="583">
        <f>+VLOOKUP("2540071",'[8]BS ACCTS'!$D$6:$ZZ$999,114,FALSE)</f>
        <v>61.8</v>
      </c>
      <c r="BY85" s="583">
        <f>+VLOOKUP("2540071",'[8]BS ACCTS'!$D$6:$ZZ$999,115,FALSE)</f>
        <v>344.5</v>
      </c>
      <c r="BZ85" s="583">
        <f>+VLOOKUP("2540071",'[8]BS ACCTS'!$D$6:$ZZ$999,116,FALSE)</f>
        <v>508.3</v>
      </c>
      <c r="CA85" s="583">
        <f>+VLOOKUP("2540071",'[8]BS ACCTS'!$D$6:$ZZ$999,117,FALSE)</f>
        <v>561.4</v>
      </c>
      <c r="CB85" s="583">
        <f>+VLOOKUP("2540071",'[8]BS ACCTS'!$D$6:$ZZ$999,118,FALSE)</f>
        <v>550.29999999999995</v>
      </c>
      <c r="CC85" s="583">
        <f>+VLOOKUP("2540071",'[8]BS ACCTS'!$D$6:$ZZ$999,119,FALSE)</f>
        <v>489.9</v>
      </c>
      <c r="CD85" s="583">
        <f>+VLOOKUP("2540071",'[8]BS ACCTS'!$D$6:$ZZ$999,120,FALSE)</f>
        <v>392.1</v>
      </c>
      <c r="CE85" s="583">
        <f>+VLOOKUP("2540071",'[8]BS ACCTS'!$D$6:$ZZ$999,121,FALSE)</f>
        <v>294.60000000000002</v>
      </c>
      <c r="CF85" s="583">
        <f>+VLOOKUP("2540071",'[8]BS ACCTS'!$D$6:$ZZ$999,122,FALSE)</f>
        <v>191.6</v>
      </c>
      <c r="CG85" s="583">
        <f>+VLOOKUP("2540071",'[8]BS ACCTS'!$D$6:$ZZ$999,123,FALSE)</f>
        <v>154.30000000000001</v>
      </c>
      <c r="CH85" s="583">
        <f>+VLOOKUP("2540071",'[8]BS ACCTS'!$D$6:$ZZ$999,124,FALSE)</f>
        <v>298.60000000000002</v>
      </c>
      <c r="CI85" s="699">
        <f t="shared" si="124"/>
        <v>295.95384615384614</v>
      </c>
      <c r="CK85" s="33"/>
      <c r="CL85" s="184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</row>
    <row r="86" spans="1:104">
      <c r="A86" s="617" t="s">
        <v>533</v>
      </c>
      <c r="B86" s="260">
        <f t="shared" ca="1" si="123"/>
        <v>0</v>
      </c>
      <c r="C86" s="350">
        <v>0</v>
      </c>
      <c r="D86" s="350">
        <v>0</v>
      </c>
      <c r="E86" s="350">
        <v>0</v>
      </c>
      <c r="F86" s="350">
        <v>0</v>
      </c>
      <c r="G86" s="350">
        <v>0</v>
      </c>
      <c r="H86" s="350">
        <v>0</v>
      </c>
      <c r="I86" s="350">
        <v>0</v>
      </c>
      <c r="J86" s="350">
        <v>0</v>
      </c>
      <c r="K86" s="350">
        <v>0</v>
      </c>
      <c r="L86" s="350">
        <v>0</v>
      </c>
      <c r="M86" s="350">
        <v>0</v>
      </c>
      <c r="N86" s="350">
        <v>0</v>
      </c>
      <c r="O86" s="413">
        <v>0</v>
      </c>
      <c r="P86" s="413">
        <v>0</v>
      </c>
      <c r="Q86" s="413">
        <v>0</v>
      </c>
      <c r="R86" s="413">
        <v>0</v>
      </c>
      <c r="S86" s="413">
        <v>0</v>
      </c>
      <c r="T86" s="413">
        <v>0</v>
      </c>
      <c r="U86" s="413">
        <v>0</v>
      </c>
      <c r="V86" s="413">
        <v>0</v>
      </c>
      <c r="W86" s="413">
        <v>0</v>
      </c>
      <c r="X86" s="413">
        <v>0</v>
      </c>
      <c r="Y86" s="413">
        <v>0</v>
      </c>
      <c r="Z86" s="413">
        <v>0</v>
      </c>
      <c r="AA86" s="413">
        <v>0</v>
      </c>
      <c r="AB86" s="413">
        <v>0</v>
      </c>
      <c r="AC86" s="413">
        <v>0</v>
      </c>
      <c r="AD86" s="413">
        <v>0</v>
      </c>
      <c r="AE86" s="413">
        <v>0</v>
      </c>
      <c r="AF86" s="413">
        <v>0</v>
      </c>
      <c r="AG86" s="413">
        <v>0</v>
      </c>
      <c r="AH86" s="413">
        <v>0</v>
      </c>
      <c r="AI86" s="413">
        <v>0</v>
      </c>
      <c r="AJ86" s="413">
        <v>0</v>
      </c>
      <c r="AK86" s="413">
        <v>0</v>
      </c>
      <c r="AL86" s="413">
        <v>0</v>
      </c>
      <c r="AM86" s="413">
        <v>0</v>
      </c>
      <c r="AN86" s="413">
        <v>0</v>
      </c>
      <c r="AO86" s="413">
        <v>0</v>
      </c>
      <c r="AP86" s="413">
        <v>0</v>
      </c>
      <c r="AQ86" s="413">
        <v>0</v>
      </c>
      <c r="AR86" s="413">
        <v>0</v>
      </c>
      <c r="AS86" s="413">
        <v>0</v>
      </c>
      <c r="AT86" s="413">
        <v>0</v>
      </c>
      <c r="AU86" s="413">
        <v>0</v>
      </c>
      <c r="AV86" s="413">
        <v>0</v>
      </c>
      <c r="AW86" s="413">
        <v>0</v>
      </c>
      <c r="AX86" s="413">
        <v>0</v>
      </c>
      <c r="AY86" s="413">
        <v>0</v>
      </c>
      <c r="AZ86" s="413">
        <v>0</v>
      </c>
      <c r="BA86" s="413">
        <v>0</v>
      </c>
      <c r="BB86" s="413">
        <v>0</v>
      </c>
      <c r="BC86" s="413">
        <v>0</v>
      </c>
      <c r="BD86" s="413">
        <v>0</v>
      </c>
      <c r="BE86" s="587">
        <v>0</v>
      </c>
      <c r="BF86" s="587">
        <v>0</v>
      </c>
      <c r="BG86" s="587">
        <v>0</v>
      </c>
      <c r="BH86" s="587">
        <v>0</v>
      </c>
      <c r="BI86" s="587">
        <v>0</v>
      </c>
      <c r="BJ86" s="587">
        <v>0</v>
      </c>
      <c r="BK86" s="587">
        <v>0</v>
      </c>
      <c r="BL86" s="587">
        <v>0</v>
      </c>
      <c r="BM86" s="587">
        <v>0</v>
      </c>
      <c r="BN86" s="587">
        <v>0</v>
      </c>
      <c r="BO86" s="587">
        <v>0</v>
      </c>
      <c r="BP86" s="587">
        <v>0</v>
      </c>
      <c r="BQ86" s="587">
        <v>0</v>
      </c>
      <c r="BR86" s="587">
        <v>0</v>
      </c>
      <c r="BS86" s="587">
        <v>0</v>
      </c>
      <c r="BT86" s="587">
        <v>0</v>
      </c>
      <c r="BU86" s="587">
        <v>0</v>
      </c>
      <c r="BV86" s="587">
        <v>0</v>
      </c>
      <c r="BW86" s="587">
        <v>0</v>
      </c>
      <c r="BX86" s="587">
        <v>0</v>
      </c>
      <c r="BY86" s="587">
        <v>0</v>
      </c>
      <c r="BZ86" s="587">
        <v>0</v>
      </c>
      <c r="CA86" s="587">
        <v>0</v>
      </c>
      <c r="CB86" s="587">
        <v>0</v>
      </c>
      <c r="CC86" s="587">
        <v>0</v>
      </c>
      <c r="CD86" s="587">
        <v>0</v>
      </c>
      <c r="CE86" s="587">
        <v>0</v>
      </c>
      <c r="CF86" s="587">
        <v>0</v>
      </c>
      <c r="CG86" s="587">
        <v>0</v>
      </c>
      <c r="CH86" s="587">
        <v>0</v>
      </c>
      <c r="CI86" s="699">
        <f t="shared" si="124"/>
        <v>0</v>
      </c>
      <c r="CK86" s="33"/>
      <c r="CL86" s="184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</row>
    <row r="87" spans="1:104">
      <c r="A87" s="617" t="s">
        <v>534</v>
      </c>
      <c r="B87" s="260">
        <f t="shared" ca="1" si="123"/>
        <v>0</v>
      </c>
      <c r="C87" s="352">
        <v>56.05</v>
      </c>
      <c r="D87" s="352">
        <v>389.5</v>
      </c>
      <c r="E87" s="352">
        <v>4.2350000000000003</v>
      </c>
      <c r="F87" s="352">
        <v>0</v>
      </c>
      <c r="G87" s="352">
        <v>3.92</v>
      </c>
      <c r="H87" s="352">
        <v>22.28</v>
      </c>
      <c r="I87" s="352">
        <v>140.02500000000001</v>
      </c>
      <c r="J87" s="352">
        <v>4.68</v>
      </c>
      <c r="K87" s="352">
        <v>9.23</v>
      </c>
      <c r="L87" s="352">
        <v>138.22499999999999</v>
      </c>
      <c r="M87" s="352">
        <v>60.555</v>
      </c>
      <c r="N87" s="352">
        <v>181.065</v>
      </c>
      <c r="O87" s="415">
        <v>1.78</v>
      </c>
      <c r="P87" s="415">
        <v>113.125</v>
      </c>
      <c r="Q87" s="415">
        <v>32.645000000000003</v>
      </c>
      <c r="R87" s="415">
        <v>25.69</v>
      </c>
      <c r="S87" s="415">
        <v>0</v>
      </c>
      <c r="T87" s="415">
        <v>0.28000000000000003</v>
      </c>
      <c r="U87" s="415">
        <v>11.72</v>
      </c>
      <c r="V87" s="415">
        <v>0</v>
      </c>
      <c r="W87" s="415">
        <v>0</v>
      </c>
      <c r="X87" s="415">
        <v>0</v>
      </c>
      <c r="Y87" s="415">
        <v>0</v>
      </c>
      <c r="Z87" s="415">
        <v>0</v>
      </c>
      <c r="AA87" s="415">
        <v>0</v>
      </c>
      <c r="AB87" s="415">
        <v>0</v>
      </c>
      <c r="AC87" s="415">
        <v>0</v>
      </c>
      <c r="AD87" s="415">
        <v>0</v>
      </c>
      <c r="AE87" s="415">
        <v>0</v>
      </c>
      <c r="AF87" s="415">
        <v>0</v>
      </c>
      <c r="AG87" s="415">
        <v>0</v>
      </c>
      <c r="AH87" s="415">
        <v>0</v>
      </c>
      <c r="AI87" s="415">
        <v>0</v>
      </c>
      <c r="AJ87" s="415">
        <v>0</v>
      </c>
      <c r="AK87" s="415">
        <v>0</v>
      </c>
      <c r="AL87" s="415">
        <v>0</v>
      </c>
      <c r="AM87" s="415">
        <v>0</v>
      </c>
      <c r="AN87" s="415">
        <v>0</v>
      </c>
      <c r="AO87" s="415">
        <v>0</v>
      </c>
      <c r="AP87" s="415">
        <v>0</v>
      </c>
      <c r="AQ87" s="415">
        <v>0</v>
      </c>
      <c r="AR87" s="413">
        <v>0</v>
      </c>
      <c r="AS87" s="413">
        <v>0</v>
      </c>
      <c r="AT87" s="413">
        <v>0</v>
      </c>
      <c r="AU87" s="413">
        <v>0</v>
      </c>
      <c r="AV87" s="413">
        <v>0</v>
      </c>
      <c r="AW87" s="413">
        <v>0</v>
      </c>
      <c r="AX87" s="413">
        <v>0</v>
      </c>
      <c r="AY87" s="413">
        <v>0</v>
      </c>
      <c r="AZ87" s="413">
        <v>0</v>
      </c>
      <c r="BA87" s="413">
        <v>0</v>
      </c>
      <c r="BB87" s="413">
        <v>0</v>
      </c>
      <c r="BC87" s="413">
        <v>0</v>
      </c>
      <c r="BD87" s="413">
        <v>0</v>
      </c>
      <c r="BE87" s="583">
        <v>0</v>
      </c>
      <c r="BF87" s="583">
        <v>0</v>
      </c>
      <c r="BG87" s="583">
        <v>0</v>
      </c>
      <c r="BH87" s="583">
        <v>0</v>
      </c>
      <c r="BI87" s="583">
        <v>0</v>
      </c>
      <c r="BJ87" s="583">
        <v>0</v>
      </c>
      <c r="BK87" s="583">
        <v>0</v>
      </c>
      <c r="BL87" s="583">
        <v>0</v>
      </c>
      <c r="BM87" s="583">
        <v>0</v>
      </c>
      <c r="BN87" s="583">
        <v>0</v>
      </c>
      <c r="BO87" s="583">
        <v>0</v>
      </c>
      <c r="BP87" s="583">
        <v>0</v>
      </c>
      <c r="BQ87" s="583">
        <v>0</v>
      </c>
      <c r="BR87" s="583">
        <v>0</v>
      </c>
      <c r="BS87" s="583">
        <v>0</v>
      </c>
      <c r="BT87" s="583">
        <v>0</v>
      </c>
      <c r="BU87" s="583">
        <v>0</v>
      </c>
      <c r="BV87" s="583">
        <v>0</v>
      </c>
      <c r="BW87" s="583">
        <f>VLOOKUP("2450100",'[8]BS ACCTS'!$D$6:$ZZ$999,113,FALSE)+VLOOKUP("2450200",'[8]BS ACCTS'!$D$6:$ZZ$999,113,FALSE)</f>
        <v>0</v>
      </c>
      <c r="BX87" s="583">
        <f>VLOOKUP("2450100",'[8]BS ACCTS'!$D$6:$ZZ$999,114,FALSE)+VLOOKUP("2450200",'[8]BS ACCTS'!$D$6:$ZZ$999,114,FALSE)</f>
        <v>0</v>
      </c>
      <c r="BY87" s="583">
        <f>VLOOKUP("2450100",'[8]BS ACCTS'!$D$6:$ZZ$999,115,FALSE)+VLOOKUP("2450200",'[8]BS ACCTS'!$D$6:$ZZ$999,115,FALSE)</f>
        <v>0</v>
      </c>
      <c r="BZ87" s="583">
        <f>VLOOKUP("2450100",'[8]BS ACCTS'!$D$6:$ZZ$999,116,FALSE)+VLOOKUP("2450200",'[8]BS ACCTS'!$D$6:$ZZ$999,116,FALSE)</f>
        <v>0</v>
      </c>
      <c r="CA87" s="583">
        <f>VLOOKUP("2450100",'[8]BS ACCTS'!$D$6:$ZZ$999,117,FALSE)+VLOOKUP("2450200",'[8]BS ACCTS'!$D$6:$ZZ$999,117,FALSE)</f>
        <v>0</v>
      </c>
      <c r="CB87" s="583">
        <f>VLOOKUP("2450100",'[8]BS ACCTS'!$D$6:$ZZ$999,118,FALSE)+VLOOKUP("2450200",'[8]BS ACCTS'!$D$6:$ZZ$999,118,FALSE)</f>
        <v>0</v>
      </c>
      <c r="CC87" s="583">
        <f>VLOOKUP("2450100",'[8]BS ACCTS'!$D$6:$ZZ$999,119,FALSE)+VLOOKUP("2450200",'[8]BS ACCTS'!$D$6:$ZZ$999,119,FALSE)</f>
        <v>0</v>
      </c>
      <c r="CD87" s="583">
        <f>VLOOKUP("2450100",'[8]BS ACCTS'!$D$6:$ZZ$999,120,FALSE)+VLOOKUP("2450200",'[8]BS ACCTS'!$D$6:$ZZ$999,120,FALSE)</f>
        <v>0</v>
      </c>
      <c r="CE87" s="583">
        <f>VLOOKUP("2450100",'[8]BS ACCTS'!$D$6:$ZZ$999,121,FALSE)+VLOOKUP("2450200",'[8]BS ACCTS'!$D$6:$ZZ$999,121,FALSE)</f>
        <v>0</v>
      </c>
      <c r="CF87" s="583">
        <f>VLOOKUP("2450100",'[8]BS ACCTS'!$D$6:$ZZ$999,122,FALSE)+VLOOKUP("2450200",'[8]BS ACCTS'!$D$6:$ZZ$999,122,FALSE)</f>
        <v>0</v>
      </c>
      <c r="CG87" s="583">
        <f>VLOOKUP("2450100",'[8]BS ACCTS'!$D$6:$ZZ$999,123,FALSE)+VLOOKUP("2450200",'[8]BS ACCTS'!$D$6:$ZZ$999,123,FALSE)</f>
        <v>0</v>
      </c>
      <c r="CH87" s="583">
        <f>VLOOKUP("2450100",'[8]BS ACCTS'!$D$6:$ZZ$999,124,FALSE)+VLOOKUP("2450200",'[8]BS ACCTS'!$D$6:$ZZ$999,124,FALSE)</f>
        <v>0</v>
      </c>
      <c r="CI87" s="699">
        <f t="shared" si="124"/>
        <v>0</v>
      </c>
      <c r="CK87" s="33"/>
      <c r="CL87" s="184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</row>
    <row r="88" spans="1:104">
      <c r="A88" s="617" t="s">
        <v>535</v>
      </c>
      <c r="B88" s="262">
        <f t="shared" ca="1" si="123"/>
        <v>9837.9312830769231</v>
      </c>
      <c r="C88" s="353">
        <v>39426.560010000001</v>
      </c>
      <c r="D88" s="353">
        <v>38880.308950000006</v>
      </c>
      <c r="E88" s="353">
        <v>37586.142670000008</v>
      </c>
      <c r="F88" s="353">
        <v>36635.921760000005</v>
      </c>
      <c r="G88" s="353">
        <v>36286.03716</v>
      </c>
      <c r="H88" s="353">
        <v>36059.985379999998</v>
      </c>
      <c r="I88" s="353">
        <v>34835.182310000004</v>
      </c>
      <c r="J88" s="353">
        <v>34884.897959999995</v>
      </c>
      <c r="K88" s="353">
        <v>34147.930989999993</v>
      </c>
      <c r="L88" s="353">
        <v>34101.991150000002</v>
      </c>
      <c r="M88" s="353">
        <v>34070.469189999996</v>
      </c>
      <c r="N88" s="353">
        <v>33272.802769999995</v>
      </c>
      <c r="O88" s="353">
        <v>32329.136569999995</v>
      </c>
      <c r="P88" s="353">
        <v>33481.257119999995</v>
      </c>
      <c r="Q88" s="353">
        <v>32500.986129999994</v>
      </c>
      <c r="R88" s="416">
        <v>33609.884560000006</v>
      </c>
      <c r="S88" s="416">
        <v>33927.863709999991</v>
      </c>
      <c r="T88" s="416">
        <v>34636.611899999996</v>
      </c>
      <c r="U88" s="416">
        <v>35343.040039999993</v>
      </c>
      <c r="V88" s="416">
        <v>36050.902769999993</v>
      </c>
      <c r="W88" s="416">
        <v>30016.000540000001</v>
      </c>
      <c r="X88" s="416">
        <v>29740.857769999999</v>
      </c>
      <c r="Y88" s="416">
        <v>29592.681310000004</v>
      </c>
      <c r="Z88" s="416">
        <v>27648.452719999997</v>
      </c>
      <c r="AA88" s="416">
        <v>26481.006179999997</v>
      </c>
      <c r="AB88" s="416">
        <v>26282.26036</v>
      </c>
      <c r="AC88" s="416">
        <v>28110.980919999998</v>
      </c>
      <c r="AD88" s="416">
        <v>27234.955750000005</v>
      </c>
      <c r="AE88" s="416">
        <v>27305.00605</v>
      </c>
      <c r="AF88" s="416">
        <v>27650.081579999998</v>
      </c>
      <c r="AG88" s="416">
        <v>27329.458210000001</v>
      </c>
      <c r="AH88" s="416">
        <v>27831.848740000001</v>
      </c>
      <c r="AI88" s="416">
        <v>28119.124950000001</v>
      </c>
      <c r="AJ88" s="416">
        <v>28692.094550000002</v>
      </c>
      <c r="AK88" s="416">
        <v>29499.248889999995</v>
      </c>
      <c r="AL88" s="416">
        <v>22855.165509999999</v>
      </c>
      <c r="AM88" s="416">
        <v>22231.93938</v>
      </c>
      <c r="AN88" s="416">
        <v>20766.230119999997</v>
      </c>
      <c r="AO88" s="416">
        <v>21479.56163</v>
      </c>
      <c r="AP88" s="416">
        <v>20864.17871</v>
      </c>
      <c r="AQ88" s="416">
        <v>20936.874509999998</v>
      </c>
      <c r="AR88" s="417">
        <v>21459.629910000003</v>
      </c>
      <c r="AS88" s="417">
        <v>20985.367040000005</v>
      </c>
      <c r="AT88" s="417">
        <v>21197.958710000003</v>
      </c>
      <c r="AU88" s="417">
        <v>20809.59245</v>
      </c>
      <c r="AV88" s="417">
        <v>20544.495009999999</v>
      </c>
      <c r="AW88" s="417">
        <v>20648.051359999998</v>
      </c>
      <c r="AX88" s="417">
        <v>18421.58322</v>
      </c>
      <c r="AY88" s="417">
        <v>17804.688069999997</v>
      </c>
      <c r="AZ88" s="417">
        <v>18030.91015</v>
      </c>
      <c r="BA88" s="417">
        <v>17801.295000000006</v>
      </c>
      <c r="BB88" s="417">
        <v>17296.814030000001</v>
      </c>
      <c r="BC88" s="417">
        <v>17404.479720000003</v>
      </c>
      <c r="BD88" s="417">
        <v>17785.248380000001</v>
      </c>
      <c r="BE88" s="689">
        <v>17396.379920000003</v>
      </c>
      <c r="BF88" s="689">
        <v>17400.827559999998</v>
      </c>
      <c r="BG88" s="689">
        <v>17693.261959999996</v>
      </c>
      <c r="BH88" s="689">
        <v>13517.858760000001</v>
      </c>
      <c r="BI88" s="689">
        <v>16280.137589999997</v>
      </c>
      <c r="BJ88" s="689">
        <v>16245.723090000003</v>
      </c>
      <c r="BK88" s="689">
        <v>14292.117350000002</v>
      </c>
      <c r="BL88" s="689">
        <v>16074.465380000003</v>
      </c>
      <c r="BM88" s="689">
        <v>15938.971899999999</v>
      </c>
      <c r="BN88" s="689">
        <v>14640.359080000002</v>
      </c>
      <c r="BO88" s="689">
        <v>14422.423480000001</v>
      </c>
      <c r="BP88" s="689">
        <v>14518.929409999997</v>
      </c>
      <c r="BQ88" s="689">
        <v>14058.078249999997</v>
      </c>
      <c r="BR88" s="689">
        <v>12311.263049999998</v>
      </c>
      <c r="BS88" s="689">
        <v>13683.248160000005</v>
      </c>
      <c r="BT88" s="689">
        <v>12974.783580000001</v>
      </c>
      <c r="BU88" s="689">
        <v>12701.25705</v>
      </c>
      <c r="BV88" s="689">
        <v>11756.706679999999</v>
      </c>
      <c r="BW88" s="689">
        <f>VLOOKUP("2320008",'[8]BS ACCTS'!$D$6:$ZZ$999,113,FALSE)+VLOOKUP("2320015",'[8]BS ACCTS'!$D$6:$ZZ$999,113,FALSE)+VLOOKUP("2420191",'[8]BS ACCTS'!$D$6:$ZZ$999,113,FALSE)+VLOOKUP("2420192",'[8]BS ACCTS'!$D$6:$ZZ$999,113,FALSE)+VLOOKUP("2420199",'[8]BS ACCTS'!$D$6:$ZZ$999,113,FALSE)+VLOOKUP("2420310",'[8]BS ACCTS'!$D$6:$ZZ$999,113,FALSE)+VLOOKUP("2420800",'[8]BS ACCTS'!$D$6:$ZZ$999,113,FALSE)+VLOOKUP("2540105",'[8]BS ACCTS'!$D$6:$ZZ$999,113,FALSE)+VLOOKUP("2540205",'[8]BS ACCTS'!$D$6:$ZZ$999,113,FALSE)+VLOOKUP("2540280",'[8]BS ACCTS'!$D$6:$ZZ$999,113,FALSE)+VLOOKUP("2540612",'[8]BS ACCTS'!$D$6:$ZZ$999,113,FALSE)+VLOOKUP("2283200",'[8]BS ACCTS'!$D$6:$ZZ$999,113,FALSE)+VLOOKUP("2283202",'[8]BS ACCTS'!$D$6:$ZZ$999,113,FALSE)+VLOOKUP("2283230",'[8]BS ACCTS'!$D$6:$ZZ$999,113,FALSE)+VLOOKUP("2283232",'[8]BS ACCTS'!$D$6:$ZZ$999,113,FALSE)+VLOOKUP("2284020",'[8]BS ACCTS'!$D$6:$ZZ$999,113,FALSE)+VLOOKUP("2284030",'[8]BS ACCTS'!$D$6:$ZZ$999,113,FALSE)+VLOOKUP("2282010",'[8]BS ACCTS'!$D$6:$ZZ$999,113,FALSE)+VLOOKUP("2282020",'[8]BS ACCTS'!$D$6:$ZZ$999,113,FALSE)+VLOOKUP("2420321",'[8]BS ACCTS'!$D$6:$ZZ$999,113,FALSE)+VLOOKUP("2320020",'[8]BS ACCTS'!$D$6:$ZZ$999,113,FALSE)+VLOOKUP("2282001",'[8]BS ACCTS'!$D$6:$ZZ$999,113,FALSE)+VLOOKUP("2282210",'[8]BS ACCTS'!$D$6:$ZZ$999,113,FALSE)+VLOOKUP("2282110",'[8]BS ACCTS'!$D$6:$ZZ$999,113,FALSE)+VLOOKUP("2281100",'[8]BS ACCTS'!$D$6:$ZZ$999,113,FALSE)</f>
        <v>10952.399999999998</v>
      </c>
      <c r="BX88" s="689">
        <f>VLOOKUP("2320008",'[8]BS ACCTS'!$D$6:$ZZ$999,114,FALSE)+VLOOKUP("2320015",'[8]BS ACCTS'!$D$6:$ZZ$999,114,FALSE)+VLOOKUP("2420191",'[8]BS ACCTS'!$D$6:$ZZ$999,114,FALSE)+VLOOKUP("2420192",'[8]BS ACCTS'!$D$6:$ZZ$999,114,FALSE)+VLOOKUP("2420199",'[8]BS ACCTS'!$D$6:$ZZ$999,114,FALSE)+VLOOKUP("2420310",'[8]BS ACCTS'!$D$6:$ZZ$999,114,FALSE)+VLOOKUP("2420800",'[8]BS ACCTS'!$D$6:$ZZ$999,114,FALSE)+VLOOKUP("2540105",'[8]BS ACCTS'!$D$6:$ZZ$999,114,FALSE)+VLOOKUP("2540205",'[8]BS ACCTS'!$D$6:$ZZ$999,114,FALSE)+VLOOKUP("2540280",'[8]BS ACCTS'!$D$6:$ZZ$999,114,FALSE)+VLOOKUP("2540612",'[8]BS ACCTS'!$D$6:$ZZ$999,114,FALSE)+VLOOKUP("2283200",'[8]BS ACCTS'!$D$6:$ZZ$999,114,FALSE)+VLOOKUP("2283202",'[8]BS ACCTS'!$D$6:$ZZ$999,114,FALSE)+VLOOKUP("2283230",'[8]BS ACCTS'!$D$6:$ZZ$999,114,FALSE)+VLOOKUP("2283232",'[8]BS ACCTS'!$D$6:$ZZ$999,114,FALSE)+VLOOKUP("2284020",'[8]BS ACCTS'!$D$6:$ZZ$999,114,FALSE)+VLOOKUP("2284030",'[8]BS ACCTS'!$D$6:$ZZ$999,114,FALSE)+VLOOKUP("2282010",'[8]BS ACCTS'!$D$6:$ZZ$999,114,FALSE)+VLOOKUP("2282020",'[8]BS ACCTS'!$D$6:$ZZ$999,114,FALSE)+VLOOKUP("2420321",'[8]BS ACCTS'!$D$6:$ZZ$999,114,FALSE)+VLOOKUP("2320020",'[8]BS ACCTS'!$D$6:$ZZ$999,114,FALSE)+VLOOKUP("2282001",'[8]BS ACCTS'!$D$6:$ZZ$999,114,FALSE)+VLOOKUP("2282210",'[8]BS ACCTS'!$D$6:$ZZ$999,114,FALSE)+VLOOKUP("2282110",'[8]BS ACCTS'!$D$6:$ZZ$999,114,FALSE)+VLOOKUP("2281100",'[8]BS ACCTS'!$D$6:$ZZ$999,114,FALSE)</f>
        <v>11058.900000000001</v>
      </c>
      <c r="BY88" s="689">
        <f>VLOOKUP("2320008",'[8]BS ACCTS'!$D$6:$ZZ$999,115,FALSE)+VLOOKUP("2320015",'[8]BS ACCTS'!$D$6:$ZZ$999,115,FALSE)+VLOOKUP("2420191",'[8]BS ACCTS'!$D$6:$ZZ$999,115,FALSE)+VLOOKUP("2420192",'[8]BS ACCTS'!$D$6:$ZZ$999,115,FALSE)+VLOOKUP("2420199",'[8]BS ACCTS'!$D$6:$ZZ$999,115,FALSE)+VLOOKUP("2420310",'[8]BS ACCTS'!$D$6:$ZZ$999,115,FALSE)+VLOOKUP("2420800",'[8]BS ACCTS'!$D$6:$ZZ$999,115,FALSE)+VLOOKUP("2540105",'[8]BS ACCTS'!$D$6:$ZZ$999,115,FALSE)+VLOOKUP("2540205",'[8]BS ACCTS'!$D$6:$ZZ$999,115,FALSE)+VLOOKUP("2540280",'[8]BS ACCTS'!$D$6:$ZZ$999,115,FALSE)+VLOOKUP("2540612",'[8]BS ACCTS'!$D$6:$ZZ$999,115,FALSE)+VLOOKUP("2283200",'[8]BS ACCTS'!$D$6:$ZZ$999,115,FALSE)+VLOOKUP("2283202",'[8]BS ACCTS'!$D$6:$ZZ$999,115,FALSE)+VLOOKUP("2283230",'[8]BS ACCTS'!$D$6:$ZZ$999,115,FALSE)+VLOOKUP("2283232",'[8]BS ACCTS'!$D$6:$ZZ$999,115,FALSE)+VLOOKUP("2284020",'[8]BS ACCTS'!$D$6:$ZZ$999,115,FALSE)+VLOOKUP("2284030",'[8]BS ACCTS'!$D$6:$ZZ$999,115,FALSE)+VLOOKUP("2282010",'[8]BS ACCTS'!$D$6:$ZZ$999,115,FALSE)+VLOOKUP("2282020",'[8]BS ACCTS'!$D$6:$ZZ$999,115,FALSE)+VLOOKUP("2420321",'[8]BS ACCTS'!$D$6:$ZZ$999,115,FALSE)+VLOOKUP("2320020",'[8]BS ACCTS'!$D$6:$ZZ$999,115,FALSE)+VLOOKUP("2282001",'[8]BS ACCTS'!$D$6:$ZZ$999,115,FALSE)+VLOOKUP("2282210",'[8]BS ACCTS'!$D$6:$ZZ$999,115,FALSE)+VLOOKUP("2282110",'[8]BS ACCTS'!$D$6:$ZZ$999,115,FALSE)+VLOOKUP("2281100",'[8]BS ACCTS'!$D$6:$ZZ$999,115,FALSE)</f>
        <v>10638.5</v>
      </c>
      <c r="BZ88" s="689">
        <f>VLOOKUP("2320008",'[8]BS ACCTS'!$D$6:$ZZ$999,116,FALSE)+VLOOKUP("2320015",'[8]BS ACCTS'!$D$6:$ZZ$999,116,FALSE)+VLOOKUP("2420191",'[8]BS ACCTS'!$D$6:$ZZ$999,116,FALSE)+VLOOKUP("2420192",'[8]BS ACCTS'!$D$6:$ZZ$999,116,FALSE)+VLOOKUP("2420199",'[8]BS ACCTS'!$D$6:$ZZ$999,116,FALSE)+VLOOKUP("2420310",'[8]BS ACCTS'!$D$6:$ZZ$999,116,FALSE)+VLOOKUP("2420800",'[8]BS ACCTS'!$D$6:$ZZ$999,116,FALSE)+VLOOKUP("2540105",'[8]BS ACCTS'!$D$6:$ZZ$999,116,FALSE)+VLOOKUP("2540205",'[8]BS ACCTS'!$D$6:$ZZ$999,116,FALSE)+VLOOKUP("2540280",'[8]BS ACCTS'!$D$6:$ZZ$999,116,FALSE)+VLOOKUP("2540612",'[8]BS ACCTS'!$D$6:$ZZ$999,116,FALSE)+VLOOKUP("2283200",'[8]BS ACCTS'!$D$6:$ZZ$999,116,FALSE)+VLOOKUP("2283202",'[8]BS ACCTS'!$D$6:$ZZ$999,116,FALSE)+VLOOKUP("2283230",'[8]BS ACCTS'!$D$6:$ZZ$999,116,FALSE)+VLOOKUP("2283232",'[8]BS ACCTS'!$D$6:$ZZ$999,116,FALSE)+VLOOKUP("2284020",'[8]BS ACCTS'!$D$6:$ZZ$999,116,FALSE)+VLOOKUP("2284030",'[8]BS ACCTS'!$D$6:$ZZ$999,116,FALSE)+VLOOKUP("2282010",'[8]BS ACCTS'!$D$6:$ZZ$999,116,FALSE)+VLOOKUP("2282020",'[8]BS ACCTS'!$D$6:$ZZ$999,116,FALSE)+VLOOKUP("2420321",'[8]BS ACCTS'!$D$6:$ZZ$999,116,FALSE)+VLOOKUP("2320020",'[8]BS ACCTS'!$D$6:$ZZ$999,116,FALSE)+VLOOKUP("2282001",'[8]BS ACCTS'!$D$6:$ZZ$999,116,FALSE)+VLOOKUP("2282210",'[8]BS ACCTS'!$D$6:$ZZ$999,116,FALSE)+VLOOKUP("2282110",'[8]BS ACCTS'!$D$6:$ZZ$999,116,FALSE)+VLOOKUP("2281100",'[8]BS ACCTS'!$D$6:$ZZ$999,116,FALSE)</f>
        <v>10038.800000000003</v>
      </c>
      <c r="CA88" s="689">
        <f>VLOOKUP("2320008",'[8]BS ACCTS'!$D$6:$ZZ$999,117,FALSE)+VLOOKUP("2320015",'[8]BS ACCTS'!$D$6:$ZZ$999,117,FALSE)+VLOOKUP("2420191",'[8]BS ACCTS'!$D$6:$ZZ$999,117,FALSE)+VLOOKUP("2420192",'[8]BS ACCTS'!$D$6:$ZZ$999,117,FALSE)+VLOOKUP("2420199",'[8]BS ACCTS'!$D$6:$ZZ$999,117,FALSE)+VLOOKUP("2420310",'[8]BS ACCTS'!$D$6:$ZZ$999,117,FALSE)+VLOOKUP("2420800",'[8]BS ACCTS'!$D$6:$ZZ$999,117,FALSE)+VLOOKUP("2540105",'[8]BS ACCTS'!$D$6:$ZZ$999,117,FALSE)+VLOOKUP("2540205",'[8]BS ACCTS'!$D$6:$ZZ$999,117,FALSE)+VLOOKUP("2540280",'[8]BS ACCTS'!$D$6:$ZZ$999,117,FALSE)+VLOOKUP("2540612",'[8]BS ACCTS'!$D$6:$ZZ$999,117,FALSE)+VLOOKUP("2283200",'[8]BS ACCTS'!$D$6:$ZZ$999,117,FALSE)+VLOOKUP("2283202",'[8]BS ACCTS'!$D$6:$ZZ$999,117,FALSE)+VLOOKUP("2283230",'[8]BS ACCTS'!$D$6:$ZZ$999,117,FALSE)+VLOOKUP("2283232",'[8]BS ACCTS'!$D$6:$ZZ$999,117,FALSE)+VLOOKUP("2284020",'[8]BS ACCTS'!$D$6:$ZZ$999,117,FALSE)+VLOOKUP("2284030",'[8]BS ACCTS'!$D$6:$ZZ$999,117,FALSE)+VLOOKUP("2282010",'[8]BS ACCTS'!$D$6:$ZZ$999,117,FALSE)+VLOOKUP("2282020",'[8]BS ACCTS'!$D$6:$ZZ$999,117,FALSE)+VLOOKUP("2420321",'[8]BS ACCTS'!$D$6:$ZZ$999,117,FALSE)+VLOOKUP("2320020",'[8]BS ACCTS'!$D$6:$ZZ$999,117,FALSE)+VLOOKUP("2282001",'[8]BS ACCTS'!$D$6:$ZZ$999,117,FALSE)+VLOOKUP("2282210",'[8]BS ACCTS'!$D$6:$ZZ$999,117,FALSE)+VLOOKUP("2282110",'[8]BS ACCTS'!$D$6:$ZZ$999,117,FALSE)+VLOOKUP("2281100",'[8]BS ACCTS'!$D$6:$ZZ$999,117,FALSE)</f>
        <v>10010.000000000004</v>
      </c>
      <c r="CB88" s="689">
        <f>VLOOKUP("2320008",'[8]BS ACCTS'!$D$6:$ZZ$999,118,FALSE)+VLOOKUP("2320015",'[8]BS ACCTS'!$D$6:$ZZ$999,118,FALSE)+VLOOKUP("2420191",'[8]BS ACCTS'!$D$6:$ZZ$999,118,FALSE)+VLOOKUP("2420192",'[8]BS ACCTS'!$D$6:$ZZ$999,118,FALSE)+VLOOKUP("2420199",'[8]BS ACCTS'!$D$6:$ZZ$999,118,FALSE)+VLOOKUP("2420310",'[8]BS ACCTS'!$D$6:$ZZ$999,118,FALSE)+VLOOKUP("2420800",'[8]BS ACCTS'!$D$6:$ZZ$999,118,FALSE)+VLOOKUP("2540105",'[8]BS ACCTS'!$D$6:$ZZ$999,118,FALSE)+VLOOKUP("2540205",'[8]BS ACCTS'!$D$6:$ZZ$999,118,FALSE)+VLOOKUP("2540280",'[8]BS ACCTS'!$D$6:$ZZ$999,118,FALSE)+VLOOKUP("2540612",'[8]BS ACCTS'!$D$6:$ZZ$999,118,FALSE)+VLOOKUP("2283200",'[8]BS ACCTS'!$D$6:$ZZ$999,118,FALSE)+VLOOKUP("2283202",'[8]BS ACCTS'!$D$6:$ZZ$999,118,FALSE)+VLOOKUP("2283230",'[8]BS ACCTS'!$D$6:$ZZ$999,118,FALSE)+VLOOKUP("2283232",'[8]BS ACCTS'!$D$6:$ZZ$999,118,FALSE)+VLOOKUP("2284020",'[8]BS ACCTS'!$D$6:$ZZ$999,118,FALSE)+VLOOKUP("2284030",'[8]BS ACCTS'!$D$6:$ZZ$999,118,FALSE)+VLOOKUP("2282010",'[8]BS ACCTS'!$D$6:$ZZ$999,118,FALSE)+VLOOKUP("2282020",'[8]BS ACCTS'!$D$6:$ZZ$999,118,FALSE)+VLOOKUP("2420321",'[8]BS ACCTS'!$D$6:$ZZ$999,118,FALSE)+VLOOKUP("2320020",'[8]BS ACCTS'!$D$6:$ZZ$999,118,FALSE)+VLOOKUP("2282001",'[8]BS ACCTS'!$D$6:$ZZ$999,118,FALSE)+VLOOKUP("2282210",'[8]BS ACCTS'!$D$6:$ZZ$999,118,FALSE)+VLOOKUP("2282110",'[8]BS ACCTS'!$D$6:$ZZ$999,118,FALSE)+VLOOKUP("2281100",'[8]BS ACCTS'!$D$6:$ZZ$999,118,FALSE)</f>
        <v>10194.599999999999</v>
      </c>
      <c r="CC88" s="689">
        <f>VLOOKUP("2320008",'[8]BS ACCTS'!$D$6:$ZZ$999,119,FALSE)+VLOOKUP("2320015",'[8]BS ACCTS'!$D$6:$ZZ$999,119,FALSE)+VLOOKUP("2420191",'[8]BS ACCTS'!$D$6:$ZZ$999,119,FALSE)+VLOOKUP("2420192",'[8]BS ACCTS'!$D$6:$ZZ$999,119,FALSE)+VLOOKUP("2420199",'[8]BS ACCTS'!$D$6:$ZZ$999,119,FALSE)+VLOOKUP("2420310",'[8]BS ACCTS'!$D$6:$ZZ$999,119,FALSE)+VLOOKUP("2420800",'[8]BS ACCTS'!$D$6:$ZZ$999,119,FALSE)+VLOOKUP("2540105",'[8]BS ACCTS'!$D$6:$ZZ$999,119,FALSE)+VLOOKUP("2540205",'[8]BS ACCTS'!$D$6:$ZZ$999,119,FALSE)+VLOOKUP("2540280",'[8]BS ACCTS'!$D$6:$ZZ$999,119,FALSE)+VLOOKUP("2540612",'[8]BS ACCTS'!$D$6:$ZZ$999,119,FALSE)+VLOOKUP("2283200",'[8]BS ACCTS'!$D$6:$ZZ$999,119,FALSE)+VLOOKUP("2283202",'[8]BS ACCTS'!$D$6:$ZZ$999,119,FALSE)+VLOOKUP("2283230",'[8]BS ACCTS'!$D$6:$ZZ$999,119,FALSE)+VLOOKUP("2283232",'[8]BS ACCTS'!$D$6:$ZZ$999,119,FALSE)+VLOOKUP("2284020",'[8]BS ACCTS'!$D$6:$ZZ$999,119,FALSE)+VLOOKUP("2284030",'[8]BS ACCTS'!$D$6:$ZZ$999,119,FALSE)+VLOOKUP("2282010",'[8]BS ACCTS'!$D$6:$ZZ$999,119,FALSE)+VLOOKUP("2282020",'[8]BS ACCTS'!$D$6:$ZZ$999,119,FALSE)+VLOOKUP("2420321",'[8]BS ACCTS'!$D$6:$ZZ$999,119,FALSE)+VLOOKUP("2320020",'[8]BS ACCTS'!$D$6:$ZZ$999,119,FALSE)+VLOOKUP("2282001",'[8]BS ACCTS'!$D$6:$ZZ$999,119,FALSE)+VLOOKUP("2282210",'[8]BS ACCTS'!$D$6:$ZZ$999,119,FALSE)+VLOOKUP("2282110",'[8]BS ACCTS'!$D$6:$ZZ$999,119,FALSE)+VLOOKUP("2281100",'[8]BS ACCTS'!$D$6:$ZZ$999,119,FALSE)</f>
        <v>9595.7000000000007</v>
      </c>
      <c r="CD88" s="689">
        <f>VLOOKUP("2320008",'[8]BS ACCTS'!$D$6:$ZZ$999,120,FALSE)+VLOOKUP("2320015",'[8]BS ACCTS'!$D$6:$ZZ$999,120,FALSE)+VLOOKUP("2420191",'[8]BS ACCTS'!$D$6:$ZZ$999,120,FALSE)+VLOOKUP("2420192",'[8]BS ACCTS'!$D$6:$ZZ$999,120,FALSE)+VLOOKUP("2420199",'[8]BS ACCTS'!$D$6:$ZZ$999,120,FALSE)+VLOOKUP("2420310",'[8]BS ACCTS'!$D$6:$ZZ$999,120,FALSE)+VLOOKUP("2420800",'[8]BS ACCTS'!$D$6:$ZZ$999,120,FALSE)+VLOOKUP("2540105",'[8]BS ACCTS'!$D$6:$ZZ$999,120,FALSE)+VLOOKUP("2540205",'[8]BS ACCTS'!$D$6:$ZZ$999,120,FALSE)+VLOOKUP("2540280",'[8]BS ACCTS'!$D$6:$ZZ$999,120,FALSE)+VLOOKUP("2540612",'[8]BS ACCTS'!$D$6:$ZZ$999,120,FALSE)+VLOOKUP("2283200",'[8]BS ACCTS'!$D$6:$ZZ$999,120,FALSE)+VLOOKUP("2283202",'[8]BS ACCTS'!$D$6:$ZZ$999,120,FALSE)+VLOOKUP("2283230",'[8]BS ACCTS'!$D$6:$ZZ$999,120,FALSE)+VLOOKUP("2283232",'[8]BS ACCTS'!$D$6:$ZZ$999,120,FALSE)+VLOOKUP("2284020",'[8]BS ACCTS'!$D$6:$ZZ$999,120,FALSE)+VLOOKUP("2284030",'[8]BS ACCTS'!$D$6:$ZZ$999,120,FALSE)+VLOOKUP("2282010",'[8]BS ACCTS'!$D$6:$ZZ$999,120,FALSE)+VLOOKUP("2282020",'[8]BS ACCTS'!$D$6:$ZZ$999,120,FALSE)+VLOOKUP("2420321",'[8]BS ACCTS'!$D$6:$ZZ$999,120,FALSE)+VLOOKUP("2320020",'[8]BS ACCTS'!$D$6:$ZZ$999,120,FALSE)+VLOOKUP("2282001",'[8]BS ACCTS'!$D$6:$ZZ$999,120,FALSE)+VLOOKUP("2282210",'[8]BS ACCTS'!$D$6:$ZZ$999,120,FALSE)+VLOOKUP("2282110",'[8]BS ACCTS'!$D$6:$ZZ$999,120,FALSE)+VLOOKUP("2281100",'[8]BS ACCTS'!$D$6:$ZZ$999,120,FALSE)</f>
        <v>9484.5</v>
      </c>
      <c r="CE88" s="689">
        <f>VLOOKUP("2320008",'[8]BS ACCTS'!$D$6:$ZZ$999,121,FALSE)+VLOOKUP("2320015",'[8]BS ACCTS'!$D$6:$ZZ$999,121,FALSE)+VLOOKUP("2420191",'[8]BS ACCTS'!$D$6:$ZZ$999,121,FALSE)+VLOOKUP("2420192",'[8]BS ACCTS'!$D$6:$ZZ$999,121,FALSE)+VLOOKUP("2420199",'[8]BS ACCTS'!$D$6:$ZZ$999,121,FALSE)+VLOOKUP("2420310",'[8]BS ACCTS'!$D$6:$ZZ$999,121,FALSE)+VLOOKUP("2420800",'[8]BS ACCTS'!$D$6:$ZZ$999,121,FALSE)+VLOOKUP("2540105",'[8]BS ACCTS'!$D$6:$ZZ$999,121,FALSE)+VLOOKUP("2540205",'[8]BS ACCTS'!$D$6:$ZZ$999,121,FALSE)+VLOOKUP("2540280",'[8]BS ACCTS'!$D$6:$ZZ$999,121,FALSE)+VLOOKUP("2540612",'[8]BS ACCTS'!$D$6:$ZZ$999,121,FALSE)+VLOOKUP("2283200",'[8]BS ACCTS'!$D$6:$ZZ$999,121,FALSE)+VLOOKUP("2283202",'[8]BS ACCTS'!$D$6:$ZZ$999,121,FALSE)+VLOOKUP("2283230",'[8]BS ACCTS'!$D$6:$ZZ$999,121,FALSE)+VLOOKUP("2283232",'[8]BS ACCTS'!$D$6:$ZZ$999,121,FALSE)+VLOOKUP("2284020",'[8]BS ACCTS'!$D$6:$ZZ$999,121,FALSE)+VLOOKUP("2284030",'[8]BS ACCTS'!$D$6:$ZZ$999,121,FALSE)+VLOOKUP("2282010",'[8]BS ACCTS'!$D$6:$ZZ$999,121,FALSE)+VLOOKUP("2282020",'[8]BS ACCTS'!$D$6:$ZZ$999,121,FALSE)+VLOOKUP("2420321",'[8]BS ACCTS'!$D$6:$ZZ$999,121,FALSE)+VLOOKUP("2320020",'[8]BS ACCTS'!$D$6:$ZZ$999,121,FALSE)+VLOOKUP("2282001",'[8]BS ACCTS'!$D$6:$ZZ$999,121,FALSE)+VLOOKUP("2282210",'[8]BS ACCTS'!$D$6:$ZZ$999,121,FALSE)+VLOOKUP("2282110",'[8]BS ACCTS'!$D$6:$ZZ$999,121,FALSE)+VLOOKUP("2281100",'[8]BS ACCTS'!$D$6:$ZZ$999,121,FALSE)</f>
        <v>8988.6000000000022</v>
      </c>
      <c r="CF88" s="689">
        <f>VLOOKUP("2320008",'[8]BS ACCTS'!$D$6:$ZZ$999,122,FALSE)+VLOOKUP("2320015",'[8]BS ACCTS'!$D$6:$ZZ$999,122,FALSE)+VLOOKUP("2420191",'[8]BS ACCTS'!$D$6:$ZZ$999,122,FALSE)+VLOOKUP("2420192",'[8]BS ACCTS'!$D$6:$ZZ$999,122,FALSE)+VLOOKUP("2420199",'[8]BS ACCTS'!$D$6:$ZZ$999,122,FALSE)+VLOOKUP("2420310",'[8]BS ACCTS'!$D$6:$ZZ$999,122,FALSE)+VLOOKUP("2420800",'[8]BS ACCTS'!$D$6:$ZZ$999,122,FALSE)+VLOOKUP("2540105",'[8]BS ACCTS'!$D$6:$ZZ$999,122,FALSE)+VLOOKUP("2540205",'[8]BS ACCTS'!$D$6:$ZZ$999,122,FALSE)+VLOOKUP("2540280",'[8]BS ACCTS'!$D$6:$ZZ$999,122,FALSE)+VLOOKUP("2540612",'[8]BS ACCTS'!$D$6:$ZZ$999,122,FALSE)+VLOOKUP("2283200",'[8]BS ACCTS'!$D$6:$ZZ$999,122,FALSE)+VLOOKUP("2283202",'[8]BS ACCTS'!$D$6:$ZZ$999,122,FALSE)+VLOOKUP("2283230",'[8]BS ACCTS'!$D$6:$ZZ$999,122,FALSE)+VLOOKUP("2283232",'[8]BS ACCTS'!$D$6:$ZZ$999,122,FALSE)+VLOOKUP("2284020",'[8]BS ACCTS'!$D$6:$ZZ$999,122,FALSE)+VLOOKUP("2284030",'[8]BS ACCTS'!$D$6:$ZZ$999,122,FALSE)+VLOOKUP("2282010",'[8]BS ACCTS'!$D$6:$ZZ$999,122,FALSE)+VLOOKUP("2282020",'[8]BS ACCTS'!$D$6:$ZZ$999,122,FALSE)+VLOOKUP("2420321",'[8]BS ACCTS'!$D$6:$ZZ$999,122,FALSE)+VLOOKUP("2320020",'[8]BS ACCTS'!$D$6:$ZZ$999,122,FALSE)+VLOOKUP("2282001",'[8]BS ACCTS'!$D$6:$ZZ$999,122,FALSE)+VLOOKUP("2282210",'[8]BS ACCTS'!$D$6:$ZZ$999,122,FALSE)+VLOOKUP("2282110",'[8]BS ACCTS'!$D$6:$ZZ$999,122,FALSE)+VLOOKUP("2281100",'[8]BS ACCTS'!$D$6:$ZZ$999,122,FALSE)</f>
        <v>8896.7999999999993</v>
      </c>
      <c r="CG88" s="689">
        <f>VLOOKUP("2320008",'[8]BS ACCTS'!$D$6:$ZZ$999,123,FALSE)+VLOOKUP("2320015",'[8]BS ACCTS'!$D$6:$ZZ$999,123,FALSE)+VLOOKUP("2420191",'[8]BS ACCTS'!$D$6:$ZZ$999,123,FALSE)+VLOOKUP("2420192",'[8]BS ACCTS'!$D$6:$ZZ$999,123,FALSE)+VLOOKUP("2420199",'[8]BS ACCTS'!$D$6:$ZZ$999,123,FALSE)+VLOOKUP("2420310",'[8]BS ACCTS'!$D$6:$ZZ$999,123,FALSE)+VLOOKUP("2420800",'[8]BS ACCTS'!$D$6:$ZZ$999,123,FALSE)+VLOOKUP("2540105",'[8]BS ACCTS'!$D$6:$ZZ$999,123,FALSE)+VLOOKUP("2540205",'[8]BS ACCTS'!$D$6:$ZZ$999,123,FALSE)+VLOOKUP("2540280",'[8]BS ACCTS'!$D$6:$ZZ$999,123,FALSE)+VLOOKUP("2540612",'[8]BS ACCTS'!$D$6:$ZZ$999,123,FALSE)+VLOOKUP("2283200",'[8]BS ACCTS'!$D$6:$ZZ$999,123,FALSE)+VLOOKUP("2283202",'[8]BS ACCTS'!$D$6:$ZZ$999,123,FALSE)+VLOOKUP("2283230",'[8]BS ACCTS'!$D$6:$ZZ$999,123,FALSE)+VLOOKUP("2283232",'[8]BS ACCTS'!$D$6:$ZZ$999,123,FALSE)+VLOOKUP("2284020",'[8]BS ACCTS'!$D$6:$ZZ$999,123,FALSE)+VLOOKUP("2284030",'[8]BS ACCTS'!$D$6:$ZZ$999,123,FALSE)+VLOOKUP("2282010",'[8]BS ACCTS'!$D$6:$ZZ$999,123,FALSE)+VLOOKUP("2282020",'[8]BS ACCTS'!$D$6:$ZZ$999,123,FALSE)+VLOOKUP("2420321",'[8]BS ACCTS'!$D$6:$ZZ$999,123,FALSE)+VLOOKUP("2320020",'[8]BS ACCTS'!$D$6:$ZZ$999,123,FALSE)+VLOOKUP("2282001",'[8]BS ACCTS'!$D$6:$ZZ$999,123,FALSE)+VLOOKUP("2282210",'[8]BS ACCTS'!$D$6:$ZZ$999,123,FALSE)+VLOOKUP("2282110",'[8]BS ACCTS'!$D$6:$ZZ$999,123,FALSE)+VLOOKUP("2281100",'[8]BS ACCTS'!$D$6:$ZZ$999,123,FALSE)</f>
        <v>8905.3999999999978</v>
      </c>
      <c r="CH88" s="689">
        <f>VLOOKUP("2320008",'[8]BS ACCTS'!$D$6:$ZZ$999,124,FALSE)+VLOOKUP("2320015",'[8]BS ACCTS'!$D$6:$ZZ$999,124,FALSE)+VLOOKUP("2420191",'[8]BS ACCTS'!$D$6:$ZZ$999,124,FALSE)+VLOOKUP("2420192",'[8]BS ACCTS'!$D$6:$ZZ$999,124,FALSE)+VLOOKUP("2420199",'[8]BS ACCTS'!$D$6:$ZZ$999,124,FALSE)+VLOOKUP("2420310",'[8]BS ACCTS'!$D$6:$ZZ$999,124,FALSE)+VLOOKUP("2420800",'[8]BS ACCTS'!$D$6:$ZZ$999,124,FALSE)+VLOOKUP("2540105",'[8]BS ACCTS'!$D$6:$ZZ$999,124,FALSE)+VLOOKUP("2540205",'[8]BS ACCTS'!$D$6:$ZZ$999,124,FALSE)+VLOOKUP("2540280",'[8]BS ACCTS'!$D$6:$ZZ$999,124,FALSE)+VLOOKUP("2540612",'[8]BS ACCTS'!$D$6:$ZZ$999,124,FALSE)+VLOOKUP("2283200",'[8]BS ACCTS'!$D$6:$ZZ$999,124,FALSE)+VLOOKUP("2283202",'[8]BS ACCTS'!$D$6:$ZZ$999,124,FALSE)+VLOOKUP("2283230",'[8]BS ACCTS'!$D$6:$ZZ$999,124,FALSE)+VLOOKUP("2283232",'[8]BS ACCTS'!$D$6:$ZZ$999,124,FALSE)+VLOOKUP("2284020",'[8]BS ACCTS'!$D$6:$ZZ$999,124,FALSE)+VLOOKUP("2284030",'[8]BS ACCTS'!$D$6:$ZZ$999,124,FALSE)+VLOOKUP("2282010",'[8]BS ACCTS'!$D$6:$ZZ$999,124,FALSE)+VLOOKUP("2282020",'[8]BS ACCTS'!$D$6:$ZZ$999,124,FALSE)+VLOOKUP("2420321",'[8]BS ACCTS'!$D$6:$ZZ$999,124,FALSE)+VLOOKUP("2320020",'[8]BS ACCTS'!$D$6:$ZZ$999,124,FALSE)+VLOOKUP("2282001",'[8]BS ACCTS'!$D$6:$ZZ$999,124,FALSE)+VLOOKUP("2282210",'[8]BS ACCTS'!$D$6:$ZZ$999,124,FALSE)+VLOOKUP("2282110",'[8]BS ACCTS'!$D$6:$ZZ$999,124,FALSE)+VLOOKUP("2281100",'[8]BS ACCTS'!$D$6:$ZZ$999,124,FALSE)</f>
        <v>7372.2000000000007</v>
      </c>
      <c r="CI88" s="700">
        <f t="shared" si="124"/>
        <v>9837.9312830769231</v>
      </c>
      <c r="CK88" s="33"/>
      <c r="CL88" s="184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</row>
    <row r="89" spans="1:104" s="19" customFormat="1">
      <c r="A89" s="599" t="s">
        <v>536</v>
      </c>
      <c r="B89" s="260">
        <f t="shared" ca="1" si="123"/>
        <v>349246.67883027159</v>
      </c>
      <c r="C89" s="447">
        <f t="shared" ref="C89:N89" si="125">SUM(C73:C88)</f>
        <v>123967.31966000001</v>
      </c>
      <c r="D89" s="447">
        <f t="shared" si="125"/>
        <v>128604.48178000002</v>
      </c>
      <c r="E89" s="447">
        <f t="shared" si="125"/>
        <v>122318.07208000001</v>
      </c>
      <c r="F89" s="447">
        <f t="shared" si="125"/>
        <v>126762.87057000003</v>
      </c>
      <c r="G89" s="447">
        <f t="shared" si="125"/>
        <v>120418.54441999999</v>
      </c>
      <c r="H89" s="447">
        <f t="shared" si="125"/>
        <v>111007.03489</v>
      </c>
      <c r="I89" s="447">
        <f t="shared" si="125"/>
        <v>115758.87654</v>
      </c>
      <c r="J89" s="447">
        <f t="shared" si="125"/>
        <v>132431.79814</v>
      </c>
      <c r="K89" s="447">
        <f t="shared" si="125"/>
        <v>129332.34272</v>
      </c>
      <c r="L89" s="447">
        <f t="shared" si="125"/>
        <v>127093.71226000001</v>
      </c>
      <c r="M89" s="447">
        <f t="shared" si="125"/>
        <v>131501.82195999997</v>
      </c>
      <c r="N89" s="447">
        <f t="shared" si="125"/>
        <v>149793.92608</v>
      </c>
      <c r="O89" s="447">
        <f t="shared" ref="O89:Z89" si="126">SUM(O73:O88)</f>
        <v>155515.57311</v>
      </c>
      <c r="P89" s="447">
        <f t="shared" si="126"/>
        <v>147656.74565</v>
      </c>
      <c r="Q89" s="447">
        <f t="shared" si="126"/>
        <v>142869.26879</v>
      </c>
      <c r="R89" s="447">
        <f t="shared" si="126"/>
        <v>140423.03781000001</v>
      </c>
      <c r="S89" s="447">
        <f t="shared" si="126"/>
        <v>194362.04648999998</v>
      </c>
      <c r="T89" s="447">
        <f t="shared" si="126"/>
        <v>123113.99776999996</v>
      </c>
      <c r="U89" s="447">
        <f t="shared" si="126"/>
        <v>126753.87921999997</v>
      </c>
      <c r="V89" s="447">
        <f t="shared" si="126"/>
        <v>130048.03537</v>
      </c>
      <c r="W89" s="447">
        <f t="shared" si="126"/>
        <v>137393.84849999999</v>
      </c>
      <c r="X89" s="447">
        <f t="shared" si="126"/>
        <v>128043.6704</v>
      </c>
      <c r="Y89" s="447">
        <f t="shared" si="126"/>
        <v>138739.55907000002</v>
      </c>
      <c r="Z89" s="447">
        <f t="shared" si="126"/>
        <v>150159.86202999999</v>
      </c>
      <c r="AA89" s="447">
        <f t="shared" ref="AA89:AL89" si="127">SUM(AA73:AA88)</f>
        <v>164086.73255000002</v>
      </c>
      <c r="AB89" s="447">
        <f t="shared" si="127"/>
        <v>133897.17997999996</v>
      </c>
      <c r="AC89" s="447">
        <f t="shared" si="127"/>
        <v>139181.74457000001</v>
      </c>
      <c r="AD89" s="447">
        <f t="shared" si="127"/>
        <v>136265.46386000002</v>
      </c>
      <c r="AE89" s="447">
        <f t="shared" si="127"/>
        <v>126058.67963999999</v>
      </c>
      <c r="AF89" s="447">
        <f t="shared" si="127"/>
        <v>131771.70117000001</v>
      </c>
      <c r="AG89" s="447">
        <f>SUM(AG73:AG88)</f>
        <v>115404.89243999998</v>
      </c>
      <c r="AH89" s="447">
        <f t="shared" si="127"/>
        <v>141366.10889999999</v>
      </c>
      <c r="AI89" s="447">
        <f t="shared" si="127"/>
        <v>135964.69021999999</v>
      </c>
      <c r="AJ89" s="447">
        <f t="shared" si="127"/>
        <v>147191.88927999997</v>
      </c>
      <c r="AK89" s="447">
        <f t="shared" si="127"/>
        <v>176996.41529999999</v>
      </c>
      <c r="AL89" s="447">
        <f t="shared" si="127"/>
        <v>194352.45651999998</v>
      </c>
      <c r="AM89" s="447">
        <f t="shared" ref="AM89:AS89" si="128">SUM(AM73:AM88)</f>
        <v>208056.47766999999</v>
      </c>
      <c r="AN89" s="447">
        <f t="shared" si="128"/>
        <v>183009.28641000006</v>
      </c>
      <c r="AO89" s="447">
        <f t="shared" si="128"/>
        <v>188553.74327000001</v>
      </c>
      <c r="AP89" s="447">
        <f t="shared" si="128"/>
        <v>200692.44816999999</v>
      </c>
      <c r="AQ89" s="447">
        <f t="shared" si="128"/>
        <v>206188.01345999996</v>
      </c>
      <c r="AR89" s="447">
        <f t="shared" si="128"/>
        <v>222933.16915000003</v>
      </c>
      <c r="AS89" s="447">
        <f t="shared" si="128"/>
        <v>238674.16862000004</v>
      </c>
      <c r="AT89" s="447">
        <f t="shared" ref="AT89:AY89" si="129">SUM(AT73:AT88)</f>
        <v>236477.94807999997</v>
      </c>
      <c r="AU89" s="447">
        <f t="shared" si="129"/>
        <v>256971.40732</v>
      </c>
      <c r="AV89" s="447">
        <f t="shared" si="129"/>
        <v>283382.53022000002</v>
      </c>
      <c r="AW89" s="447">
        <f t="shared" si="129"/>
        <v>306369.52165999991</v>
      </c>
      <c r="AX89" s="447">
        <f t="shared" si="129"/>
        <v>340876.82304000005</v>
      </c>
      <c r="AY89" s="447">
        <f t="shared" si="129"/>
        <v>355659.60382999998</v>
      </c>
      <c r="AZ89" s="447">
        <f t="shared" ref="AZ89:BJ89" si="130">SUM(AZ73:AZ88)</f>
        <v>342927.67520999996</v>
      </c>
      <c r="BA89" s="447">
        <f t="shared" si="130"/>
        <v>125882.91601000002</v>
      </c>
      <c r="BB89" s="447">
        <f t="shared" si="130"/>
        <v>159450.40697000001</v>
      </c>
      <c r="BC89" s="447">
        <f t="shared" si="130"/>
        <v>186935.12643000003</v>
      </c>
      <c r="BD89" s="447">
        <f t="shared" si="130"/>
        <v>201450.12104000003</v>
      </c>
      <c r="BE89" s="474">
        <f t="shared" si="130"/>
        <v>220585.66316000003</v>
      </c>
      <c r="BF89" s="474">
        <f t="shared" si="130"/>
        <v>216210.30886000002</v>
      </c>
      <c r="BG89" s="474">
        <f t="shared" si="130"/>
        <v>232365.81930000003</v>
      </c>
      <c r="BH89" s="474">
        <f t="shared" si="130"/>
        <v>258674.50292000003</v>
      </c>
      <c r="BI89" s="474">
        <f t="shared" si="130"/>
        <v>269099.06038999994</v>
      </c>
      <c r="BJ89" s="474">
        <f t="shared" si="130"/>
        <v>305241.0482800001</v>
      </c>
      <c r="BK89" s="474">
        <f t="shared" ref="BK89:BU89" si="131">SUM(BK73:BK88)</f>
        <v>323858.68808999995</v>
      </c>
      <c r="BL89" s="474">
        <f t="shared" si="131"/>
        <v>274620.04058999999</v>
      </c>
      <c r="BM89" s="474">
        <f t="shared" si="131"/>
        <v>272878.37052</v>
      </c>
      <c r="BN89" s="474">
        <f t="shared" si="131"/>
        <v>310849.33356000012</v>
      </c>
      <c r="BO89" s="474">
        <f t="shared" si="131"/>
        <v>298902.06505000003</v>
      </c>
      <c r="BP89" s="474">
        <f t="shared" si="131"/>
        <v>318010.47997999995</v>
      </c>
      <c r="BQ89" s="474">
        <f t="shared" si="131"/>
        <v>254136.67939999996</v>
      </c>
      <c r="BR89" s="474">
        <f t="shared" si="131"/>
        <v>240352.51211000001</v>
      </c>
      <c r="BS89" s="474">
        <f t="shared" si="131"/>
        <v>270882.09479</v>
      </c>
      <c r="BT89" s="474">
        <f t="shared" si="131"/>
        <v>291821.00495999999</v>
      </c>
      <c r="BU89" s="474">
        <f t="shared" si="131"/>
        <v>284706.88065000001</v>
      </c>
      <c r="BV89" s="474">
        <f t="shared" ref="BV89" si="132">SUM(BV73:BV88)</f>
        <v>291952.66868</v>
      </c>
      <c r="BW89" s="474">
        <f t="shared" ref="BW89:CH89" si="133">SUM(BW73:BW88)</f>
        <v>311123.76009064802</v>
      </c>
      <c r="BX89" s="474">
        <f t="shared" si="133"/>
        <v>357076.72290363425</v>
      </c>
      <c r="BY89" s="474">
        <f t="shared" si="133"/>
        <v>365253.78885802283</v>
      </c>
      <c r="BZ89" s="474">
        <f t="shared" si="133"/>
        <v>394123.75323244481</v>
      </c>
      <c r="CA89" s="474">
        <f t="shared" si="133"/>
        <v>409696.21553096618</v>
      </c>
      <c r="CB89" s="474">
        <f t="shared" si="133"/>
        <v>429033.46977041382</v>
      </c>
      <c r="CC89" s="474">
        <f t="shared" si="133"/>
        <v>449442.63834961294</v>
      </c>
      <c r="CD89" s="474">
        <f t="shared" si="133"/>
        <v>449275.87484220212</v>
      </c>
      <c r="CE89" s="474">
        <f t="shared" si="133"/>
        <v>463615.70278912986</v>
      </c>
      <c r="CF89" s="474">
        <f t="shared" si="133"/>
        <v>222101.90830845691</v>
      </c>
      <c r="CG89" s="474">
        <f t="shared" si="133"/>
        <v>186690.57186664338</v>
      </c>
      <c r="CH89" s="474">
        <f t="shared" si="133"/>
        <v>210819.74957135535</v>
      </c>
      <c r="CI89" s="699">
        <f t="shared" si="124"/>
        <v>349246.67883027159</v>
      </c>
      <c r="CJ89" s="33"/>
      <c r="CK89" s="33"/>
      <c r="CL89" s="184"/>
      <c r="CM89" s="33"/>
      <c r="CN89" s="447"/>
      <c r="CO89" s="447"/>
      <c r="CP89" s="447"/>
      <c r="CQ89" s="447"/>
      <c r="CR89" s="447"/>
      <c r="CS89" s="447"/>
      <c r="CT89" s="447"/>
      <c r="CU89" s="447"/>
      <c r="CV89" s="447"/>
      <c r="CW89" s="447"/>
      <c r="CX89" s="447"/>
      <c r="CY89" s="447"/>
      <c r="CZ89" s="447"/>
    </row>
    <row r="90" spans="1:104">
      <c r="A90" s="599"/>
      <c r="B90" s="26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687"/>
      <c r="BF90" s="687"/>
      <c r="BG90" s="687"/>
      <c r="BH90" s="687"/>
      <c r="BI90" s="687"/>
      <c r="BJ90" s="687"/>
      <c r="BK90" s="687"/>
      <c r="BL90" s="687"/>
      <c r="BM90" s="687"/>
      <c r="BN90" s="687"/>
      <c r="BO90" s="687"/>
      <c r="BP90" s="687"/>
      <c r="BQ90" s="687"/>
      <c r="BR90" s="687"/>
      <c r="BS90" s="687"/>
      <c r="BT90" s="687"/>
      <c r="BU90" s="687"/>
      <c r="BV90" s="687"/>
      <c r="BW90" s="687"/>
      <c r="BX90" s="687"/>
      <c r="BY90" s="687"/>
      <c r="BZ90" s="687"/>
      <c r="CA90" s="687"/>
      <c r="CB90" s="687"/>
      <c r="CC90" s="687"/>
      <c r="CD90" s="687"/>
      <c r="CE90" s="687"/>
      <c r="CF90" s="687"/>
      <c r="CG90" s="687"/>
      <c r="CH90" s="687"/>
      <c r="CI90" s="699"/>
      <c r="CK90" s="33"/>
      <c r="CL90" s="184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</row>
    <row r="91" spans="1:104">
      <c r="A91" s="13" t="s">
        <v>519</v>
      </c>
      <c r="B91" s="26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687"/>
      <c r="BF91" s="687"/>
      <c r="BG91" s="687"/>
      <c r="BH91" s="687"/>
      <c r="BI91" s="687"/>
      <c r="BJ91" s="687"/>
      <c r="BK91" s="687"/>
      <c r="BL91" s="687"/>
      <c r="BM91" s="687"/>
      <c r="BN91" s="687"/>
      <c r="BO91" s="687"/>
      <c r="BP91" s="687"/>
      <c r="BQ91" s="687"/>
      <c r="BR91" s="687"/>
      <c r="BS91" s="687"/>
      <c r="BT91" s="687"/>
      <c r="BU91" s="687"/>
      <c r="BV91" s="687"/>
      <c r="BW91" s="687"/>
      <c r="BX91" s="687"/>
      <c r="BY91" s="687"/>
      <c r="BZ91" s="687"/>
      <c r="CA91" s="687"/>
      <c r="CB91" s="687"/>
      <c r="CC91" s="687"/>
      <c r="CD91" s="687"/>
      <c r="CE91" s="687"/>
      <c r="CF91" s="687"/>
      <c r="CG91" s="687"/>
      <c r="CH91" s="687"/>
      <c r="CI91" s="699"/>
      <c r="CK91" s="33"/>
      <c r="CL91" s="184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</row>
    <row r="92" spans="1:104">
      <c r="A92" s="617" t="s">
        <v>537</v>
      </c>
      <c r="B92" s="260">
        <f t="shared" ref="B92:B99" ca="1" si="134">SUM(OFFSET(BK92:BW92,0,$A$1-1))/13</f>
        <v>28292.670696923069</v>
      </c>
      <c r="C92" s="350">
        <v>27370.166109999998</v>
      </c>
      <c r="D92" s="350">
        <v>26799.247010000003</v>
      </c>
      <c r="E92" s="350">
        <v>26553.22307</v>
      </c>
      <c r="F92" s="350">
        <v>26544.196929999998</v>
      </c>
      <c r="G92" s="350">
        <v>26380.476620000001</v>
      </c>
      <c r="H92" s="350">
        <v>26257.939870000002</v>
      </c>
      <c r="I92" s="350">
        <v>26069.005499999999</v>
      </c>
      <c r="J92" s="350">
        <v>26037.874789999998</v>
      </c>
      <c r="K92" s="350">
        <v>25950.19557</v>
      </c>
      <c r="L92" s="350">
        <v>25955.165579999997</v>
      </c>
      <c r="M92" s="350">
        <v>25789.167710000002</v>
      </c>
      <c r="N92" s="350">
        <v>25688.398550000002</v>
      </c>
      <c r="O92" s="413">
        <v>25537.703129999998</v>
      </c>
      <c r="P92" s="413">
        <v>25569.38091</v>
      </c>
      <c r="Q92" s="413">
        <v>25629.339929999998</v>
      </c>
      <c r="R92" s="413">
        <v>25705.333899999998</v>
      </c>
      <c r="S92" s="413">
        <v>25790.760979999999</v>
      </c>
      <c r="T92" s="413">
        <v>25830.275280000002</v>
      </c>
      <c r="U92" s="413">
        <v>25852.232690000001</v>
      </c>
      <c r="V92" s="413">
        <v>25925.983190000003</v>
      </c>
      <c r="W92" s="413">
        <v>25893.012340000001</v>
      </c>
      <c r="X92" s="413">
        <v>25992.2575</v>
      </c>
      <c r="Y92" s="413">
        <v>25966.855820000001</v>
      </c>
      <c r="Z92" s="413">
        <v>25903.685430000001</v>
      </c>
      <c r="AA92" s="413">
        <v>25867.705320000001</v>
      </c>
      <c r="AB92" s="413">
        <v>25898.455109999999</v>
      </c>
      <c r="AC92" s="413">
        <v>25925.131819999999</v>
      </c>
      <c r="AD92" s="413">
        <v>25847.349969999999</v>
      </c>
      <c r="AE92" s="413">
        <v>25870.81739</v>
      </c>
      <c r="AF92" s="413">
        <v>25868.020230000002</v>
      </c>
      <c r="AG92" s="413">
        <v>25768.615089999999</v>
      </c>
      <c r="AH92" s="413">
        <v>25686.969590000001</v>
      </c>
      <c r="AI92" s="413">
        <v>25634.262850000003</v>
      </c>
      <c r="AJ92" s="413">
        <v>25695.380539999998</v>
      </c>
      <c r="AK92" s="413">
        <v>25691.903879999998</v>
      </c>
      <c r="AL92" s="413">
        <v>25704.516</v>
      </c>
      <c r="AM92" s="413">
        <v>25665.571920000002</v>
      </c>
      <c r="AN92" s="413">
        <v>25728.44166</v>
      </c>
      <c r="AO92" s="413">
        <v>25721.300809999997</v>
      </c>
      <c r="AP92" s="413">
        <v>25668.756000000001</v>
      </c>
      <c r="AQ92" s="413">
        <v>25569.201969999998</v>
      </c>
      <c r="AR92" s="413">
        <v>25464.047059999997</v>
      </c>
      <c r="AS92" s="413">
        <v>25456.79927</v>
      </c>
      <c r="AT92" s="413">
        <v>25416.773229999999</v>
      </c>
      <c r="AU92" s="413">
        <v>25432.97277</v>
      </c>
      <c r="AV92" s="413">
        <v>25393.55068</v>
      </c>
      <c r="AW92" s="413">
        <v>25333.30543</v>
      </c>
      <c r="AX92" s="413">
        <v>25075.278079999996</v>
      </c>
      <c r="AY92" s="413">
        <v>25241.811829999999</v>
      </c>
      <c r="AZ92" s="413">
        <v>25273.973249999999</v>
      </c>
      <c r="BA92" s="413">
        <v>25387.42038</v>
      </c>
      <c r="BB92" s="413">
        <v>25318.474699999999</v>
      </c>
      <c r="BC92" s="413">
        <v>25407.263769999998</v>
      </c>
      <c r="BD92" s="413">
        <v>25529.439879999998</v>
      </c>
      <c r="BE92" s="587">
        <v>25706.203600000001</v>
      </c>
      <c r="BF92" s="587">
        <v>25782.52836</v>
      </c>
      <c r="BG92" s="587">
        <v>25962.796670000003</v>
      </c>
      <c r="BH92" s="587">
        <v>26074.226340000001</v>
      </c>
      <c r="BI92" s="587">
        <v>26300.461460000002</v>
      </c>
      <c r="BJ92" s="587">
        <v>26450.409190000002</v>
      </c>
      <c r="BK92" s="587">
        <v>26724.60528</v>
      </c>
      <c r="BL92" s="587">
        <v>26837.940440000002</v>
      </c>
      <c r="BM92" s="587">
        <v>27025.575949999999</v>
      </c>
      <c r="BN92" s="587">
        <v>27142.982909999999</v>
      </c>
      <c r="BO92" s="587">
        <v>27369.426920000002</v>
      </c>
      <c r="BP92" s="587">
        <v>27734.4241</v>
      </c>
      <c r="BQ92" s="587">
        <v>27952.511770000001</v>
      </c>
      <c r="BR92" s="587">
        <v>28170.52145</v>
      </c>
      <c r="BS92" s="587">
        <v>28457.241420000002</v>
      </c>
      <c r="BT92" s="587">
        <v>28627.534520000001</v>
      </c>
      <c r="BU92" s="587">
        <v>28840.164270000001</v>
      </c>
      <c r="BV92" s="587">
        <v>29144.41906</v>
      </c>
      <c r="BW92" s="587">
        <f>+'[8]Balance Sheet Detail'!DG80-BW77</f>
        <v>28092.6</v>
      </c>
      <c r="BX92" s="587">
        <f>+'[8]Balance Sheet Detail'!DH80-BX77</f>
        <v>28116</v>
      </c>
      <c r="BY92" s="587">
        <f>+'[8]Balance Sheet Detail'!DI80-BY77</f>
        <v>28139.4</v>
      </c>
      <c r="BZ92" s="587">
        <f>+'[8]Balance Sheet Detail'!DJ80-BZ77</f>
        <v>28162.9</v>
      </c>
      <c r="CA92" s="587">
        <f>+'[8]Balance Sheet Detail'!DK80-CA77</f>
        <v>28186.3</v>
      </c>
      <c r="CB92" s="587">
        <f>+'[8]Balance Sheet Detail'!DL80-CB77</f>
        <v>28209.8</v>
      </c>
      <c r="CC92" s="587">
        <f>+'[8]Balance Sheet Detail'!DM80-CC77</f>
        <v>28233.3</v>
      </c>
      <c r="CD92" s="587">
        <f>+'[8]Balance Sheet Detail'!DN80-CD77</f>
        <v>28256.799999999999</v>
      </c>
      <c r="CE92" s="587">
        <f>+'[8]Balance Sheet Detail'!DO80-CE77</f>
        <v>28280.400000000001</v>
      </c>
      <c r="CF92" s="587">
        <f>+'[8]Balance Sheet Detail'!DP80-CF77</f>
        <v>28304</v>
      </c>
      <c r="CG92" s="587">
        <f>+'[8]Balance Sheet Detail'!DQ80-CG77</f>
        <v>28327.599999999999</v>
      </c>
      <c r="CH92" s="587">
        <f>+'[8]Balance Sheet Detail'!DR80-CH77</f>
        <v>28351.200000000001</v>
      </c>
      <c r="CI92" s="699">
        <f t="shared" ref="CI92:CI99" si="135">SUM(BV92:CH92)/13</f>
        <v>28292.670696923069</v>
      </c>
      <c r="CK92" s="33"/>
      <c r="CL92" s="184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</row>
    <row r="93" spans="1:104">
      <c r="A93" s="617" t="s">
        <v>538</v>
      </c>
      <c r="B93" s="260">
        <f t="shared" ca="1" si="134"/>
        <v>20193.869724615386</v>
      </c>
      <c r="C93" s="350">
        <v>12165.105750000001</v>
      </c>
      <c r="D93" s="350">
        <v>12044.118570000001</v>
      </c>
      <c r="E93" s="350">
        <v>12174.977210000001</v>
      </c>
      <c r="F93" s="350">
        <v>12309.216210000001</v>
      </c>
      <c r="G93" s="350">
        <v>12446.195210000002</v>
      </c>
      <c r="H93" s="350">
        <v>11296.197340000001</v>
      </c>
      <c r="I93" s="350">
        <v>9914.451869999999</v>
      </c>
      <c r="J93" s="350">
        <v>9831.0645199999999</v>
      </c>
      <c r="K93" s="350">
        <v>9936.8975200000004</v>
      </c>
      <c r="L93" s="350">
        <v>10007.435519999999</v>
      </c>
      <c r="M93" s="350">
        <v>10047.282519999999</v>
      </c>
      <c r="N93" s="350">
        <v>9607.0660800000005</v>
      </c>
      <c r="O93" s="413">
        <v>9573.8482899999999</v>
      </c>
      <c r="P93" s="413">
        <v>9728.9652899999983</v>
      </c>
      <c r="Q93" s="413">
        <v>9807.0702899999997</v>
      </c>
      <c r="R93" s="413">
        <v>9950.7211800000005</v>
      </c>
      <c r="S93" s="413">
        <v>10073.24718</v>
      </c>
      <c r="T93" s="413">
        <v>10218.86918</v>
      </c>
      <c r="U93" s="413">
        <v>9921.75216</v>
      </c>
      <c r="V93" s="413">
        <v>10073.764160000001</v>
      </c>
      <c r="W93" s="413">
        <v>10228.44751</v>
      </c>
      <c r="X93" s="413">
        <v>10362.89827</v>
      </c>
      <c r="Y93" s="413">
        <v>10539.340269999999</v>
      </c>
      <c r="Z93" s="413">
        <v>10634.95527</v>
      </c>
      <c r="AA93" s="413">
        <v>10826.69427</v>
      </c>
      <c r="AB93" s="413">
        <v>11003.76627</v>
      </c>
      <c r="AC93" s="413">
        <v>11120.20327</v>
      </c>
      <c r="AD93" s="413">
        <v>11325.46227</v>
      </c>
      <c r="AE93" s="413">
        <v>11511.79227</v>
      </c>
      <c r="AF93" s="413">
        <v>11785.48027</v>
      </c>
      <c r="AG93" s="413">
        <v>11862.644269999999</v>
      </c>
      <c r="AH93" s="413">
        <v>12925.400089999999</v>
      </c>
      <c r="AI93" s="413">
        <v>12405.990039999999</v>
      </c>
      <c r="AJ93" s="413">
        <v>12710.800039999998</v>
      </c>
      <c r="AK93" s="413">
        <v>12794.821320000001</v>
      </c>
      <c r="AL93" s="413">
        <v>12952.70132</v>
      </c>
      <c r="AM93" s="413">
        <v>13089.07898</v>
      </c>
      <c r="AN93" s="413">
        <v>13337.56698</v>
      </c>
      <c r="AO93" s="413">
        <v>13479.083980000001</v>
      </c>
      <c r="AP93" s="413">
        <v>13776.57998</v>
      </c>
      <c r="AQ93" s="413">
        <v>13915.894980000001</v>
      </c>
      <c r="AR93" s="413">
        <v>14332.008980000001</v>
      </c>
      <c r="AS93" s="413">
        <v>14545.07098</v>
      </c>
      <c r="AT93" s="413">
        <v>14664.98198</v>
      </c>
      <c r="AU93" s="413">
        <v>14788.22798</v>
      </c>
      <c r="AV93" s="413">
        <v>14958.396980000001</v>
      </c>
      <c r="AW93" s="413">
        <v>15370.48098</v>
      </c>
      <c r="AX93" s="413">
        <v>15681.26548</v>
      </c>
      <c r="AY93" s="413">
        <v>15814.28148</v>
      </c>
      <c r="AZ93" s="413">
        <v>15923.750480000001</v>
      </c>
      <c r="BA93" s="413">
        <v>16390.07948</v>
      </c>
      <c r="BB93" s="413">
        <v>16722.185960000003</v>
      </c>
      <c r="BC93" s="413">
        <v>16873.568960000001</v>
      </c>
      <c r="BD93" s="413">
        <v>17005.221239999999</v>
      </c>
      <c r="BE93" s="587">
        <v>17164.304239999998</v>
      </c>
      <c r="BF93" s="587">
        <v>17243.754239999998</v>
      </c>
      <c r="BG93" s="587">
        <v>17573.63164</v>
      </c>
      <c r="BH93" s="587">
        <v>17895.821640000002</v>
      </c>
      <c r="BI93" s="587">
        <v>18117.211640000001</v>
      </c>
      <c r="BJ93" s="587">
        <v>18210.107640000002</v>
      </c>
      <c r="BK93" s="587">
        <v>18325.299010000002</v>
      </c>
      <c r="BL93" s="587">
        <v>18691.975640000001</v>
      </c>
      <c r="BM93" s="587">
        <v>18995.225640000001</v>
      </c>
      <c r="BN93" s="587">
        <v>19514.099910000001</v>
      </c>
      <c r="BO93" s="587">
        <v>19823.385920000001</v>
      </c>
      <c r="BP93" s="587">
        <v>20211.822920000002</v>
      </c>
      <c r="BQ93" s="587">
        <v>20537.692920000001</v>
      </c>
      <c r="BR93" s="587">
        <v>21002.287420000001</v>
      </c>
      <c r="BS93" s="587">
        <v>21468.778420000002</v>
      </c>
      <c r="BT93" s="587">
        <v>21711.739420000002</v>
      </c>
      <c r="BU93" s="587">
        <v>21948.610420000001</v>
      </c>
      <c r="BV93" s="587">
        <v>22520.306420000001</v>
      </c>
      <c r="BW93" s="587">
        <f>+'[8]Balance Sheet Detail'!DG94</f>
        <v>20000</v>
      </c>
      <c r="BX93" s="587">
        <f>+'[8]Balance Sheet Detail'!DH94</f>
        <v>20000</v>
      </c>
      <c r="BY93" s="587">
        <f>+'[8]Balance Sheet Detail'!DI94</f>
        <v>20000</v>
      </c>
      <c r="BZ93" s="587">
        <f>+'[8]Balance Sheet Detail'!DJ94</f>
        <v>20000</v>
      </c>
      <c r="CA93" s="587">
        <f>+'[8]Balance Sheet Detail'!DK94</f>
        <v>20000</v>
      </c>
      <c r="CB93" s="587">
        <f>+'[8]Balance Sheet Detail'!DL94</f>
        <v>20000</v>
      </c>
      <c r="CC93" s="587">
        <f>+'[8]Balance Sheet Detail'!DM94</f>
        <v>20000</v>
      </c>
      <c r="CD93" s="587">
        <f>+'[8]Balance Sheet Detail'!DN94</f>
        <v>20000</v>
      </c>
      <c r="CE93" s="587">
        <f>+'[8]Balance Sheet Detail'!DO94</f>
        <v>20000</v>
      </c>
      <c r="CF93" s="587">
        <f>+'[8]Balance Sheet Detail'!DP94</f>
        <v>20000</v>
      </c>
      <c r="CG93" s="587">
        <f>+'[8]Balance Sheet Detail'!DQ94</f>
        <v>20000</v>
      </c>
      <c r="CH93" s="587">
        <f>+'[8]Balance Sheet Detail'!DR94</f>
        <v>20000</v>
      </c>
      <c r="CI93" s="699">
        <f t="shared" si="135"/>
        <v>20193.869724615386</v>
      </c>
      <c r="CK93" s="33"/>
      <c r="CL93" s="184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</row>
    <row r="94" spans="1:104">
      <c r="A94" s="617" t="s">
        <v>539</v>
      </c>
      <c r="B94" s="260">
        <f t="shared" ca="1" si="134"/>
        <v>4215.9631884615383</v>
      </c>
      <c r="C94" s="352">
        <v>1760.89995</v>
      </c>
      <c r="D94" s="352">
        <v>1898.9090199999998</v>
      </c>
      <c r="E94" s="352">
        <v>1825.59401</v>
      </c>
      <c r="F94" s="352">
        <v>1794.3017499999999</v>
      </c>
      <c r="G94" s="352">
        <v>1845.4336699999999</v>
      </c>
      <c r="H94" s="352">
        <v>2018.3746100000001</v>
      </c>
      <c r="I94" s="352">
        <v>2076.7182900000003</v>
      </c>
      <c r="J94" s="352">
        <v>1876.4167499999999</v>
      </c>
      <c r="K94" s="352">
        <v>2111.3068400000002</v>
      </c>
      <c r="L94" s="352">
        <v>2357.0290999999997</v>
      </c>
      <c r="M94" s="352">
        <v>2432.58212</v>
      </c>
      <c r="N94" s="352">
        <v>2441.2042700000002</v>
      </c>
      <c r="O94" s="415">
        <v>2342.9549400000001</v>
      </c>
      <c r="P94" s="415">
        <v>2545.2114900000001</v>
      </c>
      <c r="Q94" s="415">
        <v>2880.5538200000001</v>
      </c>
      <c r="R94" s="415">
        <v>2962.1527800000003</v>
      </c>
      <c r="S94" s="415">
        <v>3141.1918599999999</v>
      </c>
      <c r="T94" s="415">
        <v>3322.6831099999999</v>
      </c>
      <c r="U94" s="415">
        <v>3482.2316900000001</v>
      </c>
      <c r="V94" s="415">
        <v>3738.1993900000002</v>
      </c>
      <c r="W94" s="415">
        <v>3968.3134700000001</v>
      </c>
      <c r="X94" s="415">
        <v>4220.12914</v>
      </c>
      <c r="Y94" s="415">
        <v>4581.2205799999992</v>
      </c>
      <c r="Z94" s="415">
        <v>3841.2331999999997</v>
      </c>
      <c r="AA94" s="415">
        <v>3833.1259700000001</v>
      </c>
      <c r="AB94" s="415">
        <v>3729.6466100000002</v>
      </c>
      <c r="AC94" s="415">
        <v>3351.1451200000001</v>
      </c>
      <c r="AD94" s="415">
        <v>3464.05852</v>
      </c>
      <c r="AE94" s="415">
        <v>3055.1441399999999</v>
      </c>
      <c r="AF94" s="415">
        <v>3820.5402199999999</v>
      </c>
      <c r="AG94" s="415">
        <v>4609.1460100000004</v>
      </c>
      <c r="AH94" s="415">
        <v>5023.2906700000003</v>
      </c>
      <c r="AI94" s="415">
        <v>5211.5989099999997</v>
      </c>
      <c r="AJ94" s="415">
        <v>5463.9063000000006</v>
      </c>
      <c r="AK94" s="415">
        <v>5442.1300699999993</v>
      </c>
      <c r="AL94" s="415">
        <v>6124.9929400000001</v>
      </c>
      <c r="AM94" s="415">
        <v>6501.64077</v>
      </c>
      <c r="AN94" s="415">
        <v>6232.6880000000001</v>
      </c>
      <c r="AO94" s="415">
        <v>5858.2771300000004</v>
      </c>
      <c r="AP94" s="415">
        <v>6950.5145599999996</v>
      </c>
      <c r="AQ94" s="415">
        <v>7816.0817300000008</v>
      </c>
      <c r="AR94" s="413">
        <v>8699.0706499999997</v>
      </c>
      <c r="AS94" s="413">
        <v>8752.3394099999987</v>
      </c>
      <c r="AT94" s="413">
        <v>8485.8856100000012</v>
      </c>
      <c r="AU94" s="413">
        <v>8613.1363500000007</v>
      </c>
      <c r="AV94" s="413">
        <v>8475.9923500000004</v>
      </c>
      <c r="AW94" s="413">
        <v>8408.2087200000005</v>
      </c>
      <c r="AX94" s="413">
        <v>8634.7723600000008</v>
      </c>
      <c r="AY94" s="413">
        <v>8653.8845200000014</v>
      </c>
      <c r="AZ94" s="413">
        <v>6915.6133899999995</v>
      </c>
      <c r="BA94" s="413">
        <v>2771.3622099999998</v>
      </c>
      <c r="BB94" s="413">
        <v>2725.0357399999998</v>
      </c>
      <c r="BC94" s="413">
        <v>2590.9693200000002</v>
      </c>
      <c r="BD94" s="413">
        <v>2233.0205799999999</v>
      </c>
      <c r="BE94" s="583">
        <v>2429.1965699999996</v>
      </c>
      <c r="BF94" s="583">
        <v>2408.3903799999998</v>
      </c>
      <c r="BG94" s="583">
        <v>3732.0723800000001</v>
      </c>
      <c r="BH94" s="583">
        <v>3789.2440999999999</v>
      </c>
      <c r="BI94" s="583">
        <v>3590.9646400000001</v>
      </c>
      <c r="BJ94" s="583">
        <v>4140.0796700000001</v>
      </c>
      <c r="BK94" s="583">
        <v>6125.1432400000003</v>
      </c>
      <c r="BL94" s="583">
        <v>6126.2050999999992</v>
      </c>
      <c r="BM94" s="583">
        <v>5238.0894900000003</v>
      </c>
      <c r="BN94" s="583">
        <v>3417.9917400000004</v>
      </c>
      <c r="BO94" s="583">
        <v>3219.5314199999998</v>
      </c>
      <c r="BP94" s="583">
        <v>3472.5968199999998</v>
      </c>
      <c r="BQ94" s="583">
        <v>3397.7953600000001</v>
      </c>
      <c r="BR94" s="583">
        <v>3326.3154800000002</v>
      </c>
      <c r="BS94" s="583">
        <v>3774.7715499999999</v>
      </c>
      <c r="BT94" s="583">
        <v>3928.7148500000003</v>
      </c>
      <c r="BU94" s="583">
        <v>3135.6864599999999</v>
      </c>
      <c r="BV94" s="583">
        <v>3322.9214500000003</v>
      </c>
      <c r="BW94" s="583">
        <f>VLOOKUP("253",'[8]BS ACCTS'!$D$6:$ZZ$999,113,FALSE)+VLOOKUP("2540281",'[8]BS ACCTS'!$D$6:$ZZ$999,113,FALSE)+VLOOKUP("2540330",'[8]BS ACCTS'!$D$6:$ZZ$999,113,FALSE)+VLOOKUP("2540340",'[8]BS ACCTS'!$D$6:$ZZ$999,113,FALSE)-VLOOKUP("2530360",'[8]BS ACCTS'!$D$6:$ZZ$999,113,FALSE)</f>
        <v>5425.6</v>
      </c>
      <c r="BX94" s="583">
        <f>VLOOKUP("253",'[8]BS ACCTS'!$D$6:$ZZ$999,114,FALSE)+VLOOKUP("2540281",'[8]BS ACCTS'!$D$6:$ZZ$999,114,FALSE)+VLOOKUP("2540330",'[8]BS ACCTS'!$D$6:$ZZ$999,114,FALSE)+VLOOKUP("2540340",'[8]BS ACCTS'!$D$6:$ZZ$999,114,FALSE)-VLOOKUP("2530360",'[8]BS ACCTS'!$D$6:$ZZ$999,114,FALSE)</f>
        <v>4847.3999999999996</v>
      </c>
      <c r="BY94" s="583">
        <f>VLOOKUP("253",'[8]BS ACCTS'!$D$6:$ZZ$999,115,FALSE)+VLOOKUP("2540281",'[8]BS ACCTS'!$D$6:$ZZ$999,115,FALSE)+VLOOKUP("2540330",'[8]BS ACCTS'!$D$6:$ZZ$999,115,FALSE)+VLOOKUP("2540340",'[8]BS ACCTS'!$D$6:$ZZ$999,115,FALSE)-VLOOKUP("2530360",'[8]BS ACCTS'!$D$6:$ZZ$999,115,FALSE)</f>
        <v>3194.9000000000005</v>
      </c>
      <c r="BZ94" s="583">
        <f>VLOOKUP("253",'[8]BS ACCTS'!$D$6:$ZZ$999,116,FALSE)+VLOOKUP("2540281",'[8]BS ACCTS'!$D$6:$ZZ$999,116,FALSE)+VLOOKUP("2540330",'[8]BS ACCTS'!$D$6:$ZZ$999,116,FALSE)+VLOOKUP("2540340",'[8]BS ACCTS'!$D$6:$ZZ$999,116,FALSE)-VLOOKUP("2530360",'[8]BS ACCTS'!$D$6:$ZZ$999,116,FALSE)</f>
        <v>3384</v>
      </c>
      <c r="CA94" s="583">
        <f>VLOOKUP("253",'[8]BS ACCTS'!$D$6:$ZZ$999,117,FALSE)+VLOOKUP("2540281",'[8]BS ACCTS'!$D$6:$ZZ$999,117,FALSE)+VLOOKUP("2540330",'[8]BS ACCTS'!$D$6:$ZZ$999,117,FALSE)+VLOOKUP("2540340",'[8]BS ACCTS'!$D$6:$ZZ$999,117,FALSE)-VLOOKUP("2530360",'[8]BS ACCTS'!$D$6:$ZZ$999,117,FALSE)</f>
        <v>3414.5999999999995</v>
      </c>
      <c r="CB94" s="583">
        <f>VLOOKUP("253",'[8]BS ACCTS'!$D$6:$ZZ$999,118,FALSE)+VLOOKUP("2540281",'[8]BS ACCTS'!$D$6:$ZZ$999,118,FALSE)+VLOOKUP("2540330",'[8]BS ACCTS'!$D$6:$ZZ$999,118,FALSE)+VLOOKUP("2540340",'[8]BS ACCTS'!$D$6:$ZZ$999,118,FALSE)-VLOOKUP("2530360",'[8]BS ACCTS'!$D$6:$ZZ$999,118,FALSE)</f>
        <v>3681.6</v>
      </c>
      <c r="CC94" s="583">
        <f>VLOOKUP("253",'[8]BS ACCTS'!$D$6:$ZZ$999,119,FALSE)+VLOOKUP("2540281",'[8]BS ACCTS'!$D$6:$ZZ$999,119,FALSE)+VLOOKUP("2540330",'[8]BS ACCTS'!$D$6:$ZZ$999,119,FALSE)+VLOOKUP("2540340",'[8]BS ACCTS'!$D$6:$ZZ$999,119,FALSE)-VLOOKUP("2530360",'[8]BS ACCTS'!$D$6:$ZZ$999,119,FALSE)</f>
        <v>3706.7</v>
      </c>
      <c r="CD94" s="583">
        <f>VLOOKUP("253",'[8]BS ACCTS'!$D$6:$ZZ$999,120,FALSE)+VLOOKUP("2540281",'[8]BS ACCTS'!$D$6:$ZZ$999,120,FALSE)+VLOOKUP("2540330",'[8]BS ACCTS'!$D$6:$ZZ$999,120,FALSE)+VLOOKUP("2540340",'[8]BS ACCTS'!$D$6:$ZZ$999,120,FALSE)-VLOOKUP("2530360",'[8]BS ACCTS'!$D$6:$ZZ$999,120,FALSE)</f>
        <v>4783.2</v>
      </c>
      <c r="CE94" s="583">
        <f>VLOOKUP("253",'[8]BS ACCTS'!$D$6:$ZZ$999,121,FALSE)+VLOOKUP("2540281",'[8]BS ACCTS'!$D$6:$ZZ$999,121,FALSE)+VLOOKUP("2540330",'[8]BS ACCTS'!$D$6:$ZZ$999,121,FALSE)+VLOOKUP("2540340",'[8]BS ACCTS'!$D$6:$ZZ$999,121,FALSE)-VLOOKUP("2530360",'[8]BS ACCTS'!$D$6:$ZZ$999,121,FALSE)</f>
        <v>5098.2</v>
      </c>
      <c r="CF94" s="583">
        <f>VLOOKUP("253",'[8]BS ACCTS'!$D$6:$ZZ$999,122,FALSE)+VLOOKUP("2540281",'[8]BS ACCTS'!$D$6:$ZZ$999,122,FALSE)+VLOOKUP("2540330",'[8]BS ACCTS'!$D$6:$ZZ$999,122,FALSE)+VLOOKUP("2540340",'[8]BS ACCTS'!$D$6:$ZZ$999,122,FALSE)-VLOOKUP("2530360",'[8]BS ACCTS'!$D$6:$ZZ$999,122,FALSE)</f>
        <v>5133.4000000000005</v>
      </c>
      <c r="CG94" s="583">
        <f>VLOOKUP("253",'[8]BS ACCTS'!$D$6:$ZZ$999,123,FALSE)+VLOOKUP("2540281",'[8]BS ACCTS'!$D$6:$ZZ$999,123,FALSE)+VLOOKUP("2540330",'[8]BS ACCTS'!$D$6:$ZZ$999,123,FALSE)+VLOOKUP("2540340",'[8]BS ACCTS'!$D$6:$ZZ$999,123,FALSE)-VLOOKUP("2530360",'[8]BS ACCTS'!$D$6:$ZZ$999,123,FALSE)</f>
        <v>4421.0999999999995</v>
      </c>
      <c r="CH94" s="583">
        <f>VLOOKUP("253",'[8]BS ACCTS'!$D$6:$ZZ$999,124,FALSE)+VLOOKUP("2540281",'[8]BS ACCTS'!$D$6:$ZZ$999,124,FALSE)+VLOOKUP("2540330",'[8]BS ACCTS'!$D$6:$ZZ$999,124,FALSE)+VLOOKUP("2540340",'[8]BS ACCTS'!$D$6:$ZZ$999,124,FALSE)-VLOOKUP("2530360",'[8]BS ACCTS'!$D$6:$ZZ$999,124,FALSE)</f>
        <v>4393.9000000000005</v>
      </c>
      <c r="CI94" s="699">
        <f t="shared" si="135"/>
        <v>4215.9631884615383</v>
      </c>
      <c r="CK94" s="33"/>
      <c r="CL94" s="184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</row>
    <row r="95" spans="1:104">
      <c r="A95" s="617" t="s">
        <v>540</v>
      </c>
      <c r="B95" s="260">
        <f t="shared" ca="1" si="134"/>
        <v>252526.2686507692</v>
      </c>
      <c r="C95" s="350">
        <v>213196.57134999998</v>
      </c>
      <c r="D95" s="350">
        <v>214951.19583000001</v>
      </c>
      <c r="E95" s="350">
        <v>217911.91699</v>
      </c>
      <c r="F95" s="350">
        <v>219988.53857999999</v>
      </c>
      <c r="G95" s="350">
        <v>222932.74677</v>
      </c>
      <c r="H95" s="350">
        <v>226038.26397</v>
      </c>
      <c r="I95" s="350">
        <v>228749.07180000001</v>
      </c>
      <c r="J95" s="350">
        <v>231164.54391000004</v>
      </c>
      <c r="K95" s="350">
        <v>233259.77981000001</v>
      </c>
      <c r="L95" s="350">
        <v>236650.98024999999</v>
      </c>
      <c r="M95" s="350">
        <v>239693.60222999999</v>
      </c>
      <c r="N95" s="350">
        <v>146162.85715999999</v>
      </c>
      <c r="O95" s="413">
        <v>146549.68096999999</v>
      </c>
      <c r="P95" s="413">
        <v>147270.87813000003</v>
      </c>
      <c r="Q95" s="413">
        <v>147948.91418000002</v>
      </c>
      <c r="R95" s="413">
        <v>148616.57829</v>
      </c>
      <c r="S95" s="413">
        <v>149465.65848000001</v>
      </c>
      <c r="T95" s="413">
        <v>150085.83319</v>
      </c>
      <c r="U95" s="413">
        <v>150912.73785</v>
      </c>
      <c r="V95" s="413">
        <v>152593.36723</v>
      </c>
      <c r="W95" s="413">
        <v>155101.55662000002</v>
      </c>
      <c r="X95" s="413">
        <v>156374.47521</v>
      </c>
      <c r="Y95" s="413">
        <v>159494.89270000003</v>
      </c>
      <c r="Z95" s="413">
        <v>160780.30160999999</v>
      </c>
      <c r="AA95" s="413">
        <v>161239.63977000001</v>
      </c>
      <c r="AB95" s="413">
        <v>162405.45822999999</v>
      </c>
      <c r="AC95" s="413">
        <v>163533.05152999997</v>
      </c>
      <c r="AD95" s="413">
        <v>164691.82187000001</v>
      </c>
      <c r="AE95" s="413">
        <v>165863.18413000004</v>
      </c>
      <c r="AF95" s="413">
        <v>166982.47552000001</v>
      </c>
      <c r="AG95" s="413">
        <v>168175.77171</v>
      </c>
      <c r="AH95" s="413">
        <v>169405.57754000003</v>
      </c>
      <c r="AI95" s="413">
        <v>171079.32626</v>
      </c>
      <c r="AJ95" s="413">
        <v>172087.15589000002</v>
      </c>
      <c r="AK95" s="413">
        <v>173209.55762000001</v>
      </c>
      <c r="AL95" s="413">
        <v>174788.33739999999</v>
      </c>
      <c r="AM95" s="413">
        <v>174683.97661999997</v>
      </c>
      <c r="AN95" s="413">
        <v>177571.02698</v>
      </c>
      <c r="AO95" s="413">
        <v>178948.9902</v>
      </c>
      <c r="AP95" s="413">
        <v>180087.60946000001</v>
      </c>
      <c r="AQ95" s="413">
        <v>181582.17074999999</v>
      </c>
      <c r="AR95" s="413">
        <v>182765.09826</v>
      </c>
      <c r="AS95" s="413">
        <v>184230.11306999999</v>
      </c>
      <c r="AT95" s="413">
        <v>185335.08661</v>
      </c>
      <c r="AU95" s="413">
        <v>186815.07088999997</v>
      </c>
      <c r="AV95" s="413">
        <v>186763.38746</v>
      </c>
      <c r="AW95" s="413">
        <v>187925.36473000003</v>
      </c>
      <c r="AX95" s="413">
        <v>191923.67808000001</v>
      </c>
      <c r="AY95" s="413">
        <v>193336.56522999998</v>
      </c>
      <c r="AZ95" s="413">
        <v>195015.62393</v>
      </c>
      <c r="BA95" s="413">
        <v>196272.03208999996</v>
      </c>
      <c r="BB95" s="413">
        <v>198072.55213</v>
      </c>
      <c r="BC95" s="413">
        <v>199969.53151999999</v>
      </c>
      <c r="BD95" s="413">
        <v>200077.32297000001</v>
      </c>
      <c r="BE95" s="587">
        <v>201871.48693000001</v>
      </c>
      <c r="BF95" s="587">
        <v>202952.64758000002</v>
      </c>
      <c r="BG95" s="587">
        <v>203112.40321000002</v>
      </c>
      <c r="BH95" s="587">
        <v>205646.81814000002</v>
      </c>
      <c r="BI95" s="587">
        <v>209719.24768999999</v>
      </c>
      <c r="BJ95" s="587">
        <v>211197.86616000003</v>
      </c>
      <c r="BK95" s="587">
        <v>212003.37734000001</v>
      </c>
      <c r="BL95" s="587">
        <v>212703.65291</v>
      </c>
      <c r="BM95" s="587">
        <v>214194.04084</v>
      </c>
      <c r="BN95" s="587">
        <v>215581.02207000001</v>
      </c>
      <c r="BO95" s="587">
        <v>217400.71571000002</v>
      </c>
      <c r="BP95" s="587">
        <v>219359.47608000002</v>
      </c>
      <c r="BQ95" s="587">
        <v>220915.13671000002</v>
      </c>
      <c r="BR95" s="587">
        <v>225494.48200999998</v>
      </c>
      <c r="BS95" s="587">
        <v>227522.76660999999</v>
      </c>
      <c r="BT95" s="587">
        <v>229834.20782000001</v>
      </c>
      <c r="BU95" s="587">
        <v>232132.55167000002</v>
      </c>
      <c r="BV95" s="587">
        <v>236868.09246000001</v>
      </c>
      <c r="BW95" s="587">
        <f>+'[8]Balance Sheet Detail'!DG97</f>
        <v>240447.80000000002</v>
      </c>
      <c r="BX95" s="587">
        <f>+'[8]Balance Sheet Detail'!DH97</f>
        <v>242830.49999999991</v>
      </c>
      <c r="BY95" s="587">
        <f>+'[8]Balance Sheet Detail'!DI97</f>
        <v>245322.1</v>
      </c>
      <c r="BZ95" s="587">
        <f>+'[8]Balance Sheet Detail'!DJ97</f>
        <v>247594.19999999995</v>
      </c>
      <c r="CA95" s="587">
        <f>+'[8]Balance Sheet Detail'!DK97</f>
        <v>249966.59999999998</v>
      </c>
      <c r="CB95" s="587">
        <f>+'[8]Balance Sheet Detail'!DL97</f>
        <v>252560.69999999998</v>
      </c>
      <c r="CC95" s="587">
        <f>+'[8]Balance Sheet Detail'!DM97</f>
        <v>254945.9</v>
      </c>
      <c r="CD95" s="587">
        <f>+'[8]Balance Sheet Detail'!DN97</f>
        <v>257356.39999999997</v>
      </c>
      <c r="CE95" s="587">
        <f>+'[8]Balance Sheet Detail'!DO97</f>
        <v>259943.49999999994</v>
      </c>
      <c r="CF95" s="587">
        <f>+'[8]Balance Sheet Detail'!DP97</f>
        <v>262430.60000000003</v>
      </c>
      <c r="CG95" s="587">
        <f>+'[8]Balance Sheet Detail'!DQ97</f>
        <v>264779.89999999997</v>
      </c>
      <c r="CH95" s="587">
        <f>+'[8]Balance Sheet Detail'!DR97</f>
        <v>267795.19999999995</v>
      </c>
      <c r="CI95" s="699">
        <f t="shared" si="135"/>
        <v>252526.2686507692</v>
      </c>
      <c r="CK95" s="33"/>
      <c r="CL95" s="184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</row>
    <row r="96" spans="1:104">
      <c r="A96" s="617" t="s">
        <v>541</v>
      </c>
      <c r="B96" s="260">
        <f t="shared" ca="1" si="134"/>
        <v>89323.388394615395</v>
      </c>
      <c r="C96" s="350">
        <v>0</v>
      </c>
      <c r="D96" s="350">
        <v>0</v>
      </c>
      <c r="E96" s="350">
        <v>0</v>
      </c>
      <c r="F96" s="350">
        <v>0</v>
      </c>
      <c r="G96" s="350">
        <v>0</v>
      </c>
      <c r="H96" s="350">
        <v>0</v>
      </c>
      <c r="I96" s="350">
        <v>0</v>
      </c>
      <c r="J96" s="350">
        <v>0</v>
      </c>
      <c r="K96" s="350">
        <v>0</v>
      </c>
      <c r="L96" s="350">
        <v>0</v>
      </c>
      <c r="M96" s="350">
        <v>0</v>
      </c>
      <c r="N96" s="350">
        <v>89215.247839999996</v>
      </c>
      <c r="O96" s="413">
        <v>88993.618829999992</v>
      </c>
      <c r="P96" s="413">
        <v>88772.694959999993</v>
      </c>
      <c r="Q96" s="413">
        <v>88827.824640000006</v>
      </c>
      <c r="R96" s="415">
        <v>88698.688569999998</v>
      </c>
      <c r="S96" s="415">
        <v>89028.647750000004</v>
      </c>
      <c r="T96" s="415">
        <v>88991.326840000009</v>
      </c>
      <c r="U96" s="415">
        <v>88954.00579000001</v>
      </c>
      <c r="V96" s="415">
        <v>88929.436260000002</v>
      </c>
      <c r="W96" s="415">
        <v>88893.709109999996</v>
      </c>
      <c r="X96" s="415">
        <v>88857.982060000009</v>
      </c>
      <c r="Y96" s="415">
        <v>90723.707120000006</v>
      </c>
      <c r="Z96" s="415">
        <v>90687.980009999999</v>
      </c>
      <c r="AA96" s="415">
        <v>90707.229579999999</v>
      </c>
      <c r="AB96" s="415">
        <v>90773.562260000006</v>
      </c>
      <c r="AC96" s="415">
        <v>90817.020250000001</v>
      </c>
      <c r="AD96" s="415">
        <v>90859.144520000002</v>
      </c>
      <c r="AE96" s="415">
        <v>90901.935639999996</v>
      </c>
      <c r="AF96" s="415">
        <v>90944.726750000002</v>
      </c>
      <c r="AG96" s="415">
        <v>90987.517769999991</v>
      </c>
      <c r="AH96" s="415">
        <v>91073.66936</v>
      </c>
      <c r="AI96" s="415">
        <v>89875.621409999992</v>
      </c>
      <c r="AJ96" s="415">
        <v>89923.023269999991</v>
      </c>
      <c r="AK96" s="415">
        <v>89970.425319999995</v>
      </c>
      <c r="AL96" s="415">
        <v>90472.776099999988</v>
      </c>
      <c r="AM96" s="415">
        <v>90499.955489999993</v>
      </c>
      <c r="AN96" s="415">
        <v>90518.828609999997</v>
      </c>
      <c r="AO96" s="415">
        <v>90372.737219999995</v>
      </c>
      <c r="AP96" s="415">
        <v>90395.169049999997</v>
      </c>
      <c r="AQ96" s="415">
        <v>90417.623330000002</v>
      </c>
      <c r="AR96" s="413">
        <v>90530.783329999991</v>
      </c>
      <c r="AS96" s="413">
        <v>90553.345189999993</v>
      </c>
      <c r="AT96" s="413">
        <v>90531.840559999997</v>
      </c>
      <c r="AU96" s="413">
        <v>90637.383310000005</v>
      </c>
      <c r="AV96" s="413">
        <v>93142.210879999999</v>
      </c>
      <c r="AW96" s="413">
        <v>93187.157529999997</v>
      </c>
      <c r="AX96" s="413">
        <v>93201.281370000012</v>
      </c>
      <c r="AY96" s="413">
        <v>93223.383650000003</v>
      </c>
      <c r="AZ96" s="413">
        <v>93198.140409999993</v>
      </c>
      <c r="BA96" s="413">
        <v>93042.872780000005</v>
      </c>
      <c r="BB96" s="413">
        <v>93138.408629999991</v>
      </c>
      <c r="BC96" s="413">
        <v>93162.182029999996</v>
      </c>
      <c r="BD96" s="413">
        <v>92987.853989999989</v>
      </c>
      <c r="BE96" s="583">
        <v>93010.829169999997</v>
      </c>
      <c r="BF96" s="583">
        <v>93034.141940000001</v>
      </c>
      <c r="BG96" s="583">
        <v>92792.742819999999</v>
      </c>
      <c r="BH96" s="583">
        <v>92761.579930000007</v>
      </c>
      <c r="BI96" s="583">
        <v>93212.284239999994</v>
      </c>
      <c r="BJ96" s="583">
        <v>88446.090120000008</v>
      </c>
      <c r="BK96" s="583">
        <v>88506.456180000008</v>
      </c>
      <c r="BL96" s="583">
        <v>88566.338359999994</v>
      </c>
      <c r="BM96" s="583">
        <v>88307.192769999994</v>
      </c>
      <c r="BN96" s="583">
        <v>88362.32935</v>
      </c>
      <c r="BO96" s="583">
        <v>88416.495030000005</v>
      </c>
      <c r="BP96" s="583">
        <v>88290.71759</v>
      </c>
      <c r="BQ96" s="583">
        <v>88341.331810000003</v>
      </c>
      <c r="BR96" s="583">
        <v>88539.586890000006</v>
      </c>
      <c r="BS96" s="583">
        <v>88612.189200000008</v>
      </c>
      <c r="BT96" s="583">
        <v>88681.888730000006</v>
      </c>
      <c r="BU96" s="583">
        <v>88752.43462</v>
      </c>
      <c r="BV96" s="583">
        <v>88659.849130000002</v>
      </c>
      <c r="BW96" s="583">
        <f>VLOOKUP("2540610",'[8]BS ACCTS'!$D$6:$ZZ$999,113,FALSE)</f>
        <v>89616.5</v>
      </c>
      <c r="BX96" s="583">
        <f>VLOOKUP("2540610",'[8]BS ACCTS'!$D$6:$ZZ$999,114,FALSE)</f>
        <v>89641.2</v>
      </c>
      <c r="BY96" s="583">
        <f>VLOOKUP("2540610",'[8]BS ACCTS'!$D$6:$ZZ$999,115,FALSE)</f>
        <v>89295.6</v>
      </c>
      <c r="BZ96" s="583">
        <f>VLOOKUP("2540610",'[8]BS ACCTS'!$D$6:$ZZ$999,116,FALSE)</f>
        <v>89320.3</v>
      </c>
      <c r="CA96" s="583">
        <f>VLOOKUP("2540610",'[8]BS ACCTS'!$D$6:$ZZ$999,117,FALSE)</f>
        <v>89345</v>
      </c>
      <c r="CB96" s="583">
        <f>VLOOKUP("2540610",'[8]BS ACCTS'!$D$6:$ZZ$999,118,FALSE)</f>
        <v>89273.1</v>
      </c>
      <c r="CC96" s="583">
        <f>VLOOKUP("2540610",'[8]BS ACCTS'!$D$6:$ZZ$999,119,FALSE)</f>
        <v>89297.8</v>
      </c>
      <c r="CD96" s="583">
        <f>VLOOKUP("2540610",'[8]BS ACCTS'!$D$6:$ZZ$999,120,FALSE)</f>
        <v>89322.5</v>
      </c>
      <c r="CE96" s="583">
        <f>VLOOKUP("2540610",'[8]BS ACCTS'!$D$6:$ZZ$999,121,FALSE)</f>
        <v>89364.3</v>
      </c>
      <c r="CF96" s="583">
        <f>VLOOKUP("2540610",'[8]BS ACCTS'!$D$6:$ZZ$999,122,FALSE)</f>
        <v>89389</v>
      </c>
      <c r="CG96" s="583">
        <f>VLOOKUP("2540610",'[8]BS ACCTS'!$D$6:$ZZ$999,123,FALSE)</f>
        <v>89413.6</v>
      </c>
      <c r="CH96" s="583">
        <f>VLOOKUP("2540610",'[8]BS ACCTS'!$D$6:$ZZ$999,124,FALSE)</f>
        <v>89265.3</v>
      </c>
      <c r="CI96" s="699">
        <f t="shared" si="135"/>
        <v>89323.388394615395</v>
      </c>
      <c r="CK96" s="33"/>
      <c r="CL96" s="184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</row>
    <row r="97" spans="1:105">
      <c r="A97" s="617" t="s">
        <v>1223</v>
      </c>
      <c r="B97" s="260">
        <f t="shared" ca="1" si="134"/>
        <v>0</v>
      </c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413"/>
      <c r="P97" s="413"/>
      <c r="Q97" s="413"/>
      <c r="R97" s="415"/>
      <c r="S97" s="415"/>
      <c r="T97" s="415"/>
      <c r="U97" s="415"/>
      <c r="V97" s="415"/>
      <c r="W97" s="415"/>
      <c r="X97" s="415"/>
      <c r="Y97" s="415"/>
      <c r="Z97" s="415"/>
      <c r="AA97" s="415"/>
      <c r="AB97" s="415"/>
      <c r="AC97" s="415"/>
      <c r="AD97" s="415"/>
      <c r="AE97" s="415"/>
      <c r="AF97" s="415"/>
      <c r="AG97" s="415"/>
      <c r="AH97" s="415"/>
      <c r="AI97" s="415"/>
      <c r="AJ97" s="415"/>
      <c r="AK97" s="415"/>
      <c r="AL97" s="415"/>
      <c r="AM97" s="415"/>
      <c r="AN97" s="415"/>
      <c r="AO97" s="415"/>
      <c r="AP97" s="415"/>
      <c r="AQ97" s="415"/>
      <c r="AR97" s="413"/>
      <c r="AS97" s="413"/>
      <c r="AT97" s="413"/>
      <c r="AU97" s="413"/>
      <c r="AV97" s="413"/>
      <c r="AW97" s="413"/>
      <c r="AX97" s="413"/>
      <c r="AY97" s="413"/>
      <c r="AZ97" s="413"/>
      <c r="BA97" s="413"/>
      <c r="BB97" s="413"/>
      <c r="BC97" s="413"/>
      <c r="BD97" s="413"/>
      <c r="BE97" s="583"/>
      <c r="BF97" s="583"/>
      <c r="BG97" s="583"/>
      <c r="BH97" s="583"/>
      <c r="BI97" s="583"/>
      <c r="BJ97" s="583"/>
      <c r="BK97" s="583">
        <v>0</v>
      </c>
      <c r="BL97" s="583">
        <v>0</v>
      </c>
      <c r="BM97" s="583">
        <v>0</v>
      </c>
      <c r="BN97" s="583">
        <v>0</v>
      </c>
      <c r="BO97" s="583">
        <v>0</v>
      </c>
      <c r="BP97" s="583">
        <v>0</v>
      </c>
      <c r="BQ97" s="583">
        <v>0</v>
      </c>
      <c r="BR97" s="583">
        <v>0</v>
      </c>
      <c r="BS97" s="583">
        <v>0</v>
      </c>
      <c r="BT97" s="583">
        <v>0</v>
      </c>
      <c r="BU97" s="583">
        <v>0</v>
      </c>
      <c r="BV97" s="583">
        <v>0</v>
      </c>
      <c r="BW97" s="583">
        <v>0</v>
      </c>
      <c r="BX97" s="583">
        <v>0</v>
      </c>
      <c r="BY97" s="583">
        <v>0</v>
      </c>
      <c r="BZ97" s="583">
        <v>0</v>
      </c>
      <c r="CA97" s="583">
        <v>0</v>
      </c>
      <c r="CB97" s="583">
        <v>0</v>
      </c>
      <c r="CC97" s="583">
        <v>0</v>
      </c>
      <c r="CD97" s="583">
        <v>0</v>
      </c>
      <c r="CE97" s="583">
        <v>0</v>
      </c>
      <c r="CF97" s="583">
        <v>0</v>
      </c>
      <c r="CG97" s="583">
        <v>0</v>
      </c>
      <c r="CH97" s="583">
        <v>0</v>
      </c>
      <c r="CI97" s="699">
        <f t="shared" si="135"/>
        <v>0</v>
      </c>
      <c r="CJ97" s="447" t="s">
        <v>1224</v>
      </c>
      <c r="CK97" s="33"/>
      <c r="CL97" s="184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</row>
    <row r="98" spans="1:105">
      <c r="A98" s="617" t="s">
        <v>542</v>
      </c>
      <c r="B98" s="262">
        <f t="shared" ca="1" si="134"/>
        <v>3058.4307692307698</v>
      </c>
      <c r="C98" s="354">
        <v>0</v>
      </c>
      <c r="D98" s="354">
        <v>0</v>
      </c>
      <c r="E98" s="354">
        <v>0</v>
      </c>
      <c r="F98" s="354">
        <v>0</v>
      </c>
      <c r="G98" s="354">
        <v>0</v>
      </c>
      <c r="H98" s="354">
        <v>0</v>
      </c>
      <c r="I98" s="354">
        <v>0</v>
      </c>
      <c r="J98" s="354">
        <v>0</v>
      </c>
      <c r="K98" s="354">
        <v>0</v>
      </c>
      <c r="L98" s="354">
        <v>0</v>
      </c>
      <c r="M98" s="354">
        <v>0</v>
      </c>
      <c r="N98" s="354">
        <v>0</v>
      </c>
      <c r="O98" s="417">
        <v>0</v>
      </c>
      <c r="P98" s="417">
        <v>0</v>
      </c>
      <c r="Q98" s="417">
        <v>0</v>
      </c>
      <c r="R98" s="417">
        <v>0</v>
      </c>
      <c r="S98" s="417">
        <v>0</v>
      </c>
      <c r="T98" s="417">
        <v>0</v>
      </c>
      <c r="U98" s="417">
        <v>0</v>
      </c>
      <c r="V98" s="417">
        <v>0</v>
      </c>
      <c r="W98" s="417"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v>0</v>
      </c>
      <c r="AF98" s="417">
        <v>0</v>
      </c>
      <c r="AG98" s="417"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v>0</v>
      </c>
      <c r="AN98" s="417">
        <v>0</v>
      </c>
      <c r="AO98" s="417">
        <v>0</v>
      </c>
      <c r="AP98" s="417">
        <v>0</v>
      </c>
      <c r="AQ98" s="417">
        <v>0</v>
      </c>
      <c r="AR98" s="417">
        <v>0</v>
      </c>
      <c r="AS98" s="417">
        <v>0</v>
      </c>
      <c r="AT98" s="417">
        <v>0</v>
      </c>
      <c r="AU98" s="417">
        <v>0</v>
      </c>
      <c r="AV98" s="417">
        <v>0</v>
      </c>
      <c r="AW98" s="417">
        <v>0</v>
      </c>
      <c r="AX98" s="417">
        <v>0</v>
      </c>
      <c r="AY98" s="417">
        <v>0</v>
      </c>
      <c r="AZ98" s="417">
        <v>0</v>
      </c>
      <c r="BA98" s="417">
        <v>0</v>
      </c>
      <c r="BB98" s="417">
        <v>0</v>
      </c>
      <c r="BC98" s="417">
        <v>0</v>
      </c>
      <c r="BD98" s="417">
        <v>0</v>
      </c>
      <c r="BE98" s="695">
        <v>0</v>
      </c>
      <c r="BF98" s="695">
        <v>0</v>
      </c>
      <c r="BG98" s="695">
        <v>0</v>
      </c>
      <c r="BH98" s="695">
        <v>0</v>
      </c>
      <c r="BI98" s="695">
        <v>0</v>
      </c>
      <c r="BJ98" s="695">
        <v>0</v>
      </c>
      <c r="BK98" s="695">
        <v>0</v>
      </c>
      <c r="BL98" s="695">
        <v>0</v>
      </c>
      <c r="BM98" s="695">
        <v>0</v>
      </c>
      <c r="BN98" s="695">
        <v>0</v>
      </c>
      <c r="BO98" s="695">
        <v>0</v>
      </c>
      <c r="BP98" s="695">
        <v>0</v>
      </c>
      <c r="BQ98" s="695">
        <v>0</v>
      </c>
      <c r="BR98" s="695">
        <v>0</v>
      </c>
      <c r="BS98" s="695">
        <v>0</v>
      </c>
      <c r="BT98" s="695">
        <v>0</v>
      </c>
      <c r="BU98" s="695">
        <v>0</v>
      </c>
      <c r="BV98" s="695">
        <v>0</v>
      </c>
      <c r="BW98" s="695">
        <f>'[8]Balance Sheet Detail'!DG98</f>
        <v>3313.3</v>
      </c>
      <c r="BX98" s="695">
        <f>'[8]Balance Sheet Detail'!DH98</f>
        <v>3313.3</v>
      </c>
      <c r="BY98" s="695">
        <f>'[8]Balance Sheet Detail'!DI98</f>
        <v>3313.3</v>
      </c>
      <c r="BZ98" s="695">
        <f>'[8]Balance Sheet Detail'!DJ98</f>
        <v>3313.3</v>
      </c>
      <c r="CA98" s="695">
        <f>'[8]Balance Sheet Detail'!DK98</f>
        <v>3313.3</v>
      </c>
      <c r="CB98" s="695">
        <f>'[8]Balance Sheet Detail'!DL98</f>
        <v>3313.3</v>
      </c>
      <c r="CC98" s="695">
        <f>'[8]Balance Sheet Detail'!DM98</f>
        <v>3313.3</v>
      </c>
      <c r="CD98" s="695">
        <f>'[8]Balance Sheet Detail'!DN98</f>
        <v>3313.3</v>
      </c>
      <c r="CE98" s="695">
        <f>'[8]Balance Sheet Detail'!DO98</f>
        <v>3313.3</v>
      </c>
      <c r="CF98" s="695">
        <f>'[8]Balance Sheet Detail'!DP98</f>
        <v>3313.3</v>
      </c>
      <c r="CG98" s="695">
        <f>'[8]Balance Sheet Detail'!DQ98</f>
        <v>3313.3</v>
      </c>
      <c r="CH98" s="695">
        <f>'[8]Balance Sheet Detail'!DR98</f>
        <v>3313.3</v>
      </c>
      <c r="CI98" s="700">
        <f t="shared" si="135"/>
        <v>3058.4307692307698</v>
      </c>
      <c r="CK98" s="33"/>
      <c r="CL98" s="184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</row>
    <row r="99" spans="1:105" s="19" customFormat="1">
      <c r="A99" s="599" t="s">
        <v>543</v>
      </c>
      <c r="B99" s="260">
        <f t="shared" ca="1" si="134"/>
        <v>397610.59142461536</v>
      </c>
      <c r="C99" s="89">
        <f t="shared" ref="C99:N99" si="136">SUM(C92:C98)</f>
        <v>254492.74315999998</v>
      </c>
      <c r="D99" s="89">
        <f t="shared" si="136"/>
        <v>255693.47043000002</v>
      </c>
      <c r="E99" s="89">
        <f t="shared" si="136"/>
        <v>258465.71127999999</v>
      </c>
      <c r="F99" s="89">
        <f t="shared" si="136"/>
        <v>260636.25347</v>
      </c>
      <c r="G99" s="89">
        <f t="shared" si="136"/>
        <v>263604.85227000003</v>
      </c>
      <c r="H99" s="89">
        <f t="shared" si="136"/>
        <v>265610.77578999999</v>
      </c>
      <c r="I99" s="89">
        <f t="shared" si="136"/>
        <v>266809.24745999998</v>
      </c>
      <c r="J99" s="89">
        <f t="shared" si="136"/>
        <v>268909.89997000003</v>
      </c>
      <c r="K99" s="89">
        <f t="shared" si="136"/>
        <v>271258.17973999999</v>
      </c>
      <c r="L99" s="89">
        <f t="shared" si="136"/>
        <v>274970.61044999998</v>
      </c>
      <c r="M99" s="89">
        <f t="shared" si="136"/>
        <v>277962.63458000001</v>
      </c>
      <c r="N99" s="89">
        <f t="shared" si="136"/>
        <v>273114.77390000003</v>
      </c>
      <c r="O99" s="89">
        <f t="shared" ref="O99:Z99" si="137">SUM(O92:O98)</f>
        <v>272997.80615999998</v>
      </c>
      <c r="P99" s="89">
        <f t="shared" si="137"/>
        <v>273887.13078000001</v>
      </c>
      <c r="Q99" s="89">
        <f t="shared" si="137"/>
        <v>275093.70286000002</v>
      </c>
      <c r="R99" s="89">
        <f t="shared" si="137"/>
        <v>275933.47472</v>
      </c>
      <c r="S99" s="89">
        <f t="shared" si="137"/>
        <v>277499.50624999998</v>
      </c>
      <c r="T99" s="89">
        <f t="shared" si="137"/>
        <v>278448.98759999999</v>
      </c>
      <c r="U99" s="89">
        <f t="shared" si="137"/>
        <v>279122.96017999999</v>
      </c>
      <c r="V99" s="89">
        <f t="shared" si="137"/>
        <v>281260.75023000001</v>
      </c>
      <c r="W99" s="89">
        <f t="shared" si="137"/>
        <v>284085.03905000002</v>
      </c>
      <c r="X99" s="89">
        <f t="shared" si="137"/>
        <v>285807.74218</v>
      </c>
      <c r="Y99" s="89">
        <f t="shared" si="137"/>
        <v>291306.01649000007</v>
      </c>
      <c r="Z99" s="89">
        <f t="shared" si="137"/>
        <v>291848.15552000003</v>
      </c>
      <c r="AA99" s="89">
        <f t="shared" ref="AA99:AL99" si="138">SUM(AA92:AA98)</f>
        <v>292474.39491000003</v>
      </c>
      <c r="AB99" s="89">
        <f t="shared" si="138"/>
        <v>293810.88847999997</v>
      </c>
      <c r="AC99" s="89">
        <f t="shared" si="138"/>
        <v>294746.55198999995</v>
      </c>
      <c r="AD99" s="89">
        <f t="shared" si="138"/>
        <v>296187.83715000004</v>
      </c>
      <c r="AE99" s="89">
        <f t="shared" si="138"/>
        <v>297202.87357000005</v>
      </c>
      <c r="AF99" s="89">
        <f t="shared" si="138"/>
        <v>299401.24299000006</v>
      </c>
      <c r="AG99" s="89">
        <f>SUM(AG92:AG98)</f>
        <v>301403.69484999997</v>
      </c>
      <c r="AH99" s="89">
        <f t="shared" si="138"/>
        <v>304114.90725000005</v>
      </c>
      <c r="AI99" s="89">
        <f t="shared" si="138"/>
        <v>304206.79946999997</v>
      </c>
      <c r="AJ99" s="89">
        <f t="shared" si="138"/>
        <v>305880.26604000002</v>
      </c>
      <c r="AK99" s="89">
        <f t="shared" si="138"/>
        <v>307108.83821000002</v>
      </c>
      <c r="AL99" s="89">
        <f t="shared" si="138"/>
        <v>310043.32375999994</v>
      </c>
      <c r="AM99" s="89">
        <f t="shared" ref="AM99:AS99" si="139">SUM(AM92:AM98)</f>
        <v>310440.22378</v>
      </c>
      <c r="AN99" s="89">
        <f t="shared" si="139"/>
        <v>313388.55223000003</v>
      </c>
      <c r="AO99" s="89">
        <f t="shared" si="139"/>
        <v>314380.38933999999</v>
      </c>
      <c r="AP99" s="89">
        <f t="shared" si="139"/>
        <v>316878.62904999999</v>
      </c>
      <c r="AQ99" s="89">
        <f t="shared" si="139"/>
        <v>319300.97276000003</v>
      </c>
      <c r="AR99" s="89">
        <f t="shared" si="139"/>
        <v>321791.00828000001</v>
      </c>
      <c r="AS99" s="89">
        <f t="shared" si="139"/>
        <v>323537.66791999998</v>
      </c>
      <c r="AT99" s="89">
        <f t="shared" ref="AT99:AY99" si="140">SUM(AT92:AT98)</f>
        <v>324434.56799000001</v>
      </c>
      <c r="AU99" s="89">
        <f t="shared" si="140"/>
        <v>326286.79129999998</v>
      </c>
      <c r="AV99" s="89">
        <f t="shared" si="140"/>
        <v>328733.53835000005</v>
      </c>
      <c r="AW99" s="89">
        <f t="shared" si="140"/>
        <v>330224.51739000005</v>
      </c>
      <c r="AX99" s="89">
        <f t="shared" si="140"/>
        <v>334516.27537000005</v>
      </c>
      <c r="AY99" s="89">
        <f t="shared" si="140"/>
        <v>336269.92670999997</v>
      </c>
      <c r="AZ99" s="89">
        <f t="shared" ref="AZ99:BJ99" si="141">SUM(AZ92:AZ98)</f>
        <v>336327.10145999998</v>
      </c>
      <c r="BA99" s="89">
        <f t="shared" si="141"/>
        <v>333863.76694</v>
      </c>
      <c r="BB99" s="89">
        <f t="shared" si="141"/>
        <v>335976.65715999994</v>
      </c>
      <c r="BC99" s="89">
        <f t="shared" si="141"/>
        <v>338003.51559999998</v>
      </c>
      <c r="BD99" s="89">
        <f t="shared" si="141"/>
        <v>337832.85865999997</v>
      </c>
      <c r="BE99" s="582">
        <f t="shared" si="141"/>
        <v>340182.02051</v>
      </c>
      <c r="BF99" s="582">
        <f t="shared" si="141"/>
        <v>341421.46250000002</v>
      </c>
      <c r="BG99" s="582">
        <f t="shared" si="141"/>
        <v>343173.64672000002</v>
      </c>
      <c r="BH99" s="582">
        <f t="shared" si="141"/>
        <v>346167.69015000004</v>
      </c>
      <c r="BI99" s="582">
        <f t="shared" si="141"/>
        <v>350940.16966999997</v>
      </c>
      <c r="BJ99" s="582">
        <f t="shared" si="141"/>
        <v>348444.55278000003</v>
      </c>
      <c r="BK99" s="582">
        <f t="shared" ref="BK99:BU99" si="142">SUM(BK92:BK98)</f>
        <v>351684.88104999997</v>
      </c>
      <c r="BL99" s="582">
        <f t="shared" si="142"/>
        <v>352926.11245000002</v>
      </c>
      <c r="BM99" s="582">
        <f t="shared" si="142"/>
        <v>353760.12468999997</v>
      </c>
      <c r="BN99" s="582">
        <f t="shared" si="142"/>
        <v>354018.42598</v>
      </c>
      <c r="BO99" s="582">
        <f t="shared" si="142"/>
        <v>356229.55499999999</v>
      </c>
      <c r="BP99" s="582">
        <f t="shared" si="142"/>
        <v>359069.03751000005</v>
      </c>
      <c r="BQ99" s="582">
        <f t="shared" si="142"/>
        <v>361144.46857000003</v>
      </c>
      <c r="BR99" s="582">
        <f t="shared" si="142"/>
        <v>366533.19325000001</v>
      </c>
      <c r="BS99" s="582">
        <f t="shared" si="142"/>
        <v>369835.74720000004</v>
      </c>
      <c r="BT99" s="582">
        <f t="shared" si="142"/>
        <v>372784.08533999999</v>
      </c>
      <c r="BU99" s="582">
        <f t="shared" si="142"/>
        <v>374809.44744000002</v>
      </c>
      <c r="BV99" s="582">
        <f t="shared" ref="BV99" si="143">SUM(BV92:BV98)</f>
        <v>380515.58851999999</v>
      </c>
      <c r="BW99" s="582">
        <f t="shared" ref="BW99:CH99" si="144">SUM(BW92:BW98)</f>
        <v>386895.8</v>
      </c>
      <c r="BX99" s="582">
        <f t="shared" si="144"/>
        <v>388748.39999999991</v>
      </c>
      <c r="BY99" s="582">
        <f t="shared" si="144"/>
        <v>389265.3</v>
      </c>
      <c r="BZ99" s="582">
        <f t="shared" si="144"/>
        <v>391774.69999999995</v>
      </c>
      <c r="CA99" s="582">
        <f t="shared" si="144"/>
        <v>394225.8</v>
      </c>
      <c r="CB99" s="582">
        <f t="shared" si="144"/>
        <v>397038.49999999994</v>
      </c>
      <c r="CC99" s="582">
        <f t="shared" si="144"/>
        <v>399497</v>
      </c>
      <c r="CD99" s="582">
        <f t="shared" si="144"/>
        <v>403032.19999999995</v>
      </c>
      <c r="CE99" s="582">
        <f t="shared" si="144"/>
        <v>405999.6999999999</v>
      </c>
      <c r="CF99" s="582">
        <f t="shared" si="144"/>
        <v>408570.30000000005</v>
      </c>
      <c r="CG99" s="582">
        <f t="shared" si="144"/>
        <v>410255.49999999994</v>
      </c>
      <c r="CH99" s="582">
        <f t="shared" si="144"/>
        <v>413118.89999999991</v>
      </c>
      <c r="CI99" s="699">
        <f t="shared" si="135"/>
        <v>397610.59142461536</v>
      </c>
      <c r="CJ99" s="33"/>
      <c r="CK99" s="33"/>
      <c r="CL99" s="184"/>
      <c r="CM99" s="33"/>
      <c r="CN99" s="447"/>
      <c r="CO99" s="447"/>
      <c r="CP99" s="447"/>
      <c r="CQ99" s="447"/>
      <c r="CR99" s="447"/>
      <c r="CS99" s="447"/>
      <c r="CT99" s="447"/>
      <c r="CU99" s="447"/>
      <c r="CV99" s="447"/>
      <c r="CW99" s="447"/>
      <c r="CX99" s="447"/>
      <c r="CY99" s="447"/>
      <c r="CZ99" s="447"/>
      <c r="DA99" s="375"/>
    </row>
    <row r="100" spans="1:105">
      <c r="A100" s="599"/>
      <c r="B100" s="26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687"/>
      <c r="BF100" s="687"/>
      <c r="BG100" s="687"/>
      <c r="BH100" s="687"/>
      <c r="BI100" s="687"/>
      <c r="BJ100" s="687"/>
      <c r="BK100" s="687"/>
      <c r="BL100" s="687"/>
      <c r="BM100" s="687"/>
      <c r="BN100" s="687"/>
      <c r="BO100" s="687"/>
      <c r="BP100" s="687"/>
      <c r="BQ100" s="687"/>
      <c r="BR100" s="687"/>
      <c r="BS100" s="687"/>
      <c r="BT100" s="687"/>
      <c r="BU100" s="687"/>
      <c r="BV100" s="687"/>
      <c r="BW100" s="687"/>
      <c r="BX100" s="687"/>
      <c r="BY100" s="687"/>
      <c r="BZ100" s="687"/>
      <c r="CA100" s="687"/>
      <c r="CB100" s="687"/>
      <c r="CC100" s="687"/>
      <c r="CD100" s="687"/>
      <c r="CE100" s="687"/>
      <c r="CF100" s="687"/>
      <c r="CG100" s="687"/>
      <c r="CH100" s="687"/>
      <c r="CI100" s="699"/>
      <c r="CK100" s="33"/>
      <c r="CL100" s="184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</row>
    <row r="101" spans="1:105">
      <c r="A101" s="617" t="s">
        <v>544</v>
      </c>
      <c r="B101" s="260">
        <f t="shared" ref="B101:B103" ca="1" si="145">SUM(OFFSET(BK101:BW101,0,$A$1-1))/13</f>
        <v>35265.828062307686</v>
      </c>
      <c r="C101" s="352">
        <v>33232.551169999999</v>
      </c>
      <c r="D101" s="352">
        <v>32814.977719999995</v>
      </c>
      <c r="E101" s="352">
        <v>32356.243689999999</v>
      </c>
      <c r="F101" s="352">
        <v>32537.237589999997</v>
      </c>
      <c r="G101" s="352">
        <v>32611.938400000003</v>
      </c>
      <c r="H101" s="352">
        <v>33329.017630000002</v>
      </c>
      <c r="I101" s="352">
        <v>33406.819600000003</v>
      </c>
      <c r="J101" s="352">
        <v>33463.907770000005</v>
      </c>
      <c r="K101" s="352">
        <v>33316.9444</v>
      </c>
      <c r="L101" s="352">
        <v>33390.140930000001</v>
      </c>
      <c r="M101" s="352">
        <v>33438.184299999994</v>
      </c>
      <c r="N101" s="352">
        <v>31177.312839999995</v>
      </c>
      <c r="O101" s="415">
        <v>31376.518619999999</v>
      </c>
      <c r="P101" s="415">
        <v>31163.232049999999</v>
      </c>
      <c r="Q101" s="415">
        <v>30755.33726</v>
      </c>
      <c r="R101" s="415">
        <v>30807.307420000001</v>
      </c>
      <c r="S101" s="415">
        <v>30775.087789999998</v>
      </c>
      <c r="T101" s="415">
        <v>30308.419610000001</v>
      </c>
      <c r="U101" s="415">
        <v>30393.484840000001</v>
      </c>
      <c r="V101" s="415">
        <v>30443.54896</v>
      </c>
      <c r="W101" s="415">
        <v>29638.7284</v>
      </c>
      <c r="X101" s="415">
        <v>29686.634049999997</v>
      </c>
      <c r="Y101" s="415">
        <v>29725.090929999998</v>
      </c>
      <c r="Z101" s="415">
        <v>35590.311590000005</v>
      </c>
      <c r="AA101" s="415">
        <v>35580.073530000001</v>
      </c>
      <c r="AB101" s="415">
        <v>35936.726539999996</v>
      </c>
      <c r="AC101" s="415">
        <v>35399.9663</v>
      </c>
      <c r="AD101" s="415">
        <v>35501.154719999999</v>
      </c>
      <c r="AE101" s="415">
        <v>35557.995280000003</v>
      </c>
      <c r="AF101" s="415">
        <v>35202.79681</v>
      </c>
      <c r="AG101" s="415">
        <v>35457.040970000002</v>
      </c>
      <c r="AH101" s="415">
        <v>35395.493570000006</v>
      </c>
      <c r="AI101" s="415">
        <v>34997.089570000004</v>
      </c>
      <c r="AJ101" s="415">
        <v>35090.72984</v>
      </c>
      <c r="AK101" s="415">
        <v>35184.564019999998</v>
      </c>
      <c r="AL101" s="415">
        <v>35443.422120000003</v>
      </c>
      <c r="AM101" s="415">
        <v>35507.218290000004</v>
      </c>
      <c r="AN101" s="415">
        <v>35601.645599999996</v>
      </c>
      <c r="AO101" s="415">
        <v>35272.63496000001</v>
      </c>
      <c r="AP101" s="415">
        <v>35224.527670000003</v>
      </c>
      <c r="AQ101" s="415">
        <v>35345.569620000002</v>
      </c>
      <c r="AR101" s="413">
        <v>34853.14884999999</v>
      </c>
      <c r="AS101" s="413">
        <v>34963.662409999997</v>
      </c>
      <c r="AT101" s="413">
        <v>34979.036870000004</v>
      </c>
      <c r="AU101" s="413">
        <v>34527.22481</v>
      </c>
      <c r="AV101" s="413">
        <v>34622.990109999999</v>
      </c>
      <c r="AW101" s="413">
        <v>34771.98979</v>
      </c>
      <c r="AX101" s="413">
        <v>41453.739150000009</v>
      </c>
      <c r="AY101" s="413">
        <v>41521.220939999999</v>
      </c>
      <c r="AZ101" s="413">
        <v>41646.103440000006</v>
      </c>
      <c r="BA101" s="413">
        <v>40033.396829999998</v>
      </c>
      <c r="BB101" s="413">
        <v>40142.611369999999</v>
      </c>
      <c r="BC101" s="413">
        <v>40250.912710000004</v>
      </c>
      <c r="BD101" s="413">
        <v>39881.427500000005</v>
      </c>
      <c r="BE101" s="583">
        <v>40010.225060000004</v>
      </c>
      <c r="BF101" s="583">
        <v>40090.886680000003</v>
      </c>
      <c r="BG101" s="583">
        <v>39764.307420000005</v>
      </c>
      <c r="BH101" s="583">
        <v>40002.90638</v>
      </c>
      <c r="BI101" s="583">
        <v>40158.910090000005</v>
      </c>
      <c r="BJ101" s="583">
        <v>31953.972819999999</v>
      </c>
      <c r="BK101" s="583">
        <v>31996.468939999999</v>
      </c>
      <c r="BL101" s="583">
        <v>32089.228980000004</v>
      </c>
      <c r="BM101" s="583">
        <v>31835.970140000005</v>
      </c>
      <c r="BN101" s="583">
        <v>31945.962179999999</v>
      </c>
      <c r="BO101" s="583">
        <v>31942.49985</v>
      </c>
      <c r="BP101" s="583">
        <v>29362.78008</v>
      </c>
      <c r="BQ101" s="583">
        <v>29737.614130000002</v>
      </c>
      <c r="BR101" s="583">
        <v>29255.497570000003</v>
      </c>
      <c r="BS101" s="583">
        <v>28446.930640000002</v>
      </c>
      <c r="BT101" s="583">
        <v>28056.460999999999</v>
      </c>
      <c r="BU101" s="583">
        <v>27898.777239999999</v>
      </c>
      <c r="BV101" s="583">
        <v>35259.064810000003</v>
      </c>
      <c r="BW101" s="583">
        <f>+VLOOKUP("2281081",'[8]BS ACCTS'!$D$6:$ZZ$999,113,FALSE)+VLOOKUP("2283201",'[8]BS ACCTS'!$D$6:$ZZ$999,113,FALSE)+VLOOKUP("2283203",'[8]BS ACCTS'!$D$6:$ZZ$999,113,FALSE)+VLOOKUP("2283210",'[8]BS ACCTS'!$D$6:$ZZ$999,113,FALSE)+VLOOKUP("2283211",'[8]BS ACCTS'!$D$6:$ZZ$999,113,FALSE)+VLOOKUP("2283220",'[8]BS ACCTS'!$D$6:$ZZ$999,113,FALSE)+VLOOKUP("2283221",'[8]BS ACCTS'!$D$6:$ZZ$999,113,FALSE)+VLOOKUP("2283231",'[8]BS ACCTS'!$D$6:$ZZ$999,113,FALSE)+VLOOKUP("2283240",'[8]BS ACCTS'!$D$6:$ZZ$999,113,FALSE)+VLOOKUP("2320022",'[8]BS ACCTS'!$D$6:$ZZ$999,113,FALSE)+VLOOKUP("2420111",'[8]BS ACCTS'!$D$6:$ZZ$999,113,FALSE)+VLOOKUP("2420121",'[8]BS ACCTS'!$D$6:$ZZ$999,113,FALSE)+VLOOKUP("2420131",'[8]BS ACCTS'!$D$6:$ZZ$999,113,FALSE)</f>
        <v>35115.299999999996</v>
      </c>
      <c r="BX101" s="583">
        <f>+VLOOKUP("2281081",'[8]BS ACCTS'!$D$6:$ZZ$999,114,FALSE)+VLOOKUP("2283201",'[8]BS ACCTS'!$D$6:$ZZ$999,114,FALSE)+VLOOKUP("2283203",'[8]BS ACCTS'!$D$6:$ZZ$999,114,FALSE)+VLOOKUP("2283210",'[8]BS ACCTS'!$D$6:$ZZ$999,114,FALSE)+VLOOKUP("2283211",'[8]BS ACCTS'!$D$6:$ZZ$999,114,FALSE)+VLOOKUP("2283220",'[8]BS ACCTS'!$D$6:$ZZ$999,114,FALSE)+VLOOKUP("2283221",'[8]BS ACCTS'!$D$6:$ZZ$999,114,FALSE)+VLOOKUP("2283231",'[8]BS ACCTS'!$D$6:$ZZ$999,114,FALSE)+VLOOKUP("2283240",'[8]BS ACCTS'!$D$6:$ZZ$999,114,FALSE)+VLOOKUP("2320022",'[8]BS ACCTS'!$D$6:$ZZ$999,114,FALSE)+VLOOKUP("2420111",'[8]BS ACCTS'!$D$6:$ZZ$999,114,FALSE)+VLOOKUP("2420121",'[8]BS ACCTS'!$D$6:$ZZ$999,114,FALSE)+VLOOKUP("2420131",'[8]BS ACCTS'!$D$6:$ZZ$999,114,FALSE)</f>
        <v>35142.799999999996</v>
      </c>
      <c r="BY101" s="583">
        <f>+VLOOKUP("2281081",'[8]BS ACCTS'!$D$6:$ZZ$999,115,FALSE)+VLOOKUP("2283201",'[8]BS ACCTS'!$D$6:$ZZ$999,115,FALSE)+VLOOKUP("2283203",'[8]BS ACCTS'!$D$6:$ZZ$999,115,FALSE)+VLOOKUP("2283210",'[8]BS ACCTS'!$D$6:$ZZ$999,115,FALSE)+VLOOKUP("2283211",'[8]BS ACCTS'!$D$6:$ZZ$999,115,FALSE)+VLOOKUP("2283220",'[8]BS ACCTS'!$D$6:$ZZ$999,115,FALSE)+VLOOKUP("2283221",'[8]BS ACCTS'!$D$6:$ZZ$999,115,FALSE)+VLOOKUP("2283231",'[8]BS ACCTS'!$D$6:$ZZ$999,115,FALSE)+VLOOKUP("2283240",'[8]BS ACCTS'!$D$6:$ZZ$999,115,FALSE)+VLOOKUP("2320022",'[8]BS ACCTS'!$D$6:$ZZ$999,115,FALSE)+VLOOKUP("2420111",'[8]BS ACCTS'!$D$6:$ZZ$999,115,FALSE)+VLOOKUP("2420121",'[8]BS ACCTS'!$D$6:$ZZ$999,115,FALSE)+VLOOKUP("2420131",'[8]BS ACCTS'!$D$6:$ZZ$999,115,FALSE)</f>
        <v>35170.299999999996</v>
      </c>
      <c r="BZ101" s="583">
        <f>+VLOOKUP("2281081",'[8]BS ACCTS'!$D$6:$ZZ$999,116,FALSE)+VLOOKUP("2283201",'[8]BS ACCTS'!$D$6:$ZZ$999,116,FALSE)+VLOOKUP("2283203",'[8]BS ACCTS'!$D$6:$ZZ$999,116,FALSE)+VLOOKUP("2283210",'[8]BS ACCTS'!$D$6:$ZZ$999,116,FALSE)+VLOOKUP("2283211",'[8]BS ACCTS'!$D$6:$ZZ$999,116,FALSE)+VLOOKUP("2283220",'[8]BS ACCTS'!$D$6:$ZZ$999,116,FALSE)+VLOOKUP("2283221",'[8]BS ACCTS'!$D$6:$ZZ$999,116,FALSE)+VLOOKUP("2283231",'[8]BS ACCTS'!$D$6:$ZZ$999,116,FALSE)+VLOOKUP("2283240",'[8]BS ACCTS'!$D$6:$ZZ$999,116,FALSE)+VLOOKUP("2320022",'[8]BS ACCTS'!$D$6:$ZZ$999,116,FALSE)+VLOOKUP("2420111",'[8]BS ACCTS'!$D$6:$ZZ$999,116,FALSE)+VLOOKUP("2420121",'[8]BS ACCTS'!$D$6:$ZZ$999,116,FALSE)+VLOOKUP("2420131",'[8]BS ACCTS'!$D$6:$ZZ$999,116,FALSE)</f>
        <v>35197.799999999996</v>
      </c>
      <c r="CA101" s="583">
        <f>+VLOOKUP("2281081",'[8]BS ACCTS'!$D$6:$ZZ$999,117,FALSE)+VLOOKUP("2283201",'[8]BS ACCTS'!$D$6:$ZZ$999,117,FALSE)+VLOOKUP("2283203",'[8]BS ACCTS'!$D$6:$ZZ$999,117,FALSE)+VLOOKUP("2283210",'[8]BS ACCTS'!$D$6:$ZZ$999,117,FALSE)+VLOOKUP("2283211",'[8]BS ACCTS'!$D$6:$ZZ$999,117,FALSE)+VLOOKUP("2283220",'[8]BS ACCTS'!$D$6:$ZZ$999,117,FALSE)+VLOOKUP("2283221",'[8]BS ACCTS'!$D$6:$ZZ$999,117,FALSE)+VLOOKUP("2283231",'[8]BS ACCTS'!$D$6:$ZZ$999,117,FALSE)+VLOOKUP("2283240",'[8]BS ACCTS'!$D$6:$ZZ$999,117,FALSE)+VLOOKUP("2320022",'[8]BS ACCTS'!$D$6:$ZZ$999,117,FALSE)+VLOOKUP("2420111",'[8]BS ACCTS'!$D$6:$ZZ$999,117,FALSE)+VLOOKUP("2420121",'[8]BS ACCTS'!$D$6:$ZZ$999,117,FALSE)+VLOOKUP("2420131",'[8]BS ACCTS'!$D$6:$ZZ$999,117,FALSE)</f>
        <v>35225.200000000004</v>
      </c>
      <c r="CB101" s="583">
        <f>+VLOOKUP("2281081",'[8]BS ACCTS'!$D$6:$ZZ$999,118,FALSE)+VLOOKUP("2283201",'[8]BS ACCTS'!$D$6:$ZZ$999,118,FALSE)+VLOOKUP("2283203",'[8]BS ACCTS'!$D$6:$ZZ$999,118,FALSE)+VLOOKUP("2283210",'[8]BS ACCTS'!$D$6:$ZZ$999,118,FALSE)+VLOOKUP("2283211",'[8]BS ACCTS'!$D$6:$ZZ$999,118,FALSE)+VLOOKUP("2283220",'[8]BS ACCTS'!$D$6:$ZZ$999,118,FALSE)+VLOOKUP("2283221",'[8]BS ACCTS'!$D$6:$ZZ$999,118,FALSE)+VLOOKUP("2283231",'[8]BS ACCTS'!$D$6:$ZZ$999,118,FALSE)+VLOOKUP("2283240",'[8]BS ACCTS'!$D$6:$ZZ$999,118,FALSE)+VLOOKUP("2320022",'[8]BS ACCTS'!$D$6:$ZZ$999,118,FALSE)+VLOOKUP("2420111",'[8]BS ACCTS'!$D$6:$ZZ$999,118,FALSE)+VLOOKUP("2420121",'[8]BS ACCTS'!$D$6:$ZZ$999,118,FALSE)+VLOOKUP("2420131",'[8]BS ACCTS'!$D$6:$ZZ$999,118,FALSE)</f>
        <v>35252.700000000004</v>
      </c>
      <c r="CC101" s="583">
        <f>+VLOOKUP("2281081",'[8]BS ACCTS'!$D$6:$ZZ$999,119,FALSE)+VLOOKUP("2283201",'[8]BS ACCTS'!$D$6:$ZZ$999,119,FALSE)+VLOOKUP("2283203",'[8]BS ACCTS'!$D$6:$ZZ$999,119,FALSE)+VLOOKUP("2283210",'[8]BS ACCTS'!$D$6:$ZZ$999,119,FALSE)+VLOOKUP("2283211",'[8]BS ACCTS'!$D$6:$ZZ$999,119,FALSE)+VLOOKUP("2283220",'[8]BS ACCTS'!$D$6:$ZZ$999,119,FALSE)+VLOOKUP("2283221",'[8]BS ACCTS'!$D$6:$ZZ$999,119,FALSE)+VLOOKUP("2283231",'[8]BS ACCTS'!$D$6:$ZZ$999,119,FALSE)+VLOOKUP("2283240",'[8]BS ACCTS'!$D$6:$ZZ$999,119,FALSE)+VLOOKUP("2320022",'[8]BS ACCTS'!$D$6:$ZZ$999,119,FALSE)+VLOOKUP("2420111",'[8]BS ACCTS'!$D$6:$ZZ$999,119,FALSE)+VLOOKUP("2420121",'[8]BS ACCTS'!$D$6:$ZZ$999,119,FALSE)+VLOOKUP("2420131",'[8]BS ACCTS'!$D$6:$ZZ$999,119,FALSE)</f>
        <v>35280.1</v>
      </c>
      <c r="CD101" s="583">
        <f>+VLOOKUP("2281081",'[8]BS ACCTS'!$D$6:$ZZ$999,120,FALSE)+VLOOKUP("2283201",'[8]BS ACCTS'!$D$6:$ZZ$999,120,FALSE)+VLOOKUP("2283203",'[8]BS ACCTS'!$D$6:$ZZ$999,120,FALSE)+VLOOKUP("2283210",'[8]BS ACCTS'!$D$6:$ZZ$999,120,FALSE)+VLOOKUP("2283211",'[8]BS ACCTS'!$D$6:$ZZ$999,120,FALSE)+VLOOKUP("2283220",'[8]BS ACCTS'!$D$6:$ZZ$999,120,FALSE)+VLOOKUP("2283221",'[8]BS ACCTS'!$D$6:$ZZ$999,120,FALSE)+VLOOKUP("2283231",'[8]BS ACCTS'!$D$6:$ZZ$999,120,FALSE)+VLOOKUP("2283240",'[8]BS ACCTS'!$D$6:$ZZ$999,120,FALSE)+VLOOKUP("2320022",'[8]BS ACCTS'!$D$6:$ZZ$999,120,FALSE)+VLOOKUP("2420111",'[8]BS ACCTS'!$D$6:$ZZ$999,120,FALSE)+VLOOKUP("2420121",'[8]BS ACCTS'!$D$6:$ZZ$999,120,FALSE)+VLOOKUP("2420131",'[8]BS ACCTS'!$D$6:$ZZ$999,120,FALSE)</f>
        <v>35307.599999999999</v>
      </c>
      <c r="CE101" s="583">
        <f>+VLOOKUP("2281081",'[8]BS ACCTS'!$D$6:$ZZ$999,121,FALSE)+VLOOKUP("2283201",'[8]BS ACCTS'!$D$6:$ZZ$999,121,FALSE)+VLOOKUP("2283203",'[8]BS ACCTS'!$D$6:$ZZ$999,121,FALSE)+VLOOKUP("2283210",'[8]BS ACCTS'!$D$6:$ZZ$999,121,FALSE)+VLOOKUP("2283211",'[8]BS ACCTS'!$D$6:$ZZ$999,121,FALSE)+VLOOKUP("2283220",'[8]BS ACCTS'!$D$6:$ZZ$999,121,FALSE)+VLOOKUP("2283221",'[8]BS ACCTS'!$D$6:$ZZ$999,121,FALSE)+VLOOKUP("2283231",'[8]BS ACCTS'!$D$6:$ZZ$999,121,FALSE)+VLOOKUP("2283240",'[8]BS ACCTS'!$D$6:$ZZ$999,121,FALSE)+VLOOKUP("2320022",'[8]BS ACCTS'!$D$6:$ZZ$999,121,FALSE)+VLOOKUP("2420111",'[8]BS ACCTS'!$D$6:$ZZ$999,121,FALSE)+VLOOKUP("2420121",'[8]BS ACCTS'!$D$6:$ZZ$999,121,FALSE)+VLOOKUP("2420131",'[8]BS ACCTS'!$D$6:$ZZ$999,121,FALSE)</f>
        <v>35335</v>
      </c>
      <c r="CF101" s="583">
        <f>+VLOOKUP("2281081",'[8]BS ACCTS'!$D$6:$ZZ$999,122,FALSE)+VLOOKUP("2283201",'[8]BS ACCTS'!$D$6:$ZZ$999,122,FALSE)+VLOOKUP("2283203",'[8]BS ACCTS'!$D$6:$ZZ$999,122,FALSE)+VLOOKUP("2283210",'[8]BS ACCTS'!$D$6:$ZZ$999,122,FALSE)+VLOOKUP("2283211",'[8]BS ACCTS'!$D$6:$ZZ$999,122,FALSE)+VLOOKUP("2283220",'[8]BS ACCTS'!$D$6:$ZZ$999,122,FALSE)+VLOOKUP("2283221",'[8]BS ACCTS'!$D$6:$ZZ$999,122,FALSE)+VLOOKUP("2283231",'[8]BS ACCTS'!$D$6:$ZZ$999,122,FALSE)+VLOOKUP("2283240",'[8]BS ACCTS'!$D$6:$ZZ$999,122,FALSE)+VLOOKUP("2320022",'[8]BS ACCTS'!$D$6:$ZZ$999,122,FALSE)+VLOOKUP("2420111",'[8]BS ACCTS'!$D$6:$ZZ$999,122,FALSE)+VLOOKUP("2420121",'[8]BS ACCTS'!$D$6:$ZZ$999,122,FALSE)+VLOOKUP("2420131",'[8]BS ACCTS'!$D$6:$ZZ$999,122,FALSE)</f>
        <v>35362.5</v>
      </c>
      <c r="CG101" s="583">
        <f>+VLOOKUP("2281081",'[8]BS ACCTS'!$D$6:$ZZ$999,123,FALSE)+VLOOKUP("2283201",'[8]BS ACCTS'!$D$6:$ZZ$999,123,FALSE)+VLOOKUP("2283203",'[8]BS ACCTS'!$D$6:$ZZ$999,123,FALSE)+VLOOKUP("2283210",'[8]BS ACCTS'!$D$6:$ZZ$999,123,FALSE)+VLOOKUP("2283211",'[8]BS ACCTS'!$D$6:$ZZ$999,123,FALSE)+VLOOKUP("2283220",'[8]BS ACCTS'!$D$6:$ZZ$999,123,FALSE)+VLOOKUP("2283221",'[8]BS ACCTS'!$D$6:$ZZ$999,123,FALSE)+VLOOKUP("2283231",'[8]BS ACCTS'!$D$6:$ZZ$999,123,FALSE)+VLOOKUP("2283240",'[8]BS ACCTS'!$D$6:$ZZ$999,123,FALSE)+VLOOKUP("2320022",'[8]BS ACCTS'!$D$6:$ZZ$999,123,FALSE)+VLOOKUP("2420111",'[8]BS ACCTS'!$D$6:$ZZ$999,123,FALSE)+VLOOKUP("2420121",'[8]BS ACCTS'!$D$6:$ZZ$999,123,FALSE)+VLOOKUP("2420131",'[8]BS ACCTS'!$D$6:$ZZ$999,123,FALSE)</f>
        <v>35390</v>
      </c>
      <c r="CH101" s="583">
        <f>+VLOOKUP("2281081",'[8]BS ACCTS'!$D$6:$ZZ$999,124,FALSE)+VLOOKUP("2283201",'[8]BS ACCTS'!$D$6:$ZZ$999,124,FALSE)+VLOOKUP("2283203",'[8]BS ACCTS'!$D$6:$ZZ$999,124,FALSE)+VLOOKUP("2283210",'[8]BS ACCTS'!$D$6:$ZZ$999,124,FALSE)+VLOOKUP("2283211",'[8]BS ACCTS'!$D$6:$ZZ$999,124,FALSE)+VLOOKUP("2283220",'[8]BS ACCTS'!$D$6:$ZZ$999,124,FALSE)+VLOOKUP("2283221",'[8]BS ACCTS'!$D$6:$ZZ$999,124,FALSE)+VLOOKUP("2283231",'[8]BS ACCTS'!$D$6:$ZZ$999,124,FALSE)+VLOOKUP("2283240",'[8]BS ACCTS'!$D$6:$ZZ$999,124,FALSE)+VLOOKUP("2320022",'[8]BS ACCTS'!$D$6:$ZZ$999,124,FALSE)+VLOOKUP("2420111",'[8]BS ACCTS'!$D$6:$ZZ$999,124,FALSE)+VLOOKUP("2420121",'[8]BS ACCTS'!$D$6:$ZZ$999,124,FALSE)+VLOOKUP("2420131",'[8]BS ACCTS'!$D$6:$ZZ$999,124,FALSE)</f>
        <v>35417.4</v>
      </c>
      <c r="CI101" s="699">
        <f t="shared" ref="CI101:CI103" si="146">SUM(BV101:CH101)/13</f>
        <v>35265.828062307686</v>
      </c>
      <c r="CK101" s="33"/>
      <c r="CL101" s="184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</row>
    <row r="102" spans="1:105">
      <c r="A102" s="617" t="s">
        <v>545</v>
      </c>
      <c r="B102" s="262">
        <f t="shared" ca="1" si="145"/>
        <v>0</v>
      </c>
      <c r="C102" s="354">
        <v>0</v>
      </c>
      <c r="D102" s="354">
        <v>0</v>
      </c>
      <c r="E102" s="354">
        <v>0</v>
      </c>
      <c r="F102" s="354">
        <v>0</v>
      </c>
      <c r="G102" s="354">
        <v>0</v>
      </c>
      <c r="H102" s="354">
        <v>0</v>
      </c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417">
        <v>0</v>
      </c>
      <c r="P102" s="417">
        <v>0</v>
      </c>
      <c r="Q102" s="417">
        <v>0</v>
      </c>
      <c r="R102" s="417">
        <v>0</v>
      </c>
      <c r="S102" s="417">
        <v>0</v>
      </c>
      <c r="T102" s="417">
        <v>0</v>
      </c>
      <c r="U102" s="417">
        <v>0</v>
      </c>
      <c r="V102" s="417">
        <v>0</v>
      </c>
      <c r="W102" s="417"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v>0</v>
      </c>
      <c r="AF102" s="417">
        <v>0</v>
      </c>
      <c r="AG102" s="417"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v>0</v>
      </c>
      <c r="AN102" s="417">
        <v>0</v>
      </c>
      <c r="AO102" s="417">
        <v>0</v>
      </c>
      <c r="AP102" s="417">
        <v>0</v>
      </c>
      <c r="AQ102" s="417">
        <v>0</v>
      </c>
      <c r="AR102" s="417">
        <v>0</v>
      </c>
      <c r="AS102" s="417">
        <v>0</v>
      </c>
      <c r="AT102" s="417">
        <v>0</v>
      </c>
      <c r="AU102" s="417">
        <v>0</v>
      </c>
      <c r="AV102" s="417">
        <v>0</v>
      </c>
      <c r="AW102" s="417">
        <v>0</v>
      </c>
      <c r="AX102" s="417">
        <v>0</v>
      </c>
      <c r="AY102" s="417">
        <v>0</v>
      </c>
      <c r="AZ102" s="417">
        <v>0</v>
      </c>
      <c r="BA102" s="417">
        <v>0</v>
      </c>
      <c r="BB102" s="417">
        <v>0</v>
      </c>
      <c r="BC102" s="417">
        <v>0</v>
      </c>
      <c r="BD102" s="417">
        <v>0</v>
      </c>
      <c r="BE102" s="695">
        <v>0</v>
      </c>
      <c r="BF102" s="695">
        <v>0</v>
      </c>
      <c r="BG102" s="695">
        <v>0</v>
      </c>
      <c r="BH102" s="695">
        <v>0</v>
      </c>
      <c r="BI102" s="695">
        <v>0</v>
      </c>
      <c r="BJ102" s="695">
        <v>0</v>
      </c>
      <c r="BK102" s="695">
        <v>0</v>
      </c>
      <c r="BL102" s="695">
        <v>0</v>
      </c>
      <c r="BM102" s="695">
        <v>0</v>
      </c>
      <c r="BN102" s="695">
        <v>0</v>
      </c>
      <c r="BO102" s="695">
        <v>0</v>
      </c>
      <c r="BP102" s="695">
        <v>0</v>
      </c>
      <c r="BQ102" s="695">
        <v>0</v>
      </c>
      <c r="BR102" s="695">
        <v>0</v>
      </c>
      <c r="BS102" s="695">
        <v>0</v>
      </c>
      <c r="BT102" s="695">
        <v>0</v>
      </c>
      <c r="BU102" s="695">
        <v>0</v>
      </c>
      <c r="BV102" s="695">
        <v>0</v>
      </c>
      <c r="BW102" s="695">
        <v>0</v>
      </c>
      <c r="BX102" s="695">
        <v>0</v>
      </c>
      <c r="BY102" s="695">
        <v>0</v>
      </c>
      <c r="BZ102" s="695">
        <v>0</v>
      </c>
      <c r="CA102" s="695">
        <v>0</v>
      </c>
      <c r="CB102" s="695">
        <v>0</v>
      </c>
      <c r="CC102" s="695">
        <v>0</v>
      </c>
      <c r="CD102" s="695">
        <v>0</v>
      </c>
      <c r="CE102" s="695">
        <v>0</v>
      </c>
      <c r="CF102" s="695">
        <v>0</v>
      </c>
      <c r="CG102" s="695">
        <v>0</v>
      </c>
      <c r="CH102" s="695">
        <v>0</v>
      </c>
      <c r="CI102" s="700">
        <f t="shared" si="146"/>
        <v>0</v>
      </c>
      <c r="CK102" s="33"/>
      <c r="CL102" s="184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</row>
    <row r="103" spans="1:105" s="19" customFormat="1">
      <c r="A103" s="599" t="s">
        <v>546</v>
      </c>
      <c r="B103" s="260">
        <f t="shared" ca="1" si="145"/>
        <v>35265.828062307686</v>
      </c>
      <c r="C103" s="89">
        <f t="shared" ref="C103:N103" si="147">SUM(C101:C102)</f>
        <v>33232.551169999999</v>
      </c>
      <c r="D103" s="89">
        <f t="shared" si="147"/>
        <v>32814.977719999995</v>
      </c>
      <c r="E103" s="89">
        <f t="shared" si="147"/>
        <v>32356.243689999999</v>
      </c>
      <c r="F103" s="89">
        <f t="shared" si="147"/>
        <v>32537.237589999997</v>
      </c>
      <c r="G103" s="89">
        <f t="shared" si="147"/>
        <v>32611.938400000003</v>
      </c>
      <c r="H103" s="89">
        <f t="shared" si="147"/>
        <v>33329.017630000002</v>
      </c>
      <c r="I103" s="89">
        <f t="shared" si="147"/>
        <v>33406.819600000003</v>
      </c>
      <c r="J103" s="89">
        <f t="shared" si="147"/>
        <v>33463.907770000005</v>
      </c>
      <c r="K103" s="89">
        <f t="shared" si="147"/>
        <v>33316.9444</v>
      </c>
      <c r="L103" s="89">
        <f t="shared" si="147"/>
        <v>33390.140930000001</v>
      </c>
      <c r="M103" s="89">
        <f t="shared" si="147"/>
        <v>33438.184299999994</v>
      </c>
      <c r="N103" s="89">
        <f t="shared" si="147"/>
        <v>31177.312839999995</v>
      </c>
      <c r="O103" s="89">
        <f t="shared" ref="O103:Z103" si="148">SUM(O101:O102)</f>
        <v>31376.518619999999</v>
      </c>
      <c r="P103" s="89">
        <f t="shared" si="148"/>
        <v>31163.232049999999</v>
      </c>
      <c r="Q103" s="89">
        <f t="shared" si="148"/>
        <v>30755.33726</v>
      </c>
      <c r="R103" s="89">
        <f t="shared" si="148"/>
        <v>30807.307420000001</v>
      </c>
      <c r="S103" s="89">
        <f t="shared" si="148"/>
        <v>30775.087789999998</v>
      </c>
      <c r="T103" s="89">
        <f t="shared" si="148"/>
        <v>30308.419610000001</v>
      </c>
      <c r="U103" s="89">
        <f t="shared" si="148"/>
        <v>30393.484840000001</v>
      </c>
      <c r="V103" s="89">
        <f t="shared" si="148"/>
        <v>30443.54896</v>
      </c>
      <c r="W103" s="89">
        <f t="shared" si="148"/>
        <v>29638.7284</v>
      </c>
      <c r="X103" s="89">
        <f t="shared" si="148"/>
        <v>29686.634049999997</v>
      </c>
      <c r="Y103" s="89">
        <f t="shared" si="148"/>
        <v>29725.090929999998</v>
      </c>
      <c r="Z103" s="89">
        <f t="shared" si="148"/>
        <v>35590.311590000005</v>
      </c>
      <c r="AA103" s="89">
        <f t="shared" ref="AA103:AL103" si="149">SUM(AA101:AA102)</f>
        <v>35580.073530000001</v>
      </c>
      <c r="AB103" s="89">
        <f t="shared" si="149"/>
        <v>35936.726539999996</v>
      </c>
      <c r="AC103" s="89">
        <f t="shared" si="149"/>
        <v>35399.9663</v>
      </c>
      <c r="AD103" s="89">
        <f t="shared" si="149"/>
        <v>35501.154719999999</v>
      </c>
      <c r="AE103" s="89">
        <f t="shared" si="149"/>
        <v>35557.995280000003</v>
      </c>
      <c r="AF103" s="89">
        <f t="shared" si="149"/>
        <v>35202.79681</v>
      </c>
      <c r="AG103" s="89">
        <f t="shared" si="149"/>
        <v>35457.040970000002</v>
      </c>
      <c r="AH103" s="89">
        <f t="shared" si="149"/>
        <v>35395.493570000006</v>
      </c>
      <c r="AI103" s="89">
        <f t="shared" si="149"/>
        <v>34997.089570000004</v>
      </c>
      <c r="AJ103" s="89">
        <f t="shared" si="149"/>
        <v>35090.72984</v>
      </c>
      <c r="AK103" s="89">
        <f t="shared" si="149"/>
        <v>35184.564019999998</v>
      </c>
      <c r="AL103" s="89">
        <f t="shared" si="149"/>
        <v>35443.422120000003</v>
      </c>
      <c r="AM103" s="89">
        <f t="shared" ref="AM103:AS103" si="150">SUM(AM101:AM102)</f>
        <v>35507.218290000004</v>
      </c>
      <c r="AN103" s="89">
        <f t="shared" si="150"/>
        <v>35601.645599999996</v>
      </c>
      <c r="AO103" s="89">
        <f t="shared" si="150"/>
        <v>35272.63496000001</v>
      </c>
      <c r="AP103" s="89">
        <f t="shared" si="150"/>
        <v>35224.527670000003</v>
      </c>
      <c r="AQ103" s="89">
        <f t="shared" si="150"/>
        <v>35345.569620000002</v>
      </c>
      <c r="AR103" s="89">
        <f t="shared" si="150"/>
        <v>34853.14884999999</v>
      </c>
      <c r="AS103" s="89">
        <f t="shared" si="150"/>
        <v>34963.662409999997</v>
      </c>
      <c r="AT103" s="89">
        <f t="shared" ref="AT103:AY103" si="151">SUM(AT101:AT102)</f>
        <v>34979.036870000004</v>
      </c>
      <c r="AU103" s="89">
        <f t="shared" si="151"/>
        <v>34527.22481</v>
      </c>
      <c r="AV103" s="89">
        <f t="shared" si="151"/>
        <v>34622.990109999999</v>
      </c>
      <c r="AW103" s="89">
        <f t="shared" si="151"/>
        <v>34771.98979</v>
      </c>
      <c r="AX103" s="89">
        <f t="shared" si="151"/>
        <v>41453.739150000009</v>
      </c>
      <c r="AY103" s="89">
        <f t="shared" si="151"/>
        <v>41521.220939999999</v>
      </c>
      <c r="AZ103" s="89">
        <f t="shared" ref="AZ103:BJ103" si="152">SUM(AZ101:AZ102)</f>
        <v>41646.103440000006</v>
      </c>
      <c r="BA103" s="89">
        <f t="shared" si="152"/>
        <v>40033.396829999998</v>
      </c>
      <c r="BB103" s="89">
        <f t="shared" si="152"/>
        <v>40142.611369999999</v>
      </c>
      <c r="BC103" s="89">
        <f t="shared" si="152"/>
        <v>40250.912710000004</v>
      </c>
      <c r="BD103" s="89">
        <f t="shared" si="152"/>
        <v>39881.427500000005</v>
      </c>
      <c r="BE103" s="582">
        <f t="shared" si="152"/>
        <v>40010.225060000004</v>
      </c>
      <c r="BF103" s="582">
        <f t="shared" si="152"/>
        <v>40090.886680000003</v>
      </c>
      <c r="BG103" s="582">
        <f t="shared" si="152"/>
        <v>39764.307420000005</v>
      </c>
      <c r="BH103" s="582">
        <f t="shared" si="152"/>
        <v>40002.90638</v>
      </c>
      <c r="BI103" s="582">
        <f t="shared" si="152"/>
        <v>40158.910090000005</v>
      </c>
      <c r="BJ103" s="582">
        <f t="shared" si="152"/>
        <v>31953.972819999999</v>
      </c>
      <c r="BK103" s="582">
        <f t="shared" ref="BK103:BU103" si="153">SUM(BK101:BK102)</f>
        <v>31996.468939999999</v>
      </c>
      <c r="BL103" s="582">
        <f t="shared" si="153"/>
        <v>32089.228980000004</v>
      </c>
      <c r="BM103" s="582">
        <f t="shared" si="153"/>
        <v>31835.970140000005</v>
      </c>
      <c r="BN103" s="582">
        <f t="shared" si="153"/>
        <v>31945.962179999999</v>
      </c>
      <c r="BO103" s="582">
        <f t="shared" si="153"/>
        <v>31942.49985</v>
      </c>
      <c r="BP103" s="582">
        <f t="shared" si="153"/>
        <v>29362.78008</v>
      </c>
      <c r="BQ103" s="582">
        <f t="shared" si="153"/>
        <v>29737.614130000002</v>
      </c>
      <c r="BR103" s="582">
        <f t="shared" si="153"/>
        <v>29255.497570000003</v>
      </c>
      <c r="BS103" s="582">
        <f t="shared" si="153"/>
        <v>28446.930640000002</v>
      </c>
      <c r="BT103" s="582">
        <f t="shared" si="153"/>
        <v>28056.460999999999</v>
      </c>
      <c r="BU103" s="582">
        <f t="shared" si="153"/>
        <v>27898.777239999999</v>
      </c>
      <c r="BV103" s="582">
        <f t="shared" ref="BV103" si="154">SUM(BV101:BV102)</f>
        <v>35259.064810000003</v>
      </c>
      <c r="BW103" s="582">
        <f t="shared" ref="BW103:CH103" si="155">SUM(BW101:BW102)</f>
        <v>35115.299999999996</v>
      </c>
      <c r="BX103" s="582">
        <f t="shared" si="155"/>
        <v>35142.799999999996</v>
      </c>
      <c r="BY103" s="582">
        <f t="shared" si="155"/>
        <v>35170.299999999996</v>
      </c>
      <c r="BZ103" s="582">
        <f t="shared" si="155"/>
        <v>35197.799999999996</v>
      </c>
      <c r="CA103" s="582">
        <f t="shared" si="155"/>
        <v>35225.200000000004</v>
      </c>
      <c r="CB103" s="582">
        <f t="shared" si="155"/>
        <v>35252.700000000004</v>
      </c>
      <c r="CC103" s="582">
        <f t="shared" si="155"/>
        <v>35280.1</v>
      </c>
      <c r="CD103" s="582">
        <f t="shared" si="155"/>
        <v>35307.599999999999</v>
      </c>
      <c r="CE103" s="582">
        <f t="shared" si="155"/>
        <v>35335</v>
      </c>
      <c r="CF103" s="582">
        <f t="shared" si="155"/>
        <v>35362.5</v>
      </c>
      <c r="CG103" s="582">
        <f t="shared" si="155"/>
        <v>35390</v>
      </c>
      <c r="CH103" s="582">
        <f t="shared" si="155"/>
        <v>35417.4</v>
      </c>
      <c r="CI103" s="699">
        <f t="shared" si="146"/>
        <v>35265.828062307686</v>
      </c>
      <c r="CJ103" s="33"/>
      <c r="CK103" s="33"/>
      <c r="CL103" s="184"/>
      <c r="CM103" s="33"/>
      <c r="CN103" s="447"/>
      <c r="CO103" s="447"/>
      <c r="CP103" s="447"/>
      <c r="CQ103" s="447"/>
      <c r="CR103" s="447"/>
      <c r="CS103" s="447"/>
      <c r="CT103" s="447"/>
      <c r="CU103" s="447"/>
      <c r="CV103" s="447"/>
      <c r="CW103" s="447"/>
      <c r="CX103" s="447"/>
      <c r="CY103" s="447"/>
      <c r="CZ103" s="447"/>
      <c r="DA103" s="375"/>
    </row>
    <row r="104" spans="1:105">
      <c r="A104" s="599"/>
      <c r="B104" s="26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687"/>
      <c r="BF104" s="687"/>
      <c r="BG104" s="687"/>
      <c r="BH104" s="687"/>
      <c r="BI104" s="687"/>
      <c r="BJ104" s="687"/>
      <c r="BK104" s="687"/>
      <c r="BL104" s="687"/>
      <c r="BM104" s="687"/>
      <c r="BN104" s="687"/>
      <c r="BO104" s="687"/>
      <c r="BP104" s="687"/>
      <c r="BQ104" s="687"/>
      <c r="BR104" s="687"/>
      <c r="BS104" s="687"/>
      <c r="BT104" s="687"/>
      <c r="BU104" s="687"/>
      <c r="BV104" s="687"/>
      <c r="BW104" s="687"/>
      <c r="BX104" s="687"/>
      <c r="BY104" s="687"/>
      <c r="BZ104" s="687"/>
      <c r="CA104" s="687"/>
      <c r="CB104" s="687"/>
      <c r="CC104" s="687"/>
      <c r="CD104" s="687"/>
      <c r="CE104" s="687"/>
      <c r="CF104" s="687"/>
      <c r="CG104" s="687"/>
      <c r="CH104" s="687"/>
      <c r="CI104" s="699"/>
      <c r="CK104" s="33"/>
      <c r="CL104" s="184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</row>
    <row r="105" spans="1:105" s="19" customFormat="1" ht="13.5" thickBot="1">
      <c r="A105" s="599" t="s">
        <v>547</v>
      </c>
      <c r="B105" s="558">
        <f ca="1">SUM(OFFSET(BK105:BW105,0,$A$1-1))/13</f>
        <v>2458838.0521713137</v>
      </c>
      <c r="C105" s="181">
        <f t="shared" ref="C105:N105" si="156">C70+C89+C99+C103</f>
        <v>1027437.33795</v>
      </c>
      <c r="D105" s="181">
        <f t="shared" si="156"/>
        <v>1035745.09141</v>
      </c>
      <c r="E105" s="181">
        <f t="shared" si="156"/>
        <v>1036332.5189800001</v>
      </c>
      <c r="F105" s="181">
        <f t="shared" si="156"/>
        <v>1046983.3606000001</v>
      </c>
      <c r="G105" s="181">
        <f t="shared" si="156"/>
        <v>1052134.9567799999</v>
      </c>
      <c r="H105" s="181">
        <f t="shared" si="156"/>
        <v>1047551.60808</v>
      </c>
      <c r="I105" s="181">
        <f t="shared" si="156"/>
        <v>1056362.1461499999</v>
      </c>
      <c r="J105" s="181">
        <f t="shared" si="156"/>
        <v>1075627.1228799999</v>
      </c>
      <c r="K105" s="181">
        <f t="shared" si="156"/>
        <v>1077460.4412999998</v>
      </c>
      <c r="L105" s="181">
        <f t="shared" si="156"/>
        <v>1081661.1270000001</v>
      </c>
      <c r="M105" s="181">
        <f t="shared" si="156"/>
        <v>1092238.76303</v>
      </c>
      <c r="N105" s="181">
        <f t="shared" si="156"/>
        <v>1109086.22707</v>
      </c>
      <c r="O105" s="181">
        <f t="shared" ref="O105:Z105" si="157">O70+O89+O99+O103</f>
        <v>1124220.4602699999</v>
      </c>
      <c r="P105" s="181">
        <f t="shared" si="157"/>
        <v>1117203.8633999999</v>
      </c>
      <c r="Q105" s="181">
        <f t="shared" si="157"/>
        <v>1114893.87439</v>
      </c>
      <c r="R105" s="181">
        <f t="shared" si="157"/>
        <v>1118672.52892</v>
      </c>
      <c r="S105" s="181">
        <f t="shared" si="157"/>
        <v>1126393.3693500001</v>
      </c>
      <c r="T105" s="181">
        <f t="shared" si="157"/>
        <v>1133533.4225199998</v>
      </c>
      <c r="U105" s="181">
        <f t="shared" si="157"/>
        <v>1140836.44371</v>
      </c>
      <c r="V105" s="181">
        <f t="shared" si="157"/>
        <v>1147765.9900200001</v>
      </c>
      <c r="W105" s="181">
        <f t="shared" si="157"/>
        <v>1160834.0952499998</v>
      </c>
      <c r="X105" s="181">
        <f t="shared" si="157"/>
        <v>1180935.26844</v>
      </c>
      <c r="Y105" s="181">
        <f t="shared" si="157"/>
        <v>1201359.64811</v>
      </c>
      <c r="Z105" s="181">
        <f t="shared" si="157"/>
        <v>1224685.8870099999</v>
      </c>
      <c r="AA105" s="181">
        <f t="shared" ref="AA105:AL105" si="158">AA70+AA89+AA99+AA103</f>
        <v>1245851.9252299999</v>
      </c>
      <c r="AB105" s="181">
        <f t="shared" si="158"/>
        <v>1246408.9092299999</v>
      </c>
      <c r="AC105" s="181">
        <f t="shared" si="158"/>
        <v>1257593.64787</v>
      </c>
      <c r="AD105" s="181">
        <f t="shared" si="158"/>
        <v>1261451.99141</v>
      </c>
      <c r="AE105" s="181">
        <f t="shared" si="158"/>
        <v>1273924.8077199999</v>
      </c>
      <c r="AF105" s="181">
        <f t="shared" si="158"/>
        <v>1285251.3940600001</v>
      </c>
      <c r="AG105" s="181">
        <f t="shared" si="158"/>
        <v>1298898.81721</v>
      </c>
      <c r="AH105" s="181">
        <f t="shared" si="158"/>
        <v>1317782.3628099998</v>
      </c>
      <c r="AI105" s="181">
        <f t="shared" si="158"/>
        <v>1340764.3386000001</v>
      </c>
      <c r="AJ105" s="181">
        <f t="shared" si="158"/>
        <v>1357190.3002299999</v>
      </c>
      <c r="AK105" s="181">
        <f t="shared" si="158"/>
        <v>1382140.3599399999</v>
      </c>
      <c r="AL105" s="181">
        <f t="shared" si="158"/>
        <v>1406757.1951299997</v>
      </c>
      <c r="AM105" s="181">
        <f t="shared" ref="AM105:AS105" si="159">AM70+AM89+AM99+AM103</f>
        <v>1428603.57672</v>
      </c>
      <c r="AN105" s="181">
        <f t="shared" si="159"/>
        <v>1440657.0037799999</v>
      </c>
      <c r="AO105" s="181">
        <f t="shared" si="159"/>
        <v>1451715.1169099999</v>
      </c>
      <c r="AP105" s="181">
        <f t="shared" si="159"/>
        <v>1470020.7291400002</v>
      </c>
      <c r="AQ105" s="181">
        <f t="shared" ref="AQ105:AR105" si="160">AQ70+AQ89+AQ99+AQ103</f>
        <v>1493213.2055599999</v>
      </c>
      <c r="AR105" s="181">
        <f t="shared" si="160"/>
        <v>1515171.8157800001</v>
      </c>
      <c r="AS105" s="181">
        <f t="shared" si="159"/>
        <v>1535872.1685000001</v>
      </c>
      <c r="AT105" s="181">
        <f t="shared" ref="AT105:AY105" si="161">AT70+AT89+AT99+AT103</f>
        <v>1572823.2239700002</v>
      </c>
      <c r="AU105" s="181">
        <f t="shared" si="161"/>
        <v>1598138.4987300001</v>
      </c>
      <c r="AV105" s="181">
        <f t="shared" si="161"/>
        <v>1630045.0579200001</v>
      </c>
      <c r="AW105" s="181">
        <f t="shared" si="161"/>
        <v>1664498.6577900001</v>
      </c>
      <c r="AX105" s="181">
        <f t="shared" si="161"/>
        <v>1714605.07812</v>
      </c>
      <c r="AY105" s="181">
        <f t="shared" si="161"/>
        <v>1742610.5260000001</v>
      </c>
      <c r="AZ105" s="181">
        <f t="shared" ref="AZ105:BJ105" si="162">AZ70+AZ89+AZ99+AZ103</f>
        <v>1765420.00037</v>
      </c>
      <c r="BA105" s="181">
        <f t="shared" si="162"/>
        <v>1781368.53366</v>
      </c>
      <c r="BB105" s="181">
        <f t="shared" si="162"/>
        <v>1797765.6539400001</v>
      </c>
      <c r="BC105" s="181">
        <f t="shared" si="162"/>
        <v>1806154.1584800002</v>
      </c>
      <c r="BD105" s="181">
        <f t="shared" si="162"/>
        <v>1825581.51229</v>
      </c>
      <c r="BE105" s="696">
        <f t="shared" si="162"/>
        <v>1851639.4994400002</v>
      </c>
      <c r="BF105" s="696">
        <f t="shared" si="162"/>
        <v>1869701.88534</v>
      </c>
      <c r="BG105" s="696">
        <f t="shared" si="162"/>
        <v>1892848.8117600002</v>
      </c>
      <c r="BH105" s="696">
        <f t="shared" si="162"/>
        <v>1927505.7080900003</v>
      </c>
      <c r="BI105" s="696">
        <f t="shared" si="162"/>
        <v>1958911.4607199999</v>
      </c>
      <c r="BJ105" s="696">
        <f t="shared" si="162"/>
        <v>1990225.3774000003</v>
      </c>
      <c r="BK105" s="696">
        <f t="shared" ref="BK105:BU105" si="163">BK70+BK89+BK99+BK103</f>
        <v>2021923.6622199998</v>
      </c>
      <c r="BL105" s="696">
        <f t="shared" si="163"/>
        <v>2041108.1496899996</v>
      </c>
      <c r="BM105" s="696">
        <f t="shared" si="163"/>
        <v>2050863.7480400002</v>
      </c>
      <c r="BN105" s="696">
        <f t="shared" si="163"/>
        <v>2066379.0249000003</v>
      </c>
      <c r="BO105" s="696">
        <f t="shared" si="163"/>
        <v>2092904.6505500001</v>
      </c>
      <c r="BP105" s="696">
        <f t="shared" si="163"/>
        <v>2118941.27122</v>
      </c>
      <c r="BQ105" s="696">
        <f t="shared" si="163"/>
        <v>2136862.7293099998</v>
      </c>
      <c r="BR105" s="696">
        <f t="shared" si="163"/>
        <v>2152934.8937300001</v>
      </c>
      <c r="BS105" s="696">
        <f t="shared" si="163"/>
        <v>2168239.0799400001</v>
      </c>
      <c r="BT105" s="696">
        <f t="shared" si="163"/>
        <v>2180322.91206</v>
      </c>
      <c r="BU105" s="696">
        <f t="shared" si="163"/>
        <v>2206019.8390700002</v>
      </c>
      <c r="BV105" s="696">
        <f t="shared" ref="BV105" si="164">BV70+BV89+BV99+BV103</f>
        <v>2267449.5295999995</v>
      </c>
      <c r="BW105" s="696">
        <f t="shared" ref="BW105:CH105" si="165">BW70+BW89+BW99+BW103</f>
        <v>2302709.4292306476</v>
      </c>
      <c r="BX105" s="696">
        <f t="shared" si="165"/>
        <v>2364866.6920436341</v>
      </c>
      <c r="BY105" s="696">
        <f t="shared" si="165"/>
        <v>2384396.5579980225</v>
      </c>
      <c r="BZ105" s="696">
        <f t="shared" si="165"/>
        <v>2422815.5223724446</v>
      </c>
      <c r="CA105" s="696">
        <f t="shared" si="165"/>
        <v>2442154.5846709665</v>
      </c>
      <c r="CB105" s="696">
        <f t="shared" si="165"/>
        <v>2471217.938910414</v>
      </c>
      <c r="CC105" s="696">
        <f t="shared" si="165"/>
        <v>2498544.0074896128</v>
      </c>
      <c r="CD105" s="696">
        <f t="shared" si="165"/>
        <v>2516972.2439822019</v>
      </c>
      <c r="CE105" s="696">
        <f t="shared" si="165"/>
        <v>2540577.2719291295</v>
      </c>
      <c r="CF105" s="696">
        <f t="shared" si="165"/>
        <v>2561395.2000000002</v>
      </c>
      <c r="CG105" s="696">
        <f t="shared" si="165"/>
        <v>2576095.4000000004</v>
      </c>
      <c r="CH105" s="696">
        <f t="shared" si="165"/>
        <v>2615700.3000000003</v>
      </c>
      <c r="CI105" s="704">
        <f t="shared" ref="CI105:CI107" si="166">SUM(BV105:CH105)/13</f>
        <v>2458838.0521713137</v>
      </c>
      <c r="CJ105" s="33"/>
      <c r="CK105" s="33"/>
      <c r="CL105" s="184"/>
      <c r="CM105" s="33"/>
      <c r="CN105" s="447"/>
      <c r="CO105" s="447"/>
      <c r="CP105" s="447"/>
      <c r="CQ105" s="447"/>
      <c r="CR105" s="447"/>
      <c r="CS105" s="447"/>
      <c r="CT105" s="447"/>
      <c r="CU105" s="447"/>
      <c r="CV105" s="447"/>
      <c r="CW105" s="447"/>
      <c r="CX105" s="447"/>
      <c r="CY105" s="447"/>
      <c r="CZ105" s="447"/>
      <c r="DA105" s="375"/>
    </row>
    <row r="106" spans="1:105" ht="13.5" thickTop="1">
      <c r="A106" s="599"/>
      <c r="B106" s="27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>
        <f>+AG105-'[8]Balance Sheet Detail'!BQ105</f>
        <v>-1448.9827900000382</v>
      </c>
      <c r="AH106" s="79">
        <f>+AH105-'[8]Balance Sheet Detail'!BR105</f>
        <v>-1457.8371900003403</v>
      </c>
      <c r="AI106" s="79">
        <f>+AI105-'[8]Balance Sheet Detail'!BS105</f>
        <v>-1465.6613999996334</v>
      </c>
      <c r="AJ106" s="79">
        <f>+AJ105-'[8]Balance Sheet Detail'!BT105</f>
        <v>-1473.9997700001113</v>
      </c>
      <c r="AK106" s="79">
        <f>+AK105-'[8]Balance Sheet Detail'!BU105</f>
        <v>-1482.340060000075</v>
      </c>
      <c r="AL106" s="79">
        <f>+AL105-'[8]Balance Sheet Detail'!BV105</f>
        <v>-1490.3048700001091</v>
      </c>
      <c r="AM106" s="79">
        <f>+AM105-'[8]Balance Sheet Detail'!BW105</f>
        <v>-1497.823279999895</v>
      </c>
      <c r="AN106" s="79">
        <f>+AN105-'[8]Balance Sheet Detail'!BX105</f>
        <v>-1503.7962200001348</v>
      </c>
      <c r="AO106" s="79">
        <f>+AO105-'[8]Balance Sheet Detail'!BY105</f>
        <v>-1510.2830900000408</v>
      </c>
      <c r="AP106" s="79">
        <f>+AP105-'[8]Balance Sheet Detail'!BZ105</f>
        <v>-1531.9708599995356</v>
      </c>
      <c r="AQ106" s="79">
        <f>+AQ105-'[8]Balance Sheet Detail'!CA105</f>
        <v>-1552.6944400002249</v>
      </c>
      <c r="AR106" s="79">
        <f>+AR105-'[8]Balance Sheet Detail'!CB105</f>
        <v>-1574.4842199997511</v>
      </c>
      <c r="AS106" s="79">
        <f>+AS105-'[8]Balance Sheet Detail'!CC105</f>
        <v>-1595.431499999715</v>
      </c>
      <c r="AT106" s="79">
        <f>+AT105-'[8]Balance Sheet Detail'!CD105</f>
        <v>-1615.9760300000198</v>
      </c>
      <c r="AU106" s="79">
        <f>+AU105-'[8]Balance Sheet Detail'!CE105</f>
        <v>-1636.9012700000312</v>
      </c>
      <c r="AV106" s="79">
        <f>+AV105-'[8]Balance Sheet Detail'!CF105</f>
        <v>-1662.9420799999498</v>
      </c>
      <c r="AW106" s="79">
        <f>+AW105-'[8]Balance Sheet Detail'!CG105</f>
        <v>-1688.7422099998221</v>
      </c>
      <c r="AX106" s="79">
        <f>+AX105-'[8]Balance Sheet Detail'!CH105</f>
        <v>802.5781199997291</v>
      </c>
      <c r="AY106" s="79">
        <f>+AY105-'[8]Balance Sheet Detail'!CI105</f>
        <v>-1738.7739999999758</v>
      </c>
      <c r="AZ106" s="79">
        <f>+AZ105-'[8]Balance Sheet Detail'!CJ105</f>
        <v>-1763.6996300001629</v>
      </c>
      <c r="BA106" s="79">
        <f>+BA105-'[8]Balance Sheet Detail'!CK105</f>
        <v>-1788.2663399998564</v>
      </c>
      <c r="BB106" s="79">
        <f>+BB105-'[8]Balance Sheet Detail'!CL105</f>
        <v>-1812.9460599999875</v>
      </c>
      <c r="BC106" s="79">
        <f>+BC105-'[8]Balance Sheet Detail'!CM105</f>
        <v>-1836.4415199998766</v>
      </c>
      <c r="BD106" s="79">
        <f>+BD105-'[8]Balance Sheet Detail'!CN105</f>
        <v>-1860.8877100001555</v>
      </c>
      <c r="BE106" s="687">
        <f>+BE105-'[8]Balance Sheet Detail'!CO105</f>
        <v>-1884.40055999998</v>
      </c>
      <c r="BF106" s="687">
        <f>+BF105-'[8]Balance Sheet Detail'!CP105</f>
        <v>-1908.0146600003354</v>
      </c>
      <c r="BG106" s="687">
        <f>+BG105-'[8]Balance Sheet Detail'!CQ105</f>
        <v>-1931.5882399999537</v>
      </c>
      <c r="BH106" s="687">
        <f>+BH105-'[8]Balance Sheet Detail'!CR105</f>
        <v>-1955.3919100000057</v>
      </c>
      <c r="BI106" s="687">
        <f>+BI105-'[8]Balance Sheet Detail'!CS105</f>
        <v>-1977.9392800000496</v>
      </c>
      <c r="BJ106" s="687">
        <f>+BJ105-'[8]Balance Sheet Detail'!CT105</f>
        <v>-2001.4225999999326</v>
      </c>
      <c r="BK106" s="687">
        <f>+BK105-'[8]Balance Sheet Detail'!CU105</f>
        <v>-2023.5377800001297</v>
      </c>
      <c r="BL106" s="687">
        <f>+BL105-'[8]Balance Sheet Detail'!CV105</f>
        <v>-2045.0503100007772</v>
      </c>
      <c r="BM106" s="687">
        <f>+BM105-'[8]Balance Sheet Detail'!CW105</f>
        <v>-1556.8519599998835</v>
      </c>
      <c r="BN106" s="687">
        <f>+BN105-'[8]Balance Sheet Detail'!CX105</f>
        <v>-1572.4750999999233</v>
      </c>
      <c r="BO106" s="687">
        <f>+BO105-'[8]Balance Sheet Detail'!CY105</f>
        <v>-1587.9494499997236</v>
      </c>
      <c r="BP106" s="687">
        <f>+BP105-'[8]Balance Sheet Detail'!CZ105</f>
        <v>-1603.6287799999118</v>
      </c>
      <c r="BQ106" s="687">
        <f>+BQ105-'[8]Balance Sheet Detail'!DA105</f>
        <v>0.32930999994277954</v>
      </c>
      <c r="BR106" s="687">
        <f>+BR105-'[8]Balance Sheet Detail'!DB105</f>
        <v>0.19372999994084239</v>
      </c>
      <c r="BS106" s="687">
        <f>+BS105-'[8]Balance Sheet Detail'!DC105</f>
        <v>0.37993999989703298</v>
      </c>
      <c r="BT106" s="687">
        <f>+BT105-'[8]Balance Sheet Detail'!DD105</f>
        <v>0.41206000000238419</v>
      </c>
      <c r="BU106" s="687">
        <f>+BU105-'[8]Balance Sheet Detail'!DE105</f>
        <v>-0.16092999931424856</v>
      </c>
      <c r="BV106" s="687">
        <f>+BV105-'[8]Balance Sheet Detail'!DF105</f>
        <v>0.82959999935701489</v>
      </c>
      <c r="BW106" s="687">
        <f>+BW105-'[8]Balance Sheet Detail'!DG105</f>
        <v>2.9230647720396519E-2</v>
      </c>
      <c r="BX106" s="687">
        <f>+BX105-'[8]Balance Sheet Detail'!DH105</f>
        <v>-7.956366054713726E-3</v>
      </c>
      <c r="BY106" s="687">
        <f>+BY105-'[8]Balance Sheet Detail'!DI105</f>
        <v>1.5579980229958892</v>
      </c>
      <c r="BZ106" s="687">
        <f>+BZ105-'[8]Balance Sheet Detail'!DJ105</f>
        <v>4.0223724446259439</v>
      </c>
      <c r="CA106" s="687">
        <f>+CA105-'[8]Balance Sheet Detail'!DK105</f>
        <v>6.9846709659323096</v>
      </c>
      <c r="CB106" s="687">
        <f>+CB105-'[8]Balance Sheet Detail'!DL105</f>
        <v>10.738910414744169</v>
      </c>
      <c r="CC106" s="687">
        <f>+CC105-'[8]Balance Sheet Detail'!DM105</f>
        <v>15.10748961288482</v>
      </c>
      <c r="CD106" s="687">
        <f>+CD105-'[8]Balance Sheet Detail'!DN105</f>
        <v>20.243982201907784</v>
      </c>
      <c r="CE106" s="687">
        <f>+CE105-'[8]Balance Sheet Detail'!DO105</f>
        <v>25.871929129585624</v>
      </c>
      <c r="CF106" s="687">
        <f>+CF105-'[8]Balance Sheet Detail'!DP105</f>
        <v>32.400000000372529</v>
      </c>
      <c r="CG106" s="687">
        <f>+CG105-'[8]Balance Sheet Detail'!DQ105</f>
        <v>39.600000000558794</v>
      </c>
      <c r="CH106" s="687">
        <f>+CH105-'[8]Balance Sheet Detail'!DR105</f>
        <v>47.600000000558794</v>
      </c>
      <c r="CI106" s="701">
        <f t="shared" si="166"/>
        <v>15.76755592886072</v>
      </c>
      <c r="CJ106" s="33">
        <f>+CI105-CI106</f>
        <v>2458822.2846153849</v>
      </c>
      <c r="CK106" s="33"/>
      <c r="CL106" s="184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</row>
    <row r="107" spans="1:105">
      <c r="A107" s="768" t="s">
        <v>548</v>
      </c>
      <c r="B107" s="89">
        <f ca="1">B55-B105</f>
        <v>0.83472099434584379</v>
      </c>
      <c r="C107" s="89">
        <f>C55-C105</f>
        <v>0</v>
      </c>
      <c r="D107" s="89">
        <f t="shared" ref="D107:M107" si="167">D55-D105</f>
        <v>0</v>
      </c>
      <c r="E107" s="89">
        <f t="shared" si="167"/>
        <v>0</v>
      </c>
      <c r="F107" s="89">
        <f>F55-F105</f>
        <v>0</v>
      </c>
      <c r="G107" s="89">
        <f t="shared" si="167"/>
        <v>0</v>
      </c>
      <c r="H107" s="89">
        <f t="shared" si="167"/>
        <v>0</v>
      </c>
      <c r="I107" s="89">
        <f t="shared" si="167"/>
        <v>0</v>
      </c>
      <c r="J107" s="89">
        <f t="shared" si="167"/>
        <v>0</v>
      </c>
      <c r="K107" s="89">
        <f t="shared" si="167"/>
        <v>0</v>
      </c>
      <c r="L107" s="89">
        <f t="shared" si="167"/>
        <v>0</v>
      </c>
      <c r="M107" s="89">
        <f t="shared" si="167"/>
        <v>0</v>
      </c>
      <c r="N107" s="89">
        <f>N55-N105</f>
        <v>0</v>
      </c>
      <c r="O107" s="89">
        <f>O55-O105</f>
        <v>0</v>
      </c>
      <c r="P107" s="89">
        <f t="shared" ref="P107:Z107" si="168">P55-P105</f>
        <v>-9.9999993108212948E-4</v>
      </c>
      <c r="Q107" s="89">
        <f t="shared" si="168"/>
        <v>0</v>
      </c>
      <c r="R107" s="89">
        <f t="shared" si="168"/>
        <v>0</v>
      </c>
      <c r="S107" s="89">
        <f t="shared" si="168"/>
        <v>0</v>
      </c>
      <c r="T107" s="89">
        <f t="shared" si="168"/>
        <v>9.9999993108212948E-4</v>
      </c>
      <c r="U107" s="89">
        <f t="shared" si="168"/>
        <v>0</v>
      </c>
      <c r="V107" s="89">
        <f t="shared" si="168"/>
        <v>0</v>
      </c>
      <c r="W107" s="89">
        <f t="shared" si="168"/>
        <v>0</v>
      </c>
      <c r="X107" s="89">
        <f t="shared" si="168"/>
        <v>0</v>
      </c>
      <c r="Y107" s="89">
        <f t="shared" si="168"/>
        <v>0</v>
      </c>
      <c r="Z107" s="89">
        <f t="shared" si="168"/>
        <v>0</v>
      </c>
      <c r="AA107" s="89">
        <f t="shared" ref="AA107:AL107" si="169">AA55-AA105</f>
        <v>0</v>
      </c>
      <c r="AB107" s="89">
        <f t="shared" si="169"/>
        <v>0</v>
      </c>
      <c r="AC107" s="89">
        <f t="shared" si="169"/>
        <v>0</v>
      </c>
      <c r="AD107" s="89">
        <f t="shared" si="169"/>
        <v>0</v>
      </c>
      <c r="AE107" s="89">
        <f t="shared" si="169"/>
        <v>0</v>
      </c>
      <c r="AF107" s="89">
        <f t="shared" si="169"/>
        <v>0</v>
      </c>
      <c r="AG107" s="89">
        <f>AG55-AG105</f>
        <v>0</v>
      </c>
      <c r="AH107" s="89">
        <f>AH55-AH105</f>
        <v>0</v>
      </c>
      <c r="AI107" s="89">
        <f t="shared" si="169"/>
        <v>0</v>
      </c>
      <c r="AJ107" s="89">
        <f t="shared" si="169"/>
        <v>-9.9999969825148582E-4</v>
      </c>
      <c r="AK107" s="89">
        <f t="shared" si="169"/>
        <v>-9.9999993108212948E-4</v>
      </c>
      <c r="AL107" s="89">
        <f t="shared" si="169"/>
        <v>0</v>
      </c>
      <c r="AM107" s="89">
        <f t="shared" ref="AM107:AS107" si="170">AM55-AM105</f>
        <v>0</v>
      </c>
      <c r="AN107" s="89">
        <f t="shared" si="170"/>
        <v>0</v>
      </c>
      <c r="AO107" s="89">
        <f t="shared" si="170"/>
        <v>0</v>
      </c>
      <c r="AP107" s="89">
        <f t="shared" si="170"/>
        <v>0</v>
      </c>
      <c r="AQ107" s="89">
        <f t="shared" ref="AQ107:AR107" si="171">AQ55-AQ105</f>
        <v>0</v>
      </c>
      <c r="AR107" s="89">
        <f t="shared" si="171"/>
        <v>0</v>
      </c>
      <c r="AS107" s="89">
        <f t="shared" si="170"/>
        <v>0</v>
      </c>
      <c r="AT107" s="89">
        <f t="shared" ref="AT107:AY107" si="172">AT55-AT105</f>
        <v>0</v>
      </c>
      <c r="AU107" s="89">
        <f t="shared" si="172"/>
        <v>0</v>
      </c>
      <c r="AV107" s="89">
        <f t="shared" si="172"/>
        <v>0</v>
      </c>
      <c r="AW107" s="89">
        <f t="shared" si="172"/>
        <v>0</v>
      </c>
      <c r="AX107" s="89">
        <f t="shared" si="172"/>
        <v>0</v>
      </c>
      <c r="AY107" s="89">
        <f t="shared" si="172"/>
        <v>0</v>
      </c>
      <c r="AZ107" s="89">
        <f t="shared" ref="AZ107:BJ107" si="173">AZ55-AZ105</f>
        <v>0</v>
      </c>
      <c r="BA107" s="89">
        <f t="shared" si="173"/>
        <v>0</v>
      </c>
      <c r="BB107" s="89">
        <f t="shared" si="173"/>
        <v>0</v>
      </c>
      <c r="BC107" s="89">
        <f t="shared" si="173"/>
        <v>0</v>
      </c>
      <c r="BD107" s="89">
        <f t="shared" si="173"/>
        <v>0</v>
      </c>
      <c r="BE107" s="582">
        <f t="shared" si="173"/>
        <v>0</v>
      </c>
      <c r="BF107" s="582">
        <f t="shared" si="173"/>
        <v>0</v>
      </c>
      <c r="BG107" s="582">
        <f t="shared" si="173"/>
        <v>0</v>
      </c>
      <c r="BH107" s="582">
        <f t="shared" si="173"/>
        <v>0</v>
      </c>
      <c r="BI107" s="582">
        <f t="shared" si="173"/>
        <v>0</v>
      </c>
      <c r="BJ107" s="582">
        <f t="shared" si="173"/>
        <v>0</v>
      </c>
      <c r="BK107" s="582">
        <f t="shared" ref="BK107:BU107" si="174">BK55-BK105</f>
        <v>0</v>
      </c>
      <c r="BL107" s="582">
        <f t="shared" si="174"/>
        <v>0</v>
      </c>
      <c r="BM107" s="582">
        <f t="shared" si="174"/>
        <v>0</v>
      </c>
      <c r="BN107" s="582">
        <f t="shared" si="174"/>
        <v>0</v>
      </c>
      <c r="BO107" s="582">
        <f t="shared" si="174"/>
        <v>0</v>
      </c>
      <c r="BP107" s="582">
        <f t="shared" si="174"/>
        <v>0</v>
      </c>
      <c r="BQ107" s="582">
        <f t="shared" si="174"/>
        <v>0</v>
      </c>
      <c r="BR107" s="582">
        <f t="shared" si="174"/>
        <v>0</v>
      </c>
      <c r="BS107" s="582">
        <f t="shared" si="174"/>
        <v>0</v>
      </c>
      <c r="BT107" s="582">
        <f t="shared" si="174"/>
        <v>-4.9000047147274017E-4</v>
      </c>
      <c r="BU107" s="582">
        <f t="shared" si="174"/>
        <v>0</v>
      </c>
      <c r="BV107" s="582">
        <f t="shared" ref="BV107" si="175">BV55-BV105</f>
        <v>0</v>
      </c>
      <c r="BW107" s="582">
        <f t="shared" ref="BW107:CH107" si="176">BW55-BW105</f>
        <v>0.97076935274526477</v>
      </c>
      <c r="BX107" s="582">
        <f t="shared" si="176"/>
        <v>1.007956366520375</v>
      </c>
      <c r="BY107" s="582">
        <f t="shared" si="176"/>
        <v>1.0420019780285656</v>
      </c>
      <c r="BZ107" s="582">
        <f t="shared" si="176"/>
        <v>0.87762755574658513</v>
      </c>
      <c r="CA107" s="582">
        <f t="shared" si="176"/>
        <v>0.91532903350889683</v>
      </c>
      <c r="CB107" s="582">
        <f t="shared" si="176"/>
        <v>0.86108958628028631</v>
      </c>
      <c r="CC107" s="582">
        <f t="shared" si="176"/>
        <v>0.89251038758084178</v>
      </c>
      <c r="CD107" s="582">
        <f t="shared" si="176"/>
        <v>0.85601779818534851</v>
      </c>
      <c r="CE107" s="582">
        <f t="shared" si="176"/>
        <v>0.92807087022811174</v>
      </c>
      <c r="CF107" s="582">
        <f t="shared" si="176"/>
        <v>0.90000000037252903</v>
      </c>
      <c r="CG107" s="582">
        <f t="shared" si="176"/>
        <v>0.80000000027939677</v>
      </c>
      <c r="CH107" s="582">
        <f t="shared" si="176"/>
        <v>0.80000000027939677</v>
      </c>
      <c r="CI107" s="701">
        <f t="shared" si="166"/>
        <v>0.83472099459658444</v>
      </c>
      <c r="CK107" s="33"/>
      <c r="CL107" s="184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</row>
    <row r="108" spans="1:105">
      <c r="A108" s="599"/>
      <c r="B108" s="27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687"/>
      <c r="BF108" s="687"/>
      <c r="BG108" s="687"/>
      <c r="BH108" s="687"/>
      <c r="BI108" s="687"/>
      <c r="BJ108" s="687"/>
      <c r="BK108" s="687"/>
      <c r="BL108" s="687"/>
      <c r="BM108" s="687"/>
      <c r="BN108" s="687"/>
      <c r="BO108" s="687"/>
      <c r="BP108" s="687"/>
      <c r="BQ108" s="687"/>
      <c r="BR108" s="687"/>
      <c r="BS108" s="687"/>
      <c r="BT108" s="687"/>
      <c r="BU108" s="687"/>
      <c r="BV108" s="687"/>
      <c r="BW108" s="687"/>
      <c r="BX108" s="687"/>
      <c r="BY108" s="687"/>
      <c r="BZ108" s="687"/>
      <c r="CA108" s="687"/>
      <c r="CB108" s="687"/>
      <c r="CC108" s="687"/>
      <c r="CD108" s="687"/>
      <c r="CE108" s="687"/>
      <c r="CF108" s="687"/>
      <c r="CG108" s="687"/>
      <c r="CH108" s="687"/>
      <c r="CI108" s="447"/>
      <c r="CK108" s="33"/>
      <c r="CL108" s="184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</row>
    <row r="109" spans="1:105">
      <c r="A109" s="599" t="s">
        <v>549</v>
      </c>
      <c r="B109" s="27"/>
      <c r="C109" s="79">
        <v>0</v>
      </c>
      <c r="D109" s="79">
        <v>0</v>
      </c>
      <c r="E109" s="79">
        <v>0</v>
      </c>
      <c r="F109" s="79">
        <v>0</v>
      </c>
      <c r="G109" s="79">
        <v>0</v>
      </c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0</v>
      </c>
      <c r="AA109" s="79"/>
      <c r="AB109" s="79"/>
      <c r="AC109" s="79"/>
      <c r="AD109" s="79"/>
      <c r="AE109" s="79"/>
      <c r="AF109" s="79"/>
      <c r="AG109" s="79" t="e">
        <v>#N/A</v>
      </c>
      <c r="AH109" s="79" t="e">
        <v>#N/A</v>
      </c>
      <c r="AI109" s="79" t="e">
        <v>#N/A</v>
      </c>
      <c r="AJ109" s="79" t="e">
        <v>#N/A</v>
      </c>
      <c r="AK109" s="79" t="e">
        <v>#N/A</v>
      </c>
      <c r="AL109" s="79">
        <v>-1490.5</v>
      </c>
      <c r="AM109" s="79">
        <v>-1497.3</v>
      </c>
      <c r="AN109" s="79">
        <v>-1503.9</v>
      </c>
      <c r="AO109" s="79">
        <v>-1510.1</v>
      </c>
      <c r="AP109" s="79">
        <v>-1531.7</v>
      </c>
      <c r="AQ109" s="79">
        <v>-1553.1</v>
      </c>
      <c r="AR109" s="79">
        <v>-1574.4</v>
      </c>
      <c r="AS109" s="79">
        <v>-1595.4</v>
      </c>
      <c r="AT109" s="79">
        <v>-1616.2</v>
      </c>
      <c r="AU109" s="79">
        <v>-1636.9</v>
      </c>
      <c r="AV109" s="79">
        <v>-1662.8</v>
      </c>
      <c r="AW109" s="79">
        <v>-1688.6</v>
      </c>
      <c r="AX109" s="79">
        <f>-VLOOKUP("2530360",'[8]BS ACCTS'!$D$6:$ZZ$999,89,FALSE)</f>
        <v>-1739.1</v>
      </c>
      <c r="AY109" s="79">
        <f>-VLOOKUP("2530360",'[8]BS ACCTS'!$D$6:$ZZ$999,89,FALSE)</f>
        <v>-1739.1</v>
      </c>
      <c r="AZ109" s="79">
        <f>-VLOOKUP("2530360",'[8]BS ACCTS'!$D$6:$ZZ$999,90,FALSE)</f>
        <v>-1763.8</v>
      </c>
      <c r="BA109" s="79">
        <f>-VLOOKUP("2530360",'[8]BS ACCTS'!$D$6:$ZZ$999,91,FALSE)</f>
        <v>-1788.3</v>
      </c>
      <c r="BB109" s="79">
        <f>-VLOOKUP("2530360",'[8]BS ACCTS'!$D$6:$ZZ$999,92,FALSE)</f>
        <v>-1812.6</v>
      </c>
      <c r="BC109" s="79">
        <f>-VLOOKUP("2530360",'[8]BS ACCTS'!$D$6:$ZZ$999,93,FALSE)</f>
        <v>-1836.8</v>
      </c>
      <c r="BD109" s="79">
        <f>-VLOOKUP("2530360",'[8]BS ACCTS'!$D$6:$ZZ$999,94,FALSE)</f>
        <v>-1860.8</v>
      </c>
      <c r="BE109" s="687">
        <f>-VLOOKUP("2530360",'[8]BS ACCTS'!$D$6:$ZZ$999,95,FALSE)</f>
        <v>-1884.6</v>
      </c>
      <c r="BF109" s="687">
        <f>-VLOOKUP("2530360",'[8]BS ACCTS'!$D$6:$ZZ$999,96,FALSE)</f>
        <v>-1908.3</v>
      </c>
      <c r="BG109" s="687">
        <f>-VLOOKUP("2530360",'[8]BS ACCTS'!$D$6:$ZZ$999,97,FALSE)</f>
        <v>-1931.8</v>
      </c>
      <c r="BH109" s="687">
        <f>-VLOOKUP("2530360",'[8]BS ACCTS'!$D$6:$ZZ$999,98,FALSE)</f>
        <v>-1955.2</v>
      </c>
      <c r="BI109" s="687">
        <f>-VLOOKUP("2530360",'[8]BS ACCTS'!$D$6:$ZZ$999,99,FALSE)</f>
        <v>-1978.3</v>
      </c>
      <c r="BJ109" s="687">
        <f>-VLOOKUP("2530360",'[8]BS ACCTS'!$D$6:$ZZ$999,100,FALSE)</f>
        <v>-2001.3</v>
      </c>
      <c r="BK109" s="687">
        <f>-VLOOKUP("2530360",'[8]BS ACCTS'!$D$6:$ZZ$999,101,FALSE)</f>
        <v>-2023.5</v>
      </c>
      <c r="BL109" s="687">
        <f>-VLOOKUP("2530360",'[8]BS ACCTS'!$D$6:$ZZ$999,102,FALSE)</f>
        <v>-2045.5</v>
      </c>
      <c r="BM109" s="687">
        <f>-VLOOKUP("2530360",'[8]BS ACCTS'!$D$6:$ZZ$999,103,FALSE)</f>
        <v>-1557.2</v>
      </c>
      <c r="BN109" s="687">
        <f>-VLOOKUP("2530360",'[8]BS ACCTS'!$D$6:$ZZ$999,104,FALSE)</f>
        <v>-1572.9</v>
      </c>
      <c r="BO109" s="687">
        <f>-VLOOKUP("2530360",'[8]BS ACCTS'!$D$6:$ZZ$999,105,FALSE)</f>
        <v>-1588.5</v>
      </c>
      <c r="BP109" s="687">
        <f>-VLOOKUP("2530360",'[8]BS ACCTS'!$D$6:$ZZ$999,106,FALSE)</f>
        <v>-1604</v>
      </c>
      <c r="BQ109" s="687">
        <f>-VLOOKUP("2530360",'[8]BS ACCTS'!$D$6:$ZZ$999,107,FALSE)</f>
        <v>0</v>
      </c>
      <c r="BR109" s="687">
        <f>-VLOOKUP("2530360",'[8]BS ACCTS'!$D$6:$ZZ$999,108,FALSE)</f>
        <v>0</v>
      </c>
      <c r="BS109" s="687">
        <f>-VLOOKUP("2530360",'[8]BS ACCTS'!$D$6:$ZZ$999,109,FALSE)</f>
        <v>0</v>
      </c>
      <c r="BT109" s="687">
        <f>-VLOOKUP("2530360",'[8]BS ACCTS'!$D$6:$ZZ$999,110,FALSE)</f>
        <v>0</v>
      </c>
      <c r="BU109" s="687">
        <f>-VLOOKUP("2530360",'[8]BS ACCTS'!$D$6:$ZZ$999,111,FALSE)</f>
        <v>0</v>
      </c>
      <c r="BV109" s="687">
        <f>-VLOOKUP("2530360",'[8]BS ACCTS'!$D$6:$ZZ$999,112,FALSE)</f>
        <v>0</v>
      </c>
      <c r="BW109" s="687">
        <f>-VLOOKUP("2530360",'[8]BS ACCTS'!$D$6:$ZZ$999,113,FALSE)</f>
        <v>0</v>
      </c>
      <c r="BX109" s="687">
        <f>-VLOOKUP("2530360",'[8]BS ACCTS'!$D$6:$ZZ$999,114,FALSE)</f>
        <v>0</v>
      </c>
      <c r="BY109" s="687">
        <f>-VLOOKUP("2530360",'[8]BS ACCTS'!$D$6:$ZZ$999,115,FALSE)</f>
        <v>1.6</v>
      </c>
      <c r="BZ109" s="687">
        <f>-VLOOKUP("2530360",'[8]BS ACCTS'!$D$6:$ZZ$999,116,FALSE)</f>
        <v>4</v>
      </c>
      <c r="CA109" s="687">
        <f>-VLOOKUP("2530360",'[8]BS ACCTS'!$D$6:$ZZ$999,117,FALSE)</f>
        <v>7</v>
      </c>
      <c r="CB109" s="687">
        <f>-VLOOKUP("2530360",'[8]BS ACCTS'!$D$6:$ZZ$999,118,FALSE)</f>
        <v>10.7</v>
      </c>
      <c r="CC109" s="687">
        <f>-VLOOKUP("2530360",'[8]BS ACCTS'!$D$6:$ZZ$999,119,FALSE)</f>
        <v>15.1</v>
      </c>
      <c r="CD109" s="687">
        <f>-VLOOKUP("2530360",'[8]BS ACCTS'!$D$6:$ZZ$999,120,FALSE)</f>
        <v>20.2</v>
      </c>
      <c r="CE109" s="687">
        <f>-VLOOKUP("2530360",'[8]BS ACCTS'!$D$6:$ZZ$999,121,FALSE)</f>
        <v>25.9</v>
      </c>
      <c r="CF109" s="687">
        <f>-VLOOKUP("2530360",'[8]BS ACCTS'!$D$6:$ZZ$999,122,FALSE)</f>
        <v>32.4</v>
      </c>
      <c r="CG109" s="687">
        <f>-VLOOKUP("2530360",'[8]BS ACCTS'!$D$6:$ZZ$999,123,FALSE)</f>
        <v>39.6</v>
      </c>
      <c r="CH109" s="687">
        <f>-VLOOKUP("2530360",'[8]BS ACCTS'!$D$6:$ZZ$999,124,FALSE)</f>
        <v>47.6</v>
      </c>
      <c r="CI109" s="701">
        <f t="shared" ref="CI109:CI110" si="177">SUM(BV109:CH109)/13</f>
        <v>15.7</v>
      </c>
      <c r="CK109" s="33"/>
      <c r="CL109" s="184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</row>
    <row r="110" spans="1:105">
      <c r="A110" s="769" t="s">
        <v>550</v>
      </c>
      <c r="B110" s="27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 t="e">
        <f>+AG106-AG109</f>
        <v>#N/A</v>
      </c>
      <c r="AH110" s="79" t="e">
        <f t="shared" ref="AH110:AS110" si="178">+AH106-AH109</f>
        <v>#N/A</v>
      </c>
      <c r="AI110" s="79" t="e">
        <f t="shared" si="178"/>
        <v>#N/A</v>
      </c>
      <c r="AJ110" s="79" t="e">
        <f t="shared" si="178"/>
        <v>#N/A</v>
      </c>
      <c r="AK110" s="79" t="e">
        <f t="shared" si="178"/>
        <v>#N/A</v>
      </c>
      <c r="AL110" s="79">
        <f t="shared" si="178"/>
        <v>0.1951299998909235</v>
      </c>
      <c r="AM110" s="79">
        <f t="shared" si="178"/>
        <v>-0.52327999989506679</v>
      </c>
      <c r="AN110" s="79">
        <f t="shared" si="178"/>
        <v>0.10377999986530995</v>
      </c>
      <c r="AO110" s="79">
        <f>+AO106-AO109</f>
        <v>-0.18309000004092013</v>
      </c>
      <c r="AP110" s="79">
        <f>+AP106-AP109</f>
        <v>-0.27085999953555984</v>
      </c>
      <c r="AQ110" s="79">
        <f t="shared" ref="AQ110:AR110" si="179">+AQ106-AQ109</f>
        <v>0.40555999977505053</v>
      </c>
      <c r="AR110" s="79">
        <f t="shared" si="179"/>
        <v>-8.4219999750985153E-2</v>
      </c>
      <c r="AS110" s="79">
        <f t="shared" si="178"/>
        <v>-3.1499999714924343E-2</v>
      </c>
      <c r="AT110" s="79">
        <f t="shared" ref="AT110:AY110" si="180">+AT106-AT109</f>
        <v>0.22396999998022693</v>
      </c>
      <c r="AU110" s="79">
        <f t="shared" si="180"/>
        <v>-1.2700000311269832E-3</v>
      </c>
      <c r="AV110" s="79">
        <f t="shared" si="180"/>
        <v>-0.14207999994982856</v>
      </c>
      <c r="AW110" s="79">
        <f t="shared" si="180"/>
        <v>-0.14220999982217108</v>
      </c>
      <c r="AX110" s="79">
        <f t="shared" si="180"/>
        <v>2541.678119999729</v>
      </c>
      <c r="AY110" s="79">
        <f t="shared" si="180"/>
        <v>0.32600000002412344</v>
      </c>
      <c r="AZ110" s="79">
        <f t="shared" ref="AZ110:BJ110" si="181">+AZ106-AZ109</f>
        <v>0.10036999983708483</v>
      </c>
      <c r="BA110" s="79">
        <f t="shared" si="181"/>
        <v>3.3660000143527213E-2</v>
      </c>
      <c r="BB110" s="79">
        <f t="shared" si="181"/>
        <v>-0.34605999998757397</v>
      </c>
      <c r="BC110" s="79">
        <f t="shared" si="181"/>
        <v>0.35848000012333614</v>
      </c>
      <c r="BD110" s="79">
        <f t="shared" si="181"/>
        <v>-8.7710000155539092E-2</v>
      </c>
      <c r="BE110" s="687">
        <f t="shared" si="181"/>
        <v>0.19944000001987661</v>
      </c>
      <c r="BF110" s="687">
        <f t="shared" si="181"/>
        <v>0.28533999966452939</v>
      </c>
      <c r="BG110" s="687">
        <f t="shared" si="181"/>
        <v>0.21176000004629714</v>
      </c>
      <c r="BH110" s="687">
        <f t="shared" si="181"/>
        <v>-0.19191000000569147</v>
      </c>
      <c r="BI110" s="687">
        <f t="shared" si="181"/>
        <v>0.36071999995033366</v>
      </c>
      <c r="BJ110" s="687">
        <f t="shared" si="181"/>
        <v>-0.12259999993261772</v>
      </c>
      <c r="BK110" s="687">
        <f t="shared" ref="BK110:BU110" si="182">+BK106-BK109</f>
        <v>-3.7780000129714608E-2</v>
      </c>
      <c r="BL110" s="687">
        <f t="shared" si="182"/>
        <v>0.44968999922275543</v>
      </c>
      <c r="BM110" s="687">
        <f t="shared" si="182"/>
        <v>0.34804000011649805</v>
      </c>
      <c r="BN110" s="687">
        <f t="shared" si="182"/>
        <v>0.42490000007683193</v>
      </c>
      <c r="BO110" s="687">
        <f t="shared" si="182"/>
        <v>0.55055000027641654</v>
      </c>
      <c r="BP110" s="687">
        <f t="shared" si="182"/>
        <v>0.37122000008821487</v>
      </c>
      <c r="BQ110" s="687">
        <f t="shared" si="182"/>
        <v>0.32930999994277954</v>
      </c>
      <c r="BR110" s="687">
        <f t="shared" si="182"/>
        <v>0.19372999994084239</v>
      </c>
      <c r="BS110" s="687">
        <f t="shared" si="182"/>
        <v>0.37993999989703298</v>
      </c>
      <c r="BT110" s="687">
        <f t="shared" si="182"/>
        <v>0.41206000000238419</v>
      </c>
      <c r="BU110" s="687">
        <f t="shared" si="182"/>
        <v>-0.16092999931424856</v>
      </c>
      <c r="BV110" s="687">
        <f t="shared" ref="BV110" si="183">+BV106-BV109</f>
        <v>0.82959999935701489</v>
      </c>
      <c r="BW110" s="687">
        <f t="shared" ref="BW110:CH110" si="184">+BW106-BW109</f>
        <v>2.9230647720396519E-2</v>
      </c>
      <c r="BX110" s="687">
        <f t="shared" si="184"/>
        <v>-7.956366054713726E-3</v>
      </c>
      <c r="BY110" s="687">
        <f t="shared" si="184"/>
        <v>-4.2001977004110902E-2</v>
      </c>
      <c r="BZ110" s="687">
        <f t="shared" si="184"/>
        <v>2.2372444625943899E-2</v>
      </c>
      <c r="CA110" s="687">
        <f t="shared" si="184"/>
        <v>-1.5329034067690372E-2</v>
      </c>
      <c r="CB110" s="687">
        <f t="shared" si="184"/>
        <v>3.8910414744169231E-2</v>
      </c>
      <c r="CC110" s="687">
        <f t="shared" si="184"/>
        <v>7.4896128848198629E-3</v>
      </c>
      <c r="CD110" s="687">
        <f t="shared" si="184"/>
        <v>4.3982201907784457E-2</v>
      </c>
      <c r="CE110" s="687">
        <f t="shared" si="184"/>
        <v>-2.8070870414374838E-2</v>
      </c>
      <c r="CF110" s="687">
        <f t="shared" si="184"/>
        <v>3.7253045093166293E-10</v>
      </c>
      <c r="CG110" s="687">
        <f t="shared" si="184"/>
        <v>5.5879212368381559E-10</v>
      </c>
      <c r="CH110" s="687">
        <f t="shared" si="184"/>
        <v>5.5879212368381559E-10</v>
      </c>
      <c r="CI110" s="701">
        <f t="shared" si="177"/>
        <v>6.7555928860719511E-2</v>
      </c>
      <c r="CK110" s="33"/>
      <c r="CL110" s="184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</row>
    <row r="111" spans="1:105">
      <c r="A111" s="27"/>
      <c r="B111" s="27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687"/>
      <c r="BF111" s="687"/>
      <c r="BG111" s="687"/>
      <c r="BH111" s="687"/>
      <c r="BI111" s="687"/>
      <c r="BJ111" s="687"/>
      <c r="BK111" s="687"/>
      <c r="BL111" s="687"/>
      <c r="BM111" s="687"/>
      <c r="BN111" s="687"/>
      <c r="BO111" s="687"/>
      <c r="BP111" s="687"/>
      <c r="BQ111" s="687"/>
      <c r="BR111" s="687"/>
      <c r="BS111" s="687"/>
      <c r="BT111" s="687"/>
      <c r="BU111" s="687"/>
      <c r="BV111" s="687"/>
      <c r="BW111" s="687"/>
      <c r="BX111" s="687"/>
      <c r="BY111" s="687"/>
      <c r="BZ111" s="687"/>
      <c r="CA111" s="687"/>
      <c r="CB111" s="687"/>
      <c r="CC111" s="687"/>
      <c r="CD111" s="687"/>
      <c r="CE111" s="687"/>
      <c r="CF111" s="687"/>
      <c r="CG111" s="687"/>
      <c r="CH111" s="687"/>
      <c r="CI111" s="447"/>
      <c r="CK111" s="33"/>
      <c r="CL111" s="184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</row>
    <row r="112" spans="1:105">
      <c r="C112" s="178"/>
      <c r="D112" s="178"/>
      <c r="E112" s="178"/>
      <c r="F112" s="178">
        <f>+F107*1000</f>
        <v>0</v>
      </c>
      <c r="G112" s="178">
        <f t="shared" ref="G112:N112" si="185">+G107*1000</f>
        <v>0</v>
      </c>
      <c r="H112" s="178">
        <f t="shared" si="185"/>
        <v>0</v>
      </c>
      <c r="I112" s="178">
        <f t="shared" si="185"/>
        <v>0</v>
      </c>
      <c r="J112" s="178">
        <f t="shared" si="185"/>
        <v>0</v>
      </c>
      <c r="K112" s="178">
        <f t="shared" si="185"/>
        <v>0</v>
      </c>
      <c r="L112" s="178">
        <f t="shared" si="185"/>
        <v>0</v>
      </c>
      <c r="M112" s="178">
        <f>+M107*1000</f>
        <v>0</v>
      </c>
      <c r="N112" s="178">
        <f t="shared" si="185"/>
        <v>0</v>
      </c>
      <c r="O112" s="178">
        <f>+O107*1000</f>
        <v>0</v>
      </c>
      <c r="P112" s="178">
        <f t="shared" ref="P112:Y112" si="186">+P107*1000</f>
        <v>-0.99999993108212948</v>
      </c>
      <c r="Q112" s="178">
        <f t="shared" si="186"/>
        <v>0</v>
      </c>
      <c r="R112" s="178">
        <f>+R107*1000</f>
        <v>0</v>
      </c>
      <c r="S112" s="178">
        <f t="shared" si="186"/>
        <v>0</v>
      </c>
      <c r="T112" s="178">
        <f t="shared" si="186"/>
        <v>0.99999993108212948</v>
      </c>
      <c r="U112" s="178">
        <f t="shared" si="186"/>
        <v>0</v>
      </c>
      <c r="V112" s="178">
        <f t="shared" si="186"/>
        <v>0</v>
      </c>
      <c r="W112" s="178">
        <f t="shared" si="186"/>
        <v>0</v>
      </c>
      <c r="X112" s="178">
        <f t="shared" si="186"/>
        <v>0</v>
      </c>
      <c r="Y112" s="178">
        <f t="shared" si="186"/>
        <v>0</v>
      </c>
      <c r="Z112" s="178">
        <f>+Z107*1000</f>
        <v>0</v>
      </c>
      <c r="AA112" s="178">
        <f t="shared" ref="AA112:AL112" si="187">+AA107*1000</f>
        <v>0</v>
      </c>
      <c r="AB112" s="178">
        <f t="shared" si="187"/>
        <v>0</v>
      </c>
      <c r="AC112" s="178">
        <f t="shared" si="187"/>
        <v>0</v>
      </c>
      <c r="AD112" s="178">
        <f t="shared" si="187"/>
        <v>0</v>
      </c>
      <c r="AE112" s="178">
        <f t="shared" si="187"/>
        <v>0</v>
      </c>
      <c r="AF112" s="178">
        <f t="shared" si="187"/>
        <v>0</v>
      </c>
      <c r="AG112" s="178">
        <f>+AG107*1000</f>
        <v>0</v>
      </c>
      <c r="AH112" s="178">
        <f t="shared" si="187"/>
        <v>0</v>
      </c>
      <c r="AI112" s="178">
        <f t="shared" si="187"/>
        <v>0</v>
      </c>
      <c r="AJ112" s="178">
        <f t="shared" si="187"/>
        <v>-0.99999969825148582</v>
      </c>
      <c r="AK112" s="178">
        <f t="shared" si="187"/>
        <v>-0.99999993108212948</v>
      </c>
      <c r="AL112" s="178">
        <f t="shared" si="187"/>
        <v>0</v>
      </c>
      <c r="AM112" s="178">
        <f t="shared" ref="AM112:AS112" si="188">+AM107*1000</f>
        <v>0</v>
      </c>
      <c r="AN112" s="178">
        <f>+AN107*1000</f>
        <v>0</v>
      </c>
      <c r="AO112" s="178">
        <f t="shared" si="188"/>
        <v>0</v>
      </c>
      <c r="AP112" s="178">
        <f t="shared" si="188"/>
        <v>0</v>
      </c>
      <c r="AQ112" s="178">
        <f t="shared" ref="AQ112:AR112" si="189">+AQ107*1000</f>
        <v>0</v>
      </c>
      <c r="AR112" s="178">
        <f t="shared" si="189"/>
        <v>0</v>
      </c>
      <c r="AS112" s="178">
        <f t="shared" si="188"/>
        <v>0</v>
      </c>
      <c r="AT112" s="178">
        <f t="shared" ref="AT112:AW112" si="190">+AT107*1000</f>
        <v>0</v>
      </c>
      <c r="AU112" s="178">
        <f t="shared" si="190"/>
        <v>0</v>
      </c>
      <c r="AV112" s="178">
        <f t="shared" si="190"/>
        <v>0</v>
      </c>
      <c r="AW112" s="178">
        <f t="shared" si="190"/>
        <v>0</v>
      </c>
      <c r="AX112" s="178">
        <f>+AX107*1000</f>
        <v>0</v>
      </c>
      <c r="AY112" s="178">
        <f t="shared" ref="AY112" si="191">+AY107*1000</f>
        <v>0</v>
      </c>
      <c r="AZ112" s="178">
        <f t="shared" ref="AZ112:BJ112" si="192">+AZ107*1000</f>
        <v>0</v>
      </c>
      <c r="BA112" s="178">
        <f t="shared" si="192"/>
        <v>0</v>
      </c>
      <c r="BB112" s="178">
        <f t="shared" si="192"/>
        <v>0</v>
      </c>
      <c r="BC112" s="178">
        <f t="shared" si="192"/>
        <v>0</v>
      </c>
      <c r="BD112" s="178">
        <f t="shared" si="192"/>
        <v>0</v>
      </c>
      <c r="BE112" s="597">
        <f t="shared" si="192"/>
        <v>0</v>
      </c>
      <c r="BF112" s="597">
        <f t="shared" si="192"/>
        <v>0</v>
      </c>
      <c r="BG112" s="597">
        <f t="shared" si="192"/>
        <v>0</v>
      </c>
      <c r="BH112" s="597">
        <f t="shared" si="192"/>
        <v>0</v>
      </c>
      <c r="BI112" s="597">
        <f t="shared" si="192"/>
        <v>0</v>
      </c>
      <c r="BJ112" s="597">
        <f t="shared" si="192"/>
        <v>0</v>
      </c>
      <c r="BK112" s="597">
        <f t="shared" ref="BK112:BU112" si="193">+BK107*1000</f>
        <v>0</v>
      </c>
      <c r="BL112" s="597">
        <f t="shared" si="193"/>
        <v>0</v>
      </c>
      <c r="BM112" s="597">
        <f t="shared" si="193"/>
        <v>0</v>
      </c>
      <c r="BN112" s="597">
        <f t="shared" si="193"/>
        <v>0</v>
      </c>
      <c r="BO112" s="597">
        <f t="shared" si="193"/>
        <v>0</v>
      </c>
      <c r="BP112" s="597">
        <f t="shared" si="193"/>
        <v>0</v>
      </c>
      <c r="BQ112" s="597">
        <f t="shared" si="193"/>
        <v>0</v>
      </c>
      <c r="BR112" s="597">
        <f t="shared" si="193"/>
        <v>0</v>
      </c>
      <c r="BS112" s="597">
        <f t="shared" si="193"/>
        <v>0</v>
      </c>
      <c r="BT112" s="597">
        <f t="shared" si="193"/>
        <v>-0.49000047147274017</v>
      </c>
      <c r="BU112" s="597">
        <f t="shared" si="193"/>
        <v>0</v>
      </c>
      <c r="BV112" s="597">
        <f t="shared" ref="BV112" si="194">+BV107*1000</f>
        <v>0</v>
      </c>
      <c r="BW112" s="597">
        <f t="shared" ref="BW112:CH112" si="195">+BW107*1000</f>
        <v>970.76935274526477</v>
      </c>
      <c r="BX112" s="597">
        <f t="shared" si="195"/>
        <v>1007.956366520375</v>
      </c>
      <c r="BY112" s="597">
        <f t="shared" si="195"/>
        <v>1042.0019780285656</v>
      </c>
      <c r="BZ112" s="597">
        <f t="shared" si="195"/>
        <v>877.62755574658513</v>
      </c>
      <c r="CA112" s="597">
        <f t="shared" si="195"/>
        <v>915.32903350889683</v>
      </c>
      <c r="CB112" s="597">
        <f t="shared" si="195"/>
        <v>861.08958628028631</v>
      </c>
      <c r="CC112" s="597">
        <f t="shared" si="195"/>
        <v>892.51038758084178</v>
      </c>
      <c r="CD112" s="597">
        <f t="shared" si="195"/>
        <v>856.01779818534851</v>
      </c>
      <c r="CE112" s="597">
        <f t="shared" si="195"/>
        <v>928.07087022811174</v>
      </c>
      <c r="CF112" s="597">
        <f t="shared" si="195"/>
        <v>900.00000037252903</v>
      </c>
      <c r="CG112" s="597">
        <f t="shared" si="195"/>
        <v>800.00000027939677</v>
      </c>
      <c r="CH112" s="597">
        <f t="shared" si="195"/>
        <v>800.00000027939677</v>
      </c>
      <c r="CI112" s="447">
        <f>+CI107*1000</f>
        <v>834.72099459658443</v>
      </c>
      <c r="CK112" s="33"/>
      <c r="CL112" s="184"/>
      <c r="CV112" s="178"/>
      <c r="CW112" s="178"/>
      <c r="CX112" s="178"/>
      <c r="CY112" s="33"/>
      <c r="CZ112" s="33"/>
      <c r="DA112" s="33"/>
    </row>
    <row r="113" spans="1:102" ht="15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697"/>
      <c r="AY113" s="697"/>
      <c r="AZ113" s="697"/>
      <c r="BA113" s="697"/>
      <c r="BB113" s="697"/>
      <c r="BC113" s="697"/>
      <c r="BD113" s="697"/>
      <c r="BE113" s="697"/>
      <c r="BF113" s="697"/>
      <c r="BG113" s="697"/>
      <c r="BH113" s="697"/>
      <c r="BI113" s="697"/>
      <c r="BJ113" s="697"/>
      <c r="BK113" s="697"/>
      <c r="BL113" s="697"/>
      <c r="BM113" s="697"/>
      <c r="BN113" s="697"/>
      <c r="BO113" s="697"/>
      <c r="BP113" s="697"/>
      <c r="BQ113" s="697"/>
      <c r="BR113" s="697"/>
      <c r="BS113" s="697"/>
      <c r="BT113" s="697"/>
      <c r="BU113" s="697"/>
      <c r="BV113" s="697"/>
      <c r="BW113" s="697"/>
      <c r="BX113" s="697"/>
      <c r="BY113" s="697"/>
      <c r="BZ113" s="697"/>
      <c r="CA113" s="697"/>
      <c r="CB113" s="697"/>
      <c r="CC113" s="697"/>
      <c r="CD113" s="697"/>
      <c r="CE113" s="697"/>
      <c r="CF113" s="697"/>
      <c r="CG113" s="697"/>
      <c r="CH113" s="697"/>
      <c r="CI113" s="604"/>
      <c r="CK113" s="33"/>
      <c r="CV113" s="943"/>
      <c r="CW113" s="943"/>
      <c r="CX113" s="943"/>
    </row>
    <row r="114" spans="1:102" ht="15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697"/>
      <c r="AY114" s="697"/>
      <c r="AZ114" s="697"/>
      <c r="BA114" s="697"/>
      <c r="BB114" s="697"/>
      <c r="BC114" s="697"/>
      <c r="BD114" s="697"/>
      <c r="BE114" s="697"/>
      <c r="BF114" s="697"/>
      <c r="BG114" s="697"/>
      <c r="BH114" s="697"/>
      <c r="BI114" s="697"/>
      <c r="BJ114" s="697"/>
      <c r="BK114" s="697"/>
      <c r="BL114" s="697"/>
      <c r="BM114" s="697"/>
      <c r="BN114" s="697"/>
      <c r="BO114" s="697"/>
      <c r="BP114" s="697"/>
      <c r="BQ114" s="697"/>
      <c r="BR114" s="697"/>
      <c r="BS114" s="697"/>
      <c r="BT114" s="697"/>
      <c r="BU114" s="697"/>
      <c r="BV114" s="697"/>
      <c r="BW114" s="697"/>
      <c r="BX114" s="697"/>
      <c r="BY114" s="697"/>
      <c r="BZ114" s="697"/>
      <c r="CA114" s="697"/>
      <c r="CB114" s="697"/>
      <c r="CC114" s="697"/>
      <c r="CD114" s="697"/>
      <c r="CE114" s="697"/>
      <c r="CF114" s="697"/>
      <c r="CG114" s="697"/>
      <c r="CH114" s="697"/>
      <c r="CI114" s="604"/>
      <c r="CK114" s="33"/>
      <c r="CV114" s="943"/>
      <c r="CW114" s="943"/>
      <c r="CX114" s="943"/>
    </row>
    <row r="115" spans="1:102" ht="15">
      <c r="A115" t="s">
        <v>551</v>
      </c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697"/>
      <c r="AY115" s="697"/>
      <c r="AZ115" s="697"/>
      <c r="BA115" s="697"/>
      <c r="BB115" s="697"/>
      <c r="BC115" s="697"/>
      <c r="BD115" s="697"/>
      <c r="BE115" s="697"/>
      <c r="BF115" s="697"/>
      <c r="BG115" s="697"/>
      <c r="BH115" s="697"/>
      <c r="BI115" s="697"/>
      <c r="BJ115" s="427"/>
      <c r="BK115" s="427"/>
      <c r="BL115" s="427"/>
      <c r="BM115" s="427"/>
      <c r="BN115" s="427"/>
      <c r="BO115" s="427"/>
      <c r="BP115" s="427"/>
      <c r="BQ115" s="427"/>
      <c r="BR115" s="427"/>
      <c r="BS115" s="427"/>
      <c r="BT115" s="427"/>
      <c r="BU115" s="427"/>
      <c r="BV115" s="427"/>
      <c r="BW115" s="1066"/>
      <c r="BX115" s="1066"/>
      <c r="BY115" s="1066"/>
      <c r="BZ115" s="1066"/>
      <c r="CA115" s="1066"/>
      <c r="CB115" s="1066"/>
      <c r="CC115" s="1066"/>
      <c r="CD115" s="1066"/>
      <c r="CE115" s="1066"/>
      <c r="CF115" s="1066"/>
      <c r="CG115" s="1066"/>
      <c r="CH115" s="1066"/>
      <c r="CI115" s="604"/>
      <c r="CJ115" s="447"/>
      <c r="CK115" s="33"/>
      <c r="CV115" s="943"/>
      <c r="CW115" s="943"/>
      <c r="CX115" s="943"/>
    </row>
    <row r="116" spans="1:102" ht="15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697"/>
      <c r="AY116" s="697"/>
      <c r="AZ116" s="697"/>
      <c r="BA116" s="697"/>
      <c r="BB116" s="697"/>
      <c r="BC116" s="697"/>
      <c r="BD116" s="697"/>
      <c r="BE116" s="697"/>
      <c r="BF116" s="697"/>
      <c r="BG116" s="697"/>
      <c r="BH116" s="697"/>
      <c r="BI116" s="697"/>
      <c r="BJ116" s="697"/>
      <c r="BK116" s="697"/>
      <c r="BL116" s="697"/>
      <c r="BM116" s="697"/>
      <c r="BN116" s="697"/>
      <c r="BO116" s="697"/>
      <c r="BP116" s="697"/>
      <c r="BQ116" s="697"/>
      <c r="BR116" s="697"/>
      <c r="BS116" s="697"/>
      <c r="BT116" s="697"/>
      <c r="BU116" s="697"/>
      <c r="BV116" s="697"/>
      <c r="BW116" s="697"/>
      <c r="BX116" s="697"/>
      <c r="BY116" s="697"/>
      <c r="BZ116" s="697"/>
      <c r="CA116" s="697"/>
      <c r="CB116" s="697"/>
      <c r="CC116" s="697"/>
      <c r="CD116" s="697"/>
      <c r="CE116" s="697"/>
      <c r="CF116" s="697"/>
      <c r="CG116" s="697"/>
      <c r="CH116" s="697"/>
      <c r="CI116" s="604"/>
      <c r="CK116" s="33"/>
      <c r="CV116" s="943"/>
      <c r="CW116" s="943"/>
      <c r="CX116" s="943"/>
    </row>
    <row r="117" spans="1:10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697"/>
      <c r="AY117" s="697"/>
      <c r="AZ117" s="697"/>
      <c r="BA117" s="697"/>
      <c r="BB117" s="697"/>
      <c r="BC117" s="697"/>
      <c r="BD117" s="697"/>
      <c r="BE117" s="697"/>
      <c r="BF117" s="697"/>
      <c r="BG117" s="697"/>
      <c r="BH117" s="697"/>
      <c r="BI117" s="697"/>
      <c r="BJ117" s="697"/>
      <c r="BK117" s="697"/>
      <c r="BL117" s="697"/>
      <c r="BM117" s="697"/>
      <c r="BN117" s="697"/>
      <c r="BO117" s="697"/>
      <c r="BP117" s="697"/>
      <c r="BQ117" s="697"/>
      <c r="BR117" s="697"/>
      <c r="BS117" s="697"/>
      <c r="BT117" s="697"/>
      <c r="BU117" s="697"/>
      <c r="BV117" s="697"/>
      <c r="BW117" s="697"/>
      <c r="BX117" s="697"/>
      <c r="BY117" s="697"/>
      <c r="BZ117" s="697"/>
      <c r="CA117" s="697"/>
      <c r="CB117" s="697"/>
      <c r="CC117" s="697"/>
      <c r="CD117" s="697"/>
      <c r="CE117" s="697"/>
      <c r="CF117" s="697"/>
      <c r="CG117" s="697"/>
      <c r="CH117" s="697"/>
      <c r="CI117" s="375"/>
      <c r="CK117" s="33"/>
    </row>
    <row r="118" spans="1:10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AX118" s="449"/>
      <c r="AY118" s="449"/>
      <c r="AZ118" s="449"/>
      <c r="BA118" s="449"/>
      <c r="BB118" s="449"/>
      <c r="BC118" s="449"/>
      <c r="BD118" s="449"/>
      <c r="CF118" s="474"/>
      <c r="CI118" s="604"/>
      <c r="CK118" s="33"/>
      <c r="CW118" s="75"/>
      <c r="CX118" s="375"/>
    </row>
    <row r="119" spans="1:102"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697"/>
      <c r="AY119" s="697"/>
      <c r="AZ119" s="697"/>
      <c r="BA119" s="697"/>
      <c r="BB119" s="697"/>
      <c r="BC119" s="697"/>
      <c r="BD119" s="697"/>
      <c r="BE119" s="697"/>
      <c r="BF119" s="697"/>
      <c r="BG119" s="697"/>
      <c r="BH119" s="697"/>
      <c r="BI119" s="697"/>
      <c r="BJ119" s="697"/>
      <c r="BK119" s="697"/>
      <c r="BL119" s="697"/>
      <c r="BM119" s="697"/>
      <c r="BN119" s="697"/>
      <c r="BO119" s="697"/>
      <c r="BP119" s="697"/>
      <c r="BQ119" s="697"/>
      <c r="BR119" s="697"/>
      <c r="BS119" s="697"/>
      <c r="BT119" s="697"/>
      <c r="BU119" s="697"/>
      <c r="BV119" s="697"/>
      <c r="BW119" s="697"/>
      <c r="BX119" s="697"/>
      <c r="BY119" s="697"/>
      <c r="BZ119" s="697"/>
      <c r="CA119" s="697"/>
      <c r="CB119" s="697"/>
      <c r="CC119" s="697"/>
      <c r="CD119" s="697"/>
      <c r="CE119" s="697"/>
      <c r="CF119" s="697"/>
      <c r="CG119" s="697"/>
      <c r="CH119" s="697"/>
      <c r="CI119" s="447"/>
      <c r="CK119" s="33"/>
      <c r="CW119" s="75"/>
      <c r="CX119" s="375"/>
    </row>
    <row r="120" spans="1:102">
      <c r="AX120" s="449"/>
      <c r="AY120" s="449"/>
      <c r="AZ120" s="449"/>
      <c r="BA120" s="449"/>
      <c r="BB120" s="449"/>
      <c r="BC120" s="449"/>
      <c r="BD120" s="449"/>
      <c r="CI120" s="447"/>
      <c r="CJ120" s="178"/>
      <c r="CK120" s="405"/>
      <c r="CL120" s="405"/>
      <c r="CM120" s="405"/>
      <c r="CN120" s="405"/>
      <c r="CO120" s="405"/>
      <c r="CP120" s="405"/>
      <c r="CQ120" s="405"/>
      <c r="CR120" s="405"/>
      <c r="CS120" s="405"/>
      <c r="CT120" s="33"/>
      <c r="CU120" s="33"/>
      <c r="CV120" s="33"/>
    </row>
    <row r="121" spans="1:102">
      <c r="AX121" s="449"/>
      <c r="AY121" s="449"/>
      <c r="AZ121" s="449"/>
      <c r="BA121" s="449"/>
      <c r="BB121" s="449"/>
      <c r="BC121" s="449"/>
      <c r="BD121" s="449"/>
      <c r="CI121" s="447"/>
      <c r="CJ121" s="178"/>
      <c r="CK121" s="406"/>
      <c r="CL121" s="406"/>
      <c r="CM121" s="406"/>
      <c r="CN121" s="406"/>
      <c r="CO121" s="406"/>
      <c r="CP121" s="406"/>
      <c r="CQ121" s="406"/>
      <c r="CR121" s="406"/>
      <c r="CS121" s="406"/>
      <c r="CT121" s="406"/>
      <c r="CU121" s="406"/>
      <c r="CV121" s="406"/>
    </row>
    <row r="122" spans="1:102">
      <c r="AX122" s="449"/>
      <c r="AY122" s="449"/>
      <c r="AZ122" s="449"/>
      <c r="BA122" s="449"/>
      <c r="BB122" s="449"/>
      <c r="BC122" s="449"/>
      <c r="BD122" s="449"/>
      <c r="CI122" s="375"/>
      <c r="CK122" s="33"/>
      <c r="CV122" s="178"/>
      <c r="CW122" s="178"/>
      <c r="CX122" s="178"/>
    </row>
    <row r="123" spans="1:102" ht="15">
      <c r="N123" s="421"/>
      <c r="O123" s="421"/>
      <c r="P123" s="421"/>
      <c r="Q123" s="421"/>
      <c r="R123" s="421"/>
      <c r="S123" s="421"/>
      <c r="T123" s="421"/>
      <c r="U123" s="421"/>
      <c r="V123" s="421"/>
      <c r="W123" s="421"/>
      <c r="X123" s="421"/>
      <c r="Y123" s="421"/>
      <c r="Z123" s="421"/>
      <c r="AA123" s="421"/>
      <c r="AB123" s="421"/>
      <c r="AC123" s="421"/>
      <c r="AD123" s="421"/>
      <c r="AE123" s="421"/>
      <c r="AF123" s="421"/>
      <c r="AG123" s="421"/>
      <c r="AH123" s="421"/>
      <c r="AI123" s="421"/>
      <c r="AJ123" s="421"/>
      <c r="AK123" s="421"/>
      <c r="AL123" s="421"/>
      <c r="AM123" s="421"/>
      <c r="AN123" s="421"/>
      <c r="AO123" s="421"/>
      <c r="AP123" s="421"/>
      <c r="AQ123" s="421"/>
      <c r="AR123" s="421"/>
      <c r="AS123" s="421"/>
      <c r="AT123" s="421"/>
      <c r="AU123" s="421"/>
      <c r="AV123" s="421"/>
      <c r="AW123" s="421"/>
      <c r="AX123" s="421"/>
      <c r="AY123" s="421"/>
      <c r="AZ123" s="421"/>
      <c r="BA123" s="421"/>
      <c r="BB123" s="421"/>
      <c r="BC123" s="421"/>
      <c r="BD123" s="421"/>
      <c r="BE123" s="421"/>
      <c r="BF123" s="421"/>
      <c r="BG123" s="421"/>
      <c r="BH123" s="421"/>
      <c r="BI123" s="421"/>
      <c r="BJ123" s="421"/>
      <c r="BK123" s="421"/>
      <c r="BL123" s="421"/>
      <c r="BM123" s="421"/>
      <c r="BN123" s="421"/>
      <c r="BO123" s="421"/>
      <c r="BP123" s="421"/>
      <c r="BQ123" s="421"/>
      <c r="BR123" s="421"/>
      <c r="BS123" s="421"/>
      <c r="BT123" s="421"/>
      <c r="BU123" s="421"/>
      <c r="BV123" s="421"/>
      <c r="BW123" s="421"/>
      <c r="BX123" s="421"/>
      <c r="BY123" s="421"/>
      <c r="BZ123" s="421"/>
      <c r="CA123" s="421"/>
      <c r="CB123" s="421"/>
      <c r="CC123" s="421"/>
      <c r="CD123" s="421"/>
      <c r="CE123" s="421"/>
      <c r="CF123" s="421"/>
      <c r="CG123" s="421"/>
      <c r="CH123" s="421"/>
      <c r="CI123" s="421"/>
      <c r="CJ123" s="421"/>
      <c r="CK123" s="421"/>
      <c r="CL123" s="421"/>
      <c r="CM123" s="421"/>
      <c r="CN123" s="421"/>
      <c r="CO123" s="421"/>
      <c r="CP123" s="421"/>
      <c r="CQ123" s="421"/>
      <c r="CR123" s="421"/>
      <c r="CS123" s="421"/>
      <c r="CT123" s="421"/>
      <c r="CV123" s="943"/>
      <c r="CW123" s="943"/>
      <c r="CX123" s="943"/>
    </row>
    <row r="124" spans="1:102"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1069"/>
      <c r="BV124" s="1069"/>
      <c r="BW124" s="1069"/>
      <c r="BX124" s="1069"/>
      <c r="BY124" s="1069"/>
      <c r="BZ124" s="1069"/>
      <c r="CA124" s="1069"/>
      <c r="CB124" s="1069"/>
      <c r="CC124" s="75"/>
      <c r="CD124" s="75"/>
      <c r="CE124" s="75"/>
      <c r="CF124" s="75"/>
      <c r="CG124" s="75"/>
      <c r="CH124" s="75"/>
      <c r="CI124" s="450"/>
      <c r="CJ124" s="75"/>
      <c r="CK124" s="75"/>
      <c r="CL124" s="75"/>
      <c r="CM124" s="75"/>
      <c r="CN124" s="75"/>
      <c r="CO124" s="75"/>
      <c r="CP124" s="75"/>
      <c r="CQ124" s="75"/>
      <c r="CR124" s="75"/>
      <c r="CS124" s="75"/>
      <c r="CT124" s="75"/>
    </row>
    <row r="125" spans="1:102">
      <c r="AX125" s="449"/>
      <c r="AY125" s="449"/>
      <c r="AZ125" s="449"/>
      <c r="BA125" s="449"/>
      <c r="BB125" s="449"/>
      <c r="BC125" s="449"/>
      <c r="BD125" s="449"/>
      <c r="BV125" s="474"/>
      <c r="CI125" s="447"/>
      <c r="CK125" s="33"/>
      <c r="CT125" s="75"/>
      <c r="CW125" s="75"/>
      <c r="CX125" s="375"/>
    </row>
    <row r="126" spans="1:102">
      <c r="AX126" s="449"/>
      <c r="AY126" s="449"/>
      <c r="AZ126" s="449"/>
      <c r="BA126" s="449"/>
      <c r="BB126" s="449"/>
      <c r="BC126" s="449"/>
      <c r="BD126" s="449"/>
      <c r="CI126" s="447"/>
      <c r="CK126" s="33"/>
      <c r="CW126" s="75"/>
      <c r="CX126" s="375"/>
    </row>
    <row r="127" spans="1:102">
      <c r="AX127" s="449"/>
      <c r="AY127" s="449"/>
      <c r="AZ127" s="449"/>
      <c r="BA127" s="449"/>
      <c r="BB127" s="449"/>
      <c r="BC127" s="449"/>
      <c r="BD127" s="449"/>
      <c r="CI127" s="450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</row>
    <row r="128" spans="1:102">
      <c r="CI128" s="447"/>
      <c r="CK128" s="33"/>
      <c r="CT128" s="33"/>
    </row>
    <row r="129" spans="27:98">
      <c r="CI129" s="447"/>
      <c r="CK129" s="33"/>
    </row>
    <row r="130" spans="27:98">
      <c r="CI130" s="447"/>
      <c r="CK130" s="293"/>
      <c r="CL130" s="28"/>
      <c r="CM130" s="28"/>
      <c r="CN130" s="293"/>
      <c r="CO130" s="28"/>
      <c r="CP130" s="28"/>
      <c r="CQ130" s="293"/>
      <c r="CR130" s="28"/>
      <c r="CS130" s="28"/>
      <c r="CT130" s="293"/>
    </row>
    <row r="131" spans="27:98">
      <c r="CI131" s="447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</row>
    <row r="132" spans="27:98">
      <c r="BV132" s="1072"/>
      <c r="BW132" s="1073"/>
      <c r="BX132" s="1073"/>
      <c r="BY132" s="1073"/>
      <c r="BZ132" s="1073"/>
      <c r="CA132" s="1073"/>
      <c r="CB132" s="1073"/>
      <c r="CC132" s="1073"/>
      <c r="CD132" s="1073"/>
      <c r="CE132" s="1073"/>
      <c r="CI132" s="447"/>
      <c r="CK132" s="33"/>
      <c r="CT132" s="75"/>
    </row>
    <row r="133" spans="27:98">
      <c r="BV133" s="474"/>
      <c r="BW133" s="1076"/>
      <c r="BX133" s="1076"/>
      <c r="BY133" s="1076"/>
      <c r="BZ133" s="1076"/>
      <c r="CA133" s="1076"/>
      <c r="CB133" s="1076"/>
      <c r="CC133" s="1076"/>
      <c r="CD133" s="1076"/>
      <c r="CE133" s="1076"/>
      <c r="CI133" s="705"/>
      <c r="CJ133" s="422"/>
      <c r="CK133" s="422"/>
      <c r="CL133" s="422"/>
      <c r="CM133" s="422"/>
      <c r="CN133" s="422"/>
      <c r="CO133" s="422"/>
      <c r="CP133" s="422"/>
      <c r="CQ133" s="422"/>
      <c r="CR133" s="422"/>
      <c r="CS133" s="422"/>
      <c r="CT133" s="423"/>
    </row>
    <row r="134" spans="27:98">
      <c r="BV134" s="474"/>
      <c r="CI134" s="705"/>
      <c r="CJ134" s="422"/>
      <c r="CK134" s="422"/>
      <c r="CL134" s="422"/>
      <c r="CM134" s="422"/>
      <c r="CN134" s="422"/>
      <c r="CO134" s="422"/>
      <c r="CP134" s="422"/>
      <c r="CQ134" s="422"/>
      <c r="CR134" s="422"/>
      <c r="CS134" s="422"/>
      <c r="CT134" s="423"/>
    </row>
    <row r="135" spans="27:98">
      <c r="BV135" s="474"/>
      <c r="CI135" s="705"/>
      <c r="CJ135" s="422"/>
      <c r="CK135" s="422"/>
      <c r="CL135" s="422"/>
      <c r="CM135" s="422"/>
      <c r="CN135" s="422"/>
      <c r="CO135" s="422"/>
      <c r="CP135" s="422"/>
      <c r="CQ135" s="422"/>
      <c r="CR135" s="422"/>
      <c r="CS135" s="422"/>
      <c r="CT135" s="423"/>
    </row>
    <row r="136" spans="27:98"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597"/>
      <c r="BF136" s="597"/>
      <c r="BG136" s="597"/>
      <c r="BH136" s="597"/>
      <c r="BI136" s="597"/>
      <c r="BJ136" s="597"/>
      <c r="BK136" s="597"/>
      <c r="BL136" s="597"/>
      <c r="BM136" s="597"/>
      <c r="BN136" s="597"/>
      <c r="BO136" s="597"/>
      <c r="BP136" s="597"/>
      <c r="BQ136" s="597"/>
      <c r="BR136" s="597"/>
      <c r="BS136" s="597"/>
      <c r="BT136" s="597"/>
      <c r="BU136" s="597"/>
      <c r="BV136" s="597"/>
      <c r="BW136" s="1075"/>
      <c r="BX136" s="1075"/>
      <c r="BY136" s="1075"/>
      <c r="BZ136" s="1075"/>
      <c r="CA136" s="1075"/>
      <c r="CB136" s="1075"/>
      <c r="CC136" s="1075"/>
      <c r="CD136" s="1075"/>
      <c r="CE136" s="1075"/>
      <c r="CF136" s="597"/>
      <c r="CG136" s="597"/>
      <c r="CH136" s="597"/>
      <c r="CI136" s="450"/>
      <c r="CJ136" s="75"/>
      <c r="CK136" s="75"/>
      <c r="CL136" s="75"/>
      <c r="CM136" s="75"/>
      <c r="CN136" s="75"/>
      <c r="CO136" s="75"/>
      <c r="CP136" s="75"/>
      <c r="CQ136" s="75"/>
      <c r="CR136" s="75"/>
      <c r="CS136" s="75"/>
      <c r="CT136" s="75"/>
    </row>
    <row r="137" spans="27:98"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597"/>
      <c r="BF137" s="597"/>
      <c r="BG137" s="597"/>
      <c r="BH137" s="597"/>
      <c r="BI137" s="597"/>
      <c r="BJ137" s="597"/>
      <c r="BK137" s="597"/>
      <c r="BL137" s="597"/>
      <c r="BM137" s="597"/>
      <c r="BN137" s="597"/>
      <c r="BO137" s="597"/>
      <c r="BP137" s="597"/>
      <c r="BQ137" s="597"/>
      <c r="BR137" s="597"/>
      <c r="BS137" s="597"/>
      <c r="BT137" s="597"/>
      <c r="BU137" s="597"/>
      <c r="BV137" s="597"/>
      <c r="BW137" s="597"/>
      <c r="BX137" s="597"/>
      <c r="BY137" s="597"/>
      <c r="BZ137" s="597"/>
      <c r="CA137" s="597"/>
      <c r="CB137" s="597"/>
      <c r="CC137" s="597"/>
      <c r="CD137" s="597"/>
      <c r="CE137" s="597"/>
      <c r="CF137" s="597"/>
      <c r="CG137" s="597"/>
      <c r="CH137" s="597"/>
      <c r="CI137" s="450"/>
      <c r="CJ137" s="75"/>
      <c r="CK137" s="75"/>
      <c r="CL137" s="75"/>
      <c r="CM137" s="75"/>
      <c r="CN137" s="75"/>
      <c r="CO137" s="75"/>
      <c r="CP137" s="75"/>
      <c r="CQ137" s="75"/>
      <c r="CR137" s="75"/>
      <c r="CS137" s="75"/>
      <c r="CT137" s="75"/>
    </row>
    <row r="138" spans="27:98"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597"/>
      <c r="BF138" s="597"/>
      <c r="BG138" s="597"/>
      <c r="BH138" s="597"/>
      <c r="BI138" s="597"/>
      <c r="BJ138" s="597"/>
      <c r="BK138" s="597"/>
      <c r="BL138" s="597"/>
      <c r="BM138" s="597"/>
      <c r="BN138" s="597"/>
      <c r="BO138" s="597"/>
      <c r="BP138" s="597"/>
      <c r="BQ138" s="597"/>
      <c r="BR138" s="597"/>
      <c r="BS138" s="597"/>
      <c r="BT138" s="597"/>
      <c r="BU138" s="597"/>
      <c r="BV138" s="597"/>
      <c r="BW138" s="597"/>
      <c r="BX138" s="597"/>
      <c r="BY138" s="597"/>
      <c r="BZ138" s="597"/>
      <c r="CA138" s="597"/>
      <c r="CB138" s="597"/>
      <c r="CC138" s="597"/>
      <c r="CD138" s="597"/>
      <c r="CE138" s="597"/>
      <c r="CF138" s="597"/>
      <c r="CG138" s="597"/>
      <c r="CH138" s="597"/>
      <c r="CI138" s="450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</row>
    <row r="139" spans="27:98"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597"/>
      <c r="BF139" s="597"/>
      <c r="BG139" s="597"/>
      <c r="BH139" s="597"/>
      <c r="BI139" s="597"/>
      <c r="BJ139" s="597"/>
      <c r="BK139" s="597"/>
      <c r="BL139" s="597"/>
      <c r="BM139" s="597"/>
      <c r="BN139" s="597"/>
      <c r="BO139" s="597"/>
      <c r="BP139" s="597"/>
      <c r="BQ139" s="597"/>
      <c r="BR139" s="597"/>
      <c r="BS139" s="597"/>
      <c r="BT139" s="597"/>
      <c r="BU139" s="597"/>
      <c r="BV139" s="597"/>
      <c r="BW139" s="1071"/>
      <c r="BX139" s="1071"/>
      <c r="BY139" s="1071"/>
      <c r="BZ139" s="1071"/>
      <c r="CA139" s="1071"/>
      <c r="CB139" s="1071"/>
      <c r="CC139" s="1071"/>
      <c r="CD139" s="1071"/>
      <c r="CE139" s="1071"/>
      <c r="CF139" s="597"/>
      <c r="CG139" s="597"/>
      <c r="CH139" s="597"/>
      <c r="CI139" s="450"/>
      <c r="CJ139" s="75"/>
      <c r="CK139" s="75"/>
      <c r="CL139" s="75"/>
      <c r="CM139" s="75"/>
      <c r="CN139" s="75"/>
      <c r="CO139" s="75"/>
      <c r="CP139" s="75"/>
      <c r="CQ139" s="75"/>
      <c r="CR139" s="75"/>
      <c r="CS139" s="75"/>
      <c r="CT139" s="75"/>
    </row>
    <row r="140" spans="27:98"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597"/>
      <c r="BF140" s="597"/>
      <c r="BG140" s="597"/>
      <c r="BH140" s="597"/>
      <c r="BI140" s="597"/>
      <c r="BJ140" s="597"/>
      <c r="BK140" s="597"/>
      <c r="BL140" s="597"/>
      <c r="BM140" s="597"/>
      <c r="BN140" s="597"/>
      <c r="BO140" s="597"/>
      <c r="BP140" s="597"/>
      <c r="BQ140" s="597"/>
      <c r="BR140" s="597"/>
      <c r="BS140" s="597"/>
      <c r="BT140" s="597"/>
      <c r="BU140" s="597"/>
      <c r="BV140" s="597"/>
      <c r="BW140" s="597"/>
      <c r="BX140" s="597"/>
      <c r="BY140" s="597"/>
      <c r="BZ140" s="597"/>
      <c r="CA140" s="597"/>
      <c r="CB140" s="597"/>
      <c r="CC140" s="597"/>
      <c r="CD140" s="597"/>
      <c r="CE140" s="597"/>
      <c r="CF140" s="597"/>
      <c r="CG140" s="597"/>
      <c r="CH140" s="597"/>
      <c r="CI140" s="450"/>
      <c r="CJ140" s="75"/>
      <c r="CK140" s="75"/>
      <c r="CL140" s="75"/>
      <c r="CM140" s="75"/>
      <c r="CN140" s="75"/>
      <c r="CO140" s="75"/>
      <c r="CP140" s="75"/>
      <c r="CQ140" s="75"/>
      <c r="CR140" s="75"/>
      <c r="CS140" s="75"/>
      <c r="CT140" s="75"/>
    </row>
    <row r="141" spans="27:98">
      <c r="BV141" s="474"/>
      <c r="CI141" s="706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</row>
    <row r="142" spans="27:98">
      <c r="CI142" s="706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</row>
    <row r="143" spans="27:98">
      <c r="BV143" s="605"/>
      <c r="BW143" s="605"/>
      <c r="BX143" s="1070"/>
      <c r="BY143" s="1070"/>
      <c r="BZ143" s="1070"/>
      <c r="CA143" s="1070"/>
      <c r="CB143" s="1070"/>
      <c r="CC143" s="1070"/>
      <c r="CD143" s="1070"/>
      <c r="CE143" s="1070"/>
      <c r="CI143" s="547"/>
      <c r="CJ143" s="425"/>
      <c r="CK143" s="425"/>
      <c r="CL143" s="425"/>
      <c r="CM143" s="425"/>
      <c r="CN143" s="425"/>
      <c r="CO143" s="425"/>
      <c r="CP143" s="425"/>
      <c r="CQ143" s="425"/>
      <c r="CR143" s="425"/>
      <c r="CS143" s="425"/>
      <c r="CT143" s="425"/>
    </row>
    <row r="144" spans="27:98">
      <c r="CI144" s="375"/>
      <c r="CJ144"/>
    </row>
    <row r="145" spans="27:98"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597"/>
      <c r="BF145" s="597"/>
      <c r="BG145" s="597"/>
      <c r="BH145" s="597"/>
      <c r="BI145" s="597"/>
      <c r="BJ145" s="597"/>
      <c r="BK145" s="597"/>
      <c r="BL145" s="597"/>
      <c r="BM145" s="597"/>
      <c r="BN145" s="597"/>
      <c r="BO145" s="597"/>
      <c r="BP145" s="597"/>
      <c r="BQ145" s="597"/>
      <c r="BR145" s="597"/>
      <c r="BS145" s="597"/>
      <c r="BT145" s="597"/>
      <c r="BU145" s="597"/>
      <c r="BV145" s="597"/>
      <c r="BW145" s="597"/>
      <c r="BX145" s="597"/>
      <c r="BY145" s="597"/>
      <c r="BZ145" s="597"/>
      <c r="CA145" s="597"/>
      <c r="CB145" s="597"/>
      <c r="CC145" s="597"/>
      <c r="CD145" s="597"/>
      <c r="CE145" s="597"/>
      <c r="CF145" s="597"/>
      <c r="CG145" s="597"/>
      <c r="CH145" s="597"/>
      <c r="CI145" s="547"/>
      <c r="CJ145" s="425"/>
      <c r="CK145" s="425"/>
      <c r="CL145" s="425"/>
      <c r="CM145" s="425"/>
      <c r="CN145" s="425"/>
      <c r="CO145" s="425"/>
      <c r="CP145" s="425"/>
      <c r="CQ145" s="425"/>
      <c r="CR145" s="425"/>
      <c r="CS145" s="425"/>
      <c r="CT145" s="425"/>
    </row>
    <row r="146" spans="27:98">
      <c r="CK146" s="33"/>
    </row>
    <row r="147" spans="27:98"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597"/>
      <c r="BF147" s="597"/>
      <c r="BG147" s="597"/>
      <c r="BH147" s="597"/>
      <c r="BI147" s="597"/>
      <c r="BJ147" s="597"/>
      <c r="BK147" s="597"/>
      <c r="BL147" s="597"/>
      <c r="BM147" s="597"/>
      <c r="BN147" s="597"/>
      <c r="BO147" s="597"/>
      <c r="BP147" s="597"/>
      <c r="BQ147" s="597"/>
      <c r="BR147" s="597"/>
      <c r="BS147" s="597"/>
      <c r="BT147" s="597"/>
      <c r="BU147" s="597"/>
      <c r="BV147" s="597"/>
      <c r="BW147" s="597"/>
      <c r="BX147" s="597"/>
      <c r="BY147" s="597"/>
      <c r="BZ147" s="597"/>
      <c r="CA147" s="597"/>
      <c r="CB147" s="597"/>
      <c r="CC147" s="597"/>
      <c r="CD147" s="597"/>
      <c r="CE147" s="597"/>
      <c r="CF147" s="597"/>
      <c r="CG147" s="597"/>
      <c r="CH147" s="597"/>
      <c r="CI147" s="424"/>
      <c r="CJ147" s="424"/>
      <c r="CK147" s="424"/>
      <c r="CL147" s="424"/>
      <c r="CM147" s="424"/>
      <c r="CN147" s="424"/>
      <c r="CO147" s="424"/>
      <c r="CP147" s="424"/>
      <c r="CQ147" s="424"/>
      <c r="CR147" s="424"/>
      <c r="CS147" s="424"/>
      <c r="CT147" s="424"/>
    </row>
    <row r="148" spans="27:98">
      <c r="CK148" s="33"/>
    </row>
    <row r="149" spans="27:98"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597"/>
      <c r="BF149" s="597"/>
      <c r="BG149" s="597"/>
      <c r="BH149" s="597"/>
      <c r="BI149" s="597"/>
      <c r="BJ149" s="597"/>
      <c r="BK149" s="597"/>
      <c r="BL149" s="597"/>
      <c r="BM149" s="597"/>
      <c r="BN149" s="597"/>
      <c r="BO149" s="597"/>
      <c r="BP149" s="597"/>
      <c r="BQ149" s="597"/>
      <c r="BR149" s="597"/>
      <c r="BS149" s="597"/>
      <c r="BT149" s="597"/>
      <c r="BU149" s="597"/>
      <c r="BV149" s="597"/>
      <c r="BW149" s="597"/>
      <c r="BX149" s="597"/>
      <c r="BY149" s="597"/>
      <c r="BZ149" s="597"/>
      <c r="CA149" s="597"/>
      <c r="CB149" s="597"/>
      <c r="CC149" s="597"/>
      <c r="CD149" s="597"/>
      <c r="CE149" s="597"/>
      <c r="CF149" s="597"/>
      <c r="CG149" s="597"/>
      <c r="CH149" s="597"/>
      <c r="CI149" s="424"/>
      <c r="CJ149" s="424"/>
      <c r="CK149" s="424"/>
      <c r="CL149" s="424"/>
      <c r="CM149" s="424"/>
      <c r="CN149" s="424"/>
      <c r="CO149" s="424"/>
      <c r="CP149" s="424"/>
      <c r="CQ149" s="424"/>
      <c r="CR149" s="424"/>
      <c r="CS149" s="424"/>
      <c r="CT149" s="424"/>
    </row>
    <row r="153" spans="27:98"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597"/>
      <c r="BF153" s="597"/>
      <c r="BG153" s="597"/>
      <c r="BH153" s="597"/>
      <c r="BI153" s="597"/>
      <c r="BJ153" s="597"/>
      <c r="BK153" s="597"/>
      <c r="BL153" s="597"/>
      <c r="BM153" s="597"/>
      <c r="BN153" s="597"/>
      <c r="BO153" s="597"/>
      <c r="BP153" s="597"/>
      <c r="BQ153" s="597"/>
      <c r="BR153" s="597"/>
      <c r="BS153" s="597"/>
      <c r="BT153" s="597"/>
      <c r="BU153" s="597"/>
      <c r="BV153" s="597"/>
      <c r="BW153" s="597"/>
      <c r="BX153" s="597"/>
      <c r="BY153" s="597"/>
      <c r="BZ153" s="597"/>
      <c r="CA153" s="597"/>
      <c r="CB153" s="597"/>
      <c r="CC153" s="597"/>
      <c r="CD153" s="597"/>
      <c r="CE153" s="597"/>
      <c r="CF153" s="597"/>
      <c r="CG153" s="597"/>
      <c r="CH153" s="597"/>
      <c r="CI153" s="424"/>
    </row>
    <row r="154" spans="27:98"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597"/>
      <c r="BF154" s="597"/>
      <c r="BG154" s="597"/>
      <c r="BH154" s="597"/>
      <c r="BI154" s="597"/>
      <c r="BJ154" s="597"/>
      <c r="BK154" s="597"/>
      <c r="BL154" s="597"/>
      <c r="BM154" s="597"/>
      <c r="BN154" s="597"/>
      <c r="BO154" s="597"/>
      <c r="BP154" s="597"/>
      <c r="BQ154" s="597"/>
      <c r="BR154" s="597"/>
      <c r="BS154" s="597"/>
      <c r="BT154" s="597"/>
      <c r="BU154" s="597"/>
      <c r="BV154" s="597"/>
      <c r="BW154" s="597"/>
      <c r="BX154" s="597"/>
      <c r="BY154" s="597"/>
      <c r="BZ154" s="597"/>
      <c r="CA154" s="597"/>
      <c r="CB154" s="597"/>
      <c r="CC154" s="597"/>
      <c r="CD154" s="597"/>
      <c r="CE154" s="597"/>
      <c r="CF154" s="597"/>
      <c r="CG154" s="597"/>
      <c r="CH154" s="597"/>
      <c r="CI154" s="424"/>
    </row>
    <row r="155" spans="27:98"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597"/>
      <c r="BF155" s="597"/>
      <c r="BG155" s="597"/>
      <c r="BH155" s="597"/>
      <c r="BI155" s="597"/>
      <c r="BJ155" s="597"/>
      <c r="BK155" s="597"/>
      <c r="BL155" s="597"/>
      <c r="BM155" s="597"/>
      <c r="BN155" s="597"/>
      <c r="BO155" s="597"/>
      <c r="BP155" s="597"/>
      <c r="BQ155" s="597"/>
      <c r="BR155" s="597"/>
      <c r="BS155" s="597"/>
      <c r="BT155" s="597"/>
      <c r="BU155" s="597"/>
      <c r="BV155" s="597"/>
      <c r="BW155" s="597"/>
      <c r="BX155" s="597"/>
      <c r="BY155" s="597"/>
      <c r="BZ155" s="597"/>
      <c r="CA155" s="597"/>
      <c r="CB155" s="597"/>
      <c r="CC155" s="597"/>
      <c r="CD155" s="597"/>
      <c r="CE155" s="597"/>
      <c r="CF155" s="597"/>
      <c r="CG155" s="597"/>
      <c r="CH155" s="597"/>
      <c r="CI155" s="424"/>
    </row>
  </sheetData>
  <phoneticPr fontId="0" type="noConversion"/>
  <printOptions horizontalCentered="1"/>
  <pageMargins left="0.25" right="0.25" top="0.75" bottom="0.75" header="0.3" footer="0.3"/>
  <pageSetup paperSize="5" scale="35" orientation="landscape" blackAndWhite="1" r:id="rId1"/>
  <headerFooter alignWithMargins="0">
    <oddFooter>&amp;L&amp;Z&amp;F
&amp;D</oddFooter>
  </headerFooter>
  <rowBreaks count="1" manualBreakCount="1">
    <brk id="55" max="35" man="1"/>
  </rowBreaks>
  <customProperties>
    <customPr name="FPMExcelClientCellBasedFunctionStatus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44"/>
  <sheetViews>
    <sheetView workbookViewId="0">
      <selection activeCell="D13" sqref="D13:L13"/>
    </sheetView>
  </sheetViews>
  <sheetFormatPr defaultRowHeight="12.75"/>
  <cols>
    <col min="2" max="2" width="13.85546875" bestFit="1" customWidth="1"/>
    <col min="3" max="3" width="13.85546875" customWidth="1"/>
    <col min="4" max="12" width="15" bestFit="1" customWidth="1"/>
    <col min="17" max="18" width="11.28515625" bestFit="1" customWidth="1"/>
  </cols>
  <sheetData>
    <row r="1" spans="1:18">
      <c r="C1" s="375" t="s">
        <v>235</v>
      </c>
      <c r="D1" s="375" t="s">
        <v>236</v>
      </c>
      <c r="E1" s="375" t="s">
        <v>237</v>
      </c>
      <c r="F1" s="375" t="s">
        <v>238</v>
      </c>
      <c r="G1" s="375" t="s">
        <v>239</v>
      </c>
      <c r="H1" s="375" t="s">
        <v>240</v>
      </c>
      <c r="I1" s="375" t="s">
        <v>241</v>
      </c>
      <c r="J1" s="375" t="s">
        <v>242</v>
      </c>
      <c r="K1" s="375" t="s">
        <v>243</v>
      </c>
      <c r="L1" s="375" t="s">
        <v>244</v>
      </c>
      <c r="M1" s="375" t="s">
        <v>245</v>
      </c>
      <c r="N1" s="375" t="s">
        <v>246</v>
      </c>
      <c r="O1" s="375" t="s">
        <v>235</v>
      </c>
    </row>
    <row r="2" spans="1:18">
      <c r="A2">
        <v>2330713</v>
      </c>
      <c r="B2" s="375" t="s">
        <v>1237</v>
      </c>
      <c r="C2" s="375"/>
      <c r="D2" s="174">
        <v>568937508.05012095</v>
      </c>
      <c r="E2" s="174">
        <v>570855190.35012102</v>
      </c>
      <c r="F2" s="174">
        <v>572772872.65012097</v>
      </c>
      <c r="G2" s="174">
        <v>574689816.370121</v>
      </c>
      <c r="H2" s="174">
        <v>576606760.03012097</v>
      </c>
      <c r="I2" s="174">
        <v>578523703.69000006</v>
      </c>
      <c r="J2" s="174">
        <v>580440647.35000002</v>
      </c>
      <c r="K2" s="174">
        <v>582357591.00999999</v>
      </c>
      <c r="L2" s="174">
        <v>584274534.669999</v>
      </c>
      <c r="M2" s="174"/>
      <c r="N2" s="174"/>
      <c r="O2" s="174"/>
      <c r="P2" s="375" t="s">
        <v>96</v>
      </c>
    </row>
    <row r="3" spans="1:18">
      <c r="B3" s="375" t="s">
        <v>1236</v>
      </c>
      <c r="C3" s="447">
        <f>'[8]BS ACCTS'!$DK$251*1000</f>
        <v>166097200</v>
      </c>
      <c r="D3" s="174">
        <f>D6-D2</f>
        <v>200773221.18052709</v>
      </c>
      <c r="E3" s="174">
        <f t="shared" ref="E3:L3" si="0">E6-E2</f>
        <v>249638201.69351304</v>
      </c>
      <c r="F3" s="174">
        <f t="shared" si="0"/>
        <v>267473985.34790206</v>
      </c>
      <c r="G3" s="174">
        <f t="shared" si="0"/>
        <v>289275106.00232399</v>
      </c>
      <c r="H3" s="174">
        <f t="shared" si="0"/>
        <v>294649324.64084506</v>
      </c>
      <c r="I3" s="174">
        <f t="shared" si="0"/>
        <v>312864535.22041392</v>
      </c>
      <c r="J3" s="174">
        <f t="shared" si="0"/>
        <v>331982760.13961303</v>
      </c>
      <c r="K3" s="174">
        <f t="shared" si="0"/>
        <v>328929052.97220206</v>
      </c>
      <c r="L3" s="174">
        <f t="shared" si="0"/>
        <v>338728737.25913095</v>
      </c>
      <c r="M3" s="174"/>
      <c r="N3" s="174"/>
      <c r="O3" s="174"/>
      <c r="P3" s="375" t="s">
        <v>97</v>
      </c>
    </row>
    <row r="4" spans="1:18" ht="13.5" thickBot="1">
      <c r="D4" s="1101">
        <f>SUM(D2:D3)</f>
        <v>769710729.23064804</v>
      </c>
      <c r="E4" s="1101">
        <f t="shared" ref="E4:L4" si="1">SUM(E2:E3)</f>
        <v>820493392.04363406</v>
      </c>
      <c r="F4" s="1101">
        <f t="shared" si="1"/>
        <v>840246857.99802303</v>
      </c>
      <c r="G4" s="1101">
        <f t="shared" si="1"/>
        <v>863964922.37244499</v>
      </c>
      <c r="H4" s="1101">
        <f t="shared" si="1"/>
        <v>871256084.67096603</v>
      </c>
      <c r="I4" s="1101">
        <f t="shared" si="1"/>
        <v>891388238.91041398</v>
      </c>
      <c r="J4" s="1101">
        <f t="shared" si="1"/>
        <v>912423407.48961306</v>
      </c>
      <c r="K4" s="1101">
        <f t="shared" si="1"/>
        <v>911286643.98220205</v>
      </c>
      <c r="L4" s="1101">
        <f t="shared" si="1"/>
        <v>923003271.92912996</v>
      </c>
      <c r="M4" s="174"/>
      <c r="N4" s="174"/>
      <c r="O4" s="174"/>
    </row>
    <row r="5" spans="1:18" ht="13.5" thickTop="1"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</row>
    <row r="6" spans="1:18">
      <c r="A6" s="375" t="s">
        <v>1255</v>
      </c>
      <c r="D6" s="174">
        <f>VLOOKUP("A_2330713",'[8]Data 2023 BUDGET DL'!$1:$1048576,3,FALSE)</f>
        <v>769710729.23064804</v>
      </c>
      <c r="E6" s="174">
        <f>VLOOKUP("A_2330713",'[8]Data 2023 BUDGET DL'!$1:$1048576,4,FALSE)</f>
        <v>820493392.04363406</v>
      </c>
      <c r="F6" s="174">
        <f>VLOOKUP("A_2330713",'[8]Data 2023 BUDGET DL'!$1:$1048576,5,FALSE)</f>
        <v>840246857.99802303</v>
      </c>
      <c r="G6" s="174">
        <f>VLOOKUP("A_2330713",'[8]Data 2023 BUDGET DL'!$1:$1048576,6,FALSE)</f>
        <v>863964922.37244499</v>
      </c>
      <c r="H6" s="174">
        <f>VLOOKUP("A_2330713",'[8]Data 2023 BUDGET DL'!$1:$1048576,7,FALSE)</f>
        <v>871256084.67096603</v>
      </c>
      <c r="I6" s="174">
        <f>VLOOKUP("A_2330713",'[8]Data 2023 BUDGET DL'!$1:$1048576,8,FALSE)</f>
        <v>891388238.91041398</v>
      </c>
      <c r="J6" s="174">
        <f>VLOOKUP("A_2330713",'[8]Data 2023 BUDGET DL'!$1:$1048576,9,FALSE)</f>
        <v>912423407.48961306</v>
      </c>
      <c r="K6" s="174">
        <f>VLOOKUP("A_2330713",'[8]Data 2023 BUDGET DL'!$1:$1048576,10,FALSE)</f>
        <v>911286643.98220205</v>
      </c>
      <c r="L6" s="174">
        <f>VLOOKUP("A_2330713",'[8]Data 2023 BUDGET DL'!$1:$1048576,11,FALSE)</f>
        <v>923003271.92912996</v>
      </c>
      <c r="M6" s="174"/>
      <c r="N6" s="174"/>
      <c r="O6" s="174"/>
    </row>
    <row r="7" spans="1:18">
      <c r="A7" s="375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</row>
    <row r="8" spans="1:18">
      <c r="A8" s="375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Q8" s="174"/>
    </row>
    <row r="9" spans="1:18">
      <c r="A9" s="375" t="s">
        <v>1240</v>
      </c>
      <c r="D9" s="174">
        <f>D3/1000</f>
        <v>200773.22118052709</v>
      </c>
      <c r="E9" s="174">
        <f t="shared" ref="E9:L9" si="2">E3/1000</f>
        <v>249638.20169351302</v>
      </c>
      <c r="F9" s="174">
        <f t="shared" si="2"/>
        <v>267473.98534790205</v>
      </c>
      <c r="G9" s="174">
        <f t="shared" si="2"/>
        <v>289275.10600232397</v>
      </c>
      <c r="H9" s="174">
        <f t="shared" si="2"/>
        <v>294649.32464084507</v>
      </c>
      <c r="I9" s="174">
        <f t="shared" si="2"/>
        <v>312864.53522041393</v>
      </c>
      <c r="J9" s="174">
        <f t="shared" si="2"/>
        <v>331982.760139613</v>
      </c>
      <c r="K9" s="174">
        <f t="shared" si="2"/>
        <v>328929.05297220207</v>
      </c>
      <c r="L9" s="174">
        <f t="shared" si="2"/>
        <v>338728.73725913098</v>
      </c>
      <c r="M9" s="174"/>
      <c r="N9" s="174"/>
      <c r="O9" s="174"/>
      <c r="Q9" s="174"/>
      <c r="R9" s="174">
        <v>336113.79638000001</v>
      </c>
    </row>
    <row r="10" spans="1:18"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Q10" s="174"/>
      <c r="R10" s="174">
        <f>'[8]BS ACCTS'!$DU$251</f>
        <v>112693.70830845693</v>
      </c>
    </row>
    <row r="11" spans="1:18">
      <c r="A11" s="375" t="s">
        <v>1238</v>
      </c>
      <c r="D11" s="449">
        <v>1917682.3000000999</v>
      </c>
      <c r="E11" s="174">
        <f>E2-D2</f>
        <v>1917682.3000000715</v>
      </c>
      <c r="F11" s="174">
        <f t="shared" ref="F11:L11" si="3">F2-E2</f>
        <v>1917682.2999999523</v>
      </c>
      <c r="G11" s="174">
        <f t="shared" si="3"/>
        <v>1916943.7200000286</v>
      </c>
      <c r="H11" s="174">
        <f t="shared" si="3"/>
        <v>1916943.6599999666</v>
      </c>
      <c r="I11" s="174">
        <f t="shared" si="3"/>
        <v>1916943.6598790884</v>
      </c>
      <c r="J11" s="174">
        <f t="shared" si="3"/>
        <v>1916943.6599999666</v>
      </c>
      <c r="K11" s="174">
        <f t="shared" si="3"/>
        <v>1916943.6599999666</v>
      </c>
      <c r="L11" s="174">
        <f t="shared" si="3"/>
        <v>1916943.6599990129</v>
      </c>
      <c r="M11" s="174"/>
      <c r="N11" s="174"/>
      <c r="O11" s="174"/>
      <c r="R11" s="174">
        <f>SUM(R9:R10)</f>
        <v>448807.50468845695</v>
      </c>
    </row>
    <row r="12" spans="1:18"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</row>
    <row r="13" spans="1:18">
      <c r="A13" s="375" t="s">
        <v>1239</v>
      </c>
      <c r="D13" s="174">
        <f>AVERAGE(C3:D3)*3.8%/12</f>
        <v>580878.16686916782</v>
      </c>
      <c r="E13" s="174">
        <f t="shared" ref="E13:L13" si="4">AVERAGE(D3:E3)*3.8%/12</f>
        <v>713151.41955056356</v>
      </c>
      <c r="F13" s="174">
        <f t="shared" si="4"/>
        <v>818760.9628155739</v>
      </c>
      <c r="G13" s="174">
        <f t="shared" si="4"/>
        <v>881519.39463785791</v>
      </c>
      <c r="H13" s="174">
        <f t="shared" si="4"/>
        <v>924547.0151850176</v>
      </c>
      <c r="I13" s="174">
        <f t="shared" si="4"/>
        <v>961896.9447803268</v>
      </c>
      <c r="J13" s="174">
        <f t="shared" si="4"/>
        <v>1021008.2176533761</v>
      </c>
      <c r="K13" s="174">
        <f t="shared" si="4"/>
        <v>1046443.7040937073</v>
      </c>
      <c r="L13" s="174">
        <f t="shared" si="4"/>
        <v>1057124.8345329438</v>
      </c>
      <c r="M13" s="174"/>
      <c r="N13" s="174"/>
      <c r="O13" s="174"/>
      <c r="R13" s="423">
        <f>R11/2</f>
        <v>224403.75234422847</v>
      </c>
    </row>
    <row r="14" spans="1:18">
      <c r="A14" s="425">
        <v>3.7999999999999999E-2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R14" s="423">
        <f>R13*3.8%/12</f>
        <v>710.61188242339006</v>
      </c>
    </row>
    <row r="15" spans="1:18"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</row>
    <row r="16" spans="1:18">
      <c r="B16" s="375" t="s">
        <v>1243</v>
      </c>
      <c r="C16" s="375"/>
      <c r="D16" s="174">
        <f>D2/1000-D22</f>
        <v>541.53891012095846</v>
      </c>
      <c r="E16" s="174">
        <f t="shared" ref="E16:L16" si="5">E2/1000-E22</f>
        <v>2451.2212101210607</v>
      </c>
      <c r="F16" s="174">
        <f t="shared" si="5"/>
        <v>4360.9035101210466</v>
      </c>
      <c r="G16" s="174">
        <f t="shared" si="5"/>
        <v>6269.8472301210277</v>
      </c>
      <c r="H16" s="174">
        <f t="shared" si="5"/>
        <v>8178.7908901210176</v>
      </c>
      <c r="I16" s="174">
        <f t="shared" si="5"/>
        <v>10087.734550000168</v>
      </c>
      <c r="J16" s="174">
        <f t="shared" si="5"/>
        <v>11996.678210000042</v>
      </c>
      <c r="K16" s="174">
        <f t="shared" si="5"/>
        <v>13905.621870000032</v>
      </c>
      <c r="L16" s="174">
        <f t="shared" si="5"/>
        <v>15814.56552999909</v>
      </c>
      <c r="M16" s="174"/>
      <c r="N16" s="174"/>
      <c r="O16" s="174"/>
    </row>
    <row r="17" spans="1:15"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</row>
    <row r="18" spans="1:15">
      <c r="B18" s="375" t="s">
        <v>1244</v>
      </c>
      <c r="C18" s="375"/>
      <c r="D18" s="174">
        <f>SUM(D16)</f>
        <v>541.53891012095846</v>
      </c>
      <c r="E18" s="174">
        <f>SUM($D16:E16)</f>
        <v>2992.7601202420192</v>
      </c>
      <c r="F18" s="174">
        <f>SUM($D16:F16)</f>
        <v>7353.6636303630657</v>
      </c>
      <c r="G18" s="174">
        <f>SUM($D16:G16)</f>
        <v>13623.510860484093</v>
      </c>
      <c r="H18" s="174">
        <f>SUM($D16:H16)</f>
        <v>21802.301750605111</v>
      </c>
      <c r="I18" s="174">
        <f>SUM($D16:I16)</f>
        <v>31890.036300605279</v>
      </c>
      <c r="J18" s="174">
        <f>SUM($D16:J16)</f>
        <v>43886.714510605321</v>
      </c>
      <c r="K18" s="174">
        <f>SUM($D16:K16)</f>
        <v>57792.336380605353</v>
      </c>
      <c r="L18" s="174">
        <f>SUM($D16:L16)</f>
        <v>73606.901910604443</v>
      </c>
      <c r="M18" s="174"/>
      <c r="N18" s="174"/>
      <c r="O18" s="174"/>
    </row>
    <row r="19" spans="1:15"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</row>
    <row r="20" spans="1:15">
      <c r="A20" s="375" t="s">
        <v>1245</v>
      </c>
      <c r="B20" s="375" t="s">
        <v>1246</v>
      </c>
      <c r="C20" s="375"/>
      <c r="D20" s="174">
        <v>570000</v>
      </c>
      <c r="E20" s="174">
        <v>570000</v>
      </c>
      <c r="F20" s="174">
        <v>570000</v>
      </c>
      <c r="G20" s="174">
        <v>570000</v>
      </c>
      <c r="H20" s="174">
        <v>570000</v>
      </c>
      <c r="I20" s="174">
        <v>570000</v>
      </c>
      <c r="J20" s="174">
        <v>570000</v>
      </c>
      <c r="K20" s="174">
        <v>570000</v>
      </c>
      <c r="L20" s="174">
        <v>570000</v>
      </c>
      <c r="M20" s="174"/>
      <c r="N20" s="174"/>
      <c r="O20" s="174"/>
    </row>
    <row r="21" spans="1:15">
      <c r="B21" s="375" t="s">
        <v>1247</v>
      </c>
      <c r="C21" s="375"/>
      <c r="D21" s="174">
        <f>'Bal Sheet'!BW67</f>
        <v>-1604.0308600000001</v>
      </c>
      <c r="E21" s="174">
        <f>'Bal Sheet'!BX67</f>
        <v>-1596.0308600000001</v>
      </c>
      <c r="F21" s="174">
        <f>'Bal Sheet'!BY67</f>
        <v>-1588.0308600000001</v>
      </c>
      <c r="G21" s="174">
        <f>'Bal Sheet'!BZ67</f>
        <v>-1580.0308600000001</v>
      </c>
      <c r="H21" s="174">
        <f>'Bal Sheet'!CA67</f>
        <v>-1572.0308600000001</v>
      </c>
      <c r="I21" s="174">
        <f>'Bal Sheet'!CB67</f>
        <v>-1564.0308600000001</v>
      </c>
      <c r="J21" s="174">
        <f>'Bal Sheet'!CC67</f>
        <v>-1556.0308600000001</v>
      </c>
      <c r="K21" s="174">
        <f>'Bal Sheet'!CD67</f>
        <v>-1548.0308600000001</v>
      </c>
      <c r="L21" s="174">
        <f>'Bal Sheet'!CE67</f>
        <v>-1540.0308600000001</v>
      </c>
      <c r="M21" s="174"/>
      <c r="N21" s="174"/>
      <c r="O21" s="174"/>
    </row>
    <row r="22" spans="1:15" ht="13.5" thickBot="1">
      <c r="D22" s="1101">
        <f>SUM(D20:D21)</f>
        <v>568395.96913999994</v>
      </c>
      <c r="E22" s="1101">
        <f t="shared" ref="E22:L22" si="6">SUM(E20:E21)</f>
        <v>568403.96913999994</v>
      </c>
      <c r="F22" s="1101">
        <f t="shared" si="6"/>
        <v>568411.96913999994</v>
      </c>
      <c r="G22" s="1101">
        <f t="shared" si="6"/>
        <v>568419.96913999994</v>
      </c>
      <c r="H22" s="1101">
        <f t="shared" si="6"/>
        <v>568427.96913999994</v>
      </c>
      <c r="I22" s="1101">
        <f t="shared" si="6"/>
        <v>568435.96913999994</v>
      </c>
      <c r="J22" s="1101">
        <f t="shared" si="6"/>
        <v>568443.96913999994</v>
      </c>
      <c r="K22" s="1101">
        <f t="shared" si="6"/>
        <v>568451.96913999994</v>
      </c>
      <c r="L22" s="1101">
        <f t="shared" si="6"/>
        <v>568459.96913999994</v>
      </c>
      <c r="M22" s="174"/>
      <c r="N22" s="174"/>
      <c r="O22" s="174"/>
    </row>
    <row r="23" spans="1:15" ht="13.5" thickTop="1">
      <c r="D23" s="1104"/>
      <c r="E23" s="1104"/>
      <c r="F23" s="1104"/>
      <c r="G23" s="1104"/>
      <c r="H23" s="1104"/>
      <c r="I23" s="1104"/>
      <c r="J23" s="1104"/>
      <c r="K23" s="1104"/>
      <c r="L23" s="1104"/>
      <c r="M23" s="174"/>
      <c r="N23" s="174"/>
      <c r="O23" s="174"/>
    </row>
    <row r="24" spans="1:15">
      <c r="A24" s="375" t="s">
        <v>1245</v>
      </c>
      <c r="B24" s="375" t="s">
        <v>1207</v>
      </c>
      <c r="C24" s="375"/>
      <c r="D24" s="1104">
        <f t="shared" ref="D24:L24" si="7">D16</f>
        <v>541.53891012095846</v>
      </c>
      <c r="E24" s="1104">
        <f t="shared" si="7"/>
        <v>2451.2212101210607</v>
      </c>
      <c r="F24" s="1104">
        <f t="shared" si="7"/>
        <v>4360.9035101210466</v>
      </c>
      <c r="G24" s="1104">
        <f t="shared" si="7"/>
        <v>6269.8472301210277</v>
      </c>
      <c r="H24" s="1104">
        <f t="shared" si="7"/>
        <v>8178.7908901210176</v>
      </c>
      <c r="I24" s="1104">
        <f t="shared" si="7"/>
        <v>10087.734550000168</v>
      </c>
      <c r="J24" s="1104">
        <f t="shared" si="7"/>
        <v>11996.678210000042</v>
      </c>
      <c r="K24" s="1104">
        <f t="shared" si="7"/>
        <v>13905.621870000032</v>
      </c>
      <c r="L24" s="1104">
        <f t="shared" si="7"/>
        <v>15814.56552999909</v>
      </c>
      <c r="M24" s="174"/>
      <c r="N24" s="174"/>
      <c r="O24" s="174"/>
    </row>
    <row r="25" spans="1:15">
      <c r="A25" s="375"/>
      <c r="B25" s="375"/>
      <c r="C25" s="375"/>
      <c r="D25" s="1104"/>
      <c r="E25" s="1104"/>
      <c r="F25" s="1104"/>
      <c r="G25" s="1104"/>
      <c r="H25" s="1104"/>
      <c r="I25" s="1104"/>
      <c r="J25" s="1104"/>
      <c r="K25" s="1104"/>
      <c r="L25" s="1104"/>
      <c r="M25" s="174"/>
      <c r="N25" s="174"/>
      <c r="O25" s="174"/>
    </row>
    <row r="26" spans="1:15">
      <c r="A26" s="375"/>
      <c r="B26" s="375"/>
      <c r="C26" s="375"/>
      <c r="D26" s="1104"/>
      <c r="E26" s="1104"/>
      <c r="F26" s="1104"/>
      <c r="G26" s="1104"/>
      <c r="H26" s="1104"/>
      <c r="I26" s="1104"/>
      <c r="J26" s="1104"/>
      <c r="K26" s="1104"/>
      <c r="L26" s="1104"/>
      <c r="M26" s="174"/>
      <c r="N26" s="174"/>
      <c r="O26" s="174"/>
    </row>
    <row r="27" spans="1:15">
      <c r="A27" s="375"/>
      <c r="B27" s="375"/>
      <c r="C27" s="375"/>
      <c r="D27" s="1104"/>
      <c r="E27" s="1104"/>
      <c r="F27" s="1104"/>
      <c r="G27" s="1104"/>
      <c r="H27" s="1104"/>
      <c r="I27" s="1104"/>
      <c r="J27" s="1104"/>
      <c r="K27" s="1104"/>
      <c r="L27" s="1104"/>
      <c r="M27" s="174"/>
      <c r="N27" s="174"/>
      <c r="O27" s="174"/>
    </row>
    <row r="28" spans="1:15">
      <c r="A28" s="375" t="s">
        <v>1240</v>
      </c>
      <c r="B28" s="375" t="s">
        <v>1248</v>
      </c>
      <c r="C28" s="375"/>
      <c r="D28" s="1104">
        <f>D9</f>
        <v>200773.22118052709</v>
      </c>
      <c r="E28" s="1104">
        <f t="shared" ref="E28:L28" si="8">E9</f>
        <v>249638.20169351302</v>
      </c>
      <c r="F28" s="1104">
        <f t="shared" si="8"/>
        <v>267473.98534790205</v>
      </c>
      <c r="G28" s="1104">
        <f t="shared" si="8"/>
        <v>289275.10600232397</v>
      </c>
      <c r="H28" s="1104">
        <f t="shared" si="8"/>
        <v>294649.32464084507</v>
      </c>
      <c r="I28" s="1104">
        <f t="shared" si="8"/>
        <v>312864.53522041393</v>
      </c>
      <c r="J28" s="1104">
        <f t="shared" si="8"/>
        <v>331982.760139613</v>
      </c>
      <c r="K28" s="1104">
        <f t="shared" si="8"/>
        <v>328929.05297220207</v>
      </c>
      <c r="L28" s="1104">
        <f t="shared" si="8"/>
        <v>338728.73725913098</v>
      </c>
      <c r="M28" s="174"/>
      <c r="N28" s="174"/>
      <c r="O28" s="174"/>
    </row>
    <row r="29" spans="1:15">
      <c r="A29" s="375"/>
      <c r="B29" s="375"/>
      <c r="C29" s="375"/>
      <c r="D29" s="1104"/>
      <c r="E29" s="1104"/>
      <c r="F29" s="1104"/>
      <c r="G29" s="1104"/>
      <c r="H29" s="1104"/>
      <c r="I29" s="1104"/>
      <c r="J29" s="1104"/>
      <c r="K29" s="1104"/>
      <c r="L29" s="1104"/>
      <c r="M29" s="174"/>
      <c r="N29" s="174"/>
      <c r="O29" s="174"/>
    </row>
    <row r="30" spans="1:15">
      <c r="A30" s="375"/>
      <c r="B30" s="375"/>
      <c r="C30" s="375"/>
      <c r="D30" s="1104">
        <f t="shared" ref="D30:L30" si="9">SUM(D22:D28)</f>
        <v>769710.72923064802</v>
      </c>
      <c r="E30" s="1104">
        <f t="shared" si="9"/>
        <v>820493.39204363408</v>
      </c>
      <c r="F30" s="1104">
        <f t="shared" si="9"/>
        <v>840246.85799802304</v>
      </c>
      <c r="G30" s="1104">
        <f t="shared" si="9"/>
        <v>863964.922372445</v>
      </c>
      <c r="H30" s="1104">
        <f t="shared" si="9"/>
        <v>871256.08467096603</v>
      </c>
      <c r="I30" s="1104">
        <f t="shared" si="9"/>
        <v>891388.23891041405</v>
      </c>
      <c r="J30" s="1104">
        <f t="shared" si="9"/>
        <v>912423.40748961293</v>
      </c>
      <c r="K30" s="1104">
        <f t="shared" si="9"/>
        <v>911286.64398220205</v>
      </c>
      <c r="L30" s="1104">
        <f t="shared" si="9"/>
        <v>923003.27192912996</v>
      </c>
      <c r="M30" s="174"/>
      <c r="N30" s="174"/>
      <c r="O30" s="174"/>
    </row>
    <row r="31" spans="1:15"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1:15">
      <c r="B32" s="375" t="s">
        <v>550</v>
      </c>
      <c r="C32" s="375"/>
      <c r="D32" s="174">
        <f t="shared" ref="D32:L32" si="10">D6/1000-D30</f>
        <v>0</v>
      </c>
      <c r="E32" s="174">
        <f t="shared" si="10"/>
        <v>0</v>
      </c>
      <c r="F32" s="174">
        <f t="shared" si="10"/>
        <v>0</v>
      </c>
      <c r="G32" s="174">
        <f t="shared" si="10"/>
        <v>0</v>
      </c>
      <c r="H32" s="174">
        <f t="shared" si="10"/>
        <v>0</v>
      </c>
      <c r="I32" s="174">
        <f t="shared" si="10"/>
        <v>0</v>
      </c>
      <c r="J32" s="174">
        <f t="shared" si="10"/>
        <v>0</v>
      </c>
      <c r="K32" s="174">
        <f t="shared" si="10"/>
        <v>0</v>
      </c>
      <c r="L32" s="174">
        <f t="shared" si="10"/>
        <v>0</v>
      </c>
      <c r="M32" s="174"/>
      <c r="N32" s="174"/>
      <c r="O32" s="174"/>
    </row>
    <row r="33" spans="1:15"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1:15"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1:15">
      <c r="D35" s="174">
        <f>'[8]BS ACCTS'!DL250*1000</f>
        <v>-13100.000000034925</v>
      </c>
      <c r="E35" s="174">
        <f>'[8]BS ACCTS'!DM250*1000</f>
        <v>-26899.999999834108</v>
      </c>
      <c r="F35" s="174">
        <f>'[8]BS ACCTS'!DN250*1000</f>
        <v>-313500.00000026554</v>
      </c>
      <c r="G35" s="174">
        <f>'[8]BS ACCTS'!DO250*1000</f>
        <v>-331900.00000012515</v>
      </c>
      <c r="H35" s="174">
        <f>'[8]BS ACCTS'!DP250*1000</f>
        <v>-53599.999999943975</v>
      </c>
      <c r="I35" s="174">
        <f>'[8]BS ACCTS'!DQ250*1000</f>
        <v>90599.9999997548</v>
      </c>
      <c r="J35" s="174">
        <f>'[8]BS ACCTS'!DR250*1000</f>
        <v>76899.999999910506</v>
      </c>
      <c r="K35" s="174">
        <f>'[8]BS ACCTS'!DS250*1000</f>
        <v>-63399.999999961437</v>
      </c>
      <c r="L35" s="174">
        <f>'[8]BS ACCTS'!DT250*1000</f>
        <v>-41200.000000178989</v>
      </c>
      <c r="M35" s="174"/>
      <c r="N35" s="174"/>
      <c r="O35" s="174"/>
    </row>
    <row r="36" spans="1:15"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1:15">
      <c r="C37" s="75">
        <f>C3</f>
        <v>166097200</v>
      </c>
      <c r="D37" s="174">
        <f>D3+D35</f>
        <v>200760121.18052706</v>
      </c>
      <c r="E37" s="174">
        <f t="shared" ref="E37:L37" si="11">E3+E35</f>
        <v>249611301.69351321</v>
      </c>
      <c r="F37" s="174">
        <f t="shared" si="11"/>
        <v>267160485.34790179</v>
      </c>
      <c r="G37" s="174">
        <f t="shared" si="11"/>
        <v>288943206.00232387</v>
      </c>
      <c r="H37" s="174">
        <f t="shared" si="11"/>
        <v>294595724.64084512</v>
      </c>
      <c r="I37" s="174">
        <f t="shared" si="11"/>
        <v>312955135.22041368</v>
      </c>
      <c r="J37" s="174">
        <f t="shared" si="11"/>
        <v>332059660.13961291</v>
      </c>
      <c r="K37" s="174">
        <f t="shared" si="11"/>
        <v>328865652.97220212</v>
      </c>
      <c r="L37" s="174">
        <f t="shared" si="11"/>
        <v>338687537.25913078</v>
      </c>
      <c r="M37" s="174"/>
      <c r="N37" s="174"/>
      <c r="O37" s="174"/>
    </row>
    <row r="38" spans="1:15">
      <c r="A38" s="375"/>
      <c r="B38" s="375"/>
      <c r="C38" s="450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</row>
    <row r="39" spans="1:15"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</row>
    <row r="40" spans="1:15">
      <c r="D40" s="174">
        <f>AVERAGE(C37:D37)*3.8%/12</f>
        <v>580857.42520250124</v>
      </c>
      <c r="E40" s="174">
        <f t="shared" ref="E40:L40" si="12">AVERAGE(D37:E37)*3.8%/12</f>
        <v>713088.0862172303</v>
      </c>
      <c r="F40" s="174">
        <f t="shared" si="12"/>
        <v>818221.996148907</v>
      </c>
      <c r="G40" s="174">
        <f t="shared" si="12"/>
        <v>880497.51130452391</v>
      </c>
      <c r="H40" s="174">
        <f t="shared" si="12"/>
        <v>923936.64018501749</v>
      </c>
      <c r="I40" s="174">
        <f t="shared" si="12"/>
        <v>961955.52811365959</v>
      </c>
      <c r="J40" s="174">
        <f t="shared" si="12"/>
        <v>1021273.4259867087</v>
      </c>
      <c r="K40" s="174">
        <f t="shared" si="12"/>
        <v>1046465.0790937069</v>
      </c>
      <c r="L40" s="174">
        <f t="shared" si="12"/>
        <v>1056959.2178662771</v>
      </c>
      <c r="M40" s="174"/>
      <c r="N40" s="174"/>
      <c r="O40" s="174"/>
    </row>
    <row r="41" spans="1:15"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</row>
    <row r="42" spans="1:15"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</row>
    <row r="43" spans="1:15"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</row>
    <row r="44" spans="1:15"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  <pageSetUpPr fitToPage="1"/>
  </sheetPr>
  <dimension ref="A1:DE103"/>
  <sheetViews>
    <sheetView zoomScale="85" zoomScaleNormal="85" workbookViewId="0">
      <pane xSplit="53" ySplit="8" topLeftCell="BP9" activePane="bottomRight" state="frozen"/>
      <selection pane="topRight" activeCell="BB1" sqref="BB1"/>
      <selection pane="bottomLeft" activeCell="A9" sqref="A9"/>
      <selection pane="bottomRight" activeCell="BX55" sqref="BX55:CI57"/>
    </sheetView>
  </sheetViews>
  <sheetFormatPr defaultRowHeight="12.75" outlineLevelCol="1"/>
  <cols>
    <col min="1" max="1" width="14.5703125" customWidth="1"/>
    <col min="2" max="2" width="39.42578125" customWidth="1"/>
    <col min="3" max="3" width="13.42578125" bestFit="1" customWidth="1"/>
    <col min="4" max="26" width="12.42578125" hidden="1" customWidth="1"/>
    <col min="27" max="27" width="12.5703125" hidden="1" customWidth="1"/>
    <col min="28" max="50" width="12.140625" hidden="1" customWidth="1"/>
    <col min="51" max="53" width="11.140625" hidden="1" customWidth="1"/>
    <col min="54" max="62" width="12.140625" hidden="1" customWidth="1"/>
    <col min="63" max="74" width="12.140625" customWidth="1" outlineLevel="1"/>
    <col min="75" max="87" width="12.140625" customWidth="1"/>
  </cols>
  <sheetData>
    <row r="1" spans="1:87" ht="15">
      <c r="A1" s="206" t="s">
        <v>232</v>
      </c>
      <c r="B1" s="206"/>
      <c r="C1" s="206"/>
    </row>
    <row r="2" spans="1:87" ht="15">
      <c r="A2" s="15" t="s">
        <v>552</v>
      </c>
      <c r="B2" s="15"/>
      <c r="C2" s="15"/>
    </row>
    <row r="3" spans="1:87" ht="15">
      <c r="A3" s="261">
        <f>+'Bal Sheet'!A1</f>
        <v>12</v>
      </c>
      <c r="B3" s="15"/>
      <c r="C3" s="15"/>
    </row>
    <row r="4" spans="1:87" ht="15">
      <c r="A4" s="15"/>
      <c r="B4" s="15"/>
      <c r="C4" s="15"/>
    </row>
    <row r="5" spans="1:87" ht="15">
      <c r="B5" s="213"/>
      <c r="C5" s="213"/>
    </row>
    <row r="6" spans="1:87" ht="15.75">
      <c r="A6" s="747" t="s">
        <v>553</v>
      </c>
      <c r="B6" s="748"/>
      <c r="C6" s="748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8"/>
      <c r="P6" s="578"/>
      <c r="Q6" s="578"/>
      <c r="R6" s="578"/>
      <c r="S6" s="578"/>
      <c r="T6" s="578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578"/>
      <c r="AJ6" s="578"/>
      <c r="AK6" s="578"/>
      <c r="AL6" s="578"/>
      <c r="AM6" s="578"/>
      <c r="AN6" s="578"/>
      <c r="AO6" s="578"/>
      <c r="AP6" s="578"/>
      <c r="AQ6" s="578"/>
      <c r="AR6" s="578"/>
      <c r="AS6" s="578"/>
      <c r="AT6" s="578"/>
      <c r="AU6" s="578"/>
      <c r="AV6" s="578"/>
      <c r="AW6" s="578"/>
      <c r="AX6" s="578"/>
      <c r="AY6" s="578"/>
      <c r="AZ6" s="578"/>
      <c r="BA6" s="578"/>
      <c r="BB6" s="578"/>
      <c r="BC6" s="578"/>
      <c r="BD6" s="578"/>
      <c r="BE6" s="578"/>
      <c r="BF6" s="578"/>
      <c r="BG6" s="578"/>
      <c r="BH6" s="578"/>
      <c r="BI6" s="578"/>
      <c r="BJ6" s="578"/>
      <c r="BK6" s="578"/>
      <c r="BL6" s="578"/>
      <c r="BM6" s="578"/>
      <c r="BN6" s="578"/>
      <c r="BO6" s="578"/>
      <c r="BP6" s="578"/>
      <c r="BQ6" s="578"/>
      <c r="BR6" s="578"/>
      <c r="BS6" s="578"/>
      <c r="BT6" s="578"/>
      <c r="BU6" s="578"/>
      <c r="BV6" s="578"/>
      <c r="BW6" s="578"/>
      <c r="BX6" s="578"/>
      <c r="BY6" s="578"/>
      <c r="BZ6" s="578"/>
      <c r="CA6" s="578"/>
      <c r="CB6" s="578"/>
      <c r="CC6" s="578"/>
      <c r="CD6" s="578"/>
      <c r="CE6" s="578"/>
      <c r="CF6" s="578"/>
      <c r="CG6" s="578"/>
      <c r="CH6" s="578"/>
      <c r="CI6" s="578"/>
    </row>
    <row r="7" spans="1:87" ht="15">
      <c r="A7" s="15"/>
      <c r="B7" s="15"/>
      <c r="C7" s="290" t="s">
        <v>151</v>
      </c>
      <c r="D7" s="16" t="str">
        <f>+'Bal Sheet'!C5</f>
        <v>Actual</v>
      </c>
      <c r="E7" s="16" t="str">
        <f>+'Bal Sheet'!D5</f>
        <v>Actual</v>
      </c>
      <c r="F7" s="16" t="str">
        <f>+'Bal Sheet'!E5</f>
        <v>Actual</v>
      </c>
      <c r="G7" s="16" t="str">
        <f>+'Bal Sheet'!F5</f>
        <v>Actual</v>
      </c>
      <c r="H7" s="16" t="str">
        <f>+'Bal Sheet'!G5</f>
        <v>Actual</v>
      </c>
      <c r="I7" s="16" t="str">
        <f>+'Bal Sheet'!H5</f>
        <v>Actual</v>
      </c>
      <c r="J7" s="16" t="str">
        <f>+'Bal Sheet'!I5</f>
        <v>Actual</v>
      </c>
      <c r="K7" s="16" t="str">
        <f>+'Bal Sheet'!J5</f>
        <v>Actual</v>
      </c>
      <c r="L7" s="16" t="str">
        <f>+'Bal Sheet'!K5</f>
        <v>Actual</v>
      </c>
      <c r="M7" s="16" t="str">
        <f>+'Bal Sheet'!L5</f>
        <v>Actual</v>
      </c>
      <c r="N7" s="16" t="str">
        <f>+'Bal Sheet'!M5</f>
        <v>Actual</v>
      </c>
      <c r="O7" s="16" t="str">
        <f>+'Bal Sheet'!N5</f>
        <v>Actual</v>
      </c>
      <c r="P7" s="16" t="str">
        <f>+'Bal Sheet'!O5</f>
        <v>Actual</v>
      </c>
      <c r="Q7" s="16" t="str">
        <f>+'Bal Sheet'!P5</f>
        <v>Actual</v>
      </c>
      <c r="R7" s="16" t="str">
        <f>+'Bal Sheet'!Q5</f>
        <v>Actual</v>
      </c>
      <c r="S7" s="16" t="str">
        <f>+'Bal Sheet'!R5</f>
        <v>Actual</v>
      </c>
      <c r="T7" s="16" t="str">
        <f>+'Bal Sheet'!S5</f>
        <v>Actual</v>
      </c>
      <c r="U7" s="16" t="str">
        <f>+'Bal Sheet'!T5</f>
        <v>Actual</v>
      </c>
      <c r="V7" s="16" t="str">
        <f>+'Bal Sheet'!U5</f>
        <v>Actual</v>
      </c>
      <c r="W7" s="16" t="str">
        <f>+'Bal Sheet'!V5</f>
        <v>Actual</v>
      </c>
      <c r="X7" s="16" t="str">
        <f>+'Bal Sheet'!W5</f>
        <v>Actual</v>
      </c>
      <c r="Y7" s="16" t="str">
        <f>+'Bal Sheet'!X5</f>
        <v>Actual</v>
      </c>
      <c r="Z7" s="16" t="str">
        <f>+'Bal Sheet'!Y5</f>
        <v>Actual</v>
      </c>
      <c r="AA7" s="16" t="str">
        <f>+'Bal Sheet'!Z5</f>
        <v>Actual</v>
      </c>
      <c r="AB7" s="16" t="str">
        <f>+'Bal Sheet'!AA5</f>
        <v>Actual</v>
      </c>
      <c r="AC7" s="16" t="str">
        <f>+'Bal Sheet'!AB5</f>
        <v>Actual</v>
      </c>
      <c r="AD7" s="16" t="str">
        <f>+'Bal Sheet'!AC5</f>
        <v>Actual</v>
      </c>
      <c r="AE7" s="16" t="str">
        <f>+'Bal Sheet'!AD5</f>
        <v>Actual</v>
      </c>
      <c r="AF7" s="16" t="str">
        <f>+'Bal Sheet'!AE5</f>
        <v>Actual</v>
      </c>
      <c r="AG7" s="16" t="str">
        <f>+'Bal Sheet'!AF5</f>
        <v>Actual</v>
      </c>
      <c r="AH7" s="16" t="str">
        <f>+'Bal Sheet'!AG5</f>
        <v>Actual</v>
      </c>
      <c r="AI7" s="16" t="str">
        <f>+'Bal Sheet'!AH5</f>
        <v>Actual</v>
      </c>
      <c r="AJ7" s="16" t="str">
        <f>+'Bal Sheet'!AI5</f>
        <v>Actual</v>
      </c>
      <c r="AK7" s="16" t="str">
        <f>+'Bal Sheet'!AJ5</f>
        <v>Actual</v>
      </c>
      <c r="AL7" s="16" t="str">
        <f>+'Bal Sheet'!AK5</f>
        <v>Actual</v>
      </c>
      <c r="AM7" s="16" t="str">
        <f>+'Bal Sheet'!AL5</f>
        <v>Actual</v>
      </c>
      <c r="AN7" s="16" t="str">
        <f>+'Bal Sheet'!AM5</f>
        <v>Actual</v>
      </c>
      <c r="AO7" s="16" t="str">
        <f>+'Bal Sheet'!AN5</f>
        <v>Actual</v>
      </c>
      <c r="AP7" s="16" t="str">
        <f>+'Bal Sheet'!AO5</f>
        <v>Actual</v>
      </c>
      <c r="AQ7" s="16" t="str">
        <f>+'Bal Sheet'!AP5</f>
        <v>Actual</v>
      </c>
      <c r="AR7" s="16" t="str">
        <f>+'Bal Sheet'!AQ5</f>
        <v>Actual</v>
      </c>
      <c r="AS7" s="16" t="str">
        <f>+'Bal Sheet'!AR5</f>
        <v>Actual</v>
      </c>
      <c r="AT7" s="16" t="str">
        <f>+'Bal Sheet'!AS5</f>
        <v>Actual</v>
      </c>
      <c r="AU7" s="16" t="str">
        <f>+'Bal Sheet'!AT5</f>
        <v>Actual</v>
      </c>
      <c r="AV7" s="16" t="str">
        <f>+'Bal Sheet'!AU5</f>
        <v>Actual</v>
      </c>
      <c r="AW7" s="16" t="str">
        <f>+'Bal Sheet'!AV5</f>
        <v>Actual</v>
      </c>
      <c r="AX7" s="742" t="str">
        <f>+'Bal Sheet'!AW5</f>
        <v>Actual</v>
      </c>
      <c r="AY7" s="742" t="str">
        <f>+'Bal Sheet'!AX5</f>
        <v>Actual</v>
      </c>
      <c r="AZ7" s="742" t="str">
        <f>+'Bal Sheet'!AY5</f>
        <v>Actual</v>
      </c>
      <c r="BA7" s="742" t="str">
        <f>+'Bal Sheet'!AZ5</f>
        <v>Actual</v>
      </c>
      <c r="BB7" s="742" t="str">
        <f>+'Bal Sheet'!BA5</f>
        <v>Actual</v>
      </c>
      <c r="BC7" s="742" t="str">
        <f>+'Bal Sheet'!BB5</f>
        <v>Actual</v>
      </c>
      <c r="BD7" s="742" t="str">
        <f>+'Bal Sheet'!BC5</f>
        <v>Actual</v>
      </c>
      <c r="BE7" s="742" t="str">
        <f>+'Bal Sheet'!BD5</f>
        <v>Actual</v>
      </c>
      <c r="BF7" s="742" t="str">
        <f>+'Bal Sheet'!BE5</f>
        <v>Actual</v>
      </c>
      <c r="BG7" s="742" t="str">
        <f>+'Bal Sheet'!BF5</f>
        <v>Actual</v>
      </c>
      <c r="BH7" s="742" t="str">
        <f>+'Bal Sheet'!BG5</f>
        <v>Actual</v>
      </c>
      <c r="BI7" s="742" t="str">
        <f>+'Bal Sheet'!BH5</f>
        <v>Actual</v>
      </c>
      <c r="BJ7" s="742" t="str">
        <f>+'Bal Sheet'!BI5</f>
        <v>Actual</v>
      </c>
      <c r="BK7" s="742" t="str">
        <f>+'Bal Sheet'!BJ5</f>
        <v>Actual</v>
      </c>
      <c r="BL7" s="742" t="str">
        <f>+'Bal Sheet'!BK5</f>
        <v>Actual</v>
      </c>
      <c r="BM7" s="742" t="str">
        <f>+'Bal Sheet'!BL5</f>
        <v>Actual</v>
      </c>
      <c r="BN7" s="742" t="str">
        <f>+'Bal Sheet'!BM5</f>
        <v>Actual</v>
      </c>
      <c r="BO7" s="742" t="str">
        <f>+'Bal Sheet'!BN5</f>
        <v>Actual</v>
      </c>
      <c r="BP7" s="742" t="str">
        <f>+'Bal Sheet'!BO5</f>
        <v>Actual</v>
      </c>
      <c r="BQ7" s="742" t="str">
        <f>+'Bal Sheet'!BP5</f>
        <v>Actual</v>
      </c>
      <c r="BR7" s="742" t="str">
        <f>+'Bal Sheet'!BQ5</f>
        <v>Actual</v>
      </c>
      <c r="BS7" s="742" t="str">
        <f>+'Bal Sheet'!BR5</f>
        <v>Actual</v>
      </c>
      <c r="BT7" s="742" t="str">
        <f>+'Bal Sheet'!BS5</f>
        <v>Actual</v>
      </c>
      <c r="BU7" s="742" t="str">
        <f>+'Bal Sheet'!BT5</f>
        <v>Actual</v>
      </c>
      <c r="BV7" s="742" t="str">
        <f>+'Bal Sheet'!BU5</f>
        <v>Actual</v>
      </c>
      <c r="BW7" s="742" t="str">
        <f>+'Bal Sheet'!BV5</f>
        <v>Actual</v>
      </c>
      <c r="BX7" s="742" t="str">
        <f>+'Bal Sheet'!BW5</f>
        <v>Budget</v>
      </c>
      <c r="BY7" s="742" t="str">
        <f>+'Bal Sheet'!BX5</f>
        <v>Budget</v>
      </c>
      <c r="BZ7" s="742" t="str">
        <f>+'Bal Sheet'!BY5</f>
        <v>Budget</v>
      </c>
      <c r="CA7" s="742" t="str">
        <f>+'Bal Sheet'!BZ5</f>
        <v>Budget</v>
      </c>
      <c r="CB7" s="742" t="str">
        <f>+'Bal Sheet'!CA5</f>
        <v>Budget</v>
      </c>
      <c r="CC7" s="742" t="str">
        <f>+'Bal Sheet'!CB5</f>
        <v>Budget</v>
      </c>
      <c r="CD7" s="742" t="str">
        <f>+'Bal Sheet'!CC5</f>
        <v>Budget</v>
      </c>
      <c r="CE7" s="742" t="str">
        <f>+'Bal Sheet'!CD5</f>
        <v>Budget</v>
      </c>
      <c r="CF7" s="742" t="str">
        <f>+'Bal Sheet'!CE5</f>
        <v>Budget</v>
      </c>
      <c r="CG7" s="742" t="str">
        <f>+'Bal Sheet'!CF5</f>
        <v>Budget</v>
      </c>
      <c r="CH7" s="742" t="str">
        <f>+'Bal Sheet'!CG5</f>
        <v>Budget</v>
      </c>
      <c r="CI7" s="742" t="str">
        <f>+'Bal Sheet'!CH5</f>
        <v>Budget</v>
      </c>
    </row>
    <row r="8" spans="1:87">
      <c r="A8" s="207"/>
      <c r="B8" s="598" t="s">
        <v>554</v>
      </c>
      <c r="C8" s="291" t="s">
        <v>153</v>
      </c>
      <c r="D8" s="421">
        <f>+'Bal Sheet'!C6</f>
        <v>42736</v>
      </c>
      <c r="E8" s="421">
        <f>+'Bal Sheet'!D6</f>
        <v>42767</v>
      </c>
      <c r="F8" s="421">
        <f>+'Bal Sheet'!E6</f>
        <v>42798</v>
      </c>
      <c r="G8" s="421">
        <f>+'Bal Sheet'!F6</f>
        <v>42829</v>
      </c>
      <c r="H8" s="421">
        <f>+'Bal Sheet'!G6</f>
        <v>42860</v>
      </c>
      <c r="I8" s="421">
        <f>+'Bal Sheet'!H6</f>
        <v>42891</v>
      </c>
      <c r="J8" s="421">
        <f>+'Bal Sheet'!I6</f>
        <v>42922</v>
      </c>
      <c r="K8" s="421">
        <f>+'Bal Sheet'!J6</f>
        <v>42953</v>
      </c>
      <c r="L8" s="421">
        <f>+'Bal Sheet'!K6</f>
        <v>42984</v>
      </c>
      <c r="M8" s="421">
        <f>+'Bal Sheet'!L6</f>
        <v>43015</v>
      </c>
      <c r="N8" s="421">
        <f>+'Bal Sheet'!M6</f>
        <v>43046</v>
      </c>
      <c r="O8" s="421">
        <f>+'Bal Sheet'!N6</f>
        <v>43077</v>
      </c>
      <c r="P8" s="421">
        <f>+'Bal Sheet'!O6</f>
        <v>43108</v>
      </c>
      <c r="Q8" s="421">
        <f>+'Bal Sheet'!P6</f>
        <v>43139</v>
      </c>
      <c r="R8" s="421">
        <f>+'Bal Sheet'!Q6</f>
        <v>43170</v>
      </c>
      <c r="S8" s="421">
        <f>+'Bal Sheet'!R6</f>
        <v>43201</v>
      </c>
      <c r="T8" s="421">
        <f>+'Bal Sheet'!S6</f>
        <v>43232</v>
      </c>
      <c r="U8" s="421">
        <f>+'Bal Sheet'!T6</f>
        <v>43263</v>
      </c>
      <c r="V8" s="421">
        <f>+'Bal Sheet'!U6</f>
        <v>43294</v>
      </c>
      <c r="W8" s="421">
        <f>+'Bal Sheet'!V6</f>
        <v>43325</v>
      </c>
      <c r="X8" s="421">
        <f>+'Bal Sheet'!W6</f>
        <v>43356</v>
      </c>
      <c r="Y8" s="421">
        <f>+'Bal Sheet'!X6</f>
        <v>43387</v>
      </c>
      <c r="Z8" s="421">
        <f>+'Bal Sheet'!Y6</f>
        <v>43418</v>
      </c>
      <c r="AA8" s="421">
        <f>+'Bal Sheet'!Z6</f>
        <v>43449</v>
      </c>
      <c r="AB8" s="421">
        <f>+'Bal Sheet'!AA6</f>
        <v>43480</v>
      </c>
      <c r="AC8" s="421">
        <f>+'Bal Sheet'!AB6</f>
        <v>43511</v>
      </c>
      <c r="AD8" s="421">
        <f>+'Bal Sheet'!AC6</f>
        <v>43542</v>
      </c>
      <c r="AE8" s="421">
        <f>+'Bal Sheet'!AD6</f>
        <v>43573</v>
      </c>
      <c r="AF8" s="421">
        <f>+'Bal Sheet'!AE6</f>
        <v>43604</v>
      </c>
      <c r="AG8" s="421">
        <f>+'Bal Sheet'!AF6</f>
        <v>43635</v>
      </c>
      <c r="AH8" s="421">
        <f>+'Bal Sheet'!AG6</f>
        <v>43666</v>
      </c>
      <c r="AI8" s="421">
        <f>+'Bal Sheet'!AH6</f>
        <v>43697</v>
      </c>
      <c r="AJ8" s="421">
        <f>+'Bal Sheet'!AI6</f>
        <v>43728</v>
      </c>
      <c r="AK8" s="421">
        <f>+'Bal Sheet'!AJ6</f>
        <v>43759</v>
      </c>
      <c r="AL8" s="421">
        <f>+'Bal Sheet'!AK6</f>
        <v>43790</v>
      </c>
      <c r="AM8" s="421">
        <f>+'Bal Sheet'!AL6</f>
        <v>43821</v>
      </c>
      <c r="AN8" s="421">
        <f>+'Bal Sheet'!AM6</f>
        <v>43852</v>
      </c>
      <c r="AO8" s="421">
        <f>+'Bal Sheet'!AN6</f>
        <v>43883</v>
      </c>
      <c r="AP8" s="421">
        <f>+'Bal Sheet'!AO6</f>
        <v>43914</v>
      </c>
      <c r="AQ8" s="421">
        <f>+'Bal Sheet'!AP6</f>
        <v>43945</v>
      </c>
      <c r="AR8" s="421">
        <f>+'Bal Sheet'!AQ6</f>
        <v>43976</v>
      </c>
      <c r="AS8" s="421">
        <f>+'Bal Sheet'!AR6</f>
        <v>44007</v>
      </c>
      <c r="AT8" s="421">
        <f>+'Bal Sheet'!AS6</f>
        <v>44038</v>
      </c>
      <c r="AU8" s="421">
        <f>+'Bal Sheet'!AT6</f>
        <v>44069</v>
      </c>
      <c r="AV8" s="421">
        <f>+'Bal Sheet'!AU6</f>
        <v>44100</v>
      </c>
      <c r="AW8" s="421">
        <f>+'Bal Sheet'!AV6</f>
        <v>44131</v>
      </c>
      <c r="AX8" s="962">
        <f>+'Bal Sheet'!AW6</f>
        <v>44162</v>
      </c>
      <c r="AY8" s="962">
        <f>+'Bal Sheet'!AX6</f>
        <v>44193</v>
      </c>
      <c r="AZ8" s="962">
        <f>+'Bal Sheet'!AY6</f>
        <v>44224</v>
      </c>
      <c r="BA8" s="962">
        <f>+'Bal Sheet'!AZ6</f>
        <v>44255</v>
      </c>
      <c r="BB8" s="962">
        <f>+'Bal Sheet'!BA6</f>
        <v>44285</v>
      </c>
      <c r="BC8" s="962">
        <f>+'Bal Sheet'!BB6</f>
        <v>44316</v>
      </c>
      <c r="BD8" s="962">
        <f>+'Bal Sheet'!BC6</f>
        <v>44347</v>
      </c>
      <c r="BE8" s="962">
        <f>+'Bal Sheet'!BD6</f>
        <v>44377</v>
      </c>
      <c r="BF8" s="962">
        <f>+'Bal Sheet'!BE6</f>
        <v>44408</v>
      </c>
      <c r="BG8" s="962">
        <f>+'Bal Sheet'!BF6</f>
        <v>44439</v>
      </c>
      <c r="BH8" s="962">
        <f>+'Bal Sheet'!BG6</f>
        <v>44469</v>
      </c>
      <c r="BI8" s="962">
        <f>+'Bal Sheet'!BH6</f>
        <v>44500</v>
      </c>
      <c r="BJ8" s="962">
        <f>+'Bal Sheet'!BI6</f>
        <v>44530</v>
      </c>
      <c r="BK8" s="962">
        <f>+'Bal Sheet'!BJ6</f>
        <v>44561</v>
      </c>
      <c r="BL8" s="962">
        <f>+'Bal Sheet'!BK6</f>
        <v>44592</v>
      </c>
      <c r="BM8" s="962">
        <f>+'Bal Sheet'!BL6</f>
        <v>44620</v>
      </c>
      <c r="BN8" s="962">
        <f>+'Bal Sheet'!BM6</f>
        <v>44651</v>
      </c>
      <c r="BO8" s="962">
        <f>+'Bal Sheet'!BN6</f>
        <v>44681</v>
      </c>
      <c r="BP8" s="962">
        <f>+'Bal Sheet'!BO6</f>
        <v>44712</v>
      </c>
      <c r="BQ8" s="962">
        <f>+'Bal Sheet'!BP6</f>
        <v>44742</v>
      </c>
      <c r="BR8" s="962">
        <f>+'Bal Sheet'!BQ6</f>
        <v>44773</v>
      </c>
      <c r="BS8" s="962">
        <f>+'Bal Sheet'!BR6</f>
        <v>44804</v>
      </c>
      <c r="BT8" s="962">
        <f>+'Bal Sheet'!BS6</f>
        <v>44834</v>
      </c>
      <c r="BU8" s="962">
        <f>+'Bal Sheet'!BT6</f>
        <v>44865</v>
      </c>
      <c r="BV8" s="962">
        <f>+'Bal Sheet'!BU6</f>
        <v>44895</v>
      </c>
      <c r="BW8" s="962">
        <f>+'Bal Sheet'!BV6</f>
        <v>44926</v>
      </c>
      <c r="BX8" s="962">
        <f>+'Bal Sheet'!BW6</f>
        <v>44957</v>
      </c>
      <c r="BY8" s="962">
        <f>+'Bal Sheet'!BX6</f>
        <v>44985</v>
      </c>
      <c r="BZ8" s="962">
        <f>+'Bal Sheet'!BY6</f>
        <v>45016</v>
      </c>
      <c r="CA8" s="962">
        <f>+'Bal Sheet'!BZ6</f>
        <v>45046</v>
      </c>
      <c r="CB8" s="962">
        <f>+'Bal Sheet'!CA6</f>
        <v>45077</v>
      </c>
      <c r="CC8" s="962">
        <f>+'Bal Sheet'!CB6</f>
        <v>45107</v>
      </c>
      <c r="CD8" s="962">
        <f>+'Bal Sheet'!CC6</f>
        <v>45138</v>
      </c>
      <c r="CE8" s="962">
        <f>+'Bal Sheet'!CD6</f>
        <v>45169</v>
      </c>
      <c r="CF8" s="962">
        <f>+'Bal Sheet'!CE6</f>
        <v>45199</v>
      </c>
      <c r="CG8" s="962">
        <f>+'Bal Sheet'!CF6</f>
        <v>45230</v>
      </c>
      <c r="CH8" s="962">
        <f>+'Bal Sheet'!CG6</f>
        <v>45260</v>
      </c>
      <c r="CI8" s="962">
        <f>+'Bal Sheet'!CH6</f>
        <v>45291</v>
      </c>
    </row>
    <row r="10" spans="1:87">
      <c r="A10" s="208">
        <v>224</v>
      </c>
      <c r="B10" s="447" t="s">
        <v>555</v>
      </c>
      <c r="C10" s="287">
        <f ca="1">SUM(OFFSET(BL10:BX10,0,'Bal Sheet'!$A$1-1))/13</f>
        <v>628846.15384615387</v>
      </c>
      <c r="D10" s="33">
        <v>261764.68</v>
      </c>
      <c r="E10" s="33">
        <v>261764.68</v>
      </c>
      <c r="F10" s="33">
        <v>261764.68</v>
      </c>
      <c r="G10" s="33">
        <v>261764.68</v>
      </c>
      <c r="H10" s="33">
        <v>261764.68</v>
      </c>
      <c r="I10" s="33">
        <v>261764.68</v>
      </c>
      <c r="J10" s="33">
        <v>261764.68</v>
      </c>
      <c r="K10" s="33">
        <v>261764.68</v>
      </c>
      <c r="L10" s="33">
        <v>261764.68</v>
      </c>
      <c r="M10" s="33">
        <v>261764.68</v>
      </c>
      <c r="N10" s="33">
        <v>261764.68</v>
      </c>
      <c r="O10" s="33">
        <v>261764.68</v>
      </c>
      <c r="P10" s="33">
        <v>261764.68</v>
      </c>
      <c r="Q10" s="33">
        <v>261764.68</v>
      </c>
      <c r="R10" s="33">
        <v>261764.68</v>
      </c>
      <c r="S10" s="33">
        <v>261764.68</v>
      </c>
      <c r="T10" s="33">
        <v>211764.68</v>
      </c>
      <c r="U10" s="33">
        <v>286764.68</v>
      </c>
      <c r="V10" s="33">
        <v>286764.68</v>
      </c>
      <c r="W10" s="33">
        <v>286764.68</v>
      </c>
      <c r="X10" s="33">
        <v>286764.68</v>
      </c>
      <c r="Y10" s="33">
        <v>311764.68</v>
      </c>
      <c r="Z10" s="33">
        <v>311764.68</v>
      </c>
      <c r="AA10" s="463">
        <v>311764.68</v>
      </c>
      <c r="AB10" s="463">
        <v>311764.68</v>
      </c>
      <c r="AC10" s="463">
        <v>311764.68</v>
      </c>
      <c r="AD10" s="463">
        <v>311764.68</v>
      </c>
      <c r="AE10" s="463">
        <v>311764.68</v>
      </c>
      <c r="AF10" s="463">
        <v>311764.68</v>
      </c>
      <c r="AG10" s="463">
        <v>311764.68</v>
      </c>
      <c r="AH10" s="463">
        <v>336764.68</v>
      </c>
      <c r="AI10" s="463">
        <v>336764.68</v>
      </c>
      <c r="AJ10" s="463">
        <v>336764.68</v>
      </c>
      <c r="AK10" s="463">
        <v>336764.68</v>
      </c>
      <c r="AL10" s="463">
        <v>336764.68</v>
      </c>
      <c r="AM10" s="463">
        <v>336764.68</v>
      </c>
      <c r="AN10" s="463">
        <v>336764.68</v>
      </c>
      <c r="AO10" s="463">
        <v>336764.68</v>
      </c>
      <c r="AP10" s="463">
        <v>336764.68</v>
      </c>
      <c r="AQ10" s="463">
        <v>336764.68</v>
      </c>
      <c r="AR10" s="463">
        <v>336764.68</v>
      </c>
      <c r="AS10" s="463">
        <v>336764.68</v>
      </c>
      <c r="AT10" s="463">
        <v>336764.68</v>
      </c>
      <c r="AU10" s="463">
        <v>336764.68</v>
      </c>
      <c r="AV10" s="463">
        <v>336764.68</v>
      </c>
      <c r="AW10" s="463">
        <v>336764.7</v>
      </c>
      <c r="AX10" s="588">
        <f>'Bal Sheet'!AW65</f>
        <v>336764.68</v>
      </c>
      <c r="AY10" s="588">
        <v>336764.68</v>
      </c>
      <c r="AZ10" s="588">
        <v>336764.68</v>
      </c>
      <c r="BA10" s="680">
        <v>336764.68</v>
      </c>
      <c r="BB10" s="680">
        <v>566764.68000000005</v>
      </c>
      <c r="BC10" s="680">
        <v>566764.68000000005</v>
      </c>
      <c r="BD10" s="680">
        <v>520000</v>
      </c>
      <c r="BE10" s="680">
        <v>520000</v>
      </c>
      <c r="BF10" s="586">
        <f>'Bal Sheet'!BE65</f>
        <v>520000</v>
      </c>
      <c r="BG10" s="586">
        <f>'Bal Sheet'!BF65</f>
        <v>520000</v>
      </c>
      <c r="BH10" s="586">
        <f>'Bal Sheet'!BG65</f>
        <v>520000</v>
      </c>
      <c r="BI10" s="586">
        <f>'Bal Sheet'!BH65</f>
        <v>520000</v>
      </c>
      <c r="BJ10" s="586">
        <f>'Bal Sheet'!BI65</f>
        <v>520000</v>
      </c>
      <c r="BK10" s="586">
        <f>'Bal Sheet'!BJ65</f>
        <v>520000</v>
      </c>
      <c r="BL10" s="586">
        <v>520000</v>
      </c>
      <c r="BM10" s="586">
        <v>520000</v>
      </c>
      <c r="BN10" s="586">
        <v>520000</v>
      </c>
      <c r="BO10" s="586">
        <v>520000</v>
      </c>
      <c r="BP10" s="586">
        <v>520000</v>
      </c>
      <c r="BQ10" s="586">
        <v>520000</v>
      </c>
      <c r="BR10" s="586">
        <v>595000</v>
      </c>
      <c r="BS10" s="586">
        <v>595000</v>
      </c>
      <c r="BT10" s="586">
        <v>570000</v>
      </c>
      <c r="BU10" s="586">
        <v>570000</v>
      </c>
      <c r="BV10" s="586">
        <v>570000</v>
      </c>
      <c r="BW10" s="586">
        <v>570000</v>
      </c>
      <c r="BX10" s="586">
        <f>'Bal Sheet'!BW65</f>
        <v>570000</v>
      </c>
      <c r="BY10" s="586">
        <f>'Bal Sheet'!BX65</f>
        <v>570000</v>
      </c>
      <c r="BZ10" s="586">
        <f>'Bal Sheet'!BY65</f>
        <v>570000</v>
      </c>
      <c r="CA10" s="586">
        <f>'Bal Sheet'!BZ65</f>
        <v>570000</v>
      </c>
      <c r="CB10" s="586">
        <f>'Bal Sheet'!CA65</f>
        <v>570000</v>
      </c>
      <c r="CC10" s="586">
        <f>'Bal Sheet'!CB65</f>
        <v>570000</v>
      </c>
      <c r="CD10" s="586">
        <f>'Bal Sheet'!CC65</f>
        <v>570000</v>
      </c>
      <c r="CE10" s="586">
        <f>'Bal Sheet'!CD65</f>
        <v>570000</v>
      </c>
      <c r="CF10" s="586">
        <f>'Bal Sheet'!CE65</f>
        <v>570000</v>
      </c>
      <c r="CG10" s="586">
        <f>'Bal Sheet'!CF65</f>
        <v>825000</v>
      </c>
      <c r="CH10" s="586">
        <f>'Bal Sheet'!CG65</f>
        <v>825000</v>
      </c>
      <c r="CI10" s="586">
        <f>'Bal Sheet'!CH65</f>
        <v>825000</v>
      </c>
    </row>
    <row r="11" spans="1:87">
      <c r="A11" s="208">
        <v>226</v>
      </c>
      <c r="B11" s="447" t="s">
        <v>516</v>
      </c>
      <c r="C11" s="287">
        <f ca="1">SUM(OFFSET(BL11:BX11,0,'Bal Sheet'!$A$1-1))/13</f>
        <v>-1212.331430769231</v>
      </c>
      <c r="D11" s="33">
        <v>-405.43504999999999</v>
      </c>
      <c r="E11" s="33">
        <v>-403.73061000000001</v>
      </c>
      <c r="F11" s="33">
        <v>-402.02616999999998</v>
      </c>
      <c r="G11" s="33">
        <v>-400.32173</v>
      </c>
      <c r="H11" s="33">
        <v>-398.61728999999997</v>
      </c>
      <c r="I11" s="33">
        <v>-396.91284999999999</v>
      </c>
      <c r="J11" s="33">
        <v>-395.20840999999996</v>
      </c>
      <c r="K11" s="33">
        <v>-393.50396999999998</v>
      </c>
      <c r="L11" s="33">
        <v>-391.79953</v>
      </c>
      <c r="M11" s="33">
        <v>-390.09509000000003</v>
      </c>
      <c r="N11" s="33">
        <v>-388.39065000000005</v>
      </c>
      <c r="O11" s="33">
        <v>-386.68621000000002</v>
      </c>
      <c r="P11" s="33">
        <v>-384.98177000000004</v>
      </c>
      <c r="Q11" s="33">
        <v>-383.27733000000001</v>
      </c>
      <c r="R11" s="33">
        <v>-381.57289000000003</v>
      </c>
      <c r="S11" s="33">
        <v>-379.86845</v>
      </c>
      <c r="T11" s="33">
        <v>-378.16401000000002</v>
      </c>
      <c r="U11" s="33">
        <v>-571.30250999999998</v>
      </c>
      <c r="V11" s="33">
        <v>-774.52298999999994</v>
      </c>
      <c r="W11" s="33">
        <v>-771.70187999999996</v>
      </c>
      <c r="X11" s="33">
        <v>-768.88076999999998</v>
      </c>
      <c r="Y11" s="33">
        <v>-893.46370999999999</v>
      </c>
      <c r="Z11" s="33">
        <v>-890.29544999999996</v>
      </c>
      <c r="AA11" s="463">
        <v>-887.12718999999993</v>
      </c>
      <c r="AB11" s="463">
        <v>-883.95893000000001</v>
      </c>
      <c r="AC11" s="463">
        <v>-880.79067000000009</v>
      </c>
      <c r="AD11" s="463">
        <v>-877.62241000000006</v>
      </c>
      <c r="AE11" s="463">
        <v>-874.45415000000003</v>
      </c>
      <c r="AF11" s="463">
        <v>-871.28588999999999</v>
      </c>
      <c r="AG11" s="463">
        <v>-868.11762999999996</v>
      </c>
      <c r="AH11" s="463">
        <v>-1171.44937</v>
      </c>
      <c r="AI11" s="463">
        <v>-1167.4566100000002</v>
      </c>
      <c r="AJ11" s="463">
        <v>-1163.4621999999999</v>
      </c>
      <c r="AK11" s="463">
        <v>-1159.4677900000002</v>
      </c>
      <c r="AL11" s="463">
        <v>-1155.4733799999999</v>
      </c>
      <c r="AM11" s="463">
        <v>-1151.4789699999999</v>
      </c>
      <c r="AN11" s="463">
        <v>-1147.4845600000001</v>
      </c>
      <c r="AO11" s="463">
        <v>-1143.4901499999999</v>
      </c>
      <c r="AP11" s="463">
        <v>-1139.4957400000001</v>
      </c>
      <c r="AQ11" s="463">
        <v>-1135.5013300000001</v>
      </c>
      <c r="AR11" s="463">
        <v>-1131.50692</v>
      </c>
      <c r="AS11" s="463">
        <v>-1127.51251</v>
      </c>
      <c r="AT11" s="463">
        <v>-1123.5181</v>
      </c>
      <c r="AU11" s="463">
        <v>-1119.52369</v>
      </c>
      <c r="AV11" s="463">
        <v>-1115.52928</v>
      </c>
      <c r="AW11" s="463">
        <v>-1111.5</v>
      </c>
      <c r="AX11" s="588">
        <f>'Bal Sheet'!AW67</f>
        <v>-1107.5404599999999</v>
      </c>
      <c r="AY11" s="588">
        <v>-1103.5460500000002</v>
      </c>
      <c r="AZ11" s="588">
        <v>-1099.5516399999999</v>
      </c>
      <c r="BA11" s="680">
        <v>-1095.5572299999999</v>
      </c>
      <c r="BB11" s="680">
        <v>-1719.07629</v>
      </c>
      <c r="BC11" s="680">
        <v>-1711.4238500000001</v>
      </c>
      <c r="BD11" s="680">
        <v>-1703.5929099999998</v>
      </c>
      <c r="BE11" s="680">
        <v>-1695.76197</v>
      </c>
      <c r="BF11" s="586">
        <f>'Bal Sheet'!BE67</f>
        <v>-1687.93103</v>
      </c>
      <c r="BG11" s="586">
        <f>'Bal Sheet'!BF67</f>
        <v>-1680.1000900000001</v>
      </c>
      <c r="BH11" s="586">
        <f>'Bal Sheet'!BG67</f>
        <v>-1672.2691499999999</v>
      </c>
      <c r="BI11" s="586">
        <f>'Bal Sheet'!BH67</f>
        <v>-1664.43821</v>
      </c>
      <c r="BJ11" s="586">
        <f>'Bal Sheet'!BI67</f>
        <v>-1656.60727</v>
      </c>
      <c r="BK11" s="586">
        <f>'Bal Sheet'!BJ67</f>
        <v>-1648.7763300000001</v>
      </c>
      <c r="BL11" s="586">
        <v>-1640.9453899999999</v>
      </c>
      <c r="BM11" s="586">
        <v>-1633.11445</v>
      </c>
      <c r="BN11" s="586">
        <v>-1625.28351</v>
      </c>
      <c r="BO11" s="586">
        <v>-1617.4525700000002</v>
      </c>
      <c r="BP11" s="586">
        <v>-1609.6216299999999</v>
      </c>
      <c r="BQ11" s="586">
        <v>-1601.79069</v>
      </c>
      <c r="BR11" s="586">
        <v>-1654.0476999999998</v>
      </c>
      <c r="BS11" s="586">
        <v>-1645.4918300000002</v>
      </c>
      <c r="BT11" s="586">
        <v>-1636.93596</v>
      </c>
      <c r="BU11" s="586">
        <v>-1628.63426</v>
      </c>
      <c r="BV11" s="586">
        <v>-1620.3325600000001</v>
      </c>
      <c r="BW11" s="586">
        <v>-1612.0308600000001</v>
      </c>
      <c r="BX11" s="586">
        <f>'Bal Sheet'!BW67</f>
        <v>-1604.0308600000001</v>
      </c>
      <c r="BY11" s="586">
        <f>'Bal Sheet'!BX67</f>
        <v>-1596.0308600000001</v>
      </c>
      <c r="BZ11" s="586">
        <f>'Bal Sheet'!BY67</f>
        <v>-1588.0308600000001</v>
      </c>
      <c r="CA11" s="586">
        <f>'Bal Sheet'!BZ67</f>
        <v>-1580.0308600000001</v>
      </c>
      <c r="CB11" s="586">
        <f>'Bal Sheet'!CA67</f>
        <v>-1572.0308600000001</v>
      </c>
      <c r="CC11" s="586">
        <f>'Bal Sheet'!CB67</f>
        <v>-1564.0308600000001</v>
      </c>
      <c r="CD11" s="586">
        <f>'Bal Sheet'!CC67</f>
        <v>-1556.0308600000001</v>
      </c>
      <c r="CE11" s="586">
        <f>'Bal Sheet'!CD67</f>
        <v>-1548.0308600000001</v>
      </c>
      <c r="CF11" s="586">
        <f>'Bal Sheet'!CE67</f>
        <v>-1540.0308600000001</v>
      </c>
      <c r="CG11" s="586">
        <f>'Bal Sheet'!CF67</f>
        <v>0</v>
      </c>
      <c r="CH11" s="586">
        <f>'Bal Sheet'!CG67</f>
        <v>0</v>
      </c>
      <c r="CI11" s="586">
        <f>'Bal Sheet'!CH67</f>
        <v>0</v>
      </c>
    </row>
    <row r="12" spans="1:87">
      <c r="A12" s="376" t="s">
        <v>556</v>
      </c>
      <c r="B12" s="447" t="s">
        <v>496</v>
      </c>
      <c r="C12" s="418">
        <f ca="1">SUM(OFFSET(BL12:BX12,0,'Bal Sheet'!$A$1-1))/13</f>
        <v>-349.48033615384617</v>
      </c>
      <c r="D12" s="33">
        <v>-1135.33413</v>
      </c>
      <c r="E12" s="33">
        <v>-1127.24026</v>
      </c>
      <c r="F12" s="33">
        <v>-1119.1463899999999</v>
      </c>
      <c r="G12" s="33">
        <v>-1111.05252</v>
      </c>
      <c r="H12" s="33">
        <v>-1102.9586499999998</v>
      </c>
      <c r="I12" s="33">
        <v>-1094.8647800000001</v>
      </c>
      <c r="J12" s="33">
        <v>-1086.77091</v>
      </c>
      <c r="K12" s="33">
        <v>-1078.67704</v>
      </c>
      <c r="L12" s="33">
        <v>-1070.5831699999999</v>
      </c>
      <c r="M12" s="33">
        <v>-1062.4893</v>
      </c>
      <c r="N12" s="33">
        <v>-1054.39543</v>
      </c>
      <c r="O12" s="33">
        <v>-1046.3015600000001</v>
      </c>
      <c r="P12" s="33">
        <v>-1038.20769</v>
      </c>
      <c r="Q12" s="33">
        <v>-1030.11382</v>
      </c>
      <c r="R12" s="33">
        <v>-1067.87933</v>
      </c>
      <c r="S12" s="33">
        <v>-1053.2341200000001</v>
      </c>
      <c r="T12" s="33">
        <v>-1040.1659300000001</v>
      </c>
      <c r="U12" s="33">
        <v>-1785.06277</v>
      </c>
      <c r="V12" s="33">
        <v>-1787.67147</v>
      </c>
      <c r="W12" s="33">
        <v>-1779.1369099999999</v>
      </c>
      <c r="X12" s="33">
        <v>-1807.0138899999999</v>
      </c>
      <c r="Y12" s="33">
        <v>-2037.07448</v>
      </c>
      <c r="Z12" s="33">
        <v>-2030.6094499999999</v>
      </c>
      <c r="AA12" s="463">
        <v>-2027.97783</v>
      </c>
      <c r="AB12" s="463">
        <v>-2020.07215</v>
      </c>
      <c r="AC12" s="463">
        <v>-2012.1834799999999</v>
      </c>
      <c r="AD12" s="463">
        <v>-2018.04828</v>
      </c>
      <c r="AE12" s="463">
        <v>-2010.10456</v>
      </c>
      <c r="AF12" s="463">
        <v>-2002.16084</v>
      </c>
      <c r="AG12" s="463">
        <v>-1994.21712</v>
      </c>
      <c r="AH12" s="463">
        <v>-2205.5789</v>
      </c>
      <c r="AI12" s="463">
        <v>-2242.15967</v>
      </c>
      <c r="AJ12" s="463">
        <v>-2244.4437000000003</v>
      </c>
      <c r="AK12" s="463">
        <v>-2235.7572300000002</v>
      </c>
      <c r="AL12" s="463">
        <v>-2227.0707599999996</v>
      </c>
      <c r="AM12" s="463">
        <v>-2233.0608900000002</v>
      </c>
      <c r="AN12" s="463">
        <v>-2224.3343199999999</v>
      </c>
      <c r="AO12" s="463">
        <v>-2226.9272999999998</v>
      </c>
      <c r="AP12" s="463">
        <v>-2222.0164199999999</v>
      </c>
      <c r="AQ12" s="463">
        <v>-2211.8215099999998</v>
      </c>
      <c r="AR12" s="463">
        <v>-2201.6266000000001</v>
      </c>
      <c r="AS12" s="463">
        <v>-2191.4316899999999</v>
      </c>
      <c r="AT12" s="463">
        <v>-2181.2367799999997</v>
      </c>
      <c r="AU12" s="463">
        <v>-2171.04187</v>
      </c>
      <c r="AV12" s="463">
        <v>-2160.8469599999999</v>
      </c>
      <c r="AW12" s="463">
        <v>-2150.7000000000003</v>
      </c>
      <c r="AX12" s="588">
        <f>-'Bal Sheet'!AW43</f>
        <v>-2140.45714</v>
      </c>
      <c r="AY12" s="588">
        <v>-2130.2622299999998</v>
      </c>
      <c r="AZ12" s="588">
        <v>-2126.6312200000002</v>
      </c>
      <c r="BA12" s="680">
        <v>-2115.7154100000002</v>
      </c>
      <c r="BB12" s="680">
        <v>-3962.9508900000001</v>
      </c>
      <c r="BC12" s="680">
        <v>-4083.4283599999999</v>
      </c>
      <c r="BD12" s="680">
        <v>-4214.9540700000007</v>
      </c>
      <c r="BE12" s="680">
        <v>-4360.24496</v>
      </c>
      <c r="BF12" s="586">
        <f>-'Bal Sheet'!BE43</f>
        <v>-4339.27621</v>
      </c>
      <c r="BG12" s="586">
        <f>-'Bal Sheet'!BF43</f>
        <v>-4318.30746</v>
      </c>
      <c r="BH12" s="586">
        <f>-'Bal Sheet'!BG43</f>
        <v>-4297.33871</v>
      </c>
      <c r="BI12" s="586">
        <f>-'Bal Sheet'!BH43</f>
        <v>-4276.36996</v>
      </c>
      <c r="BJ12" s="586">
        <f>-'Bal Sheet'!BI43</f>
        <v>-4255.40121</v>
      </c>
      <c r="BK12" s="586">
        <f>-'Bal Sheet'!BJ43</f>
        <v>-4248.9452799999999</v>
      </c>
      <c r="BL12" s="586">
        <v>-4226.5231299999996</v>
      </c>
      <c r="BM12" s="586">
        <v>-4204.3671599999998</v>
      </c>
      <c r="BN12" s="586">
        <v>-4182.21119</v>
      </c>
      <c r="BO12" s="586">
        <v>-4161.0365000000002</v>
      </c>
      <c r="BP12" s="586">
        <v>-4138.7578700000004</v>
      </c>
      <c r="BQ12" s="586">
        <v>-4116.4792400000006</v>
      </c>
      <c r="BR12" s="586">
        <v>-4568.2277899999999</v>
      </c>
      <c r="BS12" s="586">
        <v>-4607.0475999999999</v>
      </c>
      <c r="BT12" s="586">
        <v>-4577.8456399999995</v>
      </c>
      <c r="BU12" s="586">
        <v>-4562.2672300000004</v>
      </c>
      <c r="BV12" s="586">
        <v>-4533.6203099999993</v>
      </c>
      <c r="BW12" s="586">
        <v>-4543.2443700000003</v>
      </c>
      <c r="BX12" s="586">
        <f>-'Bal Sheet'!BW43</f>
        <v>0</v>
      </c>
      <c r="BY12" s="586">
        <f>-'Bal Sheet'!BX43</f>
        <v>0</v>
      </c>
      <c r="BZ12" s="586">
        <f>-'Bal Sheet'!BY43</f>
        <v>0</v>
      </c>
      <c r="CA12" s="586">
        <f>-'Bal Sheet'!BZ43</f>
        <v>0</v>
      </c>
      <c r="CB12" s="586">
        <f>-'Bal Sheet'!CA43</f>
        <v>0</v>
      </c>
      <c r="CC12" s="586">
        <f>-'Bal Sheet'!CB43</f>
        <v>0</v>
      </c>
      <c r="CD12" s="586">
        <f>-'Bal Sheet'!CC43</f>
        <v>0</v>
      </c>
      <c r="CE12" s="586">
        <f>-'Bal Sheet'!CD43</f>
        <v>0</v>
      </c>
      <c r="CF12" s="586">
        <f>-'Bal Sheet'!CE43</f>
        <v>0</v>
      </c>
      <c r="CG12" s="586">
        <f>-'Bal Sheet'!CF43</f>
        <v>0</v>
      </c>
      <c r="CH12" s="586">
        <f>-'Bal Sheet'!CG43</f>
        <v>0</v>
      </c>
      <c r="CI12" s="586">
        <f>-'Bal Sheet'!CH43</f>
        <v>0</v>
      </c>
    </row>
    <row r="13" spans="1:87">
      <c r="A13" s="376">
        <v>233</v>
      </c>
      <c r="B13" s="447" t="s">
        <v>1194</v>
      </c>
      <c r="C13" s="418">
        <f ca="1">SUM(OFFSET(BL13:BX13,0,'Bal Sheet'!$A$1-1))/13</f>
        <v>0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463"/>
      <c r="AB13" s="463"/>
      <c r="AC13" s="463"/>
      <c r="AD13" s="463"/>
      <c r="AE13" s="463"/>
      <c r="AF13" s="463"/>
      <c r="AG13" s="463"/>
      <c r="AH13" s="463"/>
      <c r="AI13" s="463"/>
      <c r="AJ13" s="463"/>
      <c r="AK13" s="463"/>
      <c r="AL13" s="463"/>
      <c r="AM13" s="463"/>
      <c r="AN13" s="463"/>
      <c r="AO13" s="463"/>
      <c r="AP13" s="463"/>
      <c r="AQ13" s="463"/>
      <c r="AR13" s="463"/>
      <c r="AS13" s="463"/>
      <c r="AT13" s="463"/>
      <c r="AU13" s="463"/>
      <c r="AV13" s="463"/>
      <c r="AW13" s="463"/>
      <c r="AX13" s="588"/>
      <c r="AY13" s="588"/>
      <c r="AZ13" s="588"/>
      <c r="BA13" s="680"/>
      <c r="BB13" s="680"/>
      <c r="BC13" s="680"/>
      <c r="BD13" s="680"/>
      <c r="BE13" s="680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6"/>
      <c r="BR13" s="586"/>
      <c r="BS13" s="586"/>
      <c r="BT13" s="586"/>
      <c r="BU13" s="586"/>
      <c r="BV13" s="586"/>
      <c r="BW13" s="586"/>
      <c r="BX13" s="586"/>
      <c r="BY13" s="586"/>
      <c r="BZ13" s="586"/>
      <c r="CA13" s="586"/>
      <c r="CB13" s="586"/>
      <c r="CC13" s="586"/>
      <c r="CD13" s="586"/>
      <c r="CE13" s="586"/>
      <c r="CF13" s="586"/>
      <c r="CG13" s="586"/>
      <c r="CH13" s="586"/>
      <c r="CI13" s="586"/>
    </row>
    <row r="14" spans="1:87">
      <c r="A14" s="208" t="s">
        <v>557</v>
      </c>
      <c r="B14" s="447" t="s">
        <v>558</v>
      </c>
      <c r="C14" s="292">
        <f ca="1">SUM(OFFSET(BL14:BX14,0,'Bal Sheet'!$A$1-1))/13</f>
        <v>-46.650733076923075</v>
      </c>
      <c r="D14" s="330">
        <v>-1310</v>
      </c>
      <c r="E14" s="330">
        <v>-1274.5</v>
      </c>
      <c r="F14" s="330">
        <v>-1238.9000000000001</v>
      </c>
      <c r="G14" s="330">
        <v>-1203.4000000000001</v>
      </c>
      <c r="H14" s="330">
        <v>-1167.8</v>
      </c>
      <c r="I14" s="330">
        <v>-1132.3</v>
      </c>
      <c r="J14" s="330">
        <v>-1096.7</v>
      </c>
      <c r="K14" s="330">
        <v>-1061.2</v>
      </c>
      <c r="L14" s="330">
        <v>-1025.5999999999999</v>
      </c>
      <c r="M14" s="330">
        <v>-990.1</v>
      </c>
      <c r="N14" s="330">
        <v>-954.5</v>
      </c>
      <c r="O14" s="330">
        <v>-919</v>
      </c>
      <c r="P14" s="409">
        <v>-883.5</v>
      </c>
      <c r="Q14" s="409">
        <v>-847.9</v>
      </c>
      <c r="R14" s="409">
        <v>-812.4</v>
      </c>
      <c r="S14" s="409">
        <v>-776.8</v>
      </c>
      <c r="T14" s="409">
        <v>-757.7</v>
      </c>
      <c r="U14" s="409">
        <v>-754.9</v>
      </c>
      <c r="V14" s="409">
        <v>-752.2</v>
      </c>
      <c r="W14" s="409">
        <v>-749.4</v>
      </c>
      <c r="X14" s="403">
        <v>-746.7</v>
      </c>
      <c r="Y14" s="403">
        <v>-743.9</v>
      </c>
      <c r="Z14" s="403">
        <v>-741.2</v>
      </c>
      <c r="AA14" s="464">
        <v>-738.4</v>
      </c>
      <c r="AB14" s="464">
        <v>-735.7</v>
      </c>
      <c r="AC14" s="464">
        <v>-732.9</v>
      </c>
      <c r="AD14" s="464">
        <v>-730.2</v>
      </c>
      <c r="AE14" s="464">
        <v>-727.4</v>
      </c>
      <c r="AF14" s="464">
        <v>-724.7</v>
      </c>
      <c r="AG14" s="464">
        <v>-721.9</v>
      </c>
      <c r="AH14" s="464">
        <v>-719.2</v>
      </c>
      <c r="AI14" s="464">
        <v>-716.4</v>
      </c>
      <c r="AJ14" s="464">
        <v>-713.7</v>
      </c>
      <c r="AK14" s="464">
        <v>-710.9</v>
      </c>
      <c r="AL14" s="464">
        <v>-708.2</v>
      </c>
      <c r="AM14" s="464">
        <v>-705.4</v>
      </c>
      <c r="AN14" s="464">
        <v>-702.7</v>
      </c>
      <c r="AO14" s="464">
        <v>-699.9</v>
      </c>
      <c r="AP14" s="464">
        <v>-697.2</v>
      </c>
      <c r="AQ14" s="464">
        <v>-694.4384</v>
      </c>
      <c r="AR14" s="464">
        <v>-691.68945999999994</v>
      </c>
      <c r="AS14" s="464">
        <v>-688.94051999999999</v>
      </c>
      <c r="AT14" s="464">
        <v>-686.19157999999993</v>
      </c>
      <c r="AU14" s="464">
        <v>-683.44263999999998</v>
      </c>
      <c r="AV14" s="464">
        <v>-680.69369999999992</v>
      </c>
      <c r="AW14" s="464">
        <v>-677.9</v>
      </c>
      <c r="AX14" s="330">
        <f>VLOOKUP("2190040",'[8]BS ACCTS'!$D$3:$ZZ$600,87,FALSE)</f>
        <v>-675.2</v>
      </c>
      <c r="AY14" s="330">
        <v>-672.44687999999996</v>
      </c>
      <c r="AZ14" s="330">
        <v>-669.6979399999999</v>
      </c>
      <c r="BA14" s="330">
        <v>-666.94899999999996</v>
      </c>
      <c r="BB14" s="330">
        <v>-664.20006000000001</v>
      </c>
      <c r="BC14" s="330">
        <v>-661.43832999999995</v>
      </c>
      <c r="BD14" s="330">
        <v>-658.68939</v>
      </c>
      <c r="BE14" s="330">
        <v>-655.94044999999994</v>
      </c>
      <c r="BF14" s="585">
        <f>VLOOKUP("2190040",'[8]BS ACCTS'!$D$3:$ZZ$600,95,FALSE)</f>
        <v>-653.20000000000005</v>
      </c>
      <c r="BG14" s="585">
        <f>VLOOKUP("2190040",'[8]BS ACCTS'!$D$3:$ZZ$600,96,FALSE)</f>
        <v>-650.4</v>
      </c>
      <c r="BH14" s="585">
        <f>VLOOKUP("2190040",'[8]BS ACCTS'!$D$3:$ZZ$600,97,FALSE)</f>
        <v>-647.70000000000005</v>
      </c>
      <c r="BI14" s="585">
        <f>VLOOKUP("2190040",'[8]BS ACCTS'!$D$3:$ZZ$600,98,FALSE)</f>
        <v>-644.9</v>
      </c>
      <c r="BJ14" s="585">
        <f>VLOOKUP("2190040",'[8]BS ACCTS'!$D$3:$ZZ$600,99,FALSE)</f>
        <v>-642.20000000000005</v>
      </c>
      <c r="BK14" s="585">
        <f>VLOOKUP("2190040",'[8]BS ACCTS'!$D$3:$ZZ$600,100,FALSE)</f>
        <v>-639.4</v>
      </c>
      <c r="BL14" s="585">
        <v>-636.69786999999997</v>
      </c>
      <c r="BM14" s="585">
        <v>-633.94893000000002</v>
      </c>
      <c r="BN14" s="585">
        <v>-631.19998999999996</v>
      </c>
      <c r="BO14" s="585">
        <v>-628.45105000000001</v>
      </c>
      <c r="BP14" s="585">
        <v>-625.70210999999995</v>
      </c>
      <c r="BQ14" s="585">
        <v>-622.95317</v>
      </c>
      <c r="BR14" s="585">
        <v>-620.20422999999994</v>
      </c>
      <c r="BS14" s="585">
        <v>-617.45528999999999</v>
      </c>
      <c r="BT14" s="585">
        <v>-614.70634999999993</v>
      </c>
      <c r="BU14" s="585">
        <v>-611.95740999999998</v>
      </c>
      <c r="BV14" s="585">
        <v>-609.20846999999992</v>
      </c>
      <c r="BW14" s="585">
        <v>-606.45952999999997</v>
      </c>
      <c r="BX14" s="585">
        <f>VLOOKUP("2190040",'[8]BS ACCTS'!$D$3:$ZZ$600,113,FALSE)</f>
        <v>0</v>
      </c>
      <c r="BY14" s="585">
        <f>VLOOKUP("2190040",'[8]BS ACCTS'!$D$3:$ZZ$600,114,FALSE)</f>
        <v>0</v>
      </c>
      <c r="BZ14" s="585">
        <f>VLOOKUP("2190040",'[8]BS ACCTS'!$D$3:$ZZ$600,115,FALSE)</f>
        <v>0</v>
      </c>
      <c r="CA14" s="585">
        <f>VLOOKUP("2190040",'[8]BS ACCTS'!$D$3:$ZZ$600,116,FALSE)</f>
        <v>0</v>
      </c>
      <c r="CB14" s="585">
        <f>VLOOKUP("2190040",'[8]BS ACCTS'!$D$3:$ZZ$600,117,FALSE)</f>
        <v>0</v>
      </c>
      <c r="CC14" s="585">
        <f>VLOOKUP("2190040",'[8]BS ACCTS'!$D$3:$ZZ$600,118,FALSE)</f>
        <v>0</v>
      </c>
      <c r="CD14" s="585">
        <f>VLOOKUP("2190040",'[8]BS ACCTS'!$D$3:$ZZ$600,119,FALSE)</f>
        <v>0</v>
      </c>
      <c r="CE14" s="585">
        <f>VLOOKUP("2190040",'[8]BS ACCTS'!$D$3:$ZZ$600,120,FALSE)</f>
        <v>0</v>
      </c>
      <c r="CF14" s="585">
        <f>VLOOKUP("2190040",'[8]BS ACCTS'!$D$3:$ZZ$600,121,FALSE)</f>
        <v>0</v>
      </c>
      <c r="CG14" s="585">
        <f>VLOOKUP("2190040",'[8]BS ACCTS'!$D$3:$ZZ$600,122,FALSE)</f>
        <v>0</v>
      </c>
      <c r="CH14" s="585">
        <f>VLOOKUP("2190040",'[8]BS ACCTS'!$D$3:$ZZ$600,123,FALSE)</f>
        <v>0</v>
      </c>
      <c r="CI14" s="585">
        <f>VLOOKUP("2190040",'[8]BS ACCTS'!$D$3:$ZZ$600,124,FALSE)</f>
        <v>0</v>
      </c>
    </row>
    <row r="15" spans="1:87">
      <c r="B15" s="743" t="s">
        <v>554</v>
      </c>
      <c r="C15" s="293">
        <f ca="1">SUM(C10:C14)</f>
        <v>627237.69134615385</v>
      </c>
      <c r="D15" s="33">
        <f t="shared" ref="D15:O15" si="0">SUM(D10:D14)</f>
        <v>258913.91081999999</v>
      </c>
      <c r="E15" s="33">
        <f t="shared" si="0"/>
        <v>258959.20913</v>
      </c>
      <c r="F15" s="33">
        <f t="shared" si="0"/>
        <v>259004.60743999999</v>
      </c>
      <c r="G15" s="33">
        <f t="shared" si="0"/>
        <v>259049.90575000001</v>
      </c>
      <c r="H15" s="33">
        <f t="shared" si="0"/>
        <v>259095.30406000002</v>
      </c>
      <c r="I15" s="33">
        <f t="shared" si="0"/>
        <v>259140.60237000001</v>
      </c>
      <c r="J15" s="33">
        <f t="shared" si="0"/>
        <v>259186.00068</v>
      </c>
      <c r="K15" s="33">
        <f t="shared" si="0"/>
        <v>259231.29898999998</v>
      </c>
      <c r="L15" s="33">
        <f t="shared" si="0"/>
        <v>259276.6973</v>
      </c>
      <c r="M15" s="33">
        <f t="shared" si="0"/>
        <v>259321.99561000001</v>
      </c>
      <c r="N15" s="33">
        <f t="shared" si="0"/>
        <v>259367.39392</v>
      </c>
      <c r="O15" s="33">
        <f t="shared" si="0"/>
        <v>259412.69222999999</v>
      </c>
      <c r="P15" s="33">
        <f t="shared" ref="P15:AA15" si="1">SUM(P10:P14)</f>
        <v>259457.99053999997</v>
      </c>
      <c r="Q15" s="33">
        <f t="shared" si="1"/>
        <v>259503.38884999999</v>
      </c>
      <c r="R15" s="33">
        <f t="shared" si="1"/>
        <v>259502.82777999999</v>
      </c>
      <c r="S15" s="33">
        <f t="shared" si="1"/>
        <v>259554.77742999999</v>
      </c>
      <c r="T15" s="33">
        <f t="shared" si="1"/>
        <v>209588.65005999999</v>
      </c>
      <c r="U15" s="33">
        <f t="shared" si="1"/>
        <v>283653.41471999994</v>
      </c>
      <c r="V15" s="33">
        <f t="shared" si="1"/>
        <v>283450.28553999995</v>
      </c>
      <c r="W15" s="33">
        <f t="shared" si="1"/>
        <v>283464.44120999996</v>
      </c>
      <c r="X15" s="33">
        <f t="shared" si="1"/>
        <v>283442.08533999999</v>
      </c>
      <c r="Y15" s="33">
        <f t="shared" si="1"/>
        <v>308090.24180999998</v>
      </c>
      <c r="Z15" s="33">
        <f t="shared" si="1"/>
        <v>308102.57510000002</v>
      </c>
      <c r="AA15" s="33">
        <f t="shared" si="1"/>
        <v>308111.17497999995</v>
      </c>
      <c r="AB15" s="33">
        <f t="shared" ref="AB15:AM15" si="2">SUM(AB10:AB14)</f>
        <v>308124.94891999994</v>
      </c>
      <c r="AC15" s="33">
        <f t="shared" si="2"/>
        <v>308138.80584999995</v>
      </c>
      <c r="AD15" s="33">
        <f t="shared" si="2"/>
        <v>308138.80930999998</v>
      </c>
      <c r="AE15" s="33">
        <f t="shared" si="2"/>
        <v>308152.72128999996</v>
      </c>
      <c r="AF15" s="33">
        <f t="shared" si="2"/>
        <v>308166.53326999996</v>
      </c>
      <c r="AG15" s="33">
        <f t="shared" si="2"/>
        <v>308180.44524999999</v>
      </c>
      <c r="AH15" s="33">
        <f t="shared" si="2"/>
        <v>332668.45172999997</v>
      </c>
      <c r="AI15" s="33">
        <f t="shared" si="2"/>
        <v>332638.66371999995</v>
      </c>
      <c r="AJ15" s="33">
        <f t="shared" si="2"/>
        <v>332643.07409999997</v>
      </c>
      <c r="AK15" s="33">
        <f t="shared" si="2"/>
        <v>332658.55497999996</v>
      </c>
      <c r="AL15" s="33">
        <f t="shared" si="2"/>
        <v>332673.93586000003</v>
      </c>
      <c r="AM15" s="33">
        <f t="shared" si="2"/>
        <v>332674.74013999995</v>
      </c>
      <c r="AN15" s="33">
        <f t="shared" ref="AN15:AY15" si="3">SUM(AN10:AN14)</f>
        <v>332690.16111999995</v>
      </c>
      <c r="AO15" s="33">
        <f t="shared" si="3"/>
        <v>332694.36254999996</v>
      </c>
      <c r="AP15" s="33">
        <f t="shared" si="3"/>
        <v>332705.96784</v>
      </c>
      <c r="AQ15" s="33">
        <f t="shared" si="3"/>
        <v>332722.91876000003</v>
      </c>
      <c r="AR15" s="33">
        <f t="shared" si="3"/>
        <v>332739.85701999994</v>
      </c>
      <c r="AS15" s="33">
        <f t="shared" si="3"/>
        <v>332756.79528000002</v>
      </c>
      <c r="AT15" s="33">
        <f t="shared" si="3"/>
        <v>332773.73354000004</v>
      </c>
      <c r="AU15" s="33">
        <f t="shared" si="3"/>
        <v>332790.67179999995</v>
      </c>
      <c r="AV15" s="33">
        <f t="shared" si="3"/>
        <v>332807.61005999998</v>
      </c>
      <c r="AW15" s="33">
        <f t="shared" si="3"/>
        <v>332824.59999999998</v>
      </c>
      <c r="AX15" s="33">
        <f t="shared" si="3"/>
        <v>332841.48239999998</v>
      </c>
      <c r="AY15" s="33">
        <f t="shared" si="3"/>
        <v>332858.42483999999</v>
      </c>
      <c r="AZ15" s="33">
        <f t="shared" ref="AZ15:BI15" si="4">SUM(AZ10:AZ14)</f>
        <v>332868.79920000001</v>
      </c>
      <c r="BA15" s="33">
        <f t="shared" si="4"/>
        <v>332886.45835999999</v>
      </c>
      <c r="BB15" s="33">
        <f t="shared" si="4"/>
        <v>560418.45276000013</v>
      </c>
      <c r="BC15" s="33">
        <f t="shared" si="4"/>
        <v>560308.38945999998</v>
      </c>
      <c r="BD15" s="33">
        <f t="shared" si="4"/>
        <v>513422.76363</v>
      </c>
      <c r="BE15" s="33">
        <f t="shared" si="4"/>
        <v>513288.05262000003</v>
      </c>
      <c r="BF15" s="33">
        <f t="shared" si="4"/>
        <v>513319.59276000003</v>
      </c>
      <c r="BG15" s="33">
        <f t="shared" si="4"/>
        <v>513351.19244999997</v>
      </c>
      <c r="BH15" s="33">
        <f t="shared" si="4"/>
        <v>513382.69214</v>
      </c>
      <c r="BI15" s="33">
        <f t="shared" si="4"/>
        <v>513414.29183</v>
      </c>
      <c r="BJ15" s="33">
        <f t="shared" ref="BJ15:BK15" si="5">SUM(BJ10:BJ14)</f>
        <v>513445.79152000003</v>
      </c>
      <c r="BK15" s="33">
        <f t="shared" si="5"/>
        <v>513462.87838999997</v>
      </c>
      <c r="BL15" s="33">
        <f t="shared" ref="BL15:BW15" si="6">SUM(BL10:BL14)</f>
        <v>513495.83361000003</v>
      </c>
      <c r="BM15" s="33">
        <f t="shared" si="6"/>
        <v>513528.56945999997</v>
      </c>
      <c r="BN15" s="33">
        <f t="shared" si="6"/>
        <v>513561.30531000003</v>
      </c>
      <c r="BO15" s="33">
        <f t="shared" si="6"/>
        <v>513593.05988000002</v>
      </c>
      <c r="BP15" s="33">
        <f t="shared" si="6"/>
        <v>513625.91839000001</v>
      </c>
      <c r="BQ15" s="33">
        <f t="shared" si="6"/>
        <v>513658.7769</v>
      </c>
      <c r="BR15" s="33">
        <f t="shared" si="6"/>
        <v>588157.52027999994</v>
      </c>
      <c r="BS15" s="33">
        <f t="shared" si="6"/>
        <v>588130.00528000004</v>
      </c>
      <c r="BT15" s="33">
        <f t="shared" si="6"/>
        <v>563170.51205000002</v>
      </c>
      <c r="BU15" s="33">
        <f t="shared" si="6"/>
        <v>563197.14110000001</v>
      </c>
      <c r="BV15" s="33">
        <f t="shared" si="6"/>
        <v>563236.83866000001</v>
      </c>
      <c r="BW15" s="33">
        <f t="shared" si="6"/>
        <v>563238.26523999998</v>
      </c>
      <c r="BX15" s="33">
        <f t="shared" ref="BX15:CI15" si="7">SUM(BX10:BX14)</f>
        <v>568395.96913999994</v>
      </c>
      <c r="BY15" s="33">
        <f t="shared" si="7"/>
        <v>568403.96913999994</v>
      </c>
      <c r="BZ15" s="33">
        <f t="shared" si="7"/>
        <v>568411.96913999994</v>
      </c>
      <c r="CA15" s="33">
        <f t="shared" si="7"/>
        <v>568419.96913999994</v>
      </c>
      <c r="CB15" s="33">
        <f t="shared" si="7"/>
        <v>568427.96913999994</v>
      </c>
      <c r="CC15" s="33">
        <f t="shared" si="7"/>
        <v>568435.96913999994</v>
      </c>
      <c r="CD15" s="33">
        <f t="shared" si="7"/>
        <v>568443.96913999994</v>
      </c>
      <c r="CE15" s="33">
        <f t="shared" si="7"/>
        <v>568451.96913999994</v>
      </c>
      <c r="CF15" s="33">
        <f t="shared" si="7"/>
        <v>568459.96913999994</v>
      </c>
      <c r="CG15" s="33">
        <f t="shared" si="7"/>
        <v>825000</v>
      </c>
      <c r="CH15" s="33">
        <f t="shared" si="7"/>
        <v>825000</v>
      </c>
      <c r="CI15" s="33">
        <f t="shared" si="7"/>
        <v>825000</v>
      </c>
    </row>
    <row r="16" spans="1:87"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</row>
    <row r="17" spans="1:87">
      <c r="B17" s="375" t="s">
        <v>559</v>
      </c>
      <c r="C17" s="447"/>
      <c r="D17" s="380">
        <v>258641.82812000002</v>
      </c>
      <c r="E17" s="380">
        <v>258687.17314999999</v>
      </c>
      <c r="F17" s="381">
        <v>258732.51817999998</v>
      </c>
      <c r="G17" s="381">
        <v>258777.86320999998</v>
      </c>
      <c r="H17" s="381">
        <v>258823.20823999995</v>
      </c>
      <c r="I17" s="381">
        <v>258868.55326999997</v>
      </c>
      <c r="J17" s="381">
        <v>258913.89829999997</v>
      </c>
      <c r="K17" s="381">
        <v>258959.24332999997</v>
      </c>
      <c r="L17" s="381">
        <v>259004.58835999997</v>
      </c>
      <c r="M17" s="381">
        <v>259049.93339000002</v>
      </c>
      <c r="N17" s="381">
        <v>259095.27842000002</v>
      </c>
      <c r="O17" s="380">
        <v>259140.62345000004</v>
      </c>
      <c r="P17" s="427">
        <f>SUM(D15:P15)/13</f>
        <v>259185.96991076929</v>
      </c>
      <c r="Q17" s="427">
        <f>SUM(E15:Q15)/13</f>
        <v>259231.31437461544</v>
      </c>
      <c r="R17" s="427">
        <f t="shared" ref="R17:Z17" si="8">SUM(F15:R15)/13</f>
        <v>259273.13119384617</v>
      </c>
      <c r="S17" s="427">
        <f t="shared" si="8"/>
        <v>259315.45196230768</v>
      </c>
      <c r="T17" s="427">
        <f>SUM(H15:T15)/13</f>
        <v>255510.73998615381</v>
      </c>
      <c r="U17" s="427">
        <f t="shared" si="8"/>
        <v>257399.82542153841</v>
      </c>
      <c r="V17" s="427">
        <f t="shared" si="8"/>
        <v>259269.80104999995</v>
      </c>
      <c r="W17" s="427">
        <f t="shared" si="8"/>
        <v>261137.3733984615</v>
      </c>
      <c r="X17" s="427">
        <f t="shared" si="8"/>
        <v>262999.74157923076</v>
      </c>
      <c r="Y17" s="427">
        <f t="shared" si="8"/>
        <v>266754.62961846148</v>
      </c>
      <c r="Z17" s="427">
        <f t="shared" si="8"/>
        <v>270506.98188692308</v>
      </c>
      <c r="AA17" s="427">
        <f>SUM(O15:AA15)/13</f>
        <v>274256.50350692309</v>
      </c>
      <c r="AB17" s="174">
        <f>SUM(P15:AB15)/13</f>
        <v>278003.60017538461</v>
      </c>
      <c r="AC17" s="174">
        <f t="shared" ref="AC17:AM17" si="9">SUM(Q15:AC15)/13</f>
        <v>281748.27827615378</v>
      </c>
      <c r="AD17" s="174">
        <f>SUM(R15:AD15)/13</f>
        <v>285489.4644653846</v>
      </c>
      <c r="AE17" s="174">
        <f t="shared" si="9"/>
        <v>289231.76396615384</v>
      </c>
      <c r="AF17" s="174">
        <f t="shared" si="9"/>
        <v>292971.1298</v>
      </c>
      <c r="AG17" s="174">
        <f t="shared" si="9"/>
        <v>300555.11404538457</v>
      </c>
      <c r="AH17" s="174">
        <f t="shared" si="9"/>
        <v>304325.50150769227</v>
      </c>
      <c r="AI17" s="174">
        <f t="shared" si="9"/>
        <v>308109.22290615377</v>
      </c>
      <c r="AJ17" s="174">
        <f t="shared" si="9"/>
        <v>311892.19466692302</v>
      </c>
      <c r="AK17" s="174">
        <f t="shared" si="9"/>
        <v>315678.07694692299</v>
      </c>
      <c r="AL17" s="174">
        <f t="shared" si="9"/>
        <v>317569.13033538457</v>
      </c>
      <c r="AM17" s="174">
        <f t="shared" si="9"/>
        <v>319459.29687692306</v>
      </c>
      <c r="AN17" s="174">
        <f>SUM(AB15:AN15)/13</f>
        <v>321349.98811846151</v>
      </c>
      <c r="AO17" s="174">
        <f t="shared" ref="AO17" si="10">SUM(AC15:AO15)/13</f>
        <v>323239.9430130769</v>
      </c>
      <c r="AP17" s="174">
        <f t="shared" ref="AP17" si="11">SUM(AD15:AP15)/13</f>
        <v>325129.72470461536</v>
      </c>
      <c r="AQ17" s="174">
        <f t="shared" ref="AQ17" si="12">SUM(AE15:AQ15)/13</f>
        <v>327020.81004692306</v>
      </c>
      <c r="AR17" s="174">
        <f t="shared" ref="AR17" si="13">SUM(AF15:AR15)/13</f>
        <v>328912.12817999994</v>
      </c>
      <c r="AS17" s="174">
        <f t="shared" ref="AS17" si="14">SUM(AG15:AS15)/13</f>
        <v>330803.68679615384</v>
      </c>
      <c r="AT17" s="174">
        <f t="shared" ref="AT17" si="15">SUM(AH15:AT15)/13</f>
        <v>332695.47820307693</v>
      </c>
      <c r="AU17" s="174">
        <f t="shared" ref="AU17" si="16">SUM(AI15:AU15)/13</f>
        <v>332704.87974692311</v>
      </c>
      <c r="AV17" s="174">
        <f t="shared" ref="AV17" si="17">SUM(AJ15:AV15)/13</f>
        <v>332717.87561923073</v>
      </c>
      <c r="AW17" s="174">
        <f t="shared" ref="AW17" si="18">SUM(AK15:AW15)/13</f>
        <v>332731.83915000001</v>
      </c>
      <c r="AX17" s="174">
        <f t="shared" ref="AX17" si="19">SUM(AL15:AX15)/13</f>
        <v>332745.91048999998</v>
      </c>
      <c r="AY17" s="174">
        <f>SUM(AM15:AY15)/13</f>
        <v>332760.10194999998</v>
      </c>
      <c r="AZ17" s="174">
        <f t="shared" ref="AZ17:BH17" si="20">SUM(AN15:AZ15)/13</f>
        <v>332775.02957000001</v>
      </c>
      <c r="BA17" s="174">
        <f t="shared" si="20"/>
        <v>332790.12935769226</v>
      </c>
      <c r="BB17" s="174">
        <f t="shared" si="20"/>
        <v>350307.36706615391</v>
      </c>
      <c r="BC17" s="174">
        <f t="shared" si="20"/>
        <v>367815.24565230776</v>
      </c>
      <c r="BD17" s="174">
        <f t="shared" si="20"/>
        <v>381715.23371923086</v>
      </c>
      <c r="BE17" s="174">
        <f t="shared" si="20"/>
        <v>395603.55645769241</v>
      </c>
      <c r="BF17" s="174">
        <f t="shared" si="20"/>
        <v>409493.00241769239</v>
      </c>
      <c r="BG17" s="174">
        <f t="shared" si="20"/>
        <v>423383.57618000009</v>
      </c>
      <c r="BH17" s="174">
        <f t="shared" si="20"/>
        <v>437275.27005230769</v>
      </c>
      <c r="BI17" s="174">
        <f>SUM(AW15:BI15)/13</f>
        <v>451168.09172692307</v>
      </c>
      <c r="BJ17" s="174">
        <f t="shared" ref="BJ17" si="21">SUM(AX15:BJ15)/13</f>
        <v>465062.02953615389</v>
      </c>
      <c r="BK17" s="174">
        <f t="shared" ref="BK17" si="22">SUM(AY15:BK15)/13</f>
        <v>478955.9830738462</v>
      </c>
      <c r="BL17" s="174">
        <f t="shared" ref="BL17" si="23">SUM(AZ15:BL15)/13</f>
        <v>492851.16836384626</v>
      </c>
      <c r="BM17" s="174">
        <f t="shared" ref="BM17" si="24">SUM(BA15:BM15)/13</f>
        <v>506748.07376846165</v>
      </c>
      <c r="BN17" s="174">
        <f t="shared" ref="BN17" si="25">SUM(BB15:BN15)/13</f>
        <v>520646.13891846157</v>
      </c>
      <c r="BO17" s="174">
        <f t="shared" ref="BO17" si="26">SUM(BC15:BO15)/13</f>
        <v>517044.18561999995</v>
      </c>
      <c r="BP17" s="174">
        <f t="shared" ref="BP17" si="27">SUM(BD15:BP15)/13</f>
        <v>513453.22630692302</v>
      </c>
      <c r="BQ17" s="174">
        <f t="shared" ref="BQ17" si="28">SUM(BE15:BQ15)/13</f>
        <v>513471.38117384608</v>
      </c>
      <c r="BR17" s="174">
        <f t="shared" ref="BR17" si="29">SUM(BF15:BR15)/13</f>
        <v>519230.57099384617</v>
      </c>
      <c r="BS17" s="174">
        <f t="shared" ref="BS17" si="30">SUM(BG15:BS15)/13</f>
        <v>524985.21811076929</v>
      </c>
      <c r="BT17" s="174">
        <f t="shared" ref="BT17" si="31">SUM(BH15:BT15)/13</f>
        <v>528817.47346461541</v>
      </c>
      <c r="BU17" s="174">
        <f t="shared" ref="BU17" si="32">SUM(BI15:BU15)/13</f>
        <v>532649.35415384616</v>
      </c>
      <c r="BV17" s="174">
        <f t="shared" ref="BV17" si="33">SUM(BJ15:BV15)/13</f>
        <v>536481.8577561538</v>
      </c>
      <c r="BW17" s="174">
        <f t="shared" ref="BW17" si="34">SUM(BK15:BW15)/13</f>
        <v>540312.04804230761</v>
      </c>
      <c r="BX17" s="174">
        <f t="shared" ref="BX17" si="35">SUM(BL15:BX15)/13</f>
        <v>544537.6704076922</v>
      </c>
      <c r="BY17" s="174">
        <f t="shared" ref="BY17" si="36">SUM(BM15:BY15)/13</f>
        <v>548761.37314076908</v>
      </c>
      <c r="BZ17" s="174">
        <f t="shared" ref="BZ17" si="37">SUM(BN15:BZ15)/13</f>
        <v>552983.1731161538</v>
      </c>
      <c r="CA17" s="174">
        <f t="shared" ref="CA17" si="38">SUM(BO15:CA15)/13</f>
        <v>557203.07033384603</v>
      </c>
      <c r="CB17" s="174">
        <f t="shared" ref="CB17" si="39">SUM(BP15:CB15)/13</f>
        <v>561421.14027692296</v>
      </c>
      <c r="CC17" s="174">
        <f t="shared" ref="CC17" si="40">SUM(BQ15:CC15)/13</f>
        <v>565637.29802692297</v>
      </c>
      <c r="CD17" s="174">
        <f t="shared" ref="CD17" si="41">SUM(BR15:CD15)/13</f>
        <v>569851.54358384595</v>
      </c>
      <c r="CE17" s="174">
        <f t="shared" ref="CE17" si="42">SUM(BS15:CE15)/13</f>
        <v>568335.73195769219</v>
      </c>
      <c r="CF17" s="174">
        <f t="shared" ref="CF17" si="43">SUM(BT15:CF15)/13</f>
        <v>566822.65225461521</v>
      </c>
      <c r="CG17" s="174">
        <f t="shared" ref="CG17" si="44">SUM(BU15:CG15)/13</f>
        <v>586963.38209692284</v>
      </c>
      <c r="CH17" s="174">
        <f t="shared" ref="CH17" si="45">SUM(BV15:CH15)/13</f>
        <v>607102.06355076912</v>
      </c>
      <c r="CI17" s="174">
        <f t="shared" ref="CI17" si="46">SUM(BW15:CI15)/13</f>
        <v>627237.69134615373</v>
      </c>
    </row>
    <row r="18" spans="1:87"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</row>
    <row r="19" spans="1:87"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</row>
    <row r="20" spans="1:87"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</row>
    <row r="21" spans="1:87">
      <c r="B21" s="598" t="s">
        <v>560</v>
      </c>
      <c r="C21" s="212"/>
      <c r="D21" s="421">
        <f t="shared" ref="D21:O21" si="47">D8</f>
        <v>42736</v>
      </c>
      <c r="E21" s="421">
        <f t="shared" si="47"/>
        <v>42767</v>
      </c>
      <c r="F21" s="421">
        <f t="shared" si="47"/>
        <v>42798</v>
      </c>
      <c r="G21" s="421">
        <f t="shared" si="47"/>
        <v>42829</v>
      </c>
      <c r="H21" s="421">
        <f t="shared" si="47"/>
        <v>42860</v>
      </c>
      <c r="I21" s="421">
        <f t="shared" si="47"/>
        <v>42891</v>
      </c>
      <c r="J21" s="421">
        <f t="shared" si="47"/>
        <v>42922</v>
      </c>
      <c r="K21" s="421">
        <f t="shared" si="47"/>
        <v>42953</v>
      </c>
      <c r="L21" s="421">
        <f t="shared" si="47"/>
        <v>42984</v>
      </c>
      <c r="M21" s="421">
        <f t="shared" si="47"/>
        <v>43015</v>
      </c>
      <c r="N21" s="421">
        <f t="shared" si="47"/>
        <v>43046</v>
      </c>
      <c r="O21" s="421">
        <f t="shared" si="47"/>
        <v>43077</v>
      </c>
      <c r="P21" s="421">
        <f t="shared" ref="P21:AA21" si="48">P8</f>
        <v>43108</v>
      </c>
      <c r="Q21" s="421">
        <f t="shared" si="48"/>
        <v>43139</v>
      </c>
      <c r="R21" s="421">
        <f t="shared" si="48"/>
        <v>43170</v>
      </c>
      <c r="S21" s="421">
        <f t="shared" si="48"/>
        <v>43201</v>
      </c>
      <c r="T21" s="421">
        <f t="shared" si="48"/>
        <v>43232</v>
      </c>
      <c r="U21" s="421">
        <f t="shared" si="48"/>
        <v>43263</v>
      </c>
      <c r="V21" s="421">
        <f t="shared" si="48"/>
        <v>43294</v>
      </c>
      <c r="W21" s="421">
        <f t="shared" si="48"/>
        <v>43325</v>
      </c>
      <c r="X21" s="421">
        <f t="shared" si="48"/>
        <v>43356</v>
      </c>
      <c r="Y21" s="421">
        <f t="shared" si="48"/>
        <v>43387</v>
      </c>
      <c r="Z21" s="421">
        <f t="shared" si="48"/>
        <v>43418</v>
      </c>
      <c r="AA21" s="421">
        <f t="shared" si="48"/>
        <v>43449</v>
      </c>
      <c r="AB21" s="421">
        <f t="shared" ref="AB21:AM21" si="49">AB8</f>
        <v>43480</v>
      </c>
      <c r="AC21" s="421">
        <f t="shared" si="49"/>
        <v>43511</v>
      </c>
      <c r="AD21" s="421">
        <f t="shared" si="49"/>
        <v>43542</v>
      </c>
      <c r="AE21" s="421">
        <f t="shared" si="49"/>
        <v>43573</v>
      </c>
      <c r="AF21" s="421">
        <f t="shared" si="49"/>
        <v>43604</v>
      </c>
      <c r="AG21" s="421">
        <f t="shared" si="49"/>
        <v>43635</v>
      </c>
      <c r="AH21" s="421">
        <f t="shared" si="49"/>
        <v>43666</v>
      </c>
      <c r="AI21" s="421">
        <f t="shared" si="49"/>
        <v>43697</v>
      </c>
      <c r="AJ21" s="421">
        <f t="shared" si="49"/>
        <v>43728</v>
      </c>
      <c r="AK21" s="421">
        <f t="shared" si="49"/>
        <v>43759</v>
      </c>
      <c r="AL21" s="421">
        <f t="shared" si="49"/>
        <v>43790</v>
      </c>
      <c r="AM21" s="421">
        <f t="shared" si="49"/>
        <v>43821</v>
      </c>
      <c r="AN21" s="421">
        <f t="shared" ref="AN21:AY21" si="50">AN8</f>
        <v>43852</v>
      </c>
      <c r="AO21" s="421">
        <f t="shared" si="50"/>
        <v>43883</v>
      </c>
      <c r="AP21" s="421">
        <f t="shared" si="50"/>
        <v>43914</v>
      </c>
      <c r="AQ21" s="421">
        <f t="shared" si="50"/>
        <v>43945</v>
      </c>
      <c r="AR21" s="421">
        <f t="shared" si="50"/>
        <v>43976</v>
      </c>
      <c r="AS21" s="421">
        <f t="shared" si="50"/>
        <v>44007</v>
      </c>
      <c r="AT21" s="421">
        <f t="shared" si="50"/>
        <v>44038</v>
      </c>
      <c r="AU21" s="421">
        <f t="shared" si="50"/>
        <v>44069</v>
      </c>
      <c r="AV21" s="421">
        <f t="shared" si="50"/>
        <v>44100</v>
      </c>
      <c r="AW21" s="421">
        <f t="shared" si="50"/>
        <v>44131</v>
      </c>
      <c r="AX21" s="421">
        <f t="shared" si="50"/>
        <v>44162</v>
      </c>
      <c r="AY21" s="421">
        <f t="shared" si="50"/>
        <v>44193</v>
      </c>
      <c r="AZ21" s="421">
        <f t="shared" ref="AZ21:BI21" si="51">AZ8</f>
        <v>44224</v>
      </c>
      <c r="BA21" s="421">
        <f t="shared" si="51"/>
        <v>44255</v>
      </c>
      <c r="BB21" s="421">
        <f t="shared" si="51"/>
        <v>44285</v>
      </c>
      <c r="BC21" s="421">
        <f t="shared" si="51"/>
        <v>44316</v>
      </c>
      <c r="BD21" s="421">
        <f t="shared" si="51"/>
        <v>44347</v>
      </c>
      <c r="BE21" s="421">
        <f t="shared" si="51"/>
        <v>44377</v>
      </c>
      <c r="BF21" s="421">
        <f t="shared" si="51"/>
        <v>44408</v>
      </c>
      <c r="BG21" s="421">
        <f t="shared" si="51"/>
        <v>44439</v>
      </c>
      <c r="BH21" s="421">
        <f t="shared" si="51"/>
        <v>44469</v>
      </c>
      <c r="BI21" s="421">
        <f t="shared" si="51"/>
        <v>44500</v>
      </c>
      <c r="BJ21" s="421">
        <f t="shared" ref="BJ21:BK21" si="52">BJ8</f>
        <v>44530</v>
      </c>
      <c r="BK21" s="421">
        <f t="shared" si="52"/>
        <v>44561</v>
      </c>
      <c r="BL21" s="421">
        <f t="shared" ref="BL21:BW21" si="53">BL8</f>
        <v>44592</v>
      </c>
      <c r="BM21" s="421">
        <f t="shared" si="53"/>
        <v>44620</v>
      </c>
      <c r="BN21" s="421">
        <f t="shared" si="53"/>
        <v>44651</v>
      </c>
      <c r="BO21" s="421">
        <f t="shared" si="53"/>
        <v>44681</v>
      </c>
      <c r="BP21" s="421">
        <f t="shared" si="53"/>
        <v>44712</v>
      </c>
      <c r="BQ21" s="421">
        <f t="shared" si="53"/>
        <v>44742</v>
      </c>
      <c r="BR21" s="421">
        <f t="shared" si="53"/>
        <v>44773</v>
      </c>
      <c r="BS21" s="421">
        <f t="shared" si="53"/>
        <v>44804</v>
      </c>
      <c r="BT21" s="421">
        <f t="shared" si="53"/>
        <v>44834</v>
      </c>
      <c r="BU21" s="421">
        <f t="shared" si="53"/>
        <v>44865</v>
      </c>
      <c r="BV21" s="421">
        <f t="shared" si="53"/>
        <v>44895</v>
      </c>
      <c r="BW21" s="421">
        <f t="shared" si="53"/>
        <v>44926</v>
      </c>
      <c r="BX21" s="421">
        <f t="shared" ref="BX21:CI21" si="54">BX8</f>
        <v>44957</v>
      </c>
      <c r="BY21" s="421">
        <f t="shared" si="54"/>
        <v>44985</v>
      </c>
      <c r="BZ21" s="421">
        <f t="shared" si="54"/>
        <v>45016</v>
      </c>
      <c r="CA21" s="421">
        <f t="shared" si="54"/>
        <v>45046</v>
      </c>
      <c r="CB21" s="421">
        <f t="shared" si="54"/>
        <v>45077</v>
      </c>
      <c r="CC21" s="421">
        <f t="shared" si="54"/>
        <v>45107</v>
      </c>
      <c r="CD21" s="421">
        <f t="shared" si="54"/>
        <v>45138</v>
      </c>
      <c r="CE21" s="421">
        <f t="shared" si="54"/>
        <v>45169</v>
      </c>
      <c r="CF21" s="421">
        <f t="shared" si="54"/>
        <v>45199</v>
      </c>
      <c r="CG21" s="421">
        <f t="shared" si="54"/>
        <v>45230</v>
      </c>
      <c r="CH21" s="421">
        <f t="shared" si="54"/>
        <v>45260</v>
      </c>
      <c r="CI21" s="421">
        <f t="shared" si="54"/>
        <v>45291</v>
      </c>
    </row>
    <row r="22" spans="1:87">
      <c r="B22" s="212"/>
      <c r="C22" s="212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1"/>
      <c r="AS22" s="421"/>
      <c r="AT22" s="421"/>
      <c r="AU22" s="421"/>
      <c r="AV22" s="421"/>
      <c r="AW22" s="421"/>
      <c r="AX22" s="421"/>
      <c r="AY22" s="421"/>
      <c r="AZ22" s="421"/>
      <c r="BA22" s="421"/>
      <c r="BB22" s="421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1"/>
      <c r="BQ22" s="421"/>
      <c r="BR22" s="421"/>
      <c r="BS22" s="421"/>
      <c r="BT22" s="421"/>
      <c r="BU22" s="421"/>
      <c r="BV22" s="421"/>
      <c r="BW22" s="421"/>
      <c r="BX22" s="421"/>
      <c r="BY22" s="421"/>
      <c r="BZ22" s="421"/>
      <c r="CA22" s="421"/>
      <c r="CB22" s="421"/>
      <c r="CC22" s="421"/>
      <c r="CD22" s="421"/>
      <c r="CE22" s="421"/>
      <c r="CF22" s="421"/>
      <c r="CG22" s="421"/>
      <c r="CH22" s="421"/>
      <c r="CI22" s="421"/>
    </row>
    <row r="23" spans="1:87">
      <c r="A23" s="376" t="s">
        <v>561</v>
      </c>
      <c r="B23" s="447" t="s">
        <v>562</v>
      </c>
      <c r="C23" s="286">
        <f ca="1">SUM(OFFSET(BL23:BW23,0,'Bal Sheet'!$A$1))</f>
        <v>11490</v>
      </c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65"/>
      <c r="AO23" s="465"/>
      <c r="AP23" s="465"/>
      <c r="AQ23" s="465"/>
      <c r="AR23" s="465"/>
      <c r="AS23" s="465"/>
      <c r="AT23" s="465"/>
      <c r="AU23" s="465"/>
      <c r="AV23" s="465"/>
      <c r="AW23" s="465">
        <v>1286.2</v>
      </c>
      <c r="AX23" s="210">
        <f>VLOOKUP("A_7500110",'[8]IS ACCTS'!$G$3:$ZZ$618,86,FALSE)</f>
        <v>1286.2</v>
      </c>
      <c r="AY23" s="210">
        <v>1286.17022</v>
      </c>
      <c r="AZ23" s="210">
        <v>1286.17022</v>
      </c>
      <c r="BA23" s="210">
        <v>1286.17022</v>
      </c>
      <c r="BB23" s="210">
        <v>1603.85772</v>
      </c>
      <c r="BC23" s="210">
        <v>1846.79522</v>
      </c>
      <c r="BD23" s="210">
        <v>1636.3541599999999</v>
      </c>
      <c r="BE23" s="210">
        <v>1741.5746899999999</v>
      </c>
      <c r="BF23" s="584">
        <f>VLOOKUP("A_7500110",'[8]IS ACCTS'!$G$3:$ZZ$999,94,FALSE)</f>
        <v>1636.4</v>
      </c>
      <c r="BG23" s="584">
        <f>VLOOKUP("A_7500110",'[8]IS ACCTS'!$G$3:$ZZ$999,95,FALSE)</f>
        <v>1636.4</v>
      </c>
      <c r="BH23" s="584">
        <f>VLOOKUP("A_7500110",'[8]IS ACCTS'!$G$3:$ZZ$999,96,FALSE)</f>
        <v>1542.9</v>
      </c>
      <c r="BI23" s="584">
        <f>VLOOKUP("A_7500110",'[8]IS ACCTS'!$G$3:$ZZ$999,97,FALSE)</f>
        <v>1636.4</v>
      </c>
      <c r="BJ23" s="584">
        <f>VLOOKUP("A_7500110",'[8]IS ACCTS'!$G$3:$ZZ$999,98,FALSE)</f>
        <v>1636.4</v>
      </c>
      <c r="BK23" s="584">
        <f>VLOOKUP("A_7500110",'[8]IS ACCTS'!$G$3:$ZZ$999,99,FALSE)</f>
        <v>1636.4</v>
      </c>
      <c r="BL23" s="584">
        <v>1636.3541599999999</v>
      </c>
      <c r="BM23" s="584">
        <v>1636.3541599999999</v>
      </c>
      <c r="BN23" s="584">
        <v>1636.3541599999999</v>
      </c>
      <c r="BO23" s="584">
        <v>1636.3541599999999</v>
      </c>
      <c r="BP23" s="584">
        <v>1636.3541599999999</v>
      </c>
      <c r="BQ23" s="584">
        <v>1636.3541599999999</v>
      </c>
      <c r="BR23" s="584">
        <v>1802.7604099999999</v>
      </c>
      <c r="BS23" s="584">
        <v>1913.6979099999999</v>
      </c>
      <c r="BT23" s="584">
        <v>1886.61445</v>
      </c>
      <c r="BU23" s="584">
        <v>1859.53124</v>
      </c>
      <c r="BV23" s="584">
        <v>1859.53124</v>
      </c>
      <c r="BW23" s="584">
        <v>1859.53124</v>
      </c>
      <c r="BX23" s="584">
        <f>VLOOKUP("A_7500110",'[8]IS ACCTS'!$G$3:$ZZ$999,112,FALSE)</f>
        <v>0</v>
      </c>
      <c r="BY23" s="584">
        <f>VLOOKUP("A_7500110",'[8]IS ACCTS'!$G$3:$ZZ$999,113,FALSE)</f>
        <v>0</v>
      </c>
      <c r="BZ23" s="584">
        <f>VLOOKUP("A_7500110",'[8]IS ACCTS'!$G$3:$ZZ$999,114,FALSE)</f>
        <v>0</v>
      </c>
      <c r="CA23" s="584">
        <f>VLOOKUP("A_7500110",'[8]IS ACCTS'!$G$3:$ZZ$999,115,FALSE)</f>
        <v>0</v>
      </c>
      <c r="CB23" s="584">
        <f>VLOOKUP("A_7500110",'[8]IS ACCTS'!$G$3:$ZZ$999,116,FALSE)</f>
        <v>0</v>
      </c>
      <c r="CC23" s="584">
        <f>VLOOKUP("A_7500110",'[8]IS ACCTS'!$G$3:$ZZ$999,117,FALSE)</f>
        <v>0</v>
      </c>
      <c r="CD23" s="584">
        <f>VLOOKUP("A_7500110",'[8]IS ACCTS'!$G$3:$ZZ$999,118,FALSE)</f>
        <v>0</v>
      </c>
      <c r="CE23" s="584">
        <f>VLOOKUP("A_7500110",'[8]IS ACCTS'!$G$3:$ZZ$999,119,FALSE)</f>
        <v>0</v>
      </c>
      <c r="CF23" s="584">
        <f>VLOOKUP("A_7500110",'[8]IS ACCTS'!$G$3:$ZZ$999,120,FALSE)</f>
        <v>0</v>
      </c>
      <c r="CG23" s="584">
        <f>VLOOKUP("A_7500110",'[8]IS ACCTS'!$G$3:$ZZ$999,121,FALSE)</f>
        <v>3830</v>
      </c>
      <c r="CH23" s="584">
        <f>VLOOKUP("A_7500110",'[8]IS ACCTS'!$G$3:$ZZ$999,122,FALSE)</f>
        <v>3830</v>
      </c>
      <c r="CI23" s="584">
        <f>VLOOKUP("A_7500110",'[8]IS ACCTS'!$G$3:$ZZ$999,123,FALSE)</f>
        <v>3830</v>
      </c>
    </row>
    <row r="24" spans="1:87">
      <c r="A24" s="376" t="s">
        <v>563</v>
      </c>
      <c r="B24" s="447" t="s">
        <v>564</v>
      </c>
      <c r="C24" s="286">
        <f ca="1">SUM(OFFSET(BL24:BW24,0,'Bal Sheet'!$A$1))</f>
        <v>0</v>
      </c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65"/>
      <c r="AO24" s="465"/>
      <c r="AP24" s="465"/>
      <c r="AQ24" s="465"/>
      <c r="AR24" s="465"/>
      <c r="AS24" s="465"/>
      <c r="AT24" s="465"/>
      <c r="AU24" s="465"/>
      <c r="AV24" s="465"/>
      <c r="AW24" s="465">
        <v>4</v>
      </c>
      <c r="AX24" s="210">
        <f>VLOOKUP("A_7500120",'[8]IS ACCTS'!$G$3:$ZZ$618,86,FALSE)</f>
        <v>4</v>
      </c>
      <c r="AY24" s="210">
        <v>3.9944099999999998</v>
      </c>
      <c r="AZ24" s="210">
        <v>3.9944099999999998</v>
      </c>
      <c r="BA24" s="210">
        <v>3.9944099999999998</v>
      </c>
      <c r="BB24" s="210">
        <v>7.83094</v>
      </c>
      <c r="BC24" s="210">
        <v>7.6524399999999995</v>
      </c>
      <c r="BD24" s="210">
        <v>7.83094</v>
      </c>
      <c r="BE24" s="210">
        <v>7.83094</v>
      </c>
      <c r="BF24" s="584">
        <f>VLOOKUP("A_7500120",'[8]IS ACCTS'!$G$3:$ZZ$999,94,FALSE)</f>
        <v>7.8</v>
      </c>
      <c r="BG24" s="584">
        <f>VLOOKUP("A_7500120",'[8]IS ACCTS'!$G$3:$ZZ$999,95,FALSE)</f>
        <v>7.8</v>
      </c>
      <c r="BH24" s="584">
        <f>VLOOKUP("A_7500120",'[8]IS ACCTS'!$G$3:$ZZ$999,96,FALSE)</f>
        <v>7.8</v>
      </c>
      <c r="BI24" s="584">
        <f>VLOOKUP("A_7500120",'[8]IS ACCTS'!$G$3:$ZZ$999,97,FALSE)</f>
        <v>7.8</v>
      </c>
      <c r="BJ24" s="584">
        <f>VLOOKUP("A_7500120",'[8]IS ACCTS'!$G$3:$ZZ$999,98,FALSE)</f>
        <v>7.8</v>
      </c>
      <c r="BK24" s="584">
        <f>VLOOKUP("A_7500120",'[8]IS ACCTS'!$G$3:$ZZ$999,99,FALSE)</f>
        <v>7.8</v>
      </c>
      <c r="BL24" s="584">
        <v>7.83094</v>
      </c>
      <c r="BM24" s="584">
        <v>7.83094</v>
      </c>
      <c r="BN24" s="584">
        <v>7.83094</v>
      </c>
      <c r="BO24" s="584">
        <v>7.83094</v>
      </c>
      <c r="BP24" s="584">
        <v>7.83094</v>
      </c>
      <c r="BQ24" s="584">
        <v>7.83094</v>
      </c>
      <c r="BR24" s="584">
        <v>8.5574899999999996</v>
      </c>
      <c r="BS24" s="584">
        <v>8.5558700000000005</v>
      </c>
      <c r="BT24" s="584">
        <v>8.5558700000000005</v>
      </c>
      <c r="BU24" s="584">
        <v>8.3017000000000003</v>
      </c>
      <c r="BV24" s="584">
        <v>8.3017000000000003</v>
      </c>
      <c r="BW24" s="584">
        <v>8.3017000000000003</v>
      </c>
      <c r="BX24" s="584">
        <f>VLOOKUP("A_7500120",'[8]IS ACCTS'!$G$3:$ZZ$999,112,FALSE)</f>
        <v>0</v>
      </c>
      <c r="BY24" s="584">
        <f>VLOOKUP("A_7500120",'[8]IS ACCTS'!$G$3:$ZZ$999,113,FALSE)</f>
        <v>0</v>
      </c>
      <c r="BZ24" s="584">
        <f>VLOOKUP("A_7500120",'[8]IS ACCTS'!$G$3:$ZZ$999,114,FALSE)</f>
        <v>0</v>
      </c>
      <c r="CA24" s="584">
        <f>VLOOKUP("A_7500120",'[8]IS ACCTS'!$G$3:$ZZ$999,115,FALSE)</f>
        <v>0</v>
      </c>
      <c r="CB24" s="584">
        <f>VLOOKUP("A_7500120",'[8]IS ACCTS'!$G$3:$ZZ$999,116,FALSE)</f>
        <v>0</v>
      </c>
      <c r="CC24" s="584">
        <f>VLOOKUP("A_7500120",'[8]IS ACCTS'!$G$3:$ZZ$999,117,FALSE)</f>
        <v>0</v>
      </c>
      <c r="CD24" s="584">
        <f>VLOOKUP("A_7500120",'[8]IS ACCTS'!$G$3:$ZZ$999,118,FALSE)</f>
        <v>0</v>
      </c>
      <c r="CE24" s="584">
        <f>VLOOKUP("A_7500120",'[8]IS ACCTS'!$G$3:$ZZ$999,119,FALSE)</f>
        <v>0</v>
      </c>
      <c r="CF24" s="584">
        <f>VLOOKUP("A_7500120",'[8]IS ACCTS'!$G$3:$ZZ$999,120,FALSE)</f>
        <v>0</v>
      </c>
      <c r="CG24" s="584">
        <f>VLOOKUP("A_7500120",'[8]IS ACCTS'!$G$3:$ZZ$999,121,FALSE)</f>
        <v>0</v>
      </c>
      <c r="CH24" s="584">
        <f>VLOOKUP("A_7500120",'[8]IS ACCTS'!$G$3:$ZZ$999,122,FALSE)</f>
        <v>0</v>
      </c>
      <c r="CI24" s="584">
        <f>VLOOKUP("A_7500120",'[8]IS ACCTS'!$G$3:$ZZ$999,123,FALSE)</f>
        <v>0</v>
      </c>
    </row>
    <row r="25" spans="1:87">
      <c r="A25" s="376" t="s">
        <v>565</v>
      </c>
      <c r="B25" s="447" t="s">
        <v>566</v>
      </c>
      <c r="C25" s="286">
        <f ca="1">SUM(OFFSET(BL25:BW25,0,'Bal Sheet'!$A$1))</f>
        <v>0</v>
      </c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65"/>
      <c r="AO25" s="465"/>
      <c r="AP25" s="465"/>
      <c r="AQ25" s="465"/>
      <c r="AR25" s="465"/>
      <c r="AS25" s="465"/>
      <c r="AT25" s="465"/>
      <c r="AU25" s="465"/>
      <c r="AV25" s="465"/>
      <c r="AW25" s="465">
        <v>11.5</v>
      </c>
      <c r="AX25" s="210">
        <f>VLOOKUP("A_7500130",'[8]IS ACCTS'!$G$3:$ZZ$618,86,FALSE)</f>
        <v>11.5</v>
      </c>
      <c r="AY25" s="210">
        <v>11.476790000000001</v>
      </c>
      <c r="AZ25" s="210">
        <v>11.476790000000001</v>
      </c>
      <c r="BA25" s="210">
        <v>11.476790000000001</v>
      </c>
      <c r="BB25" s="210">
        <v>21.131589999999999</v>
      </c>
      <c r="BC25" s="210">
        <v>22.693210000000001</v>
      </c>
      <c r="BD25" s="210">
        <v>24.477970000000003</v>
      </c>
      <c r="BE25" s="210">
        <v>26.535630000000001</v>
      </c>
      <c r="BF25" s="584">
        <f>VLOOKUP("A_7500130",'[8]IS ACCTS'!$G$3:$ZZ$999,94,FALSE)</f>
        <v>23.7</v>
      </c>
      <c r="BG25" s="584">
        <f>VLOOKUP("A_7500130",'[8]IS ACCTS'!$G$3:$ZZ$999,95,FALSE)</f>
        <v>23.7</v>
      </c>
      <c r="BH25" s="584">
        <f>VLOOKUP("A_7500130",'[8]IS ACCTS'!$G$3:$ZZ$999,96,FALSE)</f>
        <v>23.7</v>
      </c>
      <c r="BI25" s="584">
        <f>VLOOKUP("A_7500130",'[8]IS ACCTS'!$G$3:$ZZ$999,97,FALSE)</f>
        <v>23.7</v>
      </c>
      <c r="BJ25" s="584">
        <f>VLOOKUP("A_7500130",'[8]IS ACCTS'!$G$3:$ZZ$999,98,FALSE)</f>
        <v>25.2</v>
      </c>
      <c r="BK25" s="584">
        <f>VLOOKUP("A_7500130",'[8]IS ACCTS'!$G$3:$ZZ$999,99,FALSE)</f>
        <v>23.7</v>
      </c>
      <c r="BL25" s="584">
        <v>23.717689999999997</v>
      </c>
      <c r="BM25" s="584">
        <v>23.717689999999997</v>
      </c>
      <c r="BN25" s="584">
        <v>23.717689999999997</v>
      </c>
      <c r="BO25" s="584">
        <v>23.717689999999997</v>
      </c>
      <c r="BP25" s="584">
        <v>23.717689999999997</v>
      </c>
      <c r="BQ25" s="584">
        <v>23.717689999999997</v>
      </c>
      <c r="BR25" s="584">
        <v>29.831289999999999</v>
      </c>
      <c r="BS25" s="584">
        <v>32.956739999999996</v>
      </c>
      <c r="BT25" s="584">
        <v>31.44614</v>
      </c>
      <c r="BU25" s="584">
        <v>31.017469999999999</v>
      </c>
      <c r="BV25" s="584">
        <v>30.085979999999999</v>
      </c>
      <c r="BW25" s="584">
        <v>30.085979999999999</v>
      </c>
      <c r="BX25" s="584">
        <f>VLOOKUP("A_7500130",'[8]IS ACCTS'!$G$3:$ZZ$999,112,FALSE)</f>
        <v>0</v>
      </c>
      <c r="BY25" s="584">
        <f>VLOOKUP("A_7500130",'[8]IS ACCTS'!$G$3:$ZZ$999,113,FALSE)</f>
        <v>0</v>
      </c>
      <c r="BZ25" s="584">
        <f>VLOOKUP("A_7500130",'[8]IS ACCTS'!$G$3:$ZZ$999,114,FALSE)</f>
        <v>0</v>
      </c>
      <c r="CA25" s="584">
        <f>VLOOKUP("A_7500130",'[8]IS ACCTS'!$G$3:$ZZ$999,115,FALSE)</f>
        <v>0</v>
      </c>
      <c r="CB25" s="584">
        <f>VLOOKUP("A_7500130",'[8]IS ACCTS'!$G$3:$ZZ$999,116,FALSE)</f>
        <v>0</v>
      </c>
      <c r="CC25" s="584">
        <f>VLOOKUP("A_7500130",'[8]IS ACCTS'!$G$3:$ZZ$999,117,FALSE)</f>
        <v>0</v>
      </c>
      <c r="CD25" s="584">
        <f>VLOOKUP("A_7500130",'[8]IS ACCTS'!$G$3:$ZZ$999,118,FALSE)</f>
        <v>0</v>
      </c>
      <c r="CE25" s="584">
        <f>VLOOKUP("A_7500130",'[8]IS ACCTS'!$G$3:$ZZ$999,119,FALSE)</f>
        <v>0</v>
      </c>
      <c r="CF25" s="584">
        <f>VLOOKUP("A_7500130",'[8]IS ACCTS'!$G$3:$ZZ$999,120,FALSE)</f>
        <v>0</v>
      </c>
      <c r="CG25" s="584">
        <f>VLOOKUP("A_7500130",'[8]IS ACCTS'!$G$3:$ZZ$999,121,FALSE)</f>
        <v>0</v>
      </c>
      <c r="CH25" s="584">
        <f>VLOOKUP("A_7500130",'[8]IS ACCTS'!$G$3:$ZZ$999,122,FALSE)</f>
        <v>0</v>
      </c>
      <c r="CI25" s="584">
        <f>VLOOKUP("A_7500130",'[8]IS ACCTS'!$G$3:$ZZ$999,123,FALSE)</f>
        <v>0</v>
      </c>
    </row>
    <row r="26" spans="1:87">
      <c r="A26" s="376" t="s">
        <v>567</v>
      </c>
      <c r="B26" s="447" t="s">
        <v>562</v>
      </c>
      <c r="C26" s="286">
        <f ca="1">SUM(OFFSET(BL26:BW26,0,'Bal Sheet'!$A$1))</f>
        <v>0</v>
      </c>
      <c r="D26" s="210">
        <v>1103.4000000000001</v>
      </c>
      <c r="E26" s="210">
        <v>1103.4000000000001</v>
      </c>
      <c r="F26" s="210">
        <v>1103.4000000000001</v>
      </c>
      <c r="G26" s="210">
        <v>1103.4000000000001</v>
      </c>
      <c r="H26" s="210">
        <v>1103.4000000000001</v>
      </c>
      <c r="I26" s="210">
        <v>1103.4000000000001</v>
      </c>
      <c r="J26" s="210">
        <v>1103.4000000000001</v>
      </c>
      <c r="K26" s="210">
        <v>1103.4000000000001</v>
      </c>
      <c r="L26" s="210">
        <v>1103.4000000000001</v>
      </c>
      <c r="M26" s="210">
        <v>1103.4000000000001</v>
      </c>
      <c r="N26" s="210">
        <v>1103.4000000000001</v>
      </c>
      <c r="O26" s="210">
        <v>1103.4000000000001</v>
      </c>
      <c r="P26" s="408">
        <v>1103.4000000000001</v>
      </c>
      <c r="Q26" s="408">
        <v>1103.4000000000001</v>
      </c>
      <c r="R26" s="408">
        <v>1103.4000000000001</v>
      </c>
      <c r="S26" s="408">
        <v>1103.4000000000001</v>
      </c>
      <c r="T26" s="408">
        <v>976.3</v>
      </c>
      <c r="U26" s="408">
        <v>1055.2</v>
      </c>
      <c r="V26" s="408">
        <v>1117.9000000000001</v>
      </c>
      <c r="W26" s="408">
        <v>1117.9000000000001</v>
      </c>
      <c r="X26" s="404">
        <v>1117.9000000000001</v>
      </c>
      <c r="Y26" s="404">
        <v>1198.3</v>
      </c>
      <c r="Z26" s="404">
        <v>1210.5999999999999</v>
      </c>
      <c r="AA26" s="404">
        <v>1210.5999999999999</v>
      </c>
      <c r="AB26" s="404">
        <v>1210.5999999999999</v>
      </c>
      <c r="AC26" s="404">
        <v>1210.5999999999999</v>
      </c>
      <c r="AD26" s="465">
        <v>1210.6493899999998</v>
      </c>
      <c r="AE26" s="465">
        <v>1210.6493899999998</v>
      </c>
      <c r="AF26" s="465">
        <v>1210.6493899999998</v>
      </c>
      <c r="AG26" s="465">
        <v>1210.6493899999998</v>
      </c>
      <c r="AH26" s="465">
        <v>1230.78828</v>
      </c>
      <c r="AI26" s="465">
        <v>1286.17022</v>
      </c>
      <c r="AJ26" s="465">
        <v>1286.17022</v>
      </c>
      <c r="AK26" s="465">
        <v>1286.17022</v>
      </c>
      <c r="AL26" s="465">
        <v>1286.17022</v>
      </c>
      <c r="AM26" s="465">
        <v>1286.17022</v>
      </c>
      <c r="AN26" s="465">
        <v>1286.17022</v>
      </c>
      <c r="AO26" s="465">
        <v>1286.17022</v>
      </c>
      <c r="AP26" s="465">
        <v>1281.1355100000001</v>
      </c>
      <c r="AQ26" s="465">
        <v>1286.17022</v>
      </c>
      <c r="AR26" s="465">
        <v>1286.17022</v>
      </c>
      <c r="AS26" s="465">
        <v>1286.17022</v>
      </c>
      <c r="AT26" s="465">
        <v>1286.17022</v>
      </c>
      <c r="AU26" s="465">
        <v>1286.17022</v>
      </c>
      <c r="AV26" s="465">
        <v>1286.17022</v>
      </c>
      <c r="AW26" s="465">
        <v>0</v>
      </c>
      <c r="AX26" s="210" t="e">
        <f>VLOOKUP("A_S7500110",'[8]IS ACCTS'!$G$3:$ZZ$618,86,FALSE)</f>
        <v>#N/A</v>
      </c>
      <c r="AY26" s="210" t="e">
        <f>VLOOKUP("A_S7500110",'[8]IS ACCTS'!$G$3:$ZZ$618,87,FALSE)</f>
        <v>#N/A</v>
      </c>
      <c r="AZ26" s="210" t="e">
        <f>VLOOKUP("A_S7500110",'[8]IS ACCTS'!$G$3:$ZZ$618,88,FALSE)</f>
        <v>#N/A</v>
      </c>
      <c r="BA26" s="210">
        <v>0</v>
      </c>
      <c r="BB26" s="210">
        <v>0</v>
      </c>
      <c r="BC26" s="210">
        <v>0</v>
      </c>
      <c r="BD26" s="210">
        <v>0</v>
      </c>
      <c r="BE26" s="210">
        <f>VLOOKUP("A_S7500110",'[8]IS ACCTS'!$G$3:$ZZ$999,93,FALSE)</f>
        <v>0</v>
      </c>
      <c r="BF26" s="584">
        <f>VLOOKUP("A_S7500110",'[8]IS ACCTS'!$G$3:$ZZ$999,94,FALSE)</f>
        <v>0</v>
      </c>
      <c r="BG26" s="584">
        <f>VLOOKUP("A_S7500110",'[8]IS ACCTS'!$G$3:$ZZ$999,95,FALSE)</f>
        <v>0</v>
      </c>
      <c r="BH26" s="584">
        <f>VLOOKUP("A_S7500110",'[8]IS ACCTS'!$G$3:$ZZ$999,96,FALSE)</f>
        <v>0</v>
      </c>
      <c r="BI26" s="584">
        <f>VLOOKUP("A_S7500110",'[8]IS ACCTS'!$G$3:$ZZ$999,97,FALSE)</f>
        <v>0</v>
      </c>
      <c r="BJ26" s="584">
        <f>VLOOKUP("A_S7500110",'[8]IS ACCTS'!$G$3:$ZZ$999,98,FALSE)</f>
        <v>0</v>
      </c>
      <c r="BK26" s="584">
        <f>VLOOKUP("A_S7500110",'[8]IS ACCTS'!$G$3:$ZZ$999,99,FALSE)</f>
        <v>0</v>
      </c>
      <c r="BL26" s="584">
        <v>0</v>
      </c>
      <c r="BM26" s="584">
        <v>0</v>
      </c>
      <c r="BN26" s="584">
        <v>0</v>
      </c>
      <c r="BO26" s="584">
        <v>0</v>
      </c>
      <c r="BP26" s="584">
        <v>0</v>
      </c>
      <c r="BQ26" s="584">
        <v>0</v>
      </c>
      <c r="BR26" s="584">
        <v>0</v>
      </c>
      <c r="BS26" s="584">
        <v>0</v>
      </c>
      <c r="BT26" s="584">
        <v>0</v>
      </c>
      <c r="BU26" s="584">
        <v>0</v>
      </c>
      <c r="BV26" s="584">
        <v>0</v>
      </c>
      <c r="BW26" s="584">
        <v>0</v>
      </c>
      <c r="BX26" s="584">
        <f>VLOOKUP("A_S7500110",'[8]IS ACCTS'!$G$3:$ZZ$999,112,FALSE)</f>
        <v>0</v>
      </c>
      <c r="BY26" s="584">
        <f>VLOOKUP("A_S7500110",'[8]IS ACCTS'!$G$3:$ZZ$999,113,FALSE)</f>
        <v>0</v>
      </c>
      <c r="BZ26" s="584">
        <f>VLOOKUP("A_S7500110",'[8]IS ACCTS'!$G$3:$ZZ$999,114,FALSE)</f>
        <v>0</v>
      </c>
      <c r="CA26" s="584">
        <f>VLOOKUP("A_S7500110",'[8]IS ACCTS'!$G$3:$ZZ$999,115,FALSE)</f>
        <v>0</v>
      </c>
      <c r="CB26" s="584">
        <f>VLOOKUP("A_S7500110",'[8]IS ACCTS'!$G$3:$ZZ$999,116,FALSE)</f>
        <v>0</v>
      </c>
      <c r="CC26" s="584">
        <f>VLOOKUP("A_S7500110",'[8]IS ACCTS'!$G$3:$ZZ$999,117,FALSE)</f>
        <v>0</v>
      </c>
      <c r="CD26" s="584">
        <f>VLOOKUP("A_S7500110",'[8]IS ACCTS'!$G$3:$ZZ$999,118,FALSE)</f>
        <v>0</v>
      </c>
      <c r="CE26" s="584">
        <f>VLOOKUP("A_S7500110",'[8]IS ACCTS'!$G$3:$ZZ$999,119,FALSE)</f>
        <v>0</v>
      </c>
      <c r="CF26" s="584">
        <f>VLOOKUP("A_S7500110",'[8]IS ACCTS'!$G$3:$ZZ$999,120,FALSE)</f>
        <v>0</v>
      </c>
      <c r="CG26" s="584">
        <f>VLOOKUP("A_S7500110",'[8]IS ACCTS'!$G$3:$ZZ$999,121,FALSE)</f>
        <v>0</v>
      </c>
      <c r="CH26" s="584">
        <f>VLOOKUP("A_S7500110",'[8]IS ACCTS'!$G$3:$ZZ$999,122,FALSE)</f>
        <v>0</v>
      </c>
      <c r="CI26" s="584">
        <f>VLOOKUP("A_S7500110",'[8]IS ACCTS'!$G$3:$ZZ$999,123,FALSE)</f>
        <v>0</v>
      </c>
    </row>
    <row r="27" spans="1:87">
      <c r="A27" s="376" t="s">
        <v>1203</v>
      </c>
      <c r="B27" s="447" t="s">
        <v>1204</v>
      </c>
      <c r="C27" s="286">
        <f ca="1">SUM(OFFSET(BL27:BW27,0,'Bal Sheet'!$A$1))</f>
        <v>17254.5</v>
      </c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408"/>
      <c r="Q27" s="408"/>
      <c r="R27" s="408"/>
      <c r="S27" s="408"/>
      <c r="T27" s="408"/>
      <c r="U27" s="408"/>
      <c r="V27" s="408"/>
      <c r="W27" s="408"/>
      <c r="X27" s="404"/>
      <c r="Y27" s="404"/>
      <c r="Z27" s="404"/>
      <c r="AA27" s="404"/>
      <c r="AB27" s="404"/>
      <c r="AC27" s="404"/>
      <c r="AD27" s="465"/>
      <c r="AE27" s="465"/>
      <c r="AF27" s="465"/>
      <c r="AG27" s="465"/>
      <c r="AH27" s="465"/>
      <c r="AI27" s="465"/>
      <c r="AJ27" s="465"/>
      <c r="AK27" s="465"/>
      <c r="AL27" s="465"/>
      <c r="AM27" s="465"/>
      <c r="AN27" s="465"/>
      <c r="AO27" s="465"/>
      <c r="AP27" s="465"/>
      <c r="AQ27" s="465"/>
      <c r="AR27" s="465"/>
      <c r="AS27" s="465"/>
      <c r="AT27" s="465"/>
      <c r="AU27" s="465"/>
      <c r="AV27" s="465"/>
      <c r="AW27" s="465"/>
      <c r="AX27" s="210"/>
      <c r="AY27" s="210"/>
      <c r="AZ27" s="210"/>
      <c r="BA27" s="210"/>
      <c r="BB27" s="210"/>
      <c r="BC27" s="210"/>
      <c r="BD27" s="210"/>
      <c r="BE27" s="210"/>
      <c r="BF27" s="584"/>
      <c r="BG27" s="584"/>
      <c r="BH27" s="584"/>
      <c r="BI27" s="584"/>
      <c r="BJ27" s="584"/>
      <c r="BK27" s="584"/>
      <c r="BL27" s="584">
        <v>0</v>
      </c>
      <c r="BM27" s="584">
        <v>0</v>
      </c>
      <c r="BN27" s="584">
        <v>0</v>
      </c>
      <c r="BO27" s="584">
        <v>0</v>
      </c>
      <c r="BP27" s="584">
        <v>0</v>
      </c>
      <c r="BQ27" s="584">
        <v>0</v>
      </c>
      <c r="BR27" s="584">
        <v>0</v>
      </c>
      <c r="BS27" s="584">
        <v>0</v>
      </c>
      <c r="BT27" s="584">
        <v>0</v>
      </c>
      <c r="BU27" s="584">
        <v>0</v>
      </c>
      <c r="BV27" s="584">
        <v>0</v>
      </c>
      <c r="BW27" s="584">
        <v>0</v>
      </c>
      <c r="BX27" s="584">
        <f>VLOOKUP("A_S7500700",'[8]IS ACCTS'!$G$3:$ZZ$999,112,FALSE)</f>
        <v>1917.7</v>
      </c>
      <c r="BY27" s="584">
        <f>VLOOKUP("A_S7500700",'[8]IS ACCTS'!$G$3:$ZZ$999,113,FALSE)</f>
        <v>1917.7</v>
      </c>
      <c r="BZ27" s="584">
        <f>VLOOKUP("A_S7500700",'[8]IS ACCTS'!$G$3:$ZZ$999,114,FALSE)</f>
        <v>1917.7</v>
      </c>
      <c r="CA27" s="584">
        <f>VLOOKUP("A_S7500700",'[8]IS ACCTS'!$G$3:$ZZ$999,115,FALSE)</f>
        <v>1916.9</v>
      </c>
      <c r="CB27" s="584">
        <f>VLOOKUP("A_S7500700",'[8]IS ACCTS'!$G$3:$ZZ$999,116,FALSE)</f>
        <v>1916.9</v>
      </c>
      <c r="CC27" s="584">
        <f>VLOOKUP("A_S7500700",'[8]IS ACCTS'!$G$3:$ZZ$999,117,FALSE)</f>
        <v>1916.9</v>
      </c>
      <c r="CD27" s="584">
        <f>VLOOKUP("A_S7500700",'[8]IS ACCTS'!$G$3:$ZZ$999,118,FALSE)</f>
        <v>1916.9</v>
      </c>
      <c r="CE27" s="584">
        <f>VLOOKUP("A_S7500700",'[8]IS ACCTS'!$G$3:$ZZ$999,119,FALSE)</f>
        <v>1916.9</v>
      </c>
      <c r="CF27" s="584">
        <f>VLOOKUP("A_S7500700",'[8]IS ACCTS'!$G$3:$ZZ$999,120,FALSE)</f>
        <v>1916.9</v>
      </c>
      <c r="CG27" s="584">
        <f>VLOOKUP("A_S7500700",'[8]IS ACCTS'!$G$3:$ZZ$999,121,FALSE)</f>
        <v>0</v>
      </c>
      <c r="CH27" s="584">
        <f>VLOOKUP("A_S7500700",'[8]IS ACCTS'!$G$3:$ZZ$999,122,FALSE)</f>
        <v>0</v>
      </c>
      <c r="CI27" s="584">
        <f>VLOOKUP("A_S7500700",'[8]IS ACCTS'!$G$3:$ZZ$999,123,FALSE)</f>
        <v>0</v>
      </c>
    </row>
    <row r="28" spans="1:87">
      <c r="A28" s="376" t="s">
        <v>568</v>
      </c>
      <c r="B28" s="447" t="s">
        <v>564</v>
      </c>
      <c r="C28" s="286">
        <f ca="1">SUM(OFFSET(BL28:BW28,0,'Bal Sheet'!$A$1))</f>
        <v>0</v>
      </c>
      <c r="D28" s="210">
        <v>1.7</v>
      </c>
      <c r="E28" s="210">
        <v>1.7</v>
      </c>
      <c r="F28" s="210">
        <v>1.7</v>
      </c>
      <c r="G28" s="210">
        <v>1.7</v>
      </c>
      <c r="H28" s="210">
        <v>1.7</v>
      </c>
      <c r="I28" s="210">
        <v>1.7</v>
      </c>
      <c r="J28" s="210">
        <v>1.7</v>
      </c>
      <c r="K28" s="210">
        <v>1.7</v>
      </c>
      <c r="L28" s="210">
        <v>1.7</v>
      </c>
      <c r="M28" s="210">
        <v>1.7</v>
      </c>
      <c r="N28" s="210">
        <v>1.7</v>
      </c>
      <c r="O28" s="210">
        <v>1.7</v>
      </c>
      <c r="P28" s="408">
        <v>1.7</v>
      </c>
      <c r="Q28" s="408">
        <v>1.7</v>
      </c>
      <c r="R28" s="408">
        <v>1.7</v>
      </c>
      <c r="S28" s="408">
        <v>1.7</v>
      </c>
      <c r="T28" s="408">
        <v>1.7</v>
      </c>
      <c r="U28" s="408">
        <v>2.8</v>
      </c>
      <c r="V28" s="408">
        <v>2.8</v>
      </c>
      <c r="W28" s="408">
        <v>2.8</v>
      </c>
      <c r="X28" s="404">
        <v>2.8</v>
      </c>
      <c r="Y28" s="404">
        <v>3.2</v>
      </c>
      <c r="Z28" s="404">
        <v>3.2</v>
      </c>
      <c r="AA28" s="404">
        <v>3.2</v>
      </c>
      <c r="AB28" s="404">
        <v>3.2</v>
      </c>
      <c r="AC28" s="404">
        <v>3.2</v>
      </c>
      <c r="AD28" s="465">
        <v>3.1682600000000001</v>
      </c>
      <c r="AE28" s="465">
        <v>3.1682600000000001</v>
      </c>
      <c r="AF28" s="465">
        <v>3.1682600000000001</v>
      </c>
      <c r="AG28" s="465">
        <v>3.1682600000000001</v>
      </c>
      <c r="AH28" s="465">
        <v>3.1682600000000001</v>
      </c>
      <c r="AI28" s="465">
        <v>3.9927600000000001</v>
      </c>
      <c r="AJ28" s="465">
        <v>3.9944099999999998</v>
      </c>
      <c r="AK28" s="465">
        <v>3.9944099999999998</v>
      </c>
      <c r="AL28" s="465">
        <v>3.9944099999999998</v>
      </c>
      <c r="AM28" s="465">
        <v>3.9944099999999998</v>
      </c>
      <c r="AN28" s="465">
        <v>3.9944099999999998</v>
      </c>
      <c r="AO28" s="465">
        <v>3.9944099999999998</v>
      </c>
      <c r="AP28" s="465">
        <v>3.9944099999999998</v>
      </c>
      <c r="AQ28" s="465">
        <v>3.9944099999999998</v>
      </c>
      <c r="AR28" s="465">
        <v>3.9944099999999998</v>
      </c>
      <c r="AS28" s="465">
        <v>3.9944099999999998</v>
      </c>
      <c r="AT28" s="465">
        <v>3.9944099999999998</v>
      </c>
      <c r="AU28" s="465">
        <v>3.9944099999999998</v>
      </c>
      <c r="AV28" s="465">
        <v>3.9944099999999998</v>
      </c>
      <c r="AW28" s="465">
        <v>0</v>
      </c>
      <c r="AX28" s="210" t="e">
        <f>VLOOKUP("A_S7500120",'[8]IS ACCTS'!$G$3:$ZZ$618,86,FALSE)</f>
        <v>#N/A</v>
      </c>
      <c r="AY28" s="210" t="e">
        <f>VLOOKUP("A_S7500120",'[8]IS ACCTS'!$G$3:$ZZ$618,87,FALSE)</f>
        <v>#N/A</v>
      </c>
      <c r="AZ28" s="210" t="e">
        <f>VLOOKUP("A_S7500120",'[8]IS ACCTS'!$G$3:$ZZ$618,88,FALSE)</f>
        <v>#N/A</v>
      </c>
      <c r="BA28" s="210">
        <v>0</v>
      </c>
      <c r="BB28" s="210">
        <v>0</v>
      </c>
      <c r="BC28" s="210">
        <v>0</v>
      </c>
      <c r="BD28" s="210">
        <v>0</v>
      </c>
      <c r="BE28" s="210">
        <f>VLOOKUP("A_S7500120",'[8]IS ACCTS'!$G$3:$ZZ$999,93,FALSE)</f>
        <v>0</v>
      </c>
      <c r="BF28" s="584">
        <f>VLOOKUP("A_S7500120",'[8]IS ACCTS'!$G$3:$ZZ$999,94,FALSE)</f>
        <v>0</v>
      </c>
      <c r="BG28" s="584">
        <f>VLOOKUP("A_S7500120",'[8]IS ACCTS'!$G$3:$ZZ$999,95,FALSE)</f>
        <v>0</v>
      </c>
      <c r="BH28" s="584">
        <f>VLOOKUP("A_S7500120",'[8]IS ACCTS'!$G$3:$ZZ$999,96,FALSE)</f>
        <v>0</v>
      </c>
      <c r="BI28" s="584">
        <f>VLOOKUP("A_S7500120",'[8]IS ACCTS'!$G$3:$ZZ$999,97,FALSE)</f>
        <v>0</v>
      </c>
      <c r="BJ28" s="584">
        <f>VLOOKUP("A_S7500120",'[8]IS ACCTS'!$G$3:$ZZ$999,98,FALSE)</f>
        <v>0</v>
      </c>
      <c r="BK28" s="584">
        <f>VLOOKUP("A_S7500120",'[8]IS ACCTS'!$G$3:$ZZ$999,99,FALSE)</f>
        <v>0</v>
      </c>
      <c r="BL28" s="584">
        <v>0</v>
      </c>
      <c r="BM28" s="584">
        <v>0</v>
      </c>
      <c r="BN28" s="584">
        <v>0</v>
      </c>
      <c r="BO28" s="584">
        <v>0</v>
      </c>
      <c r="BP28" s="584">
        <v>0</v>
      </c>
      <c r="BQ28" s="584">
        <v>0</v>
      </c>
      <c r="BR28" s="584">
        <v>0</v>
      </c>
      <c r="BS28" s="584">
        <v>0</v>
      </c>
      <c r="BT28" s="584">
        <v>0</v>
      </c>
      <c r="BU28" s="584">
        <v>0</v>
      </c>
      <c r="BV28" s="584">
        <v>0</v>
      </c>
      <c r="BW28" s="584">
        <v>0</v>
      </c>
      <c r="BX28" s="584">
        <f>VLOOKUP("A_S7500120",'[8]IS ACCTS'!$G$3:$ZZ$999,112,FALSE)</f>
        <v>0</v>
      </c>
      <c r="BY28" s="584">
        <f>VLOOKUP("A_S7500120",'[8]IS ACCTS'!$G$3:$ZZ$999,113,FALSE)</f>
        <v>0</v>
      </c>
      <c r="BZ28" s="584">
        <f>VLOOKUP("A_S7500120",'[8]IS ACCTS'!$G$3:$ZZ$999,114,FALSE)</f>
        <v>0</v>
      </c>
      <c r="CA28" s="584">
        <f>VLOOKUP("A_S7500120",'[8]IS ACCTS'!$G$3:$ZZ$999,115,FALSE)</f>
        <v>0</v>
      </c>
      <c r="CB28" s="584">
        <f>VLOOKUP("A_S7500120",'[8]IS ACCTS'!$G$3:$ZZ$999,116,FALSE)</f>
        <v>0</v>
      </c>
      <c r="CC28" s="584">
        <f>VLOOKUP("A_S7500120",'[8]IS ACCTS'!$G$3:$ZZ$999,117,FALSE)</f>
        <v>0</v>
      </c>
      <c r="CD28" s="584">
        <f>VLOOKUP("A_S7500120",'[8]IS ACCTS'!$G$3:$ZZ$999,118,FALSE)</f>
        <v>0</v>
      </c>
      <c r="CE28" s="584">
        <f>VLOOKUP("A_S7500120",'[8]IS ACCTS'!$G$3:$ZZ$999,119,FALSE)</f>
        <v>0</v>
      </c>
      <c r="CF28" s="584">
        <f>VLOOKUP("A_S7500120",'[8]IS ACCTS'!$G$3:$ZZ$999,120,FALSE)</f>
        <v>0</v>
      </c>
      <c r="CG28" s="584">
        <f>VLOOKUP("A_S7500120",'[8]IS ACCTS'!$G$3:$ZZ$999,121,FALSE)</f>
        <v>0</v>
      </c>
      <c r="CH28" s="584">
        <f>VLOOKUP("A_S7500120",'[8]IS ACCTS'!$G$3:$ZZ$999,122,FALSE)</f>
        <v>0</v>
      </c>
      <c r="CI28" s="584">
        <f>VLOOKUP("A_S7500120",'[8]IS ACCTS'!$G$3:$ZZ$999,123,FALSE)</f>
        <v>0</v>
      </c>
    </row>
    <row r="29" spans="1:87" ht="13.9" customHeight="1">
      <c r="A29" s="376" t="s">
        <v>569</v>
      </c>
      <c r="B29" s="447" t="s">
        <v>566</v>
      </c>
      <c r="C29" s="294">
        <f ca="1">SUM(OFFSET(BL29:BW29,0,'Bal Sheet'!$A$1))</f>
        <v>0</v>
      </c>
      <c r="D29" s="330">
        <v>43.6</v>
      </c>
      <c r="E29" s="330">
        <v>43.6</v>
      </c>
      <c r="F29" s="330">
        <v>43.6</v>
      </c>
      <c r="G29" s="330">
        <v>43.6</v>
      </c>
      <c r="H29" s="330">
        <v>43.6</v>
      </c>
      <c r="I29" s="330">
        <v>43.6</v>
      </c>
      <c r="J29" s="330">
        <v>43.6</v>
      </c>
      <c r="K29" s="330">
        <v>43.6</v>
      </c>
      <c r="L29" s="330">
        <v>43.6</v>
      </c>
      <c r="M29" s="330">
        <v>43.6</v>
      </c>
      <c r="N29" s="330">
        <v>43.6</v>
      </c>
      <c r="O29" s="330">
        <v>43.6</v>
      </c>
      <c r="P29" s="409">
        <v>43.6</v>
      </c>
      <c r="Q29" s="409">
        <v>43.6</v>
      </c>
      <c r="R29" s="409">
        <v>43.6</v>
      </c>
      <c r="S29" s="409">
        <v>43.6</v>
      </c>
      <c r="T29" s="409">
        <v>25.7</v>
      </c>
      <c r="U29" s="409">
        <v>9.8000000000000007</v>
      </c>
      <c r="V29" s="409">
        <v>9.9</v>
      </c>
      <c r="W29" s="409">
        <v>9.9</v>
      </c>
      <c r="X29" s="403">
        <v>10.3</v>
      </c>
      <c r="Y29" s="403">
        <v>10.6</v>
      </c>
      <c r="Z29" s="403">
        <v>10.7</v>
      </c>
      <c r="AA29" s="403">
        <v>10.7</v>
      </c>
      <c r="AB29" s="403">
        <v>10.7</v>
      </c>
      <c r="AC29" s="403">
        <v>10.7</v>
      </c>
      <c r="AD29" s="464">
        <v>10.884139999999999</v>
      </c>
      <c r="AE29" s="464">
        <v>10.69266</v>
      </c>
      <c r="AF29" s="464">
        <v>10.69266</v>
      </c>
      <c r="AG29" s="464">
        <v>10.69266</v>
      </c>
      <c r="AH29" s="464">
        <v>10.69266</v>
      </c>
      <c r="AI29" s="464">
        <v>11.405860000000001</v>
      </c>
      <c r="AJ29" s="464">
        <v>11.465909999999999</v>
      </c>
      <c r="AK29" s="464">
        <v>11.435409999999999</v>
      </c>
      <c r="AL29" s="464">
        <v>11.435409999999999</v>
      </c>
      <c r="AM29" s="464">
        <v>11.633809999999999</v>
      </c>
      <c r="AN29" s="464">
        <v>11.47551</v>
      </c>
      <c r="AO29" s="464">
        <v>11.47551</v>
      </c>
      <c r="AP29" s="464">
        <v>11.486870000000001</v>
      </c>
      <c r="AQ29" s="464">
        <v>11.476790000000001</v>
      </c>
      <c r="AR29" s="464">
        <v>11.476790000000001</v>
      </c>
      <c r="AS29" s="464">
        <v>11.476790000000001</v>
      </c>
      <c r="AT29" s="464">
        <v>11.476790000000001</v>
      </c>
      <c r="AU29" s="464">
        <v>11.476790000000001</v>
      </c>
      <c r="AV29" s="464">
        <v>11.476790000000001</v>
      </c>
      <c r="AW29" s="464">
        <v>0</v>
      </c>
      <c r="AX29" s="330" t="e">
        <f>VLOOKUP("A_S7500130",'[8]IS ACCTS'!$G$3:$ZZ$618,86,FALSE)</f>
        <v>#N/A</v>
      </c>
      <c r="AY29" s="330" t="e">
        <f>VLOOKUP("A_S7500130",'[8]IS ACCTS'!$G$3:$ZZ$618,87,FALSE)</f>
        <v>#N/A</v>
      </c>
      <c r="AZ29" s="330" t="e">
        <f>VLOOKUP("A_S7500130",'[8]IS ACCTS'!$G$3:$ZZ$618,88,FALSE)</f>
        <v>#N/A</v>
      </c>
      <c r="BA29" s="330">
        <v>0</v>
      </c>
      <c r="BB29" s="330">
        <v>0</v>
      </c>
      <c r="BC29" s="330">
        <v>0</v>
      </c>
      <c r="BD29" s="330">
        <v>0</v>
      </c>
      <c r="BE29" s="330">
        <f>VLOOKUP("A_S7500130",'[8]IS ACCTS'!$G$3:$ZZ$999,93,FALSE)</f>
        <v>0</v>
      </c>
      <c r="BF29" s="585">
        <f>VLOOKUP("A_S7500130",'[8]IS ACCTS'!$G$3:$ZZ$999,94,FALSE)</f>
        <v>0</v>
      </c>
      <c r="BG29" s="585">
        <f>VLOOKUP("A_S7500130",'[8]IS ACCTS'!$G$3:$ZZ$999,95,FALSE)</f>
        <v>0</v>
      </c>
      <c r="BH29" s="585">
        <f>VLOOKUP("A_S7500130",'[8]IS ACCTS'!$G$3:$ZZ$999,96,FALSE)</f>
        <v>0</v>
      </c>
      <c r="BI29" s="585">
        <f>VLOOKUP("A_S7500130",'[8]IS ACCTS'!$G$3:$ZZ$999,97,FALSE)</f>
        <v>0</v>
      </c>
      <c r="BJ29" s="585">
        <f>VLOOKUP("A_S7500130",'[8]IS ACCTS'!$G$3:$ZZ$999,98,FALSE)</f>
        <v>0</v>
      </c>
      <c r="BK29" s="585">
        <f>VLOOKUP("A_S7500130",'[8]IS ACCTS'!$G$3:$ZZ$999,99,FALSE)</f>
        <v>0</v>
      </c>
      <c r="BL29" s="585">
        <v>0</v>
      </c>
      <c r="BM29" s="585">
        <v>0</v>
      </c>
      <c r="BN29" s="585">
        <v>0</v>
      </c>
      <c r="BO29" s="585">
        <v>0</v>
      </c>
      <c r="BP29" s="585">
        <v>0</v>
      </c>
      <c r="BQ29" s="585">
        <v>0</v>
      </c>
      <c r="BR29" s="585">
        <v>0</v>
      </c>
      <c r="BS29" s="585">
        <v>0</v>
      </c>
      <c r="BT29" s="585">
        <v>0</v>
      </c>
      <c r="BU29" s="585">
        <v>0</v>
      </c>
      <c r="BV29" s="585">
        <v>0</v>
      </c>
      <c r="BW29" s="585">
        <v>0</v>
      </c>
      <c r="BX29" s="585">
        <f>VLOOKUP("A_S7500130",'[8]IS ACCTS'!$G$3:$ZZ$999,112,FALSE)</f>
        <v>0</v>
      </c>
      <c r="BY29" s="585">
        <f>VLOOKUP("A_S7500130",'[8]IS ACCTS'!$G$3:$ZZ$999,113,FALSE)</f>
        <v>0</v>
      </c>
      <c r="BZ29" s="585">
        <f>VLOOKUP("A_S7500130",'[8]IS ACCTS'!$G$3:$ZZ$999,114,FALSE)</f>
        <v>0</v>
      </c>
      <c r="CA29" s="585">
        <f>VLOOKUP("A_S7500130",'[8]IS ACCTS'!$G$3:$ZZ$999,115,FALSE)</f>
        <v>0</v>
      </c>
      <c r="CB29" s="585">
        <f>VLOOKUP("A_S7500130",'[8]IS ACCTS'!$G$3:$ZZ$999,116,FALSE)</f>
        <v>0</v>
      </c>
      <c r="CC29" s="585">
        <f>VLOOKUP("A_S7500130",'[8]IS ACCTS'!$G$3:$ZZ$999,117,FALSE)</f>
        <v>0</v>
      </c>
      <c r="CD29" s="585">
        <f>VLOOKUP("A_S7500130",'[8]IS ACCTS'!$G$3:$ZZ$999,118,FALSE)</f>
        <v>0</v>
      </c>
      <c r="CE29" s="585">
        <f>VLOOKUP("A_S7500130",'[8]IS ACCTS'!$G$3:$ZZ$999,119,FALSE)</f>
        <v>0</v>
      </c>
      <c r="CF29" s="585">
        <f>VLOOKUP("A_S7500130",'[8]IS ACCTS'!$G$3:$ZZ$999,120,FALSE)</f>
        <v>0</v>
      </c>
      <c r="CG29" s="585">
        <f>VLOOKUP("A_S7500130",'[8]IS ACCTS'!$G$3:$ZZ$999,121,FALSE)</f>
        <v>0</v>
      </c>
      <c r="CH29" s="585">
        <f>VLOOKUP("A_S7500130",'[8]IS ACCTS'!$G$3:$ZZ$999,122,FALSE)</f>
        <v>0</v>
      </c>
      <c r="CI29" s="585">
        <f>VLOOKUP("A_S7500130",'[8]IS ACCTS'!$G$3:$ZZ$999,123,FALSE)</f>
        <v>0</v>
      </c>
    </row>
    <row r="30" spans="1:87">
      <c r="B30" s="743" t="s">
        <v>570</v>
      </c>
      <c r="C30" s="293">
        <f ca="1">SUM(C23:C29)</f>
        <v>28744.5</v>
      </c>
      <c r="D30" s="33">
        <f t="shared" ref="D30:AV30" si="55">SUM(D26:D29)</f>
        <v>1148.7</v>
      </c>
      <c r="E30" s="33">
        <f t="shared" si="55"/>
        <v>1148.7</v>
      </c>
      <c r="F30" s="33">
        <f t="shared" si="55"/>
        <v>1148.7</v>
      </c>
      <c r="G30" s="33">
        <f t="shared" si="55"/>
        <v>1148.7</v>
      </c>
      <c r="H30" s="33">
        <f t="shared" si="55"/>
        <v>1148.7</v>
      </c>
      <c r="I30" s="33">
        <f t="shared" si="55"/>
        <v>1148.7</v>
      </c>
      <c r="J30" s="33">
        <f t="shared" si="55"/>
        <v>1148.7</v>
      </c>
      <c r="K30" s="33">
        <f t="shared" si="55"/>
        <v>1148.7</v>
      </c>
      <c r="L30" s="33">
        <f t="shared" si="55"/>
        <v>1148.7</v>
      </c>
      <c r="M30" s="33">
        <f t="shared" si="55"/>
        <v>1148.7</v>
      </c>
      <c r="N30" s="33">
        <f t="shared" si="55"/>
        <v>1148.7</v>
      </c>
      <c r="O30" s="33">
        <f t="shared" si="55"/>
        <v>1148.7</v>
      </c>
      <c r="P30" s="33">
        <f t="shared" si="55"/>
        <v>1148.7</v>
      </c>
      <c r="Q30" s="33">
        <f t="shared" si="55"/>
        <v>1148.7</v>
      </c>
      <c r="R30" s="33">
        <f t="shared" si="55"/>
        <v>1148.7</v>
      </c>
      <c r="S30" s="33">
        <f t="shared" si="55"/>
        <v>1148.7</v>
      </c>
      <c r="T30" s="33">
        <f t="shared" si="55"/>
        <v>1003.7</v>
      </c>
      <c r="U30" s="33">
        <f t="shared" si="55"/>
        <v>1067.8</v>
      </c>
      <c r="V30" s="33">
        <f t="shared" si="55"/>
        <v>1130.6000000000001</v>
      </c>
      <c r="W30" s="33">
        <f t="shared" si="55"/>
        <v>1130.6000000000001</v>
      </c>
      <c r="X30" s="33">
        <f t="shared" si="55"/>
        <v>1131</v>
      </c>
      <c r="Y30" s="33">
        <f t="shared" si="55"/>
        <v>1212.0999999999999</v>
      </c>
      <c r="Z30" s="33">
        <f t="shared" si="55"/>
        <v>1224.5</v>
      </c>
      <c r="AA30" s="33">
        <f t="shared" si="55"/>
        <v>1224.5</v>
      </c>
      <c r="AB30" s="33">
        <f t="shared" si="55"/>
        <v>1224.5</v>
      </c>
      <c r="AC30" s="33">
        <f t="shared" si="55"/>
        <v>1224.5</v>
      </c>
      <c r="AD30" s="33">
        <f t="shared" si="55"/>
        <v>1224.7017899999996</v>
      </c>
      <c r="AE30" s="33">
        <f t="shared" si="55"/>
        <v>1224.5103099999997</v>
      </c>
      <c r="AF30" s="33">
        <f t="shared" si="55"/>
        <v>1224.5103099999997</v>
      </c>
      <c r="AG30" s="33">
        <f t="shared" si="55"/>
        <v>1224.5103099999997</v>
      </c>
      <c r="AH30" s="33">
        <f t="shared" si="55"/>
        <v>1244.6491999999998</v>
      </c>
      <c r="AI30" s="33">
        <f t="shared" si="55"/>
        <v>1301.5688400000001</v>
      </c>
      <c r="AJ30" s="33">
        <f t="shared" si="55"/>
        <v>1301.6305399999999</v>
      </c>
      <c r="AK30" s="33">
        <f t="shared" si="55"/>
        <v>1301.60004</v>
      </c>
      <c r="AL30" s="33">
        <f t="shared" si="55"/>
        <v>1301.60004</v>
      </c>
      <c r="AM30" s="33">
        <f t="shared" si="55"/>
        <v>1301.79844</v>
      </c>
      <c r="AN30" s="33">
        <f t="shared" si="55"/>
        <v>1301.64014</v>
      </c>
      <c r="AO30" s="33">
        <f t="shared" si="55"/>
        <v>1301.64014</v>
      </c>
      <c r="AP30" s="33">
        <f t="shared" si="55"/>
        <v>1296.61679</v>
      </c>
      <c r="AQ30" s="33">
        <f t="shared" si="55"/>
        <v>1301.6414199999999</v>
      </c>
      <c r="AR30" s="33">
        <f t="shared" si="55"/>
        <v>1301.6414199999999</v>
      </c>
      <c r="AS30" s="33">
        <f t="shared" si="55"/>
        <v>1301.6414199999999</v>
      </c>
      <c r="AT30" s="33">
        <f t="shared" si="55"/>
        <v>1301.6414199999999</v>
      </c>
      <c r="AU30" s="33">
        <f t="shared" si="55"/>
        <v>1301.6414199999999</v>
      </c>
      <c r="AV30" s="33">
        <f t="shared" si="55"/>
        <v>1301.6414199999999</v>
      </c>
      <c r="AW30" s="33">
        <f t="shared" ref="AW30:CI30" si="56">SUM(AW23:AW29)</f>
        <v>1301.7</v>
      </c>
      <c r="AX30" s="33" t="e">
        <f t="shared" si="56"/>
        <v>#N/A</v>
      </c>
      <c r="AY30" s="33" t="e">
        <f t="shared" si="56"/>
        <v>#N/A</v>
      </c>
      <c r="AZ30" s="33" t="e">
        <f t="shared" si="56"/>
        <v>#N/A</v>
      </c>
      <c r="BA30" s="33">
        <f t="shared" si="56"/>
        <v>1301.6414199999999</v>
      </c>
      <c r="BB30" s="33">
        <f t="shared" si="56"/>
        <v>1632.82025</v>
      </c>
      <c r="BC30" s="33">
        <f t="shared" si="56"/>
        <v>1877.1408699999999</v>
      </c>
      <c r="BD30" s="33">
        <f t="shared" si="56"/>
        <v>1668.6630699999998</v>
      </c>
      <c r="BE30" s="33">
        <f t="shared" si="56"/>
        <v>1775.9412600000001</v>
      </c>
      <c r="BF30" s="33">
        <f t="shared" si="56"/>
        <v>1667.9</v>
      </c>
      <c r="BG30" s="33">
        <f t="shared" si="56"/>
        <v>1667.9</v>
      </c>
      <c r="BH30" s="33">
        <f t="shared" si="56"/>
        <v>1574.4</v>
      </c>
      <c r="BI30" s="33">
        <f t="shared" si="56"/>
        <v>1667.9</v>
      </c>
      <c r="BJ30" s="33">
        <f t="shared" si="56"/>
        <v>1669.4</v>
      </c>
      <c r="BK30" s="33">
        <f t="shared" si="56"/>
        <v>1667.9</v>
      </c>
      <c r="BL30" s="33">
        <f t="shared" si="56"/>
        <v>1667.9027899999999</v>
      </c>
      <c r="BM30" s="33">
        <f t="shared" si="56"/>
        <v>1667.9027899999999</v>
      </c>
      <c r="BN30" s="33">
        <f t="shared" si="56"/>
        <v>1667.9027899999999</v>
      </c>
      <c r="BO30" s="33">
        <f t="shared" si="56"/>
        <v>1667.9027899999999</v>
      </c>
      <c r="BP30" s="33">
        <f t="shared" si="56"/>
        <v>1667.9027899999999</v>
      </c>
      <c r="BQ30" s="33">
        <f t="shared" si="56"/>
        <v>1667.9027899999999</v>
      </c>
      <c r="BR30" s="33">
        <f t="shared" si="56"/>
        <v>1841.1491899999999</v>
      </c>
      <c r="BS30" s="33">
        <f t="shared" si="56"/>
        <v>1955.2105199999999</v>
      </c>
      <c r="BT30" s="33">
        <f t="shared" si="56"/>
        <v>1926.61646</v>
      </c>
      <c r="BU30" s="33">
        <f t="shared" si="56"/>
        <v>1898.85041</v>
      </c>
      <c r="BV30" s="33">
        <f t="shared" si="56"/>
        <v>1897.9189200000001</v>
      </c>
      <c r="BW30" s="33">
        <f t="shared" si="56"/>
        <v>1897.9189200000001</v>
      </c>
      <c r="BX30" s="33">
        <f t="shared" si="56"/>
        <v>1917.7</v>
      </c>
      <c r="BY30" s="33">
        <f t="shared" si="56"/>
        <v>1917.7</v>
      </c>
      <c r="BZ30" s="33">
        <f t="shared" si="56"/>
        <v>1917.7</v>
      </c>
      <c r="CA30" s="33">
        <f t="shared" si="56"/>
        <v>1916.9</v>
      </c>
      <c r="CB30" s="33">
        <f t="shared" si="56"/>
        <v>1916.9</v>
      </c>
      <c r="CC30" s="33">
        <f t="shared" si="56"/>
        <v>1916.9</v>
      </c>
      <c r="CD30" s="33">
        <f t="shared" si="56"/>
        <v>1916.9</v>
      </c>
      <c r="CE30" s="33">
        <f t="shared" si="56"/>
        <v>1916.9</v>
      </c>
      <c r="CF30" s="33">
        <f t="shared" si="56"/>
        <v>1916.9</v>
      </c>
      <c r="CG30" s="33">
        <f t="shared" si="56"/>
        <v>3830</v>
      </c>
      <c r="CH30" s="33">
        <f t="shared" si="56"/>
        <v>3830</v>
      </c>
      <c r="CI30" s="33">
        <f t="shared" si="56"/>
        <v>3830</v>
      </c>
    </row>
    <row r="31" spans="1:87"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</row>
    <row r="32" spans="1:87">
      <c r="B32" s="375" t="s">
        <v>571</v>
      </c>
      <c r="C32" s="447"/>
      <c r="D32" s="381">
        <v>13774.18312</v>
      </c>
      <c r="E32" s="381">
        <v>13774.18312</v>
      </c>
      <c r="F32" s="381">
        <v>13774.18312</v>
      </c>
      <c r="G32" s="381">
        <v>13774.18312</v>
      </c>
      <c r="H32" s="381">
        <v>13774.18312</v>
      </c>
      <c r="I32" s="381">
        <v>13774.18312</v>
      </c>
      <c r="J32" s="381">
        <v>13774.18312</v>
      </c>
      <c r="K32" s="381">
        <v>13784.43312</v>
      </c>
      <c r="L32" s="381">
        <v>13784.43312</v>
      </c>
      <c r="M32" s="381">
        <v>13784.43312</v>
      </c>
      <c r="N32" s="381">
        <v>13784.43312</v>
      </c>
      <c r="O32" s="381">
        <v>13784.43312</v>
      </c>
      <c r="P32" s="428">
        <f>SUM(E30:P30)</f>
        <v>13784.400000000003</v>
      </c>
      <c r="Q32" s="428">
        <f t="shared" ref="Q32:AA32" si="57">SUM(F30:Q30)</f>
        <v>13784.400000000003</v>
      </c>
      <c r="R32" s="428">
        <f t="shared" si="57"/>
        <v>13784.400000000003</v>
      </c>
      <c r="S32" s="428">
        <f t="shared" si="57"/>
        <v>13784.400000000003</v>
      </c>
      <c r="T32" s="428">
        <f>SUM(I30:T30)</f>
        <v>13639.400000000003</v>
      </c>
      <c r="U32" s="428">
        <f t="shared" si="57"/>
        <v>13558.500000000002</v>
      </c>
      <c r="V32" s="428">
        <f>SUM(K30:V30)</f>
        <v>13540.400000000001</v>
      </c>
      <c r="W32" s="428">
        <f t="shared" si="57"/>
        <v>13522.300000000001</v>
      </c>
      <c r="X32" s="428">
        <f t="shared" si="57"/>
        <v>13504.6</v>
      </c>
      <c r="Y32" s="428">
        <f t="shared" si="57"/>
        <v>13568</v>
      </c>
      <c r="Z32" s="428">
        <f t="shared" si="57"/>
        <v>13643.800000000001</v>
      </c>
      <c r="AA32" s="428">
        <f t="shared" si="57"/>
        <v>13719.6</v>
      </c>
      <c r="AB32" s="33">
        <f>SUM(Q30:AB30)</f>
        <v>13795.400000000001</v>
      </c>
      <c r="AC32" s="33">
        <f t="shared" ref="AC32" si="58">SUM(R30:AC30)</f>
        <v>13871.2</v>
      </c>
      <c r="AD32" s="33">
        <f t="shared" ref="AD32" si="59">SUM(S30:AD30)</f>
        <v>13947.201789999999</v>
      </c>
      <c r="AE32" s="33">
        <f t="shared" ref="AE32" si="60">SUM(T30:AE30)</f>
        <v>14023.0121</v>
      </c>
      <c r="AF32" s="33">
        <f t="shared" ref="AF32" si="61">SUM(U30:AF30)</f>
        <v>14243.822409999999</v>
      </c>
      <c r="AG32" s="33">
        <f t="shared" ref="AG32" si="62">SUM(V30:AG30)</f>
        <v>14400.532719999997</v>
      </c>
      <c r="AH32" s="33">
        <f t="shared" ref="AH32" si="63">SUM(W30:AH30)</f>
        <v>14514.581919999999</v>
      </c>
      <c r="AI32" s="33">
        <f t="shared" ref="AI32" si="64">SUM(X30:AI30)</f>
        <v>14685.550759999998</v>
      </c>
      <c r="AJ32" s="33">
        <f t="shared" ref="AJ32" si="65">SUM(Y30:AJ30)</f>
        <v>14856.181299999998</v>
      </c>
      <c r="AK32" s="33">
        <f t="shared" ref="AK32" si="66">SUM(Z30:AK30)</f>
        <v>14945.681339999997</v>
      </c>
      <c r="AL32" s="33">
        <f t="shared" ref="AL32" si="67">SUM(AA30:AL30)</f>
        <v>15022.781379999997</v>
      </c>
      <c r="AM32" s="33">
        <f t="shared" ref="AM32" si="68">SUM(AB30:AM30)</f>
        <v>15100.079819999997</v>
      </c>
      <c r="AN32" s="33">
        <f>SUM(AC30:AN30)</f>
        <v>15177.219959999997</v>
      </c>
      <c r="AO32" s="33">
        <f t="shared" ref="AO32" si="69">SUM(AD30:AO30)</f>
        <v>15254.360099999996</v>
      </c>
      <c r="AP32" s="33">
        <f t="shared" ref="AP32" si="70">SUM(AE30:AP30)</f>
        <v>15326.275099999997</v>
      </c>
      <c r="AQ32" s="33">
        <f t="shared" ref="AQ32" si="71">SUM(AF30:AQ30)</f>
        <v>15403.406209999999</v>
      </c>
      <c r="AR32" s="33">
        <f t="shared" ref="AR32" si="72">SUM(AG30:AR30)</f>
        <v>15480.537319999999</v>
      </c>
      <c r="AS32" s="33">
        <f t="shared" ref="AS32" si="73">SUM(AH30:AS30)</f>
        <v>15557.66843</v>
      </c>
      <c r="AT32" s="33">
        <f t="shared" ref="AT32" si="74">SUM(AI30:AT30)</f>
        <v>15614.66065</v>
      </c>
      <c r="AU32" s="33">
        <f t="shared" ref="AU32" si="75">SUM(AJ30:AU30)</f>
        <v>15614.733229999998</v>
      </c>
      <c r="AV32" s="33">
        <f t="shared" ref="AV32" si="76">SUM(AK30:AV30)</f>
        <v>15614.74411</v>
      </c>
      <c r="AW32" s="33">
        <f t="shared" ref="AW32" si="77">SUM(AL30:AW30)</f>
        <v>15614.844069999999</v>
      </c>
      <c r="AX32" s="33" t="e">
        <f t="shared" ref="AX32" si="78">SUM(AM30:AX30)</f>
        <v>#N/A</v>
      </c>
      <c r="AY32" s="33" t="e">
        <f>SUM(AN30:AY30)</f>
        <v>#N/A</v>
      </c>
      <c r="AZ32" s="33" t="e">
        <f t="shared" ref="AZ32:BH32" si="79">SUM(AO30:AZ30)</f>
        <v>#N/A</v>
      </c>
      <c r="BA32" s="33" t="e">
        <f t="shared" si="79"/>
        <v>#N/A</v>
      </c>
      <c r="BB32" s="33" t="e">
        <f t="shared" si="79"/>
        <v>#N/A</v>
      </c>
      <c r="BC32" s="33" t="e">
        <f t="shared" si="79"/>
        <v>#N/A</v>
      </c>
      <c r="BD32" s="33" t="e">
        <f t="shared" si="79"/>
        <v>#N/A</v>
      </c>
      <c r="BE32" s="33" t="e">
        <f t="shared" si="79"/>
        <v>#N/A</v>
      </c>
      <c r="BF32" s="33" t="e">
        <f t="shared" si="79"/>
        <v>#N/A</v>
      </c>
      <c r="BG32" s="33" t="e">
        <f t="shared" si="79"/>
        <v>#N/A</v>
      </c>
      <c r="BH32" s="33" t="e">
        <f t="shared" si="79"/>
        <v>#N/A</v>
      </c>
      <c r="BI32" s="33" t="e">
        <f>SUM(AX30:BI30)</f>
        <v>#N/A</v>
      </c>
      <c r="BJ32" s="33" t="e">
        <f t="shared" ref="BJ32" si="80">SUM(AY30:BJ30)</f>
        <v>#N/A</v>
      </c>
      <c r="BK32" s="33" t="e">
        <f t="shared" ref="BK32" si="81">SUM(AZ30:BK30)</f>
        <v>#N/A</v>
      </c>
      <c r="BL32" s="33">
        <f t="shared" ref="BL32" si="82">SUM(BA30:BL30)</f>
        <v>19839.50966</v>
      </c>
      <c r="BM32" s="33">
        <f t="shared" ref="BM32" si="83">SUM(BB30:BM30)</f>
        <v>20205.77103</v>
      </c>
      <c r="BN32" s="33">
        <f t="shared" ref="BN32" si="84">SUM(BC30:BN30)</f>
        <v>20240.853569999996</v>
      </c>
      <c r="BO32" s="33">
        <f t="shared" ref="BO32" si="85">SUM(BD30:BO30)</f>
        <v>20031.615489999996</v>
      </c>
      <c r="BP32" s="33">
        <f t="shared" ref="BP32" si="86">SUM(BE30:BP30)</f>
        <v>20030.855209999998</v>
      </c>
      <c r="BQ32" s="33">
        <f t="shared" ref="BQ32" si="87">SUM(BF30:BQ30)</f>
        <v>19922.816739999998</v>
      </c>
      <c r="BR32" s="33">
        <f t="shared" ref="BR32" si="88">SUM(BG30:BR30)</f>
        <v>20096.065930000001</v>
      </c>
      <c r="BS32" s="33">
        <f t="shared" ref="BS32" si="89">SUM(BH30:BS30)</f>
        <v>20383.37645</v>
      </c>
      <c r="BT32" s="33">
        <f t="shared" ref="BT32" si="90">SUM(BI30:BT30)</f>
        <v>20735.592910000003</v>
      </c>
      <c r="BU32" s="33">
        <f t="shared" ref="BU32" si="91">SUM(BJ30:BU30)</f>
        <v>20966.543320000001</v>
      </c>
      <c r="BV32" s="33">
        <f t="shared" ref="BV32" si="92">SUM(BK30:BV30)</f>
        <v>21195.062239999999</v>
      </c>
      <c r="BW32" s="33">
        <f>SUM(BL30:BW30)</f>
        <v>21425.081159999998</v>
      </c>
      <c r="BX32" s="33">
        <f t="shared" ref="BX32:CI32" si="93">SUM(BM30:BX30)</f>
        <v>21674.878369999999</v>
      </c>
      <c r="BY32" s="33">
        <f t="shared" si="93"/>
        <v>21924.675579999999</v>
      </c>
      <c r="BZ32" s="33">
        <f t="shared" si="93"/>
        <v>22174.47279</v>
      </c>
      <c r="CA32" s="33">
        <f t="shared" si="93"/>
        <v>22423.47</v>
      </c>
      <c r="CB32" s="33">
        <f t="shared" si="93"/>
        <v>22672.467210000006</v>
      </c>
      <c r="CC32" s="33">
        <f t="shared" si="93"/>
        <v>22921.464420000008</v>
      </c>
      <c r="CD32" s="33">
        <f t="shared" si="93"/>
        <v>22997.215230000009</v>
      </c>
      <c r="CE32" s="33">
        <f t="shared" si="93"/>
        <v>22958.904710000006</v>
      </c>
      <c r="CF32" s="33">
        <f t="shared" si="93"/>
        <v>22949.188250000007</v>
      </c>
      <c r="CG32" s="33">
        <f t="shared" si="93"/>
        <v>24880.337840000004</v>
      </c>
      <c r="CH32" s="33">
        <f t="shared" si="93"/>
        <v>26812.41892</v>
      </c>
      <c r="CI32" s="33">
        <f t="shared" si="93"/>
        <v>28744.5</v>
      </c>
    </row>
    <row r="33" spans="1:87"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</row>
    <row r="34" spans="1:87" ht="15">
      <c r="B34" s="375" t="s">
        <v>572</v>
      </c>
      <c r="C34" s="744">
        <f ca="1">ROUND(C30/C15,4)</f>
        <v>4.58E-2</v>
      </c>
      <c r="D34" s="209">
        <f t="shared" ref="D34:AI34" si="94">ROUND(D32/D17,4)</f>
        <v>5.33E-2</v>
      </c>
      <c r="E34" s="209">
        <f t="shared" si="94"/>
        <v>5.3199999999999997E-2</v>
      </c>
      <c r="F34" s="209">
        <f t="shared" si="94"/>
        <v>5.3199999999999997E-2</v>
      </c>
      <c r="G34" s="209">
        <f t="shared" si="94"/>
        <v>5.3199999999999997E-2</v>
      </c>
      <c r="H34" s="209">
        <f t="shared" si="94"/>
        <v>5.3199999999999997E-2</v>
      </c>
      <c r="I34" s="209">
        <f t="shared" si="94"/>
        <v>5.3199999999999997E-2</v>
      </c>
      <c r="J34" s="209">
        <f t="shared" si="94"/>
        <v>5.3199999999999997E-2</v>
      </c>
      <c r="K34" s="209">
        <f t="shared" si="94"/>
        <v>5.3199999999999997E-2</v>
      </c>
      <c r="L34" s="209">
        <f t="shared" si="94"/>
        <v>5.3199999999999997E-2</v>
      </c>
      <c r="M34" s="209">
        <f t="shared" si="94"/>
        <v>5.3199999999999997E-2</v>
      </c>
      <c r="N34" s="209">
        <f t="shared" si="94"/>
        <v>5.3199999999999997E-2</v>
      </c>
      <c r="O34" s="209">
        <f t="shared" si="94"/>
        <v>5.3199999999999997E-2</v>
      </c>
      <c r="P34" s="209">
        <f t="shared" si="94"/>
        <v>5.3199999999999997E-2</v>
      </c>
      <c r="Q34" s="209">
        <f t="shared" si="94"/>
        <v>5.3199999999999997E-2</v>
      </c>
      <c r="R34" s="209">
        <f t="shared" si="94"/>
        <v>5.3199999999999997E-2</v>
      </c>
      <c r="S34" s="209">
        <f t="shared" si="94"/>
        <v>5.3199999999999997E-2</v>
      </c>
      <c r="T34" s="209">
        <f t="shared" si="94"/>
        <v>5.3400000000000003E-2</v>
      </c>
      <c r="U34" s="209">
        <f t="shared" si="94"/>
        <v>5.2699999999999997E-2</v>
      </c>
      <c r="V34" s="209">
        <f t="shared" si="94"/>
        <v>5.2200000000000003E-2</v>
      </c>
      <c r="W34" s="209">
        <f t="shared" si="94"/>
        <v>5.1799999999999999E-2</v>
      </c>
      <c r="X34" s="209">
        <f t="shared" si="94"/>
        <v>5.1299999999999998E-2</v>
      </c>
      <c r="Y34" s="209">
        <f t="shared" si="94"/>
        <v>5.0900000000000001E-2</v>
      </c>
      <c r="Z34" s="209">
        <f t="shared" si="94"/>
        <v>5.04E-2</v>
      </c>
      <c r="AA34" s="209">
        <f t="shared" si="94"/>
        <v>0.05</v>
      </c>
      <c r="AB34" s="209">
        <f t="shared" si="94"/>
        <v>4.9599999999999998E-2</v>
      </c>
      <c r="AC34" s="209">
        <f t="shared" si="94"/>
        <v>4.9200000000000001E-2</v>
      </c>
      <c r="AD34" s="209">
        <f t="shared" si="94"/>
        <v>4.8899999999999999E-2</v>
      </c>
      <c r="AE34" s="209">
        <f t="shared" si="94"/>
        <v>4.8500000000000001E-2</v>
      </c>
      <c r="AF34" s="209">
        <f t="shared" si="94"/>
        <v>4.8599999999999997E-2</v>
      </c>
      <c r="AG34" s="209">
        <f t="shared" si="94"/>
        <v>4.7899999999999998E-2</v>
      </c>
      <c r="AH34" s="209">
        <f t="shared" si="94"/>
        <v>4.7699999999999999E-2</v>
      </c>
      <c r="AI34" s="209">
        <f t="shared" si="94"/>
        <v>4.7699999999999999E-2</v>
      </c>
      <c r="AJ34" s="209">
        <f t="shared" ref="AJ34:BO34" si="95">ROUND(AJ32/AJ17,4)</f>
        <v>4.7600000000000003E-2</v>
      </c>
      <c r="AK34" s="209">
        <f t="shared" si="95"/>
        <v>4.7300000000000002E-2</v>
      </c>
      <c r="AL34" s="209">
        <f t="shared" si="95"/>
        <v>4.7300000000000002E-2</v>
      </c>
      <c r="AM34" s="209">
        <f t="shared" si="95"/>
        <v>4.7300000000000002E-2</v>
      </c>
      <c r="AN34" s="209">
        <f t="shared" si="95"/>
        <v>4.7199999999999999E-2</v>
      </c>
      <c r="AO34" s="209">
        <f t="shared" si="95"/>
        <v>4.7199999999999999E-2</v>
      </c>
      <c r="AP34" s="209">
        <f t="shared" si="95"/>
        <v>4.7100000000000003E-2</v>
      </c>
      <c r="AQ34" s="209">
        <f t="shared" si="95"/>
        <v>4.7100000000000003E-2</v>
      </c>
      <c r="AR34" s="209">
        <f t="shared" si="95"/>
        <v>4.7100000000000003E-2</v>
      </c>
      <c r="AS34" s="209">
        <f t="shared" si="95"/>
        <v>4.7E-2</v>
      </c>
      <c r="AT34" s="209">
        <f t="shared" si="95"/>
        <v>4.6899999999999997E-2</v>
      </c>
      <c r="AU34" s="209">
        <f t="shared" si="95"/>
        <v>4.6899999999999997E-2</v>
      </c>
      <c r="AV34" s="209">
        <f t="shared" si="95"/>
        <v>4.6899999999999997E-2</v>
      </c>
      <c r="AW34" s="209">
        <f t="shared" si="95"/>
        <v>4.6899999999999997E-2</v>
      </c>
      <c r="AX34" s="756" t="e">
        <f t="shared" si="95"/>
        <v>#N/A</v>
      </c>
      <c r="AY34" s="756" t="e">
        <f t="shared" si="95"/>
        <v>#N/A</v>
      </c>
      <c r="AZ34" s="756" t="e">
        <f t="shared" si="95"/>
        <v>#N/A</v>
      </c>
      <c r="BA34" s="756" t="e">
        <f t="shared" si="95"/>
        <v>#N/A</v>
      </c>
      <c r="BB34" s="756" t="e">
        <f t="shared" si="95"/>
        <v>#N/A</v>
      </c>
      <c r="BC34" s="756" t="e">
        <f t="shared" si="95"/>
        <v>#N/A</v>
      </c>
      <c r="BD34" s="756" t="e">
        <f t="shared" si="95"/>
        <v>#N/A</v>
      </c>
      <c r="BE34" s="756" t="e">
        <f t="shared" si="95"/>
        <v>#N/A</v>
      </c>
      <c r="BF34" s="756" t="e">
        <f t="shared" si="95"/>
        <v>#N/A</v>
      </c>
      <c r="BG34" s="756" t="e">
        <f t="shared" si="95"/>
        <v>#N/A</v>
      </c>
      <c r="BH34" s="756" t="e">
        <f t="shared" si="95"/>
        <v>#N/A</v>
      </c>
      <c r="BI34" s="756" t="e">
        <f t="shared" si="95"/>
        <v>#N/A</v>
      </c>
      <c r="BJ34" s="756" t="e">
        <f t="shared" si="95"/>
        <v>#N/A</v>
      </c>
      <c r="BK34" s="756" t="e">
        <f t="shared" si="95"/>
        <v>#N/A</v>
      </c>
      <c r="BL34" s="756">
        <f t="shared" si="95"/>
        <v>4.0300000000000002E-2</v>
      </c>
      <c r="BM34" s="756">
        <f t="shared" si="95"/>
        <v>3.9899999999999998E-2</v>
      </c>
      <c r="BN34" s="756">
        <f t="shared" si="95"/>
        <v>3.8899999999999997E-2</v>
      </c>
      <c r="BO34" s="756">
        <f t="shared" si="95"/>
        <v>3.8699999999999998E-2</v>
      </c>
      <c r="BP34" s="756">
        <f t="shared" ref="BP34:CI34" si="96">ROUND(BP32/BP17,4)</f>
        <v>3.9E-2</v>
      </c>
      <c r="BQ34" s="756">
        <f t="shared" si="96"/>
        <v>3.8800000000000001E-2</v>
      </c>
      <c r="BR34" s="756">
        <f t="shared" si="96"/>
        <v>3.8699999999999998E-2</v>
      </c>
      <c r="BS34" s="756">
        <f t="shared" si="96"/>
        <v>3.8800000000000001E-2</v>
      </c>
      <c r="BT34" s="756">
        <f t="shared" si="96"/>
        <v>3.9199999999999999E-2</v>
      </c>
      <c r="BU34" s="756">
        <f t="shared" si="96"/>
        <v>3.9399999999999998E-2</v>
      </c>
      <c r="BV34" s="756">
        <f t="shared" si="96"/>
        <v>3.95E-2</v>
      </c>
      <c r="BW34" s="756">
        <f t="shared" si="96"/>
        <v>3.9699999999999999E-2</v>
      </c>
      <c r="BX34" s="756">
        <f t="shared" si="96"/>
        <v>3.9800000000000002E-2</v>
      </c>
      <c r="BY34" s="756">
        <f t="shared" si="96"/>
        <v>0.04</v>
      </c>
      <c r="BZ34" s="756">
        <f t="shared" si="96"/>
        <v>4.0099999999999997E-2</v>
      </c>
      <c r="CA34" s="756">
        <f t="shared" si="96"/>
        <v>4.02E-2</v>
      </c>
      <c r="CB34" s="756">
        <f t="shared" si="96"/>
        <v>4.0399999999999998E-2</v>
      </c>
      <c r="CC34" s="756">
        <f t="shared" si="96"/>
        <v>4.0500000000000001E-2</v>
      </c>
      <c r="CD34" s="756">
        <f t="shared" si="96"/>
        <v>4.0399999999999998E-2</v>
      </c>
      <c r="CE34" s="756">
        <f t="shared" si="96"/>
        <v>4.0399999999999998E-2</v>
      </c>
      <c r="CF34" s="756">
        <f t="shared" si="96"/>
        <v>4.0500000000000001E-2</v>
      </c>
      <c r="CG34" s="756">
        <f t="shared" si="96"/>
        <v>4.24E-2</v>
      </c>
      <c r="CH34" s="756">
        <f t="shared" si="96"/>
        <v>4.4200000000000003E-2</v>
      </c>
      <c r="CI34" s="756">
        <f t="shared" si="96"/>
        <v>4.58E-2</v>
      </c>
    </row>
    <row r="35" spans="1:87"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447"/>
      <c r="AY35" s="447"/>
      <c r="AZ35" s="447"/>
      <c r="BA35" s="447"/>
      <c r="BB35" s="447"/>
      <c r="BC35" s="447"/>
      <c r="BD35" s="447"/>
      <c r="BE35" s="447"/>
      <c r="BF35" s="447"/>
      <c r="BG35" s="447"/>
      <c r="BH35" s="447"/>
      <c r="BI35" s="447"/>
      <c r="BJ35" s="447"/>
      <c r="BK35" s="447"/>
      <c r="BL35" s="447"/>
      <c r="BM35" s="447"/>
      <c r="BN35" s="447"/>
      <c r="BO35" s="447"/>
      <c r="BP35" s="447"/>
      <c r="BQ35" s="447"/>
      <c r="BR35" s="447"/>
      <c r="BS35" s="447"/>
      <c r="BT35" s="447"/>
      <c r="BU35" s="447"/>
      <c r="BV35" s="447"/>
      <c r="BW35" s="447"/>
      <c r="BX35" s="447"/>
      <c r="BY35" s="447"/>
      <c r="BZ35" s="447"/>
      <c r="CA35" s="447"/>
      <c r="CB35" s="447"/>
      <c r="CC35" s="447"/>
      <c r="CD35" s="447"/>
      <c r="CE35" s="447"/>
      <c r="CF35" s="447"/>
      <c r="CG35" s="447"/>
      <c r="CH35" s="447"/>
      <c r="CI35" s="447"/>
    </row>
    <row r="36" spans="1:87" ht="15">
      <c r="B36" s="375" t="s">
        <v>573</v>
      </c>
      <c r="C36" s="744">
        <f>+CI36</f>
        <v>3.4799999999999998E-2</v>
      </c>
      <c r="D36" s="209">
        <f t="shared" ref="D36:AI36" si="97">ROUND(D32/D15,4)</f>
        <v>5.3199999999999997E-2</v>
      </c>
      <c r="E36" s="209">
        <f t="shared" si="97"/>
        <v>5.3199999999999997E-2</v>
      </c>
      <c r="F36" s="209">
        <f t="shared" si="97"/>
        <v>5.3199999999999997E-2</v>
      </c>
      <c r="G36" s="209">
        <f t="shared" si="97"/>
        <v>5.3199999999999997E-2</v>
      </c>
      <c r="H36" s="209">
        <f t="shared" si="97"/>
        <v>5.3199999999999997E-2</v>
      </c>
      <c r="I36" s="209">
        <f t="shared" si="97"/>
        <v>5.3199999999999997E-2</v>
      </c>
      <c r="J36" s="209">
        <f t="shared" si="97"/>
        <v>5.3100000000000001E-2</v>
      </c>
      <c r="K36" s="209">
        <f t="shared" si="97"/>
        <v>5.3199999999999997E-2</v>
      </c>
      <c r="L36" s="209">
        <f t="shared" si="97"/>
        <v>5.3199999999999997E-2</v>
      </c>
      <c r="M36" s="209">
        <f t="shared" si="97"/>
        <v>5.3199999999999997E-2</v>
      </c>
      <c r="N36" s="209">
        <f t="shared" si="97"/>
        <v>5.3100000000000001E-2</v>
      </c>
      <c r="O36" s="209">
        <f t="shared" si="97"/>
        <v>5.3100000000000001E-2</v>
      </c>
      <c r="P36" s="209">
        <f t="shared" si="97"/>
        <v>5.3100000000000001E-2</v>
      </c>
      <c r="Q36" s="209">
        <f t="shared" si="97"/>
        <v>5.3100000000000001E-2</v>
      </c>
      <c r="R36" s="209">
        <f t="shared" si="97"/>
        <v>5.3100000000000001E-2</v>
      </c>
      <c r="S36" s="209">
        <f t="shared" si="97"/>
        <v>5.3100000000000001E-2</v>
      </c>
      <c r="T36" s="209">
        <f t="shared" si="97"/>
        <v>6.5100000000000005E-2</v>
      </c>
      <c r="U36" s="209">
        <f t="shared" si="97"/>
        <v>4.7800000000000002E-2</v>
      </c>
      <c r="V36" s="209">
        <f t="shared" si="97"/>
        <v>4.7800000000000002E-2</v>
      </c>
      <c r="W36" s="209">
        <f t="shared" si="97"/>
        <v>4.7699999999999999E-2</v>
      </c>
      <c r="X36" s="209">
        <f t="shared" si="97"/>
        <v>4.7600000000000003E-2</v>
      </c>
      <c r="Y36" s="209">
        <f t="shared" si="97"/>
        <v>4.3999999999999997E-2</v>
      </c>
      <c r="Z36" s="209">
        <f t="shared" si="97"/>
        <v>4.4299999999999999E-2</v>
      </c>
      <c r="AA36" s="209">
        <f t="shared" si="97"/>
        <v>4.4499999999999998E-2</v>
      </c>
      <c r="AB36" s="209">
        <f t="shared" si="97"/>
        <v>4.48E-2</v>
      </c>
      <c r="AC36" s="209">
        <f t="shared" si="97"/>
        <v>4.4999999999999998E-2</v>
      </c>
      <c r="AD36" s="209">
        <f t="shared" si="97"/>
        <v>4.53E-2</v>
      </c>
      <c r="AE36" s="209">
        <f t="shared" si="97"/>
        <v>4.5499999999999999E-2</v>
      </c>
      <c r="AF36" s="209">
        <f t="shared" si="97"/>
        <v>4.6199999999999998E-2</v>
      </c>
      <c r="AG36" s="209">
        <f t="shared" si="97"/>
        <v>4.6699999999999998E-2</v>
      </c>
      <c r="AH36" s="209">
        <f t="shared" si="97"/>
        <v>4.36E-2</v>
      </c>
      <c r="AI36" s="209">
        <f t="shared" si="97"/>
        <v>4.41E-2</v>
      </c>
      <c r="AJ36" s="209">
        <f t="shared" ref="AJ36:BO36" si="98">ROUND(AJ32/AJ15,4)</f>
        <v>4.4699999999999997E-2</v>
      </c>
      <c r="AK36" s="209">
        <f t="shared" si="98"/>
        <v>4.4900000000000002E-2</v>
      </c>
      <c r="AL36" s="209">
        <f t="shared" si="98"/>
        <v>4.5199999999999997E-2</v>
      </c>
      <c r="AM36" s="209">
        <f t="shared" si="98"/>
        <v>4.5400000000000003E-2</v>
      </c>
      <c r="AN36" s="209">
        <f t="shared" si="98"/>
        <v>4.5600000000000002E-2</v>
      </c>
      <c r="AO36" s="209">
        <f t="shared" si="98"/>
        <v>4.5900000000000003E-2</v>
      </c>
      <c r="AP36" s="209">
        <f t="shared" si="98"/>
        <v>4.6100000000000002E-2</v>
      </c>
      <c r="AQ36" s="209">
        <f t="shared" si="98"/>
        <v>4.6300000000000001E-2</v>
      </c>
      <c r="AR36" s="209">
        <f t="shared" si="98"/>
        <v>4.65E-2</v>
      </c>
      <c r="AS36" s="209">
        <f t="shared" si="98"/>
        <v>4.6800000000000001E-2</v>
      </c>
      <c r="AT36" s="209">
        <f t="shared" si="98"/>
        <v>4.6899999999999997E-2</v>
      </c>
      <c r="AU36" s="209">
        <f t="shared" si="98"/>
        <v>4.6899999999999997E-2</v>
      </c>
      <c r="AV36" s="209">
        <f t="shared" si="98"/>
        <v>4.6899999999999997E-2</v>
      </c>
      <c r="AW36" s="209">
        <f t="shared" si="98"/>
        <v>4.6899999999999997E-2</v>
      </c>
      <c r="AX36" s="756" t="e">
        <f t="shared" si="98"/>
        <v>#N/A</v>
      </c>
      <c r="AY36" s="756" t="e">
        <f t="shared" si="98"/>
        <v>#N/A</v>
      </c>
      <c r="AZ36" s="756" t="e">
        <f t="shared" si="98"/>
        <v>#N/A</v>
      </c>
      <c r="BA36" s="756" t="e">
        <f t="shared" si="98"/>
        <v>#N/A</v>
      </c>
      <c r="BB36" s="756" t="e">
        <f t="shared" si="98"/>
        <v>#N/A</v>
      </c>
      <c r="BC36" s="756" t="e">
        <f t="shared" si="98"/>
        <v>#N/A</v>
      </c>
      <c r="BD36" s="756" t="e">
        <f t="shared" si="98"/>
        <v>#N/A</v>
      </c>
      <c r="BE36" s="756" t="e">
        <f t="shared" si="98"/>
        <v>#N/A</v>
      </c>
      <c r="BF36" s="756" t="e">
        <f t="shared" si="98"/>
        <v>#N/A</v>
      </c>
      <c r="BG36" s="756" t="e">
        <f t="shared" si="98"/>
        <v>#N/A</v>
      </c>
      <c r="BH36" s="756" t="e">
        <f t="shared" si="98"/>
        <v>#N/A</v>
      </c>
      <c r="BI36" s="756" t="e">
        <f t="shared" si="98"/>
        <v>#N/A</v>
      </c>
      <c r="BJ36" s="756" t="e">
        <f t="shared" si="98"/>
        <v>#N/A</v>
      </c>
      <c r="BK36" s="756" t="e">
        <f t="shared" si="98"/>
        <v>#N/A</v>
      </c>
      <c r="BL36" s="756">
        <f t="shared" si="98"/>
        <v>3.8600000000000002E-2</v>
      </c>
      <c r="BM36" s="756">
        <f t="shared" si="98"/>
        <v>3.9300000000000002E-2</v>
      </c>
      <c r="BN36" s="756">
        <f t="shared" si="98"/>
        <v>3.9399999999999998E-2</v>
      </c>
      <c r="BO36" s="756">
        <f t="shared" si="98"/>
        <v>3.9E-2</v>
      </c>
      <c r="BP36" s="756">
        <f t="shared" ref="BP36:CI36" si="99">ROUND(BP32/BP15,4)</f>
        <v>3.9E-2</v>
      </c>
      <c r="BQ36" s="756">
        <f t="shared" si="99"/>
        <v>3.8800000000000001E-2</v>
      </c>
      <c r="BR36" s="756">
        <f t="shared" si="99"/>
        <v>3.4200000000000001E-2</v>
      </c>
      <c r="BS36" s="756">
        <f t="shared" si="99"/>
        <v>3.4700000000000002E-2</v>
      </c>
      <c r="BT36" s="756">
        <f t="shared" si="99"/>
        <v>3.6799999999999999E-2</v>
      </c>
      <c r="BU36" s="756">
        <f t="shared" si="99"/>
        <v>3.7199999999999997E-2</v>
      </c>
      <c r="BV36" s="756">
        <f t="shared" si="99"/>
        <v>3.7600000000000001E-2</v>
      </c>
      <c r="BW36" s="756">
        <f t="shared" si="99"/>
        <v>3.7999999999999999E-2</v>
      </c>
      <c r="BX36" s="756">
        <f t="shared" si="99"/>
        <v>3.8100000000000002E-2</v>
      </c>
      <c r="BY36" s="756">
        <f t="shared" si="99"/>
        <v>3.8600000000000002E-2</v>
      </c>
      <c r="BZ36" s="756">
        <f t="shared" si="99"/>
        <v>3.9E-2</v>
      </c>
      <c r="CA36" s="756">
        <f t="shared" si="99"/>
        <v>3.9399999999999998E-2</v>
      </c>
      <c r="CB36" s="756">
        <f t="shared" si="99"/>
        <v>3.9899999999999998E-2</v>
      </c>
      <c r="CC36" s="756">
        <f t="shared" si="99"/>
        <v>4.0300000000000002E-2</v>
      </c>
      <c r="CD36" s="756">
        <f t="shared" si="99"/>
        <v>4.0500000000000001E-2</v>
      </c>
      <c r="CE36" s="756">
        <f t="shared" si="99"/>
        <v>4.0399999999999998E-2</v>
      </c>
      <c r="CF36" s="756">
        <f t="shared" si="99"/>
        <v>4.0399999999999998E-2</v>
      </c>
      <c r="CG36" s="756">
        <f t="shared" si="99"/>
        <v>3.0200000000000001E-2</v>
      </c>
      <c r="CH36" s="756">
        <f t="shared" si="99"/>
        <v>3.2500000000000001E-2</v>
      </c>
      <c r="CI36" s="756">
        <f t="shared" si="99"/>
        <v>3.4799999999999998E-2</v>
      </c>
    </row>
    <row r="37" spans="1:87"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</row>
    <row r="38" spans="1:87" ht="15.75">
      <c r="A38" s="747" t="s">
        <v>574</v>
      </c>
      <c r="B38" s="748"/>
      <c r="C38" s="74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8"/>
      <c r="AZ38" s="578"/>
      <c r="BA38" s="578"/>
      <c r="BB38" s="578"/>
      <c r="BC38" s="578"/>
      <c r="BD38" s="578"/>
      <c r="BE38" s="578"/>
      <c r="BF38" s="578"/>
      <c r="BG38" s="578"/>
      <c r="BH38" s="578"/>
      <c r="BI38" s="578"/>
      <c r="BJ38" s="578"/>
      <c r="BK38" s="578"/>
      <c r="BL38" s="578"/>
      <c r="BM38" s="578"/>
      <c r="BN38" s="578"/>
      <c r="BO38" s="578"/>
      <c r="BP38" s="578"/>
      <c r="BQ38" s="578"/>
      <c r="BR38" s="578"/>
      <c r="BS38" s="578"/>
      <c r="BT38" s="578"/>
      <c r="BU38" s="578"/>
      <c r="BV38" s="578"/>
      <c r="BW38" s="578"/>
      <c r="BX38" s="578"/>
      <c r="BY38" s="578"/>
      <c r="BZ38" s="578"/>
      <c r="CA38" s="578"/>
      <c r="CB38" s="578"/>
      <c r="CC38" s="578"/>
      <c r="CD38" s="578"/>
      <c r="CE38" s="578"/>
      <c r="CF38" s="578"/>
      <c r="CG38" s="578"/>
      <c r="CH38" s="578"/>
      <c r="CI38" s="578"/>
    </row>
    <row r="39" spans="1:87" ht="15">
      <c r="C39" s="290" t="s">
        <v>151</v>
      </c>
      <c r="AX39" s="742" t="str">
        <f t="shared" ref="AX39:CI39" si="100">+AX7</f>
        <v>Actual</v>
      </c>
      <c r="AY39" s="742" t="str">
        <f t="shared" si="100"/>
        <v>Actual</v>
      </c>
      <c r="AZ39" s="742" t="str">
        <f t="shared" si="100"/>
        <v>Actual</v>
      </c>
      <c r="BA39" s="742" t="str">
        <f t="shared" si="100"/>
        <v>Actual</v>
      </c>
      <c r="BB39" s="742" t="str">
        <f t="shared" si="100"/>
        <v>Actual</v>
      </c>
      <c r="BC39" s="742" t="str">
        <f t="shared" si="100"/>
        <v>Actual</v>
      </c>
      <c r="BD39" s="742" t="str">
        <f t="shared" si="100"/>
        <v>Actual</v>
      </c>
      <c r="BE39" s="742" t="str">
        <f t="shared" si="100"/>
        <v>Actual</v>
      </c>
      <c r="BF39" s="742" t="str">
        <f t="shared" si="100"/>
        <v>Actual</v>
      </c>
      <c r="BG39" s="742" t="str">
        <f t="shared" si="100"/>
        <v>Actual</v>
      </c>
      <c r="BH39" s="742" t="str">
        <f t="shared" si="100"/>
        <v>Actual</v>
      </c>
      <c r="BI39" s="742" t="str">
        <f t="shared" si="100"/>
        <v>Actual</v>
      </c>
      <c r="BJ39" s="742" t="str">
        <f t="shared" si="100"/>
        <v>Actual</v>
      </c>
      <c r="BK39" s="742" t="str">
        <f t="shared" si="100"/>
        <v>Actual</v>
      </c>
      <c r="BL39" s="742" t="str">
        <f t="shared" si="100"/>
        <v>Actual</v>
      </c>
      <c r="BM39" s="742" t="str">
        <f t="shared" si="100"/>
        <v>Actual</v>
      </c>
      <c r="BN39" s="742" t="str">
        <f t="shared" si="100"/>
        <v>Actual</v>
      </c>
      <c r="BO39" s="742" t="str">
        <f t="shared" si="100"/>
        <v>Actual</v>
      </c>
      <c r="BP39" s="742" t="str">
        <f t="shared" si="100"/>
        <v>Actual</v>
      </c>
      <c r="BQ39" s="742" t="str">
        <f t="shared" si="100"/>
        <v>Actual</v>
      </c>
      <c r="BR39" s="742" t="str">
        <f t="shared" si="100"/>
        <v>Actual</v>
      </c>
      <c r="BS39" s="742" t="str">
        <f t="shared" si="100"/>
        <v>Actual</v>
      </c>
      <c r="BT39" s="742" t="str">
        <f t="shared" si="100"/>
        <v>Actual</v>
      </c>
      <c r="BU39" s="742" t="str">
        <f t="shared" si="100"/>
        <v>Actual</v>
      </c>
      <c r="BV39" s="742" t="str">
        <f t="shared" si="100"/>
        <v>Actual</v>
      </c>
      <c r="BW39" s="742" t="str">
        <f t="shared" si="100"/>
        <v>Actual</v>
      </c>
      <c r="BX39" s="742" t="str">
        <f t="shared" si="100"/>
        <v>Budget</v>
      </c>
      <c r="BY39" s="742" t="str">
        <f t="shared" si="100"/>
        <v>Budget</v>
      </c>
      <c r="BZ39" s="742" t="str">
        <f t="shared" si="100"/>
        <v>Budget</v>
      </c>
      <c r="CA39" s="742" t="str">
        <f t="shared" si="100"/>
        <v>Budget</v>
      </c>
      <c r="CB39" s="742" t="str">
        <f t="shared" si="100"/>
        <v>Budget</v>
      </c>
      <c r="CC39" s="742" t="str">
        <f t="shared" si="100"/>
        <v>Budget</v>
      </c>
      <c r="CD39" s="742" t="str">
        <f t="shared" si="100"/>
        <v>Budget</v>
      </c>
      <c r="CE39" s="742" t="str">
        <f t="shared" si="100"/>
        <v>Budget</v>
      </c>
      <c r="CF39" s="742" t="str">
        <f t="shared" si="100"/>
        <v>Budget</v>
      </c>
      <c r="CG39" s="742" t="str">
        <f t="shared" si="100"/>
        <v>Budget</v>
      </c>
      <c r="CH39" s="742" t="str">
        <f t="shared" si="100"/>
        <v>Budget</v>
      </c>
      <c r="CI39" s="742" t="str">
        <f t="shared" si="100"/>
        <v>Budget</v>
      </c>
    </row>
    <row r="40" spans="1:87">
      <c r="B40" s="598" t="s">
        <v>575</v>
      </c>
      <c r="C40" s="291" t="s">
        <v>153</v>
      </c>
      <c r="D40" s="421">
        <f t="shared" ref="D40:AW40" si="101">D8</f>
        <v>42736</v>
      </c>
      <c r="E40" s="421">
        <f t="shared" si="101"/>
        <v>42767</v>
      </c>
      <c r="F40" s="421">
        <f t="shared" si="101"/>
        <v>42798</v>
      </c>
      <c r="G40" s="421">
        <f t="shared" si="101"/>
        <v>42829</v>
      </c>
      <c r="H40" s="421">
        <f t="shared" si="101"/>
        <v>42860</v>
      </c>
      <c r="I40" s="421">
        <f t="shared" si="101"/>
        <v>42891</v>
      </c>
      <c r="J40" s="421">
        <f t="shared" si="101"/>
        <v>42922</v>
      </c>
      <c r="K40" s="421">
        <f t="shared" si="101"/>
        <v>42953</v>
      </c>
      <c r="L40" s="421">
        <f t="shared" si="101"/>
        <v>42984</v>
      </c>
      <c r="M40" s="421">
        <f t="shared" si="101"/>
        <v>43015</v>
      </c>
      <c r="N40" s="421">
        <f t="shared" si="101"/>
        <v>43046</v>
      </c>
      <c r="O40" s="421">
        <f t="shared" si="101"/>
        <v>43077</v>
      </c>
      <c r="P40" s="421">
        <f t="shared" si="101"/>
        <v>43108</v>
      </c>
      <c r="Q40" s="421">
        <f t="shared" si="101"/>
        <v>43139</v>
      </c>
      <c r="R40" s="421">
        <f t="shared" si="101"/>
        <v>43170</v>
      </c>
      <c r="S40" s="421">
        <f t="shared" si="101"/>
        <v>43201</v>
      </c>
      <c r="T40" s="421">
        <f t="shared" si="101"/>
        <v>43232</v>
      </c>
      <c r="U40" s="421">
        <f t="shared" si="101"/>
        <v>43263</v>
      </c>
      <c r="V40" s="421">
        <f t="shared" si="101"/>
        <v>43294</v>
      </c>
      <c r="W40" s="421">
        <f t="shared" si="101"/>
        <v>43325</v>
      </c>
      <c r="X40" s="421">
        <f t="shared" si="101"/>
        <v>43356</v>
      </c>
      <c r="Y40" s="421">
        <f t="shared" si="101"/>
        <v>43387</v>
      </c>
      <c r="Z40" s="421">
        <f t="shared" si="101"/>
        <v>43418</v>
      </c>
      <c r="AA40" s="421">
        <f t="shared" si="101"/>
        <v>43449</v>
      </c>
      <c r="AB40" s="421">
        <f t="shared" si="101"/>
        <v>43480</v>
      </c>
      <c r="AC40" s="421">
        <f t="shared" si="101"/>
        <v>43511</v>
      </c>
      <c r="AD40" s="421">
        <f t="shared" si="101"/>
        <v>43542</v>
      </c>
      <c r="AE40" s="421">
        <f t="shared" si="101"/>
        <v>43573</v>
      </c>
      <c r="AF40" s="421">
        <f t="shared" si="101"/>
        <v>43604</v>
      </c>
      <c r="AG40" s="421">
        <f t="shared" si="101"/>
        <v>43635</v>
      </c>
      <c r="AH40" s="421">
        <f t="shared" si="101"/>
        <v>43666</v>
      </c>
      <c r="AI40" s="421">
        <f t="shared" si="101"/>
        <v>43697</v>
      </c>
      <c r="AJ40" s="421">
        <f t="shared" si="101"/>
        <v>43728</v>
      </c>
      <c r="AK40" s="421">
        <f t="shared" si="101"/>
        <v>43759</v>
      </c>
      <c r="AL40" s="421">
        <f t="shared" si="101"/>
        <v>43790</v>
      </c>
      <c r="AM40" s="421">
        <f t="shared" si="101"/>
        <v>43821</v>
      </c>
      <c r="AN40" s="421">
        <f t="shared" si="101"/>
        <v>43852</v>
      </c>
      <c r="AO40" s="421">
        <f t="shared" si="101"/>
        <v>43883</v>
      </c>
      <c r="AP40" s="421">
        <f t="shared" si="101"/>
        <v>43914</v>
      </c>
      <c r="AQ40" s="421">
        <f t="shared" si="101"/>
        <v>43945</v>
      </c>
      <c r="AR40" s="421">
        <f t="shared" si="101"/>
        <v>43976</v>
      </c>
      <c r="AS40" s="421">
        <f t="shared" si="101"/>
        <v>44007</v>
      </c>
      <c r="AT40" s="421">
        <f t="shared" si="101"/>
        <v>44038</v>
      </c>
      <c r="AU40" s="421">
        <f t="shared" si="101"/>
        <v>44069</v>
      </c>
      <c r="AV40" s="421">
        <f t="shared" si="101"/>
        <v>44100</v>
      </c>
      <c r="AW40" s="421">
        <f t="shared" si="101"/>
        <v>44131</v>
      </c>
      <c r="AX40" s="962">
        <f t="shared" ref="AX40:CI40" si="102">+AX8</f>
        <v>44162</v>
      </c>
      <c r="AY40" s="962">
        <f t="shared" si="102"/>
        <v>44193</v>
      </c>
      <c r="AZ40" s="962">
        <f t="shared" si="102"/>
        <v>44224</v>
      </c>
      <c r="BA40" s="962">
        <f t="shared" si="102"/>
        <v>44255</v>
      </c>
      <c r="BB40" s="962">
        <f t="shared" si="102"/>
        <v>44285</v>
      </c>
      <c r="BC40" s="962">
        <f t="shared" si="102"/>
        <v>44316</v>
      </c>
      <c r="BD40" s="962">
        <f t="shared" si="102"/>
        <v>44347</v>
      </c>
      <c r="BE40" s="962">
        <f t="shared" si="102"/>
        <v>44377</v>
      </c>
      <c r="BF40" s="962">
        <f t="shared" si="102"/>
        <v>44408</v>
      </c>
      <c r="BG40" s="962">
        <f t="shared" si="102"/>
        <v>44439</v>
      </c>
      <c r="BH40" s="962">
        <f t="shared" si="102"/>
        <v>44469</v>
      </c>
      <c r="BI40" s="962">
        <f t="shared" si="102"/>
        <v>44500</v>
      </c>
      <c r="BJ40" s="962">
        <f t="shared" si="102"/>
        <v>44530</v>
      </c>
      <c r="BK40" s="962">
        <f t="shared" si="102"/>
        <v>44561</v>
      </c>
      <c r="BL40" s="962">
        <f t="shared" si="102"/>
        <v>44592</v>
      </c>
      <c r="BM40" s="962">
        <f t="shared" si="102"/>
        <v>44620</v>
      </c>
      <c r="BN40" s="962">
        <f t="shared" si="102"/>
        <v>44651</v>
      </c>
      <c r="BO40" s="962">
        <f t="shared" si="102"/>
        <v>44681</v>
      </c>
      <c r="BP40" s="962">
        <f t="shared" si="102"/>
        <v>44712</v>
      </c>
      <c r="BQ40" s="962">
        <f t="shared" si="102"/>
        <v>44742</v>
      </c>
      <c r="BR40" s="962">
        <f t="shared" si="102"/>
        <v>44773</v>
      </c>
      <c r="BS40" s="962">
        <f t="shared" si="102"/>
        <v>44804</v>
      </c>
      <c r="BT40" s="962">
        <f t="shared" si="102"/>
        <v>44834</v>
      </c>
      <c r="BU40" s="962">
        <f t="shared" si="102"/>
        <v>44865</v>
      </c>
      <c r="BV40" s="962">
        <f t="shared" si="102"/>
        <v>44895</v>
      </c>
      <c r="BW40" s="962">
        <f t="shared" si="102"/>
        <v>44926</v>
      </c>
      <c r="BX40" s="962">
        <f t="shared" si="102"/>
        <v>44957</v>
      </c>
      <c r="BY40" s="962">
        <f t="shared" si="102"/>
        <v>44985</v>
      </c>
      <c r="BZ40" s="962">
        <f t="shared" si="102"/>
        <v>45016</v>
      </c>
      <c r="CA40" s="962">
        <f t="shared" si="102"/>
        <v>45046</v>
      </c>
      <c r="CB40" s="962">
        <f t="shared" si="102"/>
        <v>45077</v>
      </c>
      <c r="CC40" s="962">
        <f t="shared" si="102"/>
        <v>45107</v>
      </c>
      <c r="CD40" s="962">
        <f t="shared" si="102"/>
        <v>45138</v>
      </c>
      <c r="CE40" s="962">
        <f t="shared" si="102"/>
        <v>45169</v>
      </c>
      <c r="CF40" s="962">
        <f t="shared" si="102"/>
        <v>45199</v>
      </c>
      <c r="CG40" s="962">
        <f t="shared" si="102"/>
        <v>45230</v>
      </c>
      <c r="CH40" s="962">
        <f t="shared" si="102"/>
        <v>45260</v>
      </c>
      <c r="CI40" s="962">
        <f t="shared" si="102"/>
        <v>45291</v>
      </c>
    </row>
    <row r="41" spans="1:87">
      <c r="B41" s="212"/>
      <c r="C41" s="212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1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1"/>
      <c r="BB41" s="421"/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  <c r="BO41" s="421"/>
      <c r="BP41" s="421"/>
      <c r="BQ41" s="421"/>
      <c r="BR41" s="421"/>
      <c r="BS41" s="421"/>
      <c r="BT41" s="421"/>
      <c r="BU41" s="421"/>
      <c r="BV41" s="421"/>
      <c r="BW41" s="421"/>
      <c r="BX41" s="421"/>
      <c r="BY41" s="421"/>
      <c r="BZ41" s="421"/>
      <c r="CA41" s="421"/>
      <c r="CB41" s="421"/>
      <c r="CC41" s="421"/>
      <c r="CD41" s="421"/>
      <c r="CE41" s="421"/>
      <c r="CF41" s="421"/>
      <c r="CG41" s="421"/>
      <c r="CH41" s="421"/>
      <c r="CI41" s="421"/>
    </row>
    <row r="42" spans="1:87" ht="15" hidden="1">
      <c r="A42" s="375" t="s">
        <v>576</v>
      </c>
      <c r="B42" s="447" t="s">
        <v>577</v>
      </c>
      <c r="C42" s="744" t="e">
        <f ca="1">+C44</f>
        <v>#DIV/0!</v>
      </c>
      <c r="D42" s="378">
        <v>1.49E-2</v>
      </c>
      <c r="E42" s="378">
        <v>1.54E-2</v>
      </c>
      <c r="F42" s="378">
        <v>1.5900000000000001E-2</v>
      </c>
      <c r="G42" s="378">
        <v>1.6299999999999999E-2</v>
      </c>
      <c r="H42" s="378">
        <v>1.66E-2</v>
      </c>
      <c r="I42" s="378">
        <v>1.6899999999999998E-2</v>
      </c>
      <c r="J42" s="378">
        <v>1.7399999999999999E-2</v>
      </c>
      <c r="K42" s="378">
        <v>1.77E-2</v>
      </c>
      <c r="L42" s="378">
        <v>1.6899999999999998E-2</v>
      </c>
      <c r="M42" s="378">
        <v>1.8700000000000001E-2</v>
      </c>
      <c r="N42" s="378">
        <v>1.7100000000000001E-2</v>
      </c>
      <c r="O42" s="378">
        <v>1.6199999999999999E-2</v>
      </c>
      <c r="P42" s="378">
        <v>1.6899999999999998E-2</v>
      </c>
      <c r="Q42" s="378">
        <v>1.7399999999999999E-2</v>
      </c>
      <c r="R42" s="378">
        <v>1.7899999999999999E-2</v>
      </c>
      <c r="S42" s="378">
        <v>1.8499999999999999E-2</v>
      </c>
      <c r="T42" s="378">
        <v>2.0400000000000001E-2</v>
      </c>
      <c r="U42" s="378">
        <v>2.0799999999999999E-2</v>
      </c>
      <c r="V42" s="378">
        <v>2.12E-2</v>
      </c>
      <c r="W42" s="378">
        <v>2.1600000000000001E-2</v>
      </c>
      <c r="X42" s="378">
        <v>2.2100000000000002E-2</v>
      </c>
      <c r="Y42" s="378">
        <v>2.2700000000000001E-2</v>
      </c>
      <c r="Z42" s="378">
        <v>2.18E-2</v>
      </c>
      <c r="AA42" s="378">
        <v>2.63E-2</v>
      </c>
      <c r="AB42" s="378">
        <v>2.76E-2</v>
      </c>
      <c r="AC42" s="378">
        <v>2.87E-2</v>
      </c>
      <c r="AD42" s="378">
        <v>2.9700000000000001E-2</v>
      </c>
      <c r="AE42" s="378">
        <v>3.0499999999999999E-2</v>
      </c>
      <c r="AF42" s="378">
        <v>3.0499999999999999E-2</v>
      </c>
      <c r="AG42" s="378">
        <v>3.0700000000000002E-2</v>
      </c>
      <c r="AH42" s="378">
        <v>3.1099999999999999E-2</v>
      </c>
      <c r="AI42" s="378">
        <v>3.1300000000000001E-2</v>
      </c>
      <c r="AJ42" s="378">
        <v>3.1300000000000001E-2</v>
      </c>
      <c r="AK42" s="378">
        <v>3.1899999999999998E-2</v>
      </c>
      <c r="AL42" s="378">
        <v>3.1800000000000002E-2</v>
      </c>
      <c r="AM42" s="378">
        <v>3.04E-2</v>
      </c>
      <c r="AN42" s="378">
        <v>2.9399999999999999E-2</v>
      </c>
      <c r="AO42" s="378">
        <v>2.8299999999999999E-2</v>
      </c>
      <c r="AP42" s="378">
        <v>2.6499999999999999E-2</v>
      </c>
      <c r="AQ42" s="378">
        <v>2.4299999999999999E-2</v>
      </c>
      <c r="AR42" s="378">
        <v>2.18E-2</v>
      </c>
      <c r="AS42" s="378">
        <v>1.9800000000000002E-2</v>
      </c>
      <c r="AT42" s="535">
        <v>1.78E-2</v>
      </c>
      <c r="AU42" s="535">
        <v>1.6305850524950479E-2</v>
      </c>
      <c r="AV42" s="535">
        <v>1.49902469275049E-2</v>
      </c>
      <c r="AW42" s="535">
        <v>1.3728460394300779E-2</v>
      </c>
      <c r="AX42" s="757">
        <v>1.2717346298480033E-2</v>
      </c>
      <c r="AY42" s="757">
        <v>1.1577027686093169E-2</v>
      </c>
      <c r="AZ42" s="757">
        <v>1.0554784432428448E-2</v>
      </c>
      <c r="BA42" s="757">
        <v>9.9157897339549154E-3</v>
      </c>
      <c r="BB42" s="757">
        <v>9.7939145561504858E-3</v>
      </c>
      <c r="BC42" s="757">
        <v>9.6802069474278395E-3</v>
      </c>
      <c r="BD42" s="759">
        <v>9.8033385632165099E-3</v>
      </c>
      <c r="BE42" s="759">
        <v>9.6186796377598829E-3</v>
      </c>
      <c r="BF42" s="759">
        <v>9.1908857724602912E-3</v>
      </c>
      <c r="BG42" s="759">
        <v>8.7567603153855811E-3</v>
      </c>
      <c r="BH42" s="759">
        <v>8.3342146039560427E-3</v>
      </c>
      <c r="BI42" s="759">
        <v>7.7677274407844752E-3</v>
      </c>
      <c r="BJ42" s="759">
        <v>7.1105663455805455E-3</v>
      </c>
      <c r="BK42" s="1011">
        <v>6.205005066866524E-3</v>
      </c>
      <c r="BL42" s="1012">
        <v>5.4873979367903673E-3</v>
      </c>
      <c r="BM42" s="1012">
        <v>4.7688132514866269E-3</v>
      </c>
      <c r="BN42" s="758">
        <v>4.4309036307596857E-3</v>
      </c>
      <c r="BO42" s="758">
        <v>5.0798575406757638E-3</v>
      </c>
      <c r="BP42" s="758">
        <v>5.7912358358224846E-3</v>
      </c>
      <c r="BQ42" s="758" t="e">
        <f t="shared" ref="BQ42:BV42" si="103">AVERAGE(BE44:BQ44)</f>
        <v>#DIV/0!</v>
      </c>
      <c r="BR42" s="758" t="e">
        <f t="shared" si="103"/>
        <v>#DIV/0!</v>
      </c>
      <c r="BS42" s="758" t="e">
        <f t="shared" si="103"/>
        <v>#DIV/0!</v>
      </c>
      <c r="BT42" s="758" t="e">
        <f t="shared" si="103"/>
        <v>#DIV/0!</v>
      </c>
      <c r="BU42" s="758" t="e">
        <f t="shared" si="103"/>
        <v>#DIV/0!</v>
      </c>
      <c r="BV42" s="758" t="e">
        <f t="shared" si="103"/>
        <v>#DIV/0!</v>
      </c>
      <c r="BW42" s="758" t="e">
        <f>AVERAGE(BK44:BW44)</f>
        <v>#DIV/0!</v>
      </c>
      <c r="BX42" s="758" t="e">
        <f t="shared" ref="BX42:CI42" si="104">AVERAGE(BL44:BX44)</f>
        <v>#DIV/0!</v>
      </c>
      <c r="BY42" s="758" t="e">
        <f t="shared" si="104"/>
        <v>#DIV/0!</v>
      </c>
      <c r="BZ42" s="758" t="e">
        <f t="shared" si="104"/>
        <v>#DIV/0!</v>
      </c>
      <c r="CA42" s="758" t="e">
        <f t="shared" si="104"/>
        <v>#DIV/0!</v>
      </c>
      <c r="CB42" s="758" t="e">
        <f t="shared" si="104"/>
        <v>#DIV/0!</v>
      </c>
      <c r="CC42" s="758" t="e">
        <f t="shared" si="104"/>
        <v>#DIV/0!</v>
      </c>
      <c r="CD42" s="758" t="e">
        <f t="shared" si="104"/>
        <v>#DIV/0!</v>
      </c>
      <c r="CE42" s="758" t="e">
        <f t="shared" si="104"/>
        <v>#DIV/0!</v>
      </c>
      <c r="CF42" s="758" t="e">
        <f t="shared" si="104"/>
        <v>#DIV/0!</v>
      </c>
      <c r="CG42" s="758" t="e">
        <f t="shared" si="104"/>
        <v>#DIV/0!</v>
      </c>
      <c r="CH42" s="758" t="e">
        <f t="shared" si="104"/>
        <v>#DIV/0!</v>
      </c>
      <c r="CI42" s="758" t="e">
        <f t="shared" si="104"/>
        <v>#DIV/0!</v>
      </c>
    </row>
    <row r="43" spans="1:87" hidden="1">
      <c r="B43" s="447"/>
      <c r="C43" s="375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746"/>
      <c r="AY43" s="746"/>
      <c r="AZ43" s="746"/>
      <c r="BA43" s="746"/>
      <c r="BB43" s="746"/>
      <c r="BC43" s="746"/>
      <c r="BD43" s="745"/>
      <c r="BE43" s="745"/>
      <c r="BF43" s="745"/>
      <c r="BG43" s="745"/>
      <c r="BH43" s="745"/>
      <c r="BI43" s="745"/>
      <c r="BJ43" s="745"/>
      <c r="BK43" s="745"/>
      <c r="BL43" s="745"/>
      <c r="BM43" s="745"/>
      <c r="BN43" s="745"/>
      <c r="BO43" s="745"/>
      <c r="BP43" s="745"/>
      <c r="BQ43" s="745"/>
      <c r="BR43" s="745"/>
      <c r="BS43" s="745"/>
      <c r="BT43" s="745"/>
      <c r="BU43" s="745"/>
      <c r="BV43" s="745"/>
      <c r="BW43" s="745"/>
      <c r="BX43" s="745"/>
      <c r="BY43" s="745"/>
      <c r="BZ43" s="745"/>
      <c r="CA43" s="745"/>
      <c r="CB43" s="745"/>
      <c r="CC43" s="745"/>
      <c r="CD43" s="745"/>
      <c r="CE43" s="745"/>
      <c r="CF43" s="745"/>
      <c r="CG43" s="745"/>
      <c r="CH43" s="745"/>
      <c r="CI43" s="745"/>
    </row>
    <row r="44" spans="1:87" ht="15" hidden="1">
      <c r="A44" s="375" t="s">
        <v>576</v>
      </c>
      <c r="B44" s="447" t="s">
        <v>578</v>
      </c>
      <c r="C44" s="913" t="e">
        <f ca="1">SUM(OFFSET(BK44:BW44,0,'Bal Sheet'!$A$1-1))/13</f>
        <v>#DIV/0!</v>
      </c>
      <c r="D44" s="378">
        <v>1.5599999999999999E-2</v>
      </c>
      <c r="E44" s="378">
        <v>1.6400000000000001E-2</v>
      </c>
      <c r="F44" s="378">
        <v>1.72E-2</v>
      </c>
      <c r="G44" s="378">
        <v>1.7999999999999999E-2</v>
      </c>
      <c r="H44" s="378">
        <v>1.7999999999999999E-2</v>
      </c>
      <c r="I44" s="378">
        <v>1.89E-2</v>
      </c>
      <c r="J44" s="378">
        <v>2.0299999999999999E-2</v>
      </c>
      <c r="K44" s="378">
        <v>2.01E-2</v>
      </c>
      <c r="L44" s="378">
        <v>2.07E-2</v>
      </c>
      <c r="M44" s="378">
        <v>2.0500000000000001E-2</v>
      </c>
      <c r="N44" s="378">
        <v>1.95E-2</v>
      </c>
      <c r="O44" s="378">
        <v>2.07E-2</v>
      </c>
      <c r="P44" s="378">
        <v>2.1999999999999999E-2</v>
      </c>
      <c r="Q44" s="378">
        <v>2.1999999999999999E-2</v>
      </c>
      <c r="R44" s="378">
        <v>2.29E-2</v>
      </c>
      <c r="S44" s="378">
        <v>2.4500000000000001E-2</v>
      </c>
      <c r="T44" s="378">
        <v>2.6100000000000002E-2</v>
      </c>
      <c r="U44" s="378">
        <v>2.6599999999999999E-2</v>
      </c>
      <c r="V44" s="378">
        <v>2.7E-2</v>
      </c>
      <c r="W44" s="378">
        <v>2.7E-2</v>
      </c>
      <c r="X44" s="378">
        <v>2.7300000000000001E-2</v>
      </c>
      <c r="Y44" s="378">
        <v>2.7300000000000001E-2</v>
      </c>
      <c r="Z44" s="378">
        <v>2.9000000000000001E-2</v>
      </c>
      <c r="AA44" s="378">
        <v>3.1399999999999997E-2</v>
      </c>
      <c r="AB44" s="378">
        <v>3.3099999999999997E-2</v>
      </c>
      <c r="AC44" s="378">
        <v>3.3399999999999999E-2</v>
      </c>
      <c r="AD44" s="378">
        <v>3.3099999999999997E-2</v>
      </c>
      <c r="AE44" s="378">
        <v>3.3000000000000002E-2</v>
      </c>
      <c r="AF44" s="378">
        <v>3.3599999999999998E-2</v>
      </c>
      <c r="AG44" s="378">
        <v>3.2800000000000003E-2</v>
      </c>
      <c r="AH44" s="378">
        <v>3.2500000000000001E-2</v>
      </c>
      <c r="AI44" s="378">
        <v>2.9600000000000001E-2</v>
      </c>
      <c r="AJ44" s="378">
        <v>2.8500000000000001E-2</v>
      </c>
      <c r="AK44" s="378">
        <v>2.8500000000000001E-2</v>
      </c>
      <c r="AL44" s="378">
        <v>2.8500000000000001E-2</v>
      </c>
      <c r="AM44" s="378">
        <v>2.8500000000000001E-2</v>
      </c>
      <c r="AN44" s="378">
        <v>2.5600000000000001E-2</v>
      </c>
      <c r="AO44" s="378">
        <v>2.3099999999999999E-2</v>
      </c>
      <c r="AP44" s="378">
        <v>1.72E-2</v>
      </c>
      <c r="AQ44" s="378">
        <v>1.04E-2</v>
      </c>
      <c r="AR44" s="378">
        <v>8.5000000000000006E-3</v>
      </c>
      <c r="AS44" s="378">
        <v>8.2640000000000005E-3</v>
      </c>
      <c r="AT44" s="535">
        <v>8.5774809879379452E-3</v>
      </c>
      <c r="AU44" s="535">
        <v>8.5000937834807302E-3</v>
      </c>
      <c r="AV44" s="535">
        <v>8.2053916322922596E-3</v>
      </c>
      <c r="AW44" s="535">
        <v>8.2925565139378189E-3</v>
      </c>
      <c r="AX44" s="757">
        <v>8.5510234050052807E-3</v>
      </c>
      <c r="AY44" s="757">
        <v>8.9412080871782897E-3</v>
      </c>
      <c r="AZ44" s="757">
        <v>9.410204196263601E-3</v>
      </c>
      <c r="BA44" s="757">
        <v>9.7650376763331881E-3</v>
      </c>
      <c r="BB44" s="757">
        <v>9.8700246446584011E-3</v>
      </c>
      <c r="BC44" s="757">
        <v>1.2499999999998729E-2</v>
      </c>
      <c r="BD44" s="759">
        <v>1.2216206561637105E-2</v>
      </c>
      <c r="BE44" s="759">
        <v>5.2463132654680458E-3</v>
      </c>
      <c r="BF44" s="759">
        <v>2.4729283990345872E-3</v>
      </c>
      <c r="BG44" s="759">
        <v>2.4597222222222151E-3</v>
      </c>
      <c r="BH44" s="759">
        <f>+BG44</f>
        <v>2.4597222222222151E-3</v>
      </c>
      <c r="BI44" s="759">
        <f t="shared" ref="BI44:BJ44" si="105">+BH44</f>
        <v>2.4597222222222151E-3</v>
      </c>
      <c r="BJ44" s="759">
        <f t="shared" si="105"/>
        <v>2.4597222222222151E-3</v>
      </c>
      <c r="BK44" s="1011">
        <v>5.9106536849792149E-3</v>
      </c>
      <c r="BL44" s="1011">
        <v>5.6140775207409645E-3</v>
      </c>
      <c r="BM44" s="1011">
        <v>5.892552135054613E-3</v>
      </c>
      <c r="BN44" s="759">
        <v>8.5698674721650225E-3</v>
      </c>
      <c r="BO44" s="759">
        <v>1.0925260140818738E-2</v>
      </c>
      <c r="BP44" s="759">
        <v>1.2367938581413994E-2</v>
      </c>
      <c r="BQ44" s="759" t="e">
        <f t="shared" ref="BQ44:BW44" si="106">+(BQ48/BQ50*BQ46)+(BQ49/BQ50*BQ47)</f>
        <v>#DIV/0!</v>
      </c>
      <c r="BR44" s="759" t="e">
        <f t="shared" si="106"/>
        <v>#DIV/0!</v>
      </c>
      <c r="BS44" s="759" t="e">
        <f t="shared" si="106"/>
        <v>#DIV/0!</v>
      </c>
      <c r="BT44" s="759" t="e">
        <f t="shared" si="106"/>
        <v>#DIV/0!</v>
      </c>
      <c r="BU44" s="759" t="e">
        <f t="shared" si="106"/>
        <v>#DIV/0!</v>
      </c>
      <c r="BV44" s="759" t="e">
        <f t="shared" si="106"/>
        <v>#DIV/0!</v>
      </c>
      <c r="BW44" s="759" t="e">
        <f t="shared" si="106"/>
        <v>#DIV/0!</v>
      </c>
      <c r="BX44" s="759" t="e">
        <f t="shared" ref="BX44:CI44" si="107">+(BX48/BX50*BX46)+(BX49/BX50*BX47)</f>
        <v>#DIV/0!</v>
      </c>
      <c r="BY44" s="759" t="e">
        <f t="shared" si="107"/>
        <v>#DIV/0!</v>
      </c>
      <c r="BZ44" s="759" t="e">
        <f t="shared" si="107"/>
        <v>#DIV/0!</v>
      </c>
      <c r="CA44" s="759" t="e">
        <f t="shared" si="107"/>
        <v>#DIV/0!</v>
      </c>
      <c r="CB44" s="759" t="e">
        <f t="shared" si="107"/>
        <v>#DIV/0!</v>
      </c>
      <c r="CC44" s="759" t="e">
        <f t="shared" si="107"/>
        <v>#DIV/0!</v>
      </c>
      <c r="CD44" s="759" t="e">
        <f t="shared" si="107"/>
        <v>#DIV/0!</v>
      </c>
      <c r="CE44" s="759" t="e">
        <f t="shared" si="107"/>
        <v>#DIV/0!</v>
      </c>
      <c r="CF44" s="759" t="e">
        <f t="shared" si="107"/>
        <v>#DIV/0!</v>
      </c>
      <c r="CG44" s="759" t="e">
        <f t="shared" si="107"/>
        <v>#DIV/0!</v>
      </c>
      <c r="CH44" s="759" t="e">
        <f t="shared" si="107"/>
        <v>#DIV/0!</v>
      </c>
      <c r="CI44" s="759" t="e">
        <f t="shared" si="107"/>
        <v>#DIV/0!</v>
      </c>
    </row>
    <row r="45" spans="1:87" ht="15" hidden="1">
      <c r="A45" s="375"/>
      <c r="B45" s="447"/>
      <c r="C45" s="447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535"/>
      <c r="AU45" s="535"/>
      <c r="AV45" s="535"/>
      <c r="AW45" s="535"/>
      <c r="AX45" s="757"/>
      <c r="AY45" s="757"/>
      <c r="AZ45" s="757"/>
      <c r="BA45" s="757"/>
      <c r="BB45" s="757"/>
      <c r="BC45" s="757"/>
      <c r="BD45" s="759"/>
      <c r="BE45" s="759"/>
      <c r="BF45" s="759"/>
      <c r="BG45" s="759"/>
      <c r="BH45" s="759"/>
      <c r="BI45" s="759"/>
      <c r="BJ45" s="759"/>
      <c r="BK45" s="759"/>
      <c r="BL45" s="759"/>
      <c r="BM45" s="759"/>
      <c r="BN45" s="759"/>
      <c r="BO45" s="759"/>
      <c r="BP45" s="759"/>
      <c r="BQ45" s="759"/>
      <c r="BR45" s="759"/>
      <c r="BS45" s="759"/>
      <c r="BT45" s="759"/>
      <c r="BU45" s="759"/>
      <c r="BV45" s="759"/>
      <c r="BW45" s="759"/>
      <c r="BX45" s="759"/>
      <c r="BY45" s="759"/>
      <c r="BZ45" s="759"/>
      <c r="CA45" s="759"/>
      <c r="CB45" s="759"/>
      <c r="CC45" s="759"/>
      <c r="CD45" s="759"/>
      <c r="CE45" s="759"/>
      <c r="CF45" s="759"/>
      <c r="CG45" s="759"/>
      <c r="CH45" s="759"/>
      <c r="CI45" s="759"/>
    </row>
    <row r="46" spans="1:87" ht="15" hidden="1">
      <c r="A46" s="375"/>
      <c r="B46" s="447" t="s">
        <v>579</v>
      </c>
      <c r="C46" s="447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  <c r="R46" s="378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378"/>
      <c r="AH46" s="378"/>
      <c r="AI46" s="378"/>
      <c r="AJ46" s="378"/>
      <c r="AK46" s="378"/>
      <c r="AL46" s="378"/>
      <c r="AM46" s="378"/>
      <c r="AN46" s="378"/>
      <c r="AO46" s="378"/>
      <c r="AP46" s="378"/>
      <c r="AQ46" s="378"/>
      <c r="AR46" s="378"/>
      <c r="AS46" s="378"/>
      <c r="AT46" s="535"/>
      <c r="AU46" s="535"/>
      <c r="AV46" s="535"/>
      <c r="AW46" s="535"/>
      <c r="AX46" s="757"/>
      <c r="AY46" s="757"/>
      <c r="AZ46" s="757"/>
      <c r="BA46" s="757"/>
      <c r="BB46" s="757"/>
      <c r="BC46" s="757"/>
      <c r="BD46" s="759"/>
      <c r="BE46" s="759"/>
      <c r="BF46" s="759"/>
      <c r="BG46" s="759"/>
      <c r="BH46" s="759"/>
      <c r="BI46" s="759"/>
      <c r="BJ46" s="759"/>
      <c r="BK46" s="759">
        <v>2.4597222222222151E-3</v>
      </c>
      <c r="BL46" s="759">
        <v>4.0000000000000001E-3</v>
      </c>
      <c r="BM46" s="759">
        <f>+BL46</f>
        <v>4.0000000000000001E-3</v>
      </c>
      <c r="BN46" s="759">
        <f>+BM46</f>
        <v>4.0000000000000001E-3</v>
      </c>
      <c r="BO46" s="759">
        <v>7.0000000000000001E-3</v>
      </c>
      <c r="BP46" s="759">
        <f t="shared" ref="BP46:BW46" si="108">+BO46</f>
        <v>7.0000000000000001E-3</v>
      </c>
      <c r="BQ46" s="759">
        <f t="shared" si="108"/>
        <v>7.0000000000000001E-3</v>
      </c>
      <c r="BR46" s="759">
        <v>0.01</v>
      </c>
      <c r="BS46" s="759">
        <f t="shared" si="108"/>
        <v>0.01</v>
      </c>
      <c r="BT46" s="759">
        <f t="shared" si="108"/>
        <v>0.01</v>
      </c>
      <c r="BU46" s="759">
        <v>1.4E-2</v>
      </c>
      <c r="BV46" s="759">
        <f t="shared" si="108"/>
        <v>1.4E-2</v>
      </c>
      <c r="BW46" s="759">
        <f t="shared" si="108"/>
        <v>1.4E-2</v>
      </c>
      <c r="BX46" s="759">
        <f t="shared" ref="BX46" si="109">+BW46</f>
        <v>1.4E-2</v>
      </c>
      <c r="BY46" s="759">
        <f t="shared" ref="BY46" si="110">+BX46</f>
        <v>1.4E-2</v>
      </c>
      <c r="BZ46" s="759">
        <f t="shared" ref="BZ46" si="111">+BY46</f>
        <v>1.4E-2</v>
      </c>
      <c r="CA46" s="759">
        <f t="shared" ref="CA46" si="112">+BZ46</f>
        <v>1.4E-2</v>
      </c>
      <c r="CB46" s="759">
        <f t="shared" ref="CB46" si="113">+CA46</f>
        <v>1.4E-2</v>
      </c>
      <c r="CC46" s="759">
        <f t="shared" ref="CC46" si="114">+CB46</f>
        <v>1.4E-2</v>
      </c>
      <c r="CD46" s="759">
        <f t="shared" ref="CD46" si="115">+CC46</f>
        <v>1.4E-2</v>
      </c>
      <c r="CE46" s="759">
        <f t="shared" ref="CE46" si="116">+CD46</f>
        <v>1.4E-2</v>
      </c>
      <c r="CF46" s="759">
        <f t="shared" ref="CF46" si="117">+CE46</f>
        <v>1.4E-2</v>
      </c>
      <c r="CG46" s="759">
        <f t="shared" ref="CG46" si="118">+CF46</f>
        <v>1.4E-2</v>
      </c>
      <c r="CH46" s="759">
        <f t="shared" ref="CH46" si="119">+CG46</f>
        <v>1.4E-2</v>
      </c>
      <c r="CI46" s="759">
        <f t="shared" ref="CI46" si="120">+CH46</f>
        <v>1.4E-2</v>
      </c>
    </row>
    <row r="47" spans="1:87" ht="15" hidden="1">
      <c r="A47" s="375"/>
      <c r="B47" s="447" t="s">
        <v>580</v>
      </c>
      <c r="C47" s="447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8"/>
      <c r="AA47" s="378"/>
      <c r="AB47" s="378"/>
      <c r="AC47" s="378"/>
      <c r="AD47" s="378"/>
      <c r="AE47" s="378"/>
      <c r="AF47" s="378"/>
      <c r="AG47" s="378"/>
      <c r="AH47" s="378"/>
      <c r="AI47" s="378"/>
      <c r="AJ47" s="378"/>
      <c r="AK47" s="378"/>
      <c r="AL47" s="378"/>
      <c r="AM47" s="378"/>
      <c r="AN47" s="378"/>
      <c r="AO47" s="378"/>
      <c r="AP47" s="378"/>
      <c r="AQ47" s="378"/>
      <c r="AR47" s="378"/>
      <c r="AS47" s="378"/>
      <c r="AT47" s="535"/>
      <c r="AU47" s="535"/>
      <c r="AV47" s="535"/>
      <c r="AW47" s="535"/>
      <c r="AX47" s="757"/>
      <c r="AY47" s="757"/>
      <c r="AZ47" s="757"/>
      <c r="BA47" s="757"/>
      <c r="BB47" s="757"/>
      <c r="BC47" s="757"/>
      <c r="BD47" s="759"/>
      <c r="BE47" s="759"/>
      <c r="BF47" s="759"/>
      <c r="BG47" s="759"/>
      <c r="BH47" s="759"/>
      <c r="BI47" s="759"/>
      <c r="BJ47" s="759"/>
      <c r="BK47" s="759">
        <f>+'[8]Cash Flow Detail'!$CT$76</f>
        <v>8.9999999999999993E-3</v>
      </c>
      <c r="BL47" s="759">
        <f>+'[8]Cash Flow Detail'!CT76</f>
        <v>8.9999999999999993E-3</v>
      </c>
      <c r="BM47" s="759">
        <f>+'[8]Cash Flow Detail'!CU76</f>
        <v>8.9999999999999993E-3</v>
      </c>
      <c r="BN47" s="759">
        <f>+'[8]Cash Flow Detail'!CV76</f>
        <v>8.9999999999999993E-3</v>
      </c>
      <c r="BO47" s="759">
        <f>+'[8]Cash Flow Detail'!CW76</f>
        <v>1.2999999999999999E-2</v>
      </c>
      <c r="BP47" s="759">
        <f>+'[8]Cash Flow Detail'!CX76</f>
        <v>1.2999999999999999E-2</v>
      </c>
      <c r="BQ47" s="759">
        <f>+'[8]Cash Flow Detail'!CY76</f>
        <v>1.7999999999999999E-2</v>
      </c>
      <c r="BR47" s="759">
        <f>+'[8]Cash Flow Detail'!CZ76</f>
        <v>2.7E-2</v>
      </c>
      <c r="BS47" s="759">
        <f>+'[8]Cash Flow Detail'!DA76</f>
        <v>3.9E-2</v>
      </c>
      <c r="BT47" s="759">
        <f>+'[8]Cash Flow Detail'!DB76</f>
        <v>3.9E-2</v>
      </c>
      <c r="BU47" s="759">
        <f>+'[8]Cash Flow Detail'!DC76</f>
        <v>4.3999999999999997E-2</v>
      </c>
      <c r="BV47" s="759">
        <f>+'[8]Cash Flow Detail'!DD76</f>
        <v>4.3999999999999997E-2</v>
      </c>
      <c r="BW47" s="759">
        <f>+'[8]Cash Flow Detail'!DE76</f>
        <v>4.3999999999999997E-2</v>
      </c>
      <c r="BX47" s="759">
        <f>+'[8]Cash Flow Detail'!DF76</f>
        <v>0</v>
      </c>
      <c r="BY47" s="759">
        <f>+'[8]Cash Flow Detail'!DG76</f>
        <v>0</v>
      </c>
      <c r="BZ47" s="759">
        <f>+'[8]Cash Flow Detail'!DH76</f>
        <v>0</v>
      </c>
      <c r="CA47" s="759">
        <f>+'[8]Cash Flow Detail'!DI76</f>
        <v>0</v>
      </c>
      <c r="CB47" s="759">
        <f>+'[8]Cash Flow Detail'!DJ76</f>
        <v>0</v>
      </c>
      <c r="CC47" s="759">
        <f>+'[8]Cash Flow Detail'!DK76</f>
        <v>0</v>
      </c>
      <c r="CD47" s="759">
        <f>+'[8]Cash Flow Detail'!DL76</f>
        <v>0</v>
      </c>
      <c r="CE47" s="759">
        <f>+'[8]Cash Flow Detail'!DM76</f>
        <v>0</v>
      </c>
      <c r="CF47" s="759">
        <f>+'[8]Cash Flow Detail'!DN76</f>
        <v>0</v>
      </c>
      <c r="CG47" s="759">
        <f>+'[8]Cash Flow Detail'!DO76</f>
        <v>0</v>
      </c>
      <c r="CH47" s="759">
        <f>+'[8]Cash Flow Detail'!DP76</f>
        <v>0</v>
      </c>
      <c r="CI47" s="759">
        <f>+'[8]Cash Flow Detail'!DQ76</f>
        <v>0</v>
      </c>
    </row>
    <row r="48" spans="1:87" ht="15" hidden="1">
      <c r="A48" s="375"/>
      <c r="B48" s="447" t="s">
        <v>581</v>
      </c>
      <c r="C48" s="44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8"/>
      <c r="AR48" s="378"/>
      <c r="AS48" s="378"/>
      <c r="AT48" s="535"/>
      <c r="AU48" s="535"/>
      <c r="AV48" s="535"/>
      <c r="AW48" s="535"/>
      <c r="AX48" s="757"/>
      <c r="AY48" s="757"/>
      <c r="AZ48" s="757"/>
      <c r="BA48" s="757"/>
      <c r="BB48" s="757"/>
      <c r="BC48" s="757"/>
      <c r="BD48" s="759"/>
      <c r="BE48" s="759"/>
      <c r="BF48" s="759"/>
      <c r="BG48" s="759"/>
      <c r="BH48" s="759"/>
      <c r="BI48" s="759"/>
      <c r="BJ48" s="759"/>
      <c r="BK48" s="33">
        <f>+'[8]BS ACCTS'!CY246-BK49</f>
        <v>-100000</v>
      </c>
      <c r="BL48" s="33">
        <f>+'[8]BS ACCTS'!CZ246-BL49</f>
        <v>-100000</v>
      </c>
      <c r="BM48" s="33">
        <f>+'[8]BS ACCTS'!DA246-BM49</f>
        <v>-100000</v>
      </c>
      <c r="BN48" s="33">
        <f>+'[8]BS ACCTS'!DB246-BN49</f>
        <v>-100000</v>
      </c>
      <c r="BO48" s="33">
        <f>+'[8]BS ACCTS'!DC246-BO49</f>
        <v>-100000</v>
      </c>
      <c r="BP48" s="33">
        <f>+'[8]BS ACCTS'!DD246-BP49</f>
        <v>-100000</v>
      </c>
      <c r="BQ48" s="33">
        <f>+'[8]BS ACCTS'!DE246-BQ49</f>
        <v>-100000</v>
      </c>
      <c r="BR48" s="33">
        <f>+'[8]BS ACCTS'!DF246-BR49</f>
        <v>-100000</v>
      </c>
      <c r="BS48" s="33">
        <f>+'[8]BS ACCTS'!DG246-BS49</f>
        <v>-100000</v>
      </c>
      <c r="BT48" s="33">
        <f>+'[8]BS ACCTS'!DH246-BT49</f>
        <v>-100000</v>
      </c>
      <c r="BU48" s="33">
        <f>+'[8]BS ACCTS'!DI246-BU49</f>
        <v>-100000</v>
      </c>
      <c r="BV48" s="33">
        <f>+'[8]BS ACCTS'!DJ246-BV49</f>
        <v>-50000</v>
      </c>
      <c r="BW48" s="33">
        <f>+'[8]BS ACCTS'!DK246-BW49</f>
        <v>0</v>
      </c>
      <c r="BX48" s="33">
        <f>+'[8]BS ACCTS'!DL246-BX49</f>
        <v>0</v>
      </c>
      <c r="BY48" s="33">
        <f>+'[8]BS ACCTS'!DM246-BY49</f>
        <v>0</v>
      </c>
      <c r="BZ48" s="33">
        <f>+'[8]BS ACCTS'!DN246-BZ49</f>
        <v>0</v>
      </c>
      <c r="CA48" s="33">
        <f>+'[8]BS ACCTS'!DO246-CA49</f>
        <v>0</v>
      </c>
      <c r="CB48" s="33">
        <f>+'[8]BS ACCTS'!DP246-CB49</f>
        <v>0</v>
      </c>
      <c r="CC48" s="33">
        <f>+'[8]BS ACCTS'!DQ246-CC49</f>
        <v>0</v>
      </c>
      <c r="CD48" s="33">
        <f>+'[8]BS ACCTS'!DR246-CD49</f>
        <v>0</v>
      </c>
      <c r="CE48" s="33">
        <f>+'[8]BS ACCTS'!DS246-CE49</f>
        <v>0</v>
      </c>
      <c r="CF48" s="33">
        <f>+'[8]BS ACCTS'!DT246-CF49</f>
        <v>0</v>
      </c>
      <c r="CG48" s="33">
        <f>+'[8]BS ACCTS'!DU246-CG49</f>
        <v>0</v>
      </c>
      <c r="CH48" s="33">
        <f>+'[8]BS ACCTS'!DV246-CH49</f>
        <v>0</v>
      </c>
      <c r="CI48" s="33">
        <f>+'[8]BS ACCTS'!DW246-CI49</f>
        <v>0</v>
      </c>
    </row>
    <row r="49" spans="1:87" ht="15" hidden="1">
      <c r="A49" s="375"/>
      <c r="B49" s="447" t="s">
        <v>582</v>
      </c>
      <c r="C49" s="447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/>
      <c r="AL49" s="378"/>
      <c r="AM49" s="378"/>
      <c r="AN49" s="378"/>
      <c r="AO49" s="378"/>
      <c r="AP49" s="378"/>
      <c r="AQ49" s="378"/>
      <c r="AR49" s="378"/>
      <c r="AS49" s="378"/>
      <c r="AT49" s="535"/>
      <c r="AU49" s="535"/>
      <c r="AV49" s="535"/>
      <c r="AW49" s="535"/>
      <c r="AX49" s="757"/>
      <c r="AY49" s="757"/>
      <c r="AZ49" s="757"/>
      <c r="BA49" s="757"/>
      <c r="BB49" s="757"/>
      <c r="BC49" s="757"/>
      <c r="BD49" s="759"/>
      <c r="BE49" s="759"/>
      <c r="BF49" s="759"/>
      <c r="BG49" s="759"/>
      <c r="BH49" s="759"/>
      <c r="BI49" s="759"/>
      <c r="BJ49" s="759"/>
      <c r="BK49" s="446">
        <v>100000</v>
      </c>
      <c r="BL49" s="446">
        <f>+BK49</f>
        <v>100000</v>
      </c>
      <c r="BM49" s="446">
        <f t="shared" ref="BM49:BU49" si="121">+BL49</f>
        <v>100000</v>
      </c>
      <c r="BN49" s="446">
        <f t="shared" si="121"/>
        <v>100000</v>
      </c>
      <c r="BO49" s="446">
        <f t="shared" si="121"/>
        <v>100000</v>
      </c>
      <c r="BP49" s="446">
        <f t="shared" si="121"/>
        <v>100000</v>
      </c>
      <c r="BQ49" s="446">
        <f t="shared" si="121"/>
        <v>100000</v>
      </c>
      <c r="BR49" s="446">
        <f t="shared" si="121"/>
        <v>100000</v>
      </c>
      <c r="BS49" s="446">
        <f t="shared" si="121"/>
        <v>100000</v>
      </c>
      <c r="BT49" s="446">
        <f t="shared" si="121"/>
        <v>100000</v>
      </c>
      <c r="BU49" s="446">
        <f t="shared" si="121"/>
        <v>100000</v>
      </c>
      <c r="BV49" s="446">
        <f>+BU49/2</f>
        <v>50000</v>
      </c>
      <c r="BW49" s="446"/>
      <c r="BX49" s="446"/>
      <c r="BY49" s="446"/>
      <c r="BZ49" s="446"/>
      <c r="CA49" s="446"/>
      <c r="CB49" s="446"/>
      <c r="CC49" s="446"/>
      <c r="CD49" s="446"/>
      <c r="CE49" s="446"/>
      <c r="CF49" s="446"/>
      <c r="CG49" s="446"/>
      <c r="CH49" s="446"/>
      <c r="CI49" s="446"/>
    </row>
    <row r="50" spans="1:87" ht="15" hidden="1">
      <c r="A50" s="375"/>
      <c r="C50" s="447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535"/>
      <c r="AU50" s="535"/>
      <c r="AV50" s="535"/>
      <c r="AW50" s="535"/>
      <c r="AX50" s="757"/>
      <c r="AY50" s="757"/>
      <c r="AZ50" s="757"/>
      <c r="BA50" s="757"/>
      <c r="BB50" s="757"/>
      <c r="BC50" s="757"/>
      <c r="BD50" s="759"/>
      <c r="BE50" s="759"/>
      <c r="BF50" s="759"/>
      <c r="BG50" s="759"/>
      <c r="BH50" s="759"/>
      <c r="BI50" s="759"/>
      <c r="BJ50" s="759"/>
      <c r="BK50" s="905">
        <f>SUM(BK48:BK49)</f>
        <v>0</v>
      </c>
      <c r="BL50" s="905">
        <f t="shared" ref="BL50:BW50" si="122">SUM(BL48:BL49)</f>
        <v>0</v>
      </c>
      <c r="BM50" s="905">
        <f t="shared" si="122"/>
        <v>0</v>
      </c>
      <c r="BN50" s="905">
        <f t="shared" si="122"/>
        <v>0</v>
      </c>
      <c r="BO50" s="905">
        <f t="shared" si="122"/>
        <v>0</v>
      </c>
      <c r="BP50" s="905">
        <f t="shared" si="122"/>
        <v>0</v>
      </c>
      <c r="BQ50" s="905">
        <f t="shared" si="122"/>
        <v>0</v>
      </c>
      <c r="BR50" s="905">
        <f t="shared" si="122"/>
        <v>0</v>
      </c>
      <c r="BS50" s="905">
        <f t="shared" si="122"/>
        <v>0</v>
      </c>
      <c r="BT50" s="905">
        <f t="shared" si="122"/>
        <v>0</v>
      </c>
      <c r="BU50" s="905">
        <f t="shared" si="122"/>
        <v>0</v>
      </c>
      <c r="BV50" s="905">
        <f t="shared" si="122"/>
        <v>0</v>
      </c>
      <c r="BW50" s="905">
        <f t="shared" si="122"/>
        <v>0</v>
      </c>
      <c r="BX50" s="905">
        <f t="shared" ref="BX50:CI50" si="123">SUM(BX48:BX49)</f>
        <v>0</v>
      </c>
      <c r="BY50" s="905">
        <f t="shared" si="123"/>
        <v>0</v>
      </c>
      <c r="BZ50" s="905">
        <f t="shared" si="123"/>
        <v>0</v>
      </c>
      <c r="CA50" s="905">
        <f t="shared" si="123"/>
        <v>0</v>
      </c>
      <c r="CB50" s="905">
        <f t="shared" si="123"/>
        <v>0</v>
      </c>
      <c r="CC50" s="905">
        <f t="shared" si="123"/>
        <v>0</v>
      </c>
      <c r="CD50" s="905">
        <f t="shared" si="123"/>
        <v>0</v>
      </c>
      <c r="CE50" s="905">
        <f t="shared" si="123"/>
        <v>0</v>
      </c>
      <c r="CF50" s="905">
        <f t="shared" si="123"/>
        <v>0</v>
      </c>
      <c r="CG50" s="905">
        <f t="shared" si="123"/>
        <v>0</v>
      </c>
      <c r="CH50" s="905">
        <f t="shared" si="123"/>
        <v>0</v>
      </c>
      <c r="CI50" s="905">
        <f t="shared" si="123"/>
        <v>0</v>
      </c>
    </row>
    <row r="51" spans="1:87" hidden="1">
      <c r="B51" s="447" t="s">
        <v>583</v>
      </c>
    </row>
    <row r="52" spans="1:87" s="375" customFormat="1" hidden="1">
      <c r="Z52" s="447"/>
    </row>
    <row r="53" spans="1:87" s="375" customFormat="1">
      <c r="B53" s="212" t="s">
        <v>584</v>
      </c>
      <c r="P53" s="421">
        <f t="shared" ref="P53:AU53" si="124">+P8</f>
        <v>43108</v>
      </c>
      <c r="Q53" s="421">
        <f t="shared" si="124"/>
        <v>43139</v>
      </c>
      <c r="R53" s="421">
        <f t="shared" si="124"/>
        <v>43170</v>
      </c>
      <c r="S53" s="421">
        <f t="shared" si="124"/>
        <v>43201</v>
      </c>
      <c r="T53" s="421">
        <f t="shared" si="124"/>
        <v>43232</v>
      </c>
      <c r="U53" s="421">
        <f t="shared" si="124"/>
        <v>43263</v>
      </c>
      <c r="V53" s="421">
        <f t="shared" si="124"/>
        <v>43294</v>
      </c>
      <c r="W53" s="421">
        <f t="shared" si="124"/>
        <v>43325</v>
      </c>
      <c r="X53" s="421">
        <f t="shared" si="124"/>
        <v>43356</v>
      </c>
      <c r="Y53" s="421">
        <f t="shared" si="124"/>
        <v>43387</v>
      </c>
      <c r="Z53" s="421">
        <f t="shared" si="124"/>
        <v>43418</v>
      </c>
      <c r="AA53" s="421">
        <f t="shared" si="124"/>
        <v>43449</v>
      </c>
      <c r="AB53" s="421">
        <f t="shared" si="124"/>
        <v>43480</v>
      </c>
      <c r="AC53" s="421">
        <f t="shared" si="124"/>
        <v>43511</v>
      </c>
      <c r="AD53" s="421">
        <f t="shared" si="124"/>
        <v>43542</v>
      </c>
      <c r="AE53" s="421">
        <f t="shared" si="124"/>
        <v>43573</v>
      </c>
      <c r="AF53" s="421">
        <f t="shared" si="124"/>
        <v>43604</v>
      </c>
      <c r="AG53" s="421">
        <f t="shared" si="124"/>
        <v>43635</v>
      </c>
      <c r="AH53" s="421">
        <f t="shared" si="124"/>
        <v>43666</v>
      </c>
      <c r="AI53" s="421">
        <f t="shared" si="124"/>
        <v>43697</v>
      </c>
      <c r="AJ53" s="421">
        <f t="shared" si="124"/>
        <v>43728</v>
      </c>
      <c r="AK53" s="421">
        <f t="shared" si="124"/>
        <v>43759</v>
      </c>
      <c r="AL53" s="421">
        <f t="shared" si="124"/>
        <v>43790</v>
      </c>
      <c r="AM53" s="421">
        <f t="shared" si="124"/>
        <v>43821</v>
      </c>
      <c r="AN53" s="421">
        <f t="shared" si="124"/>
        <v>43852</v>
      </c>
      <c r="AO53" s="421">
        <f t="shared" si="124"/>
        <v>43883</v>
      </c>
      <c r="AP53" s="421">
        <f t="shared" si="124"/>
        <v>43914</v>
      </c>
      <c r="AQ53" s="421">
        <f t="shared" si="124"/>
        <v>43945</v>
      </c>
      <c r="AR53" s="421">
        <f t="shared" si="124"/>
        <v>43976</v>
      </c>
      <c r="AS53" s="421">
        <f t="shared" si="124"/>
        <v>44007</v>
      </c>
      <c r="AT53" s="421">
        <f t="shared" si="124"/>
        <v>44038</v>
      </c>
      <c r="AU53" s="421">
        <f t="shared" si="124"/>
        <v>44069</v>
      </c>
      <c r="AV53" s="421">
        <f t="shared" ref="AV53:CA53" si="125">+AV8</f>
        <v>44100</v>
      </c>
      <c r="AW53" s="421">
        <f t="shared" si="125"/>
        <v>44131</v>
      </c>
      <c r="AX53" s="421">
        <f t="shared" si="125"/>
        <v>44162</v>
      </c>
      <c r="AY53" s="421">
        <f t="shared" si="125"/>
        <v>44193</v>
      </c>
      <c r="AZ53" s="421">
        <f t="shared" si="125"/>
        <v>44224</v>
      </c>
      <c r="BA53" s="421">
        <f t="shared" si="125"/>
        <v>44255</v>
      </c>
      <c r="BB53" s="421">
        <f t="shared" si="125"/>
        <v>44285</v>
      </c>
      <c r="BC53" s="421">
        <f t="shared" si="125"/>
        <v>44316</v>
      </c>
      <c r="BD53" s="421">
        <f t="shared" si="125"/>
        <v>44347</v>
      </c>
      <c r="BE53" s="421">
        <f t="shared" si="125"/>
        <v>44377</v>
      </c>
      <c r="BF53" s="421">
        <f t="shared" si="125"/>
        <v>44408</v>
      </c>
      <c r="BG53" s="421">
        <f t="shared" si="125"/>
        <v>44439</v>
      </c>
      <c r="BH53" s="421">
        <f t="shared" si="125"/>
        <v>44469</v>
      </c>
      <c r="BI53" s="421">
        <f t="shared" si="125"/>
        <v>44500</v>
      </c>
      <c r="BJ53" s="421">
        <f t="shared" si="125"/>
        <v>44530</v>
      </c>
      <c r="BK53" s="421">
        <f t="shared" si="125"/>
        <v>44561</v>
      </c>
      <c r="BL53" s="421">
        <f t="shared" si="125"/>
        <v>44592</v>
      </c>
      <c r="BM53" s="421">
        <f t="shared" si="125"/>
        <v>44620</v>
      </c>
      <c r="BN53" s="421">
        <f t="shared" si="125"/>
        <v>44651</v>
      </c>
      <c r="BO53" s="421">
        <f t="shared" si="125"/>
        <v>44681</v>
      </c>
      <c r="BP53" s="421">
        <f t="shared" si="125"/>
        <v>44712</v>
      </c>
      <c r="BQ53" s="421">
        <f t="shared" si="125"/>
        <v>44742</v>
      </c>
      <c r="BR53" s="421">
        <f t="shared" si="125"/>
        <v>44773</v>
      </c>
      <c r="BS53" s="421">
        <f t="shared" si="125"/>
        <v>44804</v>
      </c>
      <c r="BT53" s="421">
        <f t="shared" si="125"/>
        <v>44834</v>
      </c>
      <c r="BU53" s="421">
        <f t="shared" si="125"/>
        <v>44865</v>
      </c>
      <c r="BV53" s="421">
        <f t="shared" si="125"/>
        <v>44895</v>
      </c>
      <c r="BW53" s="421">
        <f t="shared" si="125"/>
        <v>44926</v>
      </c>
      <c r="BX53" s="421">
        <f t="shared" si="125"/>
        <v>44957</v>
      </c>
      <c r="BY53" s="421">
        <f t="shared" si="125"/>
        <v>44985</v>
      </c>
      <c r="BZ53" s="421">
        <f t="shared" si="125"/>
        <v>45016</v>
      </c>
      <c r="CA53" s="421">
        <f t="shared" si="125"/>
        <v>45046</v>
      </c>
      <c r="CB53" s="421">
        <f t="shared" ref="CB53:CI53" si="126">+CB8</f>
        <v>45077</v>
      </c>
      <c r="CC53" s="421">
        <f t="shared" si="126"/>
        <v>45107</v>
      </c>
      <c r="CD53" s="421">
        <f t="shared" si="126"/>
        <v>45138</v>
      </c>
      <c r="CE53" s="421">
        <f t="shared" si="126"/>
        <v>45169</v>
      </c>
      <c r="CF53" s="421">
        <f t="shared" si="126"/>
        <v>45199</v>
      </c>
      <c r="CG53" s="421">
        <f t="shared" si="126"/>
        <v>45230</v>
      </c>
      <c r="CH53" s="421">
        <f t="shared" si="126"/>
        <v>45260</v>
      </c>
      <c r="CI53" s="421">
        <f t="shared" si="126"/>
        <v>45291</v>
      </c>
    </row>
    <row r="54" spans="1:87" s="375" customFormat="1"/>
    <row r="55" spans="1:87" s="375" customFormat="1">
      <c r="A55" s="376" t="s">
        <v>585</v>
      </c>
      <c r="B55" s="375" t="s">
        <v>586</v>
      </c>
      <c r="C55" s="287">
        <f ca="1">SUM(OFFSET(BL55:BX55,0,'Bal Sheet'!$A$1-1))/13</f>
        <v>12776.703853846153</v>
      </c>
      <c r="P55" s="408" t="e">
        <f>VLOOKUP("2310000",'[8]BS ACCTS'!$A$3:$CD$600,53,FALSE)</f>
        <v>#N/A</v>
      </c>
      <c r="Q55" s="408" t="e">
        <f>VLOOKUP("2310000",'[8]BS ACCTS'!$A$3:$CD$600,54,FALSE)</f>
        <v>#N/A</v>
      </c>
      <c r="R55" s="408" t="e">
        <f>VLOOKUP("2310000",'[8]BS ACCTS'!$A$3:$CD$600,55,FALSE)</f>
        <v>#N/A</v>
      </c>
      <c r="S55" s="408" t="e">
        <f>VLOOKUP("2310000",'[8]BS ACCTS'!$A$3:$CD$600,56,FALSE)</f>
        <v>#N/A</v>
      </c>
      <c r="T55" s="408" t="e">
        <f>VLOOKUP("2310000",'[8]BS ACCTS'!$A$3:$CD$600,57,FALSE)</f>
        <v>#N/A</v>
      </c>
      <c r="U55" s="408" t="e">
        <f>VLOOKUP("2310000",'[8]BS ACCTS'!$A$3:$CD$600,58,FALSE)</f>
        <v>#N/A</v>
      </c>
      <c r="V55" s="408" t="e">
        <f>VLOOKUP("2310000",'[8]BS ACCTS'!$A$3:$CD$600,59,FALSE)</f>
        <v>#N/A</v>
      </c>
      <c r="W55" s="408" t="e">
        <f>VLOOKUP("2310000",'[8]BS ACCTS'!$A$3:$CD$600,60,FALSE)</f>
        <v>#N/A</v>
      </c>
      <c r="X55" s="404" t="e">
        <f>VLOOKUP("2310000",'[8]BS ACCTS'!$A$3:$CD$600,61,FALSE)</f>
        <v>#N/A</v>
      </c>
      <c r="Y55" s="404" t="e">
        <f>VLOOKUP("2310000",'[8]BS ACCTS'!$A$3:$CD$600,62,FALSE)</f>
        <v>#N/A</v>
      </c>
      <c r="Z55" s="404" t="e">
        <f>VLOOKUP("2310000",'[8]BS ACCTS'!$A$3:$CD$600,63,FALSE)</f>
        <v>#N/A</v>
      </c>
      <c r="AA55" s="404" t="e">
        <f>VLOOKUP("2310000",'[8]BS ACCTS'!$A$3:$CD$600,64,FALSE)</f>
        <v>#N/A</v>
      </c>
      <c r="AB55" s="404" t="e">
        <f>VLOOKUP("2310000",'[8]BS ACCTS'!$A$3:$CD$600,65,FALSE)</f>
        <v>#N/A</v>
      </c>
      <c r="AC55" s="404" t="e">
        <f>VLOOKUP("2310000",'[8]BS ACCTS'!$A$3:$CD$600,66,FALSE)</f>
        <v>#N/A</v>
      </c>
      <c r="AD55" s="404" t="e">
        <f>VLOOKUP("2310000",'[8]BS ACCTS'!$A$3:$CD$600,67,FALSE)</f>
        <v>#N/A</v>
      </c>
      <c r="AE55" s="404" t="e">
        <f>VLOOKUP("2310000",'[8]BS ACCTS'!$A$3:$CD$600,68,FALSE)</f>
        <v>#N/A</v>
      </c>
      <c r="AF55" s="404" t="e">
        <f>VLOOKUP("2310000",'[8]BS ACCTS'!$A$3:$ZZ$600,69,FALSE)</f>
        <v>#N/A</v>
      </c>
      <c r="AG55" s="404" t="e">
        <f>VLOOKUP("2310000",'[8]BS ACCTS'!$A$3:$ZZ$600,70,FALSE)</f>
        <v>#N/A</v>
      </c>
      <c r="AH55" s="404" t="e">
        <f>VLOOKUP("2310000",'[8]BS ACCTS'!$A$3:$ZZ$600,71,FALSE)</f>
        <v>#N/A</v>
      </c>
      <c r="AI55" s="404" t="e">
        <f>VLOOKUP("2310000",'[8]BS ACCTS'!$A$3:$ZZ$600,72,FALSE)</f>
        <v>#N/A</v>
      </c>
      <c r="AJ55" s="404" t="e">
        <f>VLOOKUP("2310000",'[8]BS ACCTS'!$A$3:$ZZ$600,73,FALSE)</f>
        <v>#N/A</v>
      </c>
      <c r="AK55" s="404" t="e">
        <f>VLOOKUP("2310000",'[8]BS ACCTS'!$A$3:$ZZ$600,74,FALSE)</f>
        <v>#N/A</v>
      </c>
      <c r="AL55" s="404" t="e">
        <f>VLOOKUP("2310000",'[8]BS ACCTS'!$A$3:$ZZ$600,75,FALSE)</f>
        <v>#N/A</v>
      </c>
      <c r="AM55" s="404" t="e">
        <f>VLOOKUP("2310000",'[8]BS ACCTS'!$A$3:$ZZ$600,76,FALSE)</f>
        <v>#N/A</v>
      </c>
      <c r="AN55" s="404" t="e">
        <f>VLOOKUP("2310000",'[8]BS ACCTS'!$A$3:$ZZ$600,77,FALSE)</f>
        <v>#N/A</v>
      </c>
      <c r="AO55" s="404" t="e">
        <f>VLOOKUP("2310000",'[8]BS ACCTS'!$A$3:$ZZ$600,78,FALSE)</f>
        <v>#N/A</v>
      </c>
      <c r="AP55" s="404" t="e">
        <f>VLOOKUP("2310000",'[8]BS ACCTS'!$A$3:$ZZ$600,79,FALSE)</f>
        <v>#N/A</v>
      </c>
      <c r="AQ55" s="404" t="e">
        <f>VLOOKUP("2310000",'[8]BS ACCTS'!$A$3:$ZZ$600,80,FALSE)</f>
        <v>#N/A</v>
      </c>
      <c r="AR55" s="404" t="e">
        <f>VLOOKUP("2310000",'[8]BS ACCTS'!$A$3:$ZZ$600,81,FALSE)</f>
        <v>#N/A</v>
      </c>
      <c r="AS55" s="404" t="e">
        <f>VLOOKUP("2310000",'[8]BS ACCTS'!$A$3:$ZZ$600,82,FALSE)</f>
        <v>#N/A</v>
      </c>
      <c r="AT55" s="404" t="e">
        <f>VLOOKUP("2310000",'[8]BS ACCTS'!$A$3:$ZZ$600,83,FALSE)</f>
        <v>#N/A</v>
      </c>
      <c r="AU55" s="404" t="e">
        <f>VLOOKUP("2310000",'[8]BS ACCTS'!$A$3:$ZZ$600,84,FALSE)</f>
        <v>#N/A</v>
      </c>
      <c r="AV55" s="404" t="e">
        <f>VLOOKUP("2310000",'[8]BS ACCTS'!$A$3:$ZZ$600,85,FALSE)</f>
        <v>#N/A</v>
      </c>
      <c r="AW55" s="404" t="e">
        <f>VLOOKUP("2310000",'[8]BS ACCTS'!$A$3:$ZZ$600,86,FALSE)</f>
        <v>#N/A</v>
      </c>
      <c r="AX55" s="404" t="e">
        <f>VLOOKUP("2310000",'[8]BS ACCTS'!$A$3:$ZZ$600,87,FALSE)</f>
        <v>#N/A</v>
      </c>
      <c r="AY55" s="404" t="e">
        <f>VLOOKUP("2310000",'[8]BS ACCTS'!$A$3:$ZZ$600,88,FALSE)</f>
        <v>#N/A</v>
      </c>
      <c r="AZ55" s="404" t="e">
        <f>VLOOKUP("2310000",'[8]BS ACCTS'!$A$3:$ZZ$600,88,FALSE)</f>
        <v>#N/A</v>
      </c>
      <c r="BA55" s="404" t="e">
        <f>VLOOKUP("2310000",'[8]BS ACCTS'!$A$3:$ZZ$600,88,FALSE)</f>
        <v>#N/A</v>
      </c>
      <c r="BB55" s="404">
        <f>VLOOKUP("2310000",'[8]BS ACCTS'!$D$3:$ZZ$600,91,FALSE)</f>
        <v>10000</v>
      </c>
      <c r="BC55" s="404">
        <f>VLOOKUP("2310000",'[8]BS ACCTS'!$D$3:$ZZ$600,92,FALSE)</f>
        <v>17122.400000000001</v>
      </c>
      <c r="BD55" s="404">
        <f>VLOOKUP("2310000",'[8]BS ACCTS'!$D$3:$ZZ$600,93,FALSE)</f>
        <v>87741.5</v>
      </c>
      <c r="BE55" s="404">
        <f>VLOOKUP("2310000",'[8]BS ACCTS'!$D$3:$ZZ$600,94,FALSE)</f>
        <v>99244.3</v>
      </c>
      <c r="BF55" s="404">
        <f>VLOOKUP("2310000",'[8]BS ACCTS'!$D$3:$ZZ$600,95,FALSE)</f>
        <v>111939.3</v>
      </c>
      <c r="BG55" s="404">
        <f>VLOOKUP("2310000",'[8]BS ACCTS'!$D$3:$ZZ$600,96,FALSE)</f>
        <v>101333.5</v>
      </c>
      <c r="BH55" s="404">
        <f>VLOOKUP("2310000",'[8]BS ACCTS'!$D$3:$ZZ$600,97,FALSE)</f>
        <v>115219</v>
      </c>
      <c r="BI55" s="404">
        <f>VLOOKUP("2310000",'[8]BS ACCTS'!$D$3:$ZZ$600,98,FALSE)</f>
        <v>136200.9</v>
      </c>
      <c r="BJ55" s="404">
        <f>VLOOKUP("2310000",'[8]BS ACCTS'!$D$3:$ZZ$600,99,FALSE)</f>
        <v>144763.5</v>
      </c>
      <c r="BK55" s="404">
        <f>VLOOKUP("2310000",'[8]BS ACCTS'!$D$3:$ZZ$600,100,FALSE)</f>
        <v>189522.1</v>
      </c>
      <c r="BL55" s="404">
        <v>210398.8</v>
      </c>
      <c r="BM55" s="404">
        <v>158200.10248</v>
      </c>
      <c r="BN55" s="404">
        <v>166329.49208000003</v>
      </c>
      <c r="BO55" s="404">
        <v>174483.97778000002</v>
      </c>
      <c r="BP55" s="404">
        <v>177717.84408000001</v>
      </c>
      <c r="BQ55" s="404">
        <v>198344.90317999999</v>
      </c>
      <c r="BR55" s="404">
        <v>100000</v>
      </c>
      <c r="BS55" s="404">
        <v>100000</v>
      </c>
      <c r="BT55" s="404">
        <v>156383.68047999998</v>
      </c>
      <c r="BU55" s="404">
        <v>159112.87497999999</v>
      </c>
      <c r="BV55" s="404">
        <v>161937.35708000002</v>
      </c>
      <c r="BW55" s="404">
        <v>166097.1501</v>
      </c>
      <c r="BX55" s="404">
        <f>VLOOKUP("2310000",'[8]BS ACCTS'!$D$3:$ZZ$600,113,FALSE)</f>
        <v>0</v>
      </c>
      <c r="BY55" s="404">
        <f>VLOOKUP("2310000",'[8]BS ACCTS'!$D$3:$ZZ$600,114,FALSE)</f>
        <v>0</v>
      </c>
      <c r="BZ55" s="404">
        <f>VLOOKUP("2310000",'[8]BS ACCTS'!$D$3:$ZZ$600,115,FALSE)</f>
        <v>0</v>
      </c>
      <c r="CA55" s="404">
        <f>VLOOKUP("2310000",'[8]BS ACCTS'!$D$3:$ZZ$600,116,FALSE)</f>
        <v>0</v>
      </c>
      <c r="CB55" s="404">
        <f>VLOOKUP("2310000",'[8]BS ACCTS'!$D$3:$ZZ$600,117,FALSE)</f>
        <v>0</v>
      </c>
      <c r="CC55" s="404">
        <f>VLOOKUP("2310000",'[8]BS ACCTS'!$D$3:$ZZ$600,118,FALSE)</f>
        <v>0</v>
      </c>
      <c r="CD55" s="404">
        <f>VLOOKUP("2310000",'[8]BS ACCTS'!$D$3:$ZZ$600,119,FALSE)</f>
        <v>0</v>
      </c>
      <c r="CE55" s="404">
        <f>VLOOKUP("2310000",'[8]BS ACCTS'!$D$3:$ZZ$600,120,FALSE)</f>
        <v>0</v>
      </c>
      <c r="CF55" s="404">
        <f>VLOOKUP("2310000",'[8]BS ACCTS'!$D$3:$ZZ$600,121,FALSE)</f>
        <v>0</v>
      </c>
      <c r="CG55" s="404">
        <f>VLOOKUP("2310000",'[8]BS ACCTS'!$D$3:$ZZ$600,122,FALSE)</f>
        <v>0</v>
      </c>
      <c r="CH55" s="404">
        <f>VLOOKUP("2310000",'[8]BS ACCTS'!$D$3:$ZZ$600,123,FALSE)</f>
        <v>0</v>
      </c>
      <c r="CI55" s="404">
        <f>VLOOKUP("2310000",'[8]BS ACCTS'!$D$3:$ZZ$600,124,FALSE)</f>
        <v>0</v>
      </c>
    </row>
    <row r="56" spans="1:87" s="375" customFormat="1">
      <c r="A56" s="376" t="s">
        <v>587</v>
      </c>
      <c r="B56" s="375" t="s">
        <v>588</v>
      </c>
      <c r="C56" s="418">
        <f ca="1">SUM(OFFSET(BL56:BX56,0,'Bal Sheet'!$A$1-1))/13</f>
        <v>225052.91186176354</v>
      </c>
      <c r="P56" s="408" t="e">
        <f>VLOOKUP("2319999",'[8]BS ACCTS'!$A$3:$CD$600,53,FALSE)</f>
        <v>#N/A</v>
      </c>
      <c r="Q56" s="408" t="e">
        <f>VLOOKUP("2319999",'[8]BS ACCTS'!$A$3:$CD$600,54,FALSE)</f>
        <v>#N/A</v>
      </c>
      <c r="R56" s="408" t="e">
        <f>VLOOKUP("2319999",'[8]BS ACCTS'!$A$3:$CD$600,55,FALSE)</f>
        <v>#N/A</v>
      </c>
      <c r="S56" s="408" t="e">
        <f>VLOOKUP("2319999",'[8]BS ACCTS'!$A$3:$CD$600,56,FALSE)</f>
        <v>#N/A</v>
      </c>
      <c r="T56" s="408" t="e">
        <f>VLOOKUP("2319999",'[8]BS ACCTS'!$A$3:$CD$600,57,FALSE)</f>
        <v>#N/A</v>
      </c>
      <c r="U56" s="408" t="e">
        <f>VLOOKUP("2319999",'[8]BS ACCTS'!$A$3:$CD$600,58,FALSE)</f>
        <v>#N/A</v>
      </c>
      <c r="V56" s="408" t="e">
        <f>VLOOKUP("2319999",'[8]BS ACCTS'!$A$3:$CD$600,59,FALSE)</f>
        <v>#N/A</v>
      </c>
      <c r="W56" s="408" t="e">
        <f>VLOOKUP("2319999",'[8]BS ACCTS'!$A$3:$CD$600,60,FALSE)</f>
        <v>#N/A</v>
      </c>
      <c r="X56" s="404" t="e">
        <f>VLOOKUP("2319999",'[8]BS ACCTS'!$A$3:$CD$600,61,FALSE)</f>
        <v>#N/A</v>
      </c>
      <c r="Y56" s="404" t="e">
        <f>VLOOKUP("2319999",'[8]BS ACCTS'!$A$3:$CD$600,62,FALSE)</f>
        <v>#N/A</v>
      </c>
      <c r="Z56" s="404" t="e">
        <f>VLOOKUP("2319999",'[8]BS ACCTS'!$A$3:$CD$600,63,FALSE)</f>
        <v>#N/A</v>
      </c>
      <c r="AA56" s="404" t="e">
        <f>VLOOKUP("2319999",'[8]BS ACCTS'!$A$3:$CD$600,64,FALSE)</f>
        <v>#N/A</v>
      </c>
      <c r="AB56" s="404" t="e">
        <f>VLOOKUP("2319999",'[8]BS ACCTS'!$A$3:$CD$600,65,FALSE)</f>
        <v>#N/A</v>
      </c>
      <c r="AC56" s="404" t="e">
        <f>VLOOKUP("2319999",'[8]BS ACCTS'!$A$3:$CD$600,66,FALSE)</f>
        <v>#N/A</v>
      </c>
      <c r="AD56" s="404" t="e">
        <f>VLOOKUP("2319999",'[8]BS ACCTS'!$A$3:$CD$600,67,FALSE)</f>
        <v>#N/A</v>
      </c>
      <c r="AE56" s="404" t="e">
        <f>VLOOKUP("2319999",'[8]BS ACCTS'!$A$3:$CD$600,68,FALSE)</f>
        <v>#N/A</v>
      </c>
      <c r="AF56" s="404" t="e">
        <f>VLOOKUP("2319999",'[8]BS ACCTS'!$A$3:$ZZ$600,69,FALSE)</f>
        <v>#N/A</v>
      </c>
      <c r="AG56" s="404" t="e">
        <f>VLOOKUP("2319999",'[8]BS ACCTS'!$A$3:$ZZ$600,70,FALSE)</f>
        <v>#N/A</v>
      </c>
      <c r="AH56" s="404" t="e">
        <f>VLOOKUP("2319999",'[8]BS ACCTS'!$A$3:$ZZ$600,71,FALSE)</f>
        <v>#N/A</v>
      </c>
      <c r="AI56" s="404" t="e">
        <f>VLOOKUP("2319999",'[8]BS ACCTS'!$A$3:$ZZ$600,72,FALSE)</f>
        <v>#N/A</v>
      </c>
      <c r="AJ56" s="404" t="e">
        <f>VLOOKUP("2319999",'[8]BS ACCTS'!$A$3:$ZZ$600,73,FALSE)</f>
        <v>#N/A</v>
      </c>
      <c r="AK56" s="404" t="e">
        <f>VLOOKUP("2319999",'[8]BS ACCTS'!$A$3:$ZZ$600,74,FALSE)</f>
        <v>#N/A</v>
      </c>
      <c r="AL56" s="404" t="e">
        <f>VLOOKUP("2319999",'[8]BS ACCTS'!$A$3:$ZZ$600,75,FALSE)</f>
        <v>#N/A</v>
      </c>
      <c r="AM56" s="404" t="e">
        <f>VLOOKUP("2319999",'[8]BS ACCTS'!$A$3:$ZZ$600,76,FALSE)</f>
        <v>#N/A</v>
      </c>
      <c r="AN56" s="404" t="e">
        <f>VLOOKUP("2319999",'[8]BS ACCTS'!$A$3:$ZZ$600,77,FALSE)</f>
        <v>#N/A</v>
      </c>
      <c r="AO56" s="404" t="e">
        <f>VLOOKUP("2319999",'[8]BS ACCTS'!$A$3:$ZZ$600,78,FALSE)</f>
        <v>#N/A</v>
      </c>
      <c r="AP56" s="404" t="e">
        <f>VLOOKUP("2319999",'[8]BS ACCTS'!$A$3:$ZZ$600,79,FALSE)</f>
        <v>#N/A</v>
      </c>
      <c r="AQ56" s="404" t="e">
        <f>VLOOKUP("2319999",'[8]BS ACCTS'!$A$3:$ZZ$600,80,FALSE)</f>
        <v>#N/A</v>
      </c>
      <c r="AR56" s="404" t="e">
        <f>VLOOKUP("2319999",'[8]BS ACCTS'!$A$3:$ZZ$600,81,FALSE)</f>
        <v>#N/A</v>
      </c>
      <c r="AS56" s="404" t="e">
        <f>VLOOKUP("2319999",'[8]BS ACCTS'!$A$3:$ZZ$600,82,FALSE)</f>
        <v>#N/A</v>
      </c>
      <c r="AT56" s="404" t="e">
        <f>VLOOKUP("2319999",'[8]BS ACCTS'!$A$3:$ZZ$600,83,FALSE)</f>
        <v>#N/A</v>
      </c>
      <c r="AU56" s="404" t="e">
        <f>VLOOKUP("2319999",'[8]BS ACCTS'!$A$3:$ZZ$600,84,FALSE)</f>
        <v>#N/A</v>
      </c>
      <c r="AV56" s="404" t="e">
        <f>VLOOKUP("2319999",'[8]BS ACCTS'!$A$3:$ZZ$600,85,FALSE)</f>
        <v>#N/A</v>
      </c>
      <c r="AW56" s="404" t="e">
        <f>VLOOKUP("2319999",'[8]BS ACCTS'!$A$3:$ZZ$600,86,FALSE)</f>
        <v>#N/A</v>
      </c>
      <c r="AX56" s="404" t="e">
        <f>VLOOKUP("2319999",'[8]BS ACCTS'!$A$3:$ZZ$600,87,FALSE)</f>
        <v>#N/A</v>
      </c>
      <c r="AY56" s="404" t="e">
        <f>VLOOKUP("2319999",'[8]BS ACCTS'!$A$3:$ZZ$600,88,FALSE)</f>
        <v>#N/A</v>
      </c>
      <c r="AZ56" s="404" t="e">
        <f>VLOOKUP("2319999",'[8]BS ACCTS'!$A$3:$ZZ$600,88,FALSE)</f>
        <v>#N/A</v>
      </c>
      <c r="BA56" s="404" t="e">
        <f>VLOOKUP("2319999",'[8]BS ACCTS'!$A$3:$ZZ$600,88,FALSE)</f>
        <v>#N/A</v>
      </c>
      <c r="BB56" s="404">
        <f>VLOOKUP("2319999",'[8]BS ACCTS'!$D$3:$ZZ$600,91,FALSE)</f>
        <v>0</v>
      </c>
      <c r="BC56" s="404">
        <f>VLOOKUP("2319999",'[8]BS ACCTS'!$D$3:$ZZ$600,92,FALSE)</f>
        <v>0</v>
      </c>
      <c r="BD56" s="404">
        <f>VLOOKUP("2319999",'[8]BS ACCTS'!$D$3:$ZZ$600,93,FALSE)</f>
        <v>0</v>
      </c>
      <c r="BE56" s="404">
        <f>VLOOKUP("2319999",'[8]BS ACCTS'!$D$3:$ZZ$600,94,FALSE)</f>
        <v>0</v>
      </c>
      <c r="BF56" s="404">
        <f>VLOOKUP("2319999",'[8]BS ACCTS'!$D$3:$ZZ$600,95,FALSE)</f>
        <v>0</v>
      </c>
      <c r="BG56" s="404">
        <f>VLOOKUP("2319999",'[8]BS ACCTS'!$D$3:$ZZ$600,96,FALSE)</f>
        <v>0</v>
      </c>
      <c r="BH56" s="404">
        <f>VLOOKUP("2319999",'[8]BS ACCTS'!$D$3:$ZZ$600,97,FALSE)</f>
        <v>0</v>
      </c>
      <c r="BI56" s="404">
        <f>VLOOKUP("2319999",'[8]BS ACCTS'!$D$3:$ZZ$600,98,FALSE)</f>
        <v>0</v>
      </c>
      <c r="BJ56" s="404">
        <f>VLOOKUP("2319999",'[8]BS ACCTS'!$D$3:$ZZ$600,99,FALSE)</f>
        <v>0</v>
      </c>
      <c r="BK56" s="404">
        <f>VLOOKUP("2319999",'[8]BS ACCTS'!$D$3:$ZZ$600,100,FALSE)</f>
        <v>0</v>
      </c>
      <c r="BL56" s="404">
        <f>VLOOKUP("2319999",'[8]BS ACCTS'!$D$3:$ZZ$600,101,FALSE)</f>
        <v>0</v>
      </c>
      <c r="BM56" s="404">
        <f>VLOOKUP("2319999",'[8]BS ACCTS'!$D$3:$ZZ$600,102,FALSE)</f>
        <v>0</v>
      </c>
      <c r="BN56" s="404">
        <f>VLOOKUP("2319999",'[8]BS ACCTS'!$D$3:$ZZ$600,103,FALSE)</f>
        <v>0</v>
      </c>
      <c r="BO56" s="404">
        <f>VLOOKUP("2319999",'[8]BS ACCTS'!$D$3:$ZZ$600,104,FALSE)</f>
        <v>0</v>
      </c>
      <c r="BP56" s="404">
        <f>VLOOKUP("2319999",'[8]BS ACCTS'!$D$3:$ZZ$600,105,FALSE)</f>
        <v>0</v>
      </c>
      <c r="BQ56" s="404">
        <f>VLOOKUP("2319999",'[8]BS ACCTS'!$D$3:$ZZ$600,106,FALSE)</f>
        <v>0</v>
      </c>
      <c r="BR56" s="404">
        <f>VLOOKUP("2319999",'[8]BS ACCTS'!$D$3:$ZZ$600,107,FALSE)</f>
        <v>0</v>
      </c>
      <c r="BS56" s="404">
        <f>VLOOKUP("2319999",'[8]BS ACCTS'!$D$3:$ZZ$600,108,FALSE)</f>
        <v>0</v>
      </c>
      <c r="BT56" s="404">
        <f>VLOOKUP("2319999",'[8]BS ACCTS'!$D$3:$ZZ$600,109,FALSE)</f>
        <v>0</v>
      </c>
      <c r="BU56" s="404">
        <f>VLOOKUP("2319999",'[8]BS ACCTS'!$D$3:$ZZ$600,110,FALSE)</f>
        <v>0</v>
      </c>
      <c r="BV56" s="404">
        <f>VLOOKUP("2319999",'[8]BS ACCTS'!$D$3:$ZZ$600,111,FALSE)</f>
        <v>0</v>
      </c>
      <c r="BW56" s="404">
        <f>VLOOKUP("2319999",'[8]BS ACCTS'!$D$3:$ZZ$600,112,FALSE)</f>
        <v>0</v>
      </c>
      <c r="BX56" s="1030">
        <f>VLOOKUP("2319999",'[8]BS ACCTS'!$D$3:$ZZ$600,113,FALSE)+'2023 Intercompany Debt Schedule'!D9</f>
        <v>200760.12118052706</v>
      </c>
      <c r="BY56" s="1030">
        <f>VLOOKUP("2319999",'[8]BS ACCTS'!$D$3:$ZZ$600,114,FALSE)+'2023 Intercompany Debt Schedule'!E9</f>
        <v>249611.30169351317</v>
      </c>
      <c r="BZ56" s="1030">
        <f>VLOOKUP("2319999",'[8]BS ACCTS'!$D$3:$ZZ$600,115,FALSE)+'2023 Intercompany Debt Schedule'!F9</f>
        <v>267160.48534790176</v>
      </c>
      <c r="CA56" s="1030">
        <f>VLOOKUP("2319999",'[8]BS ACCTS'!$D$3:$ZZ$600,116,FALSE)+'2023 Intercompany Debt Schedule'!G9</f>
        <v>288943.20600232383</v>
      </c>
      <c r="CB56" s="1030">
        <f>VLOOKUP("2319999",'[8]BS ACCTS'!$D$3:$ZZ$600,117,FALSE)+'2023 Intercompany Debt Schedule'!H9</f>
        <v>294595.72464084515</v>
      </c>
      <c r="CC56" s="1030">
        <f>VLOOKUP("2319999",'[8]BS ACCTS'!$D$3:$ZZ$600,118,FALSE)+'2023 Intercompany Debt Schedule'!I9</f>
        <v>312955.13522041368</v>
      </c>
      <c r="CD56" s="1030">
        <f>VLOOKUP("2319999",'[8]BS ACCTS'!$D$3:$ZZ$600,119,FALSE)+'2023 Intercompany Debt Schedule'!J9</f>
        <v>332059.66013961291</v>
      </c>
      <c r="CE56" s="1030">
        <f>VLOOKUP("2319999",'[8]BS ACCTS'!$D$3:$ZZ$600,120,FALSE)+'2023 Intercompany Debt Schedule'!K9</f>
        <v>328865.65297220211</v>
      </c>
      <c r="CF56" s="1030">
        <f>VLOOKUP("2319999",'[8]BS ACCTS'!$D$3:$ZZ$600,121,FALSE)+'2023 Intercompany Debt Schedule'!L9</f>
        <v>338687.5372591308</v>
      </c>
      <c r="CG56" s="404">
        <f>VLOOKUP("2319999",'[8]BS ACCTS'!$D$3:$ZZ$600,122,FALSE)</f>
        <v>112693.70830845693</v>
      </c>
      <c r="CH56" s="404">
        <f>VLOOKUP("2319999",'[8]BS ACCTS'!$D$3:$ZZ$600,123,FALSE)</f>
        <v>91589.771866643408</v>
      </c>
      <c r="CI56" s="404">
        <f>VLOOKUP("2319999",'[8]BS ACCTS'!$D$3:$ZZ$600,124,FALSE)</f>
        <v>107765.54957135532</v>
      </c>
    </row>
    <row r="57" spans="1:87" s="375" customFormat="1">
      <c r="A57" s="376" t="s">
        <v>589</v>
      </c>
      <c r="B57" s="375" t="s">
        <v>588</v>
      </c>
      <c r="C57" s="292">
        <f ca="1">SUM(OFFSET(BL57:BX57,0,'Bal Sheet'!$A$1-1))/13</f>
        <v>0</v>
      </c>
      <c r="P57" s="409" t="e">
        <f>VLOOKUP("2330711",'[8]BS ACCTS'!$A$3:$CD$600,53,FALSE)</f>
        <v>#N/A</v>
      </c>
      <c r="Q57" s="409" t="e">
        <f>VLOOKUP("2330711",'[8]BS ACCTS'!$A$3:$CD$600,54,FALSE)</f>
        <v>#N/A</v>
      </c>
      <c r="R57" s="409" t="e">
        <f>VLOOKUP("2330711",'[8]BS ACCTS'!$A$3:$CD$600,55,FALSE)</f>
        <v>#N/A</v>
      </c>
      <c r="S57" s="409" t="e">
        <f>VLOOKUP("2330711",'[8]BS ACCTS'!$A$3:$CD$600,56,FALSE)</f>
        <v>#N/A</v>
      </c>
      <c r="T57" s="409" t="e">
        <f>VLOOKUP("2330711",'[8]BS ACCTS'!$A$3:$CD$600,57,FALSE)</f>
        <v>#N/A</v>
      </c>
      <c r="U57" s="409" t="e">
        <f>VLOOKUP("2330711",'[8]BS ACCTS'!$A$3:$CD$600,58,FALSE)</f>
        <v>#N/A</v>
      </c>
      <c r="V57" s="409" t="e">
        <f>VLOOKUP("2330711",'[8]BS ACCTS'!$A$3:$CD$600,59,FALSE)</f>
        <v>#N/A</v>
      </c>
      <c r="W57" s="409" t="e">
        <f>VLOOKUP("2330711",'[8]BS ACCTS'!$A$3:$CD$600,60,FALSE)</f>
        <v>#N/A</v>
      </c>
      <c r="X57" s="403" t="e">
        <f>VLOOKUP("2330711",'[8]BS ACCTS'!$A$3:$CD$600,61,FALSE)</f>
        <v>#N/A</v>
      </c>
      <c r="Y57" s="403" t="e">
        <f>VLOOKUP("2330711",'[8]BS ACCTS'!$A$3:$CD$600,62,FALSE)</f>
        <v>#N/A</v>
      </c>
      <c r="Z57" s="403" t="e">
        <f>VLOOKUP("2330711",'[8]BS ACCTS'!$A$3:$CD$600,63,FALSE)</f>
        <v>#N/A</v>
      </c>
      <c r="AA57" s="403" t="e">
        <f>VLOOKUP("2330711",'[8]BS ACCTS'!$A$3:$CD$600,64,FALSE)</f>
        <v>#N/A</v>
      </c>
      <c r="AB57" s="403" t="e">
        <f>VLOOKUP("2330711",'[8]BS ACCTS'!$A$3:$CD$600,65,FALSE)</f>
        <v>#N/A</v>
      </c>
      <c r="AC57" s="403" t="e">
        <f>VLOOKUP("2330711",'[8]BS ACCTS'!$A$3:$CD$600,66,FALSE)</f>
        <v>#N/A</v>
      </c>
      <c r="AD57" s="403" t="e">
        <f>VLOOKUP("2330711",'[8]BS ACCTS'!$A$3:$CD$600,67,FALSE)</f>
        <v>#N/A</v>
      </c>
      <c r="AE57" s="403" t="e">
        <f>VLOOKUP("2330711",'[8]BS ACCTS'!$A$3:$CD$600,68,FALSE)</f>
        <v>#N/A</v>
      </c>
      <c r="AF57" s="403" t="e">
        <f>VLOOKUP("2330711",'[8]BS ACCTS'!$A$3:$ZZ$600,69,FALSE)</f>
        <v>#N/A</v>
      </c>
      <c r="AG57" s="403" t="e">
        <f>VLOOKUP("2330711",'[8]BS ACCTS'!$A$3:$ZZ$600,70,FALSE)</f>
        <v>#N/A</v>
      </c>
      <c r="AH57" s="403" t="e">
        <f>VLOOKUP("2330711",'[8]BS ACCTS'!$A$3:$ZZ$600,71,FALSE)</f>
        <v>#N/A</v>
      </c>
      <c r="AI57" s="403" t="e">
        <f>VLOOKUP("2330711",'[8]BS ACCTS'!$A$3:$ZZ$600,72,FALSE)</f>
        <v>#N/A</v>
      </c>
      <c r="AJ57" s="403" t="e">
        <f>VLOOKUP("2330711",'[8]BS ACCTS'!$A$3:$ZZ$600,73,FALSE)</f>
        <v>#N/A</v>
      </c>
      <c r="AK57" s="403" t="e">
        <f>VLOOKUP("2330711",'[8]BS ACCTS'!$A$3:$ZZ$600,74,FALSE)</f>
        <v>#N/A</v>
      </c>
      <c r="AL57" s="403" t="e">
        <f>VLOOKUP("2330711",'[8]BS ACCTS'!$A$3:$ZZ$600,75,FALSE)</f>
        <v>#N/A</v>
      </c>
      <c r="AM57" s="403" t="e">
        <f>VLOOKUP("2330711",'[8]BS ACCTS'!$A$3:$ZZ$600,76,FALSE)</f>
        <v>#N/A</v>
      </c>
      <c r="AN57" s="403" t="e">
        <f>VLOOKUP("2330711",'[8]BS ACCTS'!$A$3:$ZZ$600,77,FALSE)</f>
        <v>#N/A</v>
      </c>
      <c r="AO57" s="403" t="e">
        <f>VLOOKUP("2330711",'[8]BS ACCTS'!$A$3:$ZZ$600,78,FALSE)</f>
        <v>#N/A</v>
      </c>
      <c r="AP57" s="403" t="e">
        <f>VLOOKUP("2330711",'[8]BS ACCTS'!$A$3:$ZZ$600,79,FALSE)</f>
        <v>#N/A</v>
      </c>
      <c r="AQ57" s="403" t="e">
        <f>VLOOKUP("2330711",'[8]BS ACCTS'!$A$3:$ZZ$600,80,FALSE)</f>
        <v>#N/A</v>
      </c>
      <c r="AR57" s="403" t="e">
        <f>VLOOKUP("2330711",'[8]BS ACCTS'!$A$3:$ZZ$600,81,FALSE)</f>
        <v>#N/A</v>
      </c>
      <c r="AS57" s="403" t="e">
        <f>VLOOKUP("2330711",'[8]BS ACCTS'!$A$3:$ZZ$600,82,FALSE)</f>
        <v>#N/A</v>
      </c>
      <c r="AT57" s="403" t="e">
        <f>VLOOKUP("2330711",'[8]BS ACCTS'!$A$3:$ZZ$600,83,FALSE)</f>
        <v>#N/A</v>
      </c>
      <c r="AU57" s="403" t="e">
        <f>VLOOKUP("2330711",'[8]BS ACCTS'!$A$3:$ZZ$600,84,FALSE)</f>
        <v>#N/A</v>
      </c>
      <c r="AV57" s="403" t="e">
        <f>VLOOKUP("2330711",'[8]BS ACCTS'!$A$3:$ZZ$600,85,FALSE)</f>
        <v>#N/A</v>
      </c>
      <c r="AW57" s="403" t="e">
        <f>VLOOKUP("2330711",'[8]BS ACCTS'!$A$3:$ZZ$600,86,FALSE)</f>
        <v>#N/A</v>
      </c>
      <c r="AX57" s="403" t="e">
        <f>VLOOKUP("2330711",'[8]BS ACCTS'!$A$3:$ZZ$600,87,FALSE)</f>
        <v>#N/A</v>
      </c>
      <c r="AY57" s="403" t="e">
        <f>VLOOKUP("2330711",'[8]BS ACCTS'!$A$3:$ZZ$600,88,FALSE)</f>
        <v>#N/A</v>
      </c>
      <c r="AZ57" s="403" t="e">
        <f>VLOOKUP("2330711",'[8]BS ACCTS'!$A$3:$ZZ$600,88,FALSE)</f>
        <v>#N/A</v>
      </c>
      <c r="BA57" s="403" t="e">
        <f>VLOOKUP("2330711",'[8]BS ACCTS'!$A$3:$ZZ$600,88,FALSE)</f>
        <v>#N/A</v>
      </c>
      <c r="BB57" s="1029"/>
      <c r="BC57" s="1029"/>
      <c r="BD57" s="1029"/>
      <c r="BE57" s="1029"/>
      <c r="BF57" s="1029"/>
      <c r="BG57" s="1029"/>
      <c r="BH57" s="1029"/>
      <c r="BI57" s="1029"/>
      <c r="BJ57" s="1029"/>
      <c r="BK57" s="1029"/>
      <c r="BL57" s="1029">
        <v>0</v>
      </c>
      <c r="BM57" s="1029">
        <v>0</v>
      </c>
      <c r="BN57" s="1029">
        <v>0</v>
      </c>
      <c r="BO57" s="1029">
        <v>0</v>
      </c>
      <c r="BP57" s="1029">
        <v>0</v>
      </c>
      <c r="BQ57" s="1029">
        <v>0</v>
      </c>
      <c r="BR57" s="403">
        <v>36571.246979999996</v>
      </c>
      <c r="BS57" s="403">
        <v>24775.692280000003</v>
      </c>
      <c r="BT57" s="403">
        <v>0</v>
      </c>
      <c r="BU57" s="403">
        <v>0</v>
      </c>
      <c r="BV57" s="403">
        <v>0</v>
      </c>
      <c r="BW57" s="403">
        <v>0</v>
      </c>
      <c r="BX57" s="403">
        <f>VLOOKUP("2330711",'[8]BS ACCTS'!$D$3:$ZZ$600,113,FALSE)</f>
        <v>0</v>
      </c>
      <c r="BY57" s="403">
        <f>VLOOKUP("2330711",'[8]BS ACCTS'!$D$3:$ZZ$600,114,FALSE)</f>
        <v>0</v>
      </c>
      <c r="BZ57" s="403">
        <f>VLOOKUP("2330711",'[8]BS ACCTS'!$D$3:$ZZ$600,115,FALSE)</f>
        <v>0</v>
      </c>
      <c r="CA57" s="403">
        <f>VLOOKUP("2330711",'[8]BS ACCTS'!$D$3:$ZZ$600,116,FALSE)</f>
        <v>0</v>
      </c>
      <c r="CB57" s="403">
        <f>VLOOKUP("2330711",'[8]BS ACCTS'!$D$3:$ZZ$600,117,FALSE)</f>
        <v>0</v>
      </c>
      <c r="CC57" s="403">
        <f>VLOOKUP("2330711",'[8]BS ACCTS'!$D$3:$ZZ$600,118,FALSE)</f>
        <v>0</v>
      </c>
      <c r="CD57" s="403">
        <f>VLOOKUP("2330711",'[8]BS ACCTS'!$D$3:$ZZ$600,119,FALSE)</f>
        <v>0</v>
      </c>
      <c r="CE57" s="403">
        <f>VLOOKUP("2330711",'[8]BS ACCTS'!$D$3:$ZZ$600,120,FALSE)</f>
        <v>0</v>
      </c>
      <c r="CF57" s="403">
        <f>VLOOKUP("2330711",'[8]BS ACCTS'!$D$3:$ZZ$600,121,FALSE)</f>
        <v>0</v>
      </c>
      <c r="CG57" s="403">
        <f>VLOOKUP("2330711",'[8]BS ACCTS'!$D$3:$ZZ$600,122,FALSE)</f>
        <v>0</v>
      </c>
      <c r="CH57" s="403">
        <f>VLOOKUP("2330711",'[8]BS ACCTS'!$D$3:$ZZ$600,123,FALSE)</f>
        <v>0</v>
      </c>
      <c r="CI57" s="403">
        <f>VLOOKUP("2330711",'[8]BS ACCTS'!$D$3:$ZZ$600,124,FALSE)</f>
        <v>0</v>
      </c>
    </row>
    <row r="58" spans="1:87" s="375" customFormat="1">
      <c r="B58" s="214" t="s">
        <v>584</v>
      </c>
      <c r="C58" s="293">
        <f ca="1">SUM(C54:C57)</f>
        <v>237829.61571560969</v>
      </c>
      <c r="P58" s="450" t="e">
        <f t="shared" ref="P58:AA58" si="127">SUM(P55:P57)</f>
        <v>#N/A</v>
      </c>
      <c r="Q58" s="450" t="e">
        <f t="shared" si="127"/>
        <v>#N/A</v>
      </c>
      <c r="R58" s="450" t="e">
        <f t="shared" si="127"/>
        <v>#N/A</v>
      </c>
      <c r="S58" s="450" t="e">
        <f t="shared" si="127"/>
        <v>#N/A</v>
      </c>
      <c r="T58" s="450" t="e">
        <f t="shared" si="127"/>
        <v>#N/A</v>
      </c>
      <c r="U58" s="450" t="e">
        <f t="shared" si="127"/>
        <v>#N/A</v>
      </c>
      <c r="V58" s="450" t="e">
        <f t="shared" si="127"/>
        <v>#N/A</v>
      </c>
      <c r="W58" s="450" t="e">
        <f t="shared" si="127"/>
        <v>#N/A</v>
      </c>
      <c r="X58" s="450" t="e">
        <f t="shared" si="127"/>
        <v>#N/A</v>
      </c>
      <c r="Y58" s="450" t="e">
        <f t="shared" si="127"/>
        <v>#N/A</v>
      </c>
      <c r="Z58" s="450" t="e">
        <f t="shared" si="127"/>
        <v>#N/A</v>
      </c>
      <c r="AA58" s="450" t="e">
        <f t="shared" si="127"/>
        <v>#N/A</v>
      </c>
      <c r="AB58" s="450" t="e">
        <f t="shared" ref="AB58:AX58" si="128">SUM(AB55:AB57)</f>
        <v>#N/A</v>
      </c>
      <c r="AC58" s="450" t="e">
        <f t="shared" si="128"/>
        <v>#N/A</v>
      </c>
      <c r="AD58" s="450" t="e">
        <f t="shared" si="128"/>
        <v>#N/A</v>
      </c>
      <c r="AE58" s="450" t="e">
        <f t="shared" si="128"/>
        <v>#N/A</v>
      </c>
      <c r="AF58" s="450" t="e">
        <f t="shared" si="128"/>
        <v>#N/A</v>
      </c>
      <c r="AG58" s="450" t="e">
        <f t="shared" si="128"/>
        <v>#N/A</v>
      </c>
      <c r="AH58" s="450" t="e">
        <f t="shared" si="128"/>
        <v>#N/A</v>
      </c>
      <c r="AI58" s="450" t="e">
        <f t="shared" si="128"/>
        <v>#N/A</v>
      </c>
      <c r="AJ58" s="450" t="e">
        <f t="shared" si="128"/>
        <v>#N/A</v>
      </c>
      <c r="AK58" s="450" t="e">
        <f t="shared" si="128"/>
        <v>#N/A</v>
      </c>
      <c r="AL58" s="450" t="e">
        <f t="shared" si="128"/>
        <v>#N/A</v>
      </c>
      <c r="AM58" s="450" t="e">
        <f t="shared" si="128"/>
        <v>#N/A</v>
      </c>
      <c r="AN58" s="450" t="e">
        <f>SUM(AN55:AN57)</f>
        <v>#N/A</v>
      </c>
      <c r="AO58" s="450" t="e">
        <f t="shared" si="128"/>
        <v>#N/A</v>
      </c>
      <c r="AP58" s="450" t="e">
        <f t="shared" si="128"/>
        <v>#N/A</v>
      </c>
      <c r="AQ58" s="450" t="e">
        <f t="shared" si="128"/>
        <v>#N/A</v>
      </c>
      <c r="AR58" s="450" t="e">
        <f t="shared" si="128"/>
        <v>#N/A</v>
      </c>
      <c r="AS58" s="450" t="e">
        <f t="shared" si="128"/>
        <v>#N/A</v>
      </c>
      <c r="AT58" s="450" t="e">
        <f t="shared" si="128"/>
        <v>#N/A</v>
      </c>
      <c r="AU58" s="450" t="e">
        <f t="shared" si="128"/>
        <v>#N/A</v>
      </c>
      <c r="AV58" s="450" t="e">
        <f t="shared" si="128"/>
        <v>#N/A</v>
      </c>
      <c r="AW58" s="450" t="e">
        <f t="shared" si="128"/>
        <v>#N/A</v>
      </c>
      <c r="AX58" s="450" t="e">
        <f t="shared" si="128"/>
        <v>#N/A</v>
      </c>
      <c r="AY58" s="450" t="e">
        <f>SUM(AY55:AY57)</f>
        <v>#N/A</v>
      </c>
      <c r="AZ58" s="450" t="e">
        <f t="shared" ref="AZ58:BH58" si="129">SUM(AZ55:AZ57)</f>
        <v>#N/A</v>
      </c>
      <c r="BA58" s="450" t="e">
        <f t="shared" si="129"/>
        <v>#N/A</v>
      </c>
      <c r="BB58" s="450">
        <f t="shared" si="129"/>
        <v>10000</v>
      </c>
      <c r="BC58" s="450">
        <f t="shared" si="129"/>
        <v>17122.400000000001</v>
      </c>
      <c r="BD58" s="450">
        <f t="shared" si="129"/>
        <v>87741.5</v>
      </c>
      <c r="BE58" s="450">
        <f t="shared" si="129"/>
        <v>99244.3</v>
      </c>
      <c r="BF58" s="450">
        <f t="shared" si="129"/>
        <v>111939.3</v>
      </c>
      <c r="BG58" s="450">
        <f t="shared" si="129"/>
        <v>101333.5</v>
      </c>
      <c r="BH58" s="450">
        <f t="shared" si="129"/>
        <v>115219</v>
      </c>
      <c r="BI58" s="450">
        <f>SUM(BI55:BI57)</f>
        <v>136200.9</v>
      </c>
      <c r="BJ58" s="450">
        <f t="shared" ref="BJ58" si="130">SUM(BJ55:BJ57)</f>
        <v>144763.5</v>
      </c>
      <c r="BK58" s="450">
        <f t="shared" ref="BK58:BW58" si="131">SUM(BK55:BK57)</f>
        <v>189522.1</v>
      </c>
      <c r="BL58" s="450">
        <f t="shared" si="131"/>
        <v>210398.8</v>
      </c>
      <c r="BM58" s="450">
        <f t="shared" si="131"/>
        <v>158200.10248</v>
      </c>
      <c r="BN58" s="450">
        <f t="shared" si="131"/>
        <v>166329.49208000003</v>
      </c>
      <c r="BO58" s="450">
        <f t="shared" si="131"/>
        <v>174483.97778000002</v>
      </c>
      <c r="BP58" s="450">
        <f t="shared" si="131"/>
        <v>177717.84408000001</v>
      </c>
      <c r="BQ58" s="450">
        <f t="shared" si="131"/>
        <v>198344.90317999999</v>
      </c>
      <c r="BR58" s="450">
        <f t="shared" si="131"/>
        <v>136571.24698</v>
      </c>
      <c r="BS58" s="450">
        <f t="shared" si="131"/>
        <v>124775.69228</v>
      </c>
      <c r="BT58" s="450">
        <f t="shared" si="131"/>
        <v>156383.68047999998</v>
      </c>
      <c r="BU58" s="450">
        <f t="shared" si="131"/>
        <v>159112.87497999999</v>
      </c>
      <c r="BV58" s="450">
        <f t="shared" si="131"/>
        <v>161937.35708000002</v>
      </c>
      <c r="BW58" s="450">
        <f t="shared" si="131"/>
        <v>166097.1501</v>
      </c>
      <c r="BX58" s="450">
        <f t="shared" ref="BX58:CI58" si="132">SUM(BX55:BX57)</f>
        <v>200760.12118052706</v>
      </c>
      <c r="BY58" s="450">
        <f t="shared" si="132"/>
        <v>249611.30169351317</v>
      </c>
      <c r="BZ58" s="450">
        <f t="shared" si="132"/>
        <v>267160.48534790176</v>
      </c>
      <c r="CA58" s="450">
        <f t="shared" si="132"/>
        <v>288943.20600232383</v>
      </c>
      <c r="CB58" s="450">
        <f t="shared" si="132"/>
        <v>294595.72464084515</v>
      </c>
      <c r="CC58" s="450">
        <f t="shared" si="132"/>
        <v>312955.13522041368</v>
      </c>
      <c r="CD58" s="450">
        <f t="shared" si="132"/>
        <v>332059.66013961291</v>
      </c>
      <c r="CE58" s="450">
        <f t="shared" si="132"/>
        <v>328865.65297220211</v>
      </c>
      <c r="CF58" s="450">
        <f t="shared" si="132"/>
        <v>338687.5372591308</v>
      </c>
      <c r="CG58" s="450">
        <f t="shared" si="132"/>
        <v>112693.70830845693</v>
      </c>
      <c r="CH58" s="450">
        <f t="shared" si="132"/>
        <v>91589.771866643408</v>
      </c>
      <c r="CI58" s="450">
        <f t="shared" si="132"/>
        <v>107765.54957135532</v>
      </c>
    </row>
    <row r="59" spans="1:87" s="375" customFormat="1">
      <c r="Z59" s="447"/>
    </row>
    <row r="60" spans="1:87" s="375" customFormat="1">
      <c r="B60" s="447" t="s">
        <v>590</v>
      </c>
      <c r="Z60" s="447"/>
      <c r="AA60" s="451" t="e">
        <f t="shared" ref="AA60:AX60" si="133">SUM(O58:AA58)/13</f>
        <v>#N/A</v>
      </c>
      <c r="AB60" s="451" t="e">
        <f t="shared" si="133"/>
        <v>#N/A</v>
      </c>
      <c r="AC60" s="451" t="e">
        <f t="shared" si="133"/>
        <v>#N/A</v>
      </c>
      <c r="AD60" s="451" t="e">
        <f t="shared" si="133"/>
        <v>#N/A</v>
      </c>
      <c r="AE60" s="451" t="e">
        <f t="shared" si="133"/>
        <v>#N/A</v>
      </c>
      <c r="AF60" s="451" t="e">
        <f t="shared" si="133"/>
        <v>#N/A</v>
      </c>
      <c r="AG60" s="451" t="e">
        <f t="shared" si="133"/>
        <v>#N/A</v>
      </c>
      <c r="AH60" s="451" t="e">
        <f t="shared" si="133"/>
        <v>#N/A</v>
      </c>
      <c r="AI60" s="451" t="e">
        <f>SUM(W58:AI58)/13</f>
        <v>#N/A</v>
      </c>
      <c r="AJ60" s="451" t="e">
        <f t="shared" si="133"/>
        <v>#N/A</v>
      </c>
      <c r="AK60" s="451" t="e">
        <f t="shared" si="133"/>
        <v>#N/A</v>
      </c>
      <c r="AL60" s="451" t="e">
        <f t="shared" si="133"/>
        <v>#N/A</v>
      </c>
      <c r="AM60" s="451" t="e">
        <f>SUM(AA58:AM58)/13</f>
        <v>#N/A</v>
      </c>
      <c r="AN60" s="451" t="e">
        <f>SUM(AB58:AN58)/13</f>
        <v>#N/A</v>
      </c>
      <c r="AO60" s="451" t="e">
        <f t="shared" si="133"/>
        <v>#N/A</v>
      </c>
      <c r="AP60" s="451" t="e">
        <f t="shared" si="133"/>
        <v>#N/A</v>
      </c>
      <c r="AQ60" s="451" t="e">
        <f t="shared" si="133"/>
        <v>#N/A</v>
      </c>
      <c r="AR60" s="451" t="e">
        <f t="shared" si="133"/>
        <v>#N/A</v>
      </c>
      <c r="AS60" s="451" t="e">
        <f t="shared" si="133"/>
        <v>#N/A</v>
      </c>
      <c r="AT60" s="451" t="e">
        <f t="shared" si="133"/>
        <v>#N/A</v>
      </c>
      <c r="AU60" s="451" t="e">
        <f t="shared" si="133"/>
        <v>#N/A</v>
      </c>
      <c r="AV60" s="451" t="e">
        <f t="shared" si="133"/>
        <v>#N/A</v>
      </c>
      <c r="AW60" s="451" t="e">
        <f t="shared" si="133"/>
        <v>#N/A</v>
      </c>
      <c r="AX60" s="451" t="e">
        <f t="shared" si="133"/>
        <v>#N/A</v>
      </c>
      <c r="AY60" s="451" t="e">
        <f>SUM(AM58:AY58)/13</f>
        <v>#N/A</v>
      </c>
      <c r="AZ60" s="451" t="e">
        <f t="shared" ref="AZ60:BA60" si="134">SUM(AN58:AZ58)/13</f>
        <v>#N/A</v>
      </c>
      <c r="BA60" s="451" t="e">
        <f t="shared" si="134"/>
        <v>#N/A</v>
      </c>
      <c r="BB60" s="451"/>
      <c r="BC60" s="451"/>
      <c r="BD60" s="451"/>
      <c r="BE60" s="451"/>
      <c r="BF60" s="451"/>
      <c r="BG60" s="451"/>
      <c r="BH60" s="451"/>
      <c r="BI60" s="451"/>
      <c r="BJ60" s="451"/>
      <c r="BK60" s="451"/>
      <c r="BL60" s="451"/>
      <c r="BM60" s="451"/>
      <c r="BN60" s="451">
        <f t="shared" ref="BN60" si="135">SUM(BB58:BN58)/13</f>
        <v>119078.0688123077</v>
      </c>
      <c r="BO60" s="451">
        <f t="shared" ref="BO60" si="136">SUM(BC58:BO58)/13</f>
        <v>131730.68248769233</v>
      </c>
      <c r="BP60" s="451">
        <f t="shared" ref="BP60" si="137">SUM(BD58:BP58)/13</f>
        <v>144084.17818615382</v>
      </c>
      <c r="BQ60" s="451">
        <f t="shared" ref="BQ60" si="138">SUM(BE58:BQ58)/13</f>
        <v>152592.13227692305</v>
      </c>
      <c r="BR60" s="451">
        <f t="shared" ref="BR60" si="139">SUM(BF58:BR58)/13</f>
        <v>155463.43589076924</v>
      </c>
      <c r="BS60" s="451">
        <f t="shared" ref="BS60" si="140">SUM(BG58:BS58)/13</f>
        <v>156450.85068153849</v>
      </c>
      <c r="BT60" s="451">
        <f t="shared" ref="BT60" si="141">SUM(BH58:BT58)/13</f>
        <v>160685.47994923079</v>
      </c>
      <c r="BU60" s="451">
        <f t="shared" ref="BU60" si="142">SUM(BI58:BU58)/13</f>
        <v>164061.93187076921</v>
      </c>
      <c r="BV60" s="451">
        <f t="shared" ref="BV60" si="143">SUM(BJ58:BV58)/13</f>
        <v>166041.65933846156</v>
      </c>
      <c r="BW60" s="451">
        <f t="shared" ref="BW60" si="144">SUM(BK58:BW58)/13</f>
        <v>167682.70934615383</v>
      </c>
      <c r="BX60" s="451">
        <f t="shared" ref="BX60" si="145">SUM(BL58:BX58)/13</f>
        <v>168547.17251388668</v>
      </c>
      <c r="BY60" s="451">
        <f t="shared" ref="BY60" si="146">SUM(BM58:BY58)/13</f>
        <v>171563.51879800312</v>
      </c>
      <c r="BZ60" s="451">
        <f t="shared" ref="BZ60" si="147">SUM(BN58:BZ58)/13</f>
        <v>179945.08671091864</v>
      </c>
      <c r="CA60" s="451">
        <f t="shared" ref="CA60" si="148">SUM(BO58:CA58)/13</f>
        <v>189376.91085878972</v>
      </c>
      <c r="CB60" s="451">
        <f t="shared" ref="CB60" si="149">SUM(BP58:CB58)/13</f>
        <v>198616.2760019316</v>
      </c>
      <c r="CC60" s="451">
        <f t="shared" ref="CC60" si="150">SUM(BQ58:CC58)/13</f>
        <v>209019.14455119421</v>
      </c>
      <c r="CD60" s="451">
        <f t="shared" ref="CD60" si="151">SUM(BR58:CD58)/13</f>
        <v>219304.89508654902</v>
      </c>
      <c r="CE60" s="451">
        <f t="shared" ref="CE60" si="152">SUM(BS58:CE58)/13</f>
        <v>234096.77247056458</v>
      </c>
      <c r="CF60" s="451">
        <f t="shared" ref="CF60" si="153">SUM(BT58:CF58)/13</f>
        <v>250551.52977665156</v>
      </c>
      <c r="CG60" s="451">
        <f t="shared" ref="CG60" si="154">SUM(BU58:CG58)/13</f>
        <v>247190.76268653289</v>
      </c>
      <c r="CH60" s="451">
        <f t="shared" ref="CH60" si="155">SUM(BV58:CH58)/13</f>
        <v>241996.6778316593</v>
      </c>
      <c r="CI60" s="451">
        <f t="shared" ref="CI60" si="156">SUM(BW58:CI58)/13</f>
        <v>237829.61571560969</v>
      </c>
    </row>
    <row r="61" spans="1:87" s="375" customFormat="1">
      <c r="Z61" s="447"/>
    </row>
    <row r="62" spans="1:87" s="375" customFormat="1">
      <c r="B62" s="212" t="s">
        <v>591</v>
      </c>
      <c r="P62" s="421">
        <f t="shared" ref="P62:AU62" si="157">+P8</f>
        <v>43108</v>
      </c>
      <c r="Q62" s="421">
        <f t="shared" si="157"/>
        <v>43139</v>
      </c>
      <c r="R62" s="421">
        <f t="shared" si="157"/>
        <v>43170</v>
      </c>
      <c r="S62" s="421">
        <f t="shared" si="157"/>
        <v>43201</v>
      </c>
      <c r="T62" s="421">
        <f t="shared" si="157"/>
        <v>43232</v>
      </c>
      <c r="U62" s="421">
        <f t="shared" si="157"/>
        <v>43263</v>
      </c>
      <c r="V62" s="421">
        <f t="shared" si="157"/>
        <v>43294</v>
      </c>
      <c r="W62" s="421">
        <f t="shared" si="157"/>
        <v>43325</v>
      </c>
      <c r="X62" s="421">
        <f t="shared" si="157"/>
        <v>43356</v>
      </c>
      <c r="Y62" s="421">
        <f t="shared" si="157"/>
        <v>43387</v>
      </c>
      <c r="Z62" s="421">
        <f t="shared" si="157"/>
        <v>43418</v>
      </c>
      <c r="AA62" s="421">
        <f t="shared" si="157"/>
        <v>43449</v>
      </c>
      <c r="AB62" s="421">
        <f t="shared" si="157"/>
        <v>43480</v>
      </c>
      <c r="AC62" s="421">
        <f t="shared" si="157"/>
        <v>43511</v>
      </c>
      <c r="AD62" s="421">
        <f t="shared" si="157"/>
        <v>43542</v>
      </c>
      <c r="AE62" s="421">
        <f t="shared" si="157"/>
        <v>43573</v>
      </c>
      <c r="AF62" s="421">
        <f t="shared" si="157"/>
        <v>43604</v>
      </c>
      <c r="AG62" s="421">
        <f t="shared" si="157"/>
        <v>43635</v>
      </c>
      <c r="AH62" s="421">
        <f t="shared" si="157"/>
        <v>43666</v>
      </c>
      <c r="AI62" s="421">
        <f t="shared" si="157"/>
        <v>43697</v>
      </c>
      <c r="AJ62" s="421">
        <f t="shared" si="157"/>
        <v>43728</v>
      </c>
      <c r="AK62" s="421">
        <f t="shared" si="157"/>
        <v>43759</v>
      </c>
      <c r="AL62" s="421">
        <f t="shared" si="157"/>
        <v>43790</v>
      </c>
      <c r="AM62" s="421">
        <f t="shared" si="157"/>
        <v>43821</v>
      </c>
      <c r="AN62" s="421">
        <f t="shared" si="157"/>
        <v>43852</v>
      </c>
      <c r="AO62" s="421">
        <f t="shared" si="157"/>
        <v>43883</v>
      </c>
      <c r="AP62" s="421">
        <f t="shared" si="157"/>
        <v>43914</v>
      </c>
      <c r="AQ62" s="421">
        <f t="shared" si="157"/>
        <v>43945</v>
      </c>
      <c r="AR62" s="421">
        <f t="shared" si="157"/>
        <v>43976</v>
      </c>
      <c r="AS62" s="421">
        <f t="shared" si="157"/>
        <v>44007</v>
      </c>
      <c r="AT62" s="421">
        <f t="shared" si="157"/>
        <v>44038</v>
      </c>
      <c r="AU62" s="421">
        <f t="shared" si="157"/>
        <v>44069</v>
      </c>
      <c r="AV62" s="421">
        <f t="shared" ref="AV62:CA62" si="158">+AV8</f>
        <v>44100</v>
      </c>
      <c r="AW62" s="421">
        <f t="shared" si="158"/>
        <v>44131</v>
      </c>
      <c r="AX62" s="421">
        <f t="shared" si="158"/>
        <v>44162</v>
      </c>
      <c r="AY62" s="421">
        <f t="shared" si="158"/>
        <v>44193</v>
      </c>
      <c r="AZ62" s="421">
        <f t="shared" si="158"/>
        <v>44224</v>
      </c>
      <c r="BA62" s="421">
        <f t="shared" si="158"/>
        <v>44255</v>
      </c>
      <c r="BB62" s="421">
        <f t="shared" si="158"/>
        <v>44285</v>
      </c>
      <c r="BC62" s="421">
        <f t="shared" si="158"/>
        <v>44316</v>
      </c>
      <c r="BD62" s="421">
        <f t="shared" si="158"/>
        <v>44347</v>
      </c>
      <c r="BE62" s="421">
        <f t="shared" si="158"/>
        <v>44377</v>
      </c>
      <c r="BF62" s="421">
        <f t="shared" si="158"/>
        <v>44408</v>
      </c>
      <c r="BG62" s="421">
        <f t="shared" si="158"/>
        <v>44439</v>
      </c>
      <c r="BH62" s="421">
        <f t="shared" si="158"/>
        <v>44469</v>
      </c>
      <c r="BI62" s="421">
        <f t="shared" si="158"/>
        <v>44500</v>
      </c>
      <c r="BJ62" s="421">
        <f t="shared" si="158"/>
        <v>44530</v>
      </c>
      <c r="BK62" s="421">
        <f t="shared" si="158"/>
        <v>44561</v>
      </c>
      <c r="BL62" s="421">
        <f t="shared" si="158"/>
        <v>44592</v>
      </c>
      <c r="BM62" s="421">
        <f t="shared" si="158"/>
        <v>44620</v>
      </c>
      <c r="BN62" s="421">
        <f t="shared" si="158"/>
        <v>44651</v>
      </c>
      <c r="BO62" s="421">
        <f t="shared" si="158"/>
        <v>44681</v>
      </c>
      <c r="BP62" s="421">
        <f t="shared" si="158"/>
        <v>44712</v>
      </c>
      <c r="BQ62" s="421">
        <f t="shared" si="158"/>
        <v>44742</v>
      </c>
      <c r="BR62" s="421">
        <f t="shared" si="158"/>
        <v>44773</v>
      </c>
      <c r="BS62" s="421">
        <f t="shared" si="158"/>
        <v>44804</v>
      </c>
      <c r="BT62" s="421">
        <f t="shared" si="158"/>
        <v>44834</v>
      </c>
      <c r="BU62" s="421">
        <f t="shared" si="158"/>
        <v>44865</v>
      </c>
      <c r="BV62" s="421">
        <f t="shared" si="158"/>
        <v>44895</v>
      </c>
      <c r="BW62" s="421">
        <f t="shared" si="158"/>
        <v>44926</v>
      </c>
      <c r="BX62" s="421">
        <f t="shared" si="158"/>
        <v>44957</v>
      </c>
      <c r="BY62" s="421">
        <f t="shared" si="158"/>
        <v>44985</v>
      </c>
      <c r="BZ62" s="421">
        <f t="shared" si="158"/>
        <v>45016</v>
      </c>
      <c r="CA62" s="421">
        <f t="shared" si="158"/>
        <v>45046</v>
      </c>
      <c r="CB62" s="421">
        <f t="shared" ref="CB62:CI62" si="159">+CB8</f>
        <v>45077</v>
      </c>
      <c r="CC62" s="421">
        <f t="shared" si="159"/>
        <v>45107</v>
      </c>
      <c r="CD62" s="421">
        <f t="shared" si="159"/>
        <v>45138</v>
      </c>
      <c r="CE62" s="421">
        <f t="shared" si="159"/>
        <v>45169</v>
      </c>
      <c r="CF62" s="421">
        <f t="shared" si="159"/>
        <v>45199</v>
      </c>
      <c r="CG62" s="421">
        <f t="shared" si="159"/>
        <v>45230</v>
      </c>
      <c r="CH62" s="421">
        <f t="shared" si="159"/>
        <v>45260</v>
      </c>
      <c r="CI62" s="421">
        <f t="shared" si="159"/>
        <v>45291</v>
      </c>
    </row>
    <row r="63" spans="1:87" s="375" customFormat="1"/>
    <row r="64" spans="1:87" s="375" customFormat="1">
      <c r="A64" s="376" t="s">
        <v>592</v>
      </c>
      <c r="B64" s="447" t="s">
        <v>593</v>
      </c>
      <c r="C64" s="286">
        <f ca="1">SUM(OFFSET(BL64:BW64,0,'Bal Sheet'!$A$1))</f>
        <v>0</v>
      </c>
      <c r="P64" s="408" t="e">
        <f>VLOOKUP("7500020",'[8]IS ACCTS'!$A$3:$CD$618,53,FALSE)</f>
        <v>#N/A</v>
      </c>
      <c r="Q64" s="408" t="e">
        <f>VLOOKUP("7500020",'[8]IS ACCTS'!$A$3:$CD$618,54,FALSE)</f>
        <v>#N/A</v>
      </c>
      <c r="R64" s="408" t="e">
        <f>VLOOKUP("7500020",'[8]IS ACCTS'!$A$3:$CD$618,55,FALSE)</f>
        <v>#N/A</v>
      </c>
      <c r="S64" s="408" t="e">
        <f>VLOOKUP("7500020",'[8]IS ACCTS'!$A$3:$CD$618,56,FALSE)</f>
        <v>#N/A</v>
      </c>
      <c r="T64" s="408" t="e">
        <f>VLOOKUP("7500020",'[8]IS ACCTS'!$A$3:$CD$618,57,FALSE)</f>
        <v>#N/A</v>
      </c>
      <c r="U64" s="408" t="e">
        <f>VLOOKUP("7500020",'[8]IS ACCTS'!$A$3:$CD$618,58,FALSE)</f>
        <v>#N/A</v>
      </c>
      <c r="V64" s="408" t="e">
        <f>VLOOKUP("7500020",'[8]IS ACCTS'!$A$3:$CD$618,59,FALSE)</f>
        <v>#N/A</v>
      </c>
      <c r="W64" s="408" t="e">
        <f>VLOOKUP("7500020",'[8]IS ACCTS'!$A$3:$CD$618,60,FALSE)</f>
        <v>#N/A</v>
      </c>
      <c r="X64" s="404" t="e">
        <f>VLOOKUP("7500020",'[8]IS ACCTS'!$A$3:$CD$618,61,FALSE)</f>
        <v>#N/A</v>
      </c>
      <c r="Y64" s="404" t="e">
        <f>VLOOKUP("7500020",'[8]IS ACCTS'!$A$3:$CD$618,62,FALSE)</f>
        <v>#N/A</v>
      </c>
      <c r="Z64" s="404" t="e">
        <f>VLOOKUP("7500020",'[8]IS ACCTS'!$A$3:$CD$618,63,FALSE)</f>
        <v>#N/A</v>
      </c>
      <c r="AA64" s="404" t="e">
        <f>VLOOKUP("7500020",'[8]IS ACCTS'!$A$3:$CD$618,64,FALSE)</f>
        <v>#N/A</v>
      </c>
      <c r="AB64" s="404" t="e">
        <f>VLOOKUP("7500020",'[8]IS ACCTS'!$A$3:$CD$618,65,FALSE)</f>
        <v>#N/A</v>
      </c>
      <c r="AC64" s="404" t="e">
        <f>VLOOKUP("7500020",'[8]IS ACCTS'!$A$3:$CD$618,66,FALSE)</f>
        <v>#N/A</v>
      </c>
      <c r="AD64" s="404" t="e">
        <f>VLOOKUP("7500020",'[8]IS ACCTS'!$A$3:$CD$618,67,FALSE)</f>
        <v>#N/A</v>
      </c>
      <c r="AE64" s="404" t="e">
        <f>VLOOKUP("7500020",'[8]IS ACCTS'!$A$3:$CD$618,68,FALSE)</f>
        <v>#N/A</v>
      </c>
      <c r="AF64" s="404" t="e">
        <f>VLOOKUP("7500020",'[8]IS ACCTS'!$A$3:$ZZ$618,69,FALSE)</f>
        <v>#N/A</v>
      </c>
      <c r="AG64" s="404" t="e">
        <f>VLOOKUP("7500020",'[8]IS ACCTS'!$A$3:$ZZ$618,70,FALSE)</f>
        <v>#N/A</v>
      </c>
      <c r="AH64" s="404" t="e">
        <f>VLOOKUP("7500020",'[8]IS ACCTS'!$A$3:$ZZ$618,71,FALSE)</f>
        <v>#N/A</v>
      </c>
      <c r="AI64" s="404" t="e">
        <f>VLOOKUP("7500020",'[8]IS ACCTS'!$A$3:$ZZ$618,72,FALSE)</f>
        <v>#N/A</v>
      </c>
      <c r="AJ64" s="404" t="e">
        <f>VLOOKUP("7500020",'[8]IS ACCTS'!$A$3:$ZZ$618,73,FALSE)</f>
        <v>#N/A</v>
      </c>
      <c r="AK64" s="404" t="e">
        <f>VLOOKUP("7500020",'[8]IS ACCTS'!$A$3:$ZZ$618,74,FALSE)</f>
        <v>#N/A</v>
      </c>
      <c r="AL64" s="404" t="e">
        <f>VLOOKUP("7500020",'[8]IS ACCTS'!$A$3:$ZZ$618,75,FALSE)</f>
        <v>#N/A</v>
      </c>
      <c r="AM64" s="404" t="e">
        <f>VLOOKUP("7500020",'[8]IS ACCTS'!$A$3:$ZZ$618,76,FALSE)</f>
        <v>#N/A</v>
      </c>
      <c r="AN64" s="404" t="e">
        <f>VLOOKUP("7500020",'[8]IS ACCTS'!$A$3:$ZZ$618,77,FALSE)</f>
        <v>#N/A</v>
      </c>
      <c r="AO64" s="404" t="e">
        <f>VLOOKUP("7500020",'[8]IS ACCTS'!$A$3:$ZZ$618,78,FALSE)</f>
        <v>#N/A</v>
      </c>
      <c r="AP64" s="404" t="e">
        <f>VLOOKUP("7500020",'[8]IS ACCTS'!$A$3:$ZZ$618,79,FALSE)</f>
        <v>#N/A</v>
      </c>
      <c r="AQ64" s="404" t="e">
        <f>VLOOKUP("7500020",'[8]IS ACCTS'!$A$3:$ZZ$618,80,FALSE)</f>
        <v>#N/A</v>
      </c>
      <c r="AR64" s="404" t="e">
        <f>VLOOKUP("7500020",'[8]IS ACCTS'!$A$3:$ZZ$618,81,FALSE)</f>
        <v>#N/A</v>
      </c>
      <c r="AS64" s="404" t="e">
        <f>VLOOKUP("7500020",'[8]IS ACCTS'!$A$3:$ZZ$618,82,FALSE)</f>
        <v>#N/A</v>
      </c>
      <c r="AT64" s="404" t="e">
        <f>VLOOKUP("7500020",'[8]IS ACCTS'!$A$3:$ZZ$618,83,FALSE)</f>
        <v>#N/A</v>
      </c>
      <c r="AU64" s="404" t="e">
        <f>VLOOKUP("7500020",'[8]IS ACCTS'!$A$3:$ZZ$618,84,FALSE)</f>
        <v>#N/A</v>
      </c>
      <c r="AV64" s="404" t="e">
        <f>VLOOKUP("7500020",'[8]IS ACCTS'!$A$3:$ZZ$618,85,FALSE)</f>
        <v>#N/A</v>
      </c>
      <c r="AW64" s="404" t="e">
        <f>VLOOKUP("7500020",'[8]IS ACCTS'!$A$3:$ZZ$618,86,FALSE)</f>
        <v>#N/A</v>
      </c>
      <c r="AX64" s="404" t="e">
        <f>VLOOKUP("7500020",'[8]IS ACCTS'!$A$3:$ZZ$618,87,FALSE)</f>
        <v>#N/A</v>
      </c>
      <c r="AY64" s="404" t="e">
        <f>VLOOKUP("7500020",'[8]IS ACCTS'!$A$3:$ZZ$618,88,FALSE)</f>
        <v>#N/A</v>
      </c>
      <c r="AZ64" s="404" t="e">
        <f>VLOOKUP("7500020",'[8]IS ACCTS'!$A$3:$ZZ$618,88,FALSE)</f>
        <v>#N/A</v>
      </c>
      <c r="BA64" s="404" t="e">
        <f>VLOOKUP("7500020",'[8]IS ACCTS'!$A$3:$ZZ$618,88,FALSE)</f>
        <v>#N/A</v>
      </c>
      <c r="BB64" s="1030"/>
      <c r="BC64" s="1030"/>
      <c r="BD64" s="1030"/>
      <c r="BE64" s="1030"/>
      <c r="BF64" s="1030"/>
      <c r="BG64" s="1030"/>
      <c r="BH64" s="1030"/>
      <c r="BI64" s="1030"/>
      <c r="BJ64" s="1030"/>
      <c r="BK64" s="1030"/>
      <c r="BL64" s="1030"/>
      <c r="BM64" s="1030"/>
      <c r="BN64" s="1030"/>
      <c r="BO64" s="1030"/>
      <c r="BP64" s="1030"/>
      <c r="BQ64" s="1030"/>
      <c r="BR64" s="1030"/>
      <c r="BS64" s="1030"/>
      <c r="BT64" s="1030"/>
      <c r="BU64" s="1030"/>
      <c r="BV64" s="1030"/>
      <c r="BW64" s="404"/>
      <c r="BX64" s="404"/>
      <c r="BY64" s="404"/>
      <c r="BZ64" s="404"/>
      <c r="CA64" s="404"/>
      <c r="CB64" s="404"/>
      <c r="CC64" s="404"/>
      <c r="CD64" s="404"/>
      <c r="CE64" s="404"/>
      <c r="CF64" s="404"/>
      <c r="CG64" s="404"/>
      <c r="CH64" s="404"/>
      <c r="CI64" s="404"/>
    </row>
    <row r="65" spans="1:109" s="375" customFormat="1">
      <c r="A65" s="376" t="s">
        <v>594</v>
      </c>
      <c r="B65" s="375" t="s">
        <v>595</v>
      </c>
      <c r="C65" s="286">
        <f ca="1">SUM(OFFSET(BL65:BW65,0,'Bal Sheet'!$A$1))</f>
        <v>0</v>
      </c>
      <c r="P65" s="408" t="e">
        <f>VLOOKUP("7500080",'[8]IS ACCTS'!$A$3:$CD$618,53,FALSE)</f>
        <v>#N/A</v>
      </c>
      <c r="Q65" s="408" t="e">
        <f>VLOOKUP("7500080",'[8]IS ACCTS'!$A$3:$CD$618,54,FALSE)</f>
        <v>#N/A</v>
      </c>
      <c r="R65" s="408" t="e">
        <f>VLOOKUP("7500080",'[8]IS ACCTS'!$A$3:$CD$618,55,FALSE)</f>
        <v>#N/A</v>
      </c>
      <c r="S65" s="408" t="e">
        <f>VLOOKUP("7500080",'[8]IS ACCTS'!$A$3:$CD$618,56,FALSE)</f>
        <v>#N/A</v>
      </c>
      <c r="T65" s="408" t="e">
        <f>VLOOKUP("7500080",'[8]IS ACCTS'!$A$3:$CD$618,57,FALSE)</f>
        <v>#N/A</v>
      </c>
      <c r="U65" s="408" t="e">
        <f>VLOOKUP("7500080",'[8]IS ACCTS'!$A$3:$CD$618,58,FALSE)</f>
        <v>#N/A</v>
      </c>
      <c r="V65" s="408" t="e">
        <f>VLOOKUP("7500080",'[8]IS ACCTS'!$A$3:$CD$618,59,FALSE)</f>
        <v>#N/A</v>
      </c>
      <c r="W65" s="408" t="e">
        <f>VLOOKUP("7500080",'[8]IS ACCTS'!$A$3:$CD$618,60,FALSE)</f>
        <v>#N/A</v>
      </c>
      <c r="X65" s="404" t="e">
        <f>VLOOKUP("7500080",'[8]IS ACCTS'!$A$3:$CD$618,61,FALSE)</f>
        <v>#N/A</v>
      </c>
      <c r="Y65" s="404" t="e">
        <f>VLOOKUP("7500080",'[8]IS ACCTS'!$A$3:$CD$618,62,FALSE)</f>
        <v>#N/A</v>
      </c>
      <c r="Z65" s="404" t="e">
        <f>VLOOKUP("7500080",'[8]IS ACCTS'!$A$3:$CD$618,63,FALSE)</f>
        <v>#N/A</v>
      </c>
      <c r="AA65" s="404" t="e">
        <f>VLOOKUP("7500080",'[8]IS ACCTS'!$A$3:$CD$618,64,FALSE)</f>
        <v>#N/A</v>
      </c>
      <c r="AB65" s="404" t="e">
        <f>VLOOKUP("7500080",'[8]IS ACCTS'!$A$3:$CD$618,65,FALSE)</f>
        <v>#N/A</v>
      </c>
      <c r="AC65" s="404" t="e">
        <f>VLOOKUP("7500080",'[8]IS ACCTS'!$A$3:$CD$618,66,FALSE)</f>
        <v>#N/A</v>
      </c>
      <c r="AD65" s="404" t="e">
        <f>VLOOKUP("7500080",'[8]IS ACCTS'!$A$3:$CD$618,67,FALSE)</f>
        <v>#N/A</v>
      </c>
      <c r="AE65" s="404" t="e">
        <f>VLOOKUP("7500080",'[8]IS ACCTS'!$A$3:$CD$618,68,FALSE)</f>
        <v>#N/A</v>
      </c>
      <c r="AF65" s="404" t="e">
        <f>VLOOKUP("7500080",'[8]IS ACCTS'!$A$3:$ZZ$618,69,FALSE)</f>
        <v>#N/A</v>
      </c>
      <c r="AG65" s="404" t="e">
        <f>VLOOKUP("7500080",'[8]IS ACCTS'!$A$3:$ZZ$618,70,FALSE)</f>
        <v>#N/A</v>
      </c>
      <c r="AH65" s="404" t="e">
        <f>VLOOKUP("7500080",'[8]IS ACCTS'!$A$3:$ZZ$618,71,FALSE)</f>
        <v>#N/A</v>
      </c>
      <c r="AI65" s="404" t="e">
        <f>VLOOKUP("7500080",'[8]IS ACCTS'!$A$3:$ZZ$618,72,FALSE)</f>
        <v>#N/A</v>
      </c>
      <c r="AJ65" s="404" t="e">
        <f>VLOOKUP("7500080",'[8]IS ACCTS'!$A$3:$ZZ$618,73,FALSE)</f>
        <v>#N/A</v>
      </c>
      <c r="AK65" s="404" t="e">
        <f>VLOOKUP("7500080",'[8]IS ACCTS'!$A$3:$ZZ$618,74,FALSE)</f>
        <v>#N/A</v>
      </c>
      <c r="AL65" s="404" t="e">
        <f>VLOOKUP("7500080",'[8]IS ACCTS'!$A$3:$ZZ$618,75,FALSE)</f>
        <v>#N/A</v>
      </c>
      <c r="AM65" s="404" t="e">
        <f>VLOOKUP("7500080",'[8]IS ACCTS'!$A$3:$ZZ$618,76,FALSE)</f>
        <v>#N/A</v>
      </c>
      <c r="AN65" s="404" t="e">
        <f>VLOOKUP("7500080",'[8]IS ACCTS'!$A$3:$ZZ$618,77,FALSE)</f>
        <v>#N/A</v>
      </c>
      <c r="AO65" s="404" t="e">
        <f>VLOOKUP("7500080",'[8]IS ACCTS'!$A$3:$ZZ$618,78,FALSE)</f>
        <v>#N/A</v>
      </c>
      <c r="AP65" s="404" t="e">
        <f>VLOOKUP("7500080",'[8]IS ACCTS'!$A$3:$ZZ$618,79,FALSE)</f>
        <v>#N/A</v>
      </c>
      <c r="AQ65" s="404" t="e">
        <f>VLOOKUP("7500080",'[8]IS ACCTS'!$A$3:$ZZ$618,80,FALSE)</f>
        <v>#N/A</v>
      </c>
      <c r="AR65" s="404" t="e">
        <f>VLOOKUP("7500080",'[8]IS ACCTS'!$A$3:$ZZ$618,81,FALSE)</f>
        <v>#N/A</v>
      </c>
      <c r="AS65" s="404" t="e">
        <f>VLOOKUP("7500080",'[8]IS ACCTS'!$A$3:$ZZ$618,82,FALSE)</f>
        <v>#N/A</v>
      </c>
      <c r="AT65" s="404" t="e">
        <f>VLOOKUP("7500080",'[8]IS ACCTS'!$A$3:$ZZ$618,83,FALSE)</f>
        <v>#N/A</v>
      </c>
      <c r="AU65" s="404" t="e">
        <f>VLOOKUP("7500080",'[8]IS ACCTS'!$A$3:$ZZ$618,84,FALSE)</f>
        <v>#N/A</v>
      </c>
      <c r="AV65" s="404" t="e">
        <f>VLOOKUP("7500080",'[8]IS ACCTS'!$A$3:$ZZ$618,85,FALSE)</f>
        <v>#N/A</v>
      </c>
      <c r="AW65" s="404" t="e">
        <f>VLOOKUP("7500080",'[8]IS ACCTS'!$A$3:$ZZ$618,86,FALSE)</f>
        <v>#N/A</v>
      </c>
      <c r="AX65" s="404" t="e">
        <f>VLOOKUP("7500080",'[8]IS ACCTS'!$A$3:$ZZ$618,87,FALSE)</f>
        <v>#N/A</v>
      </c>
      <c r="AY65" s="404" t="e">
        <f>VLOOKUP("7500080",'[8]IS ACCTS'!$A$3:$ZZ$618,88,FALSE)</f>
        <v>#N/A</v>
      </c>
      <c r="AZ65" s="404" t="e">
        <f>VLOOKUP("7500080",'[8]IS ACCTS'!$A$3:$ZZ$618,88,FALSE)</f>
        <v>#N/A</v>
      </c>
      <c r="BA65" s="404" t="e">
        <f>VLOOKUP("7500080",'[8]IS ACCTS'!$A$3:$ZZ$618,88,FALSE)</f>
        <v>#N/A</v>
      </c>
      <c r="BB65" s="1030"/>
      <c r="BC65" s="1030"/>
      <c r="BD65" s="1030"/>
      <c r="BE65" s="1030"/>
      <c r="BF65" s="1030"/>
      <c r="BG65" s="1030"/>
      <c r="BH65" s="1030"/>
      <c r="BI65" s="1030"/>
      <c r="BJ65" s="1030"/>
      <c r="BK65" s="1030"/>
      <c r="BL65" s="1030"/>
      <c r="BM65" s="1030"/>
      <c r="BN65" s="1030"/>
      <c r="BO65" s="1030"/>
      <c r="BP65" s="1030"/>
      <c r="BQ65" s="1030"/>
      <c r="BR65" s="1030"/>
      <c r="BS65" s="1030"/>
      <c r="BT65" s="1030"/>
      <c r="BU65" s="1030"/>
      <c r="BV65" s="1030"/>
      <c r="BW65" s="404"/>
      <c r="BX65" s="404"/>
      <c r="BY65" s="404"/>
      <c r="BZ65" s="404"/>
      <c r="CA65" s="404"/>
      <c r="CB65" s="404"/>
      <c r="CC65" s="404"/>
      <c r="CD65" s="404"/>
      <c r="CE65" s="404"/>
      <c r="CF65" s="404"/>
      <c r="CG65" s="404"/>
      <c r="CH65" s="404"/>
      <c r="CI65" s="404"/>
    </row>
    <row r="66" spans="1:109" s="375" customFormat="1">
      <c r="A66" s="376" t="s">
        <v>596</v>
      </c>
      <c r="B66" s="375" t="s">
        <v>597</v>
      </c>
      <c r="C66" s="286">
        <f ca="1">SUM(OFFSET(BL66:BW66,0,'Bal Sheet'!$A$1))</f>
        <v>2024.2495713551864</v>
      </c>
      <c r="P66" s="408" t="e">
        <f>VLOOKUP("7500090",'[8]IS ACCTS'!$A$3:$CD$618,53,FALSE)</f>
        <v>#N/A</v>
      </c>
      <c r="Q66" s="408" t="e">
        <f>VLOOKUP("7500090",'[8]IS ACCTS'!$A$3:$CD$618,54,FALSE)</f>
        <v>#N/A</v>
      </c>
      <c r="R66" s="408" t="e">
        <f>VLOOKUP("7500090",'[8]IS ACCTS'!$A$3:$CD$618,55,FALSE)</f>
        <v>#N/A</v>
      </c>
      <c r="S66" s="408" t="e">
        <f>VLOOKUP("7500090",'[8]IS ACCTS'!$A$3:$CD$618,56,FALSE)</f>
        <v>#N/A</v>
      </c>
      <c r="T66" s="408" t="e">
        <f>VLOOKUP("7500090",'[8]IS ACCTS'!$A$3:$CD$618,57,FALSE)</f>
        <v>#N/A</v>
      </c>
      <c r="U66" s="408" t="e">
        <f>VLOOKUP("7500090",'[8]IS ACCTS'!$A$3:$CD$618,58,FALSE)</f>
        <v>#N/A</v>
      </c>
      <c r="V66" s="408" t="e">
        <f>VLOOKUP("7500090",'[8]IS ACCTS'!$A$3:$CD$618,59,FALSE)</f>
        <v>#N/A</v>
      </c>
      <c r="W66" s="408" t="e">
        <f>VLOOKUP("7500090",'[8]IS ACCTS'!$A$3:$CD$618,60,FALSE)</f>
        <v>#N/A</v>
      </c>
      <c r="X66" s="404" t="e">
        <f>VLOOKUP("7500090",'[8]IS ACCTS'!$A$3:$CD$618,61,FALSE)</f>
        <v>#N/A</v>
      </c>
      <c r="Y66" s="404" t="e">
        <f>VLOOKUP("7500090",'[8]IS ACCTS'!$A$3:$CD$618,62,FALSE)</f>
        <v>#N/A</v>
      </c>
      <c r="Z66" s="404" t="e">
        <f>VLOOKUP("7500090",'[8]IS ACCTS'!$A$3:$CD$618,63,FALSE)</f>
        <v>#N/A</v>
      </c>
      <c r="AA66" s="404" t="e">
        <f>VLOOKUP("7500090",'[8]IS ACCTS'!$A$3:$CD$618,64,FALSE)</f>
        <v>#N/A</v>
      </c>
      <c r="AB66" s="404" t="e">
        <f>VLOOKUP("7500090",'[8]IS ACCTS'!$A$3:$CD$618,65,FALSE)</f>
        <v>#N/A</v>
      </c>
      <c r="AC66" s="404" t="e">
        <f>VLOOKUP("7500090",'[8]IS ACCTS'!$A$3:$CD$618,66,FALSE)</f>
        <v>#N/A</v>
      </c>
      <c r="AD66" s="404" t="e">
        <f>VLOOKUP("7500090",'[8]IS ACCTS'!$A$3:$CD$618,67,FALSE)</f>
        <v>#N/A</v>
      </c>
      <c r="AE66" s="404" t="e">
        <f>VLOOKUP("7500090",'[8]IS ACCTS'!$A$3:$CD$618,68,FALSE)</f>
        <v>#N/A</v>
      </c>
      <c r="AF66" s="404" t="e">
        <f>VLOOKUP("7500090",'[8]IS ACCTS'!$A$3:$ZZ$618,69,FALSE)</f>
        <v>#N/A</v>
      </c>
      <c r="AG66" s="404" t="e">
        <f>VLOOKUP("7500090",'[8]IS ACCTS'!$A$3:$ZZ$618,70,FALSE)</f>
        <v>#N/A</v>
      </c>
      <c r="AH66" s="404" t="e">
        <f>VLOOKUP("7500090",'[8]IS ACCTS'!$A$3:$ZZ$618,71,FALSE)</f>
        <v>#N/A</v>
      </c>
      <c r="AI66" s="404" t="e">
        <f>VLOOKUP("7500090",'[8]IS ACCTS'!$A$3:$ZZ$618,72,FALSE)</f>
        <v>#N/A</v>
      </c>
      <c r="AJ66" s="404" t="e">
        <f>VLOOKUP("7500090",'[8]IS ACCTS'!$A$3:$ZZ$618,73,FALSE)</f>
        <v>#N/A</v>
      </c>
      <c r="AK66" s="404" t="e">
        <f>VLOOKUP("7500090",'[8]IS ACCTS'!$A$3:$ZZ$618,74,FALSE)</f>
        <v>#N/A</v>
      </c>
      <c r="AL66" s="404" t="e">
        <f>VLOOKUP("7500090",'[8]IS ACCTS'!$A$3:$ZZ$618,75,FALSE)</f>
        <v>#N/A</v>
      </c>
      <c r="AM66" s="404" t="e">
        <f>VLOOKUP("7500090",'[8]IS ACCTS'!$A$3:$ZZ$618,76,FALSE)</f>
        <v>#N/A</v>
      </c>
      <c r="AN66" s="404" t="e">
        <f>VLOOKUP("7500090",'[8]IS ACCTS'!$A$3:$ZZ$618,77,FALSE)</f>
        <v>#N/A</v>
      </c>
      <c r="AO66" s="404" t="e">
        <f>VLOOKUP("7500090",'[8]IS ACCTS'!$A$3:$ZZ$618,78,FALSE)</f>
        <v>#N/A</v>
      </c>
      <c r="AP66" s="404" t="e">
        <f>VLOOKUP("7500090",'[8]IS ACCTS'!$A$3:$ZZ$618,79,FALSE)</f>
        <v>#N/A</v>
      </c>
      <c r="AQ66" s="404" t="e">
        <f>VLOOKUP("7500090",'[8]IS ACCTS'!$A$3:$ZZ$618,80,FALSE)</f>
        <v>#N/A</v>
      </c>
      <c r="AR66" s="404" t="e">
        <f>VLOOKUP("7500090",'[8]IS ACCTS'!$A$3:$ZZ$618,81,FALSE)</f>
        <v>#N/A</v>
      </c>
      <c r="AS66" s="404" t="e">
        <f>VLOOKUP("7500090",'[8]IS ACCTS'!$A$3:$ZZ$618,82,FALSE)</f>
        <v>#N/A</v>
      </c>
      <c r="AT66" s="404" t="e">
        <f>VLOOKUP("7500090",'[8]IS ACCTS'!$A$3:$ZZ$618,83,FALSE)</f>
        <v>#N/A</v>
      </c>
      <c r="AU66" s="404" t="e">
        <f>VLOOKUP("7500090",'[8]IS ACCTS'!$A$3:$ZZ$618,84,FALSE)</f>
        <v>#N/A</v>
      </c>
      <c r="AV66" s="404" t="e">
        <f>VLOOKUP("7500090",'[8]IS ACCTS'!$A$3:$ZZ$618,85,FALSE)</f>
        <v>#N/A</v>
      </c>
      <c r="AW66" s="404" t="e">
        <f>VLOOKUP("7500090",'[8]IS ACCTS'!$A$3:$ZZ$618,86,FALSE)</f>
        <v>#N/A</v>
      </c>
      <c r="AX66" s="404" t="e">
        <f>VLOOKUP("7500090",'[8]IS ACCTS'!$A$3:$ZZ$618,87,FALSE)</f>
        <v>#N/A</v>
      </c>
      <c r="AY66" s="404" t="e">
        <f>VLOOKUP("7500090",'[8]IS ACCTS'!$A$3:$ZZ$618,88,FALSE)</f>
        <v>#N/A</v>
      </c>
      <c r="AZ66" s="404" t="e">
        <f>VLOOKUP("7500090",'[8]IS ACCTS'!$A$3:$ZZ$618,88,FALSE)</f>
        <v>#N/A</v>
      </c>
      <c r="BA66" s="404" t="e">
        <f>VLOOKUP("7500090",'[8]IS ACCTS'!$A$3:$ZZ$618,88,FALSE)</f>
        <v>#N/A</v>
      </c>
      <c r="BB66" s="404">
        <f>VLOOKUP("A_7500090",'[8]IS ACCTS'!$G$3:$ZZ$999,90,FALSE)</f>
        <v>27.6</v>
      </c>
      <c r="BC66" s="404">
        <f>VLOOKUP("A_7500090",'[8]IS ACCTS'!$G$3:$ZZ$999,91,FALSE)</f>
        <v>2.5</v>
      </c>
      <c r="BD66" s="404">
        <f>VLOOKUP("A_7500090",'[8]IS ACCTS'!$G$3:$ZZ$999,92,FALSE)</f>
        <v>0</v>
      </c>
      <c r="BE66" s="404">
        <f>VLOOKUP("A_7500090",'[8]IS ACCTS'!$G$3:$ZZ$999,93,FALSE)</f>
        <v>15.7</v>
      </c>
      <c r="BF66" s="404">
        <f>VLOOKUP("A_7500090",'[8]IS ACCTS'!$G$3:$ZZ$999,94,FALSE)</f>
        <v>28.6</v>
      </c>
      <c r="BG66" s="404">
        <f>VLOOKUP("A_7500090",'[8]IS ACCTS'!$G$3:$ZZ$999,95,FALSE)</f>
        <v>33.200000000000003</v>
      </c>
      <c r="BH66" s="404">
        <f>VLOOKUP("A_7500090",'[8]IS ACCTS'!$G$3:$ZZ$999,96,FALSE)</f>
        <v>24.2</v>
      </c>
      <c r="BI66" s="404">
        <f>VLOOKUP("A_7500090",'[8]IS ACCTS'!$G$3:$ZZ$999,97,FALSE)</f>
        <v>37.700000000000003</v>
      </c>
      <c r="BJ66" s="404">
        <f>VLOOKUP("A_7500090",'[8]IS ACCTS'!$G$3:$ZZ$999,98,FALSE)</f>
        <v>38.9</v>
      </c>
      <c r="BK66" s="404">
        <f>VLOOKUP("A_7500090",'[8]IS ACCTS'!$G$3:$ZZ$999,99,FALSE)</f>
        <v>60.5</v>
      </c>
      <c r="BL66" s="404">
        <v>100.56919000000001</v>
      </c>
      <c r="BM66" s="404">
        <v>78.520929999999993</v>
      </c>
      <c r="BN66" s="404">
        <v>123.58472</v>
      </c>
      <c r="BO66" s="404">
        <v>165.18573999999998</v>
      </c>
      <c r="BP66" s="404">
        <v>233.90499</v>
      </c>
      <c r="BQ66" s="404">
        <v>259.72435999999999</v>
      </c>
      <c r="BR66" s="404">
        <v>317.01484999999997</v>
      </c>
      <c r="BS66" s="404">
        <v>247.33528000000001</v>
      </c>
      <c r="BT66" s="404">
        <v>357.59499</v>
      </c>
      <c r="BU66" s="404">
        <v>503.50146999999998</v>
      </c>
      <c r="BV66" s="404">
        <v>596.76227000000006</v>
      </c>
      <c r="BW66" s="404">
        <v>747.29468999999995</v>
      </c>
      <c r="BX66" s="404">
        <f>VLOOKUP("A_7500090",'[8]IS ACCTS'!$G$3:$ZZ$999,112,FALSE)</f>
        <v>0</v>
      </c>
      <c r="BY66" s="404">
        <f>VLOOKUP("A_7500090",'[8]IS ACCTS'!$G$3:$ZZ$999,113,FALSE)</f>
        <v>0</v>
      </c>
      <c r="BZ66" s="404">
        <f>VLOOKUP("A_7500090",'[8]IS ACCTS'!$G$3:$ZZ$999,114,FALSE)</f>
        <v>0</v>
      </c>
      <c r="CA66" s="404">
        <f>VLOOKUP("A_7500090",'[8]IS ACCTS'!$G$3:$ZZ$999,115,FALSE)</f>
        <v>0</v>
      </c>
      <c r="CB66" s="404">
        <f>VLOOKUP("A_7500090",'[8]IS ACCTS'!$G$3:$ZZ$999,116,FALSE)</f>
        <v>0</v>
      </c>
      <c r="CC66" s="404">
        <f>VLOOKUP("A_7500090",'[8]IS ACCTS'!$G$3:$ZZ$999,117,FALSE)</f>
        <v>0</v>
      </c>
      <c r="CD66" s="404">
        <f>VLOOKUP("A_7500090",'[8]IS ACCTS'!$G$3:$ZZ$999,118,FALSE)</f>
        <v>0</v>
      </c>
      <c r="CE66" s="404">
        <f>VLOOKUP("A_7500090",'[8]IS ACCTS'!$G$3:$ZZ$999,119,FALSE)</f>
        <v>0</v>
      </c>
      <c r="CF66" s="404">
        <f>VLOOKUP("A_7500090",'[8]IS ACCTS'!$G$3:$ZZ$999,120,FALSE)</f>
        <v>0</v>
      </c>
      <c r="CG66" s="404">
        <f>VLOOKUP("A_7500090",'[8]IS ACCTS'!$G$3:$ZZ$999,121,FALSE)</f>
        <v>1068.5083084570024</v>
      </c>
      <c r="CH66" s="404">
        <f>VLOOKUP("A_7500090",'[8]IS ACCTS'!$G$3:$ZZ$999,122,FALSE)</f>
        <v>483.76355818643265</v>
      </c>
      <c r="CI66" s="404">
        <f>VLOOKUP("A_7500090",'[8]IS ACCTS'!$G$3:$ZZ$999,123,FALSE)</f>
        <v>471.97770471175136</v>
      </c>
    </row>
    <row r="67" spans="1:109" s="375" customFormat="1">
      <c r="A67" s="376" t="s">
        <v>598</v>
      </c>
      <c r="B67" s="375" t="s">
        <v>599</v>
      </c>
      <c r="C67" s="454">
        <f ca="1">SUM(OFFSET(BL67:BW67,0,'Bal Sheet'!$A$1))</f>
        <v>8005.2999999999993</v>
      </c>
      <c r="P67" s="408" t="e">
        <f>VLOOKUP("7500700",'[8]IS ACCTS'!$A$3:$CD$618,53,FALSE)</f>
        <v>#N/A</v>
      </c>
      <c r="Q67" s="408" t="e">
        <f>VLOOKUP("7500700",'[8]IS ACCTS'!$A$3:$CD$618,54,FALSE)</f>
        <v>#N/A</v>
      </c>
      <c r="R67" s="408" t="e">
        <f>VLOOKUP("7500700",'[8]IS ACCTS'!$A$3:$CD$618,55,FALSE)</f>
        <v>#N/A</v>
      </c>
      <c r="S67" s="408" t="e">
        <f>VLOOKUP("7500700",'[8]IS ACCTS'!$A$3:$CD$618,56,FALSE)</f>
        <v>#N/A</v>
      </c>
      <c r="T67" s="408" t="e">
        <f>VLOOKUP("7500700",'[8]IS ACCTS'!$A$3:$CD$618,57,FALSE)</f>
        <v>#N/A</v>
      </c>
      <c r="U67" s="408" t="e">
        <f>VLOOKUP("7500700",'[8]IS ACCTS'!$A$3:$CD$618,58,FALSE)</f>
        <v>#N/A</v>
      </c>
      <c r="V67" s="408" t="e">
        <f>VLOOKUP("7500700",'[8]IS ACCTS'!$A$3:$CD$618,59,FALSE)</f>
        <v>#N/A</v>
      </c>
      <c r="W67" s="408" t="e">
        <f>VLOOKUP("7500700",'[8]IS ACCTS'!$A$3:$CD$618,60,FALSE)</f>
        <v>#N/A</v>
      </c>
      <c r="X67" s="404" t="e">
        <f>VLOOKUP("7500700",'[8]IS ACCTS'!$A$3:$CD$618,61,FALSE)</f>
        <v>#N/A</v>
      </c>
      <c r="Y67" s="404" t="e">
        <f>VLOOKUP("7500700",'[8]IS ACCTS'!$A$3:$CD$618,62,FALSE)</f>
        <v>#N/A</v>
      </c>
      <c r="Z67" s="404" t="e">
        <f>VLOOKUP("7500700",'[8]IS ACCTS'!$A$3:$CD$618,63,FALSE)</f>
        <v>#N/A</v>
      </c>
      <c r="AA67" s="404" t="e">
        <f>VLOOKUP("7500700",'[8]IS ACCTS'!$A$3:$CD$618,64,FALSE)</f>
        <v>#N/A</v>
      </c>
      <c r="AB67" s="404" t="e">
        <f>VLOOKUP("7500700",'[8]IS ACCTS'!$A$3:$CD$618,65,FALSE)</f>
        <v>#N/A</v>
      </c>
      <c r="AC67" s="404" t="e">
        <f>VLOOKUP("7500700",'[8]IS ACCTS'!$A$3:$CD$618,66,FALSE)</f>
        <v>#N/A</v>
      </c>
      <c r="AD67" s="404" t="e">
        <f>VLOOKUP("7500700",'[8]IS ACCTS'!$A$3:$CD$618,67,FALSE)</f>
        <v>#N/A</v>
      </c>
      <c r="AE67" s="404" t="e">
        <f>VLOOKUP("7500700",'[8]IS ACCTS'!$A$3:$CD$618,68,FALSE)</f>
        <v>#N/A</v>
      </c>
      <c r="AF67" s="404" t="e">
        <f>VLOOKUP("7500700",'[8]IS ACCTS'!$A$3:$ZZ$618,69,FALSE)</f>
        <v>#N/A</v>
      </c>
      <c r="AG67" s="404" t="e">
        <f>VLOOKUP("7500700",'[8]IS ACCTS'!$A$3:$ZZ$618,70,FALSE)</f>
        <v>#N/A</v>
      </c>
      <c r="AH67" s="404" t="e">
        <f>VLOOKUP("7500700",'[8]IS ACCTS'!$A$3:$ZZ$618,71,FALSE)</f>
        <v>#N/A</v>
      </c>
      <c r="AI67" s="404" t="e">
        <f>VLOOKUP("7500700",'[8]IS ACCTS'!$A$3:$ZZ$618,72,FALSE)</f>
        <v>#N/A</v>
      </c>
      <c r="AJ67" s="404" t="e">
        <f>VLOOKUP("7500700",'[8]IS ACCTS'!$A$3:$ZZ$618,73,FALSE)</f>
        <v>#N/A</v>
      </c>
      <c r="AK67" s="404" t="e">
        <f>VLOOKUP("7500700",'[8]IS ACCTS'!$A$3:$ZZ$618,74,FALSE)</f>
        <v>#N/A</v>
      </c>
      <c r="AL67" s="404" t="e">
        <f>VLOOKUP("7500700",'[8]IS ACCTS'!$A$3:$ZZ$618,75,FALSE)</f>
        <v>#N/A</v>
      </c>
      <c r="AM67" s="404" t="e">
        <f>VLOOKUP("7500700",'[8]IS ACCTS'!$A$3:$ZZ$618,76,FALSE)</f>
        <v>#N/A</v>
      </c>
      <c r="AN67" s="404" t="e">
        <f>VLOOKUP("7500700",'[8]IS ACCTS'!$A$3:$ZZ$618,77,FALSE)</f>
        <v>#N/A</v>
      </c>
      <c r="AO67" s="404" t="e">
        <f>VLOOKUP("7500700",'[8]IS ACCTS'!$A$3:$ZZ$618,78,FALSE)</f>
        <v>#N/A</v>
      </c>
      <c r="AP67" s="404" t="e">
        <f>VLOOKUP("7500700",'[8]IS ACCTS'!$A$3:$ZZ$618,79,FALSE)</f>
        <v>#N/A</v>
      </c>
      <c r="AQ67" s="404" t="e">
        <f>VLOOKUP("7500700",'[8]IS ACCTS'!$A$3:$ZZ$618,80,FALSE)</f>
        <v>#N/A</v>
      </c>
      <c r="AR67" s="404" t="e">
        <f>VLOOKUP("7500700",'[8]IS ACCTS'!$A$3:$ZZ$618,81,FALSE)</f>
        <v>#N/A</v>
      </c>
      <c r="AS67" s="404" t="e">
        <f>VLOOKUP("7500700",'[8]IS ACCTS'!$A$3:$ZZ$618,82,FALSE)</f>
        <v>#N/A</v>
      </c>
      <c r="AT67" s="404" t="e">
        <f>VLOOKUP("7500700",'[8]IS ACCTS'!$A$3:$ZZ$618,83,FALSE)</f>
        <v>#N/A</v>
      </c>
      <c r="AU67" s="404" t="e">
        <f>VLOOKUP("7500700",'[8]IS ACCTS'!$A$3:$ZZ$618,84,FALSE)</f>
        <v>#N/A</v>
      </c>
      <c r="AV67" s="404" t="e">
        <f>VLOOKUP("7500700",'[8]IS ACCTS'!$A$3:$ZZ$618,85,FALSE)</f>
        <v>#N/A</v>
      </c>
      <c r="AW67" s="404" t="e">
        <f>VLOOKUP("7500700",'[8]IS ACCTS'!$A$3:$ZZ$618,86,FALSE)</f>
        <v>#N/A</v>
      </c>
      <c r="AX67" s="404" t="e">
        <f>VLOOKUP("7500700",'[8]IS ACCTS'!$A$3:$ZZ$618,87,FALSE)</f>
        <v>#N/A</v>
      </c>
      <c r="AY67" s="404" t="e">
        <f>VLOOKUP("7500700",'[8]IS ACCTS'!$A$3:$ZZ$618,88,FALSE)</f>
        <v>#N/A</v>
      </c>
      <c r="AZ67" s="404" t="e">
        <f>VLOOKUP("7500700",'[8]IS ACCTS'!$A$3:$ZZ$618,88,FALSE)</f>
        <v>#N/A</v>
      </c>
      <c r="BA67" s="404" t="e">
        <f>VLOOKUP("7500700",'[8]IS ACCTS'!$A$3:$ZZ$618,88,FALSE)</f>
        <v>#N/A</v>
      </c>
      <c r="BB67" s="1030"/>
      <c r="BC67" s="1030"/>
      <c r="BD67" s="1030"/>
      <c r="BE67" s="1030"/>
      <c r="BF67" s="1030"/>
      <c r="BG67" s="1030"/>
      <c r="BH67" s="1030"/>
      <c r="BI67" s="1030"/>
      <c r="BJ67" s="1030"/>
      <c r="BK67" s="1030"/>
      <c r="BL67" s="404">
        <v>0</v>
      </c>
      <c r="BM67" s="404">
        <v>0</v>
      </c>
      <c r="BN67" s="404">
        <v>0</v>
      </c>
      <c r="BO67" s="404">
        <v>0</v>
      </c>
      <c r="BP67" s="404">
        <v>0</v>
      </c>
      <c r="BQ67" s="404">
        <v>0</v>
      </c>
      <c r="BR67" s="404">
        <v>17.81062</v>
      </c>
      <c r="BS67" s="404">
        <v>65.441589999999991</v>
      </c>
      <c r="BT67" s="404">
        <v>30.8933</v>
      </c>
      <c r="BU67" s="404">
        <v>0</v>
      </c>
      <c r="BV67" s="404">
        <v>0</v>
      </c>
      <c r="BW67" s="404">
        <v>0</v>
      </c>
      <c r="BX67" s="404">
        <f>VLOOKUP("A_7500700",'[8]IS ACCTS'!$G$3:$ZZ$999,112,FALSE)</f>
        <v>580.9</v>
      </c>
      <c r="BY67" s="404">
        <f>+VLOOKUP("A_7500700",'[8]IS ACCTS'!$G$3:$ZZ$999,113,FALSE)</f>
        <v>713.2</v>
      </c>
      <c r="BZ67" s="404">
        <f>+VLOOKUP("A_7500700",'[8]IS ACCTS'!$G$3:$ZZ$999,114,FALSE)</f>
        <v>818.8</v>
      </c>
      <c r="CA67" s="404">
        <f>+VLOOKUP("A_7500700",'[8]IS ACCTS'!$G$3:$ZZ$999,115,FALSE)</f>
        <v>881.5</v>
      </c>
      <c r="CB67" s="404">
        <f>+VLOOKUP("A_7500700",'[8]IS ACCTS'!$G$3:$ZZ$999,116,FALSE)</f>
        <v>924.5</v>
      </c>
      <c r="CC67" s="404">
        <f>+VLOOKUP("A_7500700",'[8]IS ACCTS'!$G$3:$ZZ$999,117,FALSE)</f>
        <v>961.9</v>
      </c>
      <c r="CD67" s="404">
        <f>+VLOOKUP("A_7500700",'[8]IS ACCTS'!$G$3:$ZZ$999,118,FALSE)</f>
        <v>1021</v>
      </c>
      <c r="CE67" s="404">
        <f>+VLOOKUP("A_7500700",'[8]IS ACCTS'!$G$3:$ZZ$999,119,FALSE)</f>
        <v>1046.4000000000001</v>
      </c>
      <c r="CF67" s="404">
        <f>+VLOOKUP("A_7500700",'[8]IS ACCTS'!$G$3:$ZZ$999,120,FALSE)</f>
        <v>1057.0999999999999</v>
      </c>
      <c r="CG67" s="404"/>
      <c r="CH67" s="404"/>
      <c r="CI67" s="404"/>
    </row>
    <row r="68" spans="1:109" s="375" customFormat="1">
      <c r="A68" s="376"/>
      <c r="B68" s="375" t="s">
        <v>600</v>
      </c>
      <c r="C68" s="294">
        <f ca="1">SUM(OFFSET(BL68:BW68,0,'Bal Sheet'!$A$1))</f>
        <v>0</v>
      </c>
      <c r="D68" s="45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03">
        <v>0</v>
      </c>
      <c r="Y68" s="403">
        <v>0</v>
      </c>
      <c r="Z68" s="403">
        <v>0</v>
      </c>
      <c r="AA68" s="419">
        <v>-7.2296000000000005</v>
      </c>
      <c r="AB68" s="419">
        <v>-7.2296000000000005</v>
      </c>
      <c r="AC68" s="419">
        <v>-7.2296000000000005</v>
      </c>
      <c r="AD68" s="419">
        <v>-7.2296000000000005</v>
      </c>
      <c r="AE68" s="419">
        <v>-7.2296000000000005</v>
      </c>
      <c r="AF68" s="419">
        <v>-7.2296000000000005</v>
      </c>
      <c r="AG68" s="419">
        <v>-7.2296000000000005</v>
      </c>
      <c r="AH68" s="419">
        <v>-7.2296000000000005</v>
      </c>
      <c r="AI68" s="419">
        <v>-7.2296000000000005</v>
      </c>
      <c r="AJ68" s="419">
        <v>-7.2296000000000005</v>
      </c>
      <c r="AK68" s="419">
        <v>-7.2296000000000005</v>
      </c>
      <c r="AL68" s="419">
        <v>-7.2296000000000005</v>
      </c>
      <c r="AM68" s="419">
        <v>-7.2296000000000005</v>
      </c>
      <c r="AN68" s="419" t="e">
        <f>VLOOKUP("7500700",'[8]IS ACCTS'!$A$3:$ZZ$618,77,FALSE)</f>
        <v>#N/A</v>
      </c>
      <c r="AO68" s="419" t="e">
        <f>VLOOKUP("7500700",'[8]IS ACCTS'!$A$3:$ZZ$618,78,FALSE)</f>
        <v>#N/A</v>
      </c>
      <c r="AP68" s="419" t="e">
        <f>VLOOKUP("7500700",'[8]IS ACCTS'!$A$3:$ZZ$618,79,FALSE)</f>
        <v>#N/A</v>
      </c>
      <c r="AQ68" s="419" t="e">
        <f>VLOOKUP("7500700",'[8]IS ACCTS'!$A$3:$ZZ$618,80,FALSE)</f>
        <v>#N/A</v>
      </c>
      <c r="AR68" s="419" t="e">
        <f>VLOOKUP("7500700",'[8]IS ACCTS'!$A$3:$ZZ$618,81,FALSE)</f>
        <v>#N/A</v>
      </c>
      <c r="AS68" s="419" t="e">
        <f>VLOOKUP("7500700",'[8]IS ACCTS'!$A$3:$ZZ$618,82,FALSE)</f>
        <v>#N/A</v>
      </c>
      <c r="AT68" s="419" t="e">
        <f>VLOOKUP("7500700",'[8]IS ACCTS'!$A$3:$ZZ$618,83,FALSE)</f>
        <v>#N/A</v>
      </c>
      <c r="AU68" s="419" t="e">
        <f>VLOOKUP("7500700",'[8]IS ACCTS'!$A$3:$ZZ$618,84,FALSE)</f>
        <v>#N/A</v>
      </c>
      <c r="AV68" s="419" t="e">
        <f>VLOOKUP("7500700",'[8]IS ACCTS'!$A$3:$ZZ$618,85,FALSE)</f>
        <v>#N/A</v>
      </c>
      <c r="AW68" s="419" t="e">
        <f>VLOOKUP("7500700",'[8]IS ACCTS'!$A$3:$ZZ$618,86,FALSE)</f>
        <v>#N/A</v>
      </c>
      <c r="AX68" s="419" t="e">
        <f>VLOOKUP("7500700",'[8]IS ACCTS'!$A$3:$ZZ$618,87,FALSE)</f>
        <v>#N/A</v>
      </c>
      <c r="AY68" s="419" t="e">
        <f>VLOOKUP("7500700",'[8]IS ACCTS'!$A$3:$ZZ$618,88,FALSE)</f>
        <v>#N/A</v>
      </c>
      <c r="AZ68" s="419" t="e">
        <f>VLOOKUP("7500700",'[8]IS ACCTS'!$A$3:$ZZ$618,88,FALSE)</f>
        <v>#N/A</v>
      </c>
      <c r="BA68" s="419" t="e">
        <f>VLOOKUP("7500700",'[8]IS ACCTS'!$A$3:$ZZ$618,88,FALSE)</f>
        <v>#N/A</v>
      </c>
      <c r="BB68" s="1029"/>
      <c r="BC68" s="1029"/>
      <c r="BD68" s="1029"/>
      <c r="BE68" s="1029"/>
      <c r="BF68" s="1029"/>
      <c r="BG68" s="1029"/>
      <c r="BH68" s="1029"/>
      <c r="BI68" s="1029"/>
      <c r="BJ68" s="1029"/>
      <c r="BK68" s="1029"/>
      <c r="BL68" s="1029"/>
      <c r="BM68" s="1029"/>
      <c r="BN68" s="1029"/>
      <c r="BO68" s="1029"/>
      <c r="BP68" s="1029"/>
      <c r="BQ68" s="1029"/>
      <c r="BR68" s="1029"/>
      <c r="BS68" s="1029"/>
      <c r="BT68" s="1029"/>
      <c r="BU68" s="1029"/>
      <c r="BV68" s="1029"/>
      <c r="BW68" s="404"/>
      <c r="BX68" s="404"/>
      <c r="BY68" s="404"/>
      <c r="BZ68" s="404"/>
      <c r="CA68" s="404"/>
      <c r="CB68" s="404"/>
      <c r="CC68" s="404"/>
      <c r="CD68" s="404"/>
      <c r="CE68" s="404"/>
      <c r="CF68" s="404"/>
      <c r="CG68" s="404"/>
      <c r="CH68" s="404"/>
      <c r="CI68" s="404"/>
    </row>
    <row r="69" spans="1:109" s="375" customFormat="1">
      <c r="B69" s="214" t="s">
        <v>601</v>
      </c>
      <c r="C69" s="293">
        <f ca="1">SUM(C64:C68)</f>
        <v>10029.549571355186</v>
      </c>
      <c r="P69" s="452" t="e">
        <f t="shared" ref="P69:Z69" si="160">SUM(P64:P68)</f>
        <v>#N/A</v>
      </c>
      <c r="Q69" s="452" t="e">
        <f t="shared" si="160"/>
        <v>#N/A</v>
      </c>
      <c r="R69" s="452" t="e">
        <f t="shared" si="160"/>
        <v>#N/A</v>
      </c>
      <c r="S69" s="452" t="e">
        <f t="shared" si="160"/>
        <v>#N/A</v>
      </c>
      <c r="T69" s="452" t="e">
        <f t="shared" si="160"/>
        <v>#N/A</v>
      </c>
      <c r="U69" s="452" t="e">
        <f t="shared" si="160"/>
        <v>#N/A</v>
      </c>
      <c r="V69" s="452" t="e">
        <f t="shared" si="160"/>
        <v>#N/A</v>
      </c>
      <c r="W69" s="452" t="e">
        <f t="shared" si="160"/>
        <v>#N/A</v>
      </c>
      <c r="X69" s="452" t="e">
        <f t="shared" si="160"/>
        <v>#N/A</v>
      </c>
      <c r="Y69" s="452" t="e">
        <f t="shared" si="160"/>
        <v>#N/A</v>
      </c>
      <c r="Z69" s="452" t="e">
        <f t="shared" si="160"/>
        <v>#N/A</v>
      </c>
      <c r="AA69" s="452" t="e">
        <f>SUM(AA64:AA68)</f>
        <v>#N/A</v>
      </c>
      <c r="AB69" s="452" t="e">
        <f t="shared" ref="AB69:AX69" si="161">SUM(AB64:AB68)</f>
        <v>#N/A</v>
      </c>
      <c r="AC69" s="452" t="e">
        <f t="shared" si="161"/>
        <v>#N/A</v>
      </c>
      <c r="AD69" s="452" t="e">
        <f t="shared" si="161"/>
        <v>#N/A</v>
      </c>
      <c r="AE69" s="452" t="e">
        <f t="shared" si="161"/>
        <v>#N/A</v>
      </c>
      <c r="AF69" s="452" t="e">
        <f t="shared" si="161"/>
        <v>#N/A</v>
      </c>
      <c r="AG69" s="452" t="e">
        <f t="shared" si="161"/>
        <v>#N/A</v>
      </c>
      <c r="AH69" s="452" t="e">
        <f t="shared" si="161"/>
        <v>#N/A</v>
      </c>
      <c r="AI69" s="452" t="e">
        <f t="shared" si="161"/>
        <v>#N/A</v>
      </c>
      <c r="AJ69" s="452" t="e">
        <f t="shared" si="161"/>
        <v>#N/A</v>
      </c>
      <c r="AK69" s="452" t="e">
        <f t="shared" si="161"/>
        <v>#N/A</v>
      </c>
      <c r="AL69" s="452" t="e">
        <f t="shared" si="161"/>
        <v>#N/A</v>
      </c>
      <c r="AM69" s="452" t="e">
        <f t="shared" si="161"/>
        <v>#N/A</v>
      </c>
      <c r="AN69" s="452" t="e">
        <f>SUM(AN64:AN68)</f>
        <v>#N/A</v>
      </c>
      <c r="AO69" s="452" t="e">
        <f t="shared" si="161"/>
        <v>#N/A</v>
      </c>
      <c r="AP69" s="452" t="e">
        <f t="shared" si="161"/>
        <v>#N/A</v>
      </c>
      <c r="AQ69" s="452" t="e">
        <f t="shared" si="161"/>
        <v>#N/A</v>
      </c>
      <c r="AR69" s="452" t="e">
        <f t="shared" si="161"/>
        <v>#N/A</v>
      </c>
      <c r="AS69" s="452" t="e">
        <f t="shared" si="161"/>
        <v>#N/A</v>
      </c>
      <c r="AT69" s="452" t="e">
        <f t="shared" si="161"/>
        <v>#N/A</v>
      </c>
      <c r="AU69" s="452" t="e">
        <f t="shared" si="161"/>
        <v>#N/A</v>
      </c>
      <c r="AV69" s="452" t="e">
        <f t="shared" si="161"/>
        <v>#N/A</v>
      </c>
      <c r="AW69" s="452" t="e">
        <f t="shared" si="161"/>
        <v>#N/A</v>
      </c>
      <c r="AX69" s="452" t="e">
        <f t="shared" si="161"/>
        <v>#N/A</v>
      </c>
      <c r="AY69" s="452" t="e">
        <f>SUM(AY64:AY68)</f>
        <v>#N/A</v>
      </c>
      <c r="AZ69" s="452" t="e">
        <f t="shared" ref="AZ69:BH69" si="162">SUM(AZ64:AZ68)</f>
        <v>#N/A</v>
      </c>
      <c r="BA69" s="452" t="e">
        <f t="shared" si="162"/>
        <v>#N/A</v>
      </c>
      <c r="BB69" s="452">
        <f t="shared" si="162"/>
        <v>27.6</v>
      </c>
      <c r="BC69" s="452">
        <f t="shared" si="162"/>
        <v>2.5</v>
      </c>
      <c r="BD69" s="452">
        <f t="shared" si="162"/>
        <v>0</v>
      </c>
      <c r="BE69" s="452">
        <f t="shared" si="162"/>
        <v>15.7</v>
      </c>
      <c r="BF69" s="452">
        <f t="shared" si="162"/>
        <v>28.6</v>
      </c>
      <c r="BG69" s="452">
        <f t="shared" si="162"/>
        <v>33.200000000000003</v>
      </c>
      <c r="BH69" s="452">
        <f t="shared" si="162"/>
        <v>24.2</v>
      </c>
      <c r="BI69" s="452">
        <f>SUM(BI64:BI68)</f>
        <v>37.700000000000003</v>
      </c>
      <c r="BJ69" s="452">
        <f t="shared" ref="BJ69" si="163">SUM(BJ64:BJ68)</f>
        <v>38.9</v>
      </c>
      <c r="BK69" s="452">
        <f t="shared" ref="BK69:BW69" si="164">SUM(BK64:BK68)</f>
        <v>60.5</v>
      </c>
      <c r="BL69" s="452">
        <f t="shared" si="164"/>
        <v>100.56919000000001</v>
      </c>
      <c r="BM69" s="452">
        <f t="shared" si="164"/>
        <v>78.520929999999993</v>
      </c>
      <c r="BN69" s="452">
        <f t="shared" si="164"/>
        <v>123.58472</v>
      </c>
      <c r="BO69" s="452">
        <f t="shared" si="164"/>
        <v>165.18573999999998</v>
      </c>
      <c r="BP69" s="452">
        <f t="shared" si="164"/>
        <v>233.90499</v>
      </c>
      <c r="BQ69" s="452">
        <f t="shared" si="164"/>
        <v>259.72435999999999</v>
      </c>
      <c r="BR69" s="452">
        <f t="shared" si="164"/>
        <v>334.82547</v>
      </c>
      <c r="BS69" s="452">
        <f t="shared" si="164"/>
        <v>312.77687000000003</v>
      </c>
      <c r="BT69" s="452">
        <f t="shared" si="164"/>
        <v>388.48829000000001</v>
      </c>
      <c r="BU69" s="452">
        <f t="shared" si="164"/>
        <v>503.50146999999998</v>
      </c>
      <c r="BV69" s="452">
        <f t="shared" si="164"/>
        <v>596.76227000000006</v>
      </c>
      <c r="BW69" s="1102">
        <f t="shared" si="164"/>
        <v>747.29468999999995</v>
      </c>
      <c r="BX69" s="1102">
        <f t="shared" ref="BX69:CI69" si="165">SUM(BX64:BX68)</f>
        <v>580.9</v>
      </c>
      <c r="BY69" s="1102">
        <f t="shared" si="165"/>
        <v>713.2</v>
      </c>
      <c r="BZ69" s="1102">
        <f t="shared" si="165"/>
        <v>818.8</v>
      </c>
      <c r="CA69" s="1102">
        <f t="shared" si="165"/>
        <v>881.5</v>
      </c>
      <c r="CB69" s="1102">
        <f t="shared" si="165"/>
        <v>924.5</v>
      </c>
      <c r="CC69" s="1102">
        <f t="shared" si="165"/>
        <v>961.9</v>
      </c>
      <c r="CD69" s="1102">
        <f t="shared" si="165"/>
        <v>1021</v>
      </c>
      <c r="CE69" s="1102">
        <f t="shared" si="165"/>
        <v>1046.4000000000001</v>
      </c>
      <c r="CF69" s="1102">
        <f t="shared" si="165"/>
        <v>1057.0999999999999</v>
      </c>
      <c r="CG69" s="1102">
        <f t="shared" si="165"/>
        <v>1068.5083084570024</v>
      </c>
      <c r="CH69" s="1102">
        <f t="shared" si="165"/>
        <v>483.76355818643265</v>
      </c>
      <c r="CI69" s="1102">
        <f t="shared" si="165"/>
        <v>471.97770471175136</v>
      </c>
    </row>
    <row r="70" spans="1:109" s="375" customFormat="1">
      <c r="B70" s="214"/>
      <c r="Z70" s="447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52"/>
      <c r="AQ70" s="452"/>
      <c r="AR70" s="452"/>
      <c r="AS70" s="452"/>
      <c r="AT70" s="452"/>
      <c r="AU70" s="452"/>
      <c r="AV70" s="452"/>
      <c r="AW70" s="452"/>
      <c r="AX70" s="452"/>
      <c r="AY70" s="452"/>
      <c r="AZ70" s="452"/>
      <c r="BA70" s="452"/>
      <c r="BB70" s="452"/>
      <c r="BC70" s="452"/>
      <c r="BD70" s="452"/>
      <c r="BE70" s="452"/>
      <c r="BF70" s="452"/>
      <c r="BG70" s="452"/>
      <c r="BH70" s="452"/>
      <c r="BI70" s="452"/>
      <c r="BJ70" s="452"/>
      <c r="BK70" s="452"/>
      <c r="BL70" s="452"/>
      <c r="BM70" s="452"/>
      <c r="BN70" s="452"/>
      <c r="BO70" s="452"/>
      <c r="BP70" s="452"/>
      <c r="BQ70" s="452"/>
      <c r="BR70" s="452"/>
      <c r="BS70" s="452"/>
      <c r="BT70" s="452"/>
      <c r="BU70" s="452"/>
      <c r="BV70" s="452"/>
      <c r="BW70" s="452"/>
      <c r="BX70" s="452"/>
      <c r="BY70" s="452"/>
      <c r="BZ70" s="452"/>
      <c r="CA70" s="452"/>
      <c r="CB70" s="452"/>
      <c r="CC70" s="452"/>
      <c r="CD70" s="452"/>
      <c r="CE70" s="452"/>
      <c r="CF70" s="452"/>
      <c r="CG70" s="452"/>
      <c r="CH70" s="452"/>
      <c r="CI70" s="452"/>
    </row>
    <row r="71" spans="1:109" s="375" customFormat="1">
      <c r="B71" s="447" t="s">
        <v>602</v>
      </c>
      <c r="Z71" s="447"/>
      <c r="AA71" s="451" t="e">
        <f t="shared" ref="AA71:AB71" si="166">SUM(P69:AA69)</f>
        <v>#N/A</v>
      </c>
      <c r="AB71" s="451" t="e">
        <f t="shared" si="166"/>
        <v>#N/A</v>
      </c>
      <c r="AC71" s="451" t="e">
        <f t="shared" ref="AC71" si="167">SUM(R69:AC69)</f>
        <v>#N/A</v>
      </c>
      <c r="AD71" s="451" t="e">
        <f t="shared" ref="AD71" si="168">SUM(S69:AD69)</f>
        <v>#N/A</v>
      </c>
      <c r="AE71" s="451" t="e">
        <f t="shared" ref="AE71" si="169">SUM(T69:AE69)</f>
        <v>#N/A</v>
      </c>
      <c r="AF71" s="451" t="e">
        <f t="shared" ref="AF71" si="170">SUM(U69:AF69)</f>
        <v>#N/A</v>
      </c>
      <c r="AG71" s="451" t="e">
        <f t="shared" ref="AG71" si="171">SUM(V69:AG69)</f>
        <v>#N/A</v>
      </c>
      <c r="AH71" s="451" t="e">
        <f t="shared" ref="AH71" si="172">SUM(W69:AH69)</f>
        <v>#N/A</v>
      </c>
      <c r="AI71" s="451" t="e">
        <f t="shared" ref="AI71" si="173">SUM(X69:AI69)</f>
        <v>#N/A</v>
      </c>
      <c r="AJ71" s="451" t="e">
        <f t="shared" ref="AJ71" si="174">SUM(Y69:AJ69)</f>
        <v>#N/A</v>
      </c>
      <c r="AK71" s="451" t="e">
        <f t="shared" ref="AK71" si="175">SUM(Z69:AK69)</f>
        <v>#N/A</v>
      </c>
      <c r="AL71" s="451" t="e">
        <f t="shared" ref="AL71" si="176">SUM(AA69:AL69)</f>
        <v>#N/A</v>
      </c>
      <c r="AM71" s="451" t="e">
        <f t="shared" ref="AM71" si="177">SUM(AB69:AM69)</f>
        <v>#N/A</v>
      </c>
      <c r="AN71" s="451" t="e">
        <f>SUM(AC69:AN69)</f>
        <v>#N/A</v>
      </c>
      <c r="AO71" s="451" t="e">
        <f>SUM(AD69:AO69)</f>
        <v>#N/A</v>
      </c>
      <c r="AP71" s="451" t="e">
        <f t="shared" ref="AP71" si="178">SUM(AE69:AP69)</f>
        <v>#N/A</v>
      </c>
      <c r="AQ71" s="451" t="e">
        <f t="shared" ref="AQ71" si="179">SUM(AF69:AQ69)</f>
        <v>#N/A</v>
      </c>
      <c r="AR71" s="451" t="e">
        <f t="shared" ref="AR71" si="180">SUM(AG69:AR69)</f>
        <v>#N/A</v>
      </c>
      <c r="AS71" s="451" t="e">
        <f t="shared" ref="AS71" si="181">SUM(AH69:AS69)</f>
        <v>#N/A</v>
      </c>
      <c r="AT71" s="451" t="e">
        <f t="shared" ref="AT71" si="182">SUM(AI69:AT69)</f>
        <v>#N/A</v>
      </c>
      <c r="AU71" s="451" t="e">
        <f t="shared" ref="AU71" si="183">SUM(AJ69:AU69)</f>
        <v>#N/A</v>
      </c>
      <c r="AV71" s="451" t="e">
        <f t="shared" ref="AV71" si="184">SUM(AK69:AV69)</f>
        <v>#N/A</v>
      </c>
      <c r="AW71" s="451" t="e">
        <f t="shared" ref="AW71" si="185">SUM(AL69:AW69)</f>
        <v>#N/A</v>
      </c>
      <c r="AX71" s="451" t="e">
        <f t="shared" ref="AX71" si="186">SUM(AM69:AX69)</f>
        <v>#N/A</v>
      </c>
      <c r="AY71" s="451" t="e">
        <f>SUM(AN69:AY69)</f>
        <v>#N/A</v>
      </c>
      <c r="AZ71" s="451" t="e">
        <f t="shared" ref="AZ71:BA71" si="187">SUM(AO69:AZ69)</f>
        <v>#N/A</v>
      </c>
      <c r="BA71" s="451" t="e">
        <f t="shared" si="187"/>
        <v>#N/A</v>
      </c>
      <c r="BB71" s="451"/>
      <c r="BC71" s="451"/>
      <c r="BD71" s="451"/>
      <c r="BE71" s="451"/>
      <c r="BF71" s="451"/>
      <c r="BG71" s="451"/>
      <c r="BH71" s="451"/>
      <c r="BI71" s="451"/>
      <c r="BJ71" s="451"/>
      <c r="BK71" s="451"/>
      <c r="BL71" s="451"/>
      <c r="BM71" s="451"/>
      <c r="BN71" s="451">
        <f>SUM(BC69:BN69)</f>
        <v>543.97484000000009</v>
      </c>
      <c r="BO71" s="451">
        <f t="shared" ref="BO71" si="188">SUM(BD69:BO69)</f>
        <v>706.6605800000001</v>
      </c>
      <c r="BP71" s="451">
        <f t="shared" ref="BP71" si="189">SUM(BE69:BP69)</f>
        <v>940.56557000000009</v>
      </c>
      <c r="BQ71" s="451">
        <f t="shared" ref="BQ71" si="190">SUM(BF69:BQ69)</f>
        <v>1184.5899300000001</v>
      </c>
      <c r="BR71" s="451">
        <f t="shared" ref="BR71" si="191">SUM(BG69:BR69)</f>
        <v>1490.8154</v>
      </c>
      <c r="BS71" s="451">
        <f t="shared" ref="BS71" si="192">SUM(BH69:BS69)</f>
        <v>1770.3922699999998</v>
      </c>
      <c r="BT71" s="451">
        <f t="shared" ref="BT71" si="193">SUM(BI69:BT69)</f>
        <v>2134.6805599999998</v>
      </c>
      <c r="BU71" s="451">
        <f t="shared" ref="BU71" si="194">SUM(BJ69:BU69)</f>
        <v>2600.4820300000001</v>
      </c>
      <c r="BV71" s="451">
        <f t="shared" ref="BV71" si="195">SUM(BK69:BV69)</f>
        <v>3158.3443000000007</v>
      </c>
      <c r="BW71" s="451">
        <f>SUM(BL69:BW69)</f>
        <v>3845.1389900000004</v>
      </c>
      <c r="BX71" s="451">
        <f t="shared" ref="BX71:CI71" si="196">SUM(BM69:BX69)</f>
        <v>4325.4697999999999</v>
      </c>
      <c r="BY71" s="451">
        <f t="shared" si="196"/>
        <v>4960.1488699999991</v>
      </c>
      <c r="BZ71" s="451">
        <f t="shared" si="196"/>
        <v>5655.3641499999994</v>
      </c>
      <c r="CA71" s="451">
        <f t="shared" si="196"/>
        <v>6371.6784100000004</v>
      </c>
      <c r="CB71" s="451">
        <f t="shared" si="196"/>
        <v>7062.2734200000004</v>
      </c>
      <c r="CC71" s="451">
        <f t="shared" si="196"/>
        <v>7764.4490599999999</v>
      </c>
      <c r="CD71" s="451">
        <f t="shared" si="196"/>
        <v>8450.6235899999992</v>
      </c>
      <c r="CE71" s="451">
        <f t="shared" si="196"/>
        <v>9184.246720000001</v>
      </c>
      <c r="CF71" s="451">
        <f t="shared" si="196"/>
        <v>9852.8584300000002</v>
      </c>
      <c r="CG71" s="451">
        <f t="shared" si="196"/>
        <v>10417.865268457004</v>
      </c>
      <c r="CH71" s="451">
        <f t="shared" si="196"/>
        <v>10304.866556643434</v>
      </c>
      <c r="CI71" s="451">
        <f t="shared" si="196"/>
        <v>10029.549571355186</v>
      </c>
    </row>
    <row r="72" spans="1:109" s="375" customFormat="1">
      <c r="B72" s="214"/>
      <c r="Z72" s="447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52"/>
      <c r="AQ72" s="452"/>
      <c r="AR72" s="452"/>
      <c r="AS72" s="452"/>
      <c r="AT72" s="452"/>
      <c r="AU72" s="452"/>
      <c r="AV72" s="452"/>
      <c r="AW72" s="452"/>
      <c r="AX72" s="452"/>
      <c r="AY72" s="452"/>
      <c r="AZ72" s="452"/>
      <c r="BA72" s="452"/>
      <c r="BB72" s="452"/>
      <c r="BC72" s="452"/>
      <c r="BD72" s="452"/>
      <c r="BE72" s="452"/>
      <c r="BF72" s="452"/>
      <c r="BG72" s="452"/>
      <c r="BH72" s="452"/>
      <c r="BI72" s="452"/>
      <c r="BJ72" s="452"/>
      <c r="BK72" s="452"/>
      <c r="BL72" s="452"/>
      <c r="BM72" s="452"/>
      <c r="BN72" s="452"/>
      <c r="BO72" s="452"/>
      <c r="BP72" s="452"/>
      <c r="BQ72" s="452"/>
      <c r="BR72" s="452"/>
      <c r="BS72" s="452"/>
      <c r="BT72" s="452"/>
      <c r="BU72" s="452"/>
      <c r="BV72" s="452"/>
      <c r="BW72" s="452"/>
      <c r="BX72" s="452"/>
      <c r="BY72" s="452"/>
      <c r="BZ72" s="452"/>
      <c r="CA72" s="452"/>
      <c r="CB72" s="452"/>
      <c r="CC72" s="452"/>
      <c r="CD72" s="452"/>
      <c r="CE72" s="452"/>
      <c r="CF72" s="452"/>
      <c r="CG72" s="452"/>
      <c r="CH72" s="452"/>
      <c r="CI72" s="452"/>
    </row>
    <row r="73" spans="1:109" s="375" customFormat="1" ht="15">
      <c r="B73" s="375" t="s">
        <v>603</v>
      </c>
      <c r="C73" s="295">
        <f ca="1">ROUND(C69/C58,4)</f>
        <v>4.2200000000000001E-2</v>
      </c>
      <c r="Z73" s="447"/>
      <c r="AA73" s="453" t="e">
        <f t="shared" ref="AA73" si="197">ROUND(AA71/AA60,4)</f>
        <v>#N/A</v>
      </c>
      <c r="AB73" s="453" t="e">
        <f t="shared" ref="AB73:AX73" si="198">ROUND(AB71/AB60,4)</f>
        <v>#N/A</v>
      </c>
      <c r="AC73" s="453" t="e">
        <f t="shared" si="198"/>
        <v>#N/A</v>
      </c>
      <c r="AD73" s="453" t="e">
        <f t="shared" si="198"/>
        <v>#N/A</v>
      </c>
      <c r="AE73" s="453" t="e">
        <f t="shared" si="198"/>
        <v>#N/A</v>
      </c>
      <c r="AF73" s="453" t="e">
        <f t="shared" si="198"/>
        <v>#N/A</v>
      </c>
      <c r="AG73" s="453" t="e">
        <f t="shared" si="198"/>
        <v>#N/A</v>
      </c>
      <c r="AH73" s="453" t="e">
        <f t="shared" si="198"/>
        <v>#N/A</v>
      </c>
      <c r="AI73" s="453" t="e">
        <f t="shared" si="198"/>
        <v>#N/A</v>
      </c>
      <c r="AJ73" s="453" t="e">
        <f t="shared" si="198"/>
        <v>#N/A</v>
      </c>
      <c r="AK73" s="453" t="e">
        <f t="shared" si="198"/>
        <v>#N/A</v>
      </c>
      <c r="AL73" s="453" t="e">
        <f t="shared" si="198"/>
        <v>#N/A</v>
      </c>
      <c r="AM73" s="453" t="e">
        <f t="shared" si="198"/>
        <v>#N/A</v>
      </c>
      <c r="AN73" s="453" t="e">
        <f t="shared" si="198"/>
        <v>#N/A</v>
      </c>
      <c r="AO73" s="453" t="e">
        <f>ROUND(AO71/AO60,4)</f>
        <v>#N/A</v>
      </c>
      <c r="AP73" s="453" t="e">
        <f t="shared" si="198"/>
        <v>#N/A</v>
      </c>
      <c r="AQ73" s="453" t="e">
        <f t="shared" si="198"/>
        <v>#N/A</v>
      </c>
      <c r="AR73" s="453" t="e">
        <f t="shared" si="198"/>
        <v>#N/A</v>
      </c>
      <c r="AS73" s="453" t="e">
        <f t="shared" si="198"/>
        <v>#N/A</v>
      </c>
      <c r="AT73" s="453" t="e">
        <f t="shared" si="198"/>
        <v>#N/A</v>
      </c>
      <c r="AU73" s="453" t="e">
        <f t="shared" si="198"/>
        <v>#N/A</v>
      </c>
      <c r="AV73" s="453" t="e">
        <f t="shared" si="198"/>
        <v>#N/A</v>
      </c>
      <c r="AW73" s="453" t="e">
        <f t="shared" si="198"/>
        <v>#N/A</v>
      </c>
      <c r="AX73" s="453" t="e">
        <f t="shared" si="198"/>
        <v>#N/A</v>
      </c>
      <c r="AY73" s="453" t="e">
        <f>ROUND(AY71/AY60,4)</f>
        <v>#N/A</v>
      </c>
      <c r="AZ73" s="453" t="e">
        <f t="shared" ref="AZ73:BA73" si="199">ROUND(AZ71/AZ60,4)</f>
        <v>#N/A</v>
      </c>
      <c r="BA73" s="453" t="e">
        <f t="shared" si="199"/>
        <v>#N/A</v>
      </c>
      <c r="BB73" s="453"/>
      <c r="BC73" s="453"/>
      <c r="BD73" s="453"/>
      <c r="BE73" s="453"/>
      <c r="BF73" s="453"/>
      <c r="BG73" s="453"/>
      <c r="BH73" s="453"/>
      <c r="BI73" s="453"/>
      <c r="BJ73" s="453"/>
      <c r="BK73" s="453"/>
      <c r="BL73" s="453"/>
      <c r="BM73" s="453"/>
      <c r="BN73" s="453">
        <f>ROUND(BN71/BN60,4)</f>
        <v>4.5999999999999999E-3</v>
      </c>
      <c r="BO73" s="453">
        <f t="shared" ref="BO73:BW73" si="200">ROUND(BO71/BO60,4)</f>
        <v>5.4000000000000003E-3</v>
      </c>
      <c r="BP73" s="453">
        <f t="shared" si="200"/>
        <v>6.4999999999999997E-3</v>
      </c>
      <c r="BQ73" s="453">
        <f t="shared" si="200"/>
        <v>7.7999999999999996E-3</v>
      </c>
      <c r="BR73" s="453">
        <f t="shared" si="200"/>
        <v>9.5999999999999992E-3</v>
      </c>
      <c r="BS73" s="453">
        <f t="shared" si="200"/>
        <v>1.1299999999999999E-2</v>
      </c>
      <c r="BT73" s="453">
        <f t="shared" si="200"/>
        <v>1.3299999999999999E-2</v>
      </c>
      <c r="BU73" s="453">
        <f t="shared" si="200"/>
        <v>1.5900000000000001E-2</v>
      </c>
      <c r="BV73" s="453">
        <f t="shared" si="200"/>
        <v>1.9E-2</v>
      </c>
      <c r="BW73" s="453">
        <f t="shared" si="200"/>
        <v>2.29E-2</v>
      </c>
      <c r="BX73" s="453">
        <f t="shared" ref="BX73:CI73" si="201">ROUND(BX71/BX60,4)</f>
        <v>2.5700000000000001E-2</v>
      </c>
      <c r="BY73" s="453">
        <f t="shared" si="201"/>
        <v>2.8899999999999999E-2</v>
      </c>
      <c r="BZ73" s="453">
        <f t="shared" si="201"/>
        <v>3.1399999999999997E-2</v>
      </c>
      <c r="CA73" s="453">
        <f t="shared" si="201"/>
        <v>3.3599999999999998E-2</v>
      </c>
      <c r="CB73" s="453">
        <f t="shared" si="201"/>
        <v>3.56E-2</v>
      </c>
      <c r="CC73" s="453">
        <f t="shared" si="201"/>
        <v>3.7100000000000001E-2</v>
      </c>
      <c r="CD73" s="453">
        <f t="shared" si="201"/>
        <v>3.85E-2</v>
      </c>
      <c r="CE73" s="453">
        <f t="shared" si="201"/>
        <v>3.9199999999999999E-2</v>
      </c>
      <c r="CF73" s="453">
        <f t="shared" si="201"/>
        <v>3.9300000000000002E-2</v>
      </c>
      <c r="CG73" s="453">
        <f t="shared" si="201"/>
        <v>4.2099999999999999E-2</v>
      </c>
      <c r="CH73" s="453">
        <f t="shared" si="201"/>
        <v>4.2599999999999999E-2</v>
      </c>
      <c r="CI73" s="453">
        <f t="shared" si="201"/>
        <v>4.2200000000000001E-2</v>
      </c>
    </row>
    <row r="74" spans="1:109" s="375" customFormat="1"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47"/>
      <c r="AN74" s="447"/>
      <c r="AO74" s="447"/>
      <c r="AP74" s="447"/>
      <c r="AQ74" s="447"/>
      <c r="AR74" s="447"/>
      <c r="AS74" s="447"/>
      <c r="AT74" s="447"/>
      <c r="AU74" s="447"/>
      <c r="AV74" s="447"/>
      <c r="AW74" s="447"/>
      <c r="AX74" s="447"/>
      <c r="AY74" s="447"/>
      <c r="AZ74" s="447"/>
      <c r="BA74" s="447"/>
      <c r="BB74" s="447"/>
      <c r="BC74" s="447"/>
      <c r="BD74" s="447"/>
      <c r="BE74" s="447"/>
      <c r="BF74" s="447"/>
      <c r="BG74" s="447"/>
      <c r="BH74" s="447"/>
      <c r="BI74" s="447"/>
      <c r="BJ74" s="447"/>
      <c r="BK74" s="447"/>
      <c r="BL74" s="447"/>
      <c r="BM74" s="447"/>
      <c r="BN74" s="447"/>
      <c r="BO74" s="447"/>
      <c r="BP74" s="447"/>
      <c r="BQ74" s="447"/>
      <c r="BR74" s="447"/>
      <c r="BS74" s="447"/>
      <c r="BT74" s="447"/>
      <c r="BU74" s="447"/>
      <c r="BV74" s="447"/>
      <c r="BW74" s="447"/>
      <c r="BX74" s="447"/>
      <c r="BY74" s="447"/>
      <c r="BZ74" s="447"/>
      <c r="CA74" s="447"/>
      <c r="CB74" s="447"/>
      <c r="CC74" s="447"/>
      <c r="CD74" s="447"/>
      <c r="CE74" s="447"/>
      <c r="CF74" s="447"/>
      <c r="CG74" s="447"/>
      <c r="CH74" s="447"/>
      <c r="CI74" s="447"/>
    </row>
    <row r="75" spans="1:109" s="375" customFormat="1" ht="15">
      <c r="B75" s="375" t="s">
        <v>604</v>
      </c>
      <c r="C75" s="295">
        <f>+CI75</f>
        <v>9.3100000000000002E-2</v>
      </c>
      <c r="Z75" s="447"/>
      <c r="AA75" s="453" t="e">
        <f t="shared" ref="AA75" si="202">ROUND(AA71/AA58,4)</f>
        <v>#N/A</v>
      </c>
      <c r="AB75" s="453" t="e">
        <f t="shared" ref="AB75:AY75" si="203">ROUND(AB71/AB58,4)</f>
        <v>#N/A</v>
      </c>
      <c r="AC75" s="453" t="e">
        <f t="shared" si="203"/>
        <v>#N/A</v>
      </c>
      <c r="AD75" s="453" t="e">
        <f t="shared" si="203"/>
        <v>#N/A</v>
      </c>
      <c r="AE75" s="453" t="e">
        <f t="shared" si="203"/>
        <v>#N/A</v>
      </c>
      <c r="AF75" s="453" t="e">
        <f t="shared" si="203"/>
        <v>#N/A</v>
      </c>
      <c r="AG75" s="453" t="e">
        <f t="shared" si="203"/>
        <v>#N/A</v>
      </c>
      <c r="AH75" s="453" t="e">
        <f t="shared" si="203"/>
        <v>#N/A</v>
      </c>
      <c r="AI75" s="453" t="e">
        <f t="shared" si="203"/>
        <v>#N/A</v>
      </c>
      <c r="AJ75" s="453" t="e">
        <f t="shared" si="203"/>
        <v>#N/A</v>
      </c>
      <c r="AK75" s="453" t="e">
        <f t="shared" si="203"/>
        <v>#N/A</v>
      </c>
      <c r="AL75" s="453" t="e">
        <f t="shared" si="203"/>
        <v>#N/A</v>
      </c>
      <c r="AM75" s="453" t="e">
        <f t="shared" si="203"/>
        <v>#N/A</v>
      </c>
      <c r="AN75" s="453" t="e">
        <f t="shared" si="203"/>
        <v>#N/A</v>
      </c>
      <c r="AO75" s="453" t="e">
        <f>ROUND(AO71/AO58,4)</f>
        <v>#N/A</v>
      </c>
      <c r="AP75" s="453" t="e">
        <f t="shared" si="203"/>
        <v>#N/A</v>
      </c>
      <c r="AQ75" s="453" t="e">
        <f t="shared" si="203"/>
        <v>#N/A</v>
      </c>
      <c r="AR75" s="453" t="e">
        <f t="shared" si="203"/>
        <v>#N/A</v>
      </c>
      <c r="AS75" s="453" t="e">
        <f t="shared" si="203"/>
        <v>#N/A</v>
      </c>
      <c r="AT75" s="453" t="e">
        <f t="shared" si="203"/>
        <v>#N/A</v>
      </c>
      <c r="AU75" s="453" t="e">
        <f t="shared" si="203"/>
        <v>#N/A</v>
      </c>
      <c r="AV75" s="453" t="e">
        <f t="shared" si="203"/>
        <v>#N/A</v>
      </c>
      <c r="AW75" s="453" t="e">
        <f t="shared" si="203"/>
        <v>#N/A</v>
      </c>
      <c r="AX75" s="453" t="e">
        <f t="shared" si="203"/>
        <v>#N/A</v>
      </c>
      <c r="AY75" s="453" t="e">
        <f t="shared" si="203"/>
        <v>#N/A</v>
      </c>
      <c r="AZ75" s="453" t="e">
        <f t="shared" ref="AZ75:BA75" si="204">ROUND(AZ71/AZ58,4)</f>
        <v>#N/A</v>
      </c>
      <c r="BA75" s="453" t="e">
        <f t="shared" si="204"/>
        <v>#N/A</v>
      </c>
      <c r="BB75" s="453"/>
      <c r="BC75" s="453"/>
      <c r="BD75" s="453"/>
      <c r="BE75" s="453"/>
      <c r="BF75" s="453"/>
      <c r="BG75" s="453"/>
      <c r="BH75" s="453"/>
      <c r="BI75" s="453"/>
      <c r="BJ75" s="453"/>
      <c r="BK75" s="453"/>
      <c r="BL75" s="453"/>
      <c r="BM75" s="453"/>
      <c r="BN75" s="453">
        <f t="shared" ref="BN75:BW75" si="205">ROUND(BN71/BN58,4)</f>
        <v>3.3E-3</v>
      </c>
      <c r="BO75" s="453">
        <f t="shared" si="205"/>
        <v>4.1000000000000003E-3</v>
      </c>
      <c r="BP75" s="453">
        <f t="shared" si="205"/>
        <v>5.3E-3</v>
      </c>
      <c r="BQ75" s="453">
        <f t="shared" si="205"/>
        <v>6.0000000000000001E-3</v>
      </c>
      <c r="BR75" s="453">
        <f t="shared" si="205"/>
        <v>1.09E-2</v>
      </c>
      <c r="BS75" s="453">
        <f t="shared" si="205"/>
        <v>1.4200000000000001E-2</v>
      </c>
      <c r="BT75" s="453">
        <f t="shared" si="205"/>
        <v>1.37E-2</v>
      </c>
      <c r="BU75" s="453">
        <f t="shared" si="205"/>
        <v>1.6299999999999999E-2</v>
      </c>
      <c r="BV75" s="453">
        <f t="shared" si="205"/>
        <v>1.95E-2</v>
      </c>
      <c r="BW75" s="453">
        <f t="shared" si="205"/>
        <v>2.3099999999999999E-2</v>
      </c>
      <c r="BX75" s="453">
        <f t="shared" ref="BX75:CI75" si="206">ROUND(BX71/BX58,4)</f>
        <v>2.1499999999999998E-2</v>
      </c>
      <c r="BY75" s="453">
        <f t="shared" si="206"/>
        <v>1.9900000000000001E-2</v>
      </c>
      <c r="BZ75" s="453">
        <f t="shared" si="206"/>
        <v>2.12E-2</v>
      </c>
      <c r="CA75" s="453">
        <f t="shared" si="206"/>
        <v>2.2100000000000002E-2</v>
      </c>
      <c r="CB75" s="453">
        <f t="shared" si="206"/>
        <v>2.4E-2</v>
      </c>
      <c r="CC75" s="453">
        <f t="shared" si="206"/>
        <v>2.4799999999999999E-2</v>
      </c>
      <c r="CD75" s="453">
        <f t="shared" si="206"/>
        <v>2.5399999999999999E-2</v>
      </c>
      <c r="CE75" s="453">
        <f t="shared" si="206"/>
        <v>2.7900000000000001E-2</v>
      </c>
      <c r="CF75" s="453">
        <f t="shared" si="206"/>
        <v>2.9100000000000001E-2</v>
      </c>
      <c r="CG75" s="453">
        <f t="shared" si="206"/>
        <v>9.2399999999999996E-2</v>
      </c>
      <c r="CH75" s="453">
        <f t="shared" si="206"/>
        <v>0.1125</v>
      </c>
      <c r="CI75" s="453">
        <f t="shared" si="206"/>
        <v>9.3100000000000002E-2</v>
      </c>
    </row>
    <row r="76" spans="1:109" s="375" customFormat="1">
      <c r="Z76" s="450"/>
    </row>
    <row r="77" spans="1:109">
      <c r="CJ77" s="375"/>
      <c r="CK77" s="375"/>
      <c r="CL77" s="375"/>
      <c r="CM77" s="375"/>
      <c r="CN77" s="375"/>
      <c r="CO77" s="375"/>
      <c r="CP77" s="375"/>
      <c r="CQ77" s="375"/>
      <c r="CR77" s="375"/>
      <c r="CS77" s="375"/>
      <c r="CT77" s="375"/>
      <c r="CU77" s="375"/>
      <c r="CV77" s="375"/>
      <c r="CW77" s="375"/>
      <c r="CX77" s="375"/>
      <c r="CY77" s="375"/>
      <c r="CZ77" s="375"/>
      <c r="DA77" s="375"/>
      <c r="DB77" s="375"/>
      <c r="DC77" s="375"/>
      <c r="DD77" s="375"/>
      <c r="DE77" s="375"/>
    </row>
    <row r="78" spans="1:109" ht="15.75">
      <c r="A78" s="747" t="s">
        <v>605</v>
      </c>
      <c r="B78" s="748"/>
      <c r="C78" s="748"/>
      <c r="D78" s="578"/>
      <c r="E78" s="578"/>
      <c r="F78" s="578"/>
      <c r="G78" s="578"/>
      <c r="H78" s="578"/>
      <c r="I78" s="578"/>
      <c r="J78" s="578"/>
      <c r="K78" s="578"/>
      <c r="L78" s="578"/>
      <c r="M78" s="578"/>
      <c r="N78" s="578"/>
      <c r="O78" s="578"/>
      <c r="P78" s="578"/>
      <c r="Q78" s="578"/>
      <c r="R78" s="578"/>
      <c r="S78" s="578"/>
      <c r="T78" s="578"/>
      <c r="U78" s="578"/>
      <c r="V78" s="578"/>
      <c r="W78" s="578"/>
      <c r="X78" s="578"/>
      <c r="Y78" s="578"/>
      <c r="Z78" s="578"/>
      <c r="AA78" s="578"/>
      <c r="AB78" s="578"/>
      <c r="AC78" s="578"/>
      <c r="AD78" s="578"/>
      <c r="AE78" s="578"/>
      <c r="AF78" s="578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8"/>
      <c r="AS78" s="578"/>
      <c r="AT78" s="578"/>
      <c r="AU78" s="578"/>
      <c r="AV78" s="578"/>
      <c r="AW78" s="578"/>
      <c r="AX78" s="578"/>
      <c r="AY78" s="578"/>
      <c r="AZ78" s="578"/>
      <c r="BA78" s="578"/>
      <c r="BB78" s="578"/>
      <c r="BC78" s="578"/>
      <c r="BD78" s="578"/>
      <c r="BE78" s="578"/>
      <c r="BF78" s="578"/>
      <c r="BG78" s="578"/>
      <c r="BH78" s="578"/>
      <c r="BI78" s="578"/>
      <c r="BJ78" s="578"/>
      <c r="BK78" s="578"/>
      <c r="BL78" s="578"/>
      <c r="BM78" s="578"/>
      <c r="BN78" s="578"/>
      <c r="BO78" s="578"/>
      <c r="BP78" s="578"/>
      <c r="BQ78" s="578"/>
      <c r="BR78" s="578"/>
      <c r="BS78" s="578"/>
      <c r="BT78" s="578"/>
      <c r="BU78" s="578"/>
      <c r="BV78" s="578"/>
      <c r="BW78" s="578"/>
      <c r="BX78" s="578"/>
      <c r="BY78" s="578"/>
      <c r="BZ78" s="578"/>
      <c r="CA78" s="578"/>
      <c r="CB78" s="578"/>
      <c r="CC78" s="578"/>
      <c r="CD78" s="578"/>
      <c r="CE78" s="578"/>
      <c r="CF78" s="578"/>
      <c r="CG78" s="578"/>
      <c r="CH78" s="578"/>
      <c r="CI78" s="578"/>
    </row>
    <row r="79" spans="1:109" ht="15">
      <c r="A79" s="15"/>
      <c r="B79" s="15"/>
      <c r="C79" s="290" t="s">
        <v>151</v>
      </c>
      <c r="AA79" s="16" t="str">
        <f t="shared" ref="AA79:BF79" si="207">+AA7</f>
        <v>Actual</v>
      </c>
      <c r="AB79" s="16" t="str">
        <f t="shared" si="207"/>
        <v>Actual</v>
      </c>
      <c r="AC79" s="16" t="str">
        <f t="shared" si="207"/>
        <v>Actual</v>
      </c>
      <c r="AD79" s="16" t="str">
        <f t="shared" si="207"/>
        <v>Actual</v>
      </c>
      <c r="AE79" s="16" t="str">
        <f t="shared" si="207"/>
        <v>Actual</v>
      </c>
      <c r="AF79" s="16" t="str">
        <f t="shared" si="207"/>
        <v>Actual</v>
      </c>
      <c r="AG79" s="16" t="str">
        <f t="shared" si="207"/>
        <v>Actual</v>
      </c>
      <c r="AH79" s="16" t="str">
        <f t="shared" si="207"/>
        <v>Actual</v>
      </c>
      <c r="AI79" s="16" t="str">
        <f t="shared" si="207"/>
        <v>Actual</v>
      </c>
      <c r="AJ79" s="16" t="str">
        <f t="shared" si="207"/>
        <v>Actual</v>
      </c>
      <c r="AK79" s="16" t="str">
        <f t="shared" si="207"/>
        <v>Actual</v>
      </c>
      <c r="AL79" s="16" t="str">
        <f t="shared" si="207"/>
        <v>Actual</v>
      </c>
      <c r="AM79" s="16" t="str">
        <f t="shared" si="207"/>
        <v>Actual</v>
      </c>
      <c r="AN79" s="16" t="str">
        <f t="shared" si="207"/>
        <v>Actual</v>
      </c>
      <c r="AO79" s="16" t="str">
        <f t="shared" si="207"/>
        <v>Actual</v>
      </c>
      <c r="AP79" s="16" t="str">
        <f t="shared" si="207"/>
        <v>Actual</v>
      </c>
      <c r="AQ79" s="16" t="str">
        <f t="shared" si="207"/>
        <v>Actual</v>
      </c>
      <c r="AR79" s="16" t="str">
        <f t="shared" si="207"/>
        <v>Actual</v>
      </c>
      <c r="AS79" s="16" t="str">
        <f t="shared" si="207"/>
        <v>Actual</v>
      </c>
      <c r="AT79" s="16" t="str">
        <f t="shared" si="207"/>
        <v>Actual</v>
      </c>
      <c r="AU79" s="16" t="str">
        <f t="shared" si="207"/>
        <v>Actual</v>
      </c>
      <c r="AV79" s="16" t="str">
        <f t="shared" si="207"/>
        <v>Actual</v>
      </c>
      <c r="AW79" s="16" t="str">
        <f t="shared" si="207"/>
        <v>Actual</v>
      </c>
      <c r="AX79" s="742" t="str">
        <f t="shared" si="207"/>
        <v>Actual</v>
      </c>
      <c r="AY79" s="742" t="str">
        <f t="shared" si="207"/>
        <v>Actual</v>
      </c>
      <c r="AZ79" s="742" t="str">
        <f t="shared" si="207"/>
        <v>Actual</v>
      </c>
      <c r="BA79" s="742" t="str">
        <f t="shared" si="207"/>
        <v>Actual</v>
      </c>
      <c r="BB79" s="742" t="str">
        <f t="shared" si="207"/>
        <v>Actual</v>
      </c>
      <c r="BC79" s="742" t="str">
        <f t="shared" si="207"/>
        <v>Actual</v>
      </c>
      <c r="BD79" s="742" t="str">
        <f t="shared" si="207"/>
        <v>Actual</v>
      </c>
      <c r="BE79" s="742" t="str">
        <f t="shared" si="207"/>
        <v>Actual</v>
      </c>
      <c r="BF79" s="742" t="str">
        <f t="shared" si="207"/>
        <v>Actual</v>
      </c>
      <c r="BG79" s="742" t="str">
        <f t="shared" ref="BG79:CI79" si="208">+BG7</f>
        <v>Actual</v>
      </c>
      <c r="BH79" s="742" t="str">
        <f t="shared" si="208"/>
        <v>Actual</v>
      </c>
      <c r="BI79" s="742" t="str">
        <f t="shared" si="208"/>
        <v>Actual</v>
      </c>
      <c r="BJ79" s="742" t="str">
        <f t="shared" si="208"/>
        <v>Actual</v>
      </c>
      <c r="BK79" s="742" t="str">
        <f t="shared" si="208"/>
        <v>Actual</v>
      </c>
      <c r="BL79" s="742" t="str">
        <f t="shared" si="208"/>
        <v>Actual</v>
      </c>
      <c r="BM79" s="742" t="str">
        <f t="shared" si="208"/>
        <v>Actual</v>
      </c>
      <c r="BN79" s="742" t="str">
        <f t="shared" si="208"/>
        <v>Actual</v>
      </c>
      <c r="BO79" s="742" t="str">
        <f t="shared" si="208"/>
        <v>Actual</v>
      </c>
      <c r="BP79" s="742" t="str">
        <f t="shared" si="208"/>
        <v>Actual</v>
      </c>
      <c r="BQ79" s="742" t="str">
        <f t="shared" si="208"/>
        <v>Actual</v>
      </c>
      <c r="BR79" s="742" t="str">
        <f t="shared" si="208"/>
        <v>Actual</v>
      </c>
      <c r="BS79" s="742" t="str">
        <f t="shared" si="208"/>
        <v>Actual</v>
      </c>
      <c r="BT79" s="742" t="str">
        <f t="shared" si="208"/>
        <v>Actual</v>
      </c>
      <c r="BU79" s="742" t="str">
        <f t="shared" si="208"/>
        <v>Actual</v>
      </c>
      <c r="BV79" s="742" t="str">
        <f t="shared" si="208"/>
        <v>Actual</v>
      </c>
      <c r="BW79" s="742" t="str">
        <f t="shared" si="208"/>
        <v>Actual</v>
      </c>
      <c r="BX79" s="742" t="str">
        <f t="shared" si="208"/>
        <v>Budget</v>
      </c>
      <c r="BY79" s="742" t="str">
        <f t="shared" si="208"/>
        <v>Budget</v>
      </c>
      <c r="BZ79" s="742" t="str">
        <f t="shared" si="208"/>
        <v>Budget</v>
      </c>
      <c r="CA79" s="742" t="str">
        <f t="shared" si="208"/>
        <v>Budget</v>
      </c>
      <c r="CB79" s="742" t="str">
        <f t="shared" si="208"/>
        <v>Budget</v>
      </c>
      <c r="CC79" s="742" t="str">
        <f t="shared" si="208"/>
        <v>Budget</v>
      </c>
      <c r="CD79" s="742" t="str">
        <f t="shared" si="208"/>
        <v>Budget</v>
      </c>
      <c r="CE79" s="742" t="str">
        <f t="shared" si="208"/>
        <v>Budget</v>
      </c>
      <c r="CF79" s="742" t="str">
        <f t="shared" si="208"/>
        <v>Budget</v>
      </c>
      <c r="CG79" s="742" t="str">
        <f t="shared" si="208"/>
        <v>Budget</v>
      </c>
      <c r="CH79" s="742" t="str">
        <f t="shared" si="208"/>
        <v>Budget</v>
      </c>
      <c r="CI79" s="742" t="str">
        <f t="shared" si="208"/>
        <v>Budget</v>
      </c>
    </row>
    <row r="80" spans="1:109">
      <c r="A80" s="207"/>
      <c r="B80" s="598" t="s">
        <v>606</v>
      </c>
      <c r="C80" s="291" t="s">
        <v>153</v>
      </c>
      <c r="AA80" s="421">
        <f t="shared" ref="AA80:BF80" si="209">+AA8</f>
        <v>43449</v>
      </c>
      <c r="AB80" s="421">
        <f t="shared" si="209"/>
        <v>43480</v>
      </c>
      <c r="AC80" s="421">
        <f t="shared" si="209"/>
        <v>43511</v>
      </c>
      <c r="AD80" s="421">
        <f t="shared" si="209"/>
        <v>43542</v>
      </c>
      <c r="AE80" s="421">
        <f t="shared" si="209"/>
        <v>43573</v>
      </c>
      <c r="AF80" s="421">
        <f t="shared" si="209"/>
        <v>43604</v>
      </c>
      <c r="AG80" s="421">
        <f t="shared" si="209"/>
        <v>43635</v>
      </c>
      <c r="AH80" s="421">
        <f t="shared" si="209"/>
        <v>43666</v>
      </c>
      <c r="AI80" s="421">
        <f t="shared" si="209"/>
        <v>43697</v>
      </c>
      <c r="AJ80" s="421">
        <f t="shared" si="209"/>
        <v>43728</v>
      </c>
      <c r="AK80" s="421">
        <f t="shared" si="209"/>
        <v>43759</v>
      </c>
      <c r="AL80" s="421">
        <f t="shared" si="209"/>
        <v>43790</v>
      </c>
      <c r="AM80" s="421">
        <f t="shared" si="209"/>
        <v>43821</v>
      </c>
      <c r="AN80" s="421">
        <f t="shared" si="209"/>
        <v>43852</v>
      </c>
      <c r="AO80" s="421">
        <f t="shared" si="209"/>
        <v>43883</v>
      </c>
      <c r="AP80" s="421">
        <f t="shared" si="209"/>
        <v>43914</v>
      </c>
      <c r="AQ80" s="421">
        <f t="shared" si="209"/>
        <v>43945</v>
      </c>
      <c r="AR80" s="421">
        <f t="shared" si="209"/>
        <v>43976</v>
      </c>
      <c r="AS80" s="421">
        <f t="shared" si="209"/>
        <v>44007</v>
      </c>
      <c r="AT80" s="421">
        <f t="shared" si="209"/>
        <v>44038</v>
      </c>
      <c r="AU80" s="421">
        <f t="shared" si="209"/>
        <v>44069</v>
      </c>
      <c r="AV80" s="421">
        <f t="shared" si="209"/>
        <v>44100</v>
      </c>
      <c r="AW80" s="421">
        <f t="shared" si="209"/>
        <v>44131</v>
      </c>
      <c r="AX80" s="962">
        <f t="shared" si="209"/>
        <v>44162</v>
      </c>
      <c r="AY80" s="962">
        <f t="shared" si="209"/>
        <v>44193</v>
      </c>
      <c r="AZ80" s="962">
        <f t="shared" si="209"/>
        <v>44224</v>
      </c>
      <c r="BA80" s="962">
        <f t="shared" si="209"/>
        <v>44255</v>
      </c>
      <c r="BB80" s="962">
        <f t="shared" si="209"/>
        <v>44285</v>
      </c>
      <c r="BC80" s="962">
        <f t="shared" si="209"/>
        <v>44316</v>
      </c>
      <c r="BD80" s="962">
        <f t="shared" si="209"/>
        <v>44347</v>
      </c>
      <c r="BE80" s="962">
        <f t="shared" si="209"/>
        <v>44377</v>
      </c>
      <c r="BF80" s="962">
        <f t="shared" si="209"/>
        <v>44408</v>
      </c>
      <c r="BG80" s="962">
        <f t="shared" ref="BG80:CI80" si="210">+BG8</f>
        <v>44439</v>
      </c>
      <c r="BH80" s="962">
        <f t="shared" si="210"/>
        <v>44469</v>
      </c>
      <c r="BI80" s="962">
        <f t="shared" si="210"/>
        <v>44500</v>
      </c>
      <c r="BJ80" s="962">
        <f t="shared" si="210"/>
        <v>44530</v>
      </c>
      <c r="BK80" s="962">
        <f t="shared" si="210"/>
        <v>44561</v>
      </c>
      <c r="BL80" s="962">
        <f t="shared" si="210"/>
        <v>44592</v>
      </c>
      <c r="BM80" s="962">
        <f t="shared" si="210"/>
        <v>44620</v>
      </c>
      <c r="BN80" s="962">
        <f t="shared" si="210"/>
        <v>44651</v>
      </c>
      <c r="BO80" s="962">
        <f t="shared" si="210"/>
        <v>44681</v>
      </c>
      <c r="BP80" s="962">
        <f t="shared" si="210"/>
        <v>44712</v>
      </c>
      <c r="BQ80" s="962">
        <f t="shared" si="210"/>
        <v>44742</v>
      </c>
      <c r="BR80" s="962">
        <f t="shared" si="210"/>
        <v>44773</v>
      </c>
      <c r="BS80" s="962">
        <f t="shared" si="210"/>
        <v>44804</v>
      </c>
      <c r="BT80" s="962">
        <f t="shared" si="210"/>
        <v>44834</v>
      </c>
      <c r="BU80" s="962">
        <f t="shared" si="210"/>
        <v>44865</v>
      </c>
      <c r="BV80" s="962">
        <f t="shared" si="210"/>
        <v>44895</v>
      </c>
      <c r="BW80" s="962">
        <f t="shared" si="210"/>
        <v>44926</v>
      </c>
      <c r="BX80" s="962">
        <f t="shared" si="210"/>
        <v>44957</v>
      </c>
      <c r="BY80" s="962">
        <f t="shared" si="210"/>
        <v>44985</v>
      </c>
      <c r="BZ80" s="962">
        <f t="shared" si="210"/>
        <v>45016</v>
      </c>
      <c r="CA80" s="962">
        <f t="shared" si="210"/>
        <v>45046</v>
      </c>
      <c r="CB80" s="962">
        <f t="shared" si="210"/>
        <v>45077</v>
      </c>
      <c r="CC80" s="962">
        <f t="shared" si="210"/>
        <v>45107</v>
      </c>
      <c r="CD80" s="962">
        <f t="shared" si="210"/>
        <v>45138</v>
      </c>
      <c r="CE80" s="962">
        <f t="shared" si="210"/>
        <v>45169</v>
      </c>
      <c r="CF80" s="962">
        <f t="shared" si="210"/>
        <v>45199</v>
      </c>
      <c r="CG80" s="962">
        <f t="shared" si="210"/>
        <v>45230</v>
      </c>
      <c r="CH80" s="962">
        <f t="shared" si="210"/>
        <v>45260</v>
      </c>
      <c r="CI80" s="962">
        <f t="shared" si="210"/>
        <v>45291</v>
      </c>
    </row>
    <row r="82" spans="1:87">
      <c r="A82" s="376" t="s">
        <v>607</v>
      </c>
      <c r="B82" s="447" t="s">
        <v>608</v>
      </c>
      <c r="C82" s="418">
        <f ca="1">SUM(OFFSET(BL82:BX82,0,'Bal Sheet'!$A$1-1))/13</f>
        <v>28292.670696923069</v>
      </c>
      <c r="AA82" s="33">
        <f>+'Bal Sheet'!Z92</f>
        <v>25903.685430000001</v>
      </c>
      <c r="AB82" s="33">
        <f>+'Bal Sheet'!AA92</f>
        <v>25867.705320000001</v>
      </c>
      <c r="AC82" s="33">
        <f>+'Bal Sheet'!AB92</f>
        <v>25898.455109999999</v>
      </c>
      <c r="AD82" s="463">
        <v>25925.131819999999</v>
      </c>
      <c r="AE82" s="463">
        <v>25847.349969999999</v>
      </c>
      <c r="AF82" s="463">
        <v>25870.81739</v>
      </c>
      <c r="AG82" s="463">
        <v>25868.020230000002</v>
      </c>
      <c r="AH82" s="463">
        <v>25768.615089999999</v>
      </c>
      <c r="AI82" s="463">
        <v>25686.969590000001</v>
      </c>
      <c r="AJ82" s="463">
        <v>25634.262850000003</v>
      </c>
      <c r="AK82" s="463">
        <v>25695.380539999998</v>
      </c>
      <c r="AL82" s="463">
        <v>25691.903879999998</v>
      </c>
      <c r="AM82" s="463">
        <v>25704.516</v>
      </c>
      <c r="AN82" s="463">
        <v>25665.571920000002</v>
      </c>
      <c r="AO82" s="463">
        <v>25728.44166</v>
      </c>
      <c r="AP82" s="463">
        <v>25721.300809999997</v>
      </c>
      <c r="AQ82" s="463">
        <v>25668.756000000001</v>
      </c>
      <c r="AR82" s="463">
        <v>25569.201969999998</v>
      </c>
      <c r="AS82" s="463">
        <v>25464.047059999997</v>
      </c>
      <c r="AT82" s="463">
        <v>25456.79927</v>
      </c>
      <c r="AU82" s="463">
        <v>25416.773229999999</v>
      </c>
      <c r="AV82" s="463">
        <v>25432.97277</v>
      </c>
      <c r="AW82" s="463">
        <v>25393.599999999999</v>
      </c>
      <c r="AX82" s="588">
        <f>+'Bal Sheet'!AW92</f>
        <v>25333.30543</v>
      </c>
      <c r="AY82" s="588">
        <v>25075.278079999996</v>
      </c>
      <c r="AZ82" s="588">
        <v>25241.811829999999</v>
      </c>
      <c r="BA82" s="588">
        <v>25273.973249999999</v>
      </c>
      <c r="BB82" s="588">
        <v>25387.42038</v>
      </c>
      <c r="BC82" s="588">
        <v>25318.474699999999</v>
      </c>
      <c r="BD82" s="588">
        <v>25407.263769999998</v>
      </c>
      <c r="BE82" s="588">
        <v>25529.439879999998</v>
      </c>
      <c r="BF82" s="591">
        <f>+'Bal Sheet'!BE92</f>
        <v>25706.203600000001</v>
      </c>
      <c r="BG82" s="591">
        <f>+'Bal Sheet'!BF92</f>
        <v>25782.52836</v>
      </c>
      <c r="BH82" s="591">
        <f>+'Bal Sheet'!BG92</f>
        <v>25962.796670000003</v>
      </c>
      <c r="BI82" s="591">
        <f>+'Bal Sheet'!BH92</f>
        <v>26074.226340000001</v>
      </c>
      <c r="BJ82" s="591">
        <f>+'Bal Sheet'!BI92</f>
        <v>26300.461460000002</v>
      </c>
      <c r="BK82" s="591">
        <f>+'Bal Sheet'!BJ92</f>
        <v>26450.409190000002</v>
      </c>
      <c r="BL82" s="591">
        <v>26724.60528</v>
      </c>
      <c r="BM82" s="591">
        <v>26837.940440000002</v>
      </c>
      <c r="BN82" s="591">
        <v>27025.575949999999</v>
      </c>
      <c r="BO82" s="591">
        <v>27142.982909999999</v>
      </c>
      <c r="BP82" s="591">
        <v>27369.426920000002</v>
      </c>
      <c r="BQ82" s="591">
        <v>27734.4241</v>
      </c>
      <c r="BR82" s="591">
        <v>27952.511770000001</v>
      </c>
      <c r="BS82" s="591">
        <v>28170.52145</v>
      </c>
      <c r="BT82" s="591">
        <v>28457.241420000002</v>
      </c>
      <c r="BU82" s="591">
        <v>28627.534520000001</v>
      </c>
      <c r="BV82" s="591">
        <v>28840.164270000001</v>
      </c>
      <c r="BW82" s="591">
        <v>29144.41906</v>
      </c>
      <c r="BX82" s="591">
        <f>+'Bal Sheet'!BW92</f>
        <v>28092.6</v>
      </c>
      <c r="BY82" s="591">
        <f>+'Bal Sheet'!BX92</f>
        <v>28116</v>
      </c>
      <c r="BZ82" s="591">
        <f>+'Bal Sheet'!BY92</f>
        <v>28139.4</v>
      </c>
      <c r="CA82" s="591">
        <f>+'Bal Sheet'!BZ92</f>
        <v>28162.9</v>
      </c>
      <c r="CB82" s="591">
        <f>+'Bal Sheet'!CA92</f>
        <v>28186.3</v>
      </c>
      <c r="CC82" s="591">
        <f>+'Bal Sheet'!CB92</f>
        <v>28209.8</v>
      </c>
      <c r="CD82" s="591">
        <f>+'Bal Sheet'!CC92</f>
        <v>28233.3</v>
      </c>
      <c r="CE82" s="591">
        <f>+'Bal Sheet'!CD92</f>
        <v>28256.799999999999</v>
      </c>
      <c r="CF82" s="591">
        <f>+'Bal Sheet'!CE92</f>
        <v>28280.400000000001</v>
      </c>
      <c r="CG82" s="591">
        <f>+'Bal Sheet'!CF92</f>
        <v>28304</v>
      </c>
      <c r="CH82" s="591">
        <f>+'Bal Sheet'!CG92</f>
        <v>28327.599999999999</v>
      </c>
      <c r="CI82" s="591">
        <f>+'Bal Sheet'!CH92</f>
        <v>28351.200000000001</v>
      </c>
    </row>
    <row r="83" spans="1:87">
      <c r="A83" s="376" t="s">
        <v>609</v>
      </c>
      <c r="B83" s="447" t="s">
        <v>610</v>
      </c>
      <c r="C83" s="287">
        <f ca="1">SUM(OFFSET(BL83:BX83,0,'Bal Sheet'!$A$1-1))/13</f>
        <v>608.84615384615381</v>
      </c>
      <c r="AA83" s="33">
        <f>+'Bal Sheet'!Z77</f>
        <v>511</v>
      </c>
      <c r="AB83" s="33">
        <f>+'Bal Sheet'!AA77</f>
        <v>511</v>
      </c>
      <c r="AC83" s="33">
        <f>+'Bal Sheet'!AB77</f>
        <v>511</v>
      </c>
      <c r="AD83" s="463">
        <v>511</v>
      </c>
      <c r="AE83" s="463">
        <v>521</v>
      </c>
      <c r="AF83" s="463">
        <v>521</v>
      </c>
      <c r="AG83" s="463">
        <v>521</v>
      </c>
      <c r="AH83" s="463">
        <v>605</v>
      </c>
      <c r="AI83" s="463">
        <v>595</v>
      </c>
      <c r="AJ83" s="463">
        <v>569</v>
      </c>
      <c r="AK83" s="463">
        <v>569</v>
      </c>
      <c r="AL83" s="463">
        <v>569</v>
      </c>
      <c r="AM83" s="463">
        <v>569</v>
      </c>
      <c r="AN83" s="463">
        <v>569</v>
      </c>
      <c r="AO83" s="463">
        <v>594</v>
      </c>
      <c r="AP83" s="463">
        <v>594</v>
      </c>
      <c r="AQ83" s="463">
        <v>594</v>
      </c>
      <c r="AR83" s="463">
        <v>594</v>
      </c>
      <c r="AS83" s="463">
        <v>594</v>
      </c>
      <c r="AT83" s="463">
        <v>594</v>
      </c>
      <c r="AU83" s="463">
        <v>594</v>
      </c>
      <c r="AV83" s="463">
        <v>594</v>
      </c>
      <c r="AW83" s="463">
        <v>594</v>
      </c>
      <c r="AX83" s="588">
        <f>+'Bal Sheet'!AW77</f>
        <v>594</v>
      </c>
      <c r="AY83" s="588">
        <v>594</v>
      </c>
      <c r="AZ83" s="588">
        <v>594</v>
      </c>
      <c r="BA83" s="588">
        <v>589</v>
      </c>
      <c r="BB83" s="588">
        <v>589</v>
      </c>
      <c r="BC83" s="588">
        <v>589</v>
      </c>
      <c r="BD83" s="588">
        <v>589</v>
      </c>
      <c r="BE83" s="588">
        <v>589</v>
      </c>
      <c r="BF83" s="591">
        <f>+'Bal Sheet'!BE77</f>
        <v>579</v>
      </c>
      <c r="BG83" s="591">
        <f>+'Bal Sheet'!BF77</f>
        <v>579</v>
      </c>
      <c r="BH83" s="591">
        <f>+'Bal Sheet'!BG77</f>
        <v>579</v>
      </c>
      <c r="BI83" s="591">
        <f>+'Bal Sheet'!BH77</f>
        <v>604</v>
      </c>
      <c r="BJ83" s="591">
        <f>+'Bal Sheet'!BI77</f>
        <v>604</v>
      </c>
      <c r="BK83" s="591">
        <f>+'Bal Sheet'!BJ77</f>
        <v>604</v>
      </c>
      <c r="BL83" s="591">
        <v>604</v>
      </c>
      <c r="BM83" s="591">
        <v>604</v>
      </c>
      <c r="BN83" s="591">
        <v>604</v>
      </c>
      <c r="BO83" s="591">
        <v>604</v>
      </c>
      <c r="BP83" s="591">
        <v>614</v>
      </c>
      <c r="BQ83" s="591">
        <v>614</v>
      </c>
      <c r="BR83" s="591">
        <v>614</v>
      </c>
      <c r="BS83" s="591">
        <v>614</v>
      </c>
      <c r="BT83" s="591">
        <v>614</v>
      </c>
      <c r="BU83" s="591">
        <v>614</v>
      </c>
      <c r="BV83" s="591">
        <v>614</v>
      </c>
      <c r="BW83" s="591">
        <v>715</v>
      </c>
      <c r="BX83" s="591">
        <f>+'Bal Sheet'!BW77</f>
        <v>600</v>
      </c>
      <c r="BY83" s="591">
        <f>+'Bal Sheet'!BX77</f>
        <v>600</v>
      </c>
      <c r="BZ83" s="591">
        <f>+'Bal Sheet'!BY77</f>
        <v>600</v>
      </c>
      <c r="CA83" s="591">
        <f>+'Bal Sheet'!BZ77</f>
        <v>600</v>
      </c>
      <c r="CB83" s="591">
        <f>+'Bal Sheet'!CA77</f>
        <v>600</v>
      </c>
      <c r="CC83" s="591">
        <f>+'Bal Sheet'!CB77</f>
        <v>600</v>
      </c>
      <c r="CD83" s="591">
        <f>+'Bal Sheet'!CC77</f>
        <v>600</v>
      </c>
      <c r="CE83" s="591">
        <f>+'Bal Sheet'!CD77</f>
        <v>600</v>
      </c>
      <c r="CF83" s="591">
        <f>+'Bal Sheet'!CE77</f>
        <v>600</v>
      </c>
      <c r="CG83" s="591">
        <f>+'Bal Sheet'!CF77</f>
        <v>600</v>
      </c>
      <c r="CH83" s="591">
        <f>+'Bal Sheet'!CG77</f>
        <v>600</v>
      </c>
      <c r="CI83" s="591">
        <f>+'Bal Sheet'!CH77</f>
        <v>600</v>
      </c>
    </row>
    <row r="84" spans="1:87">
      <c r="A84" s="376" t="s">
        <v>611</v>
      </c>
      <c r="B84" s="447" t="s">
        <v>612</v>
      </c>
      <c r="C84" s="445">
        <f ca="1">SUM(OFFSET(BL84:BX84,0,'Bal Sheet'!$A$1-1))/13</f>
        <v>50.095874615384623</v>
      </c>
      <c r="AA84" s="446">
        <f>+'Bal Sheet'!Z83</f>
        <v>0.55321000000000009</v>
      </c>
      <c r="AB84" s="446">
        <f>+'Bal Sheet'!AA83</f>
        <v>0.55321000000000009</v>
      </c>
      <c r="AC84" s="446">
        <f>+'Bal Sheet'!AB83</f>
        <v>0.52522999999999997</v>
      </c>
      <c r="AD84" s="466">
        <v>0.52522999999999997</v>
      </c>
      <c r="AE84" s="466">
        <v>-2.26512</v>
      </c>
      <c r="AF84" s="466">
        <v>1.2217199999999999</v>
      </c>
      <c r="AG84" s="466">
        <v>1.4446300000000001</v>
      </c>
      <c r="AH84" s="466">
        <v>1.4446300000000001</v>
      </c>
      <c r="AI84" s="466">
        <v>4.1596299999999999</v>
      </c>
      <c r="AJ84" s="466">
        <v>-2.3749600000000002</v>
      </c>
      <c r="AK84" s="466">
        <v>2.0500400000000001</v>
      </c>
      <c r="AL84" s="466">
        <v>5.9486000000000008</v>
      </c>
      <c r="AM84" s="466">
        <v>5.9486000000000008</v>
      </c>
      <c r="AN84" s="466">
        <v>5.9486000000000008</v>
      </c>
      <c r="AO84" s="466">
        <v>7.5486000000000004</v>
      </c>
      <c r="AP84" s="466">
        <v>37.371169999999999</v>
      </c>
      <c r="AQ84" s="466">
        <v>37.371169999999999</v>
      </c>
      <c r="AR84" s="466">
        <v>32.093110000000003</v>
      </c>
      <c r="AS84" s="466">
        <v>31.462919999999997</v>
      </c>
      <c r="AT84" s="466">
        <v>31.20412</v>
      </c>
      <c r="AU84" s="466">
        <v>34.579120000000003</v>
      </c>
      <c r="AV84" s="466">
        <v>28.95168</v>
      </c>
      <c r="AW84" s="466">
        <v>26.6</v>
      </c>
      <c r="AX84" s="681">
        <f>+'Bal Sheet'!AW83</f>
        <v>26.57002</v>
      </c>
      <c r="AY84" s="681">
        <v>26.425129999999999</v>
      </c>
      <c r="AZ84" s="681">
        <v>35.625129999999999</v>
      </c>
      <c r="BA84" s="681">
        <v>49.118730000000006</v>
      </c>
      <c r="BB84" s="681">
        <v>48.930610000000001</v>
      </c>
      <c r="BC84" s="681">
        <v>48.868660000000006</v>
      </c>
      <c r="BD84" s="681">
        <v>46.580419999999997</v>
      </c>
      <c r="BE84" s="681">
        <v>47.880420000000001</v>
      </c>
      <c r="BF84" s="592">
        <f>+'Bal Sheet'!BE83</f>
        <v>48.230419999999995</v>
      </c>
      <c r="BG84" s="592">
        <f>+'Bal Sheet'!BF83</f>
        <v>48.230419999999995</v>
      </c>
      <c r="BH84" s="592">
        <f>+'Bal Sheet'!BG83</f>
        <v>48.230419999999995</v>
      </c>
      <c r="BI84" s="592">
        <f>+'Bal Sheet'!BH83</f>
        <v>51.395890000000001</v>
      </c>
      <c r="BJ84" s="592">
        <f>+'Bal Sheet'!BI83</f>
        <v>51.289389999999997</v>
      </c>
      <c r="BK84" s="592">
        <f>+'Bal Sheet'!BJ83</f>
        <v>51.289389999999997</v>
      </c>
      <c r="BL84" s="592">
        <v>51.289389999999997</v>
      </c>
      <c r="BM84" s="592">
        <v>52.022760000000005</v>
      </c>
      <c r="BN84" s="592">
        <v>87.422029999999992</v>
      </c>
      <c r="BO84" s="592">
        <v>87.422029999999992</v>
      </c>
      <c r="BP84" s="592">
        <v>87.422029999999992</v>
      </c>
      <c r="BQ84" s="592">
        <v>91.297029999999992</v>
      </c>
      <c r="BR84" s="592">
        <v>91.297029999999992</v>
      </c>
      <c r="BS84" s="592">
        <v>91.297029999999992</v>
      </c>
      <c r="BT84" s="592">
        <v>93.897030000000001</v>
      </c>
      <c r="BU84" s="592">
        <v>93.727220000000003</v>
      </c>
      <c r="BV84" s="592">
        <v>93.246369999999999</v>
      </c>
      <c r="BW84" s="592">
        <v>93.246369999999999</v>
      </c>
      <c r="BX84" s="592">
        <f>+'Bal Sheet'!BW83</f>
        <v>46.5</v>
      </c>
      <c r="BY84" s="592">
        <f>+'Bal Sheet'!BX83</f>
        <v>46.5</v>
      </c>
      <c r="BZ84" s="592">
        <f>+'Bal Sheet'!BY83</f>
        <v>46.5</v>
      </c>
      <c r="CA84" s="592">
        <f>+'Bal Sheet'!BZ83</f>
        <v>46.5</v>
      </c>
      <c r="CB84" s="592">
        <f>+'Bal Sheet'!CA83</f>
        <v>46.5</v>
      </c>
      <c r="CC84" s="592">
        <f>+'Bal Sheet'!CB83</f>
        <v>46.5</v>
      </c>
      <c r="CD84" s="592">
        <f>+'Bal Sheet'!CC83</f>
        <v>46.5</v>
      </c>
      <c r="CE84" s="592">
        <f>+'Bal Sheet'!CD83</f>
        <v>46.5</v>
      </c>
      <c r="CF84" s="592">
        <f>+'Bal Sheet'!CE83</f>
        <v>46.5</v>
      </c>
      <c r="CG84" s="592">
        <f>+'Bal Sheet'!CF83</f>
        <v>46.5</v>
      </c>
      <c r="CH84" s="592">
        <f>+'Bal Sheet'!CG83</f>
        <v>46.5</v>
      </c>
      <c r="CI84" s="592">
        <f>+'Bal Sheet'!CH83</f>
        <v>46.5</v>
      </c>
    </row>
    <row r="85" spans="1:87">
      <c r="B85" s="743" t="s">
        <v>606</v>
      </c>
      <c r="C85" s="293">
        <f ca="1">SUM(C82:C84)</f>
        <v>28951.612725384606</v>
      </c>
      <c r="AA85" s="33">
        <f t="shared" ref="AA85" si="211">SUM(AA82:AA84)</f>
        <v>26415.23864</v>
      </c>
      <c r="AB85" s="33">
        <f t="shared" ref="AB85:AG85" si="212">SUM(AB82:AB84)</f>
        <v>26379.258529999999</v>
      </c>
      <c r="AC85" s="33">
        <f t="shared" si="212"/>
        <v>26409.980339999998</v>
      </c>
      <c r="AD85" s="33">
        <f t="shared" si="212"/>
        <v>26436.657049999998</v>
      </c>
      <c r="AE85" s="33">
        <f t="shared" si="212"/>
        <v>26366.084849999999</v>
      </c>
      <c r="AF85" s="33">
        <f t="shared" si="212"/>
        <v>26393.039110000002</v>
      </c>
      <c r="AG85" s="33">
        <f t="shared" si="212"/>
        <v>26390.464860000004</v>
      </c>
      <c r="AH85" s="33">
        <f t="shared" ref="AH85:AY85" si="213">SUM(AH82:AH84)</f>
        <v>26375.059720000001</v>
      </c>
      <c r="AI85" s="449">
        <f t="shared" si="213"/>
        <v>26286.129219999999</v>
      </c>
      <c r="AJ85" s="449">
        <f t="shared" si="213"/>
        <v>26200.887890000002</v>
      </c>
      <c r="AK85" s="449">
        <f t="shared" si="213"/>
        <v>26266.430579999997</v>
      </c>
      <c r="AL85" s="449">
        <f t="shared" si="213"/>
        <v>26266.852479999998</v>
      </c>
      <c r="AM85" s="449">
        <f t="shared" si="213"/>
        <v>26279.464599999999</v>
      </c>
      <c r="AN85" s="449">
        <f t="shared" si="213"/>
        <v>26240.520520000002</v>
      </c>
      <c r="AO85" s="33">
        <f t="shared" si="213"/>
        <v>26329.990259999999</v>
      </c>
      <c r="AP85" s="33">
        <f t="shared" si="213"/>
        <v>26352.671979999996</v>
      </c>
      <c r="AQ85" s="33">
        <f t="shared" si="213"/>
        <v>26300.12717</v>
      </c>
      <c r="AR85" s="33">
        <f t="shared" si="213"/>
        <v>26195.29508</v>
      </c>
      <c r="AS85" s="33">
        <f t="shared" si="213"/>
        <v>26089.509979999999</v>
      </c>
      <c r="AT85" s="33">
        <f t="shared" si="213"/>
        <v>26082.003389999998</v>
      </c>
      <c r="AU85" s="33">
        <f t="shared" si="213"/>
        <v>26045.352349999997</v>
      </c>
      <c r="AV85" s="33">
        <f t="shared" si="213"/>
        <v>26055.924449999999</v>
      </c>
      <c r="AW85" s="33">
        <f t="shared" si="213"/>
        <v>26014.199999999997</v>
      </c>
      <c r="AX85" s="449">
        <f t="shared" si="213"/>
        <v>25953.87545</v>
      </c>
      <c r="AY85" s="449">
        <f t="shared" si="213"/>
        <v>25695.703209999996</v>
      </c>
      <c r="AZ85" s="449">
        <f t="shared" ref="AZ85:BI85" si="214">SUM(AZ82:AZ84)</f>
        <v>25871.436959999999</v>
      </c>
      <c r="BA85" s="449">
        <f t="shared" si="214"/>
        <v>25912.091979999997</v>
      </c>
      <c r="BB85" s="449">
        <f t="shared" si="214"/>
        <v>26025.350989999999</v>
      </c>
      <c r="BC85" s="449">
        <f t="shared" si="214"/>
        <v>25956.343359999999</v>
      </c>
      <c r="BD85" s="449">
        <f t="shared" si="214"/>
        <v>26042.844189999996</v>
      </c>
      <c r="BE85" s="449">
        <f t="shared" si="214"/>
        <v>26166.320299999999</v>
      </c>
      <c r="BF85" s="449">
        <f t="shared" si="214"/>
        <v>26333.434020000001</v>
      </c>
      <c r="BG85" s="449">
        <f t="shared" si="214"/>
        <v>26409.75878</v>
      </c>
      <c r="BH85" s="449">
        <f t="shared" si="214"/>
        <v>26590.027090000003</v>
      </c>
      <c r="BI85" s="449">
        <f t="shared" si="214"/>
        <v>26729.622230000001</v>
      </c>
      <c r="BJ85" s="449">
        <f t="shared" ref="BJ85:BK85" si="215">SUM(BJ82:BJ84)</f>
        <v>26955.750850000004</v>
      </c>
      <c r="BK85" s="449">
        <f t="shared" si="215"/>
        <v>27105.698580000004</v>
      </c>
      <c r="BL85" s="449">
        <f t="shared" ref="BL85:BW85" si="216">SUM(BL82:BL84)</f>
        <v>27379.894670000001</v>
      </c>
      <c r="BM85" s="449">
        <f t="shared" si="216"/>
        <v>27493.963200000002</v>
      </c>
      <c r="BN85" s="449">
        <f t="shared" si="216"/>
        <v>27716.99798</v>
      </c>
      <c r="BO85" s="449">
        <f t="shared" si="216"/>
        <v>27834.40494</v>
      </c>
      <c r="BP85" s="449">
        <f t="shared" si="216"/>
        <v>28070.848950000003</v>
      </c>
      <c r="BQ85" s="449">
        <f t="shared" si="216"/>
        <v>28439.721130000002</v>
      </c>
      <c r="BR85" s="449">
        <f t="shared" si="216"/>
        <v>28657.808800000003</v>
      </c>
      <c r="BS85" s="449">
        <f t="shared" si="216"/>
        <v>28875.818480000002</v>
      </c>
      <c r="BT85" s="449">
        <f t="shared" si="216"/>
        <v>29165.138450000002</v>
      </c>
      <c r="BU85" s="449">
        <f t="shared" si="216"/>
        <v>29335.261740000002</v>
      </c>
      <c r="BV85" s="449">
        <f t="shared" si="216"/>
        <v>29547.410640000002</v>
      </c>
      <c r="BW85" s="449">
        <f t="shared" si="216"/>
        <v>29952.665430000001</v>
      </c>
      <c r="BX85" s="449">
        <f t="shared" ref="BX85:CI85" si="217">SUM(BX82:BX84)</f>
        <v>28739.1</v>
      </c>
      <c r="BY85" s="449">
        <f t="shared" si="217"/>
        <v>28762.5</v>
      </c>
      <c r="BZ85" s="449">
        <f t="shared" si="217"/>
        <v>28785.9</v>
      </c>
      <c r="CA85" s="449">
        <f t="shared" si="217"/>
        <v>28809.4</v>
      </c>
      <c r="CB85" s="449">
        <f t="shared" si="217"/>
        <v>28832.799999999999</v>
      </c>
      <c r="CC85" s="449">
        <f t="shared" si="217"/>
        <v>28856.3</v>
      </c>
      <c r="CD85" s="449">
        <f t="shared" si="217"/>
        <v>28879.8</v>
      </c>
      <c r="CE85" s="449">
        <f t="shared" si="217"/>
        <v>28903.3</v>
      </c>
      <c r="CF85" s="449">
        <f t="shared" si="217"/>
        <v>28926.9</v>
      </c>
      <c r="CG85" s="449">
        <f t="shared" si="217"/>
        <v>28950.5</v>
      </c>
      <c r="CH85" s="449">
        <f t="shared" si="217"/>
        <v>28974.1</v>
      </c>
      <c r="CI85" s="449">
        <f t="shared" si="217"/>
        <v>28997.7</v>
      </c>
    </row>
    <row r="86" spans="1:87"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449"/>
      <c r="AY86" s="449"/>
      <c r="AZ86" s="449"/>
      <c r="BA86" s="449"/>
      <c r="BB86" s="449"/>
      <c r="BC86" s="449"/>
      <c r="BD86" s="449"/>
      <c r="BE86" s="449"/>
      <c r="BF86" s="449"/>
      <c r="BG86" s="449"/>
      <c r="BH86" s="449"/>
      <c r="BI86" s="449"/>
      <c r="BJ86" s="449"/>
      <c r="BK86" s="449"/>
      <c r="BL86" s="449"/>
      <c r="BM86" s="449"/>
      <c r="BN86" s="449"/>
      <c r="BO86" s="449"/>
      <c r="BP86" s="449"/>
      <c r="BQ86" s="449"/>
      <c r="BR86" s="449"/>
      <c r="BS86" s="449"/>
      <c r="BT86" s="449"/>
      <c r="BU86" s="449"/>
      <c r="BV86" s="449"/>
      <c r="BW86" s="449"/>
      <c r="BX86" s="449"/>
      <c r="BY86" s="449"/>
      <c r="BZ86" s="449"/>
      <c r="CA86" s="449"/>
      <c r="CB86" s="449"/>
      <c r="CC86" s="449"/>
      <c r="CD86" s="449"/>
      <c r="CE86" s="449"/>
      <c r="CF86" s="449"/>
      <c r="CG86" s="449"/>
      <c r="CH86" s="449"/>
      <c r="CI86" s="449"/>
    </row>
    <row r="87" spans="1:87">
      <c r="B87" s="375" t="s">
        <v>613</v>
      </c>
      <c r="C87" s="447"/>
      <c r="AA87" s="174">
        <f>SUM(O85:AA85)/13</f>
        <v>2031.9414338461538</v>
      </c>
      <c r="AB87" s="174">
        <f>SUM(P85:AB85)/13</f>
        <v>4061.1151669230771</v>
      </c>
      <c r="AC87" s="174">
        <f t="shared" ref="AC87" si="218">SUM(Q85:AC85)/13</f>
        <v>6092.6521161538458</v>
      </c>
      <c r="AD87" s="174">
        <f>SUM(R85:AD85)/13</f>
        <v>8126.2411199999997</v>
      </c>
      <c r="AE87" s="174">
        <f t="shared" ref="AE87" si="219">SUM(S85:AE85)/13</f>
        <v>10154.401493076923</v>
      </c>
      <c r="AF87" s="174">
        <f t="shared" ref="AF87" si="220">SUM(T85:AF85)/13</f>
        <v>12184.635270769231</v>
      </c>
      <c r="AG87" s="174">
        <f t="shared" ref="AG87" si="221">SUM(U85:AG85)/13</f>
        <v>14214.671029230771</v>
      </c>
      <c r="AH87" s="174">
        <f t="shared" ref="AH87" si="222">SUM(V85:AH85)/13</f>
        <v>16243.521776923077</v>
      </c>
      <c r="AI87" s="174">
        <f t="shared" ref="AI87" si="223">SUM(W85:AI85)/13</f>
        <v>18265.531716923077</v>
      </c>
      <c r="AJ87" s="174">
        <f t="shared" ref="AJ87" si="224">SUM(X85:AJ85)/13</f>
        <v>20280.984631538464</v>
      </c>
      <c r="AK87" s="174">
        <f t="shared" ref="AK87" si="225">SUM(Y85:AK85)/13</f>
        <v>22301.479291538461</v>
      </c>
      <c r="AL87" s="174">
        <f t="shared" ref="AL87" si="226">SUM(Z85:AL85)/13</f>
        <v>24322.006405384614</v>
      </c>
      <c r="AM87" s="174">
        <f t="shared" ref="AM87" si="227">SUM(AA85:AM85)/13</f>
        <v>26343.503682307692</v>
      </c>
      <c r="AN87" s="174">
        <f>SUM(AB85:AN85)/13</f>
        <v>26330.06382692308</v>
      </c>
      <c r="AO87" s="174">
        <f t="shared" ref="AO87" si="228">SUM(AC85:AO85)/13</f>
        <v>26326.273959999999</v>
      </c>
      <c r="AP87" s="174">
        <f t="shared" ref="AP87" si="229">SUM(AD85:AP85)/13</f>
        <v>26321.865624615384</v>
      </c>
      <c r="AQ87" s="174">
        <f t="shared" ref="AQ87" si="230">SUM(AE85:AQ85)/13</f>
        <v>26311.363326153842</v>
      </c>
      <c r="AR87" s="174">
        <f t="shared" ref="AR87" si="231">SUM(AF85:AR85)/13</f>
        <v>26298.225651538462</v>
      </c>
      <c r="AS87" s="174">
        <f t="shared" ref="AS87" si="232">SUM(AG85:AS85)/13</f>
        <v>26274.877256923071</v>
      </c>
      <c r="AT87" s="174">
        <f t="shared" ref="AT87" si="233">SUM(AH85:AT85)/13</f>
        <v>26251.149451538455</v>
      </c>
      <c r="AU87" s="174">
        <f t="shared" ref="AU87" si="234">SUM(AI85:AU85)/13</f>
        <v>26225.787346153837</v>
      </c>
      <c r="AV87" s="174">
        <f t="shared" ref="AV87" si="235">SUM(AJ85:AV85)/13</f>
        <v>26208.079286923075</v>
      </c>
      <c r="AW87" s="174">
        <f t="shared" ref="AW87" si="236">SUM(AK85:AW85)/13</f>
        <v>26193.718679999998</v>
      </c>
      <c r="AX87" s="697">
        <f>SUM(AL85:AX85)/13</f>
        <v>26169.675977692303</v>
      </c>
      <c r="AY87" s="697">
        <f>SUM(AM85:AY85)/13</f>
        <v>26125.741418461541</v>
      </c>
      <c r="AZ87" s="697">
        <f t="shared" ref="AZ87:BH87" si="237">SUM(AN85:AZ85)/13</f>
        <v>26094.354676923078</v>
      </c>
      <c r="BA87" s="697">
        <f t="shared" si="237"/>
        <v>26069.090943076924</v>
      </c>
      <c r="BB87" s="697">
        <f t="shared" si="237"/>
        <v>26045.657153076925</v>
      </c>
      <c r="BC87" s="697">
        <f t="shared" si="237"/>
        <v>26015.170336153846</v>
      </c>
      <c r="BD87" s="697">
        <f t="shared" si="237"/>
        <v>25995.379337692306</v>
      </c>
      <c r="BE87" s="697">
        <f t="shared" si="237"/>
        <v>25993.150508461538</v>
      </c>
      <c r="BF87" s="697">
        <f t="shared" si="237"/>
        <v>26011.913896153848</v>
      </c>
      <c r="BG87" s="697">
        <f t="shared" si="237"/>
        <v>26037.125849230764</v>
      </c>
      <c r="BH87" s="697">
        <f t="shared" si="237"/>
        <v>26079.023906153841</v>
      </c>
      <c r="BI87" s="697">
        <f>SUM(AW85:BI85)/13</f>
        <v>26130.846812307685</v>
      </c>
      <c r="BJ87" s="697">
        <f t="shared" ref="BJ87" si="238">SUM(AX85:BJ85)/13</f>
        <v>26203.273800769231</v>
      </c>
      <c r="BK87" s="697">
        <f t="shared" ref="BK87" si="239">SUM(AY85:BK85)/13</f>
        <v>26291.87558</v>
      </c>
      <c r="BL87" s="697">
        <f t="shared" ref="BL87" si="240">SUM(AZ85:BL85)/13</f>
        <v>26421.42876923077</v>
      </c>
      <c r="BM87" s="697">
        <f t="shared" ref="BM87" si="241">SUM(BA85:BM85)/13</f>
        <v>26546.238480000004</v>
      </c>
      <c r="BN87" s="697">
        <f t="shared" ref="BN87" si="242">SUM(BB85:BN85)/13</f>
        <v>26685.077403076924</v>
      </c>
      <c r="BO87" s="697">
        <f t="shared" ref="BO87" si="243">SUM(BC85:BO85)/13</f>
        <v>26824.235399230769</v>
      </c>
      <c r="BP87" s="697">
        <f t="shared" ref="BP87" si="244">SUM(BD85:BP85)/13</f>
        <v>26986.889675384617</v>
      </c>
      <c r="BQ87" s="697">
        <f t="shared" ref="BQ87" si="245">SUM(BE85:BQ85)/13</f>
        <v>27171.264824615388</v>
      </c>
      <c r="BR87" s="697">
        <f t="shared" ref="BR87" si="246">SUM(BF85:BR85)/13</f>
        <v>27362.917786153848</v>
      </c>
      <c r="BS87" s="697">
        <f t="shared" ref="BS87" si="247">SUM(BG85:BS85)/13</f>
        <v>27558.485821538467</v>
      </c>
      <c r="BT87" s="697">
        <f t="shared" ref="BT87" si="248">SUM(BH85:BT85)/13</f>
        <v>27770.438103846158</v>
      </c>
      <c r="BU87" s="697">
        <f t="shared" ref="BU87" si="249">SUM(BI85:BU85)/13</f>
        <v>27981.610000000004</v>
      </c>
      <c r="BV87" s="697">
        <f t="shared" ref="BV87" si="250">SUM(BJ85:BV85)/13</f>
        <v>28198.36295461539</v>
      </c>
      <c r="BW87" s="697">
        <f>SUM(BK85:BW85)/13</f>
        <v>28428.894845384617</v>
      </c>
      <c r="BX87" s="697">
        <f t="shared" ref="BX87:CI87" si="251">SUM(BL85:BX85)/13</f>
        <v>28554.541108461541</v>
      </c>
      <c r="BY87" s="697">
        <f t="shared" si="251"/>
        <v>28660.895364615386</v>
      </c>
      <c r="BZ87" s="697">
        <f t="shared" si="251"/>
        <v>28760.275118461541</v>
      </c>
      <c r="CA87" s="697">
        <f t="shared" si="251"/>
        <v>28844.306043076929</v>
      </c>
      <c r="CB87" s="697">
        <f t="shared" si="251"/>
        <v>28921.105663076924</v>
      </c>
      <c r="CC87" s="697">
        <f t="shared" si="251"/>
        <v>28981.524974615386</v>
      </c>
      <c r="CD87" s="697">
        <f t="shared" si="251"/>
        <v>29015.377195384612</v>
      </c>
      <c r="CE87" s="697">
        <f t="shared" si="251"/>
        <v>29034.26113384615</v>
      </c>
      <c r="CF87" s="697">
        <f t="shared" si="251"/>
        <v>29038.190481538459</v>
      </c>
      <c r="CG87" s="697">
        <f t="shared" si="251"/>
        <v>29021.679831538462</v>
      </c>
      <c r="CH87" s="697">
        <f t="shared" si="251"/>
        <v>28993.898159230768</v>
      </c>
      <c r="CI87" s="697">
        <f t="shared" si="251"/>
        <v>28951.61272538461</v>
      </c>
    </row>
    <row r="88" spans="1:87"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449"/>
      <c r="AY88" s="449"/>
      <c r="AZ88" s="449"/>
      <c r="BA88" s="449"/>
      <c r="BB88" s="449"/>
      <c r="BC88" s="449"/>
      <c r="BD88" s="449"/>
      <c r="BE88" s="449"/>
      <c r="BF88" s="449"/>
      <c r="BG88" s="449"/>
      <c r="BH88" s="449"/>
      <c r="BI88" s="449"/>
      <c r="BJ88" s="449"/>
      <c r="BK88" s="449"/>
      <c r="BL88" s="449"/>
      <c r="BM88" s="449"/>
      <c r="BN88" s="449"/>
      <c r="BO88" s="449"/>
      <c r="BP88" s="449"/>
      <c r="BQ88" s="449"/>
      <c r="BR88" s="449"/>
      <c r="BS88" s="449"/>
      <c r="BT88" s="449"/>
      <c r="BU88" s="449"/>
      <c r="BV88" s="449"/>
      <c r="BW88" s="449"/>
      <c r="BX88" s="449"/>
      <c r="BY88" s="449"/>
      <c r="BZ88" s="449"/>
      <c r="CA88" s="449"/>
      <c r="CB88" s="449"/>
      <c r="CC88" s="449"/>
      <c r="CD88" s="449"/>
      <c r="CE88" s="449"/>
      <c r="CF88" s="449"/>
      <c r="CG88" s="449"/>
      <c r="CH88" s="449"/>
      <c r="CI88" s="449"/>
    </row>
    <row r="89" spans="1:87"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449"/>
      <c r="AY89" s="449"/>
      <c r="AZ89" s="449"/>
      <c r="BA89" s="449"/>
      <c r="BB89" s="449"/>
      <c r="BC89" s="449"/>
      <c r="BD89" s="449"/>
      <c r="BE89" s="449"/>
      <c r="BF89" s="449"/>
      <c r="BG89" s="449"/>
      <c r="BH89" s="449"/>
      <c r="BI89" s="449"/>
      <c r="BJ89" s="449"/>
      <c r="BK89" s="449"/>
      <c r="BL89" s="449"/>
      <c r="BM89" s="449"/>
      <c r="BN89" s="449"/>
      <c r="BO89" s="449"/>
      <c r="BP89" s="449"/>
      <c r="BQ89" s="449"/>
      <c r="BR89" s="449"/>
      <c r="BS89" s="449"/>
      <c r="BT89" s="449"/>
      <c r="BU89" s="449"/>
      <c r="BV89" s="449"/>
      <c r="BW89" s="449"/>
      <c r="BX89" s="449"/>
      <c r="BY89" s="449"/>
      <c r="BZ89" s="449"/>
      <c r="CA89" s="449"/>
      <c r="CB89" s="449"/>
      <c r="CC89" s="449"/>
      <c r="CD89" s="449"/>
      <c r="CE89" s="449"/>
      <c r="CF89" s="449"/>
      <c r="CG89" s="449"/>
      <c r="CH89" s="449"/>
      <c r="CI89" s="449"/>
    </row>
    <row r="90" spans="1:87"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9"/>
      <c r="BK90" s="449"/>
      <c r="BL90" s="449"/>
      <c r="BM90" s="449"/>
      <c r="BN90" s="449"/>
      <c r="BO90" s="449"/>
      <c r="BP90" s="449"/>
      <c r="BQ90" s="449"/>
      <c r="BR90" s="449"/>
      <c r="BS90" s="449"/>
      <c r="BT90" s="449"/>
      <c r="BU90" s="449"/>
      <c r="BV90" s="449"/>
      <c r="BW90" s="449"/>
      <c r="BX90" s="449"/>
      <c r="BY90" s="449"/>
      <c r="BZ90" s="449"/>
      <c r="CA90" s="449"/>
      <c r="CB90" s="449"/>
      <c r="CC90" s="449"/>
      <c r="CD90" s="449"/>
      <c r="CE90" s="449"/>
      <c r="CF90" s="449"/>
      <c r="CG90" s="449"/>
      <c r="CH90" s="449"/>
      <c r="CI90" s="449"/>
    </row>
    <row r="91" spans="1:87">
      <c r="B91" s="598" t="s">
        <v>614</v>
      </c>
      <c r="C91" s="212"/>
      <c r="AA91" s="421">
        <f t="shared" ref="AA91" si="252">AA80</f>
        <v>43449</v>
      </c>
      <c r="AB91" s="421">
        <f t="shared" ref="AB91:AY91" si="253">AB80</f>
        <v>43480</v>
      </c>
      <c r="AC91" s="421">
        <f t="shared" si="253"/>
        <v>43511</v>
      </c>
      <c r="AD91" s="421">
        <f t="shared" si="253"/>
        <v>43542</v>
      </c>
      <c r="AE91" s="421">
        <f t="shared" si="253"/>
        <v>43573</v>
      </c>
      <c r="AF91" s="421">
        <f t="shared" si="253"/>
        <v>43604</v>
      </c>
      <c r="AG91" s="421">
        <f t="shared" si="253"/>
        <v>43635</v>
      </c>
      <c r="AH91" s="421">
        <f t="shared" si="253"/>
        <v>43666</v>
      </c>
      <c r="AI91" s="421">
        <f t="shared" si="253"/>
        <v>43697</v>
      </c>
      <c r="AJ91" s="421">
        <f t="shared" si="253"/>
        <v>43728</v>
      </c>
      <c r="AK91" s="421">
        <f t="shared" si="253"/>
        <v>43759</v>
      </c>
      <c r="AL91" s="421">
        <f t="shared" si="253"/>
        <v>43790</v>
      </c>
      <c r="AM91" s="421">
        <f t="shared" si="253"/>
        <v>43821</v>
      </c>
      <c r="AN91" s="421">
        <f t="shared" si="253"/>
        <v>43852</v>
      </c>
      <c r="AO91" s="421">
        <f t="shared" si="253"/>
        <v>43883</v>
      </c>
      <c r="AP91" s="421">
        <f t="shared" si="253"/>
        <v>43914</v>
      </c>
      <c r="AQ91" s="421">
        <f t="shared" si="253"/>
        <v>43945</v>
      </c>
      <c r="AR91" s="421">
        <f t="shared" si="253"/>
        <v>43976</v>
      </c>
      <c r="AS91" s="421">
        <f t="shared" si="253"/>
        <v>44007</v>
      </c>
      <c r="AT91" s="421">
        <f t="shared" si="253"/>
        <v>44038</v>
      </c>
      <c r="AU91" s="421">
        <f t="shared" si="253"/>
        <v>44069</v>
      </c>
      <c r="AV91" s="421">
        <f t="shared" si="253"/>
        <v>44100</v>
      </c>
      <c r="AW91" s="421">
        <f t="shared" si="253"/>
        <v>44131</v>
      </c>
      <c r="AX91" s="421">
        <f t="shared" si="253"/>
        <v>44162</v>
      </c>
      <c r="AY91" s="421">
        <f t="shared" si="253"/>
        <v>44193</v>
      </c>
      <c r="AZ91" s="421">
        <f t="shared" ref="AZ91:BI91" si="254">AZ80</f>
        <v>44224</v>
      </c>
      <c r="BA91" s="421">
        <f t="shared" si="254"/>
        <v>44255</v>
      </c>
      <c r="BB91" s="421">
        <f t="shared" si="254"/>
        <v>44285</v>
      </c>
      <c r="BC91" s="421">
        <f t="shared" si="254"/>
        <v>44316</v>
      </c>
      <c r="BD91" s="421">
        <f t="shared" si="254"/>
        <v>44347</v>
      </c>
      <c r="BE91" s="421">
        <f t="shared" si="254"/>
        <v>44377</v>
      </c>
      <c r="BF91" s="421">
        <f t="shared" si="254"/>
        <v>44408</v>
      </c>
      <c r="BG91" s="421">
        <f t="shared" si="254"/>
        <v>44439</v>
      </c>
      <c r="BH91" s="421">
        <f t="shared" si="254"/>
        <v>44469</v>
      </c>
      <c r="BI91" s="421">
        <f t="shared" si="254"/>
        <v>44500</v>
      </c>
      <c r="BJ91" s="421">
        <f t="shared" ref="BJ91:BK91" si="255">BJ80</f>
        <v>44530</v>
      </c>
      <c r="BK91" s="421">
        <f t="shared" si="255"/>
        <v>44561</v>
      </c>
      <c r="BL91" s="421">
        <f t="shared" ref="BL91:BW91" si="256">BL80</f>
        <v>44592</v>
      </c>
      <c r="BM91" s="421">
        <f t="shared" si="256"/>
        <v>44620</v>
      </c>
      <c r="BN91" s="421">
        <f t="shared" si="256"/>
        <v>44651</v>
      </c>
      <c r="BO91" s="421">
        <f t="shared" si="256"/>
        <v>44681</v>
      </c>
      <c r="BP91" s="421">
        <f t="shared" si="256"/>
        <v>44712</v>
      </c>
      <c r="BQ91" s="421">
        <f t="shared" si="256"/>
        <v>44742</v>
      </c>
      <c r="BR91" s="421">
        <f t="shared" si="256"/>
        <v>44773</v>
      </c>
      <c r="BS91" s="421">
        <f t="shared" si="256"/>
        <v>44804</v>
      </c>
      <c r="BT91" s="421">
        <f t="shared" si="256"/>
        <v>44834</v>
      </c>
      <c r="BU91" s="421">
        <f t="shared" si="256"/>
        <v>44865</v>
      </c>
      <c r="BV91" s="421">
        <f t="shared" si="256"/>
        <v>44895</v>
      </c>
      <c r="BW91" s="421">
        <f t="shared" si="256"/>
        <v>44926</v>
      </c>
      <c r="BX91" s="421">
        <f t="shared" ref="BX91:CI91" si="257">BX80</f>
        <v>44957</v>
      </c>
      <c r="BY91" s="421">
        <f t="shared" si="257"/>
        <v>44985</v>
      </c>
      <c r="BZ91" s="421">
        <f t="shared" si="257"/>
        <v>45016</v>
      </c>
      <c r="CA91" s="421">
        <f t="shared" si="257"/>
        <v>45046</v>
      </c>
      <c r="CB91" s="421">
        <f t="shared" si="257"/>
        <v>45077</v>
      </c>
      <c r="CC91" s="421">
        <f t="shared" si="257"/>
        <v>45107</v>
      </c>
      <c r="CD91" s="421">
        <f t="shared" si="257"/>
        <v>45138</v>
      </c>
      <c r="CE91" s="421">
        <f t="shared" si="257"/>
        <v>45169</v>
      </c>
      <c r="CF91" s="421">
        <f t="shared" si="257"/>
        <v>45199</v>
      </c>
      <c r="CG91" s="421">
        <f t="shared" si="257"/>
        <v>45230</v>
      </c>
      <c r="CH91" s="421">
        <f t="shared" si="257"/>
        <v>45260</v>
      </c>
      <c r="CI91" s="421">
        <f t="shared" si="257"/>
        <v>45291</v>
      </c>
    </row>
    <row r="92" spans="1:87">
      <c r="B92" s="212"/>
      <c r="C92" s="212"/>
      <c r="AA92" s="421"/>
      <c r="AB92" s="421"/>
      <c r="AC92" s="421"/>
      <c r="AD92" s="421"/>
      <c r="AE92" s="421"/>
      <c r="AF92" s="421"/>
      <c r="AG92" s="421"/>
      <c r="AH92" s="421"/>
      <c r="AI92" s="421"/>
      <c r="AJ92" s="421"/>
      <c r="AK92" s="421"/>
      <c r="AL92" s="421"/>
      <c r="AM92" s="421"/>
      <c r="AN92" s="421"/>
      <c r="AO92" s="421"/>
      <c r="AP92" s="421"/>
      <c r="AQ92" s="421"/>
      <c r="AR92" s="421"/>
      <c r="AS92" s="421"/>
      <c r="AT92" s="421"/>
      <c r="AU92" s="421"/>
      <c r="AV92" s="421"/>
      <c r="AW92" s="421"/>
      <c r="AX92" s="421"/>
      <c r="AY92" s="421"/>
      <c r="AZ92" s="421"/>
      <c r="BA92" s="421"/>
      <c r="BB92" s="421"/>
      <c r="BC92" s="421"/>
      <c r="BD92" s="421"/>
      <c r="BE92" s="421"/>
      <c r="BF92" s="421"/>
      <c r="BG92" s="421"/>
      <c r="BH92" s="421"/>
      <c r="BI92" s="421"/>
      <c r="BJ92" s="421"/>
      <c r="BK92" s="421"/>
      <c r="BL92" s="421"/>
      <c r="BM92" s="421"/>
      <c r="BN92" s="421"/>
      <c r="BO92" s="421"/>
      <c r="BP92" s="421"/>
      <c r="BQ92" s="421"/>
      <c r="BR92" s="421"/>
      <c r="BS92" s="421"/>
      <c r="BT92" s="421"/>
      <c r="BU92" s="421"/>
      <c r="BV92" s="421"/>
      <c r="BW92" s="421"/>
      <c r="BX92" s="421"/>
      <c r="BY92" s="421"/>
      <c r="BZ92" s="421"/>
      <c r="CA92" s="421"/>
      <c r="CB92" s="421"/>
      <c r="CC92" s="421"/>
      <c r="CD92" s="421"/>
      <c r="CE92" s="421"/>
      <c r="CF92" s="421"/>
      <c r="CG92" s="421"/>
      <c r="CH92" s="421"/>
      <c r="CI92" s="421"/>
    </row>
    <row r="93" spans="1:87">
      <c r="A93" s="376" t="s">
        <v>615</v>
      </c>
      <c r="B93" s="1039" t="s">
        <v>616</v>
      </c>
      <c r="C93" s="454">
        <f ca="1">SUM(OFFSET(BL93:BW93,0,'Bal Sheet'!$A$1))</f>
        <v>0</v>
      </c>
      <c r="AA93" s="404" t="e">
        <f>VLOOKUP("7500030",'[8]IS ACCTS'!$A$3:$CD$618,64,FALSE)</f>
        <v>#N/A</v>
      </c>
      <c r="AB93" s="404" t="e">
        <f>VLOOKUP("7500030",'[8]IS ACCTS'!$A$3:$CD$618,65,FALSE)</f>
        <v>#N/A</v>
      </c>
      <c r="AC93" s="404" t="e">
        <f>VLOOKUP("7500030",'[8]IS ACCTS'!$A$3:$CD$618,66,FALSE)</f>
        <v>#N/A</v>
      </c>
      <c r="AD93" s="465">
        <v>55.33399</v>
      </c>
      <c r="AE93" s="465">
        <v>55.16516</v>
      </c>
      <c r="AF93" s="465">
        <v>55.280230000000003</v>
      </c>
      <c r="AG93" s="465">
        <v>55.284570000000002</v>
      </c>
      <c r="AH93" s="465">
        <v>55.091999999999999</v>
      </c>
      <c r="AI93" s="465">
        <v>54.934139999999999</v>
      </c>
      <c r="AJ93" s="465">
        <v>54.913050000000005</v>
      </c>
      <c r="AK93" s="465">
        <v>55.028129999999997</v>
      </c>
      <c r="AL93" s="465">
        <v>55.015550000000005</v>
      </c>
      <c r="AM93" s="465">
        <v>42.623800000000003</v>
      </c>
      <c r="AN93" s="465">
        <v>55.003349999999998</v>
      </c>
      <c r="AO93" s="465">
        <v>55.161089999999994</v>
      </c>
      <c r="AP93" s="465">
        <v>55.20035</v>
      </c>
      <c r="AQ93" s="465">
        <v>55.19061</v>
      </c>
      <c r="AR93" s="465">
        <v>55.06964</v>
      </c>
      <c r="AS93" s="465">
        <v>54.910879999999999</v>
      </c>
      <c r="AT93" s="465">
        <v>54.900400000000005</v>
      </c>
      <c r="AU93" s="465">
        <v>54.798300000000005</v>
      </c>
      <c r="AV93" s="465">
        <v>54.84346</v>
      </c>
      <c r="AW93" s="465">
        <v>54.8</v>
      </c>
      <c r="AX93" s="210">
        <f>VLOOKUP("7500030",'[8]IS ACCTS'!$F$3:$ZZ$618,87,FALSE)</f>
        <v>54.6</v>
      </c>
      <c r="AY93" s="210">
        <v>43.181760000000004</v>
      </c>
      <c r="AZ93" s="210">
        <v>54.454269999999994</v>
      </c>
      <c r="BA93" s="210">
        <v>54.502220000000001</v>
      </c>
      <c r="BB93" s="210">
        <v>54.70138</v>
      </c>
      <c r="BC93" s="210">
        <v>54.612589999999997</v>
      </c>
      <c r="BD93" s="210">
        <v>54.794779999999996</v>
      </c>
      <c r="BE93" s="210">
        <v>55.070860000000003</v>
      </c>
      <c r="BF93" s="584">
        <f>VLOOKUP("7500030",'[8]IS ACCTS'!$F$3:$ZZ$999,95,FALSE)</f>
        <v>55.4</v>
      </c>
      <c r="BG93" s="584">
        <f>VLOOKUP("7500030",'[8]IS ACCTS'!$F$3:$ZZ$999,96,FALSE)</f>
        <v>55.6</v>
      </c>
      <c r="BH93" s="584">
        <f>VLOOKUP("7500030",'[8]IS ACCTS'!$F$3:$ZZ$999,97,FALSE)</f>
        <v>56</v>
      </c>
      <c r="BI93" s="584">
        <f>VLOOKUP("7500030",'[8]IS ACCTS'!$F$3:$ZZ$999,98,FALSE)</f>
        <v>56.2</v>
      </c>
      <c r="BJ93" s="584">
        <f>VLOOKUP("7500030",'[8]IS ACCTS'!$F$3:$ZZ$999,99,FALSE)</f>
        <v>56.7</v>
      </c>
      <c r="BK93" s="584">
        <f>VLOOKUP("7500030",'[8]IS ACCTS'!$F$3:$ZZ$999,100,FALSE)</f>
        <v>46.8</v>
      </c>
      <c r="BL93" s="584">
        <v>57.503329999999998</v>
      </c>
      <c r="BM93" s="584">
        <v>57.771410000000003</v>
      </c>
      <c r="BN93" s="584">
        <v>58.107459999999996</v>
      </c>
      <c r="BO93" s="584">
        <v>58.306139999999999</v>
      </c>
      <c r="BP93" s="584">
        <v>58.701509999999999</v>
      </c>
      <c r="BQ93" s="584">
        <v>59.319919999999996</v>
      </c>
      <c r="BR93" s="584">
        <v>59.722239999999999</v>
      </c>
      <c r="BS93" s="584">
        <v>60.098949999999995</v>
      </c>
      <c r="BT93" s="584">
        <v>60.62424</v>
      </c>
      <c r="BU93" s="584">
        <v>60.904249999999998</v>
      </c>
      <c r="BV93" s="584">
        <v>61.298940000000002</v>
      </c>
      <c r="BW93" s="584">
        <v>51.968530000000001</v>
      </c>
      <c r="BX93" s="584">
        <f>VLOOKUP("7500030",'[8]IS ACCTS'!$F$3:$ZZ$999,113,FALSE)</f>
        <v>0</v>
      </c>
      <c r="BY93" s="584">
        <f>VLOOKUP("7500030",'[8]IS ACCTS'!$F$3:$ZZ$999,114,FALSE)</f>
        <v>0</v>
      </c>
      <c r="BZ93" s="584">
        <f>VLOOKUP("7500030",'[8]IS ACCTS'!$F$3:$ZZ$999,115,FALSE)</f>
        <v>0</v>
      </c>
      <c r="CA93" s="584">
        <f>VLOOKUP("7500030",'[8]IS ACCTS'!$F$3:$ZZ$999,116,FALSE)</f>
        <v>0</v>
      </c>
      <c r="CB93" s="584">
        <f>VLOOKUP("7500030",'[8]IS ACCTS'!$F$3:$ZZ$999,117,FALSE)</f>
        <v>0</v>
      </c>
      <c r="CC93" s="584">
        <f>VLOOKUP("7500030",'[8]IS ACCTS'!$F$3:$ZZ$999,118,FALSE)</f>
        <v>0</v>
      </c>
      <c r="CD93" s="584">
        <f>VLOOKUP("7500030",'[8]IS ACCTS'!$F$3:$ZZ$999,119,FALSE)</f>
        <v>0</v>
      </c>
      <c r="CE93" s="584">
        <f>VLOOKUP("7500030",'[8]IS ACCTS'!$F$3:$ZZ$999,120,FALSE)</f>
        <v>0</v>
      </c>
      <c r="CF93" s="584">
        <f>VLOOKUP("7500030",'[8]IS ACCTS'!$F$3:$ZZ$999,121,FALSE)</f>
        <v>0</v>
      </c>
      <c r="CG93" s="584">
        <f>VLOOKUP("7500030",'[8]IS ACCTS'!$F$3:$ZZ$999,122,FALSE)</f>
        <v>0</v>
      </c>
      <c r="CH93" s="584">
        <f>VLOOKUP("7500030",'[8]IS ACCTS'!$F$3:$ZZ$999,123,FALSE)</f>
        <v>0</v>
      </c>
      <c r="CI93" s="584">
        <f>VLOOKUP("7500030",'[8]IS ACCTS'!$F$3:$ZZ$999,124,FALSE)</f>
        <v>0</v>
      </c>
    </row>
    <row r="94" spans="1:87">
      <c r="A94" s="376" t="s">
        <v>1188</v>
      </c>
      <c r="B94" s="1039" t="s">
        <v>616</v>
      </c>
      <c r="C94" s="294">
        <f ca="1">SUM(OFFSET(BL94:BW94,0,'Bal Sheet'!$A$1))</f>
        <v>730.2</v>
      </c>
      <c r="AA94" s="403"/>
      <c r="AB94" s="403"/>
      <c r="AC94" s="403"/>
      <c r="AD94" s="464"/>
      <c r="AE94" s="464"/>
      <c r="AF94" s="464"/>
      <c r="AG94" s="464"/>
      <c r="AH94" s="464"/>
      <c r="AI94" s="464"/>
      <c r="AJ94" s="464"/>
      <c r="AK94" s="464"/>
      <c r="AL94" s="464"/>
      <c r="AM94" s="464"/>
      <c r="AN94" s="464"/>
      <c r="AO94" s="464"/>
      <c r="AP94" s="464"/>
      <c r="AQ94" s="464"/>
      <c r="AR94" s="464"/>
      <c r="AS94" s="464"/>
      <c r="AT94" s="464"/>
      <c r="AU94" s="464"/>
      <c r="AV94" s="464"/>
      <c r="AW94" s="464"/>
      <c r="AX94" s="330"/>
      <c r="AY94" s="330"/>
      <c r="AZ94" s="330"/>
      <c r="BA94" s="330"/>
      <c r="BB94" s="330"/>
      <c r="BC94" s="330"/>
      <c r="BD94" s="330"/>
      <c r="BE94" s="330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>
        <f>VLOOKUP("A_S7500030",'[8]IS ACCTS'!$G$3:$ZZ$999,106,FALSE)</f>
        <v>0</v>
      </c>
      <c r="BS94" s="585">
        <f>VLOOKUP("A_S7500030",'[8]IS ACCTS'!$G$3:$ZZ$999,107,FALSE)</f>
        <v>0</v>
      </c>
      <c r="BT94" s="585">
        <f>VLOOKUP("A_S7500030",'[8]IS ACCTS'!$G$3:$ZZ$999,108,FALSE)</f>
        <v>0</v>
      </c>
      <c r="BU94" s="585">
        <f>VLOOKUP("A_S7500030",'[8]IS ACCTS'!$G$3:$ZZ$999,109,FALSE)</f>
        <v>0</v>
      </c>
      <c r="BV94" s="585">
        <f>VLOOKUP("A_S7500030",'[8]IS ACCTS'!$G$3:$ZZ$999,110,FALSE)</f>
        <v>0</v>
      </c>
      <c r="BW94" s="585">
        <f>VLOOKUP("A_S7500030",'[8]IS ACCTS'!$G$3:$ZZ$999,111,FALSE)</f>
        <v>0</v>
      </c>
      <c r="BX94" s="585">
        <f>VLOOKUP("A_S7500030",'[8]IS ACCTS'!$G$3:$ZZ$999,112,FALSE)</f>
        <v>60.6</v>
      </c>
      <c r="BY94" s="585">
        <f>VLOOKUP("A_S7500030",'[8]IS ACCTS'!$G$3:$ZZ$999,113,FALSE)</f>
        <v>60.6</v>
      </c>
      <c r="BZ94" s="585">
        <f>VLOOKUP("A_S7500030",'[8]IS ACCTS'!$G$3:$ZZ$999,114,FALSE)</f>
        <v>60.7</v>
      </c>
      <c r="CA94" s="585">
        <f>VLOOKUP("A_S7500030",'[8]IS ACCTS'!$G$3:$ZZ$999,115,FALSE)</f>
        <v>60.7</v>
      </c>
      <c r="CB94" s="585">
        <f>VLOOKUP("A_S7500030",'[8]IS ACCTS'!$G$3:$ZZ$999,116,FALSE)</f>
        <v>60.8</v>
      </c>
      <c r="CC94" s="585">
        <f>VLOOKUP("A_S7500030",'[8]IS ACCTS'!$G$3:$ZZ$999,117,FALSE)</f>
        <v>60.8</v>
      </c>
      <c r="CD94" s="585">
        <f>VLOOKUP("A_S7500030",'[8]IS ACCTS'!$G$3:$ZZ$999,118,FALSE)</f>
        <v>60.9</v>
      </c>
      <c r="CE94" s="585">
        <f>VLOOKUP("A_S7500030",'[8]IS ACCTS'!$G$3:$ZZ$999,119,FALSE)</f>
        <v>60.9</v>
      </c>
      <c r="CF94" s="585">
        <f>VLOOKUP("A_S7500030",'[8]IS ACCTS'!$G$3:$ZZ$999,120,FALSE)</f>
        <v>61</v>
      </c>
      <c r="CG94" s="585">
        <f>VLOOKUP("A_S7500030",'[8]IS ACCTS'!$G$3:$ZZ$999,121,FALSE)</f>
        <v>61</v>
      </c>
      <c r="CH94" s="585">
        <f>VLOOKUP("A_S7500030",'[8]IS ACCTS'!$G$3:$ZZ$999,122,FALSE)</f>
        <v>61.1</v>
      </c>
      <c r="CI94" s="585">
        <f>VLOOKUP("A_S7500030",'[8]IS ACCTS'!$G$3:$ZZ$999,123,FALSE)</f>
        <v>61.1</v>
      </c>
    </row>
    <row r="95" spans="1:87">
      <c r="B95" s="743" t="s">
        <v>617</v>
      </c>
      <c r="C95" s="293">
        <f t="shared" ref="C95" ca="1" si="258">SUM(C93:C94)</f>
        <v>730.2</v>
      </c>
      <c r="AA95" s="33" t="e">
        <f t="shared" ref="AA95" si="259">SUM(AA93:AA93)</f>
        <v>#N/A</v>
      </c>
      <c r="AB95" s="33" t="e">
        <f t="shared" ref="AB95:AY95" si="260">SUM(AB93:AB93)</f>
        <v>#N/A</v>
      </c>
      <c r="AC95" s="33" t="e">
        <f t="shared" si="260"/>
        <v>#N/A</v>
      </c>
      <c r="AD95" s="33">
        <f t="shared" si="260"/>
        <v>55.33399</v>
      </c>
      <c r="AE95" s="33">
        <f t="shared" si="260"/>
        <v>55.16516</v>
      </c>
      <c r="AF95" s="33">
        <f t="shared" si="260"/>
        <v>55.280230000000003</v>
      </c>
      <c r="AG95" s="33">
        <f t="shared" si="260"/>
        <v>55.284570000000002</v>
      </c>
      <c r="AH95" s="33">
        <f t="shared" si="260"/>
        <v>55.091999999999999</v>
      </c>
      <c r="AI95" s="33">
        <f t="shared" si="260"/>
        <v>54.934139999999999</v>
      </c>
      <c r="AJ95" s="33">
        <f t="shared" si="260"/>
        <v>54.913050000000005</v>
      </c>
      <c r="AK95" s="33">
        <f t="shared" si="260"/>
        <v>55.028129999999997</v>
      </c>
      <c r="AL95" s="33">
        <f t="shared" si="260"/>
        <v>55.015550000000005</v>
      </c>
      <c r="AM95" s="33">
        <f t="shared" si="260"/>
        <v>42.623800000000003</v>
      </c>
      <c r="AN95" s="33">
        <f t="shared" si="260"/>
        <v>55.003349999999998</v>
      </c>
      <c r="AO95" s="33">
        <f t="shared" si="260"/>
        <v>55.161089999999994</v>
      </c>
      <c r="AP95" s="33">
        <f t="shared" si="260"/>
        <v>55.20035</v>
      </c>
      <c r="AQ95" s="33">
        <f t="shared" si="260"/>
        <v>55.19061</v>
      </c>
      <c r="AR95" s="33">
        <f t="shared" si="260"/>
        <v>55.06964</v>
      </c>
      <c r="AS95" s="33">
        <f t="shared" si="260"/>
        <v>54.910879999999999</v>
      </c>
      <c r="AT95" s="33">
        <f t="shared" si="260"/>
        <v>54.900400000000005</v>
      </c>
      <c r="AU95" s="33">
        <f t="shared" si="260"/>
        <v>54.798300000000005</v>
      </c>
      <c r="AV95" s="33">
        <f t="shared" si="260"/>
        <v>54.84346</v>
      </c>
      <c r="AW95" s="33">
        <f t="shared" si="260"/>
        <v>54.8</v>
      </c>
      <c r="AX95" s="449">
        <f t="shared" si="260"/>
        <v>54.6</v>
      </c>
      <c r="AY95" s="449">
        <f t="shared" si="260"/>
        <v>43.181760000000004</v>
      </c>
      <c r="AZ95" s="449">
        <f t="shared" ref="AZ95:BA95" si="261">SUM(AZ93:AZ93)</f>
        <v>54.454269999999994</v>
      </c>
      <c r="BA95" s="449">
        <f t="shared" si="261"/>
        <v>54.502220000000001</v>
      </c>
      <c r="BB95" s="449">
        <f t="shared" ref="BB95:BQ95" si="262">SUM(BB93:BB94)</f>
        <v>54.70138</v>
      </c>
      <c r="BC95" s="449">
        <f t="shared" si="262"/>
        <v>54.612589999999997</v>
      </c>
      <c r="BD95" s="449">
        <f t="shared" si="262"/>
        <v>54.794779999999996</v>
      </c>
      <c r="BE95" s="449">
        <f t="shared" si="262"/>
        <v>55.070860000000003</v>
      </c>
      <c r="BF95" s="449">
        <f t="shared" si="262"/>
        <v>55.4</v>
      </c>
      <c r="BG95" s="449">
        <f t="shared" si="262"/>
        <v>55.6</v>
      </c>
      <c r="BH95" s="449">
        <f t="shared" si="262"/>
        <v>56</v>
      </c>
      <c r="BI95" s="449">
        <f t="shared" si="262"/>
        <v>56.2</v>
      </c>
      <c r="BJ95" s="449">
        <f t="shared" si="262"/>
        <v>56.7</v>
      </c>
      <c r="BK95" s="449">
        <f t="shared" si="262"/>
        <v>46.8</v>
      </c>
      <c r="BL95" s="449">
        <f t="shared" si="262"/>
        <v>57.503329999999998</v>
      </c>
      <c r="BM95" s="449">
        <f t="shared" si="262"/>
        <v>57.771410000000003</v>
      </c>
      <c r="BN95" s="449">
        <f t="shared" si="262"/>
        <v>58.107459999999996</v>
      </c>
      <c r="BO95" s="449">
        <f t="shared" si="262"/>
        <v>58.306139999999999</v>
      </c>
      <c r="BP95" s="449">
        <f t="shared" si="262"/>
        <v>58.701509999999999</v>
      </c>
      <c r="BQ95" s="449">
        <f t="shared" si="262"/>
        <v>59.319919999999996</v>
      </c>
      <c r="BR95" s="449">
        <f t="shared" ref="BR95:BW95" si="263">SUM(BR93:BR94)</f>
        <v>59.722239999999999</v>
      </c>
      <c r="BS95" s="449">
        <f t="shared" si="263"/>
        <v>60.098949999999995</v>
      </c>
      <c r="BT95" s="449">
        <f t="shared" si="263"/>
        <v>60.62424</v>
      </c>
      <c r="BU95" s="449">
        <f t="shared" si="263"/>
        <v>60.904249999999998</v>
      </c>
      <c r="BV95" s="449">
        <f t="shared" si="263"/>
        <v>61.298940000000002</v>
      </c>
      <c r="BW95" s="449">
        <f t="shared" si="263"/>
        <v>51.968530000000001</v>
      </c>
      <c r="BX95" s="449">
        <f t="shared" ref="BX95:CI95" si="264">SUM(BX93:BX94)</f>
        <v>60.6</v>
      </c>
      <c r="BY95" s="449">
        <f t="shared" si="264"/>
        <v>60.6</v>
      </c>
      <c r="BZ95" s="449">
        <f t="shared" si="264"/>
        <v>60.7</v>
      </c>
      <c r="CA95" s="449">
        <f t="shared" si="264"/>
        <v>60.7</v>
      </c>
      <c r="CB95" s="449">
        <f t="shared" si="264"/>
        <v>60.8</v>
      </c>
      <c r="CC95" s="449">
        <f t="shared" si="264"/>
        <v>60.8</v>
      </c>
      <c r="CD95" s="449">
        <f t="shared" si="264"/>
        <v>60.9</v>
      </c>
      <c r="CE95" s="449">
        <f t="shared" si="264"/>
        <v>60.9</v>
      </c>
      <c r="CF95" s="449">
        <f t="shared" si="264"/>
        <v>61</v>
      </c>
      <c r="CG95" s="449">
        <f t="shared" si="264"/>
        <v>61</v>
      </c>
      <c r="CH95" s="449">
        <f t="shared" si="264"/>
        <v>61.1</v>
      </c>
      <c r="CI95" s="449">
        <f t="shared" si="264"/>
        <v>61.1</v>
      </c>
    </row>
    <row r="96" spans="1:87"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449"/>
      <c r="AY96" s="449"/>
      <c r="AZ96" s="449"/>
      <c r="BA96" s="449"/>
      <c r="BB96" s="449"/>
      <c r="BC96" s="449"/>
      <c r="BD96" s="449"/>
      <c r="BE96" s="449"/>
      <c r="BF96" s="449"/>
      <c r="BG96" s="449"/>
      <c r="BH96" s="449"/>
      <c r="BI96" s="449"/>
      <c r="BJ96" s="449"/>
      <c r="BK96" s="449"/>
      <c r="BL96" s="449"/>
      <c r="BM96" s="449"/>
      <c r="BN96" s="449"/>
      <c r="BO96" s="449"/>
      <c r="BP96" s="449"/>
      <c r="BQ96" s="449"/>
      <c r="BR96" s="449"/>
      <c r="BS96" s="449"/>
      <c r="BT96" s="449"/>
      <c r="BU96" s="449"/>
      <c r="BV96" s="449"/>
      <c r="BW96" s="449"/>
      <c r="BX96" s="449"/>
      <c r="BY96" s="449"/>
      <c r="BZ96" s="449"/>
      <c r="CA96" s="449"/>
      <c r="CB96" s="449"/>
      <c r="CC96" s="449"/>
      <c r="CD96" s="449"/>
      <c r="CE96" s="449"/>
      <c r="CF96" s="449"/>
      <c r="CG96" s="449"/>
      <c r="CH96" s="449"/>
      <c r="CI96" s="449"/>
    </row>
    <row r="97" spans="2:87">
      <c r="B97" s="375" t="s">
        <v>618</v>
      </c>
      <c r="C97" s="447"/>
      <c r="AA97" s="33" t="e">
        <f>SUM(P95:AA95)</f>
        <v>#N/A</v>
      </c>
      <c r="AB97" s="33" t="e">
        <f>SUM(Q95:AB95)</f>
        <v>#N/A</v>
      </c>
      <c r="AC97" s="33" t="e">
        <f t="shared" ref="AC97" si="265">SUM(R95:AC95)</f>
        <v>#N/A</v>
      </c>
      <c r="AD97" s="33" t="e">
        <f t="shared" ref="AD97" si="266">SUM(S95:AD95)</f>
        <v>#N/A</v>
      </c>
      <c r="AE97" s="33" t="e">
        <f t="shared" ref="AE97" si="267">SUM(T95:AE95)</f>
        <v>#N/A</v>
      </c>
      <c r="AF97" s="33" t="e">
        <f t="shared" ref="AF97" si="268">SUM(U95:AF95)</f>
        <v>#N/A</v>
      </c>
      <c r="AG97" s="33" t="e">
        <f t="shared" ref="AG97" si="269">SUM(V95:AG95)</f>
        <v>#N/A</v>
      </c>
      <c r="AH97" s="33" t="e">
        <f t="shared" ref="AH97" si="270">SUM(W95:AH95)</f>
        <v>#N/A</v>
      </c>
      <c r="AI97" s="33" t="e">
        <f t="shared" ref="AI97" si="271">SUM(X95:AI95)</f>
        <v>#N/A</v>
      </c>
      <c r="AJ97" s="33" t="e">
        <f t="shared" ref="AJ97" si="272">SUM(Y95:AJ95)</f>
        <v>#N/A</v>
      </c>
      <c r="AK97" s="33" t="e">
        <f t="shared" ref="AK97" si="273">SUM(Z95:AK95)</f>
        <v>#N/A</v>
      </c>
      <c r="AL97" s="33" t="e">
        <f t="shared" ref="AL97" si="274">SUM(AA95:AL95)</f>
        <v>#N/A</v>
      </c>
      <c r="AM97" s="33" t="e">
        <f t="shared" ref="AM97" si="275">SUM(AB95:AM95)</f>
        <v>#N/A</v>
      </c>
      <c r="AN97" s="33" t="e">
        <f>SUM(AC95:AN95)</f>
        <v>#N/A</v>
      </c>
      <c r="AO97" s="33">
        <f t="shared" ref="AO97" si="276">SUM(AD95:AO95)</f>
        <v>648.83505999999988</v>
      </c>
      <c r="AP97" s="33">
        <f t="shared" ref="AP97" si="277">SUM(AE95:AP95)</f>
        <v>648.70141999999987</v>
      </c>
      <c r="AQ97" s="33">
        <f t="shared" ref="AQ97" si="278">SUM(AF95:AQ95)</f>
        <v>648.72686999999996</v>
      </c>
      <c r="AR97" s="33">
        <f t="shared" ref="AR97" si="279">SUM(AG95:AR95)</f>
        <v>648.51628000000005</v>
      </c>
      <c r="AS97" s="33">
        <f t="shared" ref="AS97" si="280">SUM(AH95:AS95)</f>
        <v>648.14259000000015</v>
      </c>
      <c r="AT97" s="33">
        <f t="shared" ref="AT97" si="281">SUM(AI95:AT95)</f>
        <v>647.95099000000005</v>
      </c>
      <c r="AU97" s="33">
        <f t="shared" ref="AU97" si="282">SUM(AJ95:AU95)</f>
        <v>647.81515000000002</v>
      </c>
      <c r="AV97" s="33">
        <f t="shared" ref="AV97" si="283">SUM(AK95:AV95)</f>
        <v>647.74556000000018</v>
      </c>
      <c r="AW97" s="33">
        <f t="shared" ref="AW97" si="284">SUM(AL95:AW95)</f>
        <v>647.51742999999999</v>
      </c>
      <c r="AX97" s="33">
        <f t="shared" ref="AX97" si="285">SUM(AM95:AX95)</f>
        <v>647.10187999999994</v>
      </c>
      <c r="AY97" s="33">
        <f>SUM(AN95:AY95)</f>
        <v>647.65984000000003</v>
      </c>
      <c r="AZ97" s="33">
        <f t="shared" ref="AZ97:BH97" si="286">SUM(AO95:AZ95)</f>
        <v>647.11075999999991</v>
      </c>
      <c r="BA97" s="33">
        <f t="shared" si="286"/>
        <v>646.45188999999993</v>
      </c>
      <c r="BB97" s="33">
        <f t="shared" si="286"/>
        <v>645.95291999999995</v>
      </c>
      <c r="BC97" s="33">
        <f t="shared" si="286"/>
        <v>645.37490000000003</v>
      </c>
      <c r="BD97" s="33">
        <f t="shared" si="286"/>
        <v>645.10003999999992</v>
      </c>
      <c r="BE97" s="33">
        <f t="shared" si="286"/>
        <v>645.26001999999994</v>
      </c>
      <c r="BF97" s="33">
        <f t="shared" si="286"/>
        <v>645.75962000000004</v>
      </c>
      <c r="BG97" s="33">
        <f t="shared" si="286"/>
        <v>646.56132000000002</v>
      </c>
      <c r="BH97" s="33">
        <f t="shared" si="286"/>
        <v>647.71786000000009</v>
      </c>
      <c r="BI97" s="33">
        <f>SUM(AX95:BI95)</f>
        <v>649.11785999999995</v>
      </c>
      <c r="BJ97" s="33">
        <f t="shared" ref="BJ97" si="287">SUM(AY95:BJ95)</f>
        <v>651.21786000000009</v>
      </c>
      <c r="BK97" s="33">
        <f t="shared" ref="BK97" si="288">SUM(AZ95:BK95)</f>
        <v>654.83609999999999</v>
      </c>
      <c r="BL97" s="33">
        <f t="shared" ref="BL97" si="289">SUM(BA95:BL95)</f>
        <v>657.88515999999993</v>
      </c>
      <c r="BM97" s="33">
        <f t="shared" ref="BM97" si="290">SUM(BB95:BM95)</f>
        <v>661.15435000000002</v>
      </c>
      <c r="BN97" s="33">
        <f t="shared" ref="BN97" si="291">SUM(BC95:BN95)</f>
        <v>664.56043</v>
      </c>
      <c r="BO97" s="33">
        <f t="shared" ref="BO97" si="292">SUM(BD95:BO95)</f>
        <v>668.25397999999996</v>
      </c>
      <c r="BP97" s="33">
        <f t="shared" ref="BP97" si="293">SUM(BE95:BP95)</f>
        <v>672.16070999999999</v>
      </c>
      <c r="BQ97" s="33">
        <f t="shared" ref="BQ97" si="294">SUM(BF95:BQ95)</f>
        <v>676.40976999999998</v>
      </c>
      <c r="BR97" s="33">
        <f t="shared" ref="BR97" si="295">SUM(BG95:BR95)</f>
        <v>680.73200999999995</v>
      </c>
      <c r="BS97" s="33">
        <f t="shared" ref="BS97" si="296">SUM(BH95:BS95)</f>
        <v>685.23095999999998</v>
      </c>
      <c r="BT97" s="33">
        <f t="shared" ref="BT97" si="297">SUM(BI95:BT95)</f>
        <v>689.85519999999997</v>
      </c>
      <c r="BU97" s="33">
        <f t="shared" ref="BU97" si="298">SUM(BJ95:BU95)</f>
        <v>694.55944999999997</v>
      </c>
      <c r="BV97" s="33">
        <f t="shared" ref="BV97" si="299">SUM(BK95:BV95)</f>
        <v>699.15839000000005</v>
      </c>
      <c r="BW97" s="33">
        <f>SUM(BL95:BW95)</f>
        <v>704.32692000000009</v>
      </c>
      <c r="BX97" s="33">
        <f t="shared" ref="BX97:CI97" si="300">SUM(BM95:BX95)</f>
        <v>707.4235900000001</v>
      </c>
      <c r="BY97" s="33">
        <f t="shared" si="300"/>
        <v>710.25218000000007</v>
      </c>
      <c r="BZ97" s="33">
        <f t="shared" si="300"/>
        <v>712.84472000000005</v>
      </c>
      <c r="CA97" s="33">
        <f t="shared" si="300"/>
        <v>715.23858000000007</v>
      </c>
      <c r="CB97" s="33">
        <f t="shared" si="300"/>
        <v>717.33707000000004</v>
      </c>
      <c r="CC97" s="33">
        <f t="shared" si="300"/>
        <v>718.81714999999997</v>
      </c>
      <c r="CD97" s="33">
        <f t="shared" si="300"/>
        <v>719.99490999999989</v>
      </c>
      <c r="CE97" s="33">
        <f t="shared" si="300"/>
        <v>720.79595999999992</v>
      </c>
      <c r="CF97" s="33">
        <f t="shared" si="300"/>
        <v>721.17171999999994</v>
      </c>
      <c r="CG97" s="33">
        <f t="shared" si="300"/>
        <v>721.26747</v>
      </c>
      <c r="CH97" s="33">
        <f t="shared" si="300"/>
        <v>721.06853000000001</v>
      </c>
      <c r="CI97" s="33">
        <f t="shared" si="300"/>
        <v>730.2</v>
      </c>
    </row>
    <row r="98" spans="2:87">
      <c r="B98" s="37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</row>
    <row r="99" spans="2:87" ht="15">
      <c r="B99" s="375" t="s">
        <v>619</v>
      </c>
      <c r="C99" s="744">
        <f ca="1">ROUND(C95/C85,4)</f>
        <v>2.52E-2</v>
      </c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 t="e">
        <f t="shared" ref="AM99" si="301">ROUND(AM97/AM87,4)</f>
        <v>#N/A</v>
      </c>
      <c r="AN99" s="209" t="e">
        <f t="shared" ref="AN99:AX99" si="302">ROUND(AN97/AN87,4)</f>
        <v>#N/A</v>
      </c>
      <c r="AO99" s="209">
        <f t="shared" si="302"/>
        <v>2.46E-2</v>
      </c>
      <c r="AP99" s="209">
        <f t="shared" si="302"/>
        <v>2.46E-2</v>
      </c>
      <c r="AQ99" s="209">
        <f t="shared" si="302"/>
        <v>2.47E-2</v>
      </c>
      <c r="AR99" s="209">
        <f t="shared" si="302"/>
        <v>2.47E-2</v>
      </c>
      <c r="AS99" s="209">
        <f t="shared" si="302"/>
        <v>2.47E-2</v>
      </c>
      <c r="AT99" s="209">
        <f t="shared" si="302"/>
        <v>2.47E-2</v>
      </c>
      <c r="AU99" s="209">
        <f t="shared" si="302"/>
        <v>2.47E-2</v>
      </c>
      <c r="AV99" s="209">
        <f t="shared" si="302"/>
        <v>2.47E-2</v>
      </c>
      <c r="AW99" s="209">
        <f t="shared" si="302"/>
        <v>2.47E-2</v>
      </c>
      <c r="AX99" s="756">
        <f t="shared" si="302"/>
        <v>2.47E-2</v>
      </c>
      <c r="AY99" s="756">
        <f>ROUND(AY97/AY87,4)</f>
        <v>2.4799999999999999E-2</v>
      </c>
      <c r="AZ99" s="756">
        <f t="shared" ref="AZ99:BH99" si="303">ROUND(AZ97/AZ87,4)</f>
        <v>2.4799999999999999E-2</v>
      </c>
      <c r="BA99" s="756">
        <f t="shared" si="303"/>
        <v>2.4799999999999999E-2</v>
      </c>
      <c r="BB99" s="756">
        <f t="shared" si="303"/>
        <v>2.4799999999999999E-2</v>
      </c>
      <c r="BC99" s="756">
        <f t="shared" si="303"/>
        <v>2.4799999999999999E-2</v>
      </c>
      <c r="BD99" s="756">
        <f t="shared" si="303"/>
        <v>2.4799999999999999E-2</v>
      </c>
      <c r="BE99" s="756">
        <f t="shared" si="303"/>
        <v>2.4799999999999999E-2</v>
      </c>
      <c r="BF99" s="756">
        <f t="shared" si="303"/>
        <v>2.4799999999999999E-2</v>
      </c>
      <c r="BG99" s="756">
        <f t="shared" si="303"/>
        <v>2.4799999999999999E-2</v>
      </c>
      <c r="BH99" s="756">
        <f t="shared" si="303"/>
        <v>2.4799999999999999E-2</v>
      </c>
      <c r="BI99" s="756">
        <f>ROUND(BI97/BI87,4)</f>
        <v>2.4799999999999999E-2</v>
      </c>
      <c r="BJ99" s="756">
        <f t="shared" ref="BJ99:BK99" si="304">ROUND(BJ97/BJ87,4)</f>
        <v>2.4899999999999999E-2</v>
      </c>
      <c r="BK99" s="756">
        <f t="shared" si="304"/>
        <v>2.4899999999999999E-2</v>
      </c>
      <c r="BL99" s="756">
        <f t="shared" ref="BL99:BV99" si="305">ROUND(BL97/BL87,4)</f>
        <v>2.4899999999999999E-2</v>
      </c>
      <c r="BM99" s="756">
        <f t="shared" si="305"/>
        <v>2.4899999999999999E-2</v>
      </c>
      <c r="BN99" s="756">
        <f t="shared" si="305"/>
        <v>2.4899999999999999E-2</v>
      </c>
      <c r="BO99" s="756">
        <f t="shared" si="305"/>
        <v>2.4899999999999999E-2</v>
      </c>
      <c r="BP99" s="756">
        <f t="shared" si="305"/>
        <v>2.4899999999999999E-2</v>
      </c>
      <c r="BQ99" s="756">
        <f t="shared" si="305"/>
        <v>2.4899999999999999E-2</v>
      </c>
      <c r="BR99" s="756">
        <f t="shared" si="305"/>
        <v>2.4899999999999999E-2</v>
      </c>
      <c r="BS99" s="756">
        <f t="shared" si="305"/>
        <v>2.4899999999999999E-2</v>
      </c>
      <c r="BT99" s="756">
        <f t="shared" si="305"/>
        <v>2.4799999999999999E-2</v>
      </c>
      <c r="BU99" s="756">
        <f t="shared" si="305"/>
        <v>2.4799999999999999E-2</v>
      </c>
      <c r="BV99" s="756">
        <f t="shared" si="305"/>
        <v>2.4799999999999999E-2</v>
      </c>
      <c r="BW99" s="756">
        <f>ROUND(BW97/BW87,4)</f>
        <v>2.4799999999999999E-2</v>
      </c>
      <c r="BX99" s="756">
        <f t="shared" ref="BX99:CI99" si="306">ROUND(BX97/BX87,4)</f>
        <v>2.4799999999999999E-2</v>
      </c>
      <c r="BY99" s="756">
        <f t="shared" si="306"/>
        <v>2.4799999999999999E-2</v>
      </c>
      <c r="BZ99" s="756">
        <f t="shared" si="306"/>
        <v>2.4799999999999999E-2</v>
      </c>
      <c r="CA99" s="756">
        <f t="shared" si="306"/>
        <v>2.4799999999999999E-2</v>
      </c>
      <c r="CB99" s="756">
        <f t="shared" si="306"/>
        <v>2.4799999999999999E-2</v>
      </c>
      <c r="CC99" s="756">
        <f t="shared" si="306"/>
        <v>2.4799999999999999E-2</v>
      </c>
      <c r="CD99" s="756">
        <f t="shared" si="306"/>
        <v>2.4799999999999999E-2</v>
      </c>
      <c r="CE99" s="756">
        <f t="shared" si="306"/>
        <v>2.4799999999999999E-2</v>
      </c>
      <c r="CF99" s="756">
        <f t="shared" si="306"/>
        <v>2.4799999999999999E-2</v>
      </c>
      <c r="CG99" s="756">
        <f t="shared" si="306"/>
        <v>2.4899999999999999E-2</v>
      </c>
      <c r="CH99" s="756">
        <f t="shared" si="306"/>
        <v>2.4899999999999999E-2</v>
      </c>
      <c r="CI99" s="756">
        <f t="shared" si="306"/>
        <v>2.52E-2</v>
      </c>
    </row>
    <row r="100" spans="2:87">
      <c r="B100" s="375"/>
      <c r="C100" s="37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447"/>
      <c r="AY100" s="447"/>
      <c r="AZ100" s="447"/>
      <c r="BA100" s="447"/>
      <c r="BB100" s="447"/>
      <c r="BC100" s="447"/>
      <c r="BD100" s="447"/>
      <c r="BE100" s="447"/>
      <c r="BF100" s="447"/>
      <c r="BG100" s="447"/>
      <c r="BH100" s="447"/>
      <c r="BI100" s="447"/>
      <c r="BJ100" s="447"/>
      <c r="BK100" s="447"/>
      <c r="BL100" s="447"/>
      <c r="BM100" s="447"/>
      <c r="BN100" s="447"/>
      <c r="BO100" s="447"/>
      <c r="BP100" s="447"/>
      <c r="BQ100" s="447"/>
      <c r="BR100" s="447"/>
      <c r="BS100" s="447"/>
      <c r="BT100" s="447"/>
      <c r="BU100" s="447"/>
      <c r="BV100" s="447"/>
      <c r="BW100" s="447"/>
      <c r="BX100" s="447"/>
      <c r="BY100" s="447"/>
      <c r="BZ100" s="447"/>
      <c r="CA100" s="447"/>
      <c r="CB100" s="447"/>
      <c r="CC100" s="447"/>
      <c r="CD100" s="447"/>
      <c r="CE100" s="447"/>
      <c r="CF100" s="447"/>
      <c r="CG100" s="447"/>
      <c r="CH100" s="447"/>
      <c r="CI100" s="447"/>
    </row>
    <row r="101" spans="2:87" ht="15">
      <c r="B101" s="375" t="s">
        <v>620</v>
      </c>
      <c r="C101" s="744">
        <f>+CI101</f>
        <v>2.52E-2</v>
      </c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 t="e">
        <f t="shared" ref="AM101" si="307">ROUND(AM97/AM85,4)</f>
        <v>#N/A</v>
      </c>
      <c r="AN101" s="209" t="e">
        <f t="shared" ref="AN101:AX101" si="308">ROUND(AN97/AN85,4)</f>
        <v>#N/A</v>
      </c>
      <c r="AO101" s="209">
        <f t="shared" si="308"/>
        <v>2.46E-2</v>
      </c>
      <c r="AP101" s="209">
        <f t="shared" si="308"/>
        <v>2.46E-2</v>
      </c>
      <c r="AQ101" s="209">
        <f t="shared" si="308"/>
        <v>2.47E-2</v>
      </c>
      <c r="AR101" s="209">
        <f t="shared" si="308"/>
        <v>2.4799999999999999E-2</v>
      </c>
      <c r="AS101" s="209">
        <f t="shared" si="308"/>
        <v>2.4799999999999999E-2</v>
      </c>
      <c r="AT101" s="209">
        <f t="shared" si="308"/>
        <v>2.4799999999999999E-2</v>
      </c>
      <c r="AU101" s="209">
        <f t="shared" si="308"/>
        <v>2.4899999999999999E-2</v>
      </c>
      <c r="AV101" s="209">
        <f t="shared" si="308"/>
        <v>2.4899999999999999E-2</v>
      </c>
      <c r="AW101" s="209">
        <f t="shared" si="308"/>
        <v>2.4899999999999999E-2</v>
      </c>
      <c r="AX101" s="756">
        <f t="shared" si="308"/>
        <v>2.4899999999999999E-2</v>
      </c>
      <c r="AY101" s="756">
        <f>ROUND(AY97/AY85,4)</f>
        <v>2.52E-2</v>
      </c>
      <c r="AZ101" s="756">
        <f t="shared" ref="AZ101:BH101" si="309">ROUND(AZ97/AZ85,4)</f>
        <v>2.5000000000000001E-2</v>
      </c>
      <c r="BA101" s="756">
        <f t="shared" si="309"/>
        <v>2.4899999999999999E-2</v>
      </c>
      <c r="BB101" s="756">
        <f t="shared" si="309"/>
        <v>2.4799999999999999E-2</v>
      </c>
      <c r="BC101" s="756">
        <f t="shared" si="309"/>
        <v>2.4899999999999999E-2</v>
      </c>
      <c r="BD101" s="756">
        <f t="shared" si="309"/>
        <v>2.4799999999999999E-2</v>
      </c>
      <c r="BE101" s="756">
        <f t="shared" si="309"/>
        <v>2.47E-2</v>
      </c>
      <c r="BF101" s="756">
        <f t="shared" si="309"/>
        <v>2.4500000000000001E-2</v>
      </c>
      <c r="BG101" s="756">
        <f t="shared" si="309"/>
        <v>2.4500000000000001E-2</v>
      </c>
      <c r="BH101" s="756">
        <f t="shared" si="309"/>
        <v>2.4400000000000002E-2</v>
      </c>
      <c r="BI101" s="756">
        <f>ROUND(BI97/BI85,4)</f>
        <v>2.4299999999999999E-2</v>
      </c>
      <c r="BJ101" s="756">
        <f t="shared" ref="BJ101:BK101" si="310">ROUND(BJ97/BJ85,4)</f>
        <v>2.4199999999999999E-2</v>
      </c>
      <c r="BK101" s="756">
        <f t="shared" si="310"/>
        <v>2.4199999999999999E-2</v>
      </c>
      <c r="BL101" s="756">
        <f t="shared" ref="BL101:BW101" si="311">ROUND(BL97/BL85,4)</f>
        <v>2.4E-2</v>
      </c>
      <c r="BM101" s="756">
        <f t="shared" si="311"/>
        <v>2.4E-2</v>
      </c>
      <c r="BN101" s="756">
        <f t="shared" si="311"/>
        <v>2.4E-2</v>
      </c>
      <c r="BO101" s="756">
        <f t="shared" si="311"/>
        <v>2.4E-2</v>
      </c>
      <c r="BP101" s="756">
        <f t="shared" si="311"/>
        <v>2.3900000000000001E-2</v>
      </c>
      <c r="BQ101" s="756">
        <f t="shared" si="311"/>
        <v>2.3800000000000002E-2</v>
      </c>
      <c r="BR101" s="756">
        <f t="shared" si="311"/>
        <v>2.3800000000000002E-2</v>
      </c>
      <c r="BS101" s="756">
        <f t="shared" si="311"/>
        <v>2.3699999999999999E-2</v>
      </c>
      <c r="BT101" s="756">
        <f t="shared" si="311"/>
        <v>2.3699999999999999E-2</v>
      </c>
      <c r="BU101" s="756">
        <f t="shared" si="311"/>
        <v>2.3699999999999999E-2</v>
      </c>
      <c r="BV101" s="756">
        <f t="shared" si="311"/>
        <v>2.3699999999999999E-2</v>
      </c>
      <c r="BW101" s="756">
        <f t="shared" si="311"/>
        <v>2.35E-2</v>
      </c>
      <c r="BX101" s="756">
        <f t="shared" ref="BX101:CI101" si="312">ROUND(BX97/BX85,4)</f>
        <v>2.46E-2</v>
      </c>
      <c r="BY101" s="756">
        <f t="shared" si="312"/>
        <v>2.47E-2</v>
      </c>
      <c r="BZ101" s="756">
        <f t="shared" si="312"/>
        <v>2.4799999999999999E-2</v>
      </c>
      <c r="CA101" s="756">
        <f t="shared" si="312"/>
        <v>2.4799999999999999E-2</v>
      </c>
      <c r="CB101" s="756">
        <f t="shared" si="312"/>
        <v>2.4899999999999999E-2</v>
      </c>
      <c r="CC101" s="756">
        <f t="shared" si="312"/>
        <v>2.4899999999999999E-2</v>
      </c>
      <c r="CD101" s="756">
        <f t="shared" si="312"/>
        <v>2.4899999999999999E-2</v>
      </c>
      <c r="CE101" s="756">
        <f t="shared" si="312"/>
        <v>2.4899999999999999E-2</v>
      </c>
      <c r="CF101" s="756">
        <f t="shared" si="312"/>
        <v>2.4899999999999999E-2</v>
      </c>
      <c r="CG101" s="756">
        <f t="shared" si="312"/>
        <v>2.4899999999999999E-2</v>
      </c>
      <c r="CH101" s="756">
        <f t="shared" si="312"/>
        <v>2.4899999999999999E-2</v>
      </c>
      <c r="CI101" s="756">
        <f t="shared" si="312"/>
        <v>2.52E-2</v>
      </c>
    </row>
    <row r="103" spans="2:87">
      <c r="AJ103" s="448"/>
      <c r="AK103" s="448"/>
      <c r="AL103" s="448"/>
      <c r="AM103" s="448"/>
      <c r="AN103" s="448"/>
      <c r="AO103" s="448"/>
      <c r="AP103" s="448"/>
      <c r="AQ103" s="448"/>
    </row>
  </sheetData>
  <pageMargins left="0.25" right="0.25" top="0.75" bottom="0.75" header="0.3" footer="0.3"/>
  <pageSetup paperSize="5" scale="4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C000"/>
  </sheetPr>
  <dimension ref="A1:E50"/>
  <sheetViews>
    <sheetView workbookViewId="0">
      <selection activeCell="B18" sqref="B18"/>
    </sheetView>
  </sheetViews>
  <sheetFormatPr defaultRowHeight="12.75"/>
  <cols>
    <col min="1" max="1" width="43" customWidth="1"/>
    <col min="2" max="2" width="21.28515625" customWidth="1"/>
    <col min="3" max="3" width="17.140625" customWidth="1"/>
    <col min="4" max="4" width="9" bestFit="1" customWidth="1"/>
    <col min="5" max="5" width="7.85546875" bestFit="1" customWidth="1"/>
  </cols>
  <sheetData>
    <row r="1" spans="1:5" ht="15.75">
      <c r="A1" s="750" t="s">
        <v>621</v>
      </c>
      <c r="B1" s="751"/>
      <c r="C1" s="752"/>
      <c r="D1" s="68"/>
      <c r="E1" s="68"/>
    </row>
    <row r="2" spans="1:5" ht="15.75">
      <c r="A2" s="657"/>
      <c r="B2" s="68"/>
      <c r="C2" s="658"/>
      <c r="D2" s="68"/>
      <c r="E2" s="68"/>
    </row>
    <row r="3" spans="1:5" ht="15.75">
      <c r="A3" s="659"/>
      <c r="B3" s="536" t="s">
        <v>622</v>
      </c>
      <c r="C3" s="660" t="s">
        <v>623</v>
      </c>
      <c r="D3" s="68"/>
      <c r="E3" s="68"/>
    </row>
    <row r="4" spans="1:5" ht="15.75">
      <c r="A4" s="659" t="s">
        <v>624</v>
      </c>
      <c r="B4" s="537">
        <f ca="1">+Report!B160+Report!D160+Report!F160</f>
        <v>577911.98073049297</v>
      </c>
      <c r="C4" s="661">
        <f>+'Report YE'!B156+'Report YE'!D156+'Report YE'!F156</f>
        <v>770953.90663803695</v>
      </c>
      <c r="D4" s="68">
        <v>160</v>
      </c>
    </row>
    <row r="5" spans="1:5" ht="15.75">
      <c r="A5" s="659" t="s">
        <v>625</v>
      </c>
      <c r="B5" s="537">
        <f ca="1">+Report!B162+Report!D162+Report!F162</f>
        <v>218515.36800790299</v>
      </c>
      <c r="C5" s="661">
        <f>+'Report YE'!B158+'Report YE'!D158+'Report YE'!F158</f>
        <v>100705.78356731033</v>
      </c>
      <c r="D5" s="68"/>
    </row>
    <row r="6" spans="1:5" ht="15.75">
      <c r="A6" s="662"/>
      <c r="B6" s="556">
        <f ca="1">SUM(B4:B5)</f>
        <v>796427.34873839596</v>
      </c>
      <c r="C6" s="663">
        <f>SUM(C4:C5)</f>
        <v>871659.69020534726</v>
      </c>
      <c r="D6" s="68"/>
    </row>
    <row r="7" spans="1:5">
      <c r="A7" s="664"/>
      <c r="B7" s="3"/>
      <c r="C7" s="665"/>
    </row>
    <row r="8" spans="1:5" ht="15">
      <c r="A8" s="659" t="s">
        <v>626</v>
      </c>
      <c r="B8" s="487">
        <f ca="1">+B4/B6</f>
        <v>0.72563050684529018</v>
      </c>
      <c r="C8" s="666">
        <f>+C4/C6</f>
        <v>0.88446662763126527</v>
      </c>
    </row>
    <row r="9" spans="1:5" ht="15">
      <c r="A9" s="659" t="s">
        <v>627</v>
      </c>
      <c r="B9" s="557">
        <f ca="1">+B5/B6</f>
        <v>0.27436949315470976</v>
      </c>
      <c r="C9" s="667">
        <f>+C5/C6</f>
        <v>0.1155333723687347</v>
      </c>
    </row>
    <row r="10" spans="1:5" ht="15">
      <c r="A10" s="664"/>
      <c r="B10" s="487">
        <f ca="1">SUM(B8:B9)</f>
        <v>1</v>
      </c>
      <c r="C10" s="666">
        <f>SUM(C8:C9)</f>
        <v>1</v>
      </c>
    </row>
    <row r="11" spans="1:5">
      <c r="A11" s="664"/>
      <c r="B11" s="3"/>
      <c r="C11" s="665"/>
    </row>
    <row r="12" spans="1:5" ht="15">
      <c r="A12" s="659" t="s">
        <v>628</v>
      </c>
      <c r="B12" s="537">
        <f ca="1">B4+B5+Report!B166+Report!D166+Report!F166</f>
        <v>1759457.3518526822</v>
      </c>
      <c r="C12" s="661">
        <f>C4+C5+'Report YE'!B162+'Report YE'!D162+'Report YE'!F162</f>
        <v>1924954.8618445871</v>
      </c>
    </row>
    <row r="13" spans="1:5" ht="15">
      <c r="A13" s="668"/>
      <c r="B13" s="3"/>
      <c r="C13" s="665"/>
      <c r="E13" s="190"/>
    </row>
    <row r="14" spans="1:5" ht="15">
      <c r="A14" s="659" t="s">
        <v>629</v>
      </c>
      <c r="B14" s="538">
        <v>0.54700000000000004</v>
      </c>
      <c r="C14" s="669">
        <v>0.54700000000000004</v>
      </c>
      <c r="E14" s="190"/>
    </row>
    <row r="15" spans="1:5" ht="15">
      <c r="A15" s="659" t="s">
        <v>630</v>
      </c>
      <c r="B15" s="487">
        <f ca="1">Report!H166/(Report!H160+Report!H162+Report!H166)</f>
        <v>0.54699999999999993</v>
      </c>
      <c r="C15" s="666">
        <f>+'Report YE'!H162/('Report YE'!H156+'Report YE'!H158+'Report YE'!H162)</f>
        <v>0.54700000000000004</v>
      </c>
      <c r="E15" s="190"/>
    </row>
    <row r="16" spans="1:5" ht="15">
      <c r="A16" s="668"/>
      <c r="B16" s="3"/>
      <c r="C16" s="665"/>
      <c r="E16" s="190"/>
    </row>
    <row r="17" spans="1:3" ht="15">
      <c r="A17" s="659" t="s">
        <v>631</v>
      </c>
      <c r="B17" s="539">
        <f ca="1">(1-(B6/B12)-B14)*B12</f>
        <v>606.83165086907172</v>
      </c>
      <c r="C17" s="670">
        <f>(1-(C6/C12)-C14)*C12</f>
        <v>344.86221025074406</v>
      </c>
    </row>
    <row r="18" spans="1:3">
      <c r="A18" s="638"/>
      <c r="C18" s="637"/>
    </row>
    <row r="19" spans="1:3" ht="15">
      <c r="A19" s="671" t="s">
        <v>550</v>
      </c>
      <c r="B19" s="672">
        <f ca="1">Report!H171-Report!T92</f>
        <v>0</v>
      </c>
      <c r="C19" s="673">
        <f>'Report YE'!H167-'Report YE'!T90</f>
        <v>0</v>
      </c>
    </row>
    <row r="21" spans="1:3" ht="15.75">
      <c r="A21" s="750" t="s">
        <v>632</v>
      </c>
      <c r="B21" s="753"/>
      <c r="C21" s="754"/>
    </row>
    <row r="22" spans="1:3" ht="15">
      <c r="A22" s="755" t="s">
        <v>633</v>
      </c>
      <c r="B22" s="536"/>
      <c r="C22" s="660"/>
    </row>
    <row r="23" spans="1:3" ht="15">
      <c r="A23" s="638"/>
      <c r="B23" s="536" t="s">
        <v>634</v>
      </c>
      <c r="C23" s="660" t="s">
        <v>635</v>
      </c>
    </row>
    <row r="24" spans="1:3" ht="15">
      <c r="A24" s="659" t="str">
        <f>+Report!A160</f>
        <v>LONG TERM DEBT</v>
      </c>
      <c r="B24" s="537">
        <f ca="1">+Report!B160+Report!D160</f>
        <v>627256.03426739899</v>
      </c>
      <c r="C24" s="666">
        <f ca="1">+B24/$B$30</f>
        <v>0.32846035177946209</v>
      </c>
    </row>
    <row r="25" spans="1:3" ht="15">
      <c r="A25" s="659" t="str">
        <f>+Report!A162</f>
        <v>SHORT TERM DEBT</v>
      </c>
      <c r="B25" s="537">
        <f ca="1">+Report!B162+Report!D162</f>
        <v>237172.93936330199</v>
      </c>
      <c r="C25" s="666">
        <f t="shared" ref="C25:C30" ca="1" si="0">+B25/$B$30</f>
        <v>0.12419475117018906</v>
      </c>
    </row>
    <row r="26" spans="1:3" ht="15">
      <c r="A26" s="659" t="str">
        <f>+Report!A164</f>
        <v>CUSTOMER DEPOSITS</v>
      </c>
      <c r="B26" s="537">
        <v>0</v>
      </c>
      <c r="C26" s="666">
        <v>0</v>
      </c>
    </row>
    <row r="27" spans="1:3" ht="15">
      <c r="A27" s="659" t="str">
        <f>+Report!A166</f>
        <v>COMMON EQUITY</v>
      </c>
      <c r="B27" s="537">
        <f ca="1">+Report!B166+Report!D166</f>
        <v>1045256.7186276972</v>
      </c>
      <c r="C27" s="666">
        <f t="shared" ca="1" si="0"/>
        <v>0.54734489705034894</v>
      </c>
    </row>
    <row r="28" spans="1:3" ht="15">
      <c r="A28" s="659" t="str">
        <f>+Report!A168</f>
        <v>DEFERRED INCOME TAX</v>
      </c>
      <c r="B28" s="537">
        <v>0</v>
      </c>
      <c r="C28" s="666">
        <v>0</v>
      </c>
    </row>
    <row r="29" spans="1:3" ht="15">
      <c r="A29" s="659" t="str">
        <f>+Report!A170</f>
        <v>TAX CREDITS - WEIGHTED COST</v>
      </c>
      <c r="B29" s="537">
        <v>0</v>
      </c>
      <c r="C29" s="666">
        <v>0</v>
      </c>
    </row>
    <row r="30" spans="1:3" ht="15">
      <c r="A30" s="675" t="str">
        <f>+Report!A171</f>
        <v>TOTAL</v>
      </c>
      <c r="B30" s="676">
        <f ca="1">SUM(B24:B27)</f>
        <v>1909685.692258398</v>
      </c>
      <c r="C30" s="677">
        <f t="shared" ca="1" si="0"/>
        <v>1</v>
      </c>
    </row>
    <row r="32" spans="1:3" ht="15.75">
      <c r="A32" s="750" t="s">
        <v>632</v>
      </c>
      <c r="B32" s="753"/>
      <c r="C32" s="754"/>
    </row>
    <row r="33" spans="1:3">
      <c r="A33" s="755" t="s">
        <v>636</v>
      </c>
      <c r="C33" s="637"/>
    </row>
    <row r="34" spans="1:3" ht="15">
      <c r="A34" s="674"/>
      <c r="B34" s="536" t="s">
        <v>634</v>
      </c>
      <c r="C34" s="660" t="s">
        <v>635</v>
      </c>
    </row>
    <row r="35" spans="1:3" ht="15">
      <c r="A35" s="659" t="str">
        <f>+Report!A160</f>
        <v>LONG TERM DEBT</v>
      </c>
      <c r="B35" s="537">
        <f ca="1">+Report!B160+Report!D160</f>
        <v>627256.03426739899</v>
      </c>
      <c r="C35" s="666">
        <f ca="1">+B35/$B$41</f>
        <v>0.28577195763467866</v>
      </c>
    </row>
    <row r="36" spans="1:3" ht="15">
      <c r="A36" s="659" t="str">
        <f>+Report!A162</f>
        <v>SHORT TERM DEBT</v>
      </c>
      <c r="B36" s="537">
        <f ca="1">+Report!B162+Report!D162</f>
        <v>237172.93936330199</v>
      </c>
      <c r="C36" s="666">
        <f t="shared" ref="C36:C41" ca="1" si="1">+B36/$B$41</f>
        <v>0.10805376349863582</v>
      </c>
    </row>
    <row r="37" spans="1:3" ht="15">
      <c r="A37" s="659" t="str">
        <f>+Report!A164</f>
        <v>CUSTOMER DEPOSITS</v>
      </c>
      <c r="B37" s="537">
        <f ca="1">+Report!B164+Report!D164</f>
        <v>28951.612725384606</v>
      </c>
      <c r="C37" s="666">
        <f t="shared" ca="1" si="1"/>
        <v>1.3190082826189629E-2</v>
      </c>
    </row>
    <row r="38" spans="1:3" ht="15">
      <c r="A38" s="659" t="str">
        <f>+Report!A166</f>
        <v>COMMON EQUITY</v>
      </c>
      <c r="B38" s="537">
        <f ca="1">+Report!B166+Report!D166</f>
        <v>1045256.7186276972</v>
      </c>
      <c r="C38" s="666">
        <f t="shared" ca="1" si="1"/>
        <v>0.47620914330765873</v>
      </c>
    </row>
    <row r="39" spans="1:3" ht="15">
      <c r="A39" s="659" t="str">
        <f>+Report!A168</f>
        <v>DEFERRED INCOME TAX</v>
      </c>
      <c r="B39" s="537">
        <f ca="1">+Report!B168+Report!D168</f>
        <v>253257.32912839873</v>
      </c>
      <c r="C39" s="666">
        <f t="shared" ca="1" si="1"/>
        <v>0.11538166040105353</v>
      </c>
    </row>
    <row r="40" spans="1:3" ht="15">
      <c r="A40" s="659" t="str">
        <f>+Report!A170</f>
        <v>TAX CREDITS - WEIGHTED COST</v>
      </c>
      <c r="B40" s="537">
        <f ca="1">+Report!B170+Report!D170</f>
        <v>3058.4307692307698</v>
      </c>
      <c r="C40" s="666">
        <f t="shared" ca="1" si="1"/>
        <v>1.3933923317836453E-3</v>
      </c>
    </row>
    <row r="41" spans="1:3" ht="15">
      <c r="A41" s="675" t="str">
        <f>+Report!A171</f>
        <v>TOTAL</v>
      </c>
      <c r="B41" s="676">
        <f ca="1">+Report!B171+Report!D171</f>
        <v>2194953.0648814123</v>
      </c>
      <c r="C41" s="677">
        <f t="shared" ca="1" si="1"/>
        <v>1</v>
      </c>
    </row>
    <row r="43" spans="1:3" ht="15.75">
      <c r="A43" s="750" t="s">
        <v>637</v>
      </c>
      <c r="B43" s="753"/>
      <c r="C43" s="754"/>
    </row>
    <row r="44" spans="1:3">
      <c r="A44" s="638"/>
      <c r="C44" s="637"/>
    </row>
    <row r="45" spans="1:3" ht="15">
      <c r="A45" s="638"/>
      <c r="B45" s="536" t="s">
        <v>634</v>
      </c>
      <c r="C45" s="660" t="s">
        <v>635</v>
      </c>
    </row>
    <row r="46" spans="1:3" ht="15">
      <c r="A46" s="659" t="str">
        <f>+Report!A160</f>
        <v>LONG TERM DEBT</v>
      </c>
      <c r="B46" s="537">
        <f ca="1">+Report!H160</f>
        <v>578352.31628888287</v>
      </c>
      <c r="C46" s="666">
        <f ca="1">+B46/$B$49</f>
        <v>0.32871061960091646</v>
      </c>
    </row>
    <row r="47" spans="1:3" ht="15">
      <c r="A47" s="659" t="str">
        <f>+Report!A162</f>
        <v>SHORT TERM DEBT</v>
      </c>
      <c r="B47" s="537">
        <f ca="1">+Report!H162</f>
        <v>218681.86410038217</v>
      </c>
      <c r="C47" s="666">
        <f t="shared" ref="C47:C49" ca="1" si="2">+B47/$B$49</f>
        <v>0.12428938039908353</v>
      </c>
    </row>
    <row r="48" spans="1:3" ht="15">
      <c r="A48" s="659" t="str">
        <f>+Report!A166</f>
        <v>COMMON EQUITY</v>
      </c>
      <c r="B48" s="537">
        <f ca="1">+Report!H166</f>
        <v>962423.17146341712</v>
      </c>
      <c r="C48" s="666">
        <f t="shared" ca="1" si="2"/>
        <v>0.54699999999999993</v>
      </c>
    </row>
    <row r="49" spans="1:3" ht="15">
      <c r="A49" s="675" t="str">
        <f>+Report!A171</f>
        <v>TOTAL</v>
      </c>
      <c r="B49" s="676">
        <f ca="1">SUM(B46:B48)</f>
        <v>1759457.3518526822</v>
      </c>
      <c r="C49" s="677">
        <f t="shared" ca="1" si="2"/>
        <v>1</v>
      </c>
    </row>
    <row r="50" spans="1:3" ht="15">
      <c r="A50" s="659"/>
    </row>
  </sheetData>
  <pageMargins left="0.7" right="0.7" top="0.75" bottom="0.75" header="0.3" footer="0.3"/>
  <pageSetup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21537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21537" r:id="rId6" name="FPMExcelClientSheetOptionstb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  <pageSetUpPr fitToPage="1"/>
  </sheetPr>
  <dimension ref="A1:G65"/>
  <sheetViews>
    <sheetView topLeftCell="A3" workbookViewId="0">
      <selection activeCell="D15" sqref="D15"/>
    </sheetView>
  </sheetViews>
  <sheetFormatPr defaultColWidth="8.42578125" defaultRowHeight="12.75"/>
  <cols>
    <col min="1" max="1" width="33.28515625" customWidth="1"/>
    <col min="2" max="2" width="19.7109375" customWidth="1"/>
    <col min="3" max="3" width="20.42578125" bestFit="1" customWidth="1"/>
    <col min="4" max="4" width="19.85546875" customWidth="1"/>
    <col min="5" max="5" width="30.7109375" bestFit="1" customWidth="1"/>
    <col min="6" max="6" width="10.85546875" customWidth="1"/>
    <col min="7" max="7" width="10.7109375" customWidth="1"/>
    <col min="8" max="8" width="9.85546875" customWidth="1"/>
    <col min="9" max="9" width="8.85546875" bestFit="1" customWidth="1"/>
    <col min="10" max="10" width="20.42578125" bestFit="1" customWidth="1"/>
  </cols>
  <sheetData>
    <row r="1" spans="1:7" ht="13.5" thickBot="1"/>
    <row r="2" spans="1:7" ht="15">
      <c r="A2" s="1118" t="s">
        <v>638</v>
      </c>
      <c r="B2" s="1119"/>
      <c r="C2" s="1119"/>
      <c r="D2" s="1119"/>
      <c r="E2" s="1120"/>
    </row>
    <row r="3" spans="1:7" ht="15">
      <c r="A3" s="1121" t="s">
        <v>639</v>
      </c>
      <c r="B3" s="1122"/>
      <c r="C3" s="1122"/>
      <c r="D3" s="1122"/>
      <c r="E3" s="1123"/>
    </row>
    <row r="4" spans="1:7">
      <c r="A4" s="217"/>
      <c r="E4" s="172"/>
    </row>
    <row r="5" spans="1:7">
      <c r="A5" s="217"/>
      <c r="B5" s="1"/>
      <c r="C5" s="375" t="s">
        <v>640</v>
      </c>
      <c r="D5" s="375" t="s">
        <v>222</v>
      </c>
      <c r="E5" s="963" t="str">
        <f>Reconcil!E172</f>
        <v>2023 Budget</v>
      </c>
      <c r="F5" s="1"/>
      <c r="G5" s="1"/>
    </row>
    <row r="6" spans="1:7">
      <c r="A6" s="217"/>
      <c r="E6" s="172"/>
    </row>
    <row r="7" spans="1:7">
      <c r="A7" s="217" t="s">
        <v>641</v>
      </c>
      <c r="E7" s="172"/>
    </row>
    <row r="8" spans="1:7">
      <c r="A8" s="217" t="s">
        <v>642</v>
      </c>
      <c r="E8" s="172"/>
    </row>
    <row r="9" spans="1:7">
      <c r="A9" s="217"/>
      <c r="E9" s="172"/>
    </row>
    <row r="10" spans="1:7">
      <c r="A10" s="444"/>
      <c r="B10" s="375"/>
      <c r="C10" s="375"/>
      <c r="D10" s="375"/>
      <c r="E10" s="543"/>
    </row>
    <row r="11" spans="1:7">
      <c r="A11" s="444"/>
      <c r="B11" s="375"/>
      <c r="C11" s="375"/>
      <c r="D11" s="375"/>
      <c r="E11" s="544" t="s">
        <v>643</v>
      </c>
      <c r="F11" s="1"/>
      <c r="G11" s="1"/>
    </row>
    <row r="12" spans="1:7">
      <c r="A12" s="218" t="s">
        <v>644</v>
      </c>
      <c r="B12" s="375"/>
      <c r="C12" s="219" t="s">
        <v>645</v>
      </c>
      <c r="D12" s="219" t="s">
        <v>646</v>
      </c>
      <c r="E12" s="220" t="s">
        <v>647</v>
      </c>
      <c r="F12" s="1"/>
      <c r="G12" s="1"/>
    </row>
    <row r="13" spans="1:7">
      <c r="A13" s="545"/>
      <c r="B13" s="375"/>
      <c r="C13" s="376"/>
      <c r="D13" s="376"/>
      <c r="E13" s="544"/>
      <c r="F13" s="1"/>
      <c r="G13" s="1"/>
    </row>
    <row r="14" spans="1:7">
      <c r="A14" s="444"/>
      <c r="B14" s="375"/>
      <c r="C14" s="546"/>
      <c r="D14" s="547"/>
      <c r="E14" s="548"/>
      <c r="F14" s="1"/>
      <c r="G14" s="1"/>
    </row>
    <row r="15" spans="1:7">
      <c r="A15" s="444" t="s">
        <v>648</v>
      </c>
      <c r="B15" s="375"/>
      <c r="C15" s="549">
        <f ca="1">+Report!H160</f>
        <v>578352.31628888287</v>
      </c>
      <c r="D15" s="771">
        <f ca="1">'Debt &amp; Cust Dep'!C34</f>
        <v>4.58E-2</v>
      </c>
      <c r="E15" s="548">
        <f ca="1">(C15*D15)</f>
        <v>26488.536086030836</v>
      </c>
      <c r="F15" s="3"/>
      <c r="G15" s="3"/>
    </row>
    <row r="16" spans="1:7">
      <c r="A16" s="444" t="s">
        <v>649</v>
      </c>
      <c r="B16" s="375"/>
      <c r="C16" s="221"/>
      <c r="D16" s="222" t="s">
        <v>650</v>
      </c>
      <c r="E16" s="548"/>
      <c r="F16" s="3"/>
      <c r="G16" s="3"/>
    </row>
    <row r="17" spans="1:7">
      <c r="A17" s="444" t="s">
        <v>651</v>
      </c>
      <c r="B17" s="375"/>
      <c r="C17" s="549">
        <f ca="1">+Report!H162</f>
        <v>218681.86410038217</v>
      </c>
      <c r="D17" s="771">
        <f ca="1">'Debt &amp; Cust Dep'!C73</f>
        <v>4.2200000000000001E-2</v>
      </c>
      <c r="E17" s="548">
        <f ca="1">(C17*D17)</f>
        <v>9228.3746650361281</v>
      </c>
      <c r="F17" s="3"/>
      <c r="G17" s="3"/>
    </row>
    <row r="18" spans="1:7">
      <c r="A18" s="444"/>
      <c r="B18" s="375"/>
      <c r="C18" s="221"/>
      <c r="D18" s="547"/>
      <c r="E18" s="548"/>
      <c r="F18" s="3"/>
      <c r="G18" s="3"/>
    </row>
    <row r="19" spans="1:7">
      <c r="A19" s="444" t="s">
        <v>652</v>
      </c>
      <c r="B19" s="375"/>
      <c r="C19" s="549">
        <f ca="1">+Report!H164</f>
        <v>26882.011816876606</v>
      </c>
      <c r="D19" s="771">
        <f ca="1">'Debt &amp; Cust Dep'!C99</f>
        <v>2.52E-2</v>
      </c>
      <c r="E19" s="548">
        <f ca="1">(C19*D19)</f>
        <v>677.42669778529046</v>
      </c>
      <c r="F19" s="3"/>
      <c r="G19" s="3"/>
    </row>
    <row r="20" spans="1:7">
      <c r="A20" s="444"/>
      <c r="B20" s="375"/>
      <c r="C20" s="550"/>
      <c r="D20" s="547"/>
      <c r="E20" s="551"/>
      <c r="F20" s="3"/>
      <c r="G20" s="3"/>
    </row>
    <row r="21" spans="1:7">
      <c r="A21" s="444" t="s">
        <v>653</v>
      </c>
      <c r="B21" s="375"/>
      <c r="C21" s="546">
        <f ca="1">SUM(C15:C19)</f>
        <v>823916.19220614166</v>
      </c>
      <c r="D21" s="547"/>
      <c r="E21" s="548">
        <f ca="1">SUM(E15:E19)</f>
        <v>36394.337448852253</v>
      </c>
      <c r="F21" s="3"/>
      <c r="G21" s="3"/>
    </row>
    <row r="22" spans="1:7">
      <c r="A22" s="444"/>
      <c r="B22" s="375"/>
      <c r="C22" s="546"/>
      <c r="D22" s="547"/>
      <c r="E22" s="552"/>
      <c r="F22" s="1"/>
      <c r="G22" s="1"/>
    </row>
    <row r="23" spans="1:7">
      <c r="A23" s="444" t="s">
        <v>654</v>
      </c>
      <c r="B23" s="375"/>
      <c r="C23" s="546"/>
      <c r="D23" s="547"/>
      <c r="E23" s="553">
        <f ca="1">+IncomeStmt!F41</f>
        <v>38112.849571355189</v>
      </c>
      <c r="F23" s="3"/>
      <c r="G23" s="1"/>
    </row>
    <row r="24" spans="1:7">
      <c r="A24" s="444"/>
      <c r="B24" s="375"/>
      <c r="C24" s="546"/>
      <c r="D24" s="547"/>
      <c r="E24" s="551"/>
      <c r="F24" s="1"/>
      <c r="G24" s="1"/>
    </row>
    <row r="25" spans="1:7">
      <c r="A25" s="444"/>
      <c r="B25" s="375"/>
      <c r="C25" s="546"/>
      <c r="D25" s="547"/>
      <c r="E25" s="548"/>
      <c r="F25" s="1"/>
      <c r="G25" s="1"/>
    </row>
    <row r="26" spans="1:7" ht="13.5" thickBot="1">
      <c r="A26" s="444" t="s">
        <v>655</v>
      </c>
      <c r="B26" s="375"/>
      <c r="C26" s="546"/>
      <c r="D26" s="547"/>
      <c r="E26" s="554">
        <f ca="1">E21-E23</f>
        <v>-1718.5121225029361</v>
      </c>
      <c r="F26" s="1"/>
      <c r="G26" s="1"/>
    </row>
    <row r="27" spans="1:7" ht="13.5" thickTop="1">
      <c r="A27" s="444"/>
      <c r="B27" s="375"/>
      <c r="C27" s="546"/>
      <c r="D27" s="547"/>
      <c r="E27" s="548"/>
      <c r="F27" s="1"/>
      <c r="G27" s="1"/>
    </row>
    <row r="28" spans="1:7">
      <c r="A28" s="444"/>
      <c r="B28" s="375"/>
      <c r="C28" s="546"/>
      <c r="D28" s="547"/>
      <c r="E28" s="548"/>
      <c r="F28" s="1"/>
      <c r="G28" s="1"/>
    </row>
    <row r="29" spans="1:7" ht="13.5" thickBot="1">
      <c r="A29" s="444" t="s">
        <v>656</v>
      </c>
      <c r="B29" s="402">
        <f>+'Input Tax Rate'!B36</f>
        <v>0.25345000000000001</v>
      </c>
      <c r="C29" s="546"/>
      <c r="D29" s="547"/>
      <c r="E29" s="772">
        <f ca="1">(E26*B29)</f>
        <v>-435.55689744836917</v>
      </c>
      <c r="F29" s="1"/>
      <c r="G29" s="1"/>
    </row>
    <row r="30" spans="1:7" ht="13.5" thickTop="1">
      <c r="A30" s="444"/>
      <c r="B30" s="375"/>
      <c r="C30" s="375"/>
      <c r="D30" s="375"/>
      <c r="E30" s="555"/>
    </row>
    <row r="31" spans="1:7">
      <c r="A31" s="444"/>
      <c r="B31" s="375"/>
      <c r="C31" s="375"/>
      <c r="D31" s="375"/>
      <c r="E31" s="543"/>
    </row>
    <row r="32" spans="1:7" ht="13.5" thickBot="1">
      <c r="A32" s="223"/>
      <c r="B32" s="224"/>
      <c r="C32" s="224"/>
      <c r="D32" s="224"/>
      <c r="E32" s="225"/>
    </row>
    <row r="34" spans="1:5" ht="13.5" thickBot="1"/>
    <row r="35" spans="1:5" ht="15">
      <c r="A35" s="1118" t="s">
        <v>638</v>
      </c>
      <c r="B35" s="1119"/>
      <c r="C35" s="1119"/>
      <c r="D35" s="1119"/>
      <c r="E35" s="1120"/>
    </row>
    <row r="36" spans="1:5" ht="15">
      <c r="A36" s="1121" t="s">
        <v>639</v>
      </c>
      <c r="B36" s="1122"/>
      <c r="C36" s="1122"/>
      <c r="D36" s="1122"/>
      <c r="E36" s="1123"/>
    </row>
    <row r="37" spans="1:5">
      <c r="A37" s="217"/>
      <c r="E37" s="172"/>
    </row>
    <row r="38" spans="1:5">
      <c r="A38" s="217"/>
      <c r="B38" s="1"/>
      <c r="C38" s="375" t="s">
        <v>640</v>
      </c>
      <c r="D38" s="541" t="s">
        <v>657</v>
      </c>
      <c r="E38" s="542" t="str">
        <f>+Input!A4</f>
        <v>December 2023</v>
      </c>
    </row>
    <row r="39" spans="1:5">
      <c r="A39" s="217"/>
      <c r="E39" s="172"/>
    </row>
    <row r="40" spans="1:5">
      <c r="A40" s="217" t="s">
        <v>641</v>
      </c>
      <c r="E40" s="172"/>
    </row>
    <row r="41" spans="1:5">
      <c r="A41" s="217" t="s">
        <v>658</v>
      </c>
      <c r="E41" s="172"/>
    </row>
    <row r="42" spans="1:5">
      <c r="A42" s="217"/>
      <c r="E42" s="172"/>
    </row>
    <row r="43" spans="1:5">
      <c r="A43" s="444"/>
      <c r="B43" s="375"/>
      <c r="C43" s="375"/>
      <c r="D43" s="375"/>
      <c r="E43" s="543"/>
    </row>
    <row r="44" spans="1:5">
      <c r="A44" s="444"/>
      <c r="B44" s="375"/>
      <c r="C44" s="375"/>
      <c r="D44" s="375"/>
      <c r="E44" s="544" t="s">
        <v>643</v>
      </c>
    </row>
    <row r="45" spans="1:5">
      <c r="A45" s="218" t="s">
        <v>644</v>
      </c>
      <c r="B45" s="375"/>
      <c r="C45" s="219" t="s">
        <v>645</v>
      </c>
      <c r="D45" s="219" t="s">
        <v>646</v>
      </c>
      <c r="E45" s="220" t="s">
        <v>647</v>
      </c>
    </row>
    <row r="46" spans="1:5">
      <c r="A46" s="545"/>
      <c r="B46" s="375"/>
      <c r="C46" s="376"/>
      <c r="D46" s="376"/>
      <c r="E46" s="544"/>
    </row>
    <row r="47" spans="1:5">
      <c r="A47" s="444"/>
      <c r="B47" s="375"/>
      <c r="C47" s="546"/>
      <c r="D47" s="547"/>
      <c r="E47" s="548"/>
    </row>
    <row r="48" spans="1:5">
      <c r="A48" s="444" t="s">
        <v>648</v>
      </c>
      <c r="B48" s="375"/>
      <c r="C48" s="549">
        <f>+'Report YE'!H156</f>
        <v>771258.92575413489</v>
      </c>
      <c r="D48" s="771">
        <f>+'Debt &amp; Cust Dep'!C36</f>
        <v>3.4799999999999998E-2</v>
      </c>
      <c r="E48" s="548">
        <f>(C48*D48)</f>
        <v>26839.810616243893</v>
      </c>
    </row>
    <row r="49" spans="1:5">
      <c r="A49" s="444" t="s">
        <v>649</v>
      </c>
      <c r="B49" s="375"/>
      <c r="C49" s="221"/>
      <c r="D49" s="222" t="s">
        <v>650</v>
      </c>
      <c r="E49" s="548"/>
    </row>
    <row r="50" spans="1:5">
      <c r="A50" s="444" t="s">
        <v>651</v>
      </c>
      <c r="B50" s="375"/>
      <c r="C50" s="549">
        <f>+'Report YE'!H158</f>
        <v>100745.62666146313</v>
      </c>
      <c r="D50" s="771">
        <f>+'Debt &amp; Cust Dep'!C75</f>
        <v>9.3100000000000002E-2</v>
      </c>
      <c r="E50" s="548">
        <f>(C50*D50)</f>
        <v>9379.417842182218</v>
      </c>
    </row>
    <row r="51" spans="1:5">
      <c r="A51" s="444"/>
      <c r="B51" s="375"/>
      <c r="C51" s="221"/>
      <c r="D51" s="547"/>
      <c r="E51" s="548"/>
    </row>
    <row r="52" spans="1:5">
      <c r="A52" s="444" t="s">
        <v>652</v>
      </c>
      <c r="B52" s="375"/>
      <c r="C52" s="549">
        <f>+'Report YE'!H160</f>
        <v>27330.434379513001</v>
      </c>
      <c r="D52" s="771">
        <f>+'Debt &amp; Cust Dep'!C101</f>
        <v>2.52E-2</v>
      </c>
      <c r="E52" s="548">
        <f>(C52*D52)</f>
        <v>688.72694636372762</v>
      </c>
    </row>
    <row r="53" spans="1:5">
      <c r="A53" s="444"/>
      <c r="B53" s="375"/>
      <c r="C53" s="550"/>
      <c r="D53" s="547"/>
      <c r="E53" s="551"/>
    </row>
    <row r="54" spans="1:5">
      <c r="A54" s="444" t="s">
        <v>653</v>
      </c>
      <c r="B54" s="375"/>
      <c r="C54" s="546">
        <f>SUM(C48:C52)</f>
        <v>899334.98679511109</v>
      </c>
      <c r="D54" s="547"/>
      <c r="E54" s="548">
        <f>SUM(E48:E52)</f>
        <v>36907.955404789835</v>
      </c>
    </row>
    <row r="55" spans="1:5">
      <c r="A55" s="444"/>
      <c r="B55" s="375"/>
      <c r="C55" s="546"/>
      <c r="D55" s="547"/>
      <c r="E55" s="552"/>
    </row>
    <row r="56" spans="1:5">
      <c r="A56" s="444" t="s">
        <v>654</v>
      </c>
      <c r="B56" s="375"/>
      <c r="C56" s="546"/>
      <c r="D56" s="547"/>
      <c r="E56" s="553">
        <f ca="1">+IncomeStmt!F41</f>
        <v>38112.849571355189</v>
      </c>
    </row>
    <row r="57" spans="1:5">
      <c r="A57" s="444"/>
      <c r="B57" s="375"/>
      <c r="C57" s="546"/>
      <c r="D57" s="547"/>
      <c r="E57" s="551"/>
    </row>
    <row r="58" spans="1:5">
      <c r="A58" s="444"/>
      <c r="B58" s="375"/>
      <c r="C58" s="546"/>
      <c r="D58" s="547"/>
      <c r="E58" s="548"/>
    </row>
    <row r="59" spans="1:5" ht="13.5" thickBot="1">
      <c r="A59" s="444" t="s">
        <v>655</v>
      </c>
      <c r="B59" s="375"/>
      <c r="C59" s="546"/>
      <c r="D59" s="547"/>
      <c r="E59" s="554">
        <f ca="1">E54-E56</f>
        <v>-1204.8941665653547</v>
      </c>
    </row>
    <row r="60" spans="1:5" ht="13.5" thickTop="1">
      <c r="A60" s="444"/>
      <c r="B60" s="375"/>
      <c r="C60" s="546"/>
      <c r="D60" s="547"/>
      <c r="E60" s="548"/>
    </row>
    <row r="61" spans="1:5">
      <c r="A61" s="444"/>
      <c r="B61" s="375"/>
      <c r="C61" s="546"/>
      <c r="D61" s="547"/>
      <c r="E61" s="548"/>
    </row>
    <row r="62" spans="1:5" ht="13.5" thickBot="1">
      <c r="A62" s="444" t="s">
        <v>656</v>
      </c>
      <c r="B62" s="402">
        <f>+'Input Tax Rate'!B36</f>
        <v>0.25345000000000001</v>
      </c>
      <c r="C62" s="546"/>
      <c r="D62" s="547"/>
      <c r="E62" s="772">
        <f ca="1">(E59*B62)</f>
        <v>-305.38042651598914</v>
      </c>
    </row>
    <row r="63" spans="1:5" ht="13.5" thickTop="1">
      <c r="A63" s="444"/>
      <c r="B63" s="375"/>
      <c r="C63" s="375"/>
      <c r="D63" s="375"/>
      <c r="E63" s="555"/>
    </row>
    <row r="64" spans="1:5">
      <c r="A64" s="444"/>
      <c r="B64" s="375"/>
      <c r="C64" s="375"/>
      <c r="D64" s="375"/>
      <c r="E64" s="543"/>
    </row>
    <row r="65" spans="1:5" ht="13.5" thickBot="1">
      <c r="A65" s="223"/>
      <c r="B65" s="224"/>
      <c r="C65" s="224"/>
      <c r="D65" s="224"/>
      <c r="E65" s="225"/>
    </row>
  </sheetData>
  <mergeCells count="4">
    <mergeCell ref="A2:E2"/>
    <mergeCell ref="A3:E3"/>
    <mergeCell ref="A35:E35"/>
    <mergeCell ref="A36:E36"/>
  </mergeCells>
  <phoneticPr fontId="0" type="noConversion"/>
  <printOptions horizontalCentered="1"/>
  <pageMargins left="0.25" right="0.25" top="0.5" bottom="0.5" header="0.5" footer="0.5"/>
  <pageSetup scale="84" orientation="portrait" r:id="rId1"/>
  <headerFooter alignWithMargins="0">
    <oddFooter>&amp;R&amp;F</oddFooter>
  </headerFooter>
  <ignoredErrors>
    <ignoredError sqref="C16:D16 E23 C15 C18:D18 C17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0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A1:CP370"/>
  <sheetViews>
    <sheetView topLeftCell="A47" zoomScaleNormal="100" workbookViewId="0">
      <selection activeCell="B116" sqref="B116"/>
    </sheetView>
  </sheetViews>
  <sheetFormatPr defaultColWidth="13.5703125" defaultRowHeight="12.75"/>
  <cols>
    <col min="1" max="1" width="31.140625" customWidth="1"/>
    <col min="2" max="2" width="14.140625" customWidth="1"/>
    <col min="3" max="3" width="2.28515625" customWidth="1"/>
    <col min="4" max="4" width="9.7109375" customWidth="1"/>
    <col min="5" max="5" width="2.28515625" customWidth="1"/>
    <col min="6" max="6" width="11" customWidth="1"/>
    <col min="7" max="7" width="2.28515625" customWidth="1"/>
    <col min="8" max="8" width="11.7109375" customWidth="1"/>
    <col min="9" max="9" width="2.28515625" customWidth="1"/>
    <col min="10" max="10" width="11" customWidth="1"/>
    <col min="11" max="11" width="2.28515625" customWidth="1"/>
    <col min="12" max="12" width="10.85546875" customWidth="1"/>
    <col min="13" max="13" width="3" customWidth="1"/>
    <col min="14" max="14" width="14.140625" customWidth="1"/>
    <col min="15" max="15" width="2.28515625" customWidth="1"/>
    <col min="16" max="16" width="12.5703125" customWidth="1"/>
    <col min="17" max="17" width="2.28515625" customWidth="1"/>
    <col min="18" max="18" width="13.5703125" customWidth="1"/>
    <col min="19" max="19" width="2.28515625" customWidth="1"/>
    <col min="20" max="20" width="15.85546875" bestFit="1" customWidth="1"/>
    <col min="21" max="21" width="2.28515625" customWidth="1"/>
    <col min="22" max="22" width="9.7109375" customWidth="1"/>
    <col min="23" max="23" width="13.28515625" bestFit="1" customWidth="1"/>
    <col min="24" max="24" width="14" customWidth="1"/>
    <col min="25" max="26" width="13.5703125" customWidth="1"/>
    <col min="27" max="27" width="7.5703125" customWidth="1"/>
    <col min="28" max="28" width="14" customWidth="1"/>
    <col min="29" max="30" width="13.5703125" customWidth="1"/>
    <col min="31" max="31" width="7.28515625" customWidth="1"/>
    <col min="32" max="32" width="19.28515625" bestFit="1" customWidth="1"/>
    <col min="33" max="33" width="8.85546875" bestFit="1" customWidth="1"/>
    <col min="36" max="36" width="31.140625" customWidth="1"/>
    <col min="37" max="37" width="14.140625" customWidth="1"/>
    <col min="38" max="38" width="2.28515625" customWidth="1"/>
    <col min="39" max="39" width="9.7109375" customWidth="1"/>
    <col min="40" max="40" width="2.28515625" customWidth="1"/>
    <col min="41" max="41" width="9.7109375" customWidth="1"/>
    <col min="42" max="42" width="2.28515625" customWidth="1"/>
    <col min="43" max="43" width="9.7109375" customWidth="1"/>
    <col min="44" max="44" width="2.28515625" customWidth="1"/>
    <col min="45" max="45" width="11" customWidth="1"/>
    <col min="46" max="46" width="2.28515625" customWidth="1"/>
    <col min="47" max="47" width="10.85546875" customWidth="1"/>
    <col min="48" max="48" width="3" customWidth="1"/>
    <col min="49" max="49" width="12.28515625" customWidth="1"/>
    <col min="50" max="50" width="2.28515625" customWidth="1"/>
    <col min="51" max="51" width="9.7109375" customWidth="1"/>
    <col min="52" max="52" width="2.28515625" customWidth="1"/>
    <col min="53" max="53" width="9.7109375" customWidth="1"/>
    <col min="54" max="54" width="2.28515625" customWidth="1"/>
    <col min="55" max="55" width="9.7109375" customWidth="1"/>
    <col min="56" max="56" width="2.28515625" customWidth="1"/>
    <col min="57" max="57" width="9.7109375" customWidth="1"/>
    <col min="58" max="58" width="13.28515625" bestFit="1" customWidth="1"/>
    <col min="59" max="59" width="14" hidden="1" customWidth="1"/>
    <col min="60" max="61" width="0" hidden="1" customWidth="1"/>
    <col min="62" max="62" width="2.5703125" hidden="1" customWidth="1"/>
    <col min="63" max="63" width="19.28515625" bestFit="1" customWidth="1"/>
    <col min="64" max="64" width="8.85546875" bestFit="1" customWidth="1"/>
    <col min="66" max="66" width="31.140625" customWidth="1"/>
    <col min="67" max="67" width="14.140625" customWidth="1"/>
    <col min="68" max="68" width="2.28515625" customWidth="1"/>
    <col min="69" max="69" width="9.7109375" customWidth="1"/>
    <col min="70" max="70" width="2.28515625" customWidth="1"/>
    <col min="71" max="71" width="9.7109375" customWidth="1"/>
    <col min="72" max="72" width="2.28515625" customWidth="1"/>
    <col min="73" max="73" width="9.7109375" customWidth="1"/>
    <col min="74" max="74" width="2.28515625" customWidth="1"/>
    <col min="75" max="75" width="11" customWidth="1"/>
    <col min="76" max="76" width="2.28515625" customWidth="1"/>
    <col min="77" max="77" width="10.85546875" customWidth="1"/>
    <col min="78" max="78" width="3" customWidth="1"/>
    <col min="79" max="79" width="12.28515625" customWidth="1"/>
    <col min="80" max="80" width="2.28515625" customWidth="1"/>
    <col min="81" max="81" width="9.7109375" customWidth="1"/>
    <col min="82" max="82" width="2.28515625" customWidth="1"/>
    <col min="83" max="83" width="9.7109375" customWidth="1"/>
    <col min="84" max="84" width="2.28515625" customWidth="1"/>
    <col min="85" max="85" width="9.7109375" customWidth="1"/>
    <col min="86" max="86" width="2.28515625" customWidth="1"/>
    <col min="87" max="87" width="9.7109375" customWidth="1"/>
    <col min="88" max="88" width="13.28515625" bestFit="1" customWidth="1"/>
    <col min="89" max="89" width="14" hidden="1" customWidth="1"/>
    <col min="90" max="91" width="0" hidden="1" customWidth="1"/>
    <col min="92" max="92" width="2.5703125" hidden="1" customWidth="1"/>
    <col min="93" max="93" width="19.28515625" bestFit="1" customWidth="1"/>
    <col min="94" max="94" width="8.85546875" bestFit="1" customWidth="1"/>
  </cols>
  <sheetData>
    <row r="1" spans="1:33">
      <c r="A1" s="90" t="s">
        <v>659</v>
      </c>
      <c r="B1" s="91"/>
      <c r="C1" s="91"/>
      <c r="D1" s="91"/>
      <c r="E1" s="91"/>
      <c r="F1" s="91"/>
      <c r="G1" s="91"/>
      <c r="H1" s="91"/>
      <c r="I1" s="91"/>
      <c r="J1" s="91"/>
      <c r="K1" s="92"/>
      <c r="L1" s="92"/>
      <c r="M1" s="91"/>
      <c r="N1" s="91" t="s">
        <v>660</v>
      </c>
      <c r="O1" s="92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2.95" customHeight="1">
      <c r="A2" s="90" t="s">
        <v>661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/>
      <c r="O2" s="92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>
      <c r="A3" s="90" t="str">
        <f>+Input!A8</f>
        <v>2023 Budget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9"/>
      <c r="O3" s="9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>
      <c r="A4" s="570" t="s">
        <v>662</v>
      </c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9"/>
      <c r="P4" s="39"/>
    </row>
    <row r="5" spans="1:33">
      <c r="A5" s="93"/>
      <c r="P5" s="39"/>
    </row>
    <row r="6" spans="1:33">
      <c r="A6" s="93"/>
      <c r="P6" s="39"/>
    </row>
    <row r="7" spans="1:33">
      <c r="A7" s="94"/>
      <c r="B7" s="94"/>
      <c r="C7" s="94"/>
      <c r="D7" s="1"/>
      <c r="E7" s="94"/>
      <c r="F7" s="95" t="s">
        <v>663</v>
      </c>
      <c r="G7" s="94"/>
      <c r="H7" s="95" t="s">
        <v>664</v>
      </c>
      <c r="I7" s="94"/>
      <c r="J7" s="95" t="s">
        <v>665</v>
      </c>
      <c r="K7" s="94"/>
      <c r="L7" s="95" t="s">
        <v>666</v>
      </c>
      <c r="M7" s="94"/>
      <c r="N7" s="95" t="s">
        <v>667</v>
      </c>
      <c r="O7" s="1"/>
      <c r="P7" s="1"/>
      <c r="Q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94"/>
      <c r="B8" s="94"/>
      <c r="C8" s="94"/>
      <c r="D8" s="1"/>
      <c r="E8" s="94"/>
      <c r="F8" s="95" t="s">
        <v>2</v>
      </c>
      <c r="G8" s="94"/>
      <c r="H8" s="95" t="s">
        <v>668</v>
      </c>
      <c r="I8" s="94"/>
      <c r="J8" s="95" t="s">
        <v>668</v>
      </c>
      <c r="K8" s="94"/>
      <c r="L8" s="95" t="s">
        <v>669</v>
      </c>
      <c r="M8" s="94"/>
      <c r="N8" s="95" t="s">
        <v>669</v>
      </c>
      <c r="O8" s="1"/>
      <c r="P8" s="1"/>
      <c r="Q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>
      <c r="A9" s="94"/>
      <c r="B9" s="94"/>
      <c r="C9" s="94"/>
      <c r="D9" s="1"/>
      <c r="E9" s="94"/>
      <c r="F9" s="96" t="s">
        <v>670</v>
      </c>
      <c r="G9" s="94"/>
      <c r="H9" s="96" t="s">
        <v>671</v>
      </c>
      <c r="I9" s="94"/>
      <c r="J9" s="96" t="s">
        <v>672</v>
      </c>
      <c r="K9" s="94"/>
      <c r="L9" s="96" t="s">
        <v>671</v>
      </c>
      <c r="M9" s="94"/>
      <c r="N9" s="96" t="s">
        <v>672</v>
      </c>
      <c r="O9" s="1"/>
      <c r="P9" s="1"/>
      <c r="Q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>
      <c r="A10" s="94" t="s">
        <v>673</v>
      </c>
      <c r="B10" s="94"/>
      <c r="C10" s="94"/>
      <c r="D10" s="1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1"/>
      <c r="P10" s="1"/>
      <c r="Q10" s="1"/>
      <c r="S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>
      <c r="A11" s="97" t="s">
        <v>674</v>
      </c>
      <c r="B11" s="97"/>
      <c r="C11" s="94"/>
      <c r="D11" s="1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1"/>
      <c r="P11" s="1"/>
      <c r="Q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>
      <c r="A12" s="94" t="s">
        <v>675</v>
      </c>
      <c r="B12" s="94"/>
      <c r="C12" s="94"/>
      <c r="D12" s="1"/>
      <c r="E12" s="94" t="s">
        <v>676</v>
      </c>
      <c r="F12" s="98">
        <f ca="1">V106</f>
        <v>114637.09999999992</v>
      </c>
      <c r="G12" s="86" t="s">
        <v>676</v>
      </c>
      <c r="H12" s="98">
        <f ca="1">V126</f>
        <v>-2876.347380839572</v>
      </c>
      <c r="I12" s="86" t="s">
        <v>676</v>
      </c>
      <c r="J12" s="98">
        <f ca="1">F12+H12</f>
        <v>111760.75261916034</v>
      </c>
      <c r="K12" s="86" t="s">
        <v>676</v>
      </c>
      <c r="L12" s="98">
        <f>V139</f>
        <v>0</v>
      </c>
      <c r="M12" s="86" t="s">
        <v>676</v>
      </c>
      <c r="N12" s="98">
        <f ca="1">J12+L12</f>
        <v>111760.75261916034</v>
      </c>
      <c r="O12" s="1"/>
      <c r="P12" s="1"/>
      <c r="Q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>
      <c r="A13" s="94"/>
      <c r="B13" s="94"/>
      <c r="C13" s="94"/>
      <c r="D13" s="1"/>
      <c r="E13" s="94"/>
      <c r="F13" s="86"/>
      <c r="G13" s="86"/>
      <c r="H13" s="86"/>
      <c r="I13" s="86"/>
      <c r="J13" s="86"/>
      <c r="K13" s="86"/>
      <c r="L13" s="86"/>
      <c r="M13" s="86"/>
      <c r="N13" s="86"/>
      <c r="O13" s="1"/>
      <c r="P13" s="1"/>
      <c r="Q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A14" s="94" t="s">
        <v>677</v>
      </c>
      <c r="B14" s="94"/>
      <c r="C14" s="94"/>
      <c r="D14" s="1"/>
      <c r="E14" s="94" t="s">
        <v>676</v>
      </c>
      <c r="F14" s="98">
        <f ca="1">T55</f>
        <v>2221907.0579799535</v>
      </c>
      <c r="G14" s="86" t="s">
        <v>676</v>
      </c>
      <c r="H14" s="98">
        <f ca="1">T77</f>
        <v>-197574.78639598825</v>
      </c>
      <c r="I14" s="86" t="s">
        <v>676</v>
      </c>
      <c r="J14" s="98">
        <f ca="1">F14+H14</f>
        <v>2024332.2715839653</v>
      </c>
      <c r="K14" s="86" t="s">
        <v>676</v>
      </c>
      <c r="L14" s="98">
        <f>T90</f>
        <v>0</v>
      </c>
      <c r="M14" s="86" t="s">
        <v>676</v>
      </c>
      <c r="N14" s="98">
        <f ca="1">J14+L14</f>
        <v>2024332.2715839653</v>
      </c>
      <c r="O14" s="1"/>
      <c r="P14" s="1"/>
      <c r="Q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>
      <c r="A15" s="94" t="s">
        <v>650</v>
      </c>
      <c r="B15" s="94"/>
      <c r="C15" s="94"/>
      <c r="D15" s="1"/>
      <c r="E15" s="94"/>
      <c r="F15" s="94"/>
      <c r="G15" s="94"/>
      <c r="H15" s="94"/>
      <c r="I15" s="94"/>
      <c r="J15" s="94"/>
      <c r="K15" s="94"/>
      <c r="L15" s="1"/>
      <c r="M15" s="94"/>
      <c r="N15" s="94"/>
      <c r="O15" s="1"/>
      <c r="P15" s="1"/>
      <c r="Q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A16" s="94" t="s">
        <v>678</v>
      </c>
      <c r="B16" s="94"/>
      <c r="C16" s="94"/>
      <c r="D16" s="1"/>
      <c r="E16" s="94"/>
      <c r="F16" s="99">
        <f ca="1">ROUND(F12/F14*100,4)</f>
        <v>5.1593999999999998</v>
      </c>
      <c r="G16" s="100" t="s">
        <v>105</v>
      </c>
      <c r="H16" s="100"/>
      <c r="I16" s="100" t="s">
        <v>650</v>
      </c>
      <c r="J16" s="99">
        <f ca="1">ROUND(J12/J14*100,4)</f>
        <v>5.5209000000000001</v>
      </c>
      <c r="K16" s="100" t="s">
        <v>105</v>
      </c>
      <c r="L16" s="101"/>
      <c r="M16" s="100"/>
      <c r="N16" s="99">
        <f ca="1">ROUND(N12/N14*100,4)</f>
        <v>5.5209000000000001</v>
      </c>
      <c r="O16" s="94" t="s">
        <v>105</v>
      </c>
      <c r="P16" s="1"/>
      <c r="Q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>
      <c r="A17" s="94"/>
      <c r="B17" s="94"/>
      <c r="C17" s="94"/>
      <c r="D17" s="1"/>
      <c r="E17" s="94"/>
      <c r="F17" s="94"/>
      <c r="G17" s="94"/>
      <c r="H17" s="94"/>
      <c r="I17" s="94"/>
      <c r="J17" s="94"/>
      <c r="K17" s="94"/>
      <c r="L17" s="94"/>
      <c r="M17" s="94"/>
      <c r="N17" s="1"/>
      <c r="O17" s="94"/>
      <c r="P17" s="1"/>
      <c r="Q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 s="94"/>
      <c r="B18" s="94"/>
      <c r="C18" s="94"/>
      <c r="D18" s="1"/>
      <c r="E18" s="94"/>
      <c r="F18" s="94"/>
      <c r="G18" s="94"/>
      <c r="H18" s="94"/>
      <c r="I18" s="94"/>
      <c r="J18" s="94"/>
      <c r="K18" s="94"/>
      <c r="L18" s="94"/>
      <c r="M18" s="94"/>
      <c r="N18" s="1"/>
      <c r="O18" s="9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3.5" thickBot="1">
      <c r="A19" s="102"/>
      <c r="B19" s="102"/>
      <c r="C19" s="102"/>
      <c r="D19" s="103"/>
      <c r="E19" s="102"/>
      <c r="F19" s="102"/>
      <c r="G19" s="102"/>
      <c r="H19" s="102"/>
      <c r="I19" s="102"/>
      <c r="J19" s="102"/>
      <c r="K19" s="102"/>
      <c r="L19" s="102"/>
      <c r="M19" s="102"/>
      <c r="N19" s="103"/>
      <c r="O19" s="9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3.5" thickTop="1">
      <c r="A20" s="94"/>
      <c r="B20" s="94"/>
      <c r="C20" s="94"/>
      <c r="D20" s="1"/>
      <c r="E20" s="94"/>
      <c r="F20" s="94"/>
      <c r="G20" s="94"/>
      <c r="H20" s="94"/>
      <c r="I20" s="94"/>
      <c r="J20" s="94"/>
      <c r="K20" s="94"/>
      <c r="L20" s="94"/>
      <c r="M20" s="94"/>
      <c r="N20" s="1"/>
      <c r="O20" s="9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>
      <c r="A21" s="94" t="s">
        <v>679</v>
      </c>
      <c r="B21" s="94"/>
      <c r="C21" s="94"/>
      <c r="D21" s="1"/>
      <c r="E21" s="94"/>
      <c r="F21" s="94"/>
      <c r="G21" s="1"/>
      <c r="H21" s="1"/>
      <c r="I21" s="104" t="s">
        <v>680</v>
      </c>
      <c r="J21" s="1"/>
      <c r="K21" s="94"/>
      <c r="L21" s="94"/>
      <c r="M21" s="9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>
      <c r="A22" s="94" t="s">
        <v>681</v>
      </c>
      <c r="B22" s="94"/>
      <c r="C22" s="94"/>
      <c r="D22" s="1"/>
      <c r="E22" s="94"/>
      <c r="F22" s="94"/>
      <c r="G22" s="1"/>
      <c r="H22" s="1"/>
      <c r="I22" s="1"/>
      <c r="J22" s="1"/>
      <c r="K22" s="1"/>
      <c r="L22" s="1"/>
      <c r="M22" s="94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>
      <c r="A23" s="97" t="s">
        <v>682</v>
      </c>
      <c r="B23" s="97"/>
      <c r="C23" s="94"/>
      <c r="D23" s="1"/>
      <c r="E23" s="94"/>
      <c r="F23" s="94"/>
      <c r="G23" s="1"/>
      <c r="H23" s="1"/>
      <c r="I23" s="1"/>
      <c r="J23" s="1"/>
      <c r="K23" s="1"/>
      <c r="L23" s="95" t="s">
        <v>668</v>
      </c>
      <c r="M23" s="2"/>
      <c r="N23" s="95" t="s">
        <v>683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>
      <c r="A24" s="1"/>
      <c r="B24" s="94" t="s">
        <v>684</v>
      </c>
      <c r="C24" s="94"/>
      <c r="D24" s="99">
        <f ca="1">N171</f>
        <v>6.04</v>
      </c>
      <c r="E24" s="94" t="s">
        <v>105</v>
      </c>
      <c r="F24" s="1"/>
      <c r="G24" s="1"/>
      <c r="H24" s="1"/>
      <c r="I24" s="1"/>
      <c r="J24" s="1"/>
      <c r="K24" s="1"/>
      <c r="L24" s="105" t="s">
        <v>622</v>
      </c>
      <c r="M24" s="2"/>
      <c r="N24" s="105" t="s">
        <v>622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>
      <c r="A25" s="1"/>
      <c r="B25" s="94"/>
      <c r="C25" s="94"/>
      <c r="D25" s="100"/>
      <c r="E25" s="94"/>
      <c r="F25" s="1"/>
      <c r="G25" s="94" t="s">
        <v>685</v>
      </c>
      <c r="H25" s="1"/>
      <c r="I25" s="94"/>
      <c r="J25" s="94"/>
      <c r="K25" s="94"/>
      <c r="L25" s="1"/>
      <c r="M25" s="94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>
      <c r="A26" s="1"/>
      <c r="B26" s="94" t="s">
        <v>686</v>
      </c>
      <c r="C26" s="94"/>
      <c r="D26" s="99">
        <f ca="1">R171</f>
        <v>6.52</v>
      </c>
      <c r="E26" s="94" t="s">
        <v>105</v>
      </c>
      <c r="F26" s="1"/>
      <c r="G26" s="94" t="s">
        <v>687</v>
      </c>
      <c r="H26" s="1"/>
      <c r="I26" s="94"/>
      <c r="J26" s="94"/>
      <c r="K26" s="94"/>
      <c r="L26" s="99">
        <f ca="1">H202</f>
        <v>7.8269000000000002</v>
      </c>
      <c r="M26" s="94" t="s">
        <v>105</v>
      </c>
      <c r="N26" s="182">
        <f ca="1">H263</f>
        <v>7.8269000000000002</v>
      </c>
      <c r="O26" s="94" t="s">
        <v>105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>
      <c r="A27" s="1"/>
      <c r="B27" s="94"/>
      <c r="C27" s="94"/>
      <c r="D27" s="100"/>
      <c r="E27" s="94"/>
      <c r="F27" s="1"/>
      <c r="G27" s="1"/>
      <c r="H27" s="1"/>
      <c r="I27" s="1"/>
      <c r="J27" s="1"/>
      <c r="K27" s="1"/>
      <c r="L27" s="1"/>
      <c r="M27" s="9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>
      <c r="A28" s="1"/>
      <c r="B28" s="94" t="s">
        <v>688</v>
      </c>
      <c r="C28" s="94"/>
      <c r="D28" s="99">
        <f ca="1">V171</f>
        <v>7.04</v>
      </c>
      <c r="E28" s="94" t="s">
        <v>105</v>
      </c>
      <c r="F28" s="1"/>
      <c r="G28" s="94" t="s">
        <v>689</v>
      </c>
      <c r="H28" s="1"/>
      <c r="I28" s="94"/>
      <c r="J28" s="94"/>
      <c r="K28" s="94"/>
      <c r="L28" s="1"/>
      <c r="M28" s="94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>
      <c r="A29" s="94"/>
      <c r="B29" s="94"/>
      <c r="C29" s="94"/>
      <c r="D29" s="94"/>
      <c r="E29" s="94"/>
      <c r="F29" s="94"/>
      <c r="G29" s="94" t="s">
        <v>687</v>
      </c>
      <c r="H29" s="94"/>
      <c r="I29" s="94"/>
      <c r="J29" s="94"/>
      <c r="K29" s="94"/>
      <c r="L29" s="99">
        <f ca="1">H229</f>
        <v>7.5390346111661559</v>
      </c>
      <c r="M29" s="94" t="s">
        <v>105</v>
      </c>
      <c r="N29" s="99">
        <f ca="1">H290</f>
        <v>7.5390346111661559</v>
      </c>
      <c r="O29" s="94" t="s">
        <v>105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1"/>
      <c r="O30" s="9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>
      <c r="A31" s="94"/>
      <c r="B31" s="94"/>
      <c r="C31" s="94" t="s">
        <v>650</v>
      </c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1"/>
      <c r="O31" s="9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>
      <c r="A32" s="106" t="s">
        <v>690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8"/>
      <c r="M32" s="94"/>
      <c r="N32" s="1"/>
      <c r="O32" s="9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>
      <c r="A33" s="10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110"/>
      <c r="M33" s="94"/>
      <c r="N33" s="1"/>
      <c r="O33" s="9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>
      <c r="A34" s="109"/>
      <c r="B34" s="94" t="s">
        <v>691</v>
      </c>
      <c r="C34" s="94"/>
      <c r="D34" s="94"/>
      <c r="E34" s="94"/>
      <c r="F34" s="94"/>
      <c r="G34" s="94"/>
      <c r="H34" s="94"/>
      <c r="I34" s="94"/>
      <c r="J34" s="94"/>
      <c r="K34" s="94"/>
      <c r="L34" s="110"/>
      <c r="M34" s="94"/>
      <c r="N34" s="1"/>
      <c r="O34" s="9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>
      <c r="A35" s="109"/>
      <c r="B35" s="94" t="s">
        <v>692</v>
      </c>
      <c r="C35" s="94"/>
      <c r="D35" s="94"/>
      <c r="E35" s="94"/>
      <c r="F35" s="94"/>
      <c r="G35" s="94"/>
      <c r="H35" s="94"/>
      <c r="I35" s="94"/>
      <c r="J35" s="94"/>
      <c r="K35" s="94"/>
      <c r="L35" s="110"/>
      <c r="M35" s="94"/>
      <c r="N35" s="1"/>
      <c r="O35" s="9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>
      <c r="A36" s="109"/>
      <c r="B36" s="94" t="s">
        <v>693</v>
      </c>
      <c r="C36" s="94"/>
      <c r="D36" s="94"/>
      <c r="E36" s="94"/>
      <c r="F36" s="94"/>
      <c r="G36" s="94"/>
      <c r="H36" s="94"/>
      <c r="I36" s="94"/>
      <c r="J36" s="94"/>
      <c r="K36" s="94"/>
      <c r="L36" s="110"/>
      <c r="M36" s="94"/>
      <c r="N36" s="1"/>
      <c r="O36" s="9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>
      <c r="A37" s="109"/>
      <c r="B37" s="94" t="s">
        <v>694</v>
      </c>
      <c r="C37" s="94"/>
      <c r="D37" s="94"/>
      <c r="E37" s="94"/>
      <c r="F37" s="94"/>
      <c r="G37" s="94"/>
      <c r="H37" s="94"/>
      <c r="I37" s="94"/>
      <c r="J37" s="94"/>
      <c r="K37" s="94"/>
      <c r="L37" s="110"/>
      <c r="M37" s="94"/>
      <c r="N37" s="1"/>
      <c r="O37" s="9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>
      <c r="A38" s="10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110"/>
      <c r="M38" s="94"/>
      <c r="N38" s="1"/>
      <c r="O38" s="9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>
      <c r="A39" s="109" t="s">
        <v>695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110"/>
      <c r="M39" s="94"/>
      <c r="N39" s="1"/>
      <c r="O39" s="9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>
      <c r="A40" s="106" t="s">
        <v>696</v>
      </c>
      <c r="B40" s="107"/>
      <c r="C40" s="94"/>
      <c r="D40" s="94"/>
      <c r="E40" s="107" t="s">
        <v>697</v>
      </c>
      <c r="F40" s="107"/>
      <c r="G40" s="107"/>
      <c r="H40" s="107"/>
      <c r="I40" s="111"/>
      <c r="J40" s="1"/>
      <c r="K40" s="111"/>
      <c r="L40" s="112" t="s">
        <v>698</v>
      </c>
      <c r="M40" s="94"/>
      <c r="N40" s="1"/>
      <c r="O40" s="9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>
      <c r="A41" s="113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114"/>
      <c r="M41" s="94"/>
      <c r="N41" s="115" t="s">
        <v>699</v>
      </c>
      <c r="O41" s="9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5" spans="1:33">
      <c r="A45" s="90" t="s">
        <v>232</v>
      </c>
      <c r="B45" s="91"/>
      <c r="C45" s="91"/>
      <c r="D45" s="91"/>
      <c r="E45" s="91"/>
      <c r="F45" s="91"/>
      <c r="G45" s="92"/>
      <c r="H45" s="14"/>
      <c r="I45" s="91"/>
      <c r="J45" s="91"/>
      <c r="K45" s="91"/>
      <c r="L45" s="91"/>
      <c r="M45" s="91"/>
      <c r="N45" s="91"/>
      <c r="O45" s="91"/>
      <c r="P45" s="91"/>
      <c r="Q45" s="92"/>
      <c r="R45" s="92"/>
      <c r="S45" s="1"/>
      <c r="T45" s="91" t="s">
        <v>700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90" t="s">
        <v>701</v>
      </c>
      <c r="B46" s="91"/>
      <c r="C46" s="91"/>
      <c r="D46" s="91"/>
      <c r="E46" s="91"/>
      <c r="F46" s="91"/>
      <c r="G46" s="91"/>
      <c r="H46" s="14"/>
      <c r="I46" s="91"/>
      <c r="J46" s="91"/>
      <c r="K46" s="91"/>
      <c r="L46" s="91"/>
      <c r="M46" s="91"/>
      <c r="N46" s="91"/>
      <c r="O46" s="91"/>
      <c r="P46" s="92"/>
      <c r="Q46" s="92"/>
      <c r="R46" s="92"/>
      <c r="S46" s="1"/>
      <c r="T46" s="9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>
      <c r="A47" s="116" t="str">
        <f>A3</f>
        <v>2023 Budget</v>
      </c>
      <c r="B47" s="91"/>
      <c r="C47" s="91"/>
      <c r="D47" s="91"/>
      <c r="E47" s="91"/>
      <c r="F47" s="91"/>
      <c r="G47" s="91"/>
      <c r="H47" s="90"/>
      <c r="I47" s="92"/>
      <c r="J47" s="91"/>
      <c r="K47" s="91"/>
      <c r="L47" s="91"/>
      <c r="M47" s="91"/>
      <c r="N47" s="91"/>
      <c r="O47" s="91"/>
      <c r="P47" s="91"/>
      <c r="Q47" s="92"/>
      <c r="R47" s="92"/>
      <c r="S47" s="117"/>
      <c r="T47" s="117"/>
      <c r="U47" s="117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>
      <c r="A48" s="116"/>
      <c r="B48" s="91"/>
      <c r="C48" s="91"/>
      <c r="D48" s="91"/>
      <c r="E48" s="91"/>
      <c r="F48" s="91"/>
      <c r="G48" s="91"/>
      <c r="H48" s="90"/>
      <c r="I48" s="92"/>
      <c r="J48" s="91"/>
      <c r="K48" s="91"/>
      <c r="L48" s="91"/>
      <c r="M48" s="91"/>
      <c r="N48" s="91"/>
      <c r="O48" s="91"/>
      <c r="P48" s="91"/>
      <c r="Q48" s="92"/>
      <c r="R48" s="92"/>
      <c r="S48" s="117"/>
      <c r="T48" s="117"/>
      <c r="U48" s="117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>
      <c r="A49" s="94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</row>
    <row r="51" spans="1:33">
      <c r="A51" s="1"/>
      <c r="B51" s="2" t="s">
        <v>663</v>
      </c>
      <c r="C51" s="1"/>
      <c r="D51" s="2" t="s">
        <v>664</v>
      </c>
      <c r="E51" s="1"/>
      <c r="F51" s="2" t="s">
        <v>665</v>
      </c>
      <c r="G51" s="1"/>
      <c r="H51" s="2" t="s">
        <v>666</v>
      </c>
      <c r="I51" s="1"/>
      <c r="J51" s="2" t="s">
        <v>667</v>
      </c>
      <c r="K51" s="1"/>
      <c r="L51" s="2" t="s">
        <v>702</v>
      </c>
      <c r="M51" s="1"/>
      <c r="N51" s="2" t="s">
        <v>703</v>
      </c>
      <c r="O51" s="1"/>
      <c r="P51" s="2" t="s">
        <v>704</v>
      </c>
      <c r="Q51" s="1"/>
      <c r="R51" s="2" t="s">
        <v>705</v>
      </c>
      <c r="S51" s="1"/>
      <c r="T51" s="2" t="s">
        <v>706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>
      <c r="A52" s="1"/>
      <c r="B52" s="1"/>
      <c r="C52" s="1"/>
      <c r="D52" s="2" t="s">
        <v>707</v>
      </c>
      <c r="E52" s="1"/>
      <c r="F52" s="2" t="s">
        <v>708</v>
      </c>
      <c r="G52" s="1"/>
      <c r="H52" s="2" t="s">
        <v>709</v>
      </c>
      <c r="I52" s="1"/>
      <c r="J52" s="2" t="s">
        <v>710</v>
      </c>
      <c r="K52" s="1"/>
      <c r="L52" s="1"/>
      <c r="M52" s="1"/>
      <c r="N52" s="2" t="s">
        <v>711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>
      <c r="A53" s="1"/>
      <c r="B53" s="2" t="s">
        <v>712</v>
      </c>
      <c r="C53" s="1"/>
      <c r="D53" s="2" t="s">
        <v>713</v>
      </c>
      <c r="E53" s="1"/>
      <c r="F53" s="2" t="s">
        <v>714</v>
      </c>
      <c r="G53" s="1"/>
      <c r="H53" s="2" t="s">
        <v>715</v>
      </c>
      <c r="I53" s="1"/>
      <c r="J53" s="2" t="s">
        <v>712</v>
      </c>
      <c r="K53" s="1"/>
      <c r="L53" s="2" t="s">
        <v>716</v>
      </c>
      <c r="M53" s="1"/>
      <c r="N53" s="2" t="s">
        <v>717</v>
      </c>
      <c r="O53" s="1"/>
      <c r="P53" s="2" t="s">
        <v>710</v>
      </c>
      <c r="Q53" s="1"/>
      <c r="R53" s="2" t="s">
        <v>718</v>
      </c>
      <c r="S53" s="1"/>
      <c r="T53" s="2" t="s">
        <v>719</v>
      </c>
      <c r="U53" s="1"/>
      <c r="V53" s="2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>
      <c r="A54" s="1"/>
      <c r="B54" s="118" t="s">
        <v>720</v>
      </c>
      <c r="C54" s="1"/>
      <c r="D54" s="118" t="s">
        <v>721</v>
      </c>
      <c r="E54" s="1"/>
      <c r="F54" s="118" t="s">
        <v>722</v>
      </c>
      <c r="G54" s="1"/>
      <c r="H54" s="118" t="s">
        <v>711</v>
      </c>
      <c r="I54" s="1"/>
      <c r="J54" s="118" t="s">
        <v>723</v>
      </c>
      <c r="K54" s="1"/>
      <c r="L54" s="118" t="s">
        <v>724</v>
      </c>
      <c r="M54" s="1"/>
      <c r="N54" s="118" t="s">
        <v>725</v>
      </c>
      <c r="O54" s="1"/>
      <c r="P54" s="118" t="s">
        <v>466</v>
      </c>
      <c r="Q54" s="1"/>
      <c r="R54" s="118" t="s">
        <v>726</v>
      </c>
      <c r="S54" s="1"/>
      <c r="T54" s="118" t="s">
        <v>727</v>
      </c>
      <c r="U54" s="1"/>
      <c r="V54" s="2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3.9" customHeight="1">
      <c r="A55" s="1" t="s">
        <v>728</v>
      </c>
      <c r="B55" s="84">
        <f ca="1">Reconcil!C57</f>
        <v>2996394.015214615</v>
      </c>
      <c r="C55" s="31"/>
      <c r="D55" s="84">
        <f ca="1">Reconcil!C60</f>
        <v>5031.8997876923086</v>
      </c>
      <c r="E55" s="31"/>
      <c r="F55" s="84">
        <f ca="1">-Reconcil!C63</f>
        <v>884208.11231846153</v>
      </c>
      <c r="G55" s="31"/>
      <c r="H55" s="84">
        <f ca="1">Reconcil!C149</f>
        <v>20193.869724615386</v>
      </c>
      <c r="I55" s="31"/>
      <c r="J55" s="84">
        <f ca="1">B55+D55-F55-H55</f>
        <v>2097023.9329592306</v>
      </c>
      <c r="K55" s="31"/>
      <c r="L55" s="84">
        <f ca="1">Reconcil!C58</f>
        <v>1939.5962730769227</v>
      </c>
      <c r="M55" s="31"/>
      <c r="N55" s="84">
        <f ca="1">Reconcil!C59</f>
        <v>133678.81936153845</v>
      </c>
      <c r="O55" s="31"/>
      <c r="P55" s="84">
        <f ca="1">J55+L55+N55</f>
        <v>2232642.348593846</v>
      </c>
      <c r="Q55" s="31"/>
      <c r="R55" s="84">
        <f ca="1">Reconcil!I210</f>
        <v>-10735.290613892663</v>
      </c>
      <c r="S55" s="31"/>
      <c r="T55" s="84">
        <f ca="1">P55+R55</f>
        <v>2221907.0579799535</v>
      </c>
      <c r="U55" s="3"/>
      <c r="V55" s="2"/>
      <c r="W55" s="1"/>
      <c r="X55" s="1"/>
      <c r="Y55" s="1"/>
      <c r="Z55" s="3"/>
      <c r="AA55" s="3"/>
      <c r="AB55" s="1"/>
      <c r="AC55" s="1"/>
      <c r="AD55" s="1"/>
      <c r="AE55" s="3"/>
      <c r="AF55" s="3"/>
      <c r="AG55" s="3"/>
    </row>
    <row r="56" spans="1:33">
      <c r="A56" s="1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3"/>
      <c r="V56" s="2"/>
      <c r="W56" s="1"/>
      <c r="X56" s="1"/>
      <c r="Y56" s="1"/>
      <c r="Z56" s="3"/>
      <c r="AA56" s="3"/>
      <c r="AB56" s="1"/>
      <c r="AC56" s="1"/>
      <c r="AD56" s="1"/>
      <c r="AE56" s="3"/>
      <c r="AF56" s="3"/>
      <c r="AG56" s="3"/>
    </row>
    <row r="57" spans="1:33">
      <c r="A57" s="119" t="s">
        <v>729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3"/>
      <c r="V57" s="2"/>
      <c r="W57" s="1"/>
      <c r="X57" s="1"/>
      <c r="Y57" s="1"/>
      <c r="Z57" s="3"/>
      <c r="AA57" s="3"/>
      <c r="AB57" s="1"/>
      <c r="AC57" s="1"/>
      <c r="AD57" s="1"/>
      <c r="AE57" s="3"/>
      <c r="AF57" s="3"/>
      <c r="AG57" s="3"/>
    </row>
    <row r="58" spans="1:33">
      <c r="A58" s="1" t="s">
        <v>38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>
        <f ca="1">-L55</f>
        <v>-1939.5962730769227</v>
      </c>
      <c r="M58" s="31"/>
      <c r="N58" s="31"/>
      <c r="O58" s="31"/>
      <c r="P58" s="31">
        <f ca="1">J58+L58+N58</f>
        <v>-1939.5962730769227</v>
      </c>
      <c r="Q58" s="31"/>
      <c r="R58" s="31"/>
      <c r="S58" s="31"/>
      <c r="T58" s="31">
        <f t="shared" ref="T58:T73" ca="1" si="0">P58+R58</f>
        <v>-1939.5962730769227</v>
      </c>
      <c r="U58" s="3"/>
      <c r="V58" s="2"/>
      <c r="W58" s="1"/>
      <c r="X58" s="1"/>
      <c r="Y58" s="1"/>
      <c r="Z58" s="3"/>
      <c r="AA58" s="3"/>
      <c r="AB58" s="1"/>
      <c r="AC58" s="1"/>
      <c r="AD58" s="1"/>
      <c r="AE58" s="3"/>
      <c r="AF58" s="3"/>
      <c r="AG58" s="3"/>
    </row>
    <row r="59" spans="1:33">
      <c r="A59" s="1" t="s">
        <v>47</v>
      </c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>
        <f ca="1">-Reconcil!C76</f>
        <v>-2.9961538461538462</v>
      </c>
      <c r="S59" s="31"/>
      <c r="T59" s="31">
        <f t="shared" ca="1" si="0"/>
        <v>-2.9961538461538462</v>
      </c>
      <c r="U59" s="3"/>
      <c r="V59" s="2"/>
      <c r="W59" s="1"/>
      <c r="X59" s="1"/>
      <c r="Y59" s="1"/>
      <c r="Z59" s="3"/>
      <c r="AA59" s="3"/>
      <c r="AB59" s="1"/>
      <c r="AC59" s="1"/>
      <c r="AD59" s="1"/>
      <c r="AE59" s="3"/>
      <c r="AF59" s="3"/>
      <c r="AG59" s="3"/>
    </row>
    <row r="60" spans="1:33">
      <c r="A60" s="1" t="s">
        <v>730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>
        <f ca="1">-Reconcil!C77</f>
        <v>0</v>
      </c>
      <c r="S60" s="31"/>
      <c r="T60" s="31">
        <f t="shared" ca="1" si="0"/>
        <v>0</v>
      </c>
      <c r="U60" s="3"/>
      <c r="V60" s="2"/>
      <c r="W60" s="1"/>
      <c r="X60" s="1"/>
      <c r="Y60" s="1"/>
      <c r="Z60" s="3"/>
      <c r="AA60" s="3"/>
      <c r="AB60" s="1"/>
      <c r="AC60" s="1"/>
      <c r="AD60" s="1"/>
      <c r="AE60" s="3"/>
      <c r="AF60" s="3"/>
      <c r="AG60" s="3"/>
    </row>
    <row r="61" spans="1:33">
      <c r="A61" s="1" t="s">
        <v>48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>
        <f ca="1">-Reconcil!$C$81+Reconcil!$C$128</f>
        <v>-10078.251204615386</v>
      </c>
      <c r="S61" s="31"/>
      <c r="T61" s="31">
        <f t="shared" ca="1" si="0"/>
        <v>-10078.251204615386</v>
      </c>
      <c r="U61" s="3"/>
      <c r="V61" s="2"/>
      <c r="W61" s="1"/>
      <c r="X61" s="1"/>
      <c r="Y61" s="1"/>
      <c r="Z61" s="3"/>
      <c r="AA61" s="3"/>
      <c r="AB61" s="1"/>
      <c r="AC61" s="1"/>
      <c r="AD61" s="1"/>
      <c r="AE61" s="3"/>
      <c r="AF61" s="3"/>
      <c r="AG61" s="3"/>
    </row>
    <row r="62" spans="1:33">
      <c r="A62" s="1" t="s">
        <v>49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43">
        <f ca="1">-Reconcil!$C$79</f>
        <v>-821.61441384615364</v>
      </c>
      <c r="S62" s="31"/>
      <c r="T62" s="31">
        <f t="shared" ca="1" si="0"/>
        <v>-821.61441384615364</v>
      </c>
      <c r="U62" s="3"/>
      <c r="V62" s="2"/>
      <c r="W62" s="1"/>
      <c r="X62" s="1"/>
      <c r="Y62" s="1"/>
      <c r="Z62" s="3"/>
      <c r="AA62" s="3"/>
      <c r="AB62" s="1"/>
      <c r="AC62" s="1"/>
      <c r="AD62" s="1"/>
      <c r="AE62" s="3"/>
      <c r="AF62" s="3"/>
      <c r="AG62" s="3"/>
    </row>
    <row r="63" spans="1:33">
      <c r="A63" s="1" t="s">
        <v>27</v>
      </c>
      <c r="B63" s="1040">
        <f ca="1">(-'Input Plant'!BZ11/1000)</f>
        <v>-1385.6504708142379</v>
      </c>
      <c r="C63" s="164"/>
      <c r="D63" s="164"/>
      <c r="E63" s="164"/>
      <c r="F63" s="1040">
        <f ca="1">'Input Plant'!BZ23/1000</f>
        <v>-435.60415174910077</v>
      </c>
      <c r="G63" s="31"/>
      <c r="H63" s="31"/>
      <c r="I63" s="31"/>
      <c r="J63" s="31">
        <f ca="1">B63+D63-F63-H63</f>
        <v>-950.04631906513714</v>
      </c>
      <c r="K63" s="31"/>
      <c r="L63" s="31"/>
      <c r="M63" s="31"/>
      <c r="N63" s="31"/>
      <c r="O63" s="31"/>
      <c r="P63" s="31">
        <f ca="1">J63+L63+N63</f>
        <v>-950.04631906513714</v>
      </c>
      <c r="Q63" s="31"/>
      <c r="R63" s="31"/>
      <c r="S63" s="31"/>
      <c r="T63" s="31">
        <f t="shared" ca="1" si="0"/>
        <v>-950.04631906513714</v>
      </c>
      <c r="U63" s="3"/>
      <c r="V63" s="2"/>
      <c r="W63" s="1"/>
      <c r="X63" s="1"/>
      <c r="Y63" s="1"/>
      <c r="Z63" s="3"/>
      <c r="AA63" s="3"/>
      <c r="AB63" s="1"/>
      <c r="AC63" s="1"/>
      <c r="AD63" s="1"/>
      <c r="AE63" s="3"/>
      <c r="AF63" s="3"/>
      <c r="AG63" s="3"/>
    </row>
    <row r="64" spans="1:33" ht="12" customHeight="1">
      <c r="A64" s="1" t="s">
        <v>50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>
        <f ca="1">-Reconcil!$C$91</f>
        <v>-349.48033615384617</v>
      </c>
      <c r="S64" s="31"/>
      <c r="T64" s="31">
        <f t="shared" ca="1" si="0"/>
        <v>-349.48033615384617</v>
      </c>
      <c r="U64" s="3"/>
      <c r="V64" s="2"/>
      <c r="W64" s="1"/>
      <c r="X64" s="1"/>
      <c r="Y64" s="1"/>
      <c r="Z64" s="3"/>
      <c r="AA64" s="3"/>
      <c r="AB64" s="1"/>
      <c r="AC64" s="1"/>
      <c r="AD64" s="1"/>
      <c r="AE64" s="3"/>
      <c r="AF64" s="3"/>
      <c r="AG64" s="3"/>
    </row>
    <row r="65" spans="1:33">
      <c r="A65" s="361" t="s">
        <v>51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429">
        <f ca="1">IF(Reconcil!$C$99&gt;0,Reconcil!$C$99*-1,0)</f>
        <v>-656.67635230768735</v>
      </c>
      <c r="S65" s="31"/>
      <c r="T65" s="31">
        <f t="shared" ca="1" si="0"/>
        <v>-656.67635230768735</v>
      </c>
      <c r="U65" s="3"/>
      <c r="V65" s="2"/>
      <c r="W65" s="1"/>
      <c r="X65" s="1"/>
      <c r="Y65" s="1"/>
      <c r="Z65" s="3"/>
      <c r="AA65" s="3"/>
      <c r="AB65" s="1"/>
      <c r="AC65" s="1"/>
      <c r="AD65" s="1"/>
      <c r="AE65" s="3"/>
      <c r="AF65" s="3"/>
      <c r="AG65" s="3"/>
    </row>
    <row r="66" spans="1:33">
      <c r="A66" s="1" t="s">
        <v>52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>
        <f ca="1">Reconcil!$C$134</f>
        <v>0</v>
      </c>
      <c r="S66" s="31"/>
      <c r="T66" s="31">
        <f t="shared" ca="1" si="0"/>
        <v>0</v>
      </c>
      <c r="U66" s="3"/>
      <c r="V66" s="2"/>
      <c r="W66" s="1"/>
      <c r="X66" s="1"/>
      <c r="Y66" s="1"/>
      <c r="Z66" s="3"/>
      <c r="AA66" s="3"/>
      <c r="AB66" s="1"/>
      <c r="AC66" s="1"/>
      <c r="AD66" s="1"/>
      <c r="AE66" s="3"/>
      <c r="AF66" s="3"/>
      <c r="AG66" s="3"/>
    </row>
    <row r="67" spans="1:33">
      <c r="A67" s="361" t="s">
        <v>53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429">
        <f ca="1">IF((Reconcil!$C$137-Reconcil!$C$95)&lt;0,(Reconcil!$C$137-Reconcil!$C$95),0)</f>
        <v>0</v>
      </c>
      <c r="S67" s="31"/>
      <c r="T67" s="31">
        <f t="shared" ca="1" si="0"/>
        <v>0</v>
      </c>
      <c r="U67" s="3"/>
      <c r="V67" s="2"/>
      <c r="W67" s="1"/>
      <c r="X67" s="1"/>
      <c r="Y67" s="1"/>
      <c r="Z67" s="3"/>
      <c r="AA67" s="3"/>
      <c r="AB67" s="1"/>
      <c r="AC67" s="1"/>
      <c r="AD67" s="1"/>
      <c r="AE67" s="3"/>
      <c r="AF67" s="3"/>
      <c r="AG67" s="3"/>
    </row>
    <row r="68" spans="1:33">
      <c r="A68" s="361" t="s">
        <v>54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43">
        <f ca="1">IF((Reconcil!$C$138-Reconcil!$C$96)&lt;0,(Reconcil!$C$138-Reconcil!$C$96),0)</f>
        <v>0</v>
      </c>
      <c r="S68" s="31"/>
      <c r="T68" s="31">
        <f ca="1">P68+R68</f>
        <v>0</v>
      </c>
      <c r="U68" s="3"/>
      <c r="V68" s="2"/>
      <c r="W68" s="1"/>
      <c r="X68" s="1"/>
      <c r="Y68" s="1"/>
      <c r="Z68" s="3"/>
      <c r="AA68" s="3"/>
      <c r="AB68" s="1"/>
      <c r="AC68" s="1"/>
      <c r="AD68" s="1"/>
      <c r="AE68" s="3"/>
      <c r="AF68" s="3"/>
      <c r="AG68" s="3"/>
    </row>
    <row r="69" spans="1:33">
      <c r="A69" s="1" t="s">
        <v>55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>
        <f ca="1">-Input!B14/1000</f>
        <v>-3434.0594876923083</v>
      </c>
      <c r="S69" s="31"/>
      <c r="T69" s="31">
        <f t="shared" ca="1" si="0"/>
        <v>-3434.0594876923083</v>
      </c>
      <c r="U69" s="3"/>
      <c r="V69" s="2"/>
      <c r="W69" s="1"/>
      <c r="X69" s="1"/>
      <c r="Y69" s="1"/>
      <c r="Z69" s="3"/>
      <c r="AA69" s="3"/>
      <c r="AB69" s="1"/>
      <c r="AC69" s="1"/>
      <c r="AD69" s="1"/>
      <c r="AE69" s="3"/>
      <c r="AF69" s="3"/>
      <c r="AG69" s="3"/>
    </row>
    <row r="70" spans="1:33">
      <c r="A70" s="1" t="s">
        <v>56</v>
      </c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>
        <f ca="1">-Reconcil!$C$98</f>
        <v>-332.51357076923074</v>
      </c>
      <c r="S70" s="31"/>
      <c r="T70" s="31">
        <f t="shared" ca="1" si="0"/>
        <v>-332.51357076923074</v>
      </c>
      <c r="U70" s="3"/>
      <c r="V70" s="2"/>
      <c r="W70" s="1"/>
      <c r="X70" s="1"/>
      <c r="Y70" s="1"/>
      <c r="Z70" s="3"/>
      <c r="AA70" s="3"/>
      <c r="AB70" s="1"/>
      <c r="AC70" s="1"/>
      <c r="AD70" s="1"/>
      <c r="AE70" s="3"/>
      <c r="AF70" s="3"/>
      <c r="AG70" s="3"/>
    </row>
    <row r="71" spans="1:33">
      <c r="A71" s="1" t="s">
        <v>731</v>
      </c>
      <c r="B71" s="31"/>
      <c r="C71" s="31"/>
      <c r="D71" s="37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170">
        <v>0</v>
      </c>
      <c r="S71" s="31"/>
      <c r="T71" s="31">
        <f t="shared" si="0"/>
        <v>0</v>
      </c>
      <c r="U71" s="3"/>
      <c r="V71" s="2"/>
      <c r="W71" s="1"/>
      <c r="X71" s="1"/>
      <c r="Y71" s="1"/>
      <c r="Z71" s="3"/>
      <c r="AA71" s="3"/>
      <c r="AB71" s="1"/>
      <c r="AC71" s="1"/>
      <c r="AD71" s="1"/>
      <c r="AE71" s="3"/>
      <c r="AF71" s="3"/>
      <c r="AG71" s="3"/>
    </row>
    <row r="72" spans="1:33">
      <c r="A72" s="1" t="s">
        <v>31</v>
      </c>
      <c r="B72" s="120"/>
      <c r="C72" s="120"/>
      <c r="D72" s="1041">
        <f>-+'Input WFNG'!C278*0</f>
        <v>0</v>
      </c>
      <c r="E72" s="121"/>
      <c r="F72" s="1041">
        <f>-+'Input WFNG'!E278*0</f>
        <v>0</v>
      </c>
      <c r="G72" s="31"/>
      <c r="H72" s="31"/>
      <c r="I72" s="31"/>
      <c r="J72" s="31">
        <f>B72+D72-F72-H72</f>
        <v>0</v>
      </c>
      <c r="K72" s="31"/>
      <c r="L72" s="31"/>
      <c r="M72" s="31"/>
      <c r="N72" s="31"/>
      <c r="O72" s="31"/>
      <c r="P72" s="31">
        <f>J72+L72+N72</f>
        <v>0</v>
      </c>
      <c r="Q72" s="31"/>
      <c r="R72" s="31"/>
      <c r="S72" s="31"/>
      <c r="T72" s="31">
        <f t="shared" si="0"/>
        <v>0</v>
      </c>
      <c r="U72" s="3"/>
      <c r="V72" s="2"/>
      <c r="W72" s="1"/>
      <c r="X72" s="1"/>
      <c r="Y72" s="1"/>
      <c r="Z72" s="3"/>
      <c r="AA72" s="3"/>
      <c r="AB72" s="1"/>
      <c r="AC72" s="1"/>
      <c r="AD72" s="1"/>
      <c r="AE72" s="3"/>
      <c r="AF72" s="3"/>
      <c r="AG72" s="3"/>
    </row>
    <row r="73" spans="1:33">
      <c r="A73" s="1" t="s">
        <v>732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>
        <f ca="1">(-Reconcil!C87+Reconcil!C140)*0</f>
        <v>0</v>
      </c>
      <c r="S73" s="31"/>
      <c r="T73" s="31">
        <f t="shared" ca="1" si="0"/>
        <v>0</v>
      </c>
      <c r="U73" s="3"/>
      <c r="V73" s="2"/>
      <c r="W73" s="1"/>
      <c r="X73" s="1"/>
      <c r="Y73" s="1"/>
      <c r="Z73" s="3"/>
      <c r="AA73" s="3"/>
      <c r="AB73" s="1"/>
      <c r="AC73" s="1"/>
      <c r="AD73" s="1"/>
      <c r="AE73" s="3"/>
      <c r="AF73" s="3"/>
      <c r="AG73" s="3"/>
    </row>
    <row r="74" spans="1:33">
      <c r="A74" s="1" t="s">
        <v>28</v>
      </c>
      <c r="B74" s="1042">
        <f ca="1">-Input!B60/1000</f>
        <v>-71287.725111538486</v>
      </c>
      <c r="C74" s="31"/>
      <c r="D74" s="31"/>
      <c r="E74" s="31"/>
      <c r="F74" s="1042">
        <f ca="1">-Input!B61/1000</f>
        <v>-741.22591076923118</v>
      </c>
      <c r="G74" s="31"/>
      <c r="H74" s="31"/>
      <c r="I74" s="31"/>
      <c r="J74" s="31">
        <f ca="1">B74+D74-F74-H74</f>
        <v>-70546.499200769249</v>
      </c>
      <c r="K74" s="31"/>
      <c r="L74" s="31"/>
      <c r="M74" s="31"/>
      <c r="N74" s="1042">
        <f ca="1">-Input!B62/1000</f>
        <v>-11943.256174615381</v>
      </c>
      <c r="O74" s="31"/>
      <c r="P74" s="31">
        <f ca="1">J74+L74+N74</f>
        <v>-82489.75537538463</v>
      </c>
      <c r="Q74" s="31"/>
      <c r="R74" s="202"/>
      <c r="S74" s="31"/>
      <c r="T74" s="31">
        <f ca="1">P74+R74</f>
        <v>-82489.75537538463</v>
      </c>
      <c r="U74" s="3"/>
      <c r="V74" s="2"/>
      <c r="W74" s="1"/>
      <c r="X74" s="1"/>
      <c r="Y74" s="1"/>
      <c r="Z74" s="3"/>
      <c r="AA74" s="3"/>
      <c r="AB74" s="1"/>
      <c r="AC74" s="1"/>
      <c r="AD74" s="1"/>
      <c r="AE74" s="3"/>
      <c r="AF74" s="3"/>
      <c r="AG74" s="3"/>
    </row>
    <row r="75" spans="1:33">
      <c r="A75" s="1" t="s">
        <v>733</v>
      </c>
      <c r="B75" s="37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1042">
        <f ca="1">+-'Input Plant'!BX40/1000</f>
        <v>-95323.104253846162</v>
      </c>
      <c r="O75" s="31"/>
      <c r="P75" s="31">
        <f ca="1">J75+L75+N75</f>
        <v>-95323.104253846162</v>
      </c>
      <c r="Q75" s="31"/>
      <c r="R75" s="37"/>
      <c r="S75" s="31"/>
      <c r="T75" s="31">
        <f ca="1">P75+R75</f>
        <v>-95323.104253846162</v>
      </c>
      <c r="U75" s="3"/>
      <c r="V75" s="2"/>
      <c r="W75" s="1"/>
      <c r="X75" s="1"/>
      <c r="Y75" s="1"/>
      <c r="Z75" s="3"/>
      <c r="AA75" s="3"/>
      <c r="AB75" s="1"/>
      <c r="AC75" s="1"/>
      <c r="AD75" s="1"/>
      <c r="AE75" s="3"/>
      <c r="AF75" s="3"/>
      <c r="AG75" s="3"/>
    </row>
    <row r="76" spans="1:33">
      <c r="A76" s="1" t="s">
        <v>57</v>
      </c>
      <c r="B76" s="84"/>
      <c r="C76" s="31"/>
      <c r="D76" s="84"/>
      <c r="E76" s="31"/>
      <c r="F76" s="84"/>
      <c r="G76" s="31"/>
      <c r="H76" s="84"/>
      <c r="I76" s="31"/>
      <c r="J76" s="84"/>
      <c r="K76" s="31"/>
      <c r="L76" s="84"/>
      <c r="M76" s="31"/>
      <c r="N76" s="84"/>
      <c r="O76" s="31"/>
      <c r="P76" s="84"/>
      <c r="Q76" s="31"/>
      <c r="R76" s="122">
        <f ca="1">-Reconcil!C67</f>
        <v>-1196.6926553846154</v>
      </c>
      <c r="S76" s="31"/>
      <c r="T76" s="122">
        <f ca="1">P76+R76</f>
        <v>-1196.6926553846154</v>
      </c>
      <c r="U76" s="3"/>
      <c r="V76" s="2"/>
      <c r="W76" s="1"/>
      <c r="X76" s="1"/>
      <c r="Y76" s="1"/>
      <c r="Z76" s="3"/>
      <c r="AA76" s="3"/>
      <c r="AB76" s="1"/>
      <c r="AC76" s="1"/>
      <c r="AD76" s="1"/>
      <c r="AE76" s="3"/>
      <c r="AF76" s="3"/>
      <c r="AG76" s="3"/>
    </row>
    <row r="77" spans="1:33" ht="12.95" customHeight="1">
      <c r="A77" s="1" t="s">
        <v>734</v>
      </c>
      <c r="B77" s="84">
        <f ca="1">SUM(B58:B76)</f>
        <v>-72673.375582352717</v>
      </c>
      <c r="C77" s="31"/>
      <c r="D77" s="84">
        <f>SUM(D58:D76)</f>
        <v>0</v>
      </c>
      <c r="E77" s="31"/>
      <c r="F77" s="84">
        <f ca="1">SUM(F58:F76)</f>
        <v>-1176.8300625183319</v>
      </c>
      <c r="G77" s="31"/>
      <c r="H77" s="84">
        <f>SUM(H58:H76)</f>
        <v>0</v>
      </c>
      <c r="I77" s="31"/>
      <c r="J77" s="84">
        <f ca="1">SUM(J58:J76)</f>
        <v>-71496.545519834384</v>
      </c>
      <c r="K77" s="31"/>
      <c r="L77" s="84">
        <f ca="1">SUM(L58:L76)</f>
        <v>-1939.5962730769227</v>
      </c>
      <c r="M77" s="31"/>
      <c r="N77" s="84">
        <f ca="1">SUM(N58:N76)</f>
        <v>-107266.36042846154</v>
      </c>
      <c r="O77" s="31"/>
      <c r="P77" s="84">
        <f ca="1">SUM(P58:P76)</f>
        <v>-180702.50222137285</v>
      </c>
      <c r="Q77" s="31"/>
      <c r="R77" s="84">
        <f ca="1">SUM(R58:R76)</f>
        <v>-16872.284174615383</v>
      </c>
      <c r="S77" s="31"/>
      <c r="T77" s="84">
        <f ca="1">SUM(T58:T76)</f>
        <v>-197574.78639598825</v>
      </c>
      <c r="U77" s="3"/>
      <c r="V77" s="2"/>
      <c r="W77" s="1"/>
      <c r="X77" s="1"/>
      <c r="Y77" s="1"/>
      <c r="Z77" s="3"/>
      <c r="AA77" s="3"/>
      <c r="AB77" s="1"/>
      <c r="AC77" s="1"/>
      <c r="AD77" s="1"/>
      <c r="AE77" s="3"/>
      <c r="AF77" s="3"/>
      <c r="AG77" s="3"/>
    </row>
    <row r="78" spans="1:33">
      <c r="A78" s="1"/>
      <c r="B78" s="31" t="s">
        <v>650</v>
      </c>
      <c r="C78" s="31"/>
      <c r="D78" s="31" t="s">
        <v>650</v>
      </c>
      <c r="E78" s="31"/>
      <c r="F78" s="31" t="s">
        <v>650</v>
      </c>
      <c r="G78" s="31"/>
      <c r="H78" s="31" t="s">
        <v>650</v>
      </c>
      <c r="I78" s="31"/>
      <c r="J78" s="31" t="s">
        <v>650</v>
      </c>
      <c r="K78" s="31"/>
      <c r="L78" s="31" t="s">
        <v>650</v>
      </c>
      <c r="M78" s="31"/>
      <c r="N78" s="31" t="s">
        <v>650</v>
      </c>
      <c r="O78" s="31"/>
      <c r="P78" s="31" t="s">
        <v>650</v>
      </c>
      <c r="Q78" s="31"/>
      <c r="R78" s="31" t="s">
        <v>650</v>
      </c>
      <c r="S78" s="31"/>
      <c r="T78" s="31" t="s">
        <v>650</v>
      </c>
      <c r="U78" s="3"/>
      <c r="V78" s="2"/>
      <c r="W78" s="1"/>
      <c r="X78" s="1"/>
      <c r="Y78" s="1"/>
      <c r="Z78" s="3"/>
      <c r="AA78" s="3"/>
      <c r="AB78" s="1"/>
      <c r="AC78" s="1"/>
      <c r="AD78" s="1"/>
      <c r="AE78" s="3"/>
      <c r="AF78" s="3"/>
      <c r="AG78" s="3"/>
    </row>
    <row r="79" spans="1:33" ht="13.5" thickBot="1">
      <c r="A79" s="1" t="s">
        <v>735</v>
      </c>
      <c r="B79" s="123">
        <f ca="1">B55+B77</f>
        <v>2923720.6396322623</v>
      </c>
      <c r="C79" s="31"/>
      <c r="D79" s="123">
        <f ca="1">D55+D77</f>
        <v>5031.8997876923086</v>
      </c>
      <c r="E79" s="31"/>
      <c r="F79" s="123">
        <f ca="1">F55+F77</f>
        <v>883031.28225594317</v>
      </c>
      <c r="G79" s="31"/>
      <c r="H79" s="123">
        <f ca="1">H55+H77</f>
        <v>20193.869724615386</v>
      </c>
      <c r="I79" s="31"/>
      <c r="J79" s="123">
        <f ca="1">J55+J77</f>
        <v>2025527.3874393962</v>
      </c>
      <c r="K79" s="31"/>
      <c r="L79" s="123">
        <f ca="1">L55+L77</f>
        <v>0</v>
      </c>
      <c r="M79" s="31"/>
      <c r="N79" s="123">
        <f ca="1">N55+N77</f>
        <v>26412.458933076909</v>
      </c>
      <c r="O79" s="31"/>
      <c r="P79" s="123">
        <f ca="1">P55+P77</f>
        <v>2051939.8463724731</v>
      </c>
      <c r="Q79" s="31"/>
      <c r="R79" s="123">
        <f ca="1">R55+R77</f>
        <v>-27607.574788508045</v>
      </c>
      <c r="S79" s="31"/>
      <c r="T79" s="123">
        <f ca="1">T55+T77</f>
        <v>2024332.2715839653</v>
      </c>
      <c r="U79" s="31"/>
      <c r="V79" s="2"/>
      <c r="W79" s="1"/>
      <c r="X79" s="1"/>
      <c r="Y79" s="1"/>
      <c r="Z79" s="3"/>
      <c r="AA79" s="3"/>
      <c r="AB79" s="1"/>
      <c r="AC79" s="1"/>
      <c r="AD79" s="1"/>
      <c r="AE79" s="3"/>
      <c r="AF79" s="3"/>
      <c r="AG79" s="3"/>
    </row>
    <row r="80" spans="1:33" ht="13.5" thickTop="1">
      <c r="A80" s="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"/>
      <c r="V80" s="3"/>
      <c r="W80" s="1"/>
      <c r="X80" s="1"/>
      <c r="Y80" s="1"/>
      <c r="Z80" s="3"/>
      <c r="AA80" s="3"/>
      <c r="AB80" s="1"/>
      <c r="AC80" s="1"/>
      <c r="AD80" s="1"/>
      <c r="AE80" s="3"/>
      <c r="AF80" s="3"/>
      <c r="AG80" s="3"/>
    </row>
    <row r="81" spans="1:33">
      <c r="A81" s="119" t="s">
        <v>736</v>
      </c>
      <c r="B81" s="84"/>
      <c r="C81" s="31"/>
      <c r="D81" s="84"/>
      <c r="E81" s="31"/>
      <c r="F81" s="84"/>
      <c r="G81" s="31"/>
      <c r="H81" s="84"/>
      <c r="I81" s="31"/>
      <c r="J81" s="84"/>
      <c r="K81" s="31"/>
      <c r="L81" s="84"/>
      <c r="M81" s="31"/>
      <c r="N81" s="84"/>
      <c r="O81" s="31"/>
      <c r="P81" s="84"/>
      <c r="Q81" s="31"/>
      <c r="R81" s="84"/>
      <c r="S81" s="31"/>
      <c r="T81" s="84"/>
      <c r="U81" s="3"/>
      <c r="V81" s="3"/>
      <c r="W81" s="1"/>
      <c r="X81" s="1"/>
      <c r="Y81" s="1"/>
      <c r="Z81" s="3"/>
      <c r="AA81" s="3"/>
      <c r="AB81" s="1"/>
      <c r="AC81" s="1"/>
      <c r="AD81" s="1"/>
      <c r="AE81" s="3"/>
      <c r="AF81" s="3"/>
      <c r="AG81" s="3"/>
    </row>
    <row r="82" spans="1:33">
      <c r="A82" s="1" t="s">
        <v>737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"/>
      <c r="V82" s="3"/>
      <c r="W82" s="1"/>
      <c r="X82" s="1"/>
      <c r="Y82" s="1"/>
      <c r="Z82" s="3"/>
      <c r="AA82" s="3"/>
      <c r="AB82" s="1"/>
      <c r="AC82" s="1"/>
      <c r="AD82" s="1"/>
      <c r="AE82" s="3"/>
      <c r="AF82" s="3"/>
      <c r="AG82" s="3"/>
    </row>
    <row r="83" spans="1:33" ht="13.5" thickBot="1">
      <c r="A83" s="1" t="s">
        <v>736</v>
      </c>
      <c r="B83" s="123">
        <f ca="1">B79+B81</f>
        <v>2923720.6396322623</v>
      </c>
      <c r="C83" s="31"/>
      <c r="D83" s="123">
        <f ca="1">D79+D81</f>
        <v>5031.8997876923086</v>
      </c>
      <c r="E83" s="31"/>
      <c r="F83" s="123">
        <f ca="1">F79+F81</f>
        <v>883031.28225594317</v>
      </c>
      <c r="G83" s="31"/>
      <c r="H83" s="123">
        <f ca="1">H79+H81</f>
        <v>20193.869724615386</v>
      </c>
      <c r="I83" s="31"/>
      <c r="J83" s="123">
        <f ca="1">J79+J81</f>
        <v>2025527.3874393962</v>
      </c>
      <c r="K83" s="31"/>
      <c r="L83" s="123">
        <f ca="1">L79+L81</f>
        <v>0</v>
      </c>
      <c r="M83" s="31"/>
      <c r="N83" s="123">
        <f ca="1">N79+N81</f>
        <v>26412.458933076909</v>
      </c>
      <c r="O83" s="31"/>
      <c r="P83" s="123">
        <f ca="1">P79+P81</f>
        <v>2051939.8463724731</v>
      </c>
      <c r="Q83" s="31"/>
      <c r="R83" s="123">
        <f ca="1">R79+R81</f>
        <v>-27607.574788508045</v>
      </c>
      <c r="S83" s="31"/>
      <c r="T83" s="123">
        <f ca="1">T79+T81</f>
        <v>2024332.2715839653</v>
      </c>
      <c r="U83" s="3"/>
      <c r="V83" s="31"/>
      <c r="W83" s="1"/>
      <c r="X83" s="1"/>
      <c r="Y83" s="1"/>
      <c r="Z83" s="3"/>
      <c r="AA83" s="3"/>
      <c r="AB83" s="1"/>
      <c r="AC83" s="1"/>
      <c r="AD83" s="1"/>
      <c r="AE83" s="3"/>
      <c r="AF83" s="3"/>
      <c r="AG83" s="3"/>
    </row>
    <row r="84" spans="1:33" ht="13.5" thickTop="1">
      <c r="A84" s="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"/>
      <c r="V84" s="3"/>
      <c r="W84" s="1"/>
      <c r="X84" s="1"/>
      <c r="Y84" s="1"/>
      <c r="Z84" s="3"/>
      <c r="AA84" s="3"/>
      <c r="AB84" s="1"/>
      <c r="AC84" s="1"/>
      <c r="AD84" s="1"/>
      <c r="AE84" s="3"/>
      <c r="AF84" s="3"/>
      <c r="AG84" s="3"/>
    </row>
    <row r="85" spans="1:33">
      <c r="A85" s="1" t="s">
        <v>738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"/>
      <c r="V85" s="3"/>
      <c r="W85" s="1"/>
      <c r="X85" s="1"/>
      <c r="Y85" s="1"/>
      <c r="Z85" s="3"/>
      <c r="AA85" s="3"/>
      <c r="AB85" s="1"/>
      <c r="AC85" s="1"/>
      <c r="AD85" s="1"/>
      <c r="AE85" s="3"/>
      <c r="AF85" s="3"/>
      <c r="AG85" s="3"/>
    </row>
    <row r="86" spans="1:33">
      <c r="A86" s="119" t="s">
        <v>739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"/>
      <c r="V86" s="3"/>
      <c r="W86" s="1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>
      <c r="A87" s="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"/>
      <c r="V87" s="3"/>
      <c r="W87" s="1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>
      <c r="A88" s="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>
        <f>P88+R88</f>
        <v>0</v>
      </c>
      <c r="U88" s="3"/>
      <c r="V88" s="31"/>
      <c r="W88" s="1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>
      <c r="A89" s="1"/>
      <c r="B89" s="84"/>
      <c r="C89" s="31"/>
      <c r="D89" s="84"/>
      <c r="E89" s="31"/>
      <c r="F89" s="84"/>
      <c r="G89" s="31"/>
      <c r="H89" s="84"/>
      <c r="I89" s="31"/>
      <c r="J89" s="84"/>
      <c r="K89" s="31"/>
      <c r="L89" s="84"/>
      <c r="M89" s="31"/>
      <c r="N89" s="84"/>
      <c r="O89" s="31"/>
      <c r="P89" s="84"/>
      <c r="Q89" s="31"/>
      <c r="R89" s="84"/>
      <c r="S89" s="31"/>
      <c r="T89" s="84"/>
      <c r="U89" s="3"/>
      <c r="V89" s="3"/>
      <c r="W89" s="1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ht="12.95" customHeight="1">
      <c r="A90" s="1" t="s">
        <v>740</v>
      </c>
      <c r="B90" s="84">
        <f>SUM(B88:B88)</f>
        <v>0</v>
      </c>
      <c r="C90" s="31"/>
      <c r="D90" s="84">
        <f>SUM(D88:D88)</f>
        <v>0</v>
      </c>
      <c r="E90" s="31"/>
      <c r="F90" s="84">
        <f>SUM(F88:F88)</f>
        <v>0</v>
      </c>
      <c r="G90" s="31"/>
      <c r="H90" s="84">
        <f>SUM(H88:H88)</f>
        <v>0</v>
      </c>
      <c r="I90" s="31"/>
      <c r="J90" s="84">
        <f>SUM(J88:J88)</f>
        <v>0</v>
      </c>
      <c r="K90" s="31"/>
      <c r="L90" s="84">
        <f>SUM(L88:L88)</f>
        <v>0</v>
      </c>
      <c r="M90" s="31"/>
      <c r="N90" s="84">
        <f>SUM(N88:N88)</f>
        <v>0</v>
      </c>
      <c r="O90" s="31"/>
      <c r="P90" s="84">
        <f>SUM(P88:P88)</f>
        <v>0</v>
      </c>
      <c r="Q90" s="31"/>
      <c r="R90" s="84">
        <f>SUM(R88:R88)</f>
        <v>0</v>
      </c>
      <c r="S90" s="31"/>
      <c r="T90" s="84">
        <f>SUM(T88:T88)</f>
        <v>0</v>
      </c>
      <c r="U90" s="3"/>
      <c r="V90" s="31"/>
      <c r="W90" s="1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>
      <c r="A91" s="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"/>
      <c r="V91" s="3"/>
      <c r="W91" s="1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ht="13.5" thickBot="1">
      <c r="A92" s="1" t="s">
        <v>741</v>
      </c>
      <c r="B92" s="123">
        <f ca="1">B83+B90</f>
        <v>2923720.6396322623</v>
      </c>
      <c r="C92" s="31"/>
      <c r="D92" s="123">
        <f ca="1">D83+D90</f>
        <v>5031.8997876923086</v>
      </c>
      <c r="E92" s="31"/>
      <c r="F92" s="123">
        <f ca="1">F83+F90</f>
        <v>883031.28225594317</v>
      </c>
      <c r="G92" s="31"/>
      <c r="H92" s="123">
        <f ca="1">H83+H90</f>
        <v>20193.869724615386</v>
      </c>
      <c r="I92" s="31"/>
      <c r="J92" s="123">
        <f ca="1">J83+J90</f>
        <v>2025527.3874393962</v>
      </c>
      <c r="K92" s="31"/>
      <c r="L92" s="123">
        <f ca="1">L83+L90</f>
        <v>0</v>
      </c>
      <c r="M92" s="31"/>
      <c r="N92" s="123">
        <f ca="1">N83+N90</f>
        <v>26412.458933076909</v>
      </c>
      <c r="O92" s="31"/>
      <c r="P92" s="123">
        <f ca="1">P83+P90</f>
        <v>2051939.8463724731</v>
      </c>
      <c r="Q92" s="31"/>
      <c r="R92" s="123">
        <f ca="1">R83+R90</f>
        <v>-27607.574788508045</v>
      </c>
      <c r="S92" s="31"/>
      <c r="T92" s="123">
        <f ca="1">T83+T90</f>
        <v>2024332.2715839653</v>
      </c>
      <c r="U92" s="3"/>
      <c r="V92" s="31"/>
      <c r="W92" s="1"/>
      <c r="X92" s="3"/>
      <c r="Y92" s="3"/>
      <c r="Z92" s="3"/>
      <c r="AA92" s="3"/>
      <c r="AB92" s="3"/>
      <c r="AC92" s="3"/>
      <c r="AD92" s="3"/>
      <c r="AE92" s="3"/>
      <c r="AF92" s="3"/>
      <c r="AG92" s="3"/>
    </row>
    <row r="93" spans="1:33" ht="13.5" thickTop="1">
      <c r="A93" s="1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3">
      <c r="A94" s="1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</row>
    <row r="95" spans="1:33" ht="15.75">
      <c r="A95" s="124" t="s">
        <v>232</v>
      </c>
      <c r="B95" s="125"/>
      <c r="C95" s="125"/>
      <c r="D95" s="125"/>
      <c r="E95" s="125"/>
      <c r="F95" s="92"/>
      <c r="G95" s="125"/>
      <c r="H95" s="124"/>
      <c r="I95" s="92"/>
      <c r="J95" s="126"/>
      <c r="K95" s="125"/>
      <c r="L95" s="125"/>
      <c r="M95" s="125"/>
      <c r="N95" s="125"/>
      <c r="O95" s="125"/>
      <c r="P95" s="125"/>
      <c r="Q95" s="125"/>
      <c r="R95" s="125"/>
      <c r="S95" s="125"/>
      <c r="T95" s="125" t="s">
        <v>742</v>
      </c>
      <c r="U95" s="126"/>
      <c r="V95" s="125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</row>
    <row r="96" spans="1:33" ht="15.75">
      <c r="A96" s="127" t="s">
        <v>675</v>
      </c>
      <c r="B96" s="125"/>
      <c r="C96" s="125"/>
      <c r="D96" s="125"/>
      <c r="E96" s="125"/>
      <c r="F96" s="92"/>
      <c r="G96" s="125"/>
      <c r="H96" s="127"/>
      <c r="I96" s="92"/>
      <c r="J96" s="126"/>
      <c r="K96" s="125"/>
      <c r="L96" s="125"/>
      <c r="M96" s="125"/>
      <c r="N96" s="125"/>
      <c r="O96" s="125"/>
      <c r="P96" s="125"/>
      <c r="Q96" s="125"/>
      <c r="R96" s="125"/>
      <c r="S96" s="125"/>
      <c r="T96" s="128"/>
      <c r="U96" s="128"/>
      <c r="V96" s="128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</row>
    <row r="97" spans="1:33" ht="15.75">
      <c r="A97" s="129" t="str">
        <f>A3</f>
        <v>2023 Budget</v>
      </c>
      <c r="B97" s="125"/>
      <c r="C97" s="125"/>
      <c r="D97" s="125"/>
      <c r="E97" s="125"/>
      <c r="F97" s="125"/>
      <c r="G97" s="124"/>
      <c r="H97" s="125"/>
      <c r="I97" s="92"/>
      <c r="J97" s="126"/>
      <c r="K97" s="125"/>
      <c r="L97" s="125"/>
      <c r="M97" s="125"/>
      <c r="N97" s="125"/>
      <c r="O97" s="125"/>
      <c r="P97" s="125"/>
      <c r="Q97" s="125"/>
      <c r="R97" s="125"/>
      <c r="S97" s="125"/>
      <c r="T97" s="128"/>
      <c r="U97" s="128"/>
      <c r="V97" s="128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</row>
    <row r="98" spans="1:33" ht="15.75">
      <c r="A98" s="129"/>
      <c r="B98" s="125"/>
      <c r="C98" s="125"/>
      <c r="D98" s="125"/>
      <c r="E98" s="125"/>
      <c r="F98" s="125"/>
      <c r="G98" s="124"/>
      <c r="H98" s="125"/>
      <c r="I98" s="92"/>
      <c r="J98" s="126"/>
      <c r="K98" s="125"/>
      <c r="L98" s="125"/>
      <c r="M98" s="125"/>
      <c r="N98" s="125"/>
      <c r="O98" s="125"/>
      <c r="P98" s="125"/>
      <c r="Q98" s="125"/>
      <c r="R98" s="125"/>
      <c r="S98" s="125"/>
      <c r="T98" s="128"/>
      <c r="U98" s="128"/>
      <c r="V98" s="128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</row>
    <row r="99" spans="1:33">
      <c r="A99" s="1"/>
      <c r="B99" s="3"/>
      <c r="C99" s="3"/>
      <c r="D99" s="3"/>
      <c r="E99" s="3"/>
      <c r="F99" s="3"/>
      <c r="G99" s="3"/>
      <c r="H99" s="3"/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</row>
    <row r="100" spans="1:33">
      <c r="A100" s="1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3"/>
      <c r="V100" s="288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</row>
    <row r="101" spans="1:33">
      <c r="A101" s="1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781" t="s">
        <v>743</v>
      </c>
      <c r="Y101" s="3"/>
      <c r="Z101" s="3"/>
      <c r="AA101" s="3"/>
      <c r="AB101" s="3"/>
      <c r="AC101" s="3"/>
      <c r="AD101" s="3"/>
      <c r="AE101" s="3"/>
      <c r="AF101" s="3"/>
      <c r="AG101" s="3"/>
    </row>
    <row r="102" spans="1:33">
      <c r="A102" s="1"/>
      <c r="B102" s="85" t="s">
        <v>663</v>
      </c>
      <c r="C102" s="3"/>
      <c r="D102" s="85" t="s">
        <v>664</v>
      </c>
      <c r="E102" s="3"/>
      <c r="F102" s="85" t="s">
        <v>665</v>
      </c>
      <c r="G102" s="3"/>
      <c r="H102" s="85" t="s">
        <v>666</v>
      </c>
      <c r="I102" s="1"/>
      <c r="J102" s="85" t="s">
        <v>667</v>
      </c>
      <c r="K102" s="3"/>
      <c r="L102" s="85" t="s">
        <v>744</v>
      </c>
      <c r="M102" s="3"/>
      <c r="N102" s="85" t="s">
        <v>702</v>
      </c>
      <c r="O102" s="3"/>
      <c r="P102" s="85" t="s">
        <v>703</v>
      </c>
      <c r="Q102" s="3"/>
      <c r="R102" s="85" t="s">
        <v>704</v>
      </c>
      <c r="S102" s="3"/>
      <c r="T102" s="85" t="s">
        <v>705</v>
      </c>
      <c r="U102" s="3"/>
      <c r="V102" s="85" t="s">
        <v>706</v>
      </c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</row>
    <row r="103" spans="1:33">
      <c r="A103" s="1"/>
      <c r="B103" s="3"/>
      <c r="C103" s="3"/>
      <c r="D103" s="3"/>
      <c r="E103" s="3"/>
      <c r="F103" s="3"/>
      <c r="G103" s="3"/>
      <c r="H103" s="85" t="s">
        <v>745</v>
      </c>
      <c r="I103" s="1"/>
      <c r="J103" s="3"/>
      <c r="K103" s="3"/>
      <c r="L103" s="3"/>
      <c r="M103" s="3"/>
      <c r="N103" s="85" t="s">
        <v>746</v>
      </c>
      <c r="O103" s="3"/>
      <c r="P103" s="85" t="s">
        <v>747</v>
      </c>
      <c r="Q103" s="3"/>
      <c r="R103" s="3"/>
      <c r="S103" s="3"/>
      <c r="T103" s="85" t="s">
        <v>719</v>
      </c>
      <c r="U103" s="3"/>
      <c r="V103" s="85" t="s">
        <v>710</v>
      </c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</row>
    <row r="104" spans="1:33">
      <c r="A104" s="1"/>
      <c r="B104" s="85" t="s">
        <v>748</v>
      </c>
      <c r="C104" s="3"/>
      <c r="D104" s="85" t="s">
        <v>749</v>
      </c>
      <c r="E104" s="3"/>
      <c r="F104" s="85" t="s">
        <v>749</v>
      </c>
      <c r="G104" s="3"/>
      <c r="H104" s="85" t="s">
        <v>714</v>
      </c>
      <c r="I104" s="1"/>
      <c r="J104" s="85" t="s">
        <v>750</v>
      </c>
      <c r="K104" s="3"/>
      <c r="L104" s="85" t="s">
        <v>751</v>
      </c>
      <c r="M104" s="3"/>
      <c r="N104" s="85" t="s">
        <v>751</v>
      </c>
      <c r="O104" s="3"/>
      <c r="P104" s="85" t="s">
        <v>752</v>
      </c>
      <c r="Q104" s="3"/>
      <c r="R104" s="85" t="s">
        <v>753</v>
      </c>
      <c r="S104" s="3"/>
      <c r="T104" s="85" t="s">
        <v>748</v>
      </c>
      <c r="U104" s="3"/>
      <c r="V104" s="85" t="s">
        <v>748</v>
      </c>
      <c r="W104" s="85"/>
      <c r="X104" s="3"/>
      <c r="Y104" s="3"/>
      <c r="Z104" s="3"/>
      <c r="AA104" s="3"/>
      <c r="AB104" s="3"/>
      <c r="AC104" s="3"/>
      <c r="AD104" s="3"/>
      <c r="AE104" s="3"/>
      <c r="AF104" s="3"/>
      <c r="AG104" s="3"/>
    </row>
    <row r="105" spans="1:33">
      <c r="A105" s="1"/>
      <c r="B105" s="130" t="s">
        <v>61</v>
      </c>
      <c r="C105" s="3"/>
      <c r="D105" s="130" t="s">
        <v>754</v>
      </c>
      <c r="E105" s="3"/>
      <c r="F105" s="130" t="s">
        <v>512</v>
      </c>
      <c r="G105" s="3"/>
      <c r="H105" s="130" t="s">
        <v>722</v>
      </c>
      <c r="I105" s="1"/>
      <c r="J105" s="130" t="s">
        <v>755</v>
      </c>
      <c r="K105" s="3"/>
      <c r="L105" s="130" t="s">
        <v>404</v>
      </c>
      <c r="M105" s="3"/>
      <c r="N105" s="130" t="s">
        <v>756</v>
      </c>
      <c r="O105" s="3"/>
      <c r="P105" s="130" t="s">
        <v>756</v>
      </c>
      <c r="Q105" s="3"/>
      <c r="R105" s="130" t="s">
        <v>757</v>
      </c>
      <c r="S105" s="3"/>
      <c r="T105" s="130" t="s">
        <v>758</v>
      </c>
      <c r="U105" s="3"/>
      <c r="V105" s="130" t="s">
        <v>759</v>
      </c>
      <c r="W105" s="2"/>
      <c r="X105" s="3"/>
      <c r="Y105" s="3"/>
      <c r="Z105" s="3"/>
      <c r="AA105" s="3"/>
      <c r="AB105" s="3"/>
      <c r="AC105" s="3"/>
      <c r="AD105" s="3"/>
      <c r="AE105" s="3"/>
      <c r="AF105" s="3"/>
      <c r="AG105" s="3"/>
    </row>
    <row r="106" spans="1:33" ht="13.9" customHeight="1">
      <c r="A106" s="1" t="s">
        <v>728</v>
      </c>
      <c r="B106" s="84">
        <f ca="1">+IncomeStmt!$F$7</f>
        <v>632323.99999999988</v>
      </c>
      <c r="C106" s="31"/>
      <c r="D106" s="204">
        <f ca="1">+IncomeStmt!$F$8</f>
        <v>228428.9</v>
      </c>
      <c r="E106" s="31"/>
      <c r="F106" s="204">
        <f ca="1">+IncomeStmt!$F$11</f>
        <v>155745.39999999997</v>
      </c>
      <c r="G106" s="31"/>
      <c r="H106" s="84">
        <f ca="1">SUM(IncomeStmt!$F$12:$F$15)</f>
        <v>53271</v>
      </c>
      <c r="I106" s="31"/>
      <c r="J106" s="84">
        <f ca="1">+IncomeStmt!$F$16</f>
        <v>54871</v>
      </c>
      <c r="K106" s="31"/>
      <c r="L106" s="84">
        <f ca="1">SUM(IncomeStmt!$F$17:$F$17)</f>
        <v>-982.6</v>
      </c>
      <c r="M106" s="31"/>
      <c r="N106" s="84">
        <f ca="1">SUM(IncomeStmt!$F$18:$F$18)</f>
        <v>23535.5</v>
      </c>
      <c r="O106" s="31"/>
      <c r="P106" s="84">
        <f ca="1">+IncomeStmt!$F$19</f>
        <v>3313.3</v>
      </c>
      <c r="Q106" s="31"/>
      <c r="R106" s="1043">
        <f>+-AA107</f>
        <v>-495.59999999999997</v>
      </c>
      <c r="S106" s="31"/>
      <c r="T106" s="84">
        <f ca="1">SUM(D106:R106)</f>
        <v>517686.89999999997</v>
      </c>
      <c r="U106" s="31"/>
      <c r="V106" s="84">
        <f ca="1">B106-T106</f>
        <v>114637.09999999992</v>
      </c>
      <c r="W106" s="31"/>
      <c r="X106" s="3" t="s">
        <v>760</v>
      </c>
      <c r="Y106" s="3" t="s">
        <v>761</v>
      </c>
      <c r="Z106" s="3" t="s">
        <v>762</v>
      </c>
      <c r="AA106" s="3" t="s">
        <v>763</v>
      </c>
      <c r="AB106" s="3"/>
      <c r="AC106" s="3"/>
      <c r="AD106" s="3"/>
    </row>
    <row r="107" spans="1:33">
      <c r="A107" s="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">
        <f>SUM('[8]IS ACCTS'!$DE$588:$DP$588)-SUM('[8]IS ACCTS'!$DE$598:$DP$598)</f>
        <v>363.09999999999997</v>
      </c>
      <c r="Y107" s="3">
        <f>SUM('[8]IS ACCTS'!$DH$588:$DS$588)-SUM('[8]IS ACCTS'!$DH$598:$DS$598)</f>
        <v>462.09999999999997</v>
      </c>
      <c r="Z107" s="3">
        <f>SUM('[8]IS ACCTS'!$DL$588:$DV$588)-SUM('[8]IS ACCTS'!$DL$598:$DV$598)</f>
        <v>454.1</v>
      </c>
      <c r="AA107" s="3">
        <f>SUM('[8]IS ACCTS'!$DN$588:$DY$588)-SUM('[8]IS ACCTS'!$DN$598:$DY$598)</f>
        <v>495.59999999999997</v>
      </c>
      <c r="AB107" s="1089"/>
      <c r="AC107" s="1089" t="s">
        <v>1211</v>
      </c>
      <c r="AD107" s="1089" t="s">
        <v>1212</v>
      </c>
    </row>
    <row r="108" spans="1:33">
      <c r="A108" s="119" t="s">
        <v>729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"/>
      <c r="Y108" s="3"/>
      <c r="Z108" s="3"/>
      <c r="AA108" s="3"/>
      <c r="AB108" s="1089" t="s">
        <v>1213</v>
      </c>
      <c r="AC108" s="1089" t="s">
        <v>1214</v>
      </c>
      <c r="AD108" s="1089" t="s">
        <v>1215</v>
      </c>
      <c r="AE108" s="3"/>
      <c r="AF108" s="3"/>
      <c r="AG108" s="3"/>
    </row>
    <row r="109" spans="1:33">
      <c r="A109" s="197" t="s">
        <v>62</v>
      </c>
      <c r="B109" s="1042">
        <f ca="1">-Input!B15/1000-Input!B16/1000</f>
        <v>-23850.1</v>
      </c>
      <c r="C109" s="31"/>
      <c r="D109" s="31"/>
      <c r="E109" s="31"/>
      <c r="F109" s="1042">
        <f ca="1">B109</f>
        <v>-23850.1</v>
      </c>
      <c r="G109" s="31"/>
      <c r="H109" s="31"/>
      <c r="I109" s="31"/>
      <c r="J109" s="31"/>
      <c r="K109" s="31"/>
      <c r="L109" s="398">
        <f ca="1">((+B109-D109-F109-H109-J109)*'Input Tax Rate'!$B$36)</f>
        <v>0</v>
      </c>
      <c r="M109" s="31"/>
      <c r="N109" s="31"/>
      <c r="O109" s="31"/>
      <c r="P109" s="31"/>
      <c r="Q109" s="31"/>
      <c r="R109" s="31"/>
      <c r="S109" s="31"/>
      <c r="T109" s="31">
        <f t="shared" ref="T109:T125" ca="1" si="1">SUM(D109:R109)</f>
        <v>-23850.1</v>
      </c>
      <c r="U109" s="31"/>
      <c r="V109" s="203">
        <f t="shared" ref="V109:V125" ca="1" si="2">B109-T109</f>
        <v>0</v>
      </c>
      <c r="W109" s="203" t="s">
        <v>764</v>
      </c>
      <c r="X109" s="31"/>
      <c r="Y109" s="3"/>
      <c r="Z109" s="3"/>
      <c r="AA109" s="3"/>
      <c r="AB109" s="3"/>
      <c r="AC109" s="3"/>
      <c r="AD109" s="3"/>
      <c r="AE109" s="3"/>
      <c r="AF109" s="3"/>
      <c r="AG109" s="3"/>
    </row>
    <row r="110" spans="1:33">
      <c r="A110" s="197" t="s">
        <v>80</v>
      </c>
      <c r="B110" s="31"/>
      <c r="C110" s="31"/>
      <c r="D110" s="31"/>
      <c r="E110" s="31"/>
      <c r="F110" s="31"/>
      <c r="G110" s="31"/>
      <c r="H110" s="1040">
        <f ca="1">-'Input Plant'!BZ34/1000</f>
        <v>-38.818770049943979</v>
      </c>
      <c r="I110" s="31"/>
      <c r="J110" s="362">
        <v>0</v>
      </c>
      <c r="K110" s="31"/>
      <c r="L110" s="398">
        <f ca="1">((+B110-D110-F110-H110-J110)*'Input Tax Rate'!$B$36)</f>
        <v>9.838617269158302</v>
      </c>
      <c r="M110" s="31"/>
      <c r="N110" s="31"/>
      <c r="O110" s="31"/>
      <c r="P110" s="31"/>
      <c r="Q110" s="31"/>
      <c r="R110" s="31"/>
      <c r="S110" s="31"/>
      <c r="T110" s="31">
        <f t="shared" ca="1" si="1"/>
        <v>-28.980152780785676</v>
      </c>
      <c r="U110" s="31"/>
      <c r="V110" s="31">
        <f t="shared" ca="1" si="2"/>
        <v>28.980152780785676</v>
      </c>
      <c r="W110" s="31"/>
      <c r="X110" s="31"/>
      <c r="Y110" s="3"/>
      <c r="Z110" s="3"/>
      <c r="AA110" s="3"/>
      <c r="AB110" s="31"/>
      <c r="AC110" s="3"/>
      <c r="AD110" s="3"/>
      <c r="AE110" s="3"/>
      <c r="AF110" s="3"/>
      <c r="AG110" s="3"/>
    </row>
    <row r="111" spans="1:33">
      <c r="A111" s="197" t="s">
        <v>86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1042">
        <f ca="1">-'Int Synch'!E29</f>
        <v>435.55689744836917</v>
      </c>
      <c r="M111" s="31"/>
      <c r="N111" s="31"/>
      <c r="O111" s="31"/>
      <c r="P111" s="31"/>
      <c r="Q111" s="31"/>
      <c r="R111" s="31"/>
      <c r="S111" s="31"/>
      <c r="T111" s="31">
        <f t="shared" ca="1" si="1"/>
        <v>435.55689744836917</v>
      </c>
      <c r="U111" s="31"/>
      <c r="V111" s="31">
        <f t="shared" ca="1" si="2"/>
        <v>-435.55689744836917</v>
      </c>
      <c r="W111" s="31"/>
      <c r="X111" s="31"/>
      <c r="Y111" s="3"/>
      <c r="Z111" s="3"/>
      <c r="AA111" s="3"/>
      <c r="AB111" s="31"/>
      <c r="AC111" s="3"/>
      <c r="AD111" s="3"/>
      <c r="AE111" s="3"/>
      <c r="AF111" s="3"/>
      <c r="AG111" s="3"/>
    </row>
    <row r="112" spans="1:33">
      <c r="A112" s="197" t="s">
        <v>87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62">
        <f>-(2099000/1000)</f>
        <v>-2099</v>
      </c>
      <c r="M112" s="31"/>
      <c r="N112" s="31"/>
      <c r="O112" s="31"/>
      <c r="P112" s="31"/>
      <c r="Q112" s="31"/>
      <c r="R112" s="31"/>
      <c r="S112" s="31"/>
      <c r="T112" s="31">
        <f t="shared" si="1"/>
        <v>-2099</v>
      </c>
      <c r="U112" s="31"/>
      <c r="V112" s="31">
        <f t="shared" si="2"/>
        <v>2099</v>
      </c>
      <c r="W112" s="31"/>
      <c r="X112" s="31"/>
      <c r="Y112" s="3"/>
      <c r="Z112" s="3"/>
      <c r="AA112" s="3"/>
      <c r="AB112" s="31"/>
      <c r="AC112" s="3"/>
      <c r="AD112" s="3"/>
      <c r="AE112" s="3"/>
      <c r="AF112" s="3"/>
      <c r="AG112" s="3"/>
    </row>
    <row r="113" spans="1:33">
      <c r="A113" s="197" t="s">
        <v>63</v>
      </c>
      <c r="B113" s="1042">
        <f ca="1">+-D106+J113</f>
        <v>-229472.69999999998</v>
      </c>
      <c r="C113" s="31"/>
      <c r="D113" s="1042">
        <f ca="1">-D106</f>
        <v>-228428.9</v>
      </c>
      <c r="E113" s="31"/>
      <c r="F113" s="31"/>
      <c r="G113" s="31"/>
      <c r="H113" s="31"/>
      <c r="I113" s="31"/>
      <c r="J113" s="1042">
        <f ca="1">-Input!B17/1000</f>
        <v>-1043.8</v>
      </c>
      <c r="K113" s="31"/>
      <c r="L113" s="398">
        <f ca="1">((+B113-D113-F113-H113-J113)*'Input Tax Rate'!$B$36)</f>
        <v>2.9390207600954455E-12</v>
      </c>
      <c r="M113" s="31"/>
      <c r="N113" s="31"/>
      <c r="O113" s="31"/>
      <c r="P113" s="31"/>
      <c r="Q113" s="31"/>
      <c r="R113" s="31"/>
      <c r="S113" s="31"/>
      <c r="T113" s="31">
        <f t="shared" ca="1" si="1"/>
        <v>-229472.69999999998</v>
      </c>
      <c r="U113" s="31"/>
      <c r="V113" s="31">
        <f t="shared" ca="1" si="2"/>
        <v>0</v>
      </c>
      <c r="W113" s="31"/>
      <c r="X113" s="31"/>
      <c r="Y113" s="3"/>
      <c r="Z113" s="3"/>
      <c r="AA113" s="3"/>
      <c r="AB113" s="31"/>
      <c r="AC113" s="3"/>
      <c r="AD113" s="3"/>
      <c r="AE113" s="3"/>
      <c r="AF113" s="3"/>
      <c r="AG113" s="3"/>
    </row>
    <row r="114" spans="1:33">
      <c r="A114" s="197" t="s">
        <v>72</v>
      </c>
      <c r="B114" s="31"/>
      <c r="C114" s="31"/>
      <c r="D114" s="31"/>
      <c r="E114" s="31"/>
      <c r="F114" s="1044">
        <f ca="1">-Input!B20/1000</f>
        <v>-18</v>
      </c>
      <c r="G114" s="31"/>
      <c r="H114" s="31"/>
      <c r="I114" s="31"/>
      <c r="J114" s="31"/>
      <c r="K114" s="31"/>
      <c r="L114" s="398">
        <f ca="1">((+B114-D114-F114-H114-J114)*'Input Tax Rate'!$B$36)</f>
        <v>4.5621</v>
      </c>
      <c r="M114" s="31"/>
      <c r="N114" s="31"/>
      <c r="O114" s="31"/>
      <c r="P114" s="31"/>
      <c r="Q114" s="31"/>
      <c r="R114" s="31"/>
      <c r="S114" s="31"/>
      <c r="T114" s="31">
        <f t="shared" ca="1" si="1"/>
        <v>-13.437899999999999</v>
      </c>
      <c r="U114" s="31"/>
      <c r="V114" s="31">
        <f t="shared" ca="1" si="2"/>
        <v>13.437899999999999</v>
      </c>
      <c r="W114" s="31"/>
      <c r="X114" s="31"/>
      <c r="Y114" s="3"/>
      <c r="Z114" s="3"/>
      <c r="AA114" s="3"/>
      <c r="AB114" s="31"/>
      <c r="AC114" s="3"/>
      <c r="AD114" s="3"/>
      <c r="AE114" s="3"/>
      <c r="AF114" s="3"/>
      <c r="AG114" s="3"/>
    </row>
    <row r="115" spans="1:33">
      <c r="A115" s="197" t="s">
        <v>73</v>
      </c>
      <c r="B115" s="31"/>
      <c r="C115" s="31"/>
      <c r="D115" s="31"/>
      <c r="E115" s="31"/>
      <c r="F115" s="1040">
        <f ca="1">-Input!B51/1000</f>
        <v>-79.175510000000003</v>
      </c>
      <c r="G115" s="31"/>
      <c r="H115" s="31"/>
      <c r="I115" s="31"/>
      <c r="J115" s="31"/>
      <c r="K115" s="31"/>
      <c r="L115" s="398">
        <f ca="1">((+B115-D115-F115-H115-J115)*'Input Tax Rate'!$B$36)</f>
        <v>20.067033009500001</v>
      </c>
      <c r="M115" s="31"/>
      <c r="N115" s="31"/>
      <c r="O115" s="31"/>
      <c r="P115" s="31"/>
      <c r="Q115" s="31"/>
      <c r="R115" s="31"/>
      <c r="S115" s="31"/>
      <c r="T115" s="31">
        <f t="shared" ca="1" si="1"/>
        <v>-59.108476990500002</v>
      </c>
      <c r="U115" s="31"/>
      <c r="V115" s="31">
        <f t="shared" ca="1" si="2"/>
        <v>59.108476990500002</v>
      </c>
      <c r="X115" s="31"/>
      <c r="Y115" s="31"/>
      <c r="Z115" s="3"/>
      <c r="AA115" s="3"/>
      <c r="AB115" s="31"/>
      <c r="AC115" s="31"/>
      <c r="AD115" s="3"/>
      <c r="AE115" s="3"/>
      <c r="AF115" s="3"/>
      <c r="AG115" s="3"/>
    </row>
    <row r="116" spans="1:33">
      <c r="A116" s="197" t="s">
        <v>64</v>
      </c>
      <c r="B116" s="1044">
        <f ca="1">+Input!B28/1000</f>
        <v>-33289.800000000003</v>
      </c>
      <c r="C116" s="31"/>
      <c r="D116" s="31"/>
      <c r="E116" s="31"/>
      <c r="F116" s="31"/>
      <c r="G116" s="31"/>
      <c r="H116" s="31"/>
      <c r="I116" s="31"/>
      <c r="J116" s="1044">
        <f ca="1">-Input!B24/1000</f>
        <v>-33289.800000000003</v>
      </c>
      <c r="K116" s="31"/>
      <c r="L116" s="398">
        <f ca="1">((+B116-D116-F116-H116-J116)*'Input Tax Rate'!$B$36)</f>
        <v>0</v>
      </c>
      <c r="M116" s="31"/>
      <c r="N116" s="31"/>
      <c r="O116" s="31"/>
      <c r="P116" s="31"/>
      <c r="Q116" s="31"/>
      <c r="R116" s="31"/>
      <c r="S116" s="31"/>
      <c r="T116" s="31">
        <f t="shared" ca="1" si="1"/>
        <v>-33289.800000000003</v>
      </c>
      <c r="U116" s="31"/>
      <c r="V116" s="31">
        <f t="shared" ca="1" si="2"/>
        <v>0</v>
      </c>
      <c r="W116" s="31"/>
      <c r="X116" s="31"/>
      <c r="Y116" s="3"/>
      <c r="Z116" s="3"/>
      <c r="AA116" s="3"/>
      <c r="AB116" s="31"/>
      <c r="AC116" s="3"/>
      <c r="AD116" s="3"/>
      <c r="AE116" s="3"/>
      <c r="AF116" s="3"/>
      <c r="AG116" s="3"/>
    </row>
    <row r="117" spans="1:33">
      <c r="A117" s="197" t="s">
        <v>75</v>
      </c>
      <c r="B117" s="31"/>
      <c r="C117" s="31"/>
      <c r="D117" s="31"/>
      <c r="E117" s="31"/>
      <c r="F117" s="1040">
        <f ca="1">-((Input!B43/1000)*0.1328)</f>
        <v>-38.448500351999989</v>
      </c>
      <c r="G117" s="31"/>
      <c r="H117" s="31"/>
      <c r="I117" s="31"/>
      <c r="J117" s="31"/>
      <c r="K117" s="31"/>
      <c r="L117" s="398">
        <f ca="1">((+B117-D117-F117-H117-J117)*'Input Tax Rate'!$B$36)</f>
        <v>9.7447724142143972</v>
      </c>
      <c r="M117" s="31"/>
      <c r="N117" s="31"/>
      <c r="O117" s="31"/>
      <c r="P117" s="31"/>
      <c r="Q117" s="31"/>
      <c r="R117" s="31"/>
      <c r="S117" s="31"/>
      <c r="T117" s="31">
        <f t="shared" ca="1" si="1"/>
        <v>-28.703727937785594</v>
      </c>
      <c r="U117" s="31"/>
      <c r="V117" s="31">
        <f t="shared" ca="1" si="2"/>
        <v>28.703727937785594</v>
      </c>
      <c r="W117" s="31"/>
      <c r="X117" s="31"/>
      <c r="Y117" s="3"/>
      <c r="Z117" s="3"/>
      <c r="AA117" s="3"/>
      <c r="AB117" s="31"/>
      <c r="AC117" s="3"/>
      <c r="AD117" s="3"/>
      <c r="AE117" s="3"/>
      <c r="AF117" s="3"/>
      <c r="AG117" s="3"/>
    </row>
    <row r="118" spans="1:33">
      <c r="A118" s="197" t="s">
        <v>76</v>
      </c>
      <c r="B118" s="31"/>
      <c r="C118" s="31"/>
      <c r="D118" s="31"/>
      <c r="E118" s="31"/>
      <c r="F118" s="1040">
        <f ca="1">+-(Input!B44/1000)*0.031</f>
        <v>-5.9299689200000003</v>
      </c>
      <c r="G118" s="31"/>
      <c r="H118" s="31"/>
      <c r="I118" s="31"/>
      <c r="J118" s="31"/>
      <c r="K118" s="31"/>
      <c r="L118" s="398">
        <f ca="1">((+B118-D118-F118-H118-J118)*'Input Tax Rate'!$B$36)</f>
        <v>1.5029506227740002</v>
      </c>
      <c r="M118" s="31"/>
      <c r="N118" s="31"/>
      <c r="O118" s="31"/>
      <c r="P118" s="31"/>
      <c r="Q118" s="31"/>
      <c r="R118" s="31"/>
      <c r="S118" s="31"/>
      <c r="T118" s="31">
        <f t="shared" ca="1" si="1"/>
        <v>-4.4270182972260006</v>
      </c>
      <c r="U118" s="31"/>
      <c r="V118" s="31">
        <f t="shared" ca="1" si="2"/>
        <v>4.4270182972260006</v>
      </c>
      <c r="W118" s="31"/>
      <c r="X118" s="31"/>
      <c r="Y118" s="3"/>
      <c r="Z118" s="3"/>
      <c r="AA118" s="3"/>
      <c r="AB118" s="31"/>
      <c r="AC118" s="3"/>
      <c r="AD118" s="3"/>
      <c r="AE118" s="3"/>
      <c r="AF118" s="3"/>
      <c r="AG118" s="3"/>
    </row>
    <row r="119" spans="1:33">
      <c r="A119" s="197" t="s">
        <v>81</v>
      </c>
      <c r="B119" s="37"/>
      <c r="C119" s="31"/>
      <c r="D119" s="31"/>
      <c r="E119" s="31"/>
      <c r="F119" s="37"/>
      <c r="G119" s="31"/>
      <c r="H119" s="1040">
        <f>+'Input WFNG'!T280/1000</f>
        <v>0</v>
      </c>
      <c r="I119" s="31"/>
      <c r="J119" s="31"/>
      <c r="K119" s="31"/>
      <c r="L119" s="398">
        <f>((+B119-D119-F119-H119-J119)*'Input Tax Rate'!$B$36)</f>
        <v>0</v>
      </c>
      <c r="M119" s="31"/>
      <c r="N119" s="31"/>
      <c r="O119" s="31"/>
      <c r="P119" s="31"/>
      <c r="Q119" s="31"/>
      <c r="R119" s="31"/>
      <c r="S119" s="31"/>
      <c r="T119" s="31">
        <f t="shared" si="1"/>
        <v>0</v>
      </c>
      <c r="U119" s="31"/>
      <c r="V119" s="31">
        <f t="shared" si="2"/>
        <v>0</v>
      </c>
      <c r="W119" s="31"/>
      <c r="X119" s="31"/>
      <c r="Y119" s="3"/>
      <c r="Z119" s="3"/>
      <c r="AA119" s="3"/>
      <c r="AB119" s="31"/>
      <c r="AC119" s="3"/>
      <c r="AD119" s="3"/>
      <c r="AE119" s="3"/>
      <c r="AF119" s="3"/>
      <c r="AG119" s="3"/>
    </row>
    <row r="120" spans="1:33">
      <c r="A120" s="197" t="s">
        <v>88</v>
      </c>
      <c r="B120" s="199"/>
      <c r="C120" s="31"/>
      <c r="D120" s="31"/>
      <c r="E120" s="31"/>
      <c r="F120" s="35"/>
      <c r="G120" s="31"/>
      <c r="H120" s="31"/>
      <c r="I120" s="31"/>
      <c r="J120" s="31"/>
      <c r="K120" s="31"/>
      <c r="L120" s="398">
        <f>((+B120-D120-F120-H120-J120)*'Input Tax Rate'!$B$36)</f>
        <v>0</v>
      </c>
      <c r="M120" s="31"/>
      <c r="N120" s="31"/>
      <c r="O120" s="31"/>
      <c r="P120" s="31"/>
      <c r="Q120" s="31"/>
      <c r="R120" s="362">
        <v>0</v>
      </c>
      <c r="S120" s="31"/>
      <c r="T120" s="31">
        <f>SUM(D120:R120)</f>
        <v>0</v>
      </c>
      <c r="U120" s="31"/>
      <c r="V120" s="31">
        <f>B120-T120</f>
        <v>0</v>
      </c>
      <c r="W120" s="31"/>
      <c r="X120" s="31"/>
      <c r="Y120" s="3"/>
      <c r="Z120" s="3"/>
      <c r="AA120" s="3"/>
      <c r="AB120" s="31"/>
      <c r="AC120" s="3"/>
      <c r="AD120" s="3"/>
      <c r="AE120" s="3"/>
      <c r="AF120" s="3"/>
      <c r="AG120" s="3"/>
    </row>
    <row r="121" spans="1:33">
      <c r="A121" s="197" t="s">
        <v>65</v>
      </c>
      <c r="B121" s="1045">
        <f ca="1">-Input!B45/1000</f>
        <v>-117.79600000000001</v>
      </c>
      <c r="C121" s="31"/>
      <c r="D121" s="31"/>
      <c r="E121" s="31"/>
      <c r="F121" s="35"/>
      <c r="G121" s="31"/>
      <c r="H121" s="31"/>
      <c r="I121" s="31"/>
      <c r="J121" s="31"/>
      <c r="K121" s="31"/>
      <c r="L121" s="398">
        <f ca="1">((+B121-D121-F121-H121-J121)*'Input Tax Rate'!$B$36)</f>
        <v>-29.855396200000001</v>
      </c>
      <c r="M121" s="31"/>
      <c r="N121" s="31"/>
      <c r="O121" s="31"/>
      <c r="P121" s="31"/>
      <c r="Q121" s="31"/>
      <c r="R121" s="31"/>
      <c r="S121" s="31"/>
      <c r="T121" s="31">
        <f ca="1">SUM(D121:R121)</f>
        <v>-29.855396200000001</v>
      </c>
      <c r="U121" s="31"/>
      <c r="V121" s="31">
        <f ca="1">B121-T121</f>
        <v>-87.940603800000005</v>
      </c>
      <c r="W121" s="31"/>
      <c r="X121" s="31"/>
      <c r="Y121" s="3"/>
      <c r="Z121" s="3"/>
      <c r="AA121" s="3"/>
      <c r="AB121" s="31"/>
      <c r="AC121" s="3"/>
      <c r="AD121" s="3"/>
      <c r="AE121" s="3"/>
      <c r="AF121" s="3"/>
      <c r="AG121" s="3"/>
    </row>
    <row r="122" spans="1:33" ht="13.5" customHeight="1">
      <c r="A122" s="197" t="s">
        <v>89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98">
        <f>((+B122-D122-F122-H122-J122)*'Input Tax Rate'!$B$36)</f>
        <v>0</v>
      </c>
      <c r="M122" s="31"/>
      <c r="N122" s="31"/>
      <c r="O122" s="31"/>
      <c r="P122" s="343"/>
      <c r="Q122" s="31"/>
      <c r="R122" s="31"/>
      <c r="S122" s="31"/>
      <c r="T122" s="31">
        <f t="shared" si="1"/>
        <v>0</v>
      </c>
      <c r="U122" s="31"/>
      <c r="V122" s="31">
        <f t="shared" si="2"/>
        <v>0</v>
      </c>
      <c r="W122" s="31"/>
      <c r="X122" s="31"/>
      <c r="Y122" s="3"/>
      <c r="Z122" s="3"/>
      <c r="AA122" s="3"/>
      <c r="AB122" s="31"/>
      <c r="AC122" s="3"/>
      <c r="AD122" s="3"/>
      <c r="AE122" s="3"/>
      <c r="AF122" s="3"/>
      <c r="AG122" s="3"/>
    </row>
    <row r="123" spans="1:33">
      <c r="A123" s="197" t="s">
        <v>66</v>
      </c>
      <c r="B123" s="1042">
        <f ca="1">((-Input!B63+Input!B65)/1000)-B124</f>
        <v>-3440.3655599999993</v>
      </c>
      <c r="C123" s="31"/>
      <c r="D123" s="31"/>
      <c r="E123" s="31"/>
      <c r="F123" s="1042">
        <f ca="1">((-Input!B66)/1000)</f>
        <v>-1917.9490000000001</v>
      </c>
      <c r="G123" s="31"/>
      <c r="H123" s="1042">
        <f ca="1">-Input!B68/1000</f>
        <v>-940.63366999999994</v>
      </c>
      <c r="I123" s="31"/>
      <c r="J123" s="1042">
        <f ca="1">-(Input!B69+Input!B64)/1000</f>
        <v>-581.78243999999995</v>
      </c>
      <c r="K123" s="31"/>
      <c r="L123" s="398">
        <f ca="1">((+B123-D123-F123-H123-J123)*'Input Tax Rate'!$B$36)</f>
        <v>-1.1405249982730084E-4</v>
      </c>
      <c r="M123" s="31"/>
      <c r="N123" s="31"/>
      <c r="O123" s="31"/>
      <c r="P123" s="31"/>
      <c r="Q123" s="31"/>
      <c r="R123" s="31"/>
      <c r="S123" s="31"/>
      <c r="T123" s="31">
        <f ca="1">SUM(D123:R123)</f>
        <v>-3440.3652240524993</v>
      </c>
      <c r="U123" s="31"/>
      <c r="V123" s="203">
        <f ca="1">B123-T123</f>
        <v>-3.3594749993426376E-4</v>
      </c>
      <c r="W123" s="203" t="s">
        <v>764</v>
      </c>
      <c r="X123" s="31"/>
      <c r="Y123" s="3"/>
      <c r="Z123" s="3"/>
      <c r="AA123" s="3"/>
      <c r="AB123" s="31"/>
      <c r="AC123" s="3"/>
      <c r="AD123" s="3"/>
      <c r="AE123" s="3"/>
      <c r="AF123" s="3"/>
      <c r="AG123" s="3"/>
    </row>
    <row r="124" spans="1:33">
      <c r="A124" s="197" t="s">
        <v>67</v>
      </c>
      <c r="B124" s="1042">
        <f ca="1">(-Input!B67)/1000</f>
        <v>-6143.6030000000001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98">
        <f ca="1">((+B124-D124-F124-H124-J124)*'Input Tax Rate'!$B$36)</f>
        <v>-1557.0961803500002</v>
      </c>
      <c r="M124" s="31"/>
      <c r="N124" s="31"/>
      <c r="O124" s="31"/>
      <c r="P124" s="31"/>
      <c r="Q124" s="31"/>
      <c r="R124" s="31"/>
      <c r="S124" s="31"/>
      <c r="T124" s="31">
        <f ca="1">SUM(D124:R124)</f>
        <v>-1557.0961803500002</v>
      </c>
      <c r="U124" s="31"/>
      <c r="V124" s="31">
        <f t="shared" ca="1" si="2"/>
        <v>-4586.5068196499997</v>
      </c>
      <c r="W124" s="31"/>
      <c r="X124" s="31"/>
      <c r="Y124" s="3"/>
      <c r="Z124" s="3"/>
      <c r="AA124" s="3"/>
      <c r="AB124" s="31"/>
      <c r="AC124" s="3"/>
      <c r="AD124" s="3"/>
      <c r="AE124" s="3"/>
      <c r="AF124" s="3"/>
      <c r="AG124" s="3"/>
    </row>
    <row r="125" spans="1:33">
      <c r="A125" s="198" t="s">
        <v>765</v>
      </c>
      <c r="B125" s="84">
        <v>0</v>
      </c>
      <c r="C125" s="31"/>
      <c r="D125" s="84"/>
      <c r="E125" s="31"/>
      <c r="F125" s="84"/>
      <c r="G125" s="31"/>
      <c r="H125" s="84"/>
      <c r="I125" s="31"/>
      <c r="J125" s="84"/>
      <c r="K125" s="31"/>
      <c r="L125" s="399">
        <f>((+B125-D125-F125-H125-J125)*'Input Tax Rate'!$B$36)</f>
        <v>0</v>
      </c>
      <c r="M125" s="31"/>
      <c r="N125" s="84"/>
      <c r="O125" s="31"/>
      <c r="P125" s="84"/>
      <c r="Q125" s="31"/>
      <c r="R125" s="84"/>
      <c r="S125" s="31"/>
      <c r="T125" s="122">
        <f t="shared" si="1"/>
        <v>0</v>
      </c>
      <c r="U125" s="31"/>
      <c r="V125" s="122">
        <f t="shared" si="2"/>
        <v>0</v>
      </c>
      <c r="W125" s="31"/>
      <c r="X125" s="31"/>
      <c r="Y125" s="3"/>
      <c r="Z125" s="3"/>
      <c r="AA125" s="3"/>
      <c r="AB125" s="31"/>
      <c r="AC125" s="3"/>
      <c r="AD125" s="3"/>
      <c r="AE125" s="3"/>
      <c r="AF125" s="3"/>
      <c r="AG125" s="3"/>
    </row>
    <row r="126" spans="1:33" ht="12.95" customHeight="1">
      <c r="A126" s="1" t="s">
        <v>734</v>
      </c>
      <c r="B126" s="84">
        <f ca="1">SUM(B109:B125)</f>
        <v>-296314.36455999996</v>
      </c>
      <c r="C126" s="31"/>
      <c r="D126" s="84">
        <f ca="1">SUM(D109:D125)</f>
        <v>-228428.9</v>
      </c>
      <c r="E126" s="31"/>
      <c r="F126" s="84">
        <f ca="1">SUM(F109:F125)</f>
        <v>-25909.602979272</v>
      </c>
      <c r="G126" s="31"/>
      <c r="H126" s="84">
        <f ca="1">SUM(H109:H125)</f>
        <v>-979.4524400499439</v>
      </c>
      <c r="I126" s="31"/>
      <c r="J126" s="84">
        <f ca="1">SUM(J109:J125)</f>
        <v>-34915.382440000009</v>
      </c>
      <c r="K126" s="31"/>
      <c r="L126" s="84">
        <f ca="1">SUM(L109:L125)</f>
        <v>-3204.6793198384812</v>
      </c>
      <c r="M126" s="31"/>
      <c r="N126" s="84">
        <f>SUM(N109:N125)</f>
        <v>0</v>
      </c>
      <c r="O126" s="31"/>
      <c r="P126" s="84">
        <f>SUM(P109:P125)</f>
        <v>0</v>
      </c>
      <c r="Q126" s="31"/>
      <c r="R126" s="84">
        <f>SUM(R109:R125)</f>
        <v>0</v>
      </c>
      <c r="S126" s="31"/>
      <c r="T126" s="84">
        <f ca="1">SUM(T109:T125)</f>
        <v>-293438.01717916038</v>
      </c>
      <c r="U126" s="31"/>
      <c r="V126" s="84">
        <f ca="1">SUM(V109:V125)</f>
        <v>-2876.347380839572</v>
      </c>
      <c r="W126" s="31"/>
      <c r="X126" s="31"/>
      <c r="Y126" s="3"/>
      <c r="Z126" s="3"/>
      <c r="AA126" s="3"/>
      <c r="AB126" s="31"/>
      <c r="AC126" s="3"/>
      <c r="AD126" s="3"/>
      <c r="AE126" s="3"/>
      <c r="AF126" s="3"/>
      <c r="AG126" s="3"/>
    </row>
    <row r="127" spans="1:33">
      <c r="A127" s="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"/>
      <c r="Z127" s="3"/>
      <c r="AA127" s="3"/>
      <c r="AB127" s="31"/>
      <c r="AC127" s="3"/>
      <c r="AD127" s="3"/>
      <c r="AE127" s="3"/>
      <c r="AF127" s="3"/>
      <c r="AG127" s="3"/>
    </row>
    <row r="128" spans="1:33" ht="13.5" thickBot="1">
      <c r="A128" s="1" t="s">
        <v>735</v>
      </c>
      <c r="B128" s="123">
        <f ca="1">B106+B126</f>
        <v>336009.63543999993</v>
      </c>
      <c r="C128" s="31"/>
      <c r="D128" s="123">
        <f ca="1">D106+D126</f>
        <v>0</v>
      </c>
      <c r="E128" s="31"/>
      <c r="F128" s="123">
        <f ca="1">F106+F126</f>
        <v>129835.79702072797</v>
      </c>
      <c r="G128" s="31"/>
      <c r="H128" s="123">
        <f ca="1">H106+H126</f>
        <v>52291.547559950057</v>
      </c>
      <c r="I128" s="31"/>
      <c r="J128" s="123">
        <f ca="1">J106+J126</f>
        <v>19955.617559999991</v>
      </c>
      <c r="K128" s="31"/>
      <c r="L128" s="123">
        <f ca="1">L106+L126</f>
        <v>-4187.2793198384816</v>
      </c>
      <c r="M128" s="31"/>
      <c r="N128" s="123">
        <f ca="1">N106+N126</f>
        <v>23535.5</v>
      </c>
      <c r="O128" s="31"/>
      <c r="P128" s="123">
        <f ca="1">P106+P126</f>
        <v>3313.3</v>
      </c>
      <c r="Q128" s="31"/>
      <c r="R128" s="123">
        <f>R106+R126</f>
        <v>-495.59999999999997</v>
      </c>
      <c r="S128" s="31"/>
      <c r="T128" s="123">
        <f ca="1">T106+T126</f>
        <v>224248.88282083959</v>
      </c>
      <c r="U128" s="31"/>
      <c r="V128" s="123">
        <f ca="1">V106+V126</f>
        <v>111760.75261916034</v>
      </c>
      <c r="W128" s="31"/>
      <c r="X128" s="31"/>
      <c r="Y128" s="3"/>
      <c r="Z128" s="3"/>
      <c r="AA128" s="3"/>
      <c r="AB128" s="31"/>
      <c r="AC128" s="3"/>
      <c r="AD128" s="3"/>
      <c r="AE128" s="3"/>
      <c r="AF128" s="3"/>
      <c r="AG128" s="3"/>
    </row>
    <row r="129" spans="1:33" ht="13.5" thickTop="1">
      <c r="A129" s="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169"/>
      <c r="Z129" s="3"/>
      <c r="AA129" s="3"/>
      <c r="AB129" s="31"/>
      <c r="AC129" s="169"/>
      <c r="AD129" s="3"/>
      <c r="AE129" s="3"/>
      <c r="AF129" s="3"/>
      <c r="AG129" s="3"/>
    </row>
    <row r="130" spans="1:33">
      <c r="A130" s="119" t="s">
        <v>736</v>
      </c>
      <c r="B130" s="1046">
        <f ca="1">-Input!B57/1000</f>
        <v>-3709.7959300000002</v>
      </c>
      <c r="C130" s="31"/>
      <c r="D130" s="84"/>
      <c r="E130" s="31"/>
      <c r="F130" s="84"/>
      <c r="G130" s="31"/>
      <c r="H130" s="84"/>
      <c r="I130" s="31"/>
      <c r="J130" s="84"/>
      <c r="K130" s="31"/>
      <c r="L130" s="400">
        <f ca="1">((+B130-D130-F130-H130-J130)*'Input Tax Rate'!$B$36)</f>
        <v>-940.24777845850008</v>
      </c>
      <c r="M130" s="31"/>
      <c r="N130" s="84"/>
      <c r="O130" s="31"/>
      <c r="P130" s="84"/>
      <c r="Q130" s="31"/>
      <c r="R130" s="84"/>
      <c r="S130" s="31"/>
      <c r="T130" s="84">
        <f ca="1">SUM(D130:R130)</f>
        <v>-940.24777845850008</v>
      </c>
      <c r="U130" s="31"/>
      <c r="V130" s="84">
        <f ca="1">B130-T130</f>
        <v>-2769.5481515415004</v>
      </c>
      <c r="W130" s="31"/>
      <c r="X130" s="31"/>
      <c r="Y130" s="3"/>
      <c r="Z130" s="3"/>
      <c r="AA130" s="3"/>
      <c r="AB130" s="31"/>
      <c r="AC130" s="3"/>
      <c r="AD130" s="3"/>
      <c r="AE130" s="3"/>
      <c r="AF130" s="3"/>
      <c r="AG130" s="3"/>
    </row>
    <row r="131" spans="1:33">
      <c r="A131" s="1" t="s">
        <v>737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"/>
      <c r="Z131" s="3"/>
      <c r="AA131" s="3"/>
      <c r="AB131" s="31"/>
      <c r="AC131" s="3"/>
      <c r="AD131" s="3"/>
      <c r="AE131" s="3"/>
      <c r="AF131" s="3"/>
      <c r="AG131" s="3"/>
    </row>
    <row r="132" spans="1:33" ht="13.5" thickBot="1">
      <c r="A132" s="1" t="s">
        <v>736</v>
      </c>
      <c r="B132" s="123">
        <f ca="1">B128+B130</f>
        <v>332299.8395099999</v>
      </c>
      <c r="C132" s="31"/>
      <c r="D132" s="123">
        <f ca="1">D128+D130</f>
        <v>0</v>
      </c>
      <c r="E132" s="31"/>
      <c r="F132" s="123">
        <f ca="1">F128+F130</f>
        <v>129835.79702072797</v>
      </c>
      <c r="G132" s="31"/>
      <c r="H132" s="123">
        <f ca="1">H128+H130</f>
        <v>52291.547559950057</v>
      </c>
      <c r="I132" s="31"/>
      <c r="J132" s="123">
        <f ca="1">J128+J130</f>
        <v>19955.617559999991</v>
      </c>
      <c r="K132" s="31"/>
      <c r="L132" s="123">
        <f ca="1">L128+L130</f>
        <v>-5127.5270982969814</v>
      </c>
      <c r="M132" s="31"/>
      <c r="N132" s="123">
        <f ca="1">N128+N130</f>
        <v>23535.5</v>
      </c>
      <c r="O132" s="31"/>
      <c r="P132" s="123">
        <f ca="1">P128+P130</f>
        <v>3313.3</v>
      </c>
      <c r="Q132" s="31"/>
      <c r="R132" s="123">
        <f>R128+R130</f>
        <v>-495.59999999999997</v>
      </c>
      <c r="S132" s="31"/>
      <c r="T132" s="123">
        <f ca="1">T128+T130</f>
        <v>223308.63504238109</v>
      </c>
      <c r="U132" s="31"/>
      <c r="V132" s="123">
        <f ca="1">V128+V130</f>
        <v>108991.20446761884</v>
      </c>
      <c r="W132" s="31"/>
      <c r="X132" s="31"/>
      <c r="Y132" s="3"/>
      <c r="Z132" s="3"/>
      <c r="AA132" s="3"/>
      <c r="AB132" s="31"/>
      <c r="AC132" s="3"/>
      <c r="AD132" s="3"/>
      <c r="AE132" s="3"/>
      <c r="AF132" s="3"/>
      <c r="AG132" s="3"/>
    </row>
    <row r="133" spans="1:33" ht="13.5" thickTop="1">
      <c r="A133" s="1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31"/>
      <c r="X133" s="3"/>
      <c r="Y133" s="3"/>
      <c r="Z133" s="3"/>
      <c r="AA133" s="3"/>
      <c r="AB133" s="3"/>
      <c r="AC133" s="3"/>
      <c r="AD133" s="3"/>
      <c r="AE133" s="3"/>
      <c r="AF133" s="3"/>
      <c r="AG133" s="3"/>
    </row>
    <row r="134" spans="1:33">
      <c r="A134" s="1" t="s">
        <v>738</v>
      </c>
      <c r="B134" s="31"/>
      <c r="C134" s="164"/>
      <c r="D134" s="164"/>
      <c r="E134" s="164"/>
      <c r="F134" s="164"/>
      <c r="G134" s="164"/>
      <c r="H134" s="164"/>
      <c r="I134" s="363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31"/>
      <c r="X134" s="3"/>
      <c r="Y134" s="3"/>
      <c r="Z134" s="3"/>
      <c r="AA134" s="3"/>
      <c r="AB134" s="3"/>
      <c r="AC134" s="3"/>
      <c r="AD134" s="3"/>
      <c r="AE134" s="3"/>
      <c r="AF134" s="3"/>
      <c r="AG134" s="3"/>
    </row>
    <row r="135" spans="1:33">
      <c r="A135" s="119" t="s">
        <v>739</v>
      </c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31"/>
      <c r="X135" s="3"/>
      <c r="Y135" s="3"/>
      <c r="Z135" s="3"/>
      <c r="AA135" s="3"/>
      <c r="AB135" s="3"/>
      <c r="AC135" s="3"/>
      <c r="AD135" s="3"/>
      <c r="AE135" s="3"/>
      <c r="AF135" s="3"/>
      <c r="AG135" s="3"/>
    </row>
    <row r="136" spans="1:33">
      <c r="A136" s="1"/>
      <c r="B136" s="164"/>
      <c r="C136" s="164"/>
      <c r="D136" s="164"/>
      <c r="E136" s="164"/>
      <c r="F136" s="164"/>
      <c r="G136" s="164"/>
      <c r="H136" s="164"/>
      <c r="I136" s="3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31"/>
      <c r="U136" s="31"/>
      <c r="V136" s="31"/>
      <c r="W136" s="31"/>
      <c r="X136" s="31"/>
      <c r="Y136" s="3"/>
      <c r="Z136" s="3"/>
      <c r="AA136" s="3"/>
      <c r="AB136" s="31"/>
      <c r="AC136" s="3"/>
      <c r="AD136" s="3"/>
      <c r="AE136" s="3"/>
      <c r="AF136" s="3"/>
      <c r="AG136" s="3"/>
    </row>
    <row r="137" spans="1:33">
      <c r="A137" s="131" t="s">
        <v>766</v>
      </c>
      <c r="B137" s="164"/>
      <c r="C137" s="164"/>
      <c r="D137" s="164"/>
      <c r="E137" s="164"/>
      <c r="F137" s="164"/>
      <c r="G137" s="164"/>
      <c r="H137" s="164"/>
      <c r="I137" s="370"/>
      <c r="J137" s="164"/>
      <c r="K137" s="164"/>
      <c r="L137" s="37">
        <v>0</v>
      </c>
      <c r="M137" s="164"/>
      <c r="N137" s="164"/>
      <c r="O137" s="164"/>
      <c r="P137" s="164"/>
      <c r="Q137" s="164"/>
      <c r="R137" s="133"/>
      <c r="S137" s="164"/>
      <c r="T137" s="31">
        <f>SUM(D137:R137)</f>
        <v>0</v>
      </c>
      <c r="U137" s="31"/>
      <c r="V137" s="31">
        <f>B137-T137</f>
        <v>0</v>
      </c>
      <c r="W137" s="31"/>
      <c r="X137" s="31"/>
      <c r="Y137" s="3"/>
      <c r="Z137" s="3"/>
      <c r="AA137" s="3"/>
      <c r="AB137" s="31"/>
      <c r="AC137" s="3"/>
      <c r="AD137" s="3"/>
      <c r="AE137" s="3"/>
      <c r="AF137" s="3"/>
      <c r="AG137" s="3"/>
    </row>
    <row r="138" spans="1:33">
      <c r="A138" s="131"/>
      <c r="B138" s="371"/>
      <c r="C138" s="164"/>
      <c r="D138" s="371"/>
      <c r="E138" s="164"/>
      <c r="F138" s="372"/>
      <c r="G138" s="164"/>
      <c r="H138" s="371"/>
      <c r="I138" s="164"/>
      <c r="J138" s="371"/>
      <c r="K138" s="164"/>
      <c r="L138" s="122"/>
      <c r="M138" s="164"/>
      <c r="N138" s="371"/>
      <c r="O138" s="164"/>
      <c r="P138" s="371"/>
      <c r="Q138" s="164"/>
      <c r="R138" s="134"/>
      <c r="S138" s="164"/>
      <c r="T138" s="122"/>
      <c r="U138" s="31"/>
      <c r="V138" s="122"/>
      <c r="W138" s="31"/>
      <c r="X138" s="3"/>
      <c r="Y138" s="3"/>
      <c r="Z138" s="3"/>
      <c r="AA138" s="3"/>
      <c r="AB138" s="3"/>
      <c r="AC138" s="3"/>
      <c r="AD138" s="3"/>
      <c r="AE138" s="3"/>
      <c r="AF138" s="3"/>
      <c r="AG138" s="3"/>
    </row>
    <row r="139" spans="1:33" ht="12.95" customHeight="1">
      <c r="A139" s="1" t="s">
        <v>740</v>
      </c>
      <c r="B139" s="84">
        <f>SUM(B137:B138)</f>
        <v>0</v>
      </c>
      <c r="C139" s="31"/>
      <c r="D139" s="84"/>
      <c r="E139" s="31"/>
      <c r="F139" s="84">
        <f>SUM(F137:F138)</f>
        <v>0</v>
      </c>
      <c r="G139" s="31"/>
      <c r="H139" s="84"/>
      <c r="I139" s="31"/>
      <c r="J139" s="84"/>
      <c r="K139" s="31"/>
      <c r="L139" s="84">
        <f>SUM(L137:L138)</f>
        <v>0</v>
      </c>
      <c r="M139" s="31"/>
      <c r="N139" s="84"/>
      <c r="O139" s="31"/>
      <c r="P139" s="84"/>
      <c r="Q139" s="31"/>
      <c r="R139" s="84">
        <f>SUM(R137:R138)</f>
        <v>0</v>
      </c>
      <c r="S139" s="31"/>
      <c r="T139" s="84">
        <f>SUM(T137:T138)</f>
        <v>0</v>
      </c>
      <c r="U139" s="31"/>
      <c r="V139" s="84">
        <f>SUM(V137:V138)</f>
        <v>0</v>
      </c>
      <c r="W139" s="31"/>
      <c r="X139" s="31"/>
      <c r="Y139" s="3"/>
      <c r="Z139" s="3"/>
      <c r="AA139" s="3"/>
      <c r="AB139" s="31"/>
      <c r="AC139" s="3"/>
      <c r="AD139" s="3"/>
      <c r="AE139" s="3"/>
      <c r="AF139" s="3"/>
      <c r="AG139" s="3"/>
    </row>
    <row r="140" spans="1:33">
      <c r="A140" s="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"/>
      <c r="Y140" s="3"/>
      <c r="Z140" s="3"/>
      <c r="AA140" s="3"/>
      <c r="AB140" s="3"/>
      <c r="AC140" s="3"/>
      <c r="AD140" s="3"/>
      <c r="AE140" s="3"/>
      <c r="AF140" s="3"/>
      <c r="AG140" s="3"/>
    </row>
    <row r="141" spans="1:33" ht="13.5" thickBot="1">
      <c r="A141" s="1" t="s">
        <v>741</v>
      </c>
      <c r="B141" s="123">
        <f ca="1">B128+B139</f>
        <v>336009.63543999993</v>
      </c>
      <c r="C141" s="31"/>
      <c r="D141" s="123">
        <f ca="1">D128+D139</f>
        <v>0</v>
      </c>
      <c r="E141" s="31"/>
      <c r="F141" s="123">
        <f ca="1">F128+F139</f>
        <v>129835.79702072797</v>
      </c>
      <c r="G141" s="31"/>
      <c r="H141" s="123">
        <f ca="1">H128+H139</f>
        <v>52291.547559950057</v>
      </c>
      <c r="I141" s="31"/>
      <c r="J141" s="123">
        <f ca="1">J128+J139</f>
        <v>19955.617559999991</v>
      </c>
      <c r="K141" s="31"/>
      <c r="L141" s="123">
        <f ca="1">L128+L139</f>
        <v>-4187.2793198384816</v>
      </c>
      <c r="M141" s="31"/>
      <c r="N141" s="123">
        <f ca="1">N128+N139</f>
        <v>23535.5</v>
      </c>
      <c r="O141" s="31"/>
      <c r="P141" s="123">
        <f ca="1">P128+P139</f>
        <v>3313.3</v>
      </c>
      <c r="Q141" s="31"/>
      <c r="R141" s="123">
        <f>R128+R139</f>
        <v>-495.59999999999997</v>
      </c>
      <c r="S141" s="31"/>
      <c r="T141" s="123">
        <f ca="1">T128+T139</f>
        <v>224248.88282083959</v>
      </c>
      <c r="U141" s="31"/>
      <c r="V141" s="123">
        <f ca="1">V128+V139</f>
        <v>111760.75261916034</v>
      </c>
      <c r="W141" s="31"/>
      <c r="X141" s="31"/>
      <c r="Y141" s="3"/>
      <c r="Z141" s="3"/>
      <c r="AA141" s="3"/>
      <c r="AB141" s="31"/>
      <c r="AC141" s="3"/>
      <c r="AD141" s="3"/>
      <c r="AE141" s="3"/>
      <c r="AF141" s="3"/>
      <c r="AG141" s="3"/>
    </row>
    <row r="142" spans="1:33" ht="13.5" thickTop="1">
      <c r="A142" s="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"/>
      <c r="Y142" s="3"/>
      <c r="Z142" s="3"/>
      <c r="AA142" s="3"/>
      <c r="AB142" s="3"/>
      <c r="AC142" s="3"/>
      <c r="AD142" s="3"/>
      <c r="AE142" s="3"/>
      <c r="AF142" s="3"/>
      <c r="AG142" s="3"/>
    </row>
    <row r="143" spans="1:33">
      <c r="A143" s="1" t="s">
        <v>728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"/>
      <c r="Y143" s="3"/>
      <c r="Z143" s="3"/>
      <c r="AA143" s="3"/>
      <c r="AB143" s="3"/>
      <c r="AC143" s="3"/>
      <c r="AD143" s="3"/>
      <c r="AE143" s="3"/>
      <c r="AF143" s="3"/>
      <c r="AG143" s="3"/>
    </row>
    <row r="144" spans="1:33" ht="13.5" thickBot="1">
      <c r="A144" s="1" t="s">
        <v>767</v>
      </c>
      <c r="B144" s="32">
        <f>+IncomeStmt!$D$7</f>
        <v>59236.19999999999</v>
      </c>
      <c r="C144" s="31"/>
      <c r="D144" s="32">
        <f>+IncomeStmt!$D$8</f>
        <v>21375.5</v>
      </c>
      <c r="E144" s="31"/>
      <c r="F144" s="32">
        <f>+IncomeStmt!$D$11</f>
        <v>14203.099999999999</v>
      </c>
      <c r="G144" s="31"/>
      <c r="H144" s="32">
        <f>SUM(IncomeStmt!$D$12:$D$15)</f>
        <v>-1495.9</v>
      </c>
      <c r="I144" s="31"/>
      <c r="J144" s="32">
        <f>+IncomeStmt!$D$16</f>
        <v>5211.5</v>
      </c>
      <c r="K144" s="31"/>
      <c r="L144" s="32">
        <f>SUM(IncomeStmt!$D$17:$D$17)</f>
        <v>1609.1</v>
      </c>
      <c r="M144" s="31"/>
      <c r="N144" s="32">
        <f>SUM(IncomeStmt!$D$18:$D$18)</f>
        <v>2270.8000000000002</v>
      </c>
      <c r="O144" s="31"/>
      <c r="P144" s="32">
        <f>+IncomeStmt!$D$19</f>
        <v>0</v>
      </c>
      <c r="Q144" s="31"/>
      <c r="R144" s="135">
        <v>0</v>
      </c>
      <c r="S144" s="31"/>
      <c r="T144" s="123">
        <f>SUM(D144:R144)</f>
        <v>43174.1</v>
      </c>
      <c r="U144" s="31"/>
      <c r="V144" s="123">
        <f>B144-T144</f>
        <v>16062.099999999991</v>
      </c>
      <c r="W144" s="31"/>
      <c r="X144" s="31"/>
      <c r="Y144" s="3"/>
      <c r="Z144" s="3"/>
      <c r="AA144" s="3"/>
      <c r="AB144" s="31"/>
      <c r="AC144" s="3"/>
      <c r="AD144" s="3"/>
      <c r="AE144" s="3"/>
      <c r="AF144" s="3"/>
      <c r="AG144" s="3"/>
    </row>
    <row r="145" spans="1:33" ht="13.5" thickTop="1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</row>
    <row r="146" spans="1:33">
      <c r="A146" s="1"/>
      <c r="B146" s="288"/>
      <c r="C146" s="288"/>
      <c r="D146" s="288"/>
      <c r="E146" s="288"/>
      <c r="F146" s="288"/>
      <c r="G146" s="288"/>
      <c r="H146" s="288"/>
      <c r="I146" s="288"/>
      <c r="J146" s="288"/>
      <c r="K146" s="288"/>
      <c r="L146" s="288"/>
      <c r="M146" s="288"/>
      <c r="N146" s="288"/>
      <c r="O146" s="288"/>
      <c r="P146" s="288"/>
      <c r="Q146" s="288"/>
      <c r="R146" s="288"/>
      <c r="S146" s="288"/>
      <c r="T146" s="288"/>
      <c r="U146" s="288"/>
      <c r="V146" s="288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</row>
    <row r="147" spans="1:33">
      <c r="A147" s="1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</row>
    <row r="148" spans="1:33" ht="15.75">
      <c r="A148" s="127" t="s">
        <v>232</v>
      </c>
      <c r="B148" s="125"/>
      <c r="C148" s="125"/>
      <c r="D148" s="125"/>
      <c r="E148" s="125"/>
      <c r="F148" s="124"/>
      <c r="G148" s="124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8" t="s">
        <v>768</v>
      </c>
      <c r="U148" s="136"/>
      <c r="V148" s="136"/>
      <c r="W148" s="86"/>
      <c r="X148" s="3"/>
      <c r="Y148" s="3"/>
      <c r="Z148" s="3"/>
      <c r="AA148" s="3"/>
      <c r="AB148" s="3"/>
      <c r="AC148" s="3"/>
      <c r="AD148" s="3"/>
      <c r="AE148" s="3"/>
      <c r="AF148" s="3"/>
      <c r="AG148" s="3"/>
    </row>
    <row r="149" spans="1:33" ht="15.75">
      <c r="A149" s="127" t="s">
        <v>769</v>
      </c>
      <c r="B149" s="125"/>
      <c r="C149" s="125"/>
      <c r="D149" s="125"/>
      <c r="E149" s="125"/>
      <c r="F149" s="124"/>
      <c r="G149" s="124"/>
      <c r="H149" s="125"/>
      <c r="I149" s="124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8"/>
      <c r="U149" s="128"/>
      <c r="V149" s="128"/>
      <c r="W149" s="86"/>
      <c r="X149" s="3"/>
      <c r="Y149" s="3"/>
      <c r="Z149" s="3"/>
      <c r="AA149" s="3"/>
      <c r="AB149" s="3"/>
      <c r="AC149" s="3"/>
      <c r="AD149" s="3"/>
      <c r="AE149" s="3"/>
      <c r="AF149" s="3"/>
      <c r="AG149" s="3"/>
    </row>
    <row r="150" spans="1:33" ht="15.75">
      <c r="A150" s="127" t="s">
        <v>770</v>
      </c>
      <c r="B150" s="125"/>
      <c r="C150" s="125"/>
      <c r="D150" s="125"/>
      <c r="E150" s="125"/>
      <c r="F150" s="125"/>
      <c r="G150" s="124"/>
      <c r="H150" s="124"/>
      <c r="I150" s="124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8"/>
      <c r="U150" s="128"/>
      <c r="V150" s="128"/>
      <c r="W150" s="86"/>
      <c r="X150" s="3"/>
      <c r="Y150" s="3"/>
      <c r="Z150" s="3"/>
      <c r="AA150" s="3"/>
      <c r="AB150" s="3"/>
      <c r="AC150" s="3"/>
      <c r="AD150" s="3"/>
      <c r="AE150" s="3"/>
      <c r="AF150" s="3"/>
      <c r="AG150" s="3"/>
    </row>
    <row r="151" spans="1:33" ht="15.75">
      <c r="A151" s="129" t="str">
        <f>A3</f>
        <v>2023 Budget</v>
      </c>
      <c r="B151" s="125"/>
      <c r="C151" s="125"/>
      <c r="D151" s="125"/>
      <c r="E151" s="125"/>
      <c r="F151" s="124"/>
      <c r="G151" s="124"/>
      <c r="H151" s="125"/>
      <c r="I151" s="124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8"/>
      <c r="U151" s="128"/>
      <c r="V151" s="128"/>
      <c r="W151" s="86"/>
      <c r="X151" s="3"/>
      <c r="Y151" s="3"/>
      <c r="Z151" s="3"/>
      <c r="AA151" s="3"/>
      <c r="AB151" s="3"/>
      <c r="AC151" s="3"/>
      <c r="AD151" s="3"/>
      <c r="AE151" s="3"/>
      <c r="AF151" s="3"/>
      <c r="AG151" s="3"/>
    </row>
    <row r="152" spans="1:33" ht="15.75">
      <c r="A152" s="129"/>
      <c r="B152" s="125"/>
      <c r="C152" s="125"/>
      <c r="D152" s="125"/>
      <c r="E152" s="125"/>
      <c r="F152" s="124"/>
      <c r="G152" s="124"/>
      <c r="H152" s="125"/>
      <c r="I152" s="124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8"/>
      <c r="U152" s="128"/>
      <c r="V152" s="128"/>
      <c r="W152" s="86"/>
      <c r="X152" s="3"/>
      <c r="Y152" s="3"/>
      <c r="Z152" s="3"/>
      <c r="AA152" s="3"/>
      <c r="AB152" s="3"/>
      <c r="AC152" s="3"/>
      <c r="AD152" s="3"/>
      <c r="AE152" s="3"/>
      <c r="AF152" s="3"/>
      <c r="AG152" s="3"/>
    </row>
    <row r="153" spans="1:33">
      <c r="A153" s="1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86"/>
      <c r="X153" s="3"/>
      <c r="Y153" s="3"/>
      <c r="Z153" s="3"/>
      <c r="AA153" s="3"/>
      <c r="AB153" s="3"/>
      <c r="AC153" s="3"/>
      <c r="AD153" s="3"/>
      <c r="AE153" s="3"/>
      <c r="AF153" s="3"/>
      <c r="AG153" s="3"/>
    </row>
    <row r="154" spans="1:33">
      <c r="A154" s="1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86"/>
      <c r="X154" s="259"/>
      <c r="Y154" s="3"/>
      <c r="Z154" s="3"/>
      <c r="AA154" s="3"/>
      <c r="AB154" s="3"/>
      <c r="AC154" s="3"/>
      <c r="AD154" s="3"/>
      <c r="AE154" s="3"/>
      <c r="AF154" s="3"/>
      <c r="AG154" s="3"/>
    </row>
    <row r="155" spans="1:33">
      <c r="A155" s="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86"/>
      <c r="X155" s="3"/>
      <c r="Y155" s="3"/>
      <c r="Z155" s="3"/>
      <c r="AA155" s="3"/>
      <c r="AB155" s="3"/>
      <c r="AC155" s="3"/>
      <c r="AD155" s="3"/>
      <c r="AE155" s="3"/>
      <c r="AF155" s="3"/>
      <c r="AG155" s="3"/>
    </row>
    <row r="156" spans="1:33">
      <c r="A156" s="137"/>
      <c r="B156" s="143"/>
      <c r="C156" s="138"/>
      <c r="D156" s="143"/>
      <c r="E156" s="138"/>
      <c r="F156" s="143"/>
      <c r="G156" s="138"/>
      <c r="H156" s="143"/>
      <c r="I156" s="138"/>
      <c r="J156" s="138"/>
      <c r="K156" s="138"/>
      <c r="L156" s="139" t="s">
        <v>771</v>
      </c>
      <c r="M156" s="139"/>
      <c r="N156" s="139"/>
      <c r="O156" s="138"/>
      <c r="P156" s="139" t="s">
        <v>772</v>
      </c>
      <c r="Q156" s="139"/>
      <c r="R156" s="139"/>
      <c r="S156" s="138"/>
      <c r="T156" s="139" t="s">
        <v>773</v>
      </c>
      <c r="U156" s="139"/>
      <c r="V156" s="139"/>
      <c r="W156" s="86"/>
      <c r="X156" s="3"/>
      <c r="Y156" s="3"/>
      <c r="Z156" s="3"/>
      <c r="AA156" s="3"/>
      <c r="AB156" s="3"/>
      <c r="AC156" s="3"/>
      <c r="AD156" s="3"/>
      <c r="AE156" s="3"/>
      <c r="AF156" s="3"/>
      <c r="AG156" s="3"/>
    </row>
    <row r="157" spans="1:33" ht="13.9" customHeight="1">
      <c r="A157" s="137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40" t="s">
        <v>774</v>
      </c>
      <c r="M157" s="138"/>
      <c r="N157" s="140" t="s">
        <v>775</v>
      </c>
      <c r="O157" s="138"/>
      <c r="P157" s="140" t="s">
        <v>774</v>
      </c>
      <c r="Q157" s="138"/>
      <c r="R157" s="140" t="s">
        <v>775</v>
      </c>
      <c r="S157" s="138"/>
      <c r="T157" s="140" t="s">
        <v>774</v>
      </c>
      <c r="U157" s="138"/>
      <c r="V157" s="140" t="s">
        <v>775</v>
      </c>
      <c r="W157" s="86"/>
      <c r="X157" s="3"/>
      <c r="Y157" s="3"/>
      <c r="Z157" s="3"/>
      <c r="AA157" s="3"/>
      <c r="AB157" s="3"/>
      <c r="AC157" s="3"/>
      <c r="AD157" s="3"/>
      <c r="AE157" s="3"/>
      <c r="AF157" s="3"/>
      <c r="AG157" s="3"/>
    </row>
    <row r="158" spans="1:33" ht="13.9" customHeight="1">
      <c r="A158" s="137"/>
      <c r="B158" s="138"/>
      <c r="C158" s="138"/>
      <c r="D158" s="139" t="s">
        <v>776</v>
      </c>
      <c r="E158" s="139"/>
      <c r="F158" s="139"/>
      <c r="G158" s="138"/>
      <c r="H158" s="138"/>
      <c r="I158" s="138"/>
      <c r="J158" s="140" t="s">
        <v>777</v>
      </c>
      <c r="K158" s="138"/>
      <c r="L158" s="140" t="s">
        <v>323</v>
      </c>
      <c r="M158" s="138"/>
      <c r="N158" s="140" t="s">
        <v>774</v>
      </c>
      <c r="O158" s="138"/>
      <c r="P158" s="140" t="s">
        <v>323</v>
      </c>
      <c r="Q158" s="138"/>
      <c r="R158" s="140" t="s">
        <v>774</v>
      </c>
      <c r="S158" s="138"/>
      <c r="T158" s="140" t="s">
        <v>323</v>
      </c>
      <c r="U158" s="138"/>
      <c r="V158" s="140" t="s">
        <v>774</v>
      </c>
      <c r="W158" s="86"/>
      <c r="X158" s="3"/>
      <c r="Y158" s="3"/>
      <c r="Z158" s="3"/>
      <c r="AA158" s="337"/>
      <c r="AB158" s="3"/>
      <c r="AC158" s="3"/>
      <c r="AD158" s="3"/>
      <c r="AE158" s="337"/>
      <c r="AF158" s="3"/>
      <c r="AG158" s="3"/>
    </row>
    <row r="159" spans="1:33" ht="13.9" customHeight="1">
      <c r="A159" s="141" t="s">
        <v>247</v>
      </c>
      <c r="B159" s="142" t="s">
        <v>728</v>
      </c>
      <c r="C159" s="138"/>
      <c r="D159" s="142" t="s">
        <v>778</v>
      </c>
      <c r="E159" s="138"/>
      <c r="F159" s="142" t="s">
        <v>779</v>
      </c>
      <c r="G159" s="138"/>
      <c r="H159" s="142" t="s">
        <v>780</v>
      </c>
      <c r="I159" s="138"/>
      <c r="J159" s="142" t="s">
        <v>781</v>
      </c>
      <c r="K159" s="138"/>
      <c r="L159" s="142" t="s">
        <v>781</v>
      </c>
      <c r="M159" s="138"/>
      <c r="N159" s="142" t="s">
        <v>781</v>
      </c>
      <c r="O159" s="138"/>
      <c r="P159" s="142" t="s">
        <v>781</v>
      </c>
      <c r="Q159" s="138"/>
      <c r="R159" s="142" t="s">
        <v>781</v>
      </c>
      <c r="S159" s="138"/>
      <c r="T159" s="142" t="s">
        <v>781</v>
      </c>
      <c r="U159" s="138"/>
      <c r="V159" s="142" t="s">
        <v>781</v>
      </c>
      <c r="W159" s="86"/>
      <c r="X159" s="3"/>
      <c r="Y159" s="3" t="s">
        <v>1226</v>
      </c>
      <c r="Z159" s="3"/>
      <c r="AA159" s="3" t="s">
        <v>1227</v>
      </c>
      <c r="AB159" s="3"/>
      <c r="AC159" s="3" t="s">
        <v>1228</v>
      </c>
      <c r="AD159" s="207"/>
      <c r="AE159" s="3"/>
      <c r="AF159" s="3"/>
    </row>
    <row r="160" spans="1:33" ht="13.9" customHeight="1">
      <c r="A160" s="137" t="s">
        <v>782</v>
      </c>
      <c r="B160" s="143">
        <f ca="1">Reconcil!C119+Reconcil!C120</f>
        <v>627633.8224153847</v>
      </c>
      <c r="C160" s="143"/>
      <c r="D160" s="143">
        <f ca="1">+Reconcil!D43</f>
        <v>-377.78814798570863</v>
      </c>
      <c r="E160" s="143"/>
      <c r="F160" s="143">
        <f ca="1">ROUND(Reconcil!$K$43*'Cap Str 54.7%'!C24,9)+ROUND(Reconcil!$J$43*'Cap Str 54.7%'!C35,9)</f>
        <v>-49344.053536906002</v>
      </c>
      <c r="G160" s="143"/>
      <c r="H160" s="533">
        <f ca="1">B160+D160+F160+('Cap Str 54.7%'!B17*'Cap Str 54.7%'!B8)</f>
        <v>578352.31628888287</v>
      </c>
      <c r="I160" s="138"/>
      <c r="J160" s="193">
        <f ca="1">ROUND(H160/$H$171,4)</f>
        <v>0.28570000000000001</v>
      </c>
      <c r="K160" s="138"/>
      <c r="L160" s="144">
        <f ca="1">'Int Synch'!D15*100</f>
        <v>4.58</v>
      </c>
      <c r="M160" s="289"/>
      <c r="N160" s="144">
        <f ca="1">ROUND(L160*J160,2)</f>
        <v>1.31</v>
      </c>
      <c r="O160" s="138"/>
      <c r="P160" s="144">
        <f ca="1">L160</f>
        <v>4.58</v>
      </c>
      <c r="Q160" s="138"/>
      <c r="R160" s="144">
        <f ca="1">ROUND(P160*J160,2)</f>
        <v>1.31</v>
      </c>
      <c r="S160" s="138"/>
      <c r="T160" s="144">
        <f ca="1">L160</f>
        <v>4.58</v>
      </c>
      <c r="U160" s="138"/>
      <c r="V160" s="144">
        <f ca="1">ROUND(T160*J160,2)</f>
        <v>1.31</v>
      </c>
      <c r="W160" s="86"/>
      <c r="X160" s="177">
        <f ca="1">H160/SUM($H$160,$H$162,$H$166)</f>
        <v>0.32871061960091646</v>
      </c>
      <c r="Y160" s="1100">
        <f ca="1">L160*X160</f>
        <v>1.5054946377721974</v>
      </c>
      <c r="Z160" s="3"/>
      <c r="AA160" s="1100">
        <f ca="1">P160*X160</f>
        <v>1.5054946377721974</v>
      </c>
      <c r="AB160" s="3"/>
      <c r="AC160" s="1100">
        <f ca="1">T160*X160</f>
        <v>1.5054946377721974</v>
      </c>
      <c r="AD160" s="3"/>
      <c r="AE160" s="3"/>
      <c r="AF160" s="3"/>
    </row>
    <row r="161" spans="1:34" ht="6" customHeight="1">
      <c r="A161" s="137"/>
      <c r="B161" s="143"/>
      <c r="C161" s="143"/>
      <c r="D161" s="143"/>
      <c r="E161" s="143"/>
      <c r="F161" s="143"/>
      <c r="G161" s="143"/>
      <c r="H161" s="143"/>
      <c r="I161" s="138"/>
      <c r="J161" s="194"/>
      <c r="K161" s="138"/>
      <c r="L161" s="138"/>
      <c r="M161" s="138"/>
      <c r="N161" s="138"/>
      <c r="O161" s="138"/>
      <c r="P161" s="144"/>
      <c r="Q161" s="138"/>
      <c r="R161" s="144"/>
      <c r="S161" s="138"/>
      <c r="T161" s="144"/>
      <c r="U161" s="138"/>
      <c r="V161" s="144"/>
      <c r="W161" s="86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4" ht="13.9" customHeight="1">
      <c r="A162" s="137" t="s">
        <v>783</v>
      </c>
      <c r="B162" s="143">
        <f ca="1">Reconcil!C126</f>
        <v>237829.61571560969</v>
      </c>
      <c r="C162" s="143"/>
      <c r="D162" s="143">
        <f ca="1">+Reconcil!E43</f>
        <v>-656.67635230768735</v>
      </c>
      <c r="E162" s="143"/>
      <c r="F162" s="143">
        <f ca="1">ROUND(Reconcil!$K$43*'Cap Str 54.7%'!C25,9)+ROUND(Reconcil!$J$43*'Cap Str 54.7%'!C36,9)</f>
        <v>-18657.571355399003</v>
      </c>
      <c r="G162" s="143"/>
      <c r="H162" s="533">
        <f ca="1">B162+D162+F162+('Cap Str 54.7%'!B17*'Cap Str 54.7%'!B9)</f>
        <v>218681.86410038217</v>
      </c>
      <c r="I162" s="138"/>
      <c r="J162" s="560">
        <f ca="1">ROUND(H162/$H$171,4)</f>
        <v>0.108</v>
      </c>
      <c r="K162" s="138"/>
      <c r="L162" s="144">
        <f ca="1">'Int Synch'!D17*100</f>
        <v>4.22</v>
      </c>
      <c r="M162" s="289"/>
      <c r="N162" s="144">
        <f ca="1">ROUND(L162*J162,2)</f>
        <v>0.46</v>
      </c>
      <c r="O162" s="138"/>
      <c r="P162" s="144">
        <f ca="1">L162</f>
        <v>4.22</v>
      </c>
      <c r="Q162" s="138"/>
      <c r="R162" s="144">
        <f ca="1">ROUND(P162*J162,2)</f>
        <v>0.46</v>
      </c>
      <c r="S162" s="138"/>
      <c r="T162" s="144">
        <f ca="1">L162</f>
        <v>4.22</v>
      </c>
      <c r="U162" s="138"/>
      <c r="V162" s="144">
        <f ca="1">ROUND(T162*J162,2)</f>
        <v>0.46</v>
      </c>
      <c r="W162" s="86"/>
      <c r="X162" s="177">
        <f ca="1">H162/SUM($H$160,$H$162,$H$166)</f>
        <v>0.12428938039908353</v>
      </c>
      <c r="Y162" s="1100">
        <f ca="1">L162*X162</f>
        <v>0.52450118528413248</v>
      </c>
      <c r="Z162" s="3"/>
      <c r="AA162" s="1100">
        <f ca="1">P162*X162</f>
        <v>0.52450118528413248</v>
      </c>
      <c r="AB162" s="3"/>
      <c r="AC162" s="1100">
        <f ca="1">T162*X162</f>
        <v>0.52450118528413248</v>
      </c>
      <c r="AD162" s="3"/>
      <c r="AE162" s="3"/>
      <c r="AF162" s="3"/>
    </row>
    <row r="163" spans="1:34" ht="6" customHeight="1">
      <c r="A163" s="137"/>
      <c r="B163" s="143"/>
      <c r="C163" s="143"/>
      <c r="D163" s="143"/>
      <c r="E163" s="143"/>
      <c r="F163" s="143"/>
      <c r="G163" s="143"/>
      <c r="H163" s="143"/>
      <c r="I163" s="138"/>
      <c r="J163" s="194"/>
      <c r="K163" s="138"/>
      <c r="L163" s="144"/>
      <c r="M163" s="138"/>
      <c r="N163" s="144"/>
      <c r="O163" s="138"/>
      <c r="P163" s="144"/>
      <c r="Q163" s="138"/>
      <c r="R163" s="144"/>
      <c r="S163" s="138"/>
      <c r="T163" s="144"/>
      <c r="U163" s="138"/>
      <c r="V163" s="144"/>
      <c r="W163" s="86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4" ht="13.9" customHeight="1">
      <c r="A164" s="137" t="s">
        <v>784</v>
      </c>
      <c r="B164" s="143">
        <f ca="1">Reconcil!C130+Reconcil!C150+Reconcil!C136</f>
        <v>28951.612725384606</v>
      </c>
      <c r="C164" s="143"/>
      <c r="D164" s="143"/>
      <c r="E164" s="143"/>
      <c r="F164" s="143">
        <f ca="1">ROUND(Reconcil!$K$43*'Cap Str 54.7%'!B26,9)+ROUND(Reconcil!$J$43*'Cap Str 54.7%'!C37,9)</f>
        <v>-2069.600908508</v>
      </c>
      <c r="G164" s="143"/>
      <c r="H164" s="143">
        <f ca="1">B164+D164+F164</f>
        <v>26882.011816876606</v>
      </c>
      <c r="I164" s="138"/>
      <c r="J164" s="193">
        <f ca="1">ROUND(H164/$H$171,4)</f>
        <v>1.3299999999999999E-2</v>
      </c>
      <c r="K164" s="138"/>
      <c r="L164" s="144">
        <f ca="1">'Int Synch'!D19*100</f>
        <v>2.52</v>
      </c>
      <c r="M164" s="289"/>
      <c r="N164" s="144">
        <f ca="1">ROUND(L164*J164,2)</f>
        <v>0.03</v>
      </c>
      <c r="O164" s="138"/>
      <c r="P164" s="144">
        <f ca="1">L164</f>
        <v>2.52</v>
      </c>
      <c r="Q164" s="138"/>
      <c r="R164" s="144">
        <f ca="1">ROUND(P164*J164,2)</f>
        <v>0.03</v>
      </c>
      <c r="S164" s="138"/>
      <c r="T164" s="144">
        <f ca="1">L164</f>
        <v>2.52</v>
      </c>
      <c r="U164" s="138"/>
      <c r="V164" s="144">
        <f ca="1">ROUND(T164*J164,2)</f>
        <v>0.03</v>
      </c>
      <c r="W164" s="86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4" ht="6" customHeight="1">
      <c r="A165" s="137"/>
      <c r="B165" s="143"/>
      <c r="C165" s="143"/>
      <c r="D165" s="143"/>
      <c r="E165" s="143"/>
      <c r="F165" s="143"/>
      <c r="G165" s="143"/>
      <c r="H165" s="143"/>
      <c r="I165" s="138"/>
      <c r="J165" s="194"/>
      <c r="K165" s="138"/>
      <c r="L165" s="144"/>
      <c r="M165" s="138"/>
      <c r="N165" s="144"/>
      <c r="O165" s="138"/>
      <c r="P165" s="144"/>
      <c r="Q165" s="138"/>
      <c r="R165" s="144"/>
      <c r="S165" s="138"/>
      <c r="T165" s="144"/>
      <c r="U165" s="138"/>
      <c r="V165" s="144"/>
      <c r="W165" s="86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4" ht="13.9" customHeight="1">
      <c r="A166" s="137" t="s">
        <v>785</v>
      </c>
      <c r="B166" s="143">
        <f ca="1">Reconcil!C116</f>
        <v>1049081.1314387338</v>
      </c>
      <c r="C166" s="143"/>
      <c r="D166" s="143">
        <f ca="1">Reconcil!G43</f>
        <v>-3824.4128110365391</v>
      </c>
      <c r="E166" s="143"/>
      <c r="F166" s="143">
        <f ca="1">ROUND(Reconcil!$K$43*'Cap Str 54.7%'!C27,9)+ROUND(Reconcil!$J$43*'Cap Str 54.7%'!C38,9)</f>
        <v>-82226.715513410993</v>
      </c>
      <c r="G166" s="143"/>
      <c r="H166" s="533">
        <f ca="1">B166+D166+F166-'Cap Str 54.7%'!B17</f>
        <v>962423.17146341712</v>
      </c>
      <c r="I166" s="138"/>
      <c r="J166" s="193">
        <f ca="1">ROUND(H166/$H$171,4)</f>
        <v>0.47539999999999999</v>
      </c>
      <c r="K166" s="138"/>
      <c r="L166" s="373">
        <f>+P166-1</f>
        <v>8.9</v>
      </c>
      <c r="M166" s="289"/>
      <c r="N166" s="144">
        <f ca="1">ROUND(L166*J166,2)</f>
        <v>4.2300000000000004</v>
      </c>
      <c r="O166" s="138"/>
      <c r="P166" s="171">
        <v>9.9</v>
      </c>
      <c r="Q166" s="138"/>
      <c r="R166" s="144">
        <f ca="1">ROUND(P166*J166,2)</f>
        <v>4.71</v>
      </c>
      <c r="S166" s="138"/>
      <c r="T166" s="145">
        <f>+P166+1.1</f>
        <v>11</v>
      </c>
      <c r="U166" s="138"/>
      <c r="V166" s="144">
        <f ca="1">ROUND(T166*J166,2)</f>
        <v>5.23</v>
      </c>
      <c r="W166" s="86"/>
      <c r="X166" s="177">
        <f ca="1">H166/SUM($H$160,$H$162,$H$166)</f>
        <v>0.54699999999999993</v>
      </c>
      <c r="Y166" s="1100">
        <f ca="1">L166*X166</f>
        <v>4.8682999999999996</v>
      </c>
      <c r="Z166" s="3"/>
      <c r="AA166" s="1100">
        <f ca="1">P166*X166</f>
        <v>5.4152999999999993</v>
      </c>
      <c r="AB166" s="3"/>
      <c r="AC166" s="1100">
        <f ca="1">T166*X166</f>
        <v>6.0169999999999995</v>
      </c>
      <c r="AD166" s="3"/>
      <c r="AE166" s="3"/>
      <c r="AF166" s="3"/>
    </row>
    <row r="167" spans="1:34" ht="6" customHeight="1">
      <c r="A167" s="137"/>
      <c r="B167" s="143"/>
      <c r="C167" s="143"/>
      <c r="D167" s="143"/>
      <c r="E167" s="143"/>
      <c r="F167" s="143"/>
      <c r="G167" s="143"/>
      <c r="H167" s="143"/>
      <c r="I167" s="138"/>
      <c r="J167" s="194"/>
      <c r="K167" s="138"/>
      <c r="L167" s="144"/>
      <c r="M167" s="138"/>
      <c r="N167" s="144"/>
      <c r="O167" s="138"/>
      <c r="P167" s="144"/>
      <c r="Q167" s="138"/>
      <c r="R167" s="144"/>
      <c r="S167" s="138"/>
      <c r="T167" s="144"/>
      <c r="U167" s="138"/>
      <c r="V167" s="144"/>
      <c r="W167" s="86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4" ht="13.9" customHeight="1">
      <c r="A168" s="137" t="s">
        <v>786</v>
      </c>
      <c r="B168" s="143">
        <f ca="1">Reconcil!C145+Reconcil!C146+Reconcil!C148-Reconcil!C92</f>
        <v>275352.61019461532</v>
      </c>
      <c r="C168" s="143"/>
      <c r="D168" s="143">
        <f ca="1">Reconcil!H43</f>
        <v>-22095.281066216587</v>
      </c>
      <c r="E168" s="143"/>
      <c r="F168" s="143">
        <f ca="1">ROUND(Reconcil!$K$43*'Cap Str 54.7%'!B28,9)+ROUND(Reconcil!$J$43*'Cap Str 54.7%'!C39,9)</f>
        <v>-18104.055322311</v>
      </c>
      <c r="G168" s="143"/>
      <c r="H168" s="143">
        <f ca="1">B168+D168+F168</f>
        <v>235153.27380608773</v>
      </c>
      <c r="I168" s="138"/>
      <c r="J168" s="193">
        <f ca="1">ROUND(H168/$H$171,4)</f>
        <v>0.1162</v>
      </c>
      <c r="K168" s="138"/>
      <c r="L168" s="144"/>
      <c r="M168" s="138"/>
      <c r="N168" s="144"/>
      <c r="O168" s="138"/>
      <c r="P168" s="144"/>
      <c r="Q168" s="138"/>
      <c r="R168" s="144"/>
      <c r="S168" s="138"/>
      <c r="T168" s="144"/>
      <c r="U168" s="138"/>
      <c r="V168" s="144"/>
      <c r="W168" s="86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4" ht="6" customHeight="1">
      <c r="A169" s="137"/>
      <c r="B169" s="143"/>
      <c r="C169" s="143"/>
      <c r="D169" s="143"/>
      <c r="E169" s="143"/>
      <c r="F169" s="143"/>
      <c r="G169" s="143"/>
      <c r="H169" s="143"/>
      <c r="I169" s="138"/>
      <c r="J169" s="194"/>
      <c r="K169" s="138"/>
      <c r="L169" s="144"/>
      <c r="M169" s="138"/>
      <c r="N169" s="144"/>
      <c r="O169" s="138"/>
      <c r="P169" s="144"/>
      <c r="Q169" s="138"/>
      <c r="R169" s="144"/>
      <c r="S169" s="138"/>
      <c r="T169" s="144"/>
      <c r="U169" s="138"/>
      <c r="V169" s="144"/>
      <c r="W169" s="86"/>
      <c r="X169" s="3"/>
      <c r="Y169" s="3"/>
      <c r="Z169" s="3"/>
      <c r="AA169" s="3"/>
      <c r="AB169" s="3"/>
      <c r="AC169" s="3"/>
      <c r="AD169" s="3"/>
      <c r="AE169" s="3"/>
      <c r="AF169" s="3"/>
      <c r="AG169" s="3"/>
    </row>
    <row r="170" spans="1:34" ht="13.9" customHeight="1">
      <c r="A170" s="137" t="s">
        <v>1242</v>
      </c>
      <c r="B170" s="146">
        <f ca="1">Reconcil!C147</f>
        <v>3058.4307692307698</v>
      </c>
      <c r="C170" s="143"/>
      <c r="D170" s="1048">
        <v>0</v>
      </c>
      <c r="E170" s="143"/>
      <c r="F170" s="146">
        <f ca="1">ROUND(Reconcil!$K$43*'Cap Str 54.7%'!B29,9)+ROUND(Reconcil!$J$43*'Cap Str 54.7%'!C40,9)</f>
        <v>-218.63138190800001</v>
      </c>
      <c r="G170" s="143"/>
      <c r="H170" s="146">
        <f ca="1">B170+D170+F170</f>
        <v>2839.7993873227697</v>
      </c>
      <c r="I170" s="138"/>
      <c r="J170" s="195">
        <f ca="1">ROUND(H170/$H$171,4)</f>
        <v>1.4E-3</v>
      </c>
      <c r="K170" s="138"/>
      <c r="L170" s="144">
        <f ca="1">SUM(Y160:Y166)</f>
        <v>6.8982958230563298</v>
      </c>
      <c r="M170" s="138"/>
      <c r="N170" s="1103">
        <f ca="1">ROUND(L170*J170,2)</f>
        <v>0.01</v>
      </c>
      <c r="O170" s="138"/>
      <c r="P170" s="144">
        <f ca="1">SUM(AA160:AA166)</f>
        <v>7.4452958230563286</v>
      </c>
      <c r="Q170" s="138"/>
      <c r="R170" s="1103">
        <f ca="1">ROUND(P170*J170,2)</f>
        <v>0.01</v>
      </c>
      <c r="S170" s="138"/>
      <c r="T170" s="144">
        <f ca="1">SUM(AC160:AC167)</f>
        <v>8.0469958230563297</v>
      </c>
      <c r="U170" s="138"/>
      <c r="V170" s="1103">
        <f ca="1">ROUND(T170*J170,2)</f>
        <v>0.01</v>
      </c>
      <c r="W170" s="86"/>
      <c r="X170" s="3"/>
      <c r="Y170" s="3"/>
      <c r="Z170" s="3"/>
      <c r="AA170" s="3"/>
      <c r="AB170" s="3"/>
      <c r="AC170" s="3"/>
      <c r="AD170" s="3"/>
      <c r="AE170" s="3"/>
      <c r="AF170" s="3"/>
      <c r="AG170" s="3"/>
    </row>
    <row r="171" spans="1:34" ht="15.95" customHeight="1" thickBot="1">
      <c r="A171" s="137" t="s">
        <v>230</v>
      </c>
      <c r="B171" s="148">
        <f ca="1">SUM(B160:B170)</f>
        <v>2221907.2232589587</v>
      </c>
      <c r="C171" s="138"/>
      <c r="D171" s="148">
        <f ca="1">SUM(D160:D170)</f>
        <v>-26954.158377546522</v>
      </c>
      <c r="E171" s="138"/>
      <c r="F171" s="148">
        <f ca="1">H171-D171-B171</f>
        <v>-170620.7932974468</v>
      </c>
      <c r="G171" s="138"/>
      <c r="H171" s="148">
        <f ca="1">T92</f>
        <v>2024332.2715839653</v>
      </c>
      <c r="I171" s="138"/>
      <c r="J171" s="196">
        <f ca="1">SUM(J160:J170)</f>
        <v>0.99999999999999989</v>
      </c>
      <c r="K171" s="138"/>
      <c r="L171" s="144"/>
      <c r="M171" s="144"/>
      <c r="N171" s="149">
        <f ca="1">SUM(N160:N170)</f>
        <v>6.04</v>
      </c>
      <c r="O171" s="144"/>
      <c r="P171" s="144"/>
      <c r="Q171" s="144"/>
      <c r="R171" s="149">
        <f ca="1">SUM(R160:R170)</f>
        <v>6.52</v>
      </c>
      <c r="S171" s="144"/>
      <c r="T171" s="144"/>
      <c r="U171" s="144"/>
      <c r="V171" s="149">
        <f ca="1">SUM(V160:V170)</f>
        <v>7.04</v>
      </c>
      <c r="W171" s="86"/>
      <c r="X171" s="3"/>
      <c r="Y171" s="3"/>
      <c r="Z171" s="3"/>
      <c r="AA171" s="3"/>
      <c r="AB171" s="3"/>
      <c r="AC171" s="3"/>
      <c r="AD171" s="3"/>
      <c r="AE171" s="3"/>
      <c r="AF171" s="3"/>
      <c r="AG171" s="3"/>
    </row>
    <row r="172" spans="1:34" ht="9" customHeight="1" thickTop="1">
      <c r="A172" s="137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86"/>
      <c r="X172" s="3"/>
      <c r="Y172" s="3"/>
      <c r="Z172" s="3"/>
      <c r="AA172" s="3"/>
      <c r="AB172" s="3"/>
      <c r="AC172" s="3"/>
      <c r="AD172" s="3"/>
      <c r="AE172" s="3"/>
      <c r="AF172" s="3"/>
      <c r="AG172" s="3"/>
    </row>
    <row r="173" spans="1:34">
      <c r="A173" s="137"/>
      <c r="B173" s="143">
        <f ca="1">+B171-T55</f>
        <v>0.16527900518849492</v>
      </c>
      <c r="C173" s="138"/>
      <c r="D173" s="143">
        <f ca="1">+D171-SUM(Reconcil!D43:I43)</f>
        <v>0</v>
      </c>
      <c r="E173" s="138"/>
      <c r="F173" s="143">
        <f ca="1">+F171-Reconcil!K43-Reconcil!J43</f>
        <v>-0.16527900510118343</v>
      </c>
      <c r="G173" s="138"/>
      <c r="H173" s="143">
        <f ca="1">SUM(H160:H170)-H171</f>
        <v>0.1652790040243417</v>
      </c>
      <c r="I173" s="138"/>
      <c r="J173" s="457">
        <f ca="1">1-J171</f>
        <v>0</v>
      </c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</row>
    <row r="174" spans="1:34">
      <c r="A174" s="137"/>
      <c r="B174" s="138"/>
      <c r="C174" s="138"/>
      <c r="D174" s="138"/>
      <c r="E174" s="138"/>
      <c r="F174" s="143">
        <f ca="1">SUM(F160:F170)-F171</f>
        <v>0.16527900382061489</v>
      </c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3"/>
      <c r="Y174" s="3"/>
      <c r="Z174" s="3"/>
      <c r="AA174" s="138"/>
      <c r="AB174" s="3"/>
      <c r="AC174" s="3"/>
      <c r="AD174" s="3"/>
      <c r="AE174" s="138"/>
      <c r="AF174" s="3"/>
      <c r="AG174" s="3"/>
      <c r="AH174" s="138"/>
    </row>
    <row r="175" spans="1:34">
      <c r="A175" s="137"/>
      <c r="B175" s="138"/>
      <c r="C175" s="138"/>
      <c r="D175" s="138"/>
      <c r="E175" s="138"/>
      <c r="F175" s="138"/>
      <c r="G175" s="138"/>
      <c r="H175" s="138"/>
      <c r="I175" s="138"/>
      <c r="J175" s="1099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3"/>
      <c r="AC175" s="3"/>
      <c r="AD175" s="3"/>
      <c r="AE175" s="138"/>
      <c r="AF175" s="3"/>
      <c r="AG175" s="3"/>
      <c r="AH175" s="138"/>
    </row>
    <row r="176" spans="1:34" ht="15">
      <c r="A176" s="150" t="s">
        <v>232</v>
      </c>
      <c r="B176" s="151"/>
      <c r="C176" s="92"/>
      <c r="D176" s="14"/>
      <c r="E176" s="151"/>
      <c r="F176" s="151"/>
      <c r="G176" s="151"/>
      <c r="H176" s="151"/>
      <c r="I176" s="126"/>
      <c r="J176" s="14"/>
      <c r="K176" s="151"/>
      <c r="L176" s="86" t="s">
        <v>788</v>
      </c>
      <c r="M176" s="136"/>
      <c r="N176" s="153"/>
      <c r="O176" s="153"/>
      <c r="P176" s="138"/>
      <c r="Q176" s="3"/>
      <c r="R176" s="132"/>
      <c r="S176" s="3"/>
      <c r="T176" s="259"/>
      <c r="U176" s="3"/>
      <c r="V176" s="138"/>
      <c r="W176" s="138"/>
      <c r="X176" s="138"/>
      <c r="Y176" s="138"/>
      <c r="Z176" s="138"/>
      <c r="AA176" s="138"/>
      <c r="AB176" s="3"/>
      <c r="AC176" s="3"/>
      <c r="AD176" s="3"/>
      <c r="AE176" s="138"/>
      <c r="AF176" s="3"/>
      <c r="AG176" s="3"/>
      <c r="AH176" s="138"/>
    </row>
    <row r="177" spans="1:94" ht="15">
      <c r="A177" s="90" t="s">
        <v>789</v>
      </c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2"/>
      <c r="M177" s="128"/>
      <c r="N177" s="153"/>
      <c r="O177" s="153"/>
      <c r="P177" s="138"/>
      <c r="Q177" s="3"/>
      <c r="R177" s="132"/>
      <c r="S177" s="3"/>
      <c r="T177" s="259"/>
      <c r="U177" s="3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3"/>
      <c r="AG177" s="3"/>
      <c r="AH177" s="138"/>
    </row>
    <row r="178" spans="1:94" ht="15">
      <c r="A178" s="90" t="s">
        <v>770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2"/>
      <c r="M178" s="128"/>
      <c r="N178" s="153"/>
      <c r="O178" s="153"/>
      <c r="P178" s="138"/>
      <c r="Q178" s="3"/>
      <c r="R178" s="132"/>
      <c r="S178" s="3"/>
      <c r="T178" s="259"/>
      <c r="U178" s="3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3"/>
      <c r="AG178" s="3"/>
      <c r="AH178" s="138"/>
    </row>
    <row r="179" spans="1:94" ht="15">
      <c r="A179" s="116" t="str">
        <f>A3</f>
        <v>2023 Budget</v>
      </c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2"/>
      <c r="M179" s="128"/>
      <c r="N179" s="3"/>
      <c r="O179" s="3"/>
      <c r="P179" s="132"/>
      <c r="Q179" s="3"/>
      <c r="R179" s="132"/>
      <c r="S179" s="3"/>
      <c r="T179" s="259"/>
      <c r="U179" s="3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</row>
    <row r="180" spans="1:94">
      <c r="A180" s="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132"/>
      <c r="Q180" s="3"/>
      <c r="R180" s="132"/>
      <c r="S180" s="3"/>
      <c r="T180" s="259"/>
      <c r="U180" s="3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</row>
    <row r="181" spans="1:94">
      <c r="A181" s="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132"/>
      <c r="Q181" s="3"/>
      <c r="R181" s="132"/>
      <c r="S181" s="3"/>
      <c r="T181" s="259"/>
      <c r="U181" s="3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</row>
    <row r="182" spans="1:94">
      <c r="A182" s="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132"/>
      <c r="Q182" s="3"/>
      <c r="R182" s="132"/>
      <c r="S182" s="3"/>
      <c r="T182" s="259"/>
      <c r="U182" s="3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</row>
    <row r="183" spans="1:94">
      <c r="A183" s="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132"/>
      <c r="Q183" s="3"/>
      <c r="R183" s="132"/>
      <c r="S183" s="3"/>
      <c r="T183" s="259"/>
      <c r="U183" s="3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</row>
    <row r="184" spans="1:94" ht="15.75">
      <c r="A184" s="104" t="s">
        <v>790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169"/>
      <c r="Q184" s="3"/>
      <c r="R184" s="3"/>
      <c r="S184" s="3"/>
      <c r="T184" s="3"/>
      <c r="U184" s="3"/>
      <c r="V184" s="138"/>
      <c r="W184" s="3"/>
      <c r="X184" s="3"/>
      <c r="Y184" s="3"/>
      <c r="Z184" s="3"/>
      <c r="AC184" s="68"/>
      <c r="AD184" s="138"/>
      <c r="AE184" s="68"/>
      <c r="AF184" s="68"/>
      <c r="AG184" s="3"/>
    </row>
    <row r="185" spans="1:94" ht="12.95" customHeight="1">
      <c r="A185" s="104" t="s">
        <v>791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3"/>
      <c r="Q185" s="3"/>
      <c r="R185" s="3"/>
      <c r="S185" s="3"/>
      <c r="T185" s="3"/>
      <c r="U185" s="3"/>
      <c r="V185" s="138"/>
      <c r="W185" s="3"/>
      <c r="X185" s="3"/>
      <c r="Y185" s="3"/>
      <c r="Z185" s="3"/>
      <c r="AC185" s="68"/>
      <c r="AD185" s="138"/>
      <c r="AE185" s="68"/>
      <c r="AF185" s="68"/>
      <c r="AG185" s="3"/>
      <c r="BE185" s="3"/>
      <c r="BF185" s="3"/>
      <c r="BG185" s="3"/>
      <c r="BH185" s="3"/>
      <c r="BI185" s="3"/>
      <c r="BJ185" s="3"/>
      <c r="BK185" s="3"/>
      <c r="BL185" s="3"/>
      <c r="CI185" s="3"/>
      <c r="CJ185" s="3"/>
      <c r="CK185" s="3"/>
      <c r="CL185" s="3"/>
      <c r="CM185" s="3"/>
      <c r="CN185" s="3"/>
      <c r="CO185" s="3"/>
      <c r="CP185" s="3"/>
    </row>
    <row r="186" spans="1:94" ht="12.95" customHeight="1">
      <c r="A186" s="94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3"/>
      <c r="Q186" s="3"/>
      <c r="R186" s="3"/>
      <c r="S186" s="3"/>
      <c r="T186" s="3"/>
      <c r="U186" s="3"/>
      <c r="V186" s="138"/>
      <c r="W186" s="3"/>
      <c r="X186" s="3"/>
      <c r="Y186" s="3"/>
      <c r="Z186" s="3"/>
      <c r="AA186" s="536"/>
      <c r="AB186" s="190"/>
      <c r="AC186" s="3"/>
      <c r="AD186" s="3"/>
      <c r="AE186" s="3"/>
      <c r="AF186" s="3"/>
      <c r="AG186" s="3"/>
      <c r="BE186" s="3"/>
      <c r="BF186" s="3"/>
      <c r="BG186" s="3"/>
      <c r="BH186" s="3"/>
      <c r="BI186" s="3"/>
      <c r="BJ186" s="3"/>
      <c r="BK186" s="3"/>
      <c r="BL186" s="3"/>
      <c r="CI186" s="3"/>
      <c r="CJ186" s="3"/>
      <c r="CK186" s="3"/>
      <c r="CL186" s="3"/>
      <c r="CM186" s="3"/>
      <c r="CN186" s="3"/>
      <c r="CO186" s="3"/>
      <c r="CP186" s="3"/>
    </row>
    <row r="187" spans="1:94" ht="12.95" customHeight="1">
      <c r="A187" s="94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3"/>
      <c r="Q187" s="3"/>
      <c r="R187" s="3"/>
      <c r="S187" s="3"/>
      <c r="T187" s="3"/>
      <c r="U187" s="3"/>
      <c r="V187" s="138"/>
      <c r="W187" s="3"/>
      <c r="X187" s="3"/>
      <c r="Y187" s="3"/>
      <c r="Z187" s="3"/>
      <c r="AA187" s="536"/>
      <c r="AB187" s="190"/>
      <c r="AC187" s="3"/>
      <c r="AD187" s="3"/>
      <c r="AE187" s="3"/>
      <c r="AF187" s="3"/>
      <c r="AG187" s="3"/>
      <c r="BE187" s="3"/>
      <c r="BF187" s="3"/>
      <c r="BG187" s="3"/>
      <c r="BH187" s="3"/>
      <c r="BI187" s="3"/>
      <c r="BJ187" s="3"/>
      <c r="BK187" s="3"/>
      <c r="BL187" s="3"/>
      <c r="CI187" s="3"/>
      <c r="CJ187" s="3"/>
      <c r="CK187" s="3"/>
      <c r="CL187" s="3"/>
      <c r="CM187" s="3"/>
      <c r="CN187" s="3"/>
      <c r="CO187" s="3"/>
      <c r="CP187" s="3"/>
    </row>
    <row r="188" spans="1:94" ht="12.95" customHeight="1">
      <c r="A188" s="94" t="s">
        <v>792</v>
      </c>
      <c r="B188" s="86"/>
      <c r="C188" s="86"/>
      <c r="D188" s="86"/>
      <c r="E188" s="86"/>
      <c r="F188" s="86"/>
      <c r="G188" s="86"/>
      <c r="H188" s="99">
        <f ca="1">J16</f>
        <v>5.5209000000000001</v>
      </c>
      <c r="I188" s="86" t="s">
        <v>105</v>
      </c>
      <c r="J188" s="86" t="s">
        <v>793</v>
      </c>
      <c r="K188" s="86"/>
      <c r="L188" s="86"/>
      <c r="M188" s="86"/>
      <c r="N188" s="86"/>
      <c r="O188" s="86"/>
      <c r="P188" s="3"/>
      <c r="Q188" s="3"/>
      <c r="R188" s="3"/>
      <c r="S188" s="3"/>
      <c r="T188" s="3"/>
      <c r="U188" s="3"/>
      <c r="V188" s="138"/>
      <c r="W188" s="3"/>
      <c r="X188" s="3"/>
      <c r="Y188" s="3"/>
      <c r="Z188" s="3"/>
      <c r="AA188" s="536"/>
      <c r="AB188" s="190"/>
      <c r="AC188" s="3"/>
      <c r="AD188" s="3"/>
      <c r="AE188" s="3"/>
      <c r="AF188" s="3"/>
      <c r="AG188" s="3"/>
      <c r="BE188" s="3"/>
      <c r="BF188" s="3"/>
      <c r="BG188" s="3"/>
      <c r="BH188" s="3"/>
      <c r="BI188" s="3"/>
      <c r="BJ188" s="3"/>
      <c r="BK188" s="3"/>
      <c r="BL188" s="3"/>
      <c r="CI188" s="3"/>
      <c r="CJ188" s="3"/>
      <c r="CK188" s="3"/>
      <c r="CL188" s="3"/>
      <c r="CM188" s="3"/>
      <c r="CN188" s="3"/>
      <c r="CO188" s="3"/>
      <c r="CP188" s="3"/>
    </row>
    <row r="189" spans="1:94" ht="12.95" customHeight="1">
      <c r="A189" s="94" t="s">
        <v>794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3"/>
      <c r="Q189" s="3"/>
      <c r="R189" s="3"/>
      <c r="S189" s="3"/>
      <c r="T189" s="3"/>
      <c r="U189" s="3"/>
      <c r="V189" s="138"/>
      <c r="W189" s="3"/>
      <c r="X189" s="3"/>
      <c r="Y189" s="3"/>
      <c r="Z189" s="3"/>
      <c r="AA189" s="190"/>
      <c r="AB189" s="190"/>
      <c r="AC189" s="3"/>
      <c r="AD189" s="3"/>
      <c r="AE189" s="3"/>
      <c r="AF189" s="3"/>
      <c r="AG189" s="3"/>
      <c r="BE189" s="3"/>
      <c r="BF189" s="3"/>
      <c r="BG189" s="3"/>
      <c r="BH189" s="3"/>
      <c r="BI189" s="3"/>
      <c r="BJ189" s="3"/>
      <c r="BK189" s="3"/>
      <c r="BL189" s="3"/>
      <c r="CI189" s="3"/>
      <c r="CJ189" s="3"/>
      <c r="CK189" s="3"/>
      <c r="CL189" s="3"/>
      <c r="CM189" s="3"/>
      <c r="CN189" s="3"/>
      <c r="CO189" s="3"/>
      <c r="CP189" s="3"/>
    </row>
    <row r="190" spans="1:94" ht="12.95" customHeight="1">
      <c r="A190" s="94" t="s">
        <v>795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BE190" s="3"/>
      <c r="BF190" s="3"/>
      <c r="BG190" s="3"/>
      <c r="BH190" s="3"/>
      <c r="BI190" s="3"/>
      <c r="BJ190" s="3"/>
      <c r="BK190" s="3"/>
      <c r="BL190" s="3"/>
      <c r="CI190" s="3"/>
      <c r="CJ190" s="3"/>
      <c r="CK190" s="3"/>
      <c r="CL190" s="3"/>
      <c r="CM190" s="3"/>
      <c r="CN190" s="3"/>
      <c r="CO190" s="3"/>
      <c r="CP190" s="3"/>
    </row>
    <row r="191" spans="1:94" ht="12.95" customHeight="1">
      <c r="A191" s="94" t="s">
        <v>782</v>
      </c>
      <c r="B191" s="86"/>
      <c r="C191" s="86"/>
      <c r="D191" s="86"/>
      <c r="E191" s="86"/>
      <c r="F191" s="86"/>
      <c r="G191" s="86"/>
      <c r="H191" s="155">
        <f ca="1">-R160</f>
        <v>-1.31</v>
      </c>
      <c r="I191" s="86" t="s">
        <v>105</v>
      </c>
      <c r="J191" s="86"/>
      <c r="K191" s="86"/>
      <c r="L191" s="86"/>
      <c r="M191" s="86"/>
      <c r="N191" s="86"/>
      <c r="O191" s="8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BE191" s="3"/>
      <c r="BF191" s="3"/>
      <c r="BG191" s="3"/>
      <c r="BH191" s="3"/>
      <c r="BI191" s="3"/>
      <c r="BJ191" s="3"/>
      <c r="BK191" s="3"/>
      <c r="BL191" s="3"/>
      <c r="CI191" s="3"/>
      <c r="CJ191" s="3"/>
      <c r="CK191" s="3"/>
      <c r="CL191" s="3"/>
      <c r="CM191" s="3"/>
      <c r="CN191" s="3"/>
      <c r="CO191" s="3"/>
      <c r="CP191" s="3"/>
    </row>
    <row r="192" spans="1:94" ht="12.95" customHeight="1">
      <c r="A192" s="94" t="s">
        <v>783</v>
      </c>
      <c r="B192" s="86"/>
      <c r="C192" s="86"/>
      <c r="D192" s="86"/>
      <c r="E192" s="86"/>
      <c r="F192" s="86"/>
      <c r="G192" s="86"/>
      <c r="H192" s="155">
        <f ca="1">-R162</f>
        <v>-0.46</v>
      </c>
      <c r="I192" s="86" t="s">
        <v>105</v>
      </c>
      <c r="J192" s="86"/>
      <c r="K192" s="86"/>
      <c r="L192" s="86"/>
      <c r="M192" s="86"/>
      <c r="N192" s="86"/>
      <c r="O192" s="8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BE192" s="3"/>
      <c r="BF192" s="3"/>
      <c r="BG192" s="3"/>
      <c r="BH192" s="3"/>
      <c r="BI192" s="3"/>
      <c r="BJ192" s="3"/>
      <c r="BK192" s="3"/>
      <c r="BL192" s="3"/>
      <c r="CI192" s="3"/>
      <c r="CJ192" s="3"/>
      <c r="CK192" s="3"/>
      <c r="CL192" s="3"/>
      <c r="CM192" s="3"/>
      <c r="CN192" s="3"/>
      <c r="CO192" s="3"/>
      <c r="CP192" s="3"/>
    </row>
    <row r="193" spans="1:94" ht="12.95" customHeight="1">
      <c r="A193" s="94" t="s">
        <v>796</v>
      </c>
      <c r="B193" s="86"/>
      <c r="C193" s="86"/>
      <c r="D193" s="86"/>
      <c r="E193" s="86"/>
      <c r="F193" s="86"/>
      <c r="G193" s="86"/>
      <c r="H193" s="156">
        <v>0</v>
      </c>
      <c r="I193" s="86" t="s">
        <v>105</v>
      </c>
      <c r="J193" s="86"/>
      <c r="K193" s="86"/>
      <c r="L193" s="86"/>
      <c r="M193" s="86"/>
      <c r="N193" s="86"/>
      <c r="O193" s="8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BE193" s="3"/>
      <c r="BF193" s="3"/>
      <c r="BG193" s="3"/>
      <c r="BH193" s="3"/>
      <c r="BI193" s="3"/>
      <c r="BJ193" s="3"/>
      <c r="BK193" s="3"/>
      <c r="BL193" s="3"/>
      <c r="CI193" s="3"/>
      <c r="CJ193" s="3"/>
      <c r="CK193" s="3"/>
      <c r="CL193" s="3"/>
      <c r="CM193" s="3"/>
      <c r="CN193" s="3"/>
      <c r="CO193" s="3"/>
      <c r="CP193" s="3"/>
    </row>
    <row r="194" spans="1:94" ht="12.95" customHeight="1">
      <c r="A194" s="94" t="s">
        <v>784</v>
      </c>
      <c r="B194" s="86"/>
      <c r="C194" s="86"/>
      <c r="D194" s="86"/>
      <c r="E194" s="86"/>
      <c r="F194" s="86"/>
      <c r="G194" s="86"/>
      <c r="H194" s="155">
        <f ca="1">-R164</f>
        <v>-0.03</v>
      </c>
      <c r="I194" s="86" t="s">
        <v>105</v>
      </c>
      <c r="J194" s="86"/>
      <c r="K194" s="86"/>
      <c r="L194" s="86"/>
      <c r="M194" s="86"/>
      <c r="N194" s="86"/>
      <c r="O194" s="8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BE194" s="3"/>
      <c r="BF194" s="3"/>
      <c r="BG194" s="3"/>
      <c r="BH194" s="3"/>
      <c r="BI194" s="3"/>
      <c r="BJ194" s="3"/>
      <c r="BK194" s="3"/>
      <c r="BL194" s="3"/>
      <c r="CI194" s="3"/>
      <c r="CJ194" s="3"/>
      <c r="CK194" s="3"/>
      <c r="CL194" s="3"/>
      <c r="CM194" s="3"/>
      <c r="CN194" s="3"/>
      <c r="CO194" s="3"/>
      <c r="CP194" s="3"/>
    </row>
    <row r="195" spans="1:94" ht="12.95" customHeight="1">
      <c r="A195" s="94" t="s">
        <v>797</v>
      </c>
      <c r="B195" s="86"/>
      <c r="C195" s="86"/>
      <c r="D195" s="86"/>
      <c r="E195" s="86"/>
      <c r="F195" s="86"/>
      <c r="G195" s="86"/>
      <c r="H195" s="156">
        <v>0</v>
      </c>
      <c r="I195" s="86" t="s">
        <v>105</v>
      </c>
      <c r="J195" s="86"/>
      <c r="K195" s="86"/>
      <c r="L195" s="86"/>
      <c r="M195" s="86"/>
      <c r="N195" s="86"/>
      <c r="O195" s="8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BE195" s="3"/>
      <c r="BF195" s="3"/>
      <c r="BG195" s="3"/>
      <c r="BH195" s="3"/>
      <c r="BI195" s="3"/>
      <c r="BJ195" s="3"/>
      <c r="BK195" s="3"/>
      <c r="BL195" s="3"/>
      <c r="CI195" s="3"/>
      <c r="CJ195" s="3"/>
      <c r="CK195" s="3"/>
      <c r="CL195" s="3"/>
      <c r="CM195" s="3"/>
      <c r="CN195" s="3"/>
      <c r="CO195" s="3"/>
      <c r="CP195" s="3"/>
    </row>
    <row r="196" spans="1:94" ht="12.95" customHeight="1">
      <c r="A196" s="94" t="s">
        <v>798</v>
      </c>
      <c r="B196" s="86"/>
      <c r="C196" s="86"/>
      <c r="D196" s="86"/>
      <c r="E196" s="86"/>
      <c r="F196" s="86"/>
      <c r="G196" s="86"/>
      <c r="H196" s="157">
        <f ca="1">SUM(H191:H195)</f>
        <v>-1.8</v>
      </c>
      <c r="I196" s="86" t="s">
        <v>105</v>
      </c>
      <c r="J196" s="86"/>
      <c r="K196" s="86"/>
      <c r="L196" s="86"/>
      <c r="M196" s="86"/>
      <c r="N196" s="86"/>
      <c r="O196" s="8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BE196" s="3"/>
      <c r="BF196" s="3"/>
      <c r="BG196" s="3"/>
      <c r="BH196" s="3"/>
      <c r="BI196" s="3"/>
      <c r="BJ196" s="3"/>
      <c r="BK196" s="3"/>
      <c r="BL196" s="3"/>
      <c r="CI196" s="3"/>
      <c r="CJ196" s="3"/>
      <c r="CK196" s="3"/>
      <c r="CL196" s="3"/>
      <c r="CM196" s="3"/>
      <c r="CN196" s="3"/>
      <c r="CO196" s="3"/>
      <c r="CP196" s="3"/>
    </row>
    <row r="197" spans="1:94" ht="12.95" customHeight="1">
      <c r="A197" s="94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BE197" s="3"/>
      <c r="BF197" s="3"/>
      <c r="BG197" s="3"/>
      <c r="BH197" s="3"/>
      <c r="BI197" s="3"/>
      <c r="BJ197" s="3"/>
      <c r="BK197" s="3"/>
      <c r="BL197" s="3"/>
      <c r="CI197" s="3"/>
      <c r="CJ197" s="3"/>
      <c r="CK197" s="3"/>
      <c r="CL197" s="3"/>
      <c r="CM197" s="3"/>
      <c r="CN197" s="3"/>
      <c r="CO197" s="3"/>
      <c r="CP197" s="3"/>
    </row>
    <row r="198" spans="1:94" ht="12.95" customHeight="1">
      <c r="A198" s="94" t="s">
        <v>230</v>
      </c>
      <c r="B198" s="86"/>
      <c r="C198" s="86"/>
      <c r="D198" s="86"/>
      <c r="E198" s="86"/>
      <c r="F198" s="86"/>
      <c r="G198" s="86"/>
      <c r="H198" s="155">
        <f ca="1">ROUND(H188+H196,4)</f>
        <v>3.7208999999999999</v>
      </c>
      <c r="I198" s="86" t="s">
        <v>105</v>
      </c>
      <c r="J198" s="86"/>
      <c r="K198" s="86"/>
      <c r="L198" s="86"/>
      <c r="M198" s="86"/>
      <c r="N198" s="86"/>
      <c r="O198" s="8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BE198" s="3"/>
      <c r="BF198" s="3"/>
      <c r="BG198" s="3"/>
      <c r="BH198" s="3"/>
      <c r="BI198" s="3"/>
      <c r="BJ198" s="3"/>
      <c r="BK198" s="3"/>
      <c r="BL198" s="3"/>
      <c r="CI198" s="3"/>
      <c r="CJ198" s="3"/>
      <c r="CK198" s="3"/>
      <c r="CL198" s="3"/>
      <c r="CM198" s="3"/>
      <c r="CN198" s="3"/>
      <c r="CO198" s="3"/>
      <c r="CP198" s="3"/>
    </row>
    <row r="199" spans="1:94" ht="12.95" customHeight="1">
      <c r="A199" s="94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BE199" s="3"/>
      <c r="BF199" s="3"/>
      <c r="BG199" s="3"/>
      <c r="BH199" s="3"/>
      <c r="BI199" s="3"/>
      <c r="BJ199" s="3"/>
      <c r="BK199" s="3"/>
      <c r="BL199" s="3"/>
      <c r="CI199" s="3"/>
      <c r="CJ199" s="3"/>
      <c r="CK199" s="3"/>
      <c r="CL199" s="3"/>
      <c r="CM199" s="3"/>
      <c r="CN199" s="3"/>
      <c r="CO199" s="3"/>
      <c r="CP199" s="3"/>
    </row>
    <row r="200" spans="1:94" ht="12.95" customHeight="1">
      <c r="A200" s="94" t="s">
        <v>799</v>
      </c>
      <c r="B200" s="86"/>
      <c r="C200" s="86"/>
      <c r="D200" s="86"/>
      <c r="E200" s="86"/>
      <c r="F200" s="86"/>
      <c r="G200" s="86"/>
      <c r="H200" s="158">
        <f ca="1">ROUND(J166*100,4)</f>
        <v>47.54</v>
      </c>
      <c r="I200" s="86" t="s">
        <v>105</v>
      </c>
      <c r="J200" s="86"/>
      <c r="K200" s="86"/>
      <c r="L200" s="86"/>
      <c r="M200" s="86"/>
      <c r="N200" s="86"/>
      <c r="O200" s="8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BE200" s="3"/>
      <c r="BF200" s="3"/>
      <c r="BG200" s="3"/>
      <c r="BH200" s="3"/>
      <c r="BI200" s="3"/>
      <c r="BJ200" s="3"/>
      <c r="BK200" s="3"/>
      <c r="BL200" s="3"/>
      <c r="CI200" s="3"/>
      <c r="CJ200" s="3"/>
      <c r="CK200" s="3"/>
      <c r="CL200" s="3"/>
      <c r="CM200" s="3"/>
      <c r="CN200" s="3"/>
      <c r="CO200" s="3"/>
      <c r="CP200" s="3"/>
    </row>
    <row r="201" spans="1:94" ht="12.95" customHeight="1">
      <c r="A201" s="94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BE201" s="3"/>
      <c r="BF201" s="3"/>
      <c r="BG201" s="3"/>
      <c r="BH201" s="3"/>
      <c r="BI201" s="3"/>
      <c r="BJ201" s="3"/>
      <c r="BK201" s="3"/>
      <c r="BL201" s="3"/>
      <c r="CI201" s="3"/>
      <c r="CJ201" s="3"/>
      <c r="CK201" s="3"/>
      <c r="CL201" s="3"/>
      <c r="CM201" s="3"/>
      <c r="CN201" s="3"/>
      <c r="CO201" s="3"/>
      <c r="CP201" s="3"/>
    </row>
    <row r="202" spans="1:94" ht="12.95" customHeight="1" thickBot="1">
      <c r="A202" s="94" t="s">
        <v>800</v>
      </c>
      <c r="B202" s="86"/>
      <c r="C202" s="86"/>
      <c r="D202" s="86"/>
      <c r="E202" s="86"/>
      <c r="F202" s="86"/>
      <c r="G202" s="86"/>
      <c r="H202" s="159">
        <f ca="1">ROUND((H198)/(H200/100),4)</f>
        <v>7.8269000000000002</v>
      </c>
      <c r="I202" s="86" t="s">
        <v>105</v>
      </c>
      <c r="J202" s="86"/>
      <c r="K202" s="86"/>
      <c r="L202" s="86"/>
      <c r="M202" s="86"/>
      <c r="N202" s="86"/>
      <c r="O202" s="8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BE202" s="3"/>
      <c r="BF202" s="3"/>
      <c r="BG202" s="3"/>
      <c r="BH202" s="3"/>
      <c r="BI202" s="3"/>
      <c r="BJ202" s="3"/>
      <c r="BK202" s="3"/>
      <c r="BL202" s="3"/>
      <c r="CI202" s="3"/>
      <c r="CJ202" s="3"/>
      <c r="CK202" s="3"/>
      <c r="CL202" s="3"/>
      <c r="CM202" s="3"/>
      <c r="CN202" s="3"/>
      <c r="CO202" s="3"/>
      <c r="CP202" s="3"/>
    </row>
    <row r="203" spans="1:94" ht="12.95" customHeight="1" thickTop="1">
      <c r="A203" s="94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BE203" s="3"/>
      <c r="BF203" s="3"/>
      <c r="BG203" s="3"/>
      <c r="BH203" s="3"/>
      <c r="BI203" s="3"/>
      <c r="BJ203" s="3"/>
      <c r="BK203" s="3"/>
      <c r="BL203" s="3"/>
      <c r="CI203" s="3"/>
      <c r="CJ203" s="3"/>
      <c r="CK203" s="3"/>
      <c r="CL203" s="3"/>
      <c r="CM203" s="3"/>
      <c r="CN203" s="3"/>
      <c r="CO203" s="3"/>
      <c r="CP203" s="3"/>
    </row>
    <row r="204" spans="1:94">
      <c r="A204" s="94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BE204" s="3"/>
      <c r="BF204" s="3"/>
      <c r="BG204" s="3"/>
      <c r="BH204" s="3"/>
      <c r="BI204" s="3"/>
      <c r="BJ204" s="3"/>
      <c r="BK204" s="3"/>
      <c r="BL204" s="3"/>
      <c r="CI204" s="3"/>
      <c r="CJ204" s="3"/>
      <c r="CK204" s="3"/>
      <c r="CL204" s="3"/>
      <c r="CM204" s="3"/>
      <c r="CN204" s="3"/>
      <c r="CO204" s="3"/>
      <c r="CP204" s="3"/>
    </row>
    <row r="205" spans="1:94" ht="12.95" customHeight="1">
      <c r="A205" s="94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BE205" s="3"/>
      <c r="BF205" s="3"/>
      <c r="BG205" s="3"/>
      <c r="BH205" s="3"/>
      <c r="BI205" s="3"/>
      <c r="BJ205" s="3"/>
      <c r="BK205" s="3"/>
      <c r="BL205" s="3"/>
      <c r="CI205" s="3"/>
      <c r="CJ205" s="3"/>
      <c r="CK205" s="3"/>
      <c r="CL205" s="3"/>
      <c r="CM205" s="3"/>
      <c r="CN205" s="3"/>
      <c r="CO205" s="3"/>
      <c r="CP205" s="3"/>
    </row>
    <row r="206" spans="1:94" ht="12.95" customHeight="1">
      <c r="A206" s="94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BE206" s="3"/>
      <c r="BF206" s="3"/>
      <c r="BG206" s="3"/>
      <c r="BH206" s="3"/>
      <c r="BI206" s="3"/>
      <c r="BJ206" s="3"/>
      <c r="BK206" s="3"/>
      <c r="BL206" s="3"/>
      <c r="CI206" s="3"/>
      <c r="CJ206" s="3"/>
      <c r="CK206" s="3"/>
      <c r="CL206" s="3"/>
      <c r="CM206" s="3"/>
      <c r="CN206" s="3"/>
      <c r="CO206" s="3"/>
      <c r="CP206" s="3"/>
    </row>
    <row r="207" spans="1:94" ht="12.95" customHeight="1">
      <c r="A207" s="104" t="s">
        <v>801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BE207" s="3"/>
      <c r="BF207" s="3"/>
      <c r="BG207" s="3"/>
      <c r="BH207" s="3"/>
      <c r="BI207" s="3"/>
      <c r="BJ207" s="3"/>
      <c r="BK207" s="3"/>
      <c r="BL207" s="3"/>
      <c r="CI207" s="3"/>
      <c r="CJ207" s="3"/>
      <c r="CK207" s="3"/>
      <c r="CL207" s="3"/>
      <c r="CM207" s="3"/>
      <c r="CN207" s="3"/>
      <c r="CO207" s="3"/>
      <c r="CP207" s="3"/>
    </row>
    <row r="208" spans="1:94" ht="12.95" customHeight="1">
      <c r="A208" s="104" t="s">
        <v>802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BE208" s="3"/>
      <c r="BF208" s="3"/>
      <c r="BG208" s="3"/>
      <c r="BH208" s="3"/>
      <c r="BI208" s="3"/>
      <c r="BJ208" s="3"/>
      <c r="BK208" s="3"/>
      <c r="BL208" s="3"/>
      <c r="CI208" s="3"/>
      <c r="CJ208" s="3"/>
      <c r="CK208" s="3"/>
      <c r="CL208" s="3"/>
      <c r="CM208" s="3"/>
      <c r="CN208" s="3"/>
      <c r="CO208" s="3"/>
      <c r="CP208" s="3"/>
    </row>
    <row r="209" spans="1:94" ht="12.95" customHeight="1">
      <c r="A209" s="94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BE209" s="3"/>
      <c r="BF209" s="3"/>
      <c r="BG209" s="3"/>
      <c r="BH209" s="3"/>
      <c r="BI209" s="3"/>
      <c r="BJ209" s="3"/>
      <c r="BK209" s="3"/>
      <c r="BL209" s="3"/>
      <c r="CI209" s="3"/>
      <c r="CJ209" s="3"/>
      <c r="CK209" s="3"/>
      <c r="CL209" s="3"/>
      <c r="CM209" s="3"/>
      <c r="CN209" s="3"/>
      <c r="CO209" s="3"/>
      <c r="CP209" s="3"/>
    </row>
    <row r="210" spans="1:94" ht="12.95" customHeight="1">
      <c r="A210" s="94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BE210" s="3"/>
      <c r="BF210" s="3"/>
      <c r="BG210" s="3"/>
      <c r="BH210" s="3"/>
      <c r="BI210" s="3"/>
      <c r="BJ210" s="3"/>
      <c r="BK210" s="3"/>
      <c r="BL210" s="3"/>
      <c r="CI210" s="3"/>
      <c r="CJ210" s="3"/>
      <c r="CK210" s="3"/>
      <c r="CL210" s="3"/>
      <c r="CM210" s="3"/>
      <c r="CN210" s="3"/>
      <c r="CO210" s="3"/>
      <c r="CP210" s="3"/>
    </row>
    <row r="211" spans="1:94" ht="12.95" customHeight="1">
      <c r="A211" s="94" t="s">
        <v>803</v>
      </c>
      <c r="B211" s="86"/>
      <c r="C211" s="86"/>
      <c r="D211" s="86"/>
      <c r="E211" s="86"/>
      <c r="F211" s="86"/>
      <c r="G211" s="86" t="s">
        <v>676</v>
      </c>
      <c r="H211" s="86">
        <f ca="1">V132</f>
        <v>108991.20446761884</v>
      </c>
      <c r="I211" s="86"/>
      <c r="J211" s="86" t="s">
        <v>804</v>
      </c>
      <c r="K211" s="86"/>
      <c r="L211" s="86"/>
      <c r="M211" s="86"/>
      <c r="N211" s="86"/>
      <c r="O211" s="8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BE211" s="3"/>
      <c r="BF211" s="3"/>
      <c r="BG211" s="3"/>
      <c r="BH211" s="3"/>
      <c r="BI211" s="3"/>
      <c r="BJ211" s="3"/>
      <c r="BK211" s="3"/>
      <c r="BL211" s="3"/>
      <c r="CI211" s="3"/>
      <c r="CJ211" s="3"/>
      <c r="CK211" s="3"/>
      <c r="CL211" s="3"/>
      <c r="CM211" s="3"/>
      <c r="CN211" s="3"/>
      <c r="CO211" s="3"/>
      <c r="CP211" s="3"/>
    </row>
    <row r="212" spans="1:94" ht="12.95" customHeight="1">
      <c r="A212" s="94"/>
      <c r="B212" s="86"/>
      <c r="C212" s="86"/>
      <c r="D212" s="86"/>
      <c r="E212" s="86"/>
      <c r="F212" s="86"/>
      <c r="G212" s="86"/>
      <c r="H212" s="86"/>
      <c r="I212" s="86"/>
      <c r="J212" s="160"/>
      <c r="K212" s="86"/>
      <c r="L212" s="86"/>
      <c r="M212" s="86"/>
      <c r="N212" s="86"/>
      <c r="O212" s="8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BE212" s="3"/>
      <c r="BF212" s="3"/>
      <c r="BG212" s="3"/>
      <c r="BH212" s="3"/>
      <c r="BI212" s="3"/>
      <c r="BJ212" s="3"/>
      <c r="BK212" s="3"/>
      <c r="BL212" s="3"/>
      <c r="CI212" s="3"/>
      <c r="CJ212" s="3"/>
      <c r="CK212" s="3"/>
      <c r="CL212" s="3"/>
      <c r="CM212" s="3"/>
      <c r="CN212" s="3"/>
      <c r="CO212" s="3"/>
      <c r="CP212" s="3"/>
    </row>
    <row r="213" spans="1:94" ht="12.95" customHeight="1">
      <c r="A213" s="94" t="s">
        <v>805</v>
      </c>
      <c r="B213" s="86"/>
      <c r="C213" s="86"/>
      <c r="D213" s="86"/>
      <c r="E213" s="86"/>
      <c r="F213" s="86"/>
      <c r="G213" s="86" t="s">
        <v>676</v>
      </c>
      <c r="H213" s="98">
        <f ca="1">T83</f>
        <v>2024332.2715839653</v>
      </c>
      <c r="I213" s="86"/>
      <c r="J213" s="86" t="s">
        <v>806</v>
      </c>
      <c r="K213" s="86"/>
      <c r="L213" s="86"/>
      <c r="M213" s="86"/>
      <c r="N213" s="86"/>
      <c r="O213" s="8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BE213" s="3"/>
      <c r="BF213" s="3"/>
      <c r="BG213" s="3"/>
      <c r="BH213" s="3"/>
      <c r="BI213" s="3"/>
      <c r="BJ213" s="3"/>
      <c r="BK213" s="3"/>
      <c r="BL213" s="3"/>
      <c r="CI213" s="3"/>
      <c r="CJ213" s="3"/>
      <c r="CK213" s="3"/>
      <c r="CL213" s="3"/>
      <c r="CM213" s="3"/>
      <c r="CN213" s="3"/>
      <c r="CO213" s="3"/>
      <c r="CP213" s="3"/>
    </row>
    <row r="214" spans="1:94" ht="12.95" customHeight="1">
      <c r="A214" s="94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BE214" s="3"/>
      <c r="BF214" s="3"/>
      <c r="BG214" s="3"/>
      <c r="BH214" s="3"/>
      <c r="BI214" s="3"/>
      <c r="BJ214" s="3"/>
      <c r="BK214" s="3"/>
      <c r="BL214" s="3"/>
      <c r="CI214" s="3"/>
      <c r="CJ214" s="3"/>
      <c r="CK214" s="3"/>
      <c r="CL214" s="3"/>
      <c r="CM214" s="3"/>
      <c r="CN214" s="3"/>
      <c r="CO214" s="3"/>
      <c r="CP214" s="3"/>
    </row>
    <row r="215" spans="1:94" ht="12.95" customHeight="1">
      <c r="A215" s="94" t="s">
        <v>792</v>
      </c>
      <c r="B215" s="86"/>
      <c r="C215" s="86"/>
      <c r="D215" s="86"/>
      <c r="E215" s="86"/>
      <c r="F215" s="86"/>
      <c r="G215" s="86"/>
      <c r="H215" s="158">
        <f ca="1">(H211/H213)*100</f>
        <v>5.3840570541483901</v>
      </c>
      <c r="I215" s="86" t="s">
        <v>105</v>
      </c>
      <c r="J215" s="86"/>
      <c r="K215" s="86"/>
      <c r="L215" s="86"/>
      <c r="M215" s="86"/>
      <c r="N215" s="86"/>
      <c r="O215" s="8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BE215" s="3"/>
      <c r="BF215" s="3"/>
      <c r="BG215" s="3"/>
      <c r="BH215" s="3"/>
      <c r="BI215" s="3"/>
      <c r="BJ215" s="3"/>
      <c r="BK215" s="3"/>
      <c r="BL215" s="3"/>
      <c r="CI215" s="3"/>
      <c r="CJ215" s="3"/>
      <c r="CK215" s="3"/>
      <c r="CL215" s="3"/>
      <c r="CM215" s="3"/>
      <c r="CN215" s="3"/>
      <c r="CO215" s="3"/>
      <c r="CP215" s="3"/>
    </row>
    <row r="216" spans="1:94" ht="12.95" customHeight="1">
      <c r="A216" s="94" t="s">
        <v>794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BE216" s="3"/>
      <c r="BF216" s="3"/>
      <c r="BG216" s="3"/>
      <c r="BH216" s="3"/>
      <c r="BI216" s="3"/>
      <c r="BJ216" s="3"/>
      <c r="BK216" s="3"/>
      <c r="BL216" s="3"/>
      <c r="CI216" s="3"/>
      <c r="CJ216" s="3"/>
      <c r="CK216" s="3"/>
      <c r="CL216" s="3"/>
      <c r="CM216" s="3"/>
      <c r="CN216" s="3"/>
      <c r="CO216" s="3"/>
      <c r="CP216" s="3"/>
    </row>
    <row r="217" spans="1:94" ht="12.95" customHeight="1">
      <c r="A217" s="94" t="s">
        <v>795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BE217" s="3"/>
      <c r="BF217" s="3"/>
      <c r="BG217" s="3"/>
      <c r="BH217" s="3"/>
      <c r="BI217" s="3"/>
      <c r="BJ217" s="3"/>
      <c r="BK217" s="3"/>
      <c r="BL217" s="3"/>
      <c r="CI217" s="3"/>
      <c r="CJ217" s="3"/>
      <c r="CK217" s="3"/>
      <c r="CL217" s="3"/>
      <c r="CM217" s="3"/>
      <c r="CN217" s="3"/>
      <c r="CO217" s="3"/>
      <c r="CP217" s="3"/>
    </row>
    <row r="218" spans="1:94" ht="12.95" customHeight="1">
      <c r="A218" s="94" t="s">
        <v>782</v>
      </c>
      <c r="B218" s="86"/>
      <c r="C218" s="86"/>
      <c r="D218" s="86"/>
      <c r="E218" s="86"/>
      <c r="F218" s="86"/>
      <c r="G218" s="86"/>
      <c r="H218" s="155">
        <f ca="1">H191</f>
        <v>-1.31</v>
      </c>
      <c r="I218" s="86" t="s">
        <v>105</v>
      </c>
      <c r="J218" s="86"/>
      <c r="K218" s="86"/>
      <c r="L218" s="86"/>
      <c r="M218" s="86"/>
      <c r="N218" s="86"/>
      <c r="O218" s="8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BE218" s="3"/>
      <c r="BF218" s="3"/>
      <c r="BG218" s="3"/>
      <c r="BH218" s="3"/>
      <c r="BI218" s="3"/>
      <c r="BJ218" s="3"/>
      <c r="BK218" s="3"/>
      <c r="BL218" s="3"/>
      <c r="CI218" s="3"/>
      <c r="CJ218" s="3"/>
      <c r="CK218" s="3"/>
      <c r="CL218" s="3"/>
      <c r="CM218" s="3"/>
      <c r="CN218" s="3"/>
      <c r="CO218" s="3"/>
      <c r="CP218" s="3"/>
    </row>
    <row r="219" spans="1:94" ht="12.95" customHeight="1">
      <c r="A219" s="94" t="s">
        <v>783</v>
      </c>
      <c r="B219" s="86"/>
      <c r="C219" s="86"/>
      <c r="D219" s="86"/>
      <c r="E219" s="86"/>
      <c r="F219" s="86"/>
      <c r="G219" s="86"/>
      <c r="H219" s="155">
        <f ca="1">H192</f>
        <v>-0.46</v>
      </c>
      <c r="I219" s="86" t="s">
        <v>105</v>
      </c>
      <c r="J219" s="86"/>
      <c r="K219" s="86"/>
      <c r="L219" s="86"/>
      <c r="M219" s="86"/>
      <c r="N219" s="86"/>
      <c r="O219" s="8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BE219" s="3"/>
      <c r="BF219" s="3"/>
      <c r="BG219" s="3"/>
      <c r="BH219" s="3"/>
      <c r="BI219" s="3"/>
      <c r="BJ219" s="3"/>
      <c r="BK219" s="3"/>
      <c r="BL219" s="3"/>
      <c r="CI219" s="3"/>
      <c r="CJ219" s="3"/>
      <c r="CK219" s="3"/>
      <c r="CL219" s="3"/>
      <c r="CM219" s="3"/>
      <c r="CN219" s="3"/>
      <c r="CO219" s="3"/>
      <c r="CP219" s="3"/>
    </row>
    <row r="220" spans="1:94" ht="12.95" customHeight="1">
      <c r="A220" s="94" t="s">
        <v>796</v>
      </c>
      <c r="B220" s="86"/>
      <c r="C220" s="86"/>
      <c r="D220" s="86"/>
      <c r="E220" s="86"/>
      <c r="F220" s="86"/>
      <c r="G220" s="86"/>
      <c r="H220" s="155">
        <f>H193</f>
        <v>0</v>
      </c>
      <c r="I220" s="86" t="s">
        <v>105</v>
      </c>
      <c r="J220" s="86"/>
      <c r="K220" s="86"/>
      <c r="L220" s="86"/>
      <c r="M220" s="86"/>
      <c r="N220" s="86"/>
      <c r="O220" s="8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BE220" s="3"/>
      <c r="BF220" s="3"/>
      <c r="BG220" s="3"/>
      <c r="BH220" s="3"/>
      <c r="BI220" s="3"/>
      <c r="BJ220" s="3"/>
      <c r="BK220" s="3"/>
      <c r="BL220" s="3"/>
      <c r="CI220" s="3"/>
      <c r="CJ220" s="3"/>
      <c r="CK220" s="3"/>
      <c r="CL220" s="3"/>
      <c r="CM220" s="3"/>
      <c r="CN220" s="3"/>
      <c r="CO220" s="3"/>
      <c r="CP220" s="3"/>
    </row>
    <row r="221" spans="1:94" ht="12.95" customHeight="1">
      <c r="A221" s="94" t="s">
        <v>784</v>
      </c>
      <c r="B221" s="86"/>
      <c r="C221" s="86"/>
      <c r="D221" s="86"/>
      <c r="E221" s="86"/>
      <c r="F221" s="86"/>
      <c r="G221" s="86"/>
      <c r="H221" s="155">
        <f ca="1">H194</f>
        <v>-0.03</v>
      </c>
      <c r="I221" s="86" t="s">
        <v>105</v>
      </c>
      <c r="J221" s="86"/>
      <c r="K221" s="86"/>
      <c r="L221" s="86"/>
      <c r="M221" s="86"/>
      <c r="N221" s="86"/>
      <c r="O221" s="8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BE221" s="3"/>
      <c r="BF221" s="3"/>
      <c r="BG221" s="3"/>
      <c r="BH221" s="3"/>
      <c r="BI221" s="3"/>
      <c r="BJ221" s="3"/>
      <c r="BK221" s="3"/>
      <c r="BL221" s="3"/>
      <c r="CI221" s="3"/>
      <c r="CJ221" s="3"/>
      <c r="CK221" s="3"/>
      <c r="CL221" s="3"/>
      <c r="CM221" s="3"/>
      <c r="CN221" s="3"/>
      <c r="CO221" s="3"/>
      <c r="CP221" s="3"/>
    </row>
    <row r="222" spans="1:94" ht="12.95" customHeight="1">
      <c r="A222" s="94" t="s">
        <v>797</v>
      </c>
      <c r="B222" s="86"/>
      <c r="C222" s="86"/>
      <c r="D222" s="86"/>
      <c r="E222" s="86"/>
      <c r="F222" s="86"/>
      <c r="G222" s="86"/>
      <c r="H222" s="155">
        <f>H195</f>
        <v>0</v>
      </c>
      <c r="I222" s="86" t="s">
        <v>105</v>
      </c>
      <c r="J222" s="86"/>
      <c r="K222" s="86"/>
      <c r="L222" s="86"/>
      <c r="M222" s="86"/>
      <c r="N222" s="86"/>
      <c r="O222" s="8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BE222" s="3"/>
      <c r="BF222" s="3"/>
      <c r="BG222" s="3"/>
      <c r="BH222" s="3"/>
      <c r="BI222" s="3"/>
      <c r="BJ222" s="3"/>
      <c r="BK222" s="3"/>
      <c r="BL222" s="3"/>
      <c r="CI222" s="3"/>
      <c r="CJ222" s="3"/>
      <c r="CK222" s="3"/>
      <c r="CL222" s="3"/>
      <c r="CM222" s="3"/>
      <c r="CN222" s="3"/>
      <c r="CO222" s="3"/>
      <c r="CP222" s="3"/>
    </row>
    <row r="223" spans="1:94" ht="12.95" customHeight="1">
      <c r="A223" s="94" t="s">
        <v>798</v>
      </c>
      <c r="B223" s="86"/>
      <c r="C223" s="86"/>
      <c r="D223" s="86"/>
      <c r="E223" s="86"/>
      <c r="F223" s="86"/>
      <c r="G223" s="86"/>
      <c r="H223" s="157">
        <f ca="1">SUM(H218:H222)</f>
        <v>-1.8</v>
      </c>
      <c r="I223" s="86" t="s">
        <v>105</v>
      </c>
      <c r="J223" s="86"/>
      <c r="K223" s="86"/>
      <c r="L223" s="86"/>
      <c r="M223" s="86"/>
      <c r="N223" s="86"/>
      <c r="O223" s="8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BE223" s="3"/>
      <c r="BF223" s="3"/>
      <c r="BG223" s="3"/>
      <c r="BH223" s="3"/>
      <c r="BI223" s="3"/>
      <c r="BJ223" s="3"/>
      <c r="BK223" s="3"/>
      <c r="BL223" s="3"/>
      <c r="CI223" s="3"/>
      <c r="CJ223" s="3"/>
      <c r="CK223" s="3"/>
      <c r="CL223" s="3"/>
      <c r="CM223" s="3"/>
      <c r="CN223" s="3"/>
      <c r="CO223" s="3"/>
      <c r="CP223" s="3"/>
    </row>
    <row r="224" spans="1:94" ht="12.95" customHeight="1">
      <c r="A224" s="94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BE224" s="3"/>
      <c r="BF224" s="3"/>
      <c r="BG224" s="3"/>
      <c r="BH224" s="3"/>
      <c r="BI224" s="3"/>
      <c r="BJ224" s="3"/>
      <c r="BK224" s="3"/>
      <c r="BL224" s="3"/>
      <c r="CI224" s="3"/>
      <c r="CJ224" s="3"/>
      <c r="CK224" s="3"/>
      <c r="CL224" s="3"/>
      <c r="CM224" s="3"/>
      <c r="CN224" s="3"/>
      <c r="CO224" s="3"/>
      <c r="CP224" s="3"/>
    </row>
    <row r="225" spans="1:94" ht="12.95" customHeight="1">
      <c r="A225" s="94" t="s">
        <v>230</v>
      </c>
      <c r="B225" s="86"/>
      <c r="C225" s="86"/>
      <c r="D225" s="86"/>
      <c r="E225" s="86"/>
      <c r="F225" s="86"/>
      <c r="G225" s="86"/>
      <c r="H225" s="155">
        <f ca="1">H215+H223</f>
        <v>3.5840570541483903</v>
      </c>
      <c r="I225" s="86" t="s">
        <v>105</v>
      </c>
      <c r="J225" s="86"/>
      <c r="K225" s="86"/>
      <c r="L225" s="86"/>
      <c r="M225" s="86"/>
      <c r="N225" s="86"/>
      <c r="O225" s="8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BE225" s="3"/>
      <c r="BF225" s="3"/>
      <c r="BG225" s="3"/>
      <c r="BH225" s="3"/>
      <c r="BI225" s="3"/>
      <c r="BJ225" s="3"/>
      <c r="BK225" s="3"/>
      <c r="BL225" s="3"/>
      <c r="CI225" s="3"/>
      <c r="CJ225" s="3"/>
      <c r="CK225" s="3"/>
      <c r="CL225" s="3"/>
      <c r="CM225" s="3"/>
      <c r="CN225" s="3"/>
      <c r="CO225" s="3"/>
      <c r="CP225" s="3"/>
    </row>
    <row r="226" spans="1:94" ht="12.95" customHeight="1">
      <c r="A226" s="94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BE226" s="3"/>
      <c r="BF226" s="3"/>
      <c r="BG226" s="3"/>
      <c r="BH226" s="3"/>
      <c r="BI226" s="3"/>
      <c r="BJ226" s="3"/>
      <c r="BK226" s="3"/>
      <c r="BL226" s="3"/>
      <c r="CI226" s="3"/>
      <c r="CJ226" s="3"/>
      <c r="CK226" s="3"/>
      <c r="CL226" s="3"/>
      <c r="CM226" s="3"/>
      <c r="CN226" s="3"/>
      <c r="CO226" s="3"/>
      <c r="CP226" s="3"/>
    </row>
    <row r="227" spans="1:94" ht="12.95" customHeight="1">
      <c r="A227" s="94" t="s">
        <v>799</v>
      </c>
      <c r="B227" s="86"/>
      <c r="C227" s="86"/>
      <c r="D227" s="86"/>
      <c r="E227" s="86"/>
      <c r="F227" s="86"/>
      <c r="G227" s="86"/>
      <c r="H227" s="158">
        <f ca="1">H200</f>
        <v>47.54</v>
      </c>
      <c r="I227" s="86" t="s">
        <v>105</v>
      </c>
      <c r="J227" s="86"/>
      <c r="K227" s="86"/>
      <c r="L227" s="86"/>
      <c r="M227" s="86"/>
      <c r="N227" s="86"/>
      <c r="O227" s="8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BE227" s="3"/>
      <c r="BF227" s="3"/>
      <c r="BG227" s="3"/>
      <c r="BH227" s="3"/>
      <c r="BI227" s="3"/>
      <c r="BJ227" s="3"/>
      <c r="BK227" s="3"/>
      <c r="BL227" s="3"/>
      <c r="CI227" s="3"/>
      <c r="CJ227" s="3"/>
      <c r="CK227" s="3"/>
      <c r="CL227" s="3"/>
      <c r="CM227" s="3"/>
      <c r="CN227" s="3"/>
      <c r="CO227" s="3"/>
      <c r="CP227" s="3"/>
    </row>
    <row r="228" spans="1:94" ht="12.95" customHeight="1">
      <c r="A228" s="94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BE228" s="3"/>
      <c r="BF228" s="3"/>
      <c r="BG228" s="3"/>
      <c r="BH228" s="3"/>
      <c r="BI228" s="3"/>
      <c r="BJ228" s="3"/>
      <c r="BK228" s="3"/>
      <c r="BL228" s="3"/>
      <c r="CI228" s="3"/>
      <c r="CJ228" s="3"/>
      <c r="CK228" s="3"/>
      <c r="CL228" s="3"/>
      <c r="CM228" s="3"/>
      <c r="CN228" s="3"/>
      <c r="CO228" s="3"/>
      <c r="CP228" s="3"/>
    </row>
    <row r="229" spans="1:94" ht="12.95" customHeight="1" thickBot="1">
      <c r="A229" s="94" t="s">
        <v>800</v>
      </c>
      <c r="B229" s="86"/>
      <c r="C229" s="86"/>
      <c r="D229" s="86"/>
      <c r="E229" s="86"/>
      <c r="F229" s="86"/>
      <c r="G229" s="86"/>
      <c r="H229" s="159">
        <f ca="1">(H225)/(H227/100)</f>
        <v>7.5390346111661559</v>
      </c>
      <c r="I229" s="86" t="s">
        <v>105</v>
      </c>
      <c r="J229" s="86"/>
      <c r="K229" s="86"/>
      <c r="L229" s="86"/>
      <c r="M229" s="86"/>
      <c r="N229" s="86"/>
      <c r="O229" s="8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BE229" s="3"/>
      <c r="BF229" s="3"/>
      <c r="BG229" s="3"/>
      <c r="BH229" s="3"/>
      <c r="BI229" s="3"/>
      <c r="BJ229" s="3"/>
      <c r="BK229" s="3"/>
      <c r="BL229" s="3"/>
      <c r="CI229" s="3"/>
      <c r="CJ229" s="3"/>
      <c r="CK229" s="3"/>
      <c r="CL229" s="3"/>
      <c r="CM229" s="3"/>
      <c r="CN229" s="3"/>
      <c r="CO229" s="3"/>
      <c r="CP229" s="3"/>
    </row>
    <row r="230" spans="1:94" ht="13.5" thickTop="1">
      <c r="A230" s="94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BE230" s="3"/>
      <c r="BF230" s="3"/>
      <c r="BG230" s="3"/>
      <c r="BH230" s="3"/>
      <c r="BI230" s="3"/>
      <c r="BJ230" s="3"/>
      <c r="BK230" s="3"/>
      <c r="BL230" s="3"/>
      <c r="CI230" s="3"/>
      <c r="CJ230" s="3"/>
      <c r="CK230" s="3"/>
      <c r="CL230" s="3"/>
      <c r="CM230" s="3"/>
      <c r="CN230" s="3"/>
      <c r="CO230" s="3"/>
      <c r="CP230" s="3"/>
    </row>
    <row r="231" spans="1:94">
      <c r="A231" s="119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BE231" s="3"/>
      <c r="BF231" s="3"/>
      <c r="BG231" s="3"/>
      <c r="BH231" s="3"/>
      <c r="BI231" s="3"/>
      <c r="BJ231" s="3"/>
      <c r="BK231" s="3"/>
      <c r="BL231" s="3"/>
      <c r="CI231" s="3"/>
      <c r="CJ231" s="3"/>
      <c r="CK231" s="3"/>
      <c r="CL231" s="3"/>
      <c r="CM231" s="3"/>
      <c r="CN231" s="3"/>
      <c r="CO231" s="3"/>
      <c r="CP231" s="3"/>
    </row>
    <row r="232" spans="1:94">
      <c r="A232" s="119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BE232" s="3"/>
      <c r="BF232" s="3"/>
      <c r="BG232" s="3"/>
      <c r="BH232" s="3"/>
      <c r="BI232" s="3"/>
      <c r="BJ232" s="3"/>
      <c r="BK232" s="3"/>
      <c r="BL232" s="3"/>
      <c r="CI232" s="3"/>
      <c r="CJ232" s="3"/>
      <c r="CK232" s="3"/>
      <c r="CL232" s="3"/>
      <c r="CM232" s="3"/>
      <c r="CN232" s="3"/>
      <c r="CO232" s="3"/>
      <c r="CP232" s="3"/>
    </row>
    <row r="233" spans="1:94">
      <c r="A233" s="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BE233" s="3"/>
      <c r="BF233" s="3"/>
      <c r="BG233" s="3"/>
      <c r="BH233" s="3"/>
      <c r="BI233" s="3"/>
      <c r="BJ233" s="3"/>
      <c r="BK233" s="3"/>
      <c r="BL233" s="3"/>
      <c r="CI233" s="3"/>
      <c r="CJ233" s="3"/>
      <c r="CK233" s="3"/>
      <c r="CL233" s="3"/>
      <c r="CM233" s="3"/>
      <c r="CN233" s="3"/>
      <c r="CO233" s="3"/>
      <c r="CP233" s="3"/>
    </row>
    <row r="237" spans="1:94">
      <c r="A237" s="90" t="s">
        <v>232</v>
      </c>
      <c r="B237" s="151"/>
      <c r="C237" s="151"/>
      <c r="D237" s="151"/>
      <c r="E237" s="151"/>
      <c r="F237" s="151"/>
      <c r="G237" s="151"/>
      <c r="H237" s="151"/>
      <c r="I237" s="14"/>
      <c r="J237" s="92"/>
      <c r="K237" s="151"/>
      <c r="L237" s="152" t="s">
        <v>807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BE237" s="1"/>
      <c r="BF237" s="1"/>
      <c r="BG237" s="1"/>
      <c r="BH237" s="1"/>
      <c r="BI237" s="1"/>
      <c r="BJ237" s="1"/>
      <c r="BK237" s="1"/>
      <c r="BL237" s="1"/>
      <c r="CI237" s="1"/>
      <c r="CJ237" s="1"/>
      <c r="CK237" s="1"/>
      <c r="CL237" s="1"/>
      <c r="CM237" s="1"/>
      <c r="CN237" s="1"/>
      <c r="CO237" s="1"/>
      <c r="CP237" s="1"/>
    </row>
    <row r="238" spans="1:94">
      <c r="A238" s="90" t="s">
        <v>789</v>
      </c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17"/>
      <c r="M238" s="11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BE238" s="1"/>
      <c r="BF238" s="1"/>
      <c r="BG238" s="1"/>
      <c r="BH238" s="1"/>
      <c r="BI238" s="1"/>
      <c r="BJ238" s="1"/>
      <c r="BK238" s="1"/>
      <c r="BL238" s="1"/>
      <c r="CI238" s="1"/>
      <c r="CJ238" s="1"/>
      <c r="CK238" s="1"/>
      <c r="CL238" s="1"/>
      <c r="CM238" s="1"/>
      <c r="CN238" s="1"/>
      <c r="CO238" s="1"/>
      <c r="CP238" s="1"/>
    </row>
    <row r="239" spans="1:94">
      <c r="A239" s="90" t="s">
        <v>808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17"/>
      <c r="M239" s="11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BE239" s="1"/>
      <c r="BF239" s="1"/>
      <c r="BG239" s="1"/>
      <c r="BH239" s="1"/>
      <c r="BI239" s="1"/>
      <c r="BJ239" s="1"/>
      <c r="BK239" s="1"/>
      <c r="BL239" s="1"/>
      <c r="CI239" s="1"/>
      <c r="CJ239" s="1"/>
      <c r="CK239" s="1"/>
      <c r="CL239" s="1"/>
      <c r="CM239" s="1"/>
      <c r="CN239" s="1"/>
      <c r="CO239" s="1"/>
      <c r="CP239" s="1"/>
    </row>
    <row r="240" spans="1:94">
      <c r="A240" s="116" t="str">
        <f>A3</f>
        <v>2023 Budget</v>
      </c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17"/>
      <c r="M240" s="11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BE240" s="1"/>
      <c r="BF240" s="1"/>
      <c r="BG240" s="1"/>
      <c r="BH240" s="1"/>
      <c r="BI240" s="1"/>
      <c r="BJ240" s="1"/>
      <c r="BK240" s="1"/>
      <c r="BL240" s="1"/>
      <c r="CI240" s="1"/>
      <c r="CJ240" s="1"/>
      <c r="CK240" s="1"/>
      <c r="CL240" s="1"/>
      <c r="CM240" s="1"/>
      <c r="CN240" s="1"/>
      <c r="CO240" s="1"/>
      <c r="CP240" s="1"/>
    </row>
    <row r="241" spans="1:94">
      <c r="A241" s="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BE241" s="1"/>
      <c r="BF241" s="1"/>
      <c r="BG241" s="1"/>
      <c r="BH241" s="1"/>
      <c r="BI241" s="1"/>
      <c r="BJ241" s="1"/>
      <c r="BK241" s="1"/>
      <c r="BL241" s="1"/>
      <c r="CI241" s="1"/>
      <c r="CJ241" s="1"/>
      <c r="CK241" s="1"/>
      <c r="CL241" s="1"/>
      <c r="CM241" s="1"/>
      <c r="CN241" s="1"/>
      <c r="CO241" s="1"/>
      <c r="CP241" s="1"/>
    </row>
    <row r="242" spans="1:94">
      <c r="A242" s="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BE242" s="1"/>
      <c r="BF242" s="1"/>
      <c r="BG242" s="1"/>
      <c r="BH242" s="1"/>
      <c r="BI242" s="1"/>
      <c r="BJ242" s="1"/>
      <c r="BK242" s="1"/>
      <c r="BL242" s="1"/>
      <c r="CI242" s="1"/>
      <c r="CJ242" s="1"/>
      <c r="CK242" s="1"/>
      <c r="CL242" s="1"/>
      <c r="CM242" s="1"/>
      <c r="CN242" s="1"/>
      <c r="CO242" s="1"/>
      <c r="CP242" s="1"/>
    </row>
    <row r="243" spans="1:94">
      <c r="A243" s="1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BE243" s="1"/>
      <c r="BF243" s="1"/>
      <c r="BG243" s="1"/>
      <c r="BH243" s="1"/>
      <c r="BI243" s="1"/>
      <c r="BJ243" s="1"/>
      <c r="BK243" s="1"/>
      <c r="BL243" s="1"/>
      <c r="CI243" s="1"/>
      <c r="CJ243" s="1"/>
      <c r="CK243" s="1"/>
      <c r="CL243" s="1"/>
      <c r="CM243" s="1"/>
      <c r="CN243" s="1"/>
      <c r="CO243" s="1"/>
      <c r="CP243" s="1"/>
    </row>
    <row r="244" spans="1:94">
      <c r="A244" s="1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BE244" s="1"/>
      <c r="BF244" s="1"/>
      <c r="BG244" s="1"/>
      <c r="BH244" s="1"/>
      <c r="BI244" s="1"/>
      <c r="BJ244" s="1"/>
      <c r="BK244" s="1"/>
      <c r="BL244" s="1"/>
      <c r="CI244" s="1"/>
      <c r="CJ244" s="1"/>
      <c r="CK244" s="1"/>
      <c r="CL244" s="1"/>
      <c r="CM244" s="1"/>
      <c r="CN244" s="1"/>
      <c r="CO244" s="1"/>
      <c r="CP244" s="1"/>
    </row>
    <row r="245" spans="1:94">
      <c r="A245" s="104" t="s">
        <v>809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BE245" s="1"/>
      <c r="BF245" s="1"/>
      <c r="BG245" s="1"/>
      <c r="BH245" s="1"/>
      <c r="BI245" s="1"/>
      <c r="BJ245" s="1"/>
      <c r="BK245" s="1"/>
      <c r="BL245" s="1"/>
      <c r="CI245" s="1"/>
      <c r="CJ245" s="1"/>
      <c r="CK245" s="1"/>
      <c r="CL245" s="1"/>
      <c r="CM245" s="1"/>
      <c r="CN245" s="1"/>
      <c r="CO245" s="1"/>
      <c r="CP245" s="1"/>
    </row>
    <row r="246" spans="1:94">
      <c r="A246" s="104" t="s">
        <v>791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BE246" s="1"/>
      <c r="BF246" s="1"/>
      <c r="BG246" s="1"/>
      <c r="BH246" s="1"/>
      <c r="BI246" s="1"/>
      <c r="BJ246" s="1"/>
      <c r="BK246" s="1"/>
      <c r="BL246" s="1"/>
      <c r="CI246" s="1"/>
      <c r="CJ246" s="1"/>
      <c r="CK246" s="1"/>
      <c r="CL246" s="1"/>
      <c r="CM246" s="1"/>
      <c r="CN246" s="1"/>
      <c r="CO246" s="1"/>
      <c r="CP246" s="1"/>
    </row>
    <row r="247" spans="1:94">
      <c r="A247" s="94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BE247" s="1"/>
      <c r="BF247" s="1"/>
      <c r="BG247" s="1"/>
      <c r="BH247" s="1"/>
      <c r="BI247" s="1"/>
      <c r="BJ247" s="1"/>
      <c r="BK247" s="1"/>
      <c r="BL247" s="1"/>
      <c r="CI247" s="1"/>
      <c r="CJ247" s="1"/>
      <c r="CK247" s="1"/>
      <c r="CL247" s="1"/>
      <c r="CM247" s="1"/>
      <c r="CN247" s="1"/>
      <c r="CO247" s="1"/>
      <c r="CP247" s="1"/>
    </row>
    <row r="248" spans="1:94">
      <c r="A248" s="94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BE248" s="1"/>
      <c r="BF248" s="1"/>
      <c r="BG248" s="1"/>
      <c r="BH248" s="1"/>
      <c r="BI248" s="1"/>
      <c r="BJ248" s="1"/>
      <c r="BK248" s="1"/>
      <c r="BL248" s="1"/>
      <c r="CI248" s="1"/>
      <c r="CJ248" s="1"/>
      <c r="CK248" s="1"/>
      <c r="CL248" s="1"/>
      <c r="CM248" s="1"/>
      <c r="CN248" s="1"/>
      <c r="CO248" s="1"/>
      <c r="CP248" s="1"/>
    </row>
    <row r="249" spans="1:94">
      <c r="A249" s="94" t="s">
        <v>810</v>
      </c>
      <c r="B249" s="86"/>
      <c r="C249" s="86"/>
      <c r="D249" s="86"/>
      <c r="E249" s="86"/>
      <c r="F249" s="86"/>
      <c r="G249" s="86"/>
      <c r="H249" s="99">
        <f ca="1">ROUND(N16,4)</f>
        <v>5.5209000000000001</v>
      </c>
      <c r="I249" s="86" t="s">
        <v>105</v>
      </c>
      <c r="J249" s="86" t="s">
        <v>793</v>
      </c>
      <c r="K249" s="8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BE249" s="1"/>
      <c r="BF249" s="1"/>
      <c r="BG249" s="1"/>
      <c r="BH249" s="1"/>
      <c r="BI249" s="1"/>
      <c r="BJ249" s="1"/>
      <c r="BK249" s="1"/>
      <c r="BL249" s="1"/>
      <c r="CI249" s="1"/>
      <c r="CJ249" s="1"/>
      <c r="CK249" s="1"/>
      <c r="CL249" s="1"/>
      <c r="CM249" s="1"/>
      <c r="CN249" s="1"/>
      <c r="CO249" s="1"/>
      <c r="CP249" s="1"/>
    </row>
    <row r="250" spans="1:94">
      <c r="A250" s="94" t="s">
        <v>794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BE250" s="1"/>
      <c r="BF250" s="1"/>
      <c r="BG250" s="1"/>
      <c r="BH250" s="1"/>
      <c r="BI250" s="1"/>
      <c r="BJ250" s="1"/>
      <c r="BK250" s="1"/>
      <c r="BL250" s="1"/>
      <c r="CI250" s="1"/>
      <c r="CJ250" s="1"/>
      <c r="CK250" s="1"/>
      <c r="CL250" s="1"/>
      <c r="CM250" s="1"/>
      <c r="CN250" s="1"/>
      <c r="CO250" s="1"/>
      <c r="CP250" s="1"/>
    </row>
    <row r="251" spans="1:94">
      <c r="A251" s="94" t="s">
        <v>795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BE251" s="1"/>
      <c r="BF251" s="1"/>
      <c r="BG251" s="1"/>
      <c r="BH251" s="1"/>
      <c r="BI251" s="1"/>
      <c r="BJ251" s="1"/>
      <c r="BK251" s="1"/>
      <c r="BL251" s="1"/>
      <c r="CI251" s="1"/>
      <c r="CJ251" s="1"/>
      <c r="CK251" s="1"/>
      <c r="CL251" s="1"/>
      <c r="CM251" s="1"/>
      <c r="CN251" s="1"/>
      <c r="CO251" s="1"/>
      <c r="CP251" s="1"/>
    </row>
    <row r="252" spans="1:94">
      <c r="A252" s="94" t="s">
        <v>782</v>
      </c>
      <c r="B252" s="86"/>
      <c r="C252" s="86"/>
      <c r="D252" s="86"/>
      <c r="E252" s="86"/>
      <c r="F252" s="86"/>
      <c r="G252" s="86"/>
      <c r="H252" s="155">
        <f ca="1">-R160</f>
        <v>-1.31</v>
      </c>
      <c r="I252" s="86" t="s">
        <v>105</v>
      </c>
      <c r="J252" s="86"/>
      <c r="K252" s="8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BE252" s="1"/>
      <c r="BF252" s="1"/>
      <c r="BG252" s="1"/>
      <c r="BH252" s="1"/>
      <c r="BI252" s="1"/>
      <c r="BJ252" s="1"/>
      <c r="BK252" s="1"/>
      <c r="BL252" s="1"/>
      <c r="CI252" s="1"/>
      <c r="CJ252" s="1"/>
      <c r="CK252" s="1"/>
      <c r="CL252" s="1"/>
      <c r="CM252" s="1"/>
      <c r="CN252" s="1"/>
      <c r="CO252" s="1"/>
      <c r="CP252" s="1"/>
    </row>
    <row r="253" spans="1:94">
      <c r="A253" s="94" t="s">
        <v>783</v>
      </c>
      <c r="B253" s="86"/>
      <c r="C253" s="86"/>
      <c r="D253" s="86"/>
      <c r="E253" s="86"/>
      <c r="F253" s="86"/>
      <c r="G253" s="86"/>
      <c r="H253" s="155">
        <f ca="1">-R162</f>
        <v>-0.46</v>
      </c>
      <c r="I253" s="86" t="s">
        <v>105</v>
      </c>
      <c r="J253" s="86"/>
      <c r="K253" s="8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BE253" s="1"/>
      <c r="BF253" s="1"/>
      <c r="BG253" s="1"/>
      <c r="BH253" s="1"/>
      <c r="BI253" s="1"/>
      <c r="BJ253" s="1"/>
      <c r="BK253" s="1"/>
      <c r="BL253" s="1"/>
      <c r="CI253" s="1"/>
      <c r="CJ253" s="1"/>
      <c r="CK253" s="1"/>
      <c r="CL253" s="1"/>
      <c r="CM253" s="1"/>
      <c r="CN253" s="1"/>
      <c r="CO253" s="1"/>
      <c r="CP253" s="1"/>
    </row>
    <row r="254" spans="1:94">
      <c r="A254" s="94" t="s">
        <v>796</v>
      </c>
      <c r="B254" s="86"/>
      <c r="C254" s="86"/>
      <c r="D254" s="86"/>
      <c r="E254" s="86"/>
      <c r="F254" s="86"/>
      <c r="G254" s="86"/>
      <c r="H254" s="156">
        <v>0</v>
      </c>
      <c r="I254" s="86" t="s">
        <v>105</v>
      </c>
      <c r="J254" s="86"/>
      <c r="K254" s="8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BE254" s="1"/>
      <c r="BF254" s="1"/>
      <c r="BG254" s="1"/>
      <c r="BH254" s="1"/>
      <c r="BI254" s="1"/>
      <c r="BJ254" s="1"/>
      <c r="BK254" s="1"/>
      <c r="BL254" s="1"/>
      <c r="CI254" s="1"/>
      <c r="CJ254" s="1"/>
      <c r="CK254" s="1"/>
      <c r="CL254" s="1"/>
      <c r="CM254" s="1"/>
      <c r="CN254" s="1"/>
      <c r="CO254" s="1"/>
      <c r="CP254" s="1"/>
    </row>
    <row r="255" spans="1:94">
      <c r="A255" s="94" t="s">
        <v>784</v>
      </c>
      <c r="B255" s="86"/>
      <c r="C255" s="86"/>
      <c r="D255" s="86"/>
      <c r="E255" s="86"/>
      <c r="F255" s="86"/>
      <c r="G255" s="86"/>
      <c r="H255" s="155">
        <f ca="1">ROUND(-R164,4)</f>
        <v>-0.03</v>
      </c>
      <c r="I255" s="86" t="s">
        <v>105</v>
      </c>
      <c r="J255" s="86"/>
      <c r="K255" s="8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BE255" s="1"/>
      <c r="BF255" s="1"/>
      <c r="BG255" s="1"/>
      <c r="BH255" s="1"/>
      <c r="BI255" s="1"/>
      <c r="BJ255" s="1"/>
      <c r="BK255" s="1"/>
      <c r="BL255" s="1"/>
      <c r="CI255" s="1"/>
      <c r="CJ255" s="1"/>
      <c r="CK255" s="1"/>
      <c r="CL255" s="1"/>
      <c r="CM255" s="1"/>
      <c r="CN255" s="1"/>
      <c r="CO255" s="1"/>
      <c r="CP255" s="1"/>
    </row>
    <row r="256" spans="1:94">
      <c r="A256" s="94" t="s">
        <v>797</v>
      </c>
      <c r="B256" s="86"/>
      <c r="C256" s="86"/>
      <c r="D256" s="86"/>
      <c r="E256" s="86"/>
      <c r="F256" s="86"/>
      <c r="G256" s="86"/>
      <c r="H256" s="156">
        <v>0</v>
      </c>
      <c r="I256" s="86" t="s">
        <v>105</v>
      </c>
      <c r="J256" s="86"/>
      <c r="K256" s="8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BE256" s="1"/>
      <c r="BF256" s="1"/>
      <c r="BG256" s="1"/>
      <c r="BH256" s="1"/>
      <c r="BI256" s="1"/>
      <c r="BJ256" s="1"/>
      <c r="BK256" s="1"/>
      <c r="BL256" s="1"/>
      <c r="CI256" s="1"/>
      <c r="CJ256" s="1"/>
      <c r="CK256" s="1"/>
      <c r="CL256" s="1"/>
      <c r="CM256" s="1"/>
      <c r="CN256" s="1"/>
      <c r="CO256" s="1"/>
      <c r="CP256" s="1"/>
    </row>
    <row r="257" spans="1:94">
      <c r="A257" s="94" t="s">
        <v>798</v>
      </c>
      <c r="B257" s="86"/>
      <c r="C257" s="86"/>
      <c r="D257" s="86"/>
      <c r="E257" s="86"/>
      <c r="F257" s="86"/>
      <c r="G257" s="86"/>
      <c r="H257" s="157">
        <f ca="1">ROUND(SUM(H252:H256),4)</f>
        <v>-1.8</v>
      </c>
      <c r="I257" s="86" t="s">
        <v>105</v>
      </c>
      <c r="J257" s="86"/>
      <c r="K257" s="8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BE257" s="1"/>
      <c r="BF257" s="1"/>
      <c r="BG257" s="1"/>
      <c r="BH257" s="1"/>
      <c r="BI257" s="1"/>
      <c r="BJ257" s="1"/>
      <c r="BK257" s="1"/>
      <c r="BL257" s="1"/>
      <c r="CI257" s="1"/>
      <c r="CJ257" s="1"/>
      <c r="CK257" s="1"/>
      <c r="CL257" s="1"/>
      <c r="CM257" s="1"/>
      <c r="CN257" s="1"/>
      <c r="CO257" s="1"/>
      <c r="CP257" s="1"/>
    </row>
    <row r="258" spans="1:94">
      <c r="A258" s="94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BE258" s="1"/>
      <c r="BF258" s="1"/>
      <c r="BG258" s="1"/>
      <c r="BH258" s="1"/>
      <c r="BI258" s="1"/>
      <c r="BJ258" s="1"/>
      <c r="BK258" s="1"/>
      <c r="BL258" s="1"/>
      <c r="CI258" s="1"/>
      <c r="CJ258" s="1"/>
      <c r="CK258" s="1"/>
      <c r="CL258" s="1"/>
      <c r="CM258" s="1"/>
      <c r="CN258" s="1"/>
      <c r="CO258" s="1"/>
      <c r="CP258" s="1"/>
    </row>
    <row r="259" spans="1:94">
      <c r="A259" s="94" t="s">
        <v>230</v>
      </c>
      <c r="B259" s="86"/>
      <c r="C259" s="86"/>
      <c r="D259" s="86"/>
      <c r="E259" s="86"/>
      <c r="F259" s="86"/>
      <c r="G259" s="86"/>
      <c r="H259" s="155">
        <f ca="1">ROUND(H249+H257,4)</f>
        <v>3.7208999999999999</v>
      </c>
      <c r="I259" s="86" t="s">
        <v>105</v>
      </c>
      <c r="J259" s="86"/>
      <c r="K259" s="8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BE259" s="1"/>
      <c r="BF259" s="1"/>
      <c r="BG259" s="1"/>
      <c r="BH259" s="1"/>
      <c r="BI259" s="1"/>
      <c r="BJ259" s="1"/>
      <c r="BK259" s="1"/>
      <c r="BL259" s="1"/>
      <c r="CI259" s="1"/>
      <c r="CJ259" s="1"/>
      <c r="CK259" s="1"/>
      <c r="CL259" s="1"/>
      <c r="CM259" s="1"/>
      <c r="CN259" s="1"/>
      <c r="CO259" s="1"/>
      <c r="CP259" s="1"/>
    </row>
    <row r="260" spans="1:94">
      <c r="A260" s="94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BE260" s="1"/>
      <c r="BF260" s="1"/>
      <c r="BG260" s="1"/>
      <c r="BH260" s="1"/>
      <c r="BI260" s="1"/>
      <c r="BJ260" s="1"/>
      <c r="BK260" s="1"/>
      <c r="BL260" s="1"/>
      <c r="CI260" s="1"/>
      <c r="CJ260" s="1"/>
      <c r="CK260" s="1"/>
      <c r="CL260" s="1"/>
      <c r="CM260" s="1"/>
      <c r="CN260" s="1"/>
      <c r="CO260" s="1"/>
      <c r="CP260" s="1"/>
    </row>
    <row r="261" spans="1:94">
      <c r="A261" s="94" t="s">
        <v>799</v>
      </c>
      <c r="B261" s="86"/>
      <c r="C261" s="86"/>
      <c r="D261" s="86"/>
      <c r="E261" s="86"/>
      <c r="F261" s="86"/>
      <c r="G261" s="86"/>
      <c r="H261" s="158">
        <f ca="1">ROUND(J166*100,4)</f>
        <v>47.54</v>
      </c>
      <c r="I261" s="86" t="s">
        <v>105</v>
      </c>
      <c r="J261" s="86"/>
      <c r="K261" s="8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BE261" s="1"/>
      <c r="BF261" s="1"/>
      <c r="BG261" s="1"/>
      <c r="BH261" s="1"/>
      <c r="BI261" s="1"/>
      <c r="BJ261" s="1"/>
      <c r="BK261" s="1"/>
      <c r="BL261" s="1"/>
      <c r="CI261" s="1"/>
      <c r="CJ261" s="1"/>
      <c r="CK261" s="1"/>
      <c r="CL261" s="1"/>
      <c r="CM261" s="1"/>
      <c r="CN261" s="1"/>
      <c r="CO261" s="1"/>
      <c r="CP261" s="1"/>
    </row>
    <row r="262" spans="1:94">
      <c r="A262" s="94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BE262" s="1"/>
      <c r="BF262" s="1"/>
      <c r="BG262" s="1"/>
      <c r="BH262" s="1"/>
      <c r="BI262" s="1"/>
      <c r="BJ262" s="1"/>
      <c r="BK262" s="1"/>
      <c r="BL262" s="1"/>
      <c r="CI262" s="1"/>
      <c r="CJ262" s="1"/>
      <c r="CK262" s="1"/>
      <c r="CL262" s="1"/>
      <c r="CM262" s="1"/>
      <c r="CN262" s="1"/>
      <c r="CO262" s="1"/>
      <c r="CP262" s="1"/>
    </row>
    <row r="263" spans="1:94" ht="13.5" thickBot="1">
      <c r="A263" s="94" t="s">
        <v>800</v>
      </c>
      <c r="B263" s="86"/>
      <c r="C263" s="86"/>
      <c r="D263" s="86"/>
      <c r="E263" s="86"/>
      <c r="F263" s="86"/>
      <c r="G263" s="86"/>
      <c r="H263" s="159">
        <f ca="1">ROUND((H259)/(H261/100),4)</f>
        <v>7.8269000000000002</v>
      </c>
      <c r="I263" s="86" t="s">
        <v>105</v>
      </c>
      <c r="J263" s="86"/>
      <c r="K263" s="8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BE263" s="1"/>
      <c r="BF263" s="1"/>
      <c r="BG263" s="1"/>
      <c r="BH263" s="1"/>
      <c r="BI263" s="1"/>
      <c r="BJ263" s="1"/>
      <c r="BK263" s="1"/>
      <c r="BL263" s="1"/>
      <c r="CI263" s="1"/>
      <c r="CJ263" s="1"/>
      <c r="CK263" s="1"/>
      <c r="CL263" s="1"/>
      <c r="CM263" s="1"/>
      <c r="CN263" s="1"/>
      <c r="CO263" s="1"/>
      <c r="CP263" s="1"/>
    </row>
    <row r="264" spans="1:94" ht="13.5" thickTop="1">
      <c r="A264" s="94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BE264" s="1"/>
      <c r="BF264" s="1"/>
      <c r="BG264" s="1"/>
      <c r="BH264" s="1"/>
      <c r="BI264" s="1"/>
      <c r="BJ264" s="1"/>
      <c r="BK264" s="1"/>
      <c r="BL264" s="1"/>
      <c r="CI264" s="1"/>
      <c r="CJ264" s="1"/>
      <c r="CK264" s="1"/>
      <c r="CL264" s="1"/>
      <c r="CM264" s="1"/>
      <c r="CN264" s="1"/>
      <c r="CO264" s="1"/>
      <c r="CP264" s="1"/>
    </row>
    <row r="265" spans="1:94">
      <c r="A265" s="94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BE265" s="1"/>
      <c r="BF265" s="1"/>
      <c r="BG265" s="1"/>
      <c r="BH265" s="1"/>
      <c r="BI265" s="1"/>
      <c r="BJ265" s="1"/>
      <c r="BK265" s="1"/>
      <c r="BL265" s="1"/>
      <c r="CI265" s="1"/>
      <c r="CJ265" s="1"/>
      <c r="CK265" s="1"/>
      <c r="CL265" s="1"/>
      <c r="CM265" s="1"/>
      <c r="CN265" s="1"/>
      <c r="CO265" s="1"/>
      <c r="CP265" s="1"/>
    </row>
    <row r="266" spans="1:94">
      <c r="A266" s="94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BE266" s="1"/>
      <c r="BF266" s="1"/>
      <c r="BG266" s="1"/>
      <c r="BH266" s="1"/>
      <c r="BI266" s="1"/>
      <c r="BJ266" s="1"/>
      <c r="BK266" s="1"/>
      <c r="BL266" s="1"/>
      <c r="CI266" s="1"/>
      <c r="CJ266" s="1"/>
      <c r="CK266" s="1"/>
      <c r="CL266" s="1"/>
      <c r="CM266" s="1"/>
      <c r="CN266" s="1"/>
      <c r="CO266" s="1"/>
      <c r="CP266" s="1"/>
    </row>
    <row r="267" spans="1:94">
      <c r="A267" s="94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BE267" s="1"/>
      <c r="BF267" s="1"/>
      <c r="BG267" s="1"/>
      <c r="BH267" s="1"/>
      <c r="BI267" s="1"/>
      <c r="BJ267" s="1"/>
      <c r="BK267" s="1"/>
      <c r="BL267" s="1"/>
      <c r="CI267" s="1"/>
      <c r="CJ267" s="1"/>
      <c r="CK267" s="1"/>
      <c r="CL267" s="1"/>
      <c r="CM267" s="1"/>
      <c r="CN267" s="1"/>
      <c r="CO267" s="1"/>
      <c r="CP267" s="1"/>
    </row>
    <row r="268" spans="1:94">
      <c r="A268" s="104" t="s">
        <v>811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BE268" s="1"/>
      <c r="BF268" s="1"/>
      <c r="BG268" s="1"/>
      <c r="BH268" s="1"/>
      <c r="BI268" s="1"/>
      <c r="BJ268" s="1"/>
      <c r="BK268" s="1"/>
      <c r="BL268" s="1"/>
      <c r="CI268" s="1"/>
      <c r="CJ268" s="1"/>
      <c r="CK268" s="1"/>
      <c r="CL268" s="1"/>
      <c r="CM268" s="1"/>
      <c r="CN268" s="1"/>
      <c r="CO268" s="1"/>
      <c r="CP268" s="1"/>
    </row>
    <row r="269" spans="1:94">
      <c r="A269" s="104" t="s">
        <v>802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BE269" s="1"/>
      <c r="BF269" s="1"/>
      <c r="BG269" s="1"/>
      <c r="BH269" s="1"/>
      <c r="BI269" s="1"/>
      <c r="BJ269" s="1"/>
      <c r="BK269" s="1"/>
      <c r="BL269" s="1"/>
      <c r="CI269" s="1"/>
      <c r="CJ269" s="1"/>
      <c r="CK269" s="1"/>
      <c r="CL269" s="1"/>
      <c r="CM269" s="1"/>
      <c r="CN269" s="1"/>
      <c r="CO269" s="1"/>
      <c r="CP269" s="1"/>
    </row>
    <row r="270" spans="1:94">
      <c r="A270" s="94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BE270" s="1"/>
      <c r="BF270" s="1"/>
      <c r="BG270" s="1"/>
      <c r="BH270" s="1"/>
      <c r="BI270" s="1"/>
      <c r="BJ270" s="1"/>
      <c r="BK270" s="1"/>
      <c r="BL270" s="1"/>
      <c r="CI270" s="1"/>
      <c r="CJ270" s="1"/>
      <c r="CK270" s="1"/>
      <c r="CL270" s="1"/>
      <c r="CM270" s="1"/>
      <c r="CN270" s="1"/>
      <c r="CO270" s="1"/>
      <c r="CP270" s="1"/>
    </row>
    <row r="271" spans="1:94">
      <c r="A271" s="94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BE271" s="1"/>
      <c r="BF271" s="1"/>
      <c r="BG271" s="1"/>
      <c r="BH271" s="1"/>
      <c r="BI271" s="1"/>
      <c r="BJ271" s="1"/>
      <c r="BK271" s="1"/>
      <c r="BL271" s="1"/>
      <c r="CI271" s="1"/>
      <c r="CJ271" s="1"/>
      <c r="CK271" s="1"/>
      <c r="CL271" s="1"/>
      <c r="CM271" s="1"/>
      <c r="CN271" s="1"/>
      <c r="CO271" s="1"/>
      <c r="CP271" s="1"/>
    </row>
    <row r="272" spans="1:94">
      <c r="A272" s="94" t="s">
        <v>803</v>
      </c>
      <c r="B272" s="86"/>
      <c r="C272" s="86"/>
      <c r="D272" s="86"/>
      <c r="E272" s="86"/>
      <c r="F272" s="86"/>
      <c r="G272" s="86" t="s">
        <v>676</v>
      </c>
      <c r="H272" s="86">
        <f ca="1">V141+V130</f>
        <v>108991.20446761884</v>
      </c>
      <c r="I272" s="86"/>
      <c r="J272" s="86" t="s">
        <v>812</v>
      </c>
      <c r="K272" s="8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BE272" s="1"/>
      <c r="BF272" s="1"/>
      <c r="BG272" s="1"/>
      <c r="BH272" s="1"/>
      <c r="BI272" s="1"/>
      <c r="BJ272" s="1"/>
      <c r="BK272" s="1"/>
      <c r="BL272" s="1"/>
      <c r="CI272" s="1"/>
      <c r="CJ272" s="1"/>
      <c r="CK272" s="1"/>
      <c r="CL272" s="1"/>
      <c r="CM272" s="1"/>
      <c r="CN272" s="1"/>
      <c r="CO272" s="1"/>
      <c r="CP272" s="1"/>
    </row>
    <row r="273" spans="1:94">
      <c r="A273" s="94"/>
      <c r="B273" s="86"/>
      <c r="C273" s="86"/>
      <c r="D273" s="86"/>
      <c r="E273" s="86"/>
      <c r="F273" s="86"/>
      <c r="G273" s="86"/>
      <c r="H273" s="86"/>
      <c r="I273" s="86"/>
      <c r="J273" s="160"/>
      <c r="K273" s="8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BE273" s="1"/>
      <c r="BF273" s="1"/>
      <c r="BG273" s="1"/>
      <c r="BH273" s="1"/>
      <c r="BI273" s="1"/>
      <c r="BJ273" s="1"/>
      <c r="BK273" s="1"/>
      <c r="BL273" s="1"/>
      <c r="CI273" s="1"/>
      <c r="CJ273" s="1"/>
      <c r="CK273" s="1"/>
      <c r="CL273" s="1"/>
      <c r="CM273" s="1"/>
      <c r="CN273" s="1"/>
      <c r="CO273" s="1"/>
      <c r="CP273" s="1"/>
    </row>
    <row r="274" spans="1:94">
      <c r="A274" s="94" t="s">
        <v>805</v>
      </c>
      <c r="B274" s="86"/>
      <c r="C274" s="86"/>
      <c r="D274" s="86"/>
      <c r="E274" s="86"/>
      <c r="F274" s="86"/>
      <c r="G274" s="86" t="s">
        <v>676</v>
      </c>
      <c r="H274" s="98">
        <f ca="1">T92</f>
        <v>2024332.2715839653</v>
      </c>
      <c r="I274" s="86"/>
      <c r="J274" s="86" t="s">
        <v>813</v>
      </c>
      <c r="K274" s="8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BE274" s="1"/>
      <c r="BF274" s="1"/>
      <c r="BG274" s="1"/>
      <c r="BH274" s="1"/>
      <c r="BI274" s="1"/>
      <c r="BJ274" s="1"/>
      <c r="BK274" s="1"/>
      <c r="BL274" s="1"/>
      <c r="CI274" s="1"/>
      <c r="CJ274" s="1"/>
      <c r="CK274" s="1"/>
      <c r="CL274" s="1"/>
      <c r="CM274" s="1"/>
      <c r="CN274" s="1"/>
      <c r="CO274" s="1"/>
      <c r="CP274" s="1"/>
    </row>
    <row r="275" spans="1:94">
      <c r="A275" s="94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BE275" s="1"/>
      <c r="BF275" s="1"/>
      <c r="BG275" s="1"/>
      <c r="BH275" s="1"/>
      <c r="BI275" s="1"/>
      <c r="BJ275" s="1"/>
      <c r="BK275" s="1"/>
      <c r="BL275" s="1"/>
      <c r="CI275" s="1"/>
      <c r="CJ275" s="1"/>
      <c r="CK275" s="1"/>
      <c r="CL275" s="1"/>
      <c r="CM275" s="1"/>
      <c r="CN275" s="1"/>
      <c r="CO275" s="1"/>
      <c r="CP275" s="1"/>
    </row>
    <row r="276" spans="1:94">
      <c r="A276" s="94" t="s">
        <v>792</v>
      </c>
      <c r="B276" s="86"/>
      <c r="C276" s="86"/>
      <c r="D276" s="86"/>
      <c r="E276" s="86"/>
      <c r="F276" s="86"/>
      <c r="G276" s="86"/>
      <c r="H276" s="158">
        <f ca="1">(H272/H274)*100</f>
        <v>5.3840570541483901</v>
      </c>
      <c r="I276" s="86" t="s">
        <v>105</v>
      </c>
      <c r="J276" s="86"/>
      <c r="K276" s="8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BE276" s="1"/>
      <c r="BF276" s="1"/>
      <c r="BG276" s="1"/>
      <c r="BH276" s="1"/>
      <c r="BI276" s="1"/>
      <c r="BJ276" s="1"/>
      <c r="BK276" s="1"/>
      <c r="BL276" s="1"/>
      <c r="CI276" s="1"/>
      <c r="CJ276" s="1"/>
      <c r="CK276" s="1"/>
      <c r="CL276" s="1"/>
      <c r="CM276" s="1"/>
      <c r="CN276" s="1"/>
      <c r="CO276" s="1"/>
      <c r="CP276" s="1"/>
    </row>
    <row r="277" spans="1:94">
      <c r="A277" s="94" t="s">
        <v>794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BE277" s="1"/>
      <c r="BF277" s="1"/>
      <c r="BG277" s="1"/>
      <c r="BH277" s="1"/>
      <c r="BI277" s="1"/>
      <c r="BJ277" s="1"/>
      <c r="BK277" s="1"/>
      <c r="BL277" s="1"/>
      <c r="CI277" s="1"/>
      <c r="CJ277" s="1"/>
      <c r="CK277" s="1"/>
      <c r="CL277" s="1"/>
      <c r="CM277" s="1"/>
      <c r="CN277" s="1"/>
      <c r="CO277" s="1"/>
      <c r="CP277" s="1"/>
    </row>
    <row r="278" spans="1:94">
      <c r="A278" s="94" t="s">
        <v>795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BE278" s="1"/>
      <c r="BF278" s="1"/>
      <c r="BG278" s="1"/>
      <c r="BH278" s="1"/>
      <c r="BI278" s="1"/>
      <c r="BJ278" s="1"/>
      <c r="BK278" s="1"/>
      <c r="BL278" s="1"/>
      <c r="CI278" s="1"/>
      <c r="CJ278" s="1"/>
      <c r="CK278" s="1"/>
      <c r="CL278" s="1"/>
      <c r="CM278" s="1"/>
      <c r="CN278" s="1"/>
      <c r="CO278" s="1"/>
      <c r="CP278" s="1"/>
    </row>
    <row r="279" spans="1:94">
      <c r="A279" s="94" t="s">
        <v>782</v>
      </c>
      <c r="B279" s="86"/>
      <c r="C279" s="86"/>
      <c r="D279" s="86"/>
      <c r="E279" s="86"/>
      <c r="F279" s="86"/>
      <c r="G279" s="86"/>
      <c r="H279" s="155">
        <f ca="1">H252</f>
        <v>-1.31</v>
      </c>
      <c r="I279" s="86" t="s">
        <v>105</v>
      </c>
      <c r="J279" s="86"/>
      <c r="K279" s="8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BE279" s="1"/>
      <c r="BF279" s="1"/>
      <c r="BG279" s="1"/>
      <c r="BH279" s="1"/>
      <c r="BI279" s="1"/>
      <c r="BJ279" s="1"/>
      <c r="BK279" s="1"/>
      <c r="BL279" s="1"/>
      <c r="CI279" s="1"/>
      <c r="CJ279" s="1"/>
      <c r="CK279" s="1"/>
      <c r="CL279" s="1"/>
      <c r="CM279" s="1"/>
      <c r="CN279" s="1"/>
      <c r="CO279" s="1"/>
      <c r="CP279" s="1"/>
    </row>
    <row r="280" spans="1:94">
      <c r="A280" s="94" t="s">
        <v>783</v>
      </c>
      <c r="B280" s="86"/>
      <c r="C280" s="86"/>
      <c r="D280" s="86"/>
      <c r="E280" s="86"/>
      <c r="F280" s="86"/>
      <c r="G280" s="86"/>
      <c r="H280" s="155">
        <f ca="1">H253</f>
        <v>-0.46</v>
      </c>
      <c r="I280" s="86" t="s">
        <v>105</v>
      </c>
      <c r="J280" s="86"/>
      <c r="K280" s="8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BE280" s="1"/>
      <c r="BF280" s="1"/>
      <c r="BG280" s="1"/>
      <c r="BH280" s="1"/>
      <c r="BI280" s="1"/>
      <c r="BJ280" s="1"/>
      <c r="BK280" s="1"/>
      <c r="BL280" s="1"/>
      <c r="CI280" s="1"/>
      <c r="CJ280" s="1"/>
      <c r="CK280" s="1"/>
      <c r="CL280" s="1"/>
      <c r="CM280" s="1"/>
      <c r="CN280" s="1"/>
      <c r="CO280" s="1"/>
      <c r="CP280" s="1"/>
    </row>
    <row r="281" spans="1:94">
      <c r="A281" s="94" t="s">
        <v>796</v>
      </c>
      <c r="B281" s="86"/>
      <c r="C281" s="86"/>
      <c r="D281" s="86"/>
      <c r="E281" s="86"/>
      <c r="F281" s="86"/>
      <c r="G281" s="86"/>
      <c r="H281" s="155">
        <f>H254</f>
        <v>0</v>
      </c>
      <c r="I281" s="86" t="s">
        <v>105</v>
      </c>
      <c r="J281" s="86"/>
      <c r="K281" s="8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BE281" s="1"/>
      <c r="BF281" s="1"/>
      <c r="BG281" s="1"/>
      <c r="BH281" s="1"/>
      <c r="BI281" s="1"/>
      <c r="BJ281" s="1"/>
      <c r="BK281" s="1"/>
      <c r="BL281" s="1"/>
      <c r="CI281" s="1"/>
      <c r="CJ281" s="1"/>
      <c r="CK281" s="1"/>
      <c r="CL281" s="1"/>
      <c r="CM281" s="1"/>
      <c r="CN281" s="1"/>
      <c r="CO281" s="1"/>
      <c r="CP281" s="1"/>
    </row>
    <row r="282" spans="1:94">
      <c r="A282" s="94" t="s">
        <v>784</v>
      </c>
      <c r="B282" s="86"/>
      <c r="C282" s="86"/>
      <c r="D282" s="86"/>
      <c r="E282" s="86"/>
      <c r="F282" s="86"/>
      <c r="G282" s="86"/>
      <c r="H282" s="155">
        <f ca="1">H255</f>
        <v>-0.03</v>
      </c>
      <c r="I282" s="86" t="s">
        <v>105</v>
      </c>
      <c r="J282" s="86"/>
      <c r="K282" s="8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BE282" s="1"/>
      <c r="BF282" s="1"/>
      <c r="BG282" s="1"/>
      <c r="BH282" s="1"/>
      <c r="BI282" s="1"/>
      <c r="BJ282" s="1"/>
      <c r="BK282" s="1"/>
      <c r="BL282" s="1"/>
      <c r="CI282" s="1"/>
      <c r="CJ282" s="1"/>
      <c r="CK282" s="1"/>
      <c r="CL282" s="1"/>
      <c r="CM282" s="1"/>
      <c r="CN282" s="1"/>
      <c r="CO282" s="1"/>
      <c r="CP282" s="1"/>
    </row>
    <row r="283" spans="1:94">
      <c r="A283" s="94" t="s">
        <v>797</v>
      </c>
      <c r="B283" s="86"/>
      <c r="C283" s="86"/>
      <c r="D283" s="86"/>
      <c r="E283" s="86"/>
      <c r="F283" s="86"/>
      <c r="G283" s="86"/>
      <c r="H283" s="155">
        <f>H256</f>
        <v>0</v>
      </c>
      <c r="I283" s="86" t="s">
        <v>105</v>
      </c>
      <c r="J283" s="86"/>
      <c r="K283" s="8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BE283" s="1"/>
      <c r="BF283" s="1"/>
      <c r="BG283" s="1"/>
      <c r="BH283" s="1"/>
      <c r="BI283" s="1"/>
      <c r="BJ283" s="1"/>
      <c r="BK283" s="1"/>
      <c r="BL283" s="1"/>
      <c r="CI283" s="1"/>
      <c r="CJ283" s="1"/>
      <c r="CK283" s="1"/>
      <c r="CL283" s="1"/>
      <c r="CM283" s="1"/>
      <c r="CN283" s="1"/>
      <c r="CO283" s="1"/>
      <c r="CP283" s="1"/>
    </row>
    <row r="284" spans="1:94">
      <c r="A284" s="94" t="s">
        <v>798</v>
      </c>
      <c r="B284" s="86"/>
      <c r="C284" s="86"/>
      <c r="D284" s="86"/>
      <c r="E284" s="86"/>
      <c r="F284" s="86"/>
      <c r="G284" s="86"/>
      <c r="H284" s="157">
        <f ca="1">SUM(H279:H283)</f>
        <v>-1.8</v>
      </c>
      <c r="I284" s="86" t="s">
        <v>105</v>
      </c>
      <c r="J284" s="86"/>
      <c r="K284" s="8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BE284" s="1"/>
      <c r="BF284" s="1"/>
      <c r="BG284" s="1"/>
      <c r="BH284" s="1"/>
      <c r="BI284" s="1"/>
      <c r="BJ284" s="1"/>
      <c r="BK284" s="1"/>
      <c r="BL284" s="1"/>
      <c r="CI284" s="1"/>
      <c r="CJ284" s="1"/>
      <c r="CK284" s="1"/>
      <c r="CL284" s="1"/>
      <c r="CM284" s="1"/>
      <c r="CN284" s="1"/>
      <c r="CO284" s="1"/>
      <c r="CP284" s="1"/>
    </row>
    <row r="285" spans="1:94">
      <c r="A285" s="94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BE285" s="1"/>
      <c r="BF285" s="1"/>
      <c r="BG285" s="1"/>
      <c r="BH285" s="1"/>
      <c r="BI285" s="1"/>
      <c r="BJ285" s="1"/>
      <c r="BK285" s="1"/>
      <c r="BL285" s="1"/>
      <c r="CI285" s="1"/>
      <c r="CJ285" s="1"/>
      <c r="CK285" s="1"/>
      <c r="CL285" s="1"/>
      <c r="CM285" s="1"/>
      <c r="CN285" s="1"/>
      <c r="CO285" s="1"/>
      <c r="CP285" s="1"/>
    </row>
    <row r="286" spans="1:94">
      <c r="A286" s="94" t="s">
        <v>230</v>
      </c>
      <c r="B286" s="86"/>
      <c r="C286" s="86"/>
      <c r="D286" s="86"/>
      <c r="E286" s="86"/>
      <c r="F286" s="86"/>
      <c r="G286" s="86"/>
      <c r="H286" s="155">
        <f ca="1">H276+H284</f>
        <v>3.5840570541483903</v>
      </c>
      <c r="I286" s="86" t="s">
        <v>105</v>
      </c>
      <c r="J286" s="86"/>
      <c r="K286" s="8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BE286" s="1"/>
      <c r="BF286" s="1"/>
      <c r="BG286" s="1"/>
      <c r="BH286" s="1"/>
      <c r="BI286" s="1"/>
      <c r="BJ286" s="1"/>
      <c r="BK286" s="1"/>
      <c r="BL286" s="1"/>
      <c r="CI286" s="1"/>
      <c r="CJ286" s="1"/>
      <c r="CK286" s="1"/>
      <c r="CL286" s="1"/>
      <c r="CM286" s="1"/>
      <c r="CN286" s="1"/>
      <c r="CO286" s="1"/>
      <c r="CP286" s="1"/>
    </row>
    <row r="287" spans="1:94">
      <c r="A287" s="94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BE287" s="1"/>
      <c r="BF287" s="1"/>
      <c r="BG287" s="1"/>
      <c r="BH287" s="1"/>
      <c r="BI287" s="1"/>
      <c r="BJ287" s="1"/>
      <c r="BK287" s="1"/>
      <c r="BL287" s="1"/>
      <c r="CI287" s="1"/>
      <c r="CJ287" s="1"/>
      <c r="CK287" s="1"/>
      <c r="CL287" s="1"/>
      <c r="CM287" s="1"/>
      <c r="CN287" s="1"/>
      <c r="CO287" s="1"/>
      <c r="CP287" s="1"/>
    </row>
    <row r="288" spans="1:94">
      <c r="A288" s="94" t="s">
        <v>799</v>
      </c>
      <c r="B288" s="86"/>
      <c r="C288" s="86"/>
      <c r="D288" s="86"/>
      <c r="E288" s="86"/>
      <c r="F288" s="86"/>
      <c r="G288" s="86"/>
      <c r="H288" s="158">
        <f ca="1">H261</f>
        <v>47.54</v>
      </c>
      <c r="I288" s="86" t="s">
        <v>105</v>
      </c>
      <c r="J288" s="86"/>
      <c r="K288" s="86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BE288" s="1"/>
      <c r="BF288" s="1"/>
      <c r="BG288" s="1"/>
      <c r="BH288" s="1"/>
      <c r="BI288" s="1"/>
      <c r="BJ288" s="1"/>
      <c r="BK288" s="1"/>
      <c r="BL288" s="1"/>
      <c r="CI288" s="1"/>
      <c r="CJ288" s="1"/>
      <c r="CK288" s="1"/>
      <c r="CL288" s="1"/>
      <c r="CM288" s="1"/>
      <c r="CN288" s="1"/>
      <c r="CO288" s="1"/>
      <c r="CP288" s="1"/>
    </row>
    <row r="289" spans="1:94">
      <c r="A289" s="94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BE289" s="1"/>
      <c r="BF289" s="1"/>
      <c r="BG289" s="1"/>
      <c r="BH289" s="1"/>
      <c r="BI289" s="1"/>
      <c r="BJ289" s="1"/>
      <c r="BK289" s="1"/>
      <c r="BL289" s="1"/>
      <c r="CI289" s="1"/>
      <c r="CJ289" s="1"/>
      <c r="CK289" s="1"/>
      <c r="CL289" s="1"/>
      <c r="CM289" s="1"/>
      <c r="CN289" s="1"/>
      <c r="CO289" s="1"/>
      <c r="CP289" s="1"/>
    </row>
    <row r="290" spans="1:94" ht="13.5" thickBot="1">
      <c r="A290" s="94" t="s">
        <v>800</v>
      </c>
      <c r="B290" s="86"/>
      <c r="C290" s="86"/>
      <c r="D290" s="86"/>
      <c r="E290" s="86"/>
      <c r="F290" s="86"/>
      <c r="G290" s="86"/>
      <c r="H290" s="159">
        <f ca="1">(H286)/(H288/100)</f>
        <v>7.5390346111661559</v>
      </c>
      <c r="I290" s="86" t="s">
        <v>105</v>
      </c>
      <c r="J290" s="86"/>
      <c r="K290" s="86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BE290" s="1"/>
      <c r="BF290" s="1"/>
      <c r="BG290" s="1"/>
      <c r="BH290" s="1"/>
      <c r="BI290" s="1"/>
      <c r="BJ290" s="1"/>
      <c r="BK290" s="1"/>
      <c r="BL290" s="1"/>
      <c r="CI290" s="1"/>
      <c r="CJ290" s="1"/>
      <c r="CK290" s="1"/>
      <c r="CL290" s="1"/>
      <c r="CM290" s="1"/>
      <c r="CN290" s="1"/>
      <c r="CO290" s="1"/>
      <c r="CP290" s="1"/>
    </row>
    <row r="291" spans="1:94" ht="13.5" thickTop="1"/>
    <row r="362" spans="1:80">
      <c r="A362" s="9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AJ362" s="94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N362" s="94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spans="1:80">
      <c r="A363" s="9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AJ363" s="94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N363" s="94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spans="1:80">
      <c r="A364" s="9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AJ364" s="94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N364" s="94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spans="1:80">
      <c r="A365" s="9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AJ365" s="94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BN365" s="94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spans="1:80">
      <c r="A366" s="9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AJ366" s="94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BN366" s="94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spans="1:80">
      <c r="A367" s="9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AJ367" s="94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BN367" s="94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spans="1:80">
      <c r="A368" s="9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AJ368" s="94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BN368" s="94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spans="1:80">
      <c r="A369" s="9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AJ369" s="94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BN369" s="94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spans="1:80">
      <c r="A370" s="9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AJ370" s="94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BN370" s="94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</sheetData>
  <phoneticPr fontId="0" type="noConversion"/>
  <printOptions horizontalCentered="1"/>
  <pageMargins left="0.25" right="0.25" top="0.75" bottom="0.75" header="0.3" footer="0.3"/>
  <pageSetup scale="72" orientation="landscape" blackAndWhite="1" r:id="rId1"/>
  <headerFooter alignWithMargins="0"/>
  <customProperties>
    <customPr name="FPMExcelClientCellBasedFunctionStatus" r:id="rId2"/>
  </customProperties>
  <ignoredErrors>
    <ignoredError sqref="L112" unlockedFormula="1"/>
    <ignoredError sqref="B102 D102:V102 B51:T51" numberStoredAsText="1"/>
  </ignoredError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Q213"/>
  <sheetViews>
    <sheetView topLeftCell="A117" workbookViewId="0">
      <selection activeCell="B148" sqref="B148:C148"/>
    </sheetView>
  </sheetViews>
  <sheetFormatPr defaultColWidth="8.42578125" defaultRowHeight="12.75"/>
  <cols>
    <col min="1" max="1" width="36" customWidth="1"/>
    <col min="2" max="2" width="14.7109375" customWidth="1"/>
    <col min="3" max="3" width="13.85546875" customWidth="1"/>
    <col min="4" max="4" width="10.7109375" customWidth="1"/>
    <col min="5" max="5" width="13.42578125" customWidth="1"/>
    <col min="6" max="12" width="10.7109375" customWidth="1"/>
    <col min="14" max="14" width="9.85546875" bestFit="1" customWidth="1"/>
    <col min="15" max="15" width="24.85546875" bestFit="1" customWidth="1"/>
    <col min="20" max="20" width="31.7109375" bestFit="1" customWidth="1"/>
    <col min="22" max="22" width="23.42578125" bestFit="1" customWidth="1"/>
    <col min="25" max="25" width="16.42578125" bestFit="1" customWidth="1"/>
  </cols>
  <sheetData>
    <row r="1" spans="1:14">
      <c r="A1" t="s">
        <v>814</v>
      </c>
    </row>
    <row r="2" spans="1:14">
      <c r="A2" t="s">
        <v>815</v>
      </c>
    </row>
    <row r="3" spans="1:14">
      <c r="A3" s="8" t="s">
        <v>816</v>
      </c>
      <c r="B3" s="38" t="str">
        <f>+Report!A3</f>
        <v>2023 Budget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5" spans="1:14" ht="13.5" thickBot="1"/>
    <row r="6" spans="1:14" ht="16.5" thickBot="1">
      <c r="A6" s="1"/>
      <c r="B6" s="1"/>
      <c r="C6" s="1"/>
      <c r="D6" s="9" t="s">
        <v>671</v>
      </c>
      <c r="E6" s="10"/>
      <c r="F6" s="10"/>
      <c r="G6" s="10"/>
      <c r="H6" s="10"/>
      <c r="I6" s="10"/>
      <c r="J6" s="11"/>
      <c r="K6" s="11"/>
      <c r="L6" s="1"/>
      <c r="M6" s="1"/>
      <c r="N6" s="1"/>
    </row>
    <row r="7" spans="1:14">
      <c r="D7" s="5"/>
      <c r="E7" s="5"/>
      <c r="F7" s="5"/>
      <c r="G7" s="5"/>
      <c r="H7" s="5"/>
      <c r="I7" s="5"/>
      <c r="J7" s="376" t="s">
        <v>817</v>
      </c>
      <c r="K7" s="376" t="s">
        <v>818</v>
      </c>
    </row>
    <row r="8" spans="1:14">
      <c r="A8" s="1"/>
      <c r="B8" s="4" t="s">
        <v>819</v>
      </c>
      <c r="C8" s="1"/>
      <c r="D8" s="4" t="s">
        <v>820</v>
      </c>
      <c r="E8" s="4" t="s">
        <v>821</v>
      </c>
      <c r="F8" s="4" t="s">
        <v>822</v>
      </c>
      <c r="G8" s="4" t="s">
        <v>823</v>
      </c>
      <c r="H8" s="4" t="s">
        <v>824</v>
      </c>
      <c r="I8" s="4" t="s">
        <v>825</v>
      </c>
      <c r="J8" s="4" t="s">
        <v>826</v>
      </c>
      <c r="K8" s="4" t="s">
        <v>826</v>
      </c>
      <c r="L8" s="4" t="s">
        <v>827</v>
      </c>
      <c r="M8" s="1"/>
      <c r="N8" s="1"/>
    </row>
    <row r="9" spans="1:14">
      <c r="A9" s="1"/>
      <c r="B9" s="6"/>
      <c r="C9" s="1"/>
      <c r="D9" s="2"/>
      <c r="E9" s="2"/>
      <c r="F9" s="2"/>
      <c r="G9" s="2"/>
      <c r="H9" s="2"/>
      <c r="I9" s="2"/>
      <c r="J9" s="2"/>
      <c r="K9" s="2"/>
      <c r="L9" s="2"/>
      <c r="M9" s="1"/>
      <c r="N9" s="1"/>
    </row>
    <row r="10" spans="1:14">
      <c r="A10" s="20" t="s">
        <v>828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7">
        <f ca="1">Report!B171</f>
        <v>2221907.2232589587</v>
      </c>
      <c r="M10" s="1"/>
      <c r="N10" s="1"/>
    </row>
    <row r="12" spans="1:14">
      <c r="A12" s="13" t="s">
        <v>829</v>
      </c>
    </row>
    <row r="13" spans="1:14">
      <c r="A13" s="375"/>
    </row>
    <row r="14" spans="1:14">
      <c r="A14" s="1" t="s">
        <v>830</v>
      </c>
      <c r="B14" s="1"/>
      <c r="C14" s="1"/>
      <c r="D14" s="31">
        <f ca="1">-Reconcil!C68</f>
        <v>0</v>
      </c>
      <c r="E14" s="31"/>
      <c r="F14" s="31"/>
      <c r="G14" s="31"/>
      <c r="H14" s="31"/>
      <c r="I14" s="31"/>
      <c r="J14" s="31"/>
      <c r="K14" s="31"/>
      <c r="L14" s="31">
        <f t="shared" ref="L14:L38" ca="1" si="0">SUM(D14:K14)</f>
        <v>0</v>
      </c>
      <c r="M14" s="31"/>
      <c r="N14" s="31"/>
    </row>
    <row r="15" spans="1:14">
      <c r="A15" s="1" t="s">
        <v>831</v>
      </c>
      <c r="B15" s="1"/>
      <c r="C15" s="1"/>
      <c r="D15" s="31"/>
      <c r="E15" s="31"/>
      <c r="F15" s="31"/>
      <c r="G15" s="31">
        <f ca="1">-Reconcil!C67</f>
        <v>-1196.6926553846154</v>
      </c>
      <c r="H15" s="31"/>
      <c r="I15" s="31"/>
      <c r="J15" s="31"/>
      <c r="K15" s="31"/>
      <c r="L15" s="31">
        <f t="shared" ca="1" si="0"/>
        <v>-1196.6926553846154</v>
      </c>
      <c r="M15" s="31"/>
      <c r="N15" s="31"/>
    </row>
    <row r="16" spans="1:14">
      <c r="A16" s="1" t="s">
        <v>832</v>
      </c>
      <c r="B16" s="1"/>
      <c r="C16" s="1"/>
      <c r="D16" s="31"/>
      <c r="E16" s="31"/>
      <c r="F16" s="31"/>
      <c r="G16" s="31"/>
      <c r="H16" s="31"/>
      <c r="I16" s="31"/>
      <c r="J16" s="31"/>
      <c r="K16" s="31"/>
      <c r="L16" s="31">
        <f t="shared" si="0"/>
        <v>0</v>
      </c>
      <c r="M16" s="31"/>
      <c r="N16" s="31"/>
    </row>
    <row r="17" spans="1:17">
      <c r="A17" s="1" t="s">
        <v>833</v>
      </c>
      <c r="B17" s="1"/>
      <c r="C17" s="1"/>
      <c r="D17" s="31"/>
      <c r="E17" s="31"/>
      <c r="F17" s="31"/>
      <c r="G17" s="31"/>
      <c r="H17" s="31"/>
      <c r="I17" s="31"/>
      <c r="J17" s="31"/>
      <c r="K17" s="31">
        <f ca="1">-Reconcil!$C$76</f>
        <v>-2.9961538461538462</v>
      </c>
      <c r="L17" s="31">
        <f t="shared" ca="1" si="0"/>
        <v>-2.9961538461538462</v>
      </c>
      <c r="M17" s="31"/>
      <c r="N17" s="31"/>
    </row>
    <row r="18" spans="1:17">
      <c r="A18" s="1" t="s">
        <v>834</v>
      </c>
      <c r="B18" s="1"/>
      <c r="C18" s="1"/>
      <c r="D18" s="31"/>
      <c r="E18" s="31"/>
      <c r="F18" s="31"/>
      <c r="G18" s="31">
        <f ca="1">-Reconcil!C77</f>
        <v>0</v>
      </c>
      <c r="H18" s="31"/>
      <c r="I18" s="31"/>
      <c r="J18" s="31"/>
      <c r="K18" s="31"/>
      <c r="L18" s="31">
        <f t="shared" ca="1" si="0"/>
        <v>0</v>
      </c>
      <c r="M18" s="31"/>
      <c r="N18" s="31"/>
    </row>
    <row r="19" spans="1:17">
      <c r="A19" s="1" t="s">
        <v>835</v>
      </c>
      <c r="B19" s="1"/>
      <c r="C19" s="1"/>
      <c r="D19" s="31"/>
      <c r="E19" s="31"/>
      <c r="F19" s="31"/>
      <c r="G19" s="31"/>
      <c r="H19" s="31"/>
      <c r="I19" s="31"/>
      <c r="J19" s="31"/>
      <c r="K19" s="374">
        <f ca="1">-Reconcil!C79</f>
        <v>-821.61441384615364</v>
      </c>
      <c r="L19" s="31">
        <f t="shared" ca="1" si="0"/>
        <v>-821.61441384615364</v>
      </c>
      <c r="M19" s="31"/>
      <c r="N19" s="31"/>
    </row>
    <row r="20" spans="1:17">
      <c r="A20" s="1" t="s">
        <v>836</v>
      </c>
      <c r="B20" s="1"/>
      <c r="C20" s="1"/>
      <c r="D20" s="31"/>
      <c r="E20" s="31"/>
      <c r="F20" s="31"/>
      <c r="G20" s="31"/>
      <c r="H20" s="31"/>
      <c r="I20" s="31"/>
      <c r="J20" s="31"/>
      <c r="K20" s="31"/>
      <c r="L20" s="31">
        <f t="shared" si="0"/>
        <v>0</v>
      </c>
      <c r="M20" s="31"/>
      <c r="N20" s="31"/>
    </row>
    <row r="21" spans="1:17">
      <c r="A21" s="1" t="s">
        <v>837</v>
      </c>
      <c r="B21" s="1"/>
      <c r="C21" s="1"/>
      <c r="D21" s="31"/>
      <c r="E21" s="31"/>
      <c r="F21" s="31"/>
      <c r="G21" s="31"/>
      <c r="H21" s="31"/>
      <c r="I21" s="31"/>
      <c r="J21" s="31"/>
      <c r="K21" s="31">
        <f ca="1">-Reconcil!C81</f>
        <v>-10078.251204615386</v>
      </c>
      <c r="L21" s="31">
        <f t="shared" ca="1" si="0"/>
        <v>-10078.251204615386</v>
      </c>
      <c r="M21" s="31"/>
      <c r="N21" s="31"/>
    </row>
    <row r="22" spans="1:17">
      <c r="A22" s="1" t="s">
        <v>838</v>
      </c>
      <c r="B22" s="1"/>
      <c r="C22" s="1"/>
      <c r="D22" s="31"/>
      <c r="E22" s="31"/>
      <c r="F22" s="31"/>
      <c r="G22" s="31"/>
      <c r="H22" s="31"/>
      <c r="I22" s="31"/>
      <c r="J22" s="31"/>
      <c r="K22" s="31"/>
      <c r="L22" s="31">
        <f t="shared" si="0"/>
        <v>0</v>
      </c>
      <c r="M22" s="31"/>
      <c r="N22" s="31"/>
    </row>
    <row r="23" spans="1:17">
      <c r="A23" s="1" t="s">
        <v>839</v>
      </c>
      <c r="B23" s="1"/>
      <c r="C23" s="1"/>
      <c r="D23" s="31">
        <f ca="1">-Reconcil!C91</f>
        <v>-349.48033615384617</v>
      </c>
      <c r="E23" s="31"/>
      <c r="F23" s="31"/>
      <c r="G23" s="31"/>
      <c r="H23" s="31"/>
      <c r="I23" s="31"/>
      <c r="J23" s="31"/>
      <c r="K23" s="31"/>
      <c r="L23" s="31">
        <f t="shared" ca="1" si="0"/>
        <v>-349.48033615384617</v>
      </c>
      <c r="M23" s="31"/>
      <c r="N23" s="31"/>
    </row>
    <row r="24" spans="1:17">
      <c r="A24" s="1" t="s">
        <v>840</v>
      </c>
      <c r="B24" s="1"/>
      <c r="C24" s="1"/>
      <c r="D24" s="31"/>
      <c r="E24" s="31"/>
      <c r="F24" s="31"/>
      <c r="G24" s="31"/>
      <c r="H24" s="398">
        <f ca="1">-Reconcil!C98*'Input Tax Rate'!B36</f>
        <v>-84.275564511461539</v>
      </c>
      <c r="I24" s="31"/>
      <c r="J24" s="31"/>
      <c r="K24" s="401">
        <f ca="1">-Reconcil!C98*'Input Tax Rate'!B37</f>
        <v>-248.23800625776923</v>
      </c>
      <c r="L24" s="31">
        <f t="shared" ca="1" si="0"/>
        <v>-332.5135707692308</v>
      </c>
      <c r="M24" s="31"/>
      <c r="N24" s="31"/>
    </row>
    <row r="25" spans="1:17">
      <c r="A25" s="361" t="s">
        <v>841</v>
      </c>
      <c r="B25" s="1"/>
      <c r="C25" s="1"/>
      <c r="D25" s="31"/>
      <c r="E25" s="374">
        <f ca="1">IF(Reconcil!$C$99&gt;0,Reconcil!$C$99*-1,0)</f>
        <v>-656.67635230768735</v>
      </c>
      <c r="F25" s="31"/>
      <c r="G25" s="31"/>
      <c r="H25" s="31"/>
      <c r="I25" s="31"/>
      <c r="J25" s="31"/>
      <c r="L25" s="31">
        <f ca="1">SUM(D25:J25)</f>
        <v>-656.67635230768735</v>
      </c>
      <c r="M25" s="31"/>
      <c r="N25" s="31"/>
    </row>
    <row r="26" spans="1:17">
      <c r="A26" s="1" t="s">
        <v>842</v>
      </c>
      <c r="B26" s="1"/>
      <c r="C26" s="1"/>
      <c r="D26" s="31"/>
      <c r="E26" s="31"/>
      <c r="F26" s="31"/>
      <c r="G26" s="31"/>
      <c r="H26" s="398">
        <f ca="1">(-Input!B14/1000)*'Input Tax Rate'!B36</f>
        <v>-870.3623771556156</v>
      </c>
      <c r="I26" s="31"/>
      <c r="J26" s="31"/>
      <c r="K26" s="401">
        <f ca="1">(-Input!B14/1000)*'Input Tax Rate'!B37</f>
        <v>-2563.6971105366929</v>
      </c>
      <c r="L26" s="31">
        <f t="shared" ca="1" si="0"/>
        <v>-3434.0594876923087</v>
      </c>
      <c r="M26" s="31"/>
      <c r="N26" s="31"/>
      <c r="O26" s="33"/>
      <c r="Q26" s="33"/>
    </row>
    <row r="27" spans="1:17">
      <c r="A27" s="1" t="s">
        <v>843</v>
      </c>
      <c r="B27" s="1"/>
      <c r="C27" s="1"/>
      <c r="D27" s="31"/>
      <c r="E27" s="31"/>
      <c r="F27" s="31"/>
      <c r="G27" s="31"/>
      <c r="H27" s="31"/>
      <c r="I27" s="31"/>
      <c r="J27" s="31"/>
      <c r="K27" s="31">
        <f ca="1">Reconcil!C128</f>
        <v>0</v>
      </c>
      <c r="L27" s="31">
        <f t="shared" ca="1" si="0"/>
        <v>0</v>
      </c>
      <c r="M27" s="31"/>
      <c r="N27" s="31"/>
      <c r="O27" s="216"/>
    </row>
    <row r="28" spans="1:17">
      <c r="A28" s="1" t="s">
        <v>844</v>
      </c>
      <c r="B28" s="1"/>
      <c r="C28" s="1"/>
      <c r="D28" s="31"/>
      <c r="E28" s="31"/>
      <c r="F28" s="31"/>
      <c r="G28" s="31">
        <f ca="1">Reconcil!C134</f>
        <v>0</v>
      </c>
      <c r="H28" s="31"/>
      <c r="I28" s="31"/>
      <c r="J28" s="31"/>
      <c r="K28" s="31"/>
      <c r="L28" s="31">
        <f t="shared" ca="1" si="0"/>
        <v>0</v>
      </c>
      <c r="M28" s="31"/>
      <c r="N28" s="31"/>
      <c r="P28" s="1"/>
    </row>
    <row r="29" spans="1:17">
      <c r="A29" s="361" t="s">
        <v>845</v>
      </c>
      <c r="B29" s="1"/>
      <c r="C29" s="1"/>
      <c r="D29" s="31"/>
      <c r="E29" s="374">
        <f ca="1">IF((Reconcil!$C$137-Reconcil!$C$95)&lt;0,(Reconcil!$C$137-Reconcil!$C$95),0)</f>
        <v>0</v>
      </c>
      <c r="F29" s="31"/>
      <c r="G29" s="31"/>
      <c r="H29" s="31"/>
      <c r="I29" s="31"/>
      <c r="J29" s="31"/>
      <c r="L29" s="31">
        <f ca="1">SUM(D29:J29)</f>
        <v>0</v>
      </c>
      <c r="M29" s="31"/>
      <c r="N29" s="31"/>
      <c r="P29" s="1"/>
    </row>
    <row r="30" spans="1:17">
      <c r="A30" s="361" t="s">
        <v>846</v>
      </c>
      <c r="B30" s="1"/>
      <c r="C30" s="1"/>
      <c r="D30" s="31"/>
      <c r="E30" s="374">
        <f ca="1">IF((Reconcil!$C$138-Reconcil!$C$96)&lt;0,(Reconcil!$C$138-Reconcil!$C$96),0)</f>
        <v>0</v>
      </c>
      <c r="F30" s="31"/>
      <c r="G30" s="31"/>
      <c r="H30" s="31"/>
      <c r="I30" s="31"/>
      <c r="J30" s="31"/>
      <c r="L30" s="31">
        <f ca="1">SUM(D30:J30)</f>
        <v>0</v>
      </c>
      <c r="M30" s="31"/>
      <c r="N30" s="31"/>
      <c r="P30" s="1"/>
    </row>
    <row r="31" spans="1:17">
      <c r="A31" s="1114" t="s">
        <v>1254</v>
      </c>
      <c r="B31" s="1114"/>
      <c r="C31" s="1114"/>
      <c r="D31" s="1115"/>
      <c r="E31" s="1115"/>
      <c r="F31" s="1115"/>
      <c r="G31" s="1115"/>
      <c r="H31" s="1115">
        <f>(3463*12)/13*0</f>
        <v>0</v>
      </c>
      <c r="I31" s="1115"/>
      <c r="J31" s="1115"/>
      <c r="K31" s="1116">
        <f>-H31</f>
        <v>0</v>
      </c>
      <c r="L31" s="1115">
        <f>SUM(D31:K31)</f>
        <v>0</v>
      </c>
      <c r="M31" s="31"/>
      <c r="N31" s="31"/>
      <c r="O31" s="375" t="s">
        <v>1258</v>
      </c>
      <c r="P31" s="1" t="s">
        <v>1259</v>
      </c>
    </row>
    <row r="32" spans="1:17">
      <c r="A32" s="1" t="s">
        <v>848</v>
      </c>
      <c r="B32" s="1"/>
      <c r="C32" s="1"/>
      <c r="D32" s="31"/>
      <c r="E32" s="31"/>
      <c r="F32" s="31"/>
      <c r="G32" s="31"/>
      <c r="H32" s="31"/>
      <c r="I32" s="31"/>
      <c r="J32" s="31"/>
      <c r="K32" s="346">
        <f>-(MSEA!$D$69/1000)*0</f>
        <v>0</v>
      </c>
      <c r="L32" s="31">
        <f t="shared" si="0"/>
        <v>0</v>
      </c>
      <c r="M32" s="31"/>
      <c r="N32" s="31"/>
      <c r="P32" s="1"/>
    </row>
    <row r="33" spans="1:16">
      <c r="A33" s="1" t="s">
        <v>849</v>
      </c>
      <c r="B33" s="1"/>
      <c r="C33" s="1"/>
      <c r="D33" s="31"/>
      <c r="E33" s="31"/>
      <c r="F33" s="31"/>
      <c r="G33" s="31">
        <f ca="1">-Reconcil!C58</f>
        <v>-1939.5962730769227</v>
      </c>
      <c r="H33" s="31"/>
      <c r="I33" s="31"/>
      <c r="J33" s="31"/>
      <c r="K33" s="31"/>
      <c r="L33" s="31">
        <f t="shared" ca="1" si="0"/>
        <v>-1939.5962730769227</v>
      </c>
      <c r="M33" s="31"/>
      <c r="N33" s="31" t="s">
        <v>850</v>
      </c>
      <c r="P33" s="188"/>
    </row>
    <row r="34" spans="1:16">
      <c r="A34" s="1" t="s">
        <v>851</v>
      </c>
      <c r="B34" s="1"/>
      <c r="C34" s="1"/>
      <c r="D34" s="31"/>
      <c r="E34" s="31"/>
      <c r="F34" s="31"/>
      <c r="G34" s="401">
        <f ca="1">Report!J63*'Input Tax Rate'!B37</f>
        <v>-709.25707949807816</v>
      </c>
      <c r="H34" s="398">
        <f ca="1">Report!J63*'Input Tax Rate'!B36</f>
        <v>-240.78923956705901</v>
      </c>
      <c r="I34" s="31"/>
      <c r="J34" s="31"/>
      <c r="K34" s="31"/>
      <c r="L34" s="31">
        <f t="shared" ca="1" si="0"/>
        <v>-950.04631906513714</v>
      </c>
      <c r="M34" s="31"/>
      <c r="N34" s="31" t="s">
        <v>852</v>
      </c>
      <c r="P34" s="1"/>
    </row>
    <row r="35" spans="1:16" ht="13.5" thickBot="1">
      <c r="A35" s="1" t="s">
        <v>853</v>
      </c>
      <c r="B35" s="1"/>
      <c r="C35" s="1"/>
      <c r="D35" s="31"/>
      <c r="E35" s="31"/>
      <c r="F35" s="31"/>
      <c r="G35" s="31"/>
      <c r="H35" s="31"/>
      <c r="I35" s="31"/>
      <c r="J35" s="31"/>
      <c r="K35" s="31">
        <f>+Report!R71</f>
        <v>0</v>
      </c>
      <c r="L35" s="31">
        <f t="shared" si="0"/>
        <v>0</v>
      </c>
      <c r="M35" s="31"/>
      <c r="N35" s="31" t="s">
        <v>854</v>
      </c>
      <c r="P35" s="1"/>
    </row>
    <row r="36" spans="1:16" ht="13.5" thickBot="1">
      <c r="A36" s="1" t="s">
        <v>855</v>
      </c>
      <c r="B36" s="1"/>
      <c r="C36" s="1"/>
      <c r="D36" s="31"/>
      <c r="E36" s="31"/>
      <c r="F36" s="31"/>
      <c r="G36" s="31"/>
      <c r="H36" s="398">
        <f>Report!J72*'Input Tax Rate'!B36</f>
        <v>0</v>
      </c>
      <c r="I36" s="31"/>
      <c r="J36" s="31"/>
      <c r="K36" s="401">
        <f>Report!J72*'Input Tax Rate'!B37</f>
        <v>0</v>
      </c>
      <c r="L36" s="31">
        <f t="shared" si="0"/>
        <v>0</v>
      </c>
      <c r="M36" s="31"/>
      <c r="N36" s="36" t="s">
        <v>1241</v>
      </c>
      <c r="P36" s="1"/>
    </row>
    <row r="37" spans="1:16">
      <c r="A37" s="1" t="s">
        <v>856</v>
      </c>
      <c r="B37" s="1"/>
      <c r="C37" s="1"/>
      <c r="D37" s="31"/>
      <c r="E37" s="31"/>
      <c r="F37" s="31"/>
      <c r="G37" s="31">
        <v>0</v>
      </c>
      <c r="H37" s="31"/>
      <c r="I37" s="31">
        <f>-G37</f>
        <v>0</v>
      </c>
      <c r="J37" s="31"/>
      <c r="K37" s="31"/>
      <c r="L37" s="31">
        <f t="shared" si="0"/>
        <v>0</v>
      </c>
      <c r="M37" s="31"/>
      <c r="N37" s="31"/>
    </row>
    <row r="38" spans="1:16">
      <c r="A38" s="1" t="s">
        <v>857</v>
      </c>
      <c r="B38" s="1"/>
      <c r="C38" s="1"/>
      <c r="D38" s="31"/>
      <c r="E38" s="31"/>
      <c r="F38" s="31"/>
      <c r="G38" s="247"/>
      <c r="H38" s="31"/>
      <c r="I38" s="31"/>
      <c r="J38" s="31">
        <f ca="1">+Report!T75</f>
        <v>-95323.104253846162</v>
      </c>
      <c r="K38" s="31"/>
      <c r="L38" s="31">
        <f t="shared" ca="1" si="0"/>
        <v>-95323.104253846162</v>
      </c>
      <c r="M38" s="31"/>
      <c r="N38" s="31"/>
    </row>
    <row r="39" spans="1:16">
      <c r="A39" s="1" t="s">
        <v>858</v>
      </c>
      <c r="B39" s="1"/>
      <c r="C39" s="1"/>
      <c r="D39" s="678"/>
      <c r="E39" s="678"/>
      <c r="F39" s="678"/>
      <c r="G39" s="679"/>
      <c r="H39" s="678"/>
      <c r="I39" s="678"/>
      <c r="J39" s="678"/>
      <c r="K39" s="678"/>
      <c r="L39" s="678">
        <f t="shared" ref="L39" si="1">SUM(D39:K39)</f>
        <v>0</v>
      </c>
      <c r="M39" s="31"/>
      <c r="N39" s="31"/>
    </row>
    <row r="40" spans="1:16">
      <c r="A40" s="1" t="s">
        <v>859</v>
      </c>
      <c r="B40" s="1"/>
      <c r="C40" s="1"/>
      <c r="D40" s="31">
        <f ca="1">(-G40-H40)</f>
        <v>-28.307811831862466</v>
      </c>
      <c r="E40" s="31"/>
      <c r="F40" s="31"/>
      <c r="G40" s="420">
        <f ca="1">-Input!B33/1000</f>
        <v>21.133196923076927</v>
      </c>
      <c r="H40" s="420">
        <f ca="1">-Input!B34/1000</f>
        <v>7.1746149087855411</v>
      </c>
      <c r="I40" s="31"/>
      <c r="J40" s="31"/>
      <c r="K40" s="31"/>
      <c r="L40" s="31">
        <f ca="1">SUM(D40:K40)</f>
        <v>0</v>
      </c>
      <c r="M40" s="31"/>
      <c r="N40" s="31"/>
    </row>
    <row r="41" spans="1:16">
      <c r="A41" s="188" t="s">
        <v>28</v>
      </c>
      <c r="D41" s="248"/>
      <c r="E41" s="964"/>
      <c r="F41" s="964"/>
      <c r="G41" s="964"/>
      <c r="H41" s="399">
        <f ca="1">Report!T74*'Input Tax Rate'!B36</f>
        <v>-20907.028499891236</v>
      </c>
      <c r="I41" s="122"/>
      <c r="J41" s="443">
        <f ca="1">Report!T74*'Input Tax Rate'!B37</f>
        <v>-61582.726875493398</v>
      </c>
      <c r="K41" s="122"/>
      <c r="L41" s="122">
        <f ca="1">SUM(D41:K41)</f>
        <v>-82489.75537538463</v>
      </c>
      <c r="M41" s="33"/>
      <c r="N41" s="33"/>
    </row>
    <row r="42" spans="1:16">
      <c r="A42" s="1"/>
      <c r="B42" s="1"/>
      <c r="C42" s="1"/>
      <c r="D42" s="34"/>
      <c r="E42" s="34"/>
      <c r="F42" s="34"/>
      <c r="G42" s="34"/>
      <c r="H42" s="34"/>
      <c r="I42" s="34"/>
      <c r="J42" s="34"/>
      <c r="K42" s="34"/>
      <c r="L42" s="34"/>
      <c r="M42" s="31"/>
      <c r="N42" s="31"/>
    </row>
    <row r="43" spans="1:16">
      <c r="A43" s="1" t="s">
        <v>860</v>
      </c>
      <c r="B43" s="1"/>
      <c r="C43" s="1"/>
      <c r="D43" s="31">
        <f t="shared" ref="D43:L43" ca="1" si="2">SUM(D14:D41)</f>
        <v>-377.78814798570863</v>
      </c>
      <c r="E43" s="31">
        <f t="shared" ca="1" si="2"/>
        <v>-656.67635230768735</v>
      </c>
      <c r="F43" s="31">
        <f t="shared" si="2"/>
        <v>0</v>
      </c>
      <c r="G43" s="31">
        <f t="shared" ca="1" si="2"/>
        <v>-3824.4128110365391</v>
      </c>
      <c r="H43" s="31">
        <f t="shared" ca="1" si="2"/>
        <v>-22095.281066216587</v>
      </c>
      <c r="I43" s="31">
        <f t="shared" si="2"/>
        <v>0</v>
      </c>
      <c r="J43" s="31">
        <f t="shared" ca="1" si="2"/>
        <v>-156905.83112933955</v>
      </c>
      <c r="K43" s="31">
        <f t="shared" ca="1" si="2"/>
        <v>-13714.796889102156</v>
      </c>
      <c r="L43" s="31">
        <f t="shared" ca="1" si="2"/>
        <v>-197574.78639598825</v>
      </c>
      <c r="M43" s="31"/>
      <c r="N43" s="31"/>
    </row>
    <row r="44" spans="1:16"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6" ht="13.5" thickBot="1">
      <c r="A45" s="1" t="s">
        <v>861</v>
      </c>
      <c r="B45" s="1"/>
      <c r="C45" s="1"/>
      <c r="D45" s="31"/>
      <c r="E45" s="31"/>
      <c r="F45" s="31"/>
      <c r="G45" s="31"/>
      <c r="H45" s="31"/>
      <c r="I45" s="31"/>
      <c r="J45" s="31"/>
      <c r="K45" s="31"/>
      <c r="L45" s="32">
        <f ca="1">SUM(L10:L42)</f>
        <v>2024332.4368629705</v>
      </c>
      <c r="M45" s="31"/>
      <c r="N45" s="31">
        <f ca="1">+Report!T83</f>
        <v>2024332.2715839653</v>
      </c>
      <c r="O45" t="s">
        <v>862</v>
      </c>
    </row>
    <row r="46" spans="1:16" ht="14.25" thickTop="1" thickBot="1">
      <c r="A46" s="1"/>
      <c r="B46" s="1"/>
      <c r="C46" s="1"/>
      <c r="D46" s="31"/>
      <c r="E46" s="31"/>
      <c r="F46" s="31"/>
      <c r="G46" s="31"/>
      <c r="H46" s="31"/>
      <c r="I46" s="31"/>
      <c r="J46" s="31"/>
      <c r="K46" s="31"/>
      <c r="L46" s="34"/>
      <c r="M46" s="31"/>
      <c r="N46" s="40">
        <f ca="1">+L45-N45</f>
        <v>0.16527900518849492</v>
      </c>
      <c r="O46" t="s">
        <v>863</v>
      </c>
    </row>
    <row r="49" spans="1:14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</row>
    <row r="51" spans="1:14">
      <c r="A51" s="1"/>
      <c r="B51" s="165"/>
      <c r="C51" s="166" t="str">
        <f>+Report!$A$3</f>
        <v>2023 Budget</v>
      </c>
    </row>
    <row r="52" spans="1:14">
      <c r="A52" s="1"/>
      <c r="B52" s="264" t="str">
        <f>'Bal Sheet'!CI4</f>
        <v>December 2023</v>
      </c>
      <c r="C52" s="167" t="s">
        <v>463</v>
      </c>
    </row>
    <row r="53" spans="1:14" ht="15">
      <c r="B53" s="265" t="s">
        <v>2</v>
      </c>
      <c r="C53" s="16" t="s">
        <v>222</v>
      </c>
    </row>
    <row r="54" spans="1:14" ht="15.75">
      <c r="A54" s="17"/>
      <c r="B54" s="266"/>
      <c r="C54" s="278">
        <f>+'Bal Sheet'!A1</f>
        <v>12</v>
      </c>
    </row>
    <row r="55" spans="1:14" ht="15">
      <c r="A55" s="13" t="s">
        <v>465</v>
      </c>
      <c r="B55" s="267"/>
      <c r="C55" s="15"/>
      <c r="I55" s="5"/>
      <c r="J55" s="5"/>
      <c r="K55" s="5"/>
    </row>
    <row r="56" spans="1:14" ht="15">
      <c r="A56" t="s">
        <v>466</v>
      </c>
      <c r="B56" s="268"/>
      <c r="C56" s="87"/>
      <c r="I56" s="4"/>
      <c r="J56" s="4"/>
      <c r="K56" s="4"/>
      <c r="L56" s="4"/>
      <c r="M56" s="1"/>
      <c r="N56" s="1"/>
    </row>
    <row r="57" spans="1:14" ht="15">
      <c r="A57" t="s">
        <v>467</v>
      </c>
      <c r="B57" s="269">
        <f>(+'Bal Sheet'!CH10)</f>
        <v>3202682.9000000004</v>
      </c>
      <c r="C57" s="226">
        <f ca="1">(+'Bal Sheet'!B10)</f>
        <v>2996394.015214615</v>
      </c>
      <c r="I57" s="2"/>
      <c r="J57" s="2"/>
      <c r="K57" s="2"/>
      <c r="L57" s="2"/>
      <c r="M57" s="1"/>
      <c r="N57" s="1"/>
    </row>
    <row r="58" spans="1:14" ht="15">
      <c r="A58" t="s">
        <v>468</v>
      </c>
      <c r="B58" s="269">
        <f>(+'Bal Sheet'!CH11)</f>
        <v>1939.6</v>
      </c>
      <c r="C58" s="226">
        <f ca="1">(+'Bal Sheet'!B11)</f>
        <v>1939.5962730769227</v>
      </c>
      <c r="I58" s="31"/>
      <c r="J58" s="31"/>
      <c r="K58" s="31"/>
      <c r="L58" s="31"/>
      <c r="M58" s="31"/>
      <c r="N58" s="31"/>
    </row>
    <row r="59" spans="1:14" ht="15">
      <c r="A59" t="s">
        <v>190</v>
      </c>
      <c r="B59" s="270">
        <f>(+'Bal Sheet'!CH12)</f>
        <v>85626.4</v>
      </c>
      <c r="C59" s="227">
        <f ca="1">(+'Bal Sheet'!B12)</f>
        <v>133678.81936153845</v>
      </c>
      <c r="I59" s="33"/>
      <c r="J59" s="33"/>
      <c r="K59" s="33"/>
      <c r="L59" s="33"/>
      <c r="M59" s="33"/>
      <c r="N59" s="33"/>
    </row>
    <row r="60" spans="1:14" ht="15">
      <c r="A60" s="15" t="s">
        <v>469</v>
      </c>
      <c r="B60" s="271">
        <f>(+'Bal Sheet'!CH13)</f>
        <v>5031.8999999999996</v>
      </c>
      <c r="C60" s="228">
        <f ca="1">(+'Bal Sheet'!B13)</f>
        <v>5031.8997876923086</v>
      </c>
      <c r="I60" s="33"/>
      <c r="J60" s="33"/>
      <c r="K60" s="33"/>
      <c r="L60" s="33"/>
      <c r="M60" s="33"/>
      <c r="N60" s="33"/>
    </row>
    <row r="61" spans="1:14" ht="15">
      <c r="B61" s="269"/>
      <c r="C61" s="226"/>
      <c r="I61" s="33"/>
      <c r="J61" s="33"/>
      <c r="K61" s="33"/>
      <c r="L61" s="33"/>
      <c r="M61" s="33"/>
      <c r="N61" s="33"/>
    </row>
    <row r="62" spans="1:14" ht="15">
      <c r="A62" t="s">
        <v>470</v>
      </c>
      <c r="B62" s="270">
        <f>SUM(B57:B60)</f>
        <v>3295280.8000000003</v>
      </c>
      <c r="C62" s="227">
        <f ca="1">SUM(C57:C60)</f>
        <v>3137044.3306369227</v>
      </c>
      <c r="I62" s="31"/>
      <c r="J62" s="31"/>
      <c r="K62" s="31"/>
      <c r="L62" s="31"/>
      <c r="M62" s="31"/>
      <c r="N62" s="31"/>
    </row>
    <row r="63" spans="1:14" ht="15">
      <c r="A63" t="s">
        <v>864</v>
      </c>
      <c r="B63" s="271">
        <f>(+'Bal Sheet'!CH15)</f>
        <v>-894044.49999999988</v>
      </c>
      <c r="C63" s="228">
        <f ca="1">(+'Bal Sheet'!B15)</f>
        <v>-884208.11231846153</v>
      </c>
      <c r="I63" s="31"/>
      <c r="J63" s="31"/>
      <c r="K63" s="31"/>
      <c r="L63" s="31"/>
      <c r="M63" s="31"/>
      <c r="N63" s="31"/>
    </row>
    <row r="64" spans="1:14" ht="15">
      <c r="B64" s="269"/>
      <c r="C64" s="226"/>
      <c r="I64" s="31"/>
      <c r="J64" s="31"/>
      <c r="K64" s="31"/>
      <c r="L64" s="31"/>
      <c r="M64" s="31"/>
      <c r="N64" s="31"/>
    </row>
    <row r="65" spans="1:14" ht="15">
      <c r="A65" s="15" t="s">
        <v>472</v>
      </c>
      <c r="B65" s="269">
        <f>+B62+B63</f>
        <v>2401236.3000000003</v>
      </c>
      <c r="C65" s="226">
        <f ca="1">+C62+C63</f>
        <v>2252836.2183184614</v>
      </c>
      <c r="D65" s="1064"/>
      <c r="E65" s="1064"/>
      <c r="I65" s="31"/>
      <c r="J65" s="31"/>
      <c r="K65" s="31"/>
      <c r="L65" s="31"/>
      <c r="M65" s="31"/>
      <c r="N65" s="31"/>
    </row>
    <row r="66" spans="1:14" ht="15">
      <c r="B66" s="269"/>
      <c r="C66" s="226"/>
      <c r="D66" s="1064"/>
      <c r="E66" s="1064"/>
      <c r="I66" s="31"/>
      <c r="J66" s="31"/>
      <c r="K66" s="31"/>
      <c r="L66" s="31"/>
      <c r="M66" s="31"/>
      <c r="N66" s="31"/>
    </row>
    <row r="67" spans="1:14" ht="15">
      <c r="A67" t="s">
        <v>473</v>
      </c>
      <c r="B67" s="269">
        <f>(+'Bal Sheet'!CH18)</f>
        <v>1524.7</v>
      </c>
      <c r="C67" s="226">
        <f ca="1">(+'Bal Sheet'!B18)</f>
        <v>1196.6926553846154</v>
      </c>
      <c r="I67" s="31"/>
      <c r="J67" s="31"/>
      <c r="K67" s="31"/>
      <c r="L67" s="31"/>
      <c r="M67" s="31"/>
      <c r="N67" s="31"/>
    </row>
    <row r="68" spans="1:14" ht="15">
      <c r="A68" t="s">
        <v>474</v>
      </c>
      <c r="B68" s="270">
        <f>(+'Bal Sheet'!CH19)</f>
        <v>0</v>
      </c>
      <c r="C68" s="227">
        <f ca="1">(+'Bal Sheet'!B19)</f>
        <v>0</v>
      </c>
      <c r="I68" s="31"/>
      <c r="J68" s="31"/>
      <c r="K68" s="31"/>
      <c r="L68" s="31"/>
      <c r="M68" s="31"/>
      <c r="N68" s="31"/>
    </row>
    <row r="69" spans="1:14" ht="15">
      <c r="A69" t="s">
        <v>475</v>
      </c>
      <c r="B69" s="271">
        <f>(+'Bal Sheet'!CH20)</f>
        <v>0</v>
      </c>
      <c r="C69" s="228">
        <f ca="1">(+'Bal Sheet'!B20)</f>
        <v>0</v>
      </c>
      <c r="I69" s="31"/>
      <c r="J69" s="31"/>
      <c r="K69" s="31"/>
      <c r="L69" s="31"/>
      <c r="M69" s="31"/>
      <c r="N69" s="31"/>
    </row>
    <row r="70" spans="1:14" ht="15">
      <c r="B70" s="269"/>
      <c r="C70" s="226"/>
      <c r="I70" s="31"/>
      <c r="J70" s="31"/>
      <c r="K70" s="31"/>
      <c r="L70" s="31"/>
      <c r="M70" s="31"/>
      <c r="N70" s="31"/>
    </row>
    <row r="71" spans="1:14" ht="15">
      <c r="A71" s="13" t="s">
        <v>476</v>
      </c>
      <c r="B71" s="269">
        <f>SUM(B67:B69)</f>
        <v>1524.7</v>
      </c>
      <c r="C71" s="226">
        <f ca="1">SUM(C67:C69)</f>
        <v>1196.6926553846154</v>
      </c>
      <c r="I71" s="31"/>
      <c r="J71" s="31"/>
      <c r="K71" s="31"/>
      <c r="L71" s="31"/>
      <c r="M71" s="31"/>
      <c r="N71" s="31"/>
    </row>
    <row r="72" spans="1:14" ht="15">
      <c r="A72" t="s">
        <v>477</v>
      </c>
      <c r="B72" s="269"/>
      <c r="C72" s="226"/>
      <c r="I72" s="31"/>
      <c r="J72" s="31"/>
      <c r="K72" s="31"/>
      <c r="L72" s="31"/>
      <c r="M72" s="31"/>
      <c r="N72" s="31"/>
    </row>
    <row r="73" spans="1:14" ht="15">
      <c r="A73" t="s">
        <v>478</v>
      </c>
      <c r="B73" s="269">
        <f>(+'Bal Sheet'!CH24)</f>
        <v>1000</v>
      </c>
      <c r="C73" s="226">
        <f ca="1">(+'Bal Sheet'!B24)</f>
        <v>1184.5254784615386</v>
      </c>
      <c r="I73" s="31"/>
      <c r="J73" s="31"/>
      <c r="K73" s="31"/>
      <c r="L73" s="31"/>
      <c r="M73" s="31"/>
      <c r="N73" s="31"/>
    </row>
    <row r="74" spans="1:14" ht="15">
      <c r="A74" t="s">
        <v>479</v>
      </c>
      <c r="B74" s="269">
        <f>(+'Bal Sheet'!CH25)</f>
        <v>0</v>
      </c>
      <c r="C74" s="226">
        <f ca="1">(+'Bal Sheet'!B25)</f>
        <v>0</v>
      </c>
      <c r="I74" s="31"/>
      <c r="J74" s="31"/>
      <c r="K74" s="31"/>
      <c r="L74" s="31"/>
      <c r="M74" s="31"/>
      <c r="N74" s="31"/>
    </row>
    <row r="75" spans="1:14" ht="15">
      <c r="A75" t="s">
        <v>480</v>
      </c>
      <c r="B75" s="269">
        <f>(+'Bal Sheet'!CH26)</f>
        <v>25</v>
      </c>
      <c r="C75" s="226">
        <f ca="1">(+'Bal Sheet'!B26)</f>
        <v>25</v>
      </c>
      <c r="I75" s="31"/>
      <c r="J75" s="31"/>
      <c r="K75" s="31"/>
      <c r="L75" s="31"/>
      <c r="M75" s="31"/>
      <c r="N75" s="177"/>
    </row>
    <row r="76" spans="1:14" ht="15">
      <c r="A76" t="s">
        <v>481</v>
      </c>
      <c r="B76" s="269">
        <f>(+'Bal Sheet'!CH27)</f>
        <v>3</v>
      </c>
      <c r="C76" s="226">
        <f ca="1">(+'Bal Sheet'!B27)</f>
        <v>2.9961538461538462</v>
      </c>
      <c r="I76" s="31"/>
      <c r="J76" s="31"/>
      <c r="K76" s="31"/>
      <c r="L76" s="31"/>
      <c r="M76" s="31"/>
      <c r="N76" s="31"/>
    </row>
    <row r="77" spans="1:14" ht="15">
      <c r="A77" t="s">
        <v>482</v>
      </c>
      <c r="B77" s="269">
        <f>(+'Bal Sheet'!CH28)</f>
        <v>0</v>
      </c>
      <c r="C77" s="226">
        <f ca="1">(+'Bal Sheet'!B28)</f>
        <v>0</v>
      </c>
      <c r="I77" s="31"/>
      <c r="J77" s="31"/>
      <c r="K77" s="31"/>
      <c r="L77" s="31"/>
      <c r="M77" s="31"/>
      <c r="N77" s="31"/>
    </row>
    <row r="78" spans="1:14" ht="15">
      <c r="A78" t="s">
        <v>483</v>
      </c>
      <c r="B78" s="269">
        <f>(+'Bal Sheet'!CH29)</f>
        <v>37820</v>
      </c>
      <c r="C78" s="226">
        <f ca="1">(+'Bal Sheet'!B29)</f>
        <v>37662.945926923079</v>
      </c>
      <c r="I78" s="31"/>
      <c r="J78" s="31"/>
      <c r="K78" s="31"/>
      <c r="L78" s="31"/>
      <c r="M78" s="31"/>
      <c r="N78" s="31"/>
    </row>
    <row r="79" spans="1:14" ht="15">
      <c r="A79" t="s">
        <v>484</v>
      </c>
      <c r="B79" s="269">
        <f>(+'Bal Sheet'!CH30)</f>
        <v>578.60000000000036</v>
      </c>
      <c r="C79" s="226">
        <f ca="1">(+'Bal Sheet'!B30)</f>
        <v>821.61441384615364</v>
      </c>
      <c r="I79" s="31"/>
      <c r="J79" s="31"/>
      <c r="K79" s="31"/>
      <c r="L79" s="31"/>
      <c r="M79" s="31"/>
      <c r="N79" s="31"/>
    </row>
    <row r="80" spans="1:14" ht="15">
      <c r="A80" t="s">
        <v>485</v>
      </c>
      <c r="B80" s="269">
        <f>(+'Bal Sheet'!CH31)</f>
        <v>-631.79999999999995</v>
      </c>
      <c r="C80" s="226">
        <f ca="1">(+'Bal Sheet'!B31)</f>
        <v>-858.19730692307667</v>
      </c>
      <c r="I80" s="31"/>
      <c r="J80" s="37"/>
      <c r="K80" s="37"/>
      <c r="L80" s="31"/>
      <c r="M80" s="31"/>
      <c r="N80" s="31"/>
    </row>
    <row r="81" spans="1:15" ht="15">
      <c r="A81" t="s">
        <v>486</v>
      </c>
      <c r="B81" s="269">
        <f>(+'Bal Sheet'!CH32)</f>
        <v>10135.299999999999</v>
      </c>
      <c r="C81" s="226">
        <f ca="1">(+'Bal Sheet'!B32)</f>
        <v>10078.251204615386</v>
      </c>
      <c r="I81" s="31"/>
      <c r="J81" s="31"/>
      <c r="K81" s="31"/>
      <c r="L81" s="31"/>
      <c r="M81" s="31"/>
      <c r="N81" s="31"/>
    </row>
    <row r="82" spans="1:15" ht="15">
      <c r="A82" t="s">
        <v>487</v>
      </c>
      <c r="B82" s="269">
        <f>(+'Bal Sheet'!CH33)</f>
        <v>3816.8999999999996</v>
      </c>
      <c r="C82" s="226">
        <f ca="1">(+'Bal Sheet'!B33)</f>
        <v>3816.903293076924</v>
      </c>
      <c r="I82" s="31"/>
      <c r="J82" s="31"/>
      <c r="K82" s="31"/>
      <c r="L82" s="31"/>
      <c r="M82" s="31"/>
      <c r="N82" s="31"/>
    </row>
    <row r="83" spans="1:15" ht="15">
      <c r="A83" t="s">
        <v>489</v>
      </c>
      <c r="B83" s="269">
        <f>(+'Bal Sheet'!CH34+'Bal Sheet'!CH35)</f>
        <v>4513.7</v>
      </c>
      <c r="C83" s="226">
        <f ca="1">(+'Bal Sheet'!B34+'Bal Sheet'!B35)</f>
        <v>4568.8649192307694</v>
      </c>
      <c r="I83" s="31"/>
      <c r="J83" s="31"/>
      <c r="K83" s="31"/>
      <c r="L83" s="31"/>
      <c r="M83" s="31"/>
      <c r="N83" s="31"/>
    </row>
    <row r="84" spans="1:15" ht="15">
      <c r="A84" t="s">
        <v>490</v>
      </c>
      <c r="B84" s="269">
        <f>(+'Bal Sheet'!CH36)</f>
        <v>0</v>
      </c>
      <c r="C84" s="226">
        <f ca="1">(+'Bal Sheet'!B36)</f>
        <v>0</v>
      </c>
      <c r="I84" s="31"/>
      <c r="J84" s="31"/>
      <c r="K84" s="31"/>
      <c r="L84" s="31"/>
      <c r="M84" s="31"/>
      <c r="N84" s="31"/>
    </row>
    <row r="85" spans="1:15" ht="15">
      <c r="A85" t="s">
        <v>865</v>
      </c>
      <c r="B85" s="269">
        <f>(+'Bal Sheet'!CH37)</f>
        <v>3998</v>
      </c>
      <c r="C85" s="226">
        <f ca="1">(+'Bal Sheet'!B37)</f>
        <v>4732.4090492307687</v>
      </c>
      <c r="I85" s="31"/>
      <c r="J85" s="31"/>
      <c r="K85" s="31"/>
      <c r="L85" s="31"/>
      <c r="M85" s="31"/>
      <c r="N85" s="31"/>
    </row>
    <row r="86" spans="1:15" ht="15">
      <c r="A86" t="s">
        <v>866</v>
      </c>
      <c r="B86" s="270">
        <f>(+'Bal Sheet'!CH38)</f>
        <v>20750</v>
      </c>
      <c r="C86" s="227">
        <f ca="1">(+'Bal Sheet'!B38)</f>
        <v>19282.212179999999</v>
      </c>
      <c r="I86" s="31"/>
      <c r="J86" s="35"/>
      <c r="K86" s="35"/>
      <c r="L86" s="31"/>
      <c r="M86" s="31"/>
      <c r="N86" s="31"/>
    </row>
    <row r="87" spans="1:15" ht="15">
      <c r="A87" t="s">
        <v>867</v>
      </c>
      <c r="B87" s="271">
        <f>(+'Bal Sheet'!CH39)</f>
        <v>0</v>
      </c>
      <c r="C87" s="228">
        <f ca="1">(+'Bal Sheet'!B39)</f>
        <v>0</v>
      </c>
      <c r="I87" s="33"/>
      <c r="J87" s="33"/>
      <c r="K87" s="33"/>
      <c r="L87" s="33"/>
      <c r="M87" s="33"/>
      <c r="N87" s="33"/>
    </row>
    <row r="88" spans="1:15" ht="15">
      <c r="B88" s="269"/>
      <c r="C88" s="226"/>
      <c r="I88" s="31"/>
      <c r="J88" s="31"/>
      <c r="K88" s="31"/>
      <c r="L88" s="31"/>
      <c r="M88" s="31"/>
      <c r="N88" s="31"/>
      <c r="O88" s="31"/>
    </row>
    <row r="89" spans="1:15" ht="15">
      <c r="A89" s="13" t="s">
        <v>494</v>
      </c>
      <c r="B89" s="269">
        <f>SUM(B73:B87)</f>
        <v>82008.699999999983</v>
      </c>
      <c r="C89" s="226">
        <f ca="1">SUM(C73:C87)</f>
        <v>81317.525312307698</v>
      </c>
      <c r="I89" s="31"/>
      <c r="J89" s="31"/>
      <c r="K89" s="31"/>
      <c r="L89" s="31"/>
      <c r="M89" s="31"/>
      <c r="N89" s="31"/>
      <c r="O89" s="31"/>
    </row>
    <row r="90" spans="1:15" ht="15">
      <c r="A90" t="s">
        <v>495</v>
      </c>
      <c r="B90" s="269"/>
      <c r="C90" s="226"/>
      <c r="I90" s="31"/>
      <c r="J90" s="31"/>
      <c r="K90" s="31"/>
      <c r="L90" s="31"/>
      <c r="M90" s="31"/>
      <c r="N90" s="31"/>
      <c r="O90" s="31"/>
    </row>
    <row r="91" spans="1:15" ht="15">
      <c r="A91" t="s">
        <v>496</v>
      </c>
      <c r="B91" s="269">
        <f>(+'Bal Sheet'!CH43)</f>
        <v>0</v>
      </c>
      <c r="C91" s="226">
        <f ca="1">(+'Bal Sheet'!B43)</f>
        <v>349.48033615384617</v>
      </c>
      <c r="I91" s="31"/>
      <c r="J91" s="31"/>
      <c r="K91" s="31"/>
      <c r="L91" s="31"/>
      <c r="M91" s="31"/>
      <c r="N91" s="31"/>
      <c r="O91" s="31"/>
    </row>
    <row r="92" spans="1:15" ht="15">
      <c r="A92" t="s">
        <v>497</v>
      </c>
      <c r="B92" s="269">
        <f>(+'Bal Sheet'!CH44)</f>
        <v>67943.3</v>
      </c>
      <c r="C92" s="226">
        <f ca="1">(+'Bal Sheet'!B44)</f>
        <v>66497.046850769228</v>
      </c>
      <c r="I92" s="31"/>
      <c r="J92" s="31"/>
      <c r="K92" s="31"/>
      <c r="L92" s="31"/>
      <c r="M92" s="31"/>
      <c r="N92" s="31"/>
      <c r="O92" s="31"/>
    </row>
    <row r="93" spans="1:15" ht="15">
      <c r="A93" t="s">
        <v>498</v>
      </c>
      <c r="B93" s="269">
        <f>(+'Bal Sheet'!CH45)</f>
        <v>0</v>
      </c>
      <c r="C93" s="226">
        <f ca="1">(+'Bal Sheet'!B45)</f>
        <v>0</v>
      </c>
      <c r="I93" s="31"/>
      <c r="J93" s="31"/>
      <c r="K93" s="31"/>
      <c r="L93" s="31"/>
      <c r="M93" s="31"/>
      <c r="N93" s="31"/>
      <c r="O93" s="31"/>
    </row>
    <row r="94" spans="1:15" ht="15">
      <c r="A94" t="s">
        <v>868</v>
      </c>
      <c r="B94" s="269">
        <f>(+'Bal Sheet'!CH46)</f>
        <v>59449.299999999988</v>
      </c>
      <c r="C94" s="226">
        <f ca="1">(+'Bal Sheet'!B46)</f>
        <v>55067.991410769217</v>
      </c>
      <c r="I94" s="31"/>
      <c r="J94" s="31"/>
      <c r="K94" s="31"/>
      <c r="L94" s="31"/>
      <c r="M94" s="31"/>
      <c r="N94" s="31"/>
      <c r="O94" s="31"/>
    </row>
    <row r="95" spans="1:15" ht="15">
      <c r="A95" s="365" t="s">
        <v>500</v>
      </c>
      <c r="B95" s="269">
        <f>(+'Bal Sheet'!CH47)</f>
        <v>1968.1</v>
      </c>
      <c r="C95" s="226">
        <f ca="1">(+'Bal Sheet'!B47)</f>
        <v>491.90769230769223</v>
      </c>
      <c r="I95" s="31"/>
      <c r="J95" s="31"/>
      <c r="K95" s="31"/>
      <c r="L95" s="31"/>
      <c r="M95" s="31"/>
      <c r="N95" s="31"/>
      <c r="O95" s="31"/>
    </row>
    <row r="96" spans="1:15" ht="15">
      <c r="A96" s="365" t="s">
        <v>501</v>
      </c>
      <c r="B96" s="269">
        <f>(+'Bal Sheet'!CH48)</f>
        <v>0</v>
      </c>
      <c r="C96" s="226">
        <f ca="1">(+'Bal Sheet'!B48)</f>
        <v>92.834393076923078</v>
      </c>
      <c r="I96" s="31"/>
      <c r="J96" s="31"/>
      <c r="K96" s="31"/>
      <c r="L96" s="31"/>
      <c r="M96" s="31"/>
      <c r="N96" s="31"/>
      <c r="O96" s="31"/>
    </row>
    <row r="97" spans="1:3" ht="15">
      <c r="A97" t="s">
        <v>502</v>
      </c>
      <c r="B97" s="269">
        <f>(+'Bal Sheet'!CH49)</f>
        <v>0</v>
      </c>
      <c r="C97" s="226">
        <f ca="1">(+'Bal Sheet'!B49)</f>
        <v>0</v>
      </c>
    </row>
    <row r="98" spans="1:3" ht="15">
      <c r="A98" t="s">
        <v>503</v>
      </c>
      <c r="B98" s="269">
        <f>(+'Bal Sheet'!CH50)</f>
        <v>1570.5</v>
      </c>
      <c r="C98" s="226">
        <f ca="1">(+'Bal Sheet'!B50)</f>
        <v>332.51357076923074</v>
      </c>
    </row>
    <row r="99" spans="1:3" ht="15">
      <c r="A99" s="366" t="s">
        <v>869</v>
      </c>
      <c r="B99" s="270">
        <f>(+'Bal Sheet'!CH51)</f>
        <v>0.19999999999708962</v>
      </c>
      <c r="C99" s="227">
        <f ca="1">(+'Bal Sheet'!B51)</f>
        <v>656.67635230768735</v>
      </c>
    </row>
    <row r="100" spans="1:3" ht="15">
      <c r="A100" t="s">
        <v>870</v>
      </c>
      <c r="B100" s="271">
        <f>(+'Bal Sheet'!CH52)</f>
        <v>0</v>
      </c>
      <c r="C100" s="228">
        <f ca="1">(+'Bal Sheet'!B52)</f>
        <v>0</v>
      </c>
    </row>
    <row r="101" spans="1:3" ht="15">
      <c r="B101" s="270"/>
      <c r="C101" s="227"/>
    </row>
    <row r="102" spans="1:3" ht="15">
      <c r="A102" s="15" t="s">
        <v>506</v>
      </c>
      <c r="B102" s="271">
        <f>SUM(B91:B100)</f>
        <v>130931.4</v>
      </c>
      <c r="C102" s="228">
        <f ca="1">SUM(C91:C100)</f>
        <v>123488.45060615381</v>
      </c>
    </row>
    <row r="103" spans="1:3" ht="15.75" thickBot="1">
      <c r="B103" s="272"/>
      <c r="C103" s="229"/>
    </row>
    <row r="104" spans="1:3" ht="15.75" thickTop="1">
      <c r="A104" s="15" t="s">
        <v>507</v>
      </c>
      <c r="B104" s="273">
        <f>+B65+B71+B89+B102</f>
        <v>2615701.1000000006</v>
      </c>
      <c r="C104" s="168">
        <f ca="1">+C65+C71+C89+C102</f>
        <v>2458838.8868923075</v>
      </c>
    </row>
    <row r="105" spans="1:3" ht="15">
      <c r="A105" s="15"/>
      <c r="B105" s="274"/>
      <c r="C105" s="18"/>
    </row>
    <row r="106" spans="1:3" ht="15">
      <c r="A106" s="15"/>
      <c r="B106" s="274"/>
      <c r="C106" s="18"/>
    </row>
    <row r="107" spans="1:3" ht="15.75">
      <c r="A107" s="17"/>
      <c r="B107" s="275"/>
      <c r="C107" s="167" t="str">
        <f>+C51</f>
        <v>2023 Budget</v>
      </c>
    </row>
    <row r="108" spans="1:3" ht="15">
      <c r="A108" s="15" t="s">
        <v>508</v>
      </c>
      <c r="B108" s="264" t="str">
        <f>+B52</f>
        <v>December 2023</v>
      </c>
      <c r="C108" s="167" t="str">
        <f>+C52</f>
        <v>13 Month</v>
      </c>
    </row>
    <row r="109" spans="1:3" ht="15">
      <c r="A109" s="13"/>
      <c r="B109" s="276" t="str">
        <f>+B53</f>
        <v>Actual</v>
      </c>
      <c r="C109" s="230" t="str">
        <f>+C53</f>
        <v>Average</v>
      </c>
    </row>
    <row r="110" spans="1:3" ht="15">
      <c r="A110" t="s">
        <v>871</v>
      </c>
      <c r="B110" s="269"/>
      <c r="C110" s="226"/>
    </row>
    <row r="111" spans="1:3" ht="15">
      <c r="A111" t="s">
        <v>509</v>
      </c>
      <c r="B111" s="269">
        <f>(+'Bal Sheet'!CH59)</f>
        <v>0</v>
      </c>
      <c r="C111" s="226">
        <f>(+'Bal Sheet'!B59)</f>
        <v>0</v>
      </c>
    </row>
    <row r="112" spans="1:3" ht="15">
      <c r="A112" t="s">
        <v>510</v>
      </c>
      <c r="B112" s="269">
        <f>(+'Bal Sheet'!CH60)</f>
        <v>1005550.1000000001</v>
      </c>
      <c r="C112" s="226">
        <f ca="1">(+'Bal Sheet'!B60)</f>
        <v>925357.79762999981</v>
      </c>
    </row>
    <row r="113" spans="1:3" ht="15">
      <c r="A113" t="s">
        <v>511</v>
      </c>
      <c r="B113" s="270">
        <f>(+'Bal Sheet'!CH61)</f>
        <v>125794.1504286448</v>
      </c>
      <c r="C113" s="227">
        <f ca="1">(+'Bal Sheet'!B61)</f>
        <v>123744.46700565725</v>
      </c>
    </row>
    <row r="114" spans="1:3" ht="15">
      <c r="A114" s="15" t="s">
        <v>512</v>
      </c>
      <c r="B114" s="271">
        <f>(+'Bal Sheet'!CH62)</f>
        <v>0</v>
      </c>
      <c r="C114" s="228">
        <f ca="1">(+'Bal Sheet'!B62)</f>
        <v>-21.133196923076923</v>
      </c>
    </row>
    <row r="115" spans="1:3" ht="15">
      <c r="A115" t="s">
        <v>650</v>
      </c>
      <c r="B115" s="269"/>
      <c r="C115" s="226"/>
    </row>
    <row r="116" spans="1:3" ht="15">
      <c r="A116" s="15" t="s">
        <v>513</v>
      </c>
      <c r="B116" s="269">
        <f>SUM(B111:B114)</f>
        <v>1131344.2504286449</v>
      </c>
      <c r="C116" s="226">
        <f ca="1">SUM(C111:C114)</f>
        <v>1049081.1314387338</v>
      </c>
    </row>
    <row r="117" spans="1:3" ht="15">
      <c r="A117" t="s">
        <v>872</v>
      </c>
      <c r="B117" s="269"/>
      <c r="C117" s="226"/>
    </row>
    <row r="118" spans="1:3" ht="15">
      <c r="A118" t="s">
        <v>873</v>
      </c>
      <c r="B118" s="269">
        <f>(+'Bal Sheet'!CH66)</f>
        <v>0</v>
      </c>
      <c r="C118" s="226">
        <f ca="1">(+'Bal Sheet'!B66)</f>
        <v>0</v>
      </c>
    </row>
    <row r="119" spans="1:3" ht="15">
      <c r="A119" t="s">
        <v>555</v>
      </c>
      <c r="B119" s="270">
        <f>(+'Bal Sheet'!CH65)</f>
        <v>825000</v>
      </c>
      <c r="C119" s="227">
        <f ca="1">(+'Bal Sheet'!B65)</f>
        <v>628846.15384615387</v>
      </c>
    </row>
    <row r="120" spans="1:3" ht="15">
      <c r="A120" t="s">
        <v>516</v>
      </c>
      <c r="B120" s="271">
        <f>(+'Bal Sheet'!CH67)</f>
        <v>0</v>
      </c>
      <c r="C120" s="228">
        <f ca="1">(+'Bal Sheet'!B67)</f>
        <v>-1212.331430769231</v>
      </c>
    </row>
    <row r="121" spans="1:3" ht="15">
      <c r="B121" s="270"/>
      <c r="C121" s="227"/>
    </row>
    <row r="122" spans="1:3" ht="15">
      <c r="A122" s="15" t="s">
        <v>517</v>
      </c>
      <c r="B122" s="271">
        <f>SUM(B118:B120)</f>
        <v>825000</v>
      </c>
      <c r="C122" s="228">
        <f ca="1">SUM(C118:C120)</f>
        <v>627633.8224153847</v>
      </c>
    </row>
    <row r="123" spans="1:3" ht="15">
      <c r="B123" s="269"/>
      <c r="C123" s="226"/>
    </row>
    <row r="124" spans="1:3" ht="15">
      <c r="A124" s="13" t="s">
        <v>518</v>
      </c>
      <c r="B124" s="269">
        <f>+B116+B122</f>
        <v>1956344.2504286449</v>
      </c>
      <c r="C124" s="226">
        <f ca="1">+C116+C122</f>
        <v>1676714.9538541185</v>
      </c>
    </row>
    <row r="125" spans="1:3" ht="15">
      <c r="A125" t="s">
        <v>519</v>
      </c>
      <c r="B125" s="269"/>
      <c r="C125" s="226"/>
    </row>
    <row r="126" spans="1:3" ht="15">
      <c r="A126" t="s">
        <v>520</v>
      </c>
      <c r="B126" s="269">
        <f>(+'Bal Sheet'!CH73)</f>
        <v>107765.54957135532</v>
      </c>
      <c r="C126" s="226">
        <f ca="1">(+'Bal Sheet'!B73)</f>
        <v>237829.61571560969</v>
      </c>
    </row>
    <row r="127" spans="1:3" ht="15">
      <c r="A127" t="s">
        <v>521</v>
      </c>
      <c r="B127" s="269">
        <f>(+'Bal Sheet'!CH74)</f>
        <v>61827.69999999999</v>
      </c>
      <c r="C127" s="226">
        <f ca="1">(+'Bal Sheet'!B74)</f>
        <v>60861.055883076937</v>
      </c>
    </row>
    <row r="128" spans="1:3" ht="15">
      <c r="A128" t="s">
        <v>874</v>
      </c>
      <c r="B128" s="269">
        <f>(+'Bal Sheet'!CH75)</f>
        <v>0</v>
      </c>
      <c r="C128" s="226">
        <f ca="1">(+'Bal Sheet'!B75)</f>
        <v>0</v>
      </c>
    </row>
    <row r="129" spans="1:3" ht="15">
      <c r="A129" t="s">
        <v>875</v>
      </c>
      <c r="B129" s="269">
        <f>(+'Bal Sheet'!CH76)</f>
        <v>18916.099999999999</v>
      </c>
      <c r="C129" s="226">
        <f ca="1">(+'Bal Sheet'!B76)</f>
        <v>18046.694266153845</v>
      </c>
    </row>
    <row r="130" spans="1:3" ht="15">
      <c r="A130" t="s">
        <v>876</v>
      </c>
      <c r="B130" s="269">
        <f>(+'Bal Sheet'!CH77)</f>
        <v>600</v>
      </c>
      <c r="C130" s="226">
        <f ca="1">(+'Bal Sheet'!B77)</f>
        <v>608.84615384615381</v>
      </c>
    </row>
    <row r="131" spans="1:3" ht="15">
      <c r="A131" t="s">
        <v>525</v>
      </c>
      <c r="B131" s="269">
        <f>(+'Bal Sheet'!CH78)</f>
        <v>4810</v>
      </c>
      <c r="C131" s="226">
        <f ca="1">(+'Bal Sheet'!B78)</f>
        <v>11955.175672307691</v>
      </c>
    </row>
    <row r="132" spans="1:3" ht="15">
      <c r="A132" t="s">
        <v>526</v>
      </c>
      <c r="B132" s="269">
        <f>(+'Bal Sheet'!CH79)</f>
        <v>0</v>
      </c>
      <c r="C132" s="226">
        <f ca="1">(+'Bal Sheet'!B79)</f>
        <v>565.38590999999985</v>
      </c>
    </row>
    <row r="133" spans="1:3" ht="15">
      <c r="A133" t="s">
        <v>527</v>
      </c>
      <c r="B133" s="269">
        <f>(+'Bal Sheet'!CH80)</f>
        <v>8206.7000000000007</v>
      </c>
      <c r="C133" s="226">
        <f ca="1">(+'Bal Sheet'!B80)</f>
        <v>7272.3621877388032</v>
      </c>
    </row>
    <row r="134" spans="1:3" ht="15">
      <c r="A134" t="s">
        <v>528</v>
      </c>
      <c r="B134" s="269">
        <f>(+'Bal Sheet'!CH81)</f>
        <v>0</v>
      </c>
      <c r="C134" s="226">
        <f ca="1">(+'Bal Sheet'!B81)</f>
        <v>0</v>
      </c>
    </row>
    <row r="135" spans="1:3" ht="15">
      <c r="A135" t="s">
        <v>877</v>
      </c>
      <c r="B135" s="269">
        <f>(+'Bal Sheet'!CH82)</f>
        <v>976.4</v>
      </c>
      <c r="C135" s="226">
        <f ca="1">(+'Bal Sheet'!B82)</f>
        <v>896.77449923076915</v>
      </c>
    </row>
    <row r="136" spans="1:3" ht="15">
      <c r="A136" t="s">
        <v>878</v>
      </c>
      <c r="B136" s="269">
        <f>(+'Bal Sheet'!CH83)</f>
        <v>46.5</v>
      </c>
      <c r="C136" s="226">
        <f ca="1">(+'Bal Sheet'!B83)</f>
        <v>50.095874615384623</v>
      </c>
    </row>
    <row r="137" spans="1:3" ht="15">
      <c r="A137" s="365" t="s">
        <v>531</v>
      </c>
      <c r="B137" s="269">
        <f>(+'Bal Sheet'!CH84)</f>
        <v>0</v>
      </c>
      <c r="C137" s="226">
        <f ca="1">(+'Bal Sheet'!B84)</f>
        <v>1026.7875384615386</v>
      </c>
    </row>
    <row r="138" spans="1:3" ht="15">
      <c r="A138" s="365" t="s">
        <v>532</v>
      </c>
      <c r="B138" s="269">
        <f>(+'Bal Sheet'!CH85)</f>
        <v>298.60000000000002</v>
      </c>
      <c r="C138" s="226">
        <f ca="1">(+'Bal Sheet'!B85)</f>
        <v>295.95384615384614</v>
      </c>
    </row>
    <row r="139" spans="1:3" ht="15">
      <c r="A139" s="599" t="s">
        <v>533</v>
      </c>
      <c r="B139" s="269">
        <f>(+'Bal Sheet'!CH86)</f>
        <v>0</v>
      </c>
      <c r="C139" s="226">
        <f ca="1">(+'Bal Sheet'!B86)</f>
        <v>0</v>
      </c>
    </row>
    <row r="140" spans="1:3" ht="15">
      <c r="A140" t="s">
        <v>879</v>
      </c>
      <c r="B140" s="270">
        <f>(+'Bal Sheet'!CH87)</f>
        <v>0</v>
      </c>
      <c r="C140" s="227">
        <f ca="1">(+'Bal Sheet'!B87)</f>
        <v>0</v>
      </c>
    </row>
    <row r="141" spans="1:3" ht="15">
      <c r="A141" s="15" t="s">
        <v>535</v>
      </c>
      <c r="B141" s="271">
        <f>(+'Bal Sheet'!CH88)+B164</f>
        <v>7373.2000000000007</v>
      </c>
      <c r="C141" s="228">
        <f ca="1">(+'Bal Sheet'!B88)+C164</f>
        <v>9838.9312830769231</v>
      </c>
    </row>
    <row r="142" spans="1:3" ht="15">
      <c r="B142" s="269"/>
      <c r="C142" s="226"/>
    </row>
    <row r="143" spans="1:3" ht="15">
      <c r="A143" s="13" t="s">
        <v>536</v>
      </c>
      <c r="B143" s="269">
        <f>SUM(B126:B141)</f>
        <v>210820.74957135535</v>
      </c>
      <c r="C143" s="226">
        <f ca="1">SUM(C126:C141)</f>
        <v>349247.67883027159</v>
      </c>
    </row>
    <row r="144" spans="1:3" ht="15">
      <c r="A144" t="s">
        <v>880</v>
      </c>
      <c r="B144" s="269"/>
      <c r="C144" s="226"/>
    </row>
    <row r="145" spans="1:3" ht="15">
      <c r="A145" t="s">
        <v>540</v>
      </c>
      <c r="B145" s="269">
        <f>(+'Bal Sheet'!CH95)</f>
        <v>267795.19999999995</v>
      </c>
      <c r="C145" s="226">
        <f ca="1">(+'Bal Sheet'!B95)</f>
        <v>252526.2686507692</v>
      </c>
    </row>
    <row r="146" spans="1:3" ht="15">
      <c r="A146" s="382" t="s">
        <v>881</v>
      </c>
      <c r="B146" s="269">
        <f>(+'Bal Sheet'!CH96)</f>
        <v>89265.3</v>
      </c>
      <c r="C146" s="226">
        <f ca="1">(+'Bal Sheet'!B96)</f>
        <v>89323.388394615395</v>
      </c>
    </row>
    <row r="147" spans="1:3" ht="15">
      <c r="A147" s="382" t="s">
        <v>1225</v>
      </c>
      <c r="B147" s="269">
        <f>(+'Bal Sheet'!CH98)</f>
        <v>3313.3</v>
      </c>
      <c r="C147" s="226">
        <f ca="1">(+'Bal Sheet'!B98)</f>
        <v>3058.4307692307698</v>
      </c>
    </row>
    <row r="148" spans="1:3" ht="15">
      <c r="A148" t="s">
        <v>542</v>
      </c>
      <c r="B148" s="269"/>
      <c r="C148" s="226"/>
    </row>
    <row r="149" spans="1:3" ht="15">
      <c r="A149" t="s">
        <v>538</v>
      </c>
      <c r="B149" s="269">
        <f>(+'Bal Sheet'!CH93)</f>
        <v>20000</v>
      </c>
      <c r="C149" s="226">
        <f ca="1">(+'Bal Sheet'!B93)</f>
        <v>20193.869724615386</v>
      </c>
    </row>
    <row r="150" spans="1:3" ht="15">
      <c r="A150" t="s">
        <v>98</v>
      </c>
      <c r="B150" s="270">
        <f>(+'Bal Sheet'!CH92)</f>
        <v>28351.200000000001</v>
      </c>
      <c r="C150" s="227">
        <f ca="1">(+'Bal Sheet'!B92)</f>
        <v>28292.670696923069</v>
      </c>
    </row>
    <row r="151" spans="1:3" ht="15">
      <c r="A151" s="15" t="s">
        <v>539</v>
      </c>
      <c r="B151" s="271">
        <f>(+'Bal Sheet'!CH94)</f>
        <v>4393.9000000000005</v>
      </c>
      <c r="C151" s="228">
        <f ca="1">(+'Bal Sheet'!B94)</f>
        <v>4215.9631884615383</v>
      </c>
    </row>
    <row r="152" spans="1:3" ht="15">
      <c r="B152" s="269"/>
      <c r="C152" s="226"/>
    </row>
    <row r="153" spans="1:3" ht="15">
      <c r="A153" s="13" t="s">
        <v>543</v>
      </c>
      <c r="B153" s="269">
        <f>SUM(B145:B151)</f>
        <v>413118.89999999997</v>
      </c>
      <c r="C153" s="226">
        <f ca="1">SUM(C145:C151)</f>
        <v>397610.5914246153</v>
      </c>
    </row>
    <row r="154" spans="1:3" ht="15">
      <c r="A154" t="s">
        <v>882</v>
      </c>
      <c r="B154" s="269"/>
      <c r="C154" s="226"/>
    </row>
    <row r="155" spans="1:3" ht="15">
      <c r="A155" t="s">
        <v>544</v>
      </c>
      <c r="B155" s="270">
        <f>(+'Bal Sheet'!CH101)</f>
        <v>35417.4</v>
      </c>
      <c r="C155" s="227">
        <f ca="1">(+'Bal Sheet'!B101)</f>
        <v>35265.828062307686</v>
      </c>
    </row>
    <row r="156" spans="1:3" ht="15">
      <c r="A156" t="s">
        <v>545</v>
      </c>
      <c r="B156" s="271">
        <f>(+'Bal Sheet'!CH102)</f>
        <v>0</v>
      </c>
      <c r="C156" s="228">
        <f ca="1">(+'Bal Sheet'!B102)</f>
        <v>0</v>
      </c>
    </row>
    <row r="157" spans="1:3" ht="15">
      <c r="B157" s="270"/>
      <c r="C157" s="227"/>
    </row>
    <row r="158" spans="1:3" ht="15">
      <c r="A158" s="15" t="s">
        <v>546</v>
      </c>
      <c r="B158" s="271">
        <f>+B155+B156</f>
        <v>35417.4</v>
      </c>
      <c r="C158" s="228">
        <f ca="1">+C155+C156</f>
        <v>35265.828062307686</v>
      </c>
    </row>
    <row r="159" spans="1:3" ht="15.75" thickBot="1">
      <c r="B159" s="272"/>
      <c r="C159" s="229"/>
    </row>
    <row r="160" spans="1:3" ht="15.75" thickTop="1">
      <c r="A160" s="87" t="s">
        <v>547</v>
      </c>
      <c r="B160" s="273">
        <f>+B124+B143+B153+B158</f>
        <v>2615701.3000000003</v>
      </c>
      <c r="C160" s="168">
        <f ca="1">+C124+C143+C153+C158</f>
        <v>2458839.0521713127</v>
      </c>
    </row>
    <row r="161" spans="1:14" ht="15">
      <c r="A161" s="24"/>
      <c r="B161" s="277"/>
      <c r="C161" s="153"/>
    </row>
    <row r="162" spans="1:14" ht="15">
      <c r="A162" s="24" t="s">
        <v>199</v>
      </c>
      <c r="B162" s="277">
        <f>+B160-B104</f>
        <v>0.19999999972060323</v>
      </c>
      <c r="C162" s="153">
        <f ca="1">+C160-C104</f>
        <v>0.16527900518849492</v>
      </c>
    </row>
    <row r="163" spans="1:14" ht="15.75">
      <c r="A163" s="24"/>
      <c r="B163" s="249"/>
      <c r="C163" s="249"/>
    </row>
    <row r="164" spans="1:14">
      <c r="A164" s="201" t="s">
        <v>883</v>
      </c>
      <c r="B164" s="250">
        <v>1</v>
      </c>
      <c r="C164" s="250">
        <v>1</v>
      </c>
    </row>
    <row r="169" spans="1:14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</row>
    <row r="172" spans="1:14">
      <c r="A172" s="119" t="s">
        <v>884</v>
      </c>
      <c r="B172" s="3" t="s">
        <v>885</v>
      </c>
      <c r="C172" s="3"/>
      <c r="D172" s="1"/>
      <c r="E172" s="162" t="str">
        <f>+Report!A3</f>
        <v>2023 Budget</v>
      </c>
      <c r="F172" s="1"/>
      <c r="G172" s="1"/>
      <c r="H172" s="1"/>
    </row>
    <row r="173" spans="1:14">
      <c r="A173" s="1"/>
      <c r="B173" s="3"/>
      <c r="C173" s="3"/>
      <c r="D173" s="1"/>
      <c r="E173" s="1"/>
      <c r="F173" s="1"/>
      <c r="G173" s="1"/>
      <c r="H173" s="1"/>
    </row>
    <row r="174" spans="1:14">
      <c r="A174" s="1"/>
      <c r="B174" s="85" t="s">
        <v>247</v>
      </c>
      <c r="C174" s="282" t="s">
        <v>207</v>
      </c>
      <c r="D174" s="1"/>
      <c r="E174" s="1"/>
      <c r="G174" s="2" t="s">
        <v>247</v>
      </c>
      <c r="H174" s="282" t="s">
        <v>207</v>
      </c>
    </row>
    <row r="175" spans="1:14">
      <c r="A175" s="4" t="s">
        <v>819</v>
      </c>
      <c r="B175" s="163" t="s">
        <v>886</v>
      </c>
      <c r="C175" s="283" t="s">
        <v>886</v>
      </c>
      <c r="D175" s="1"/>
      <c r="E175" s="4" t="s">
        <v>819</v>
      </c>
      <c r="G175" s="4" t="s">
        <v>887</v>
      </c>
      <c r="H175" s="283" t="s">
        <v>887</v>
      </c>
    </row>
    <row r="176" spans="1:14">
      <c r="A176" s="1" t="s">
        <v>888</v>
      </c>
      <c r="B176" s="231">
        <f ca="1">C67</f>
        <v>1196.6926553846154</v>
      </c>
      <c r="C176" s="282">
        <f>B67</f>
        <v>1524.7</v>
      </c>
      <c r="D176" s="1"/>
      <c r="E176" s="2"/>
      <c r="G176" s="2"/>
      <c r="H176" s="282"/>
    </row>
    <row r="177" spans="1:8">
      <c r="A177" s="1" t="s">
        <v>889</v>
      </c>
      <c r="B177" s="231">
        <f ca="1">C68</f>
        <v>0</v>
      </c>
      <c r="C177" s="279">
        <f>B68</f>
        <v>0</v>
      </c>
      <c r="D177" s="1"/>
      <c r="E177" s="3" t="s">
        <v>890</v>
      </c>
      <c r="G177" s="231">
        <f ca="1">C127</f>
        <v>60861.055883076937</v>
      </c>
      <c r="H177" s="279">
        <f>B127</f>
        <v>61827.69999999999</v>
      </c>
    </row>
    <row r="178" spans="1:8">
      <c r="A178" s="1" t="s">
        <v>891</v>
      </c>
      <c r="B178" s="231">
        <f ca="1">C69</f>
        <v>0</v>
      </c>
      <c r="C178" s="279">
        <f>B69</f>
        <v>0</v>
      </c>
      <c r="D178" s="1"/>
      <c r="E178" s="3" t="s">
        <v>892</v>
      </c>
      <c r="G178" s="231">
        <f ca="1">C128</f>
        <v>0</v>
      </c>
      <c r="H178" s="279">
        <f>B128</f>
        <v>0</v>
      </c>
    </row>
    <row r="179" spans="1:8">
      <c r="A179" s="1" t="s">
        <v>893</v>
      </c>
      <c r="B179" s="231">
        <f t="shared" ref="B179:B189" ca="1" si="3">C73</f>
        <v>1184.5254784615386</v>
      </c>
      <c r="C179" s="279">
        <f t="shared" ref="C179:C189" si="4">B73</f>
        <v>1000</v>
      </c>
      <c r="D179" s="1"/>
      <c r="E179" s="3" t="s">
        <v>894</v>
      </c>
      <c r="G179" s="231">
        <f ca="1">C129</f>
        <v>18046.694266153845</v>
      </c>
      <c r="H179" s="279">
        <f>B129</f>
        <v>18916.099999999999</v>
      </c>
    </row>
    <row r="180" spans="1:8">
      <c r="A180" s="1" t="s">
        <v>895</v>
      </c>
      <c r="B180" s="231">
        <f t="shared" ca="1" si="3"/>
        <v>0</v>
      </c>
      <c r="C180" s="279">
        <f t="shared" si="4"/>
        <v>0</v>
      </c>
      <c r="D180" s="1"/>
      <c r="E180" s="3" t="s">
        <v>896</v>
      </c>
      <c r="G180" s="231">
        <f ca="1">C131</f>
        <v>11955.175672307691</v>
      </c>
      <c r="H180" s="279">
        <f>B131</f>
        <v>4810</v>
      </c>
    </row>
    <row r="181" spans="1:8">
      <c r="A181" s="1" t="s">
        <v>897</v>
      </c>
      <c r="B181" s="231">
        <f t="shared" ca="1" si="3"/>
        <v>25</v>
      </c>
      <c r="C181" s="279">
        <f t="shared" si="4"/>
        <v>25</v>
      </c>
      <c r="D181" s="1"/>
      <c r="E181" s="3" t="s">
        <v>898</v>
      </c>
      <c r="G181" s="231">
        <f ca="1">C132</f>
        <v>565.38590999999985</v>
      </c>
      <c r="H181" s="279">
        <f>B132</f>
        <v>0</v>
      </c>
    </row>
    <row r="182" spans="1:8">
      <c r="A182" s="1" t="s">
        <v>899</v>
      </c>
      <c r="B182" s="231">
        <f t="shared" ca="1" si="3"/>
        <v>2.9961538461538462</v>
      </c>
      <c r="C182" s="279">
        <f t="shared" si="4"/>
        <v>3</v>
      </c>
      <c r="D182" s="1"/>
      <c r="E182" s="3" t="s">
        <v>900</v>
      </c>
      <c r="G182" s="231">
        <f ca="1">C133</f>
        <v>7272.3621877388032</v>
      </c>
      <c r="H182" s="279">
        <f>B133</f>
        <v>8206.7000000000007</v>
      </c>
    </row>
    <row r="183" spans="1:8">
      <c r="A183" s="1" t="s">
        <v>901</v>
      </c>
      <c r="B183" s="231">
        <f t="shared" ca="1" si="3"/>
        <v>0</v>
      </c>
      <c r="C183" s="279">
        <f t="shared" si="4"/>
        <v>0</v>
      </c>
      <c r="D183" s="1"/>
      <c r="E183" s="3" t="s">
        <v>844</v>
      </c>
      <c r="G183" s="231">
        <f ca="1">C134</f>
        <v>0</v>
      </c>
      <c r="H183" s="279">
        <f>B134</f>
        <v>0</v>
      </c>
    </row>
    <row r="184" spans="1:8">
      <c r="A184" s="1" t="s">
        <v>902</v>
      </c>
      <c r="B184" s="231">
        <f t="shared" ca="1" si="3"/>
        <v>37662.945926923079</v>
      </c>
      <c r="C184" s="279">
        <f t="shared" si="4"/>
        <v>37820</v>
      </c>
      <c r="D184" s="1"/>
      <c r="E184" s="3" t="s">
        <v>903</v>
      </c>
      <c r="G184" s="231">
        <f ca="1">C135</f>
        <v>896.77449923076915</v>
      </c>
      <c r="H184" s="279">
        <f>B135</f>
        <v>976.4</v>
      </c>
    </row>
    <row r="185" spans="1:8">
      <c r="A185" s="1" t="s">
        <v>904</v>
      </c>
      <c r="B185" s="231">
        <f t="shared" ca="1" si="3"/>
        <v>821.61441384615364</v>
      </c>
      <c r="C185" s="279">
        <f t="shared" si="4"/>
        <v>578.60000000000036</v>
      </c>
      <c r="D185" s="1"/>
      <c r="E185" s="337" t="s">
        <v>905</v>
      </c>
      <c r="F185" s="207"/>
      <c r="G185" s="367">
        <f ca="1">C137</f>
        <v>1026.7875384615386</v>
      </c>
      <c r="H185" s="368">
        <f>B137</f>
        <v>0</v>
      </c>
    </row>
    <row r="186" spans="1:8">
      <c r="A186" s="1" t="s">
        <v>906</v>
      </c>
      <c r="B186" s="231">
        <f t="shared" ca="1" si="3"/>
        <v>-858.19730692307667</v>
      </c>
      <c r="C186" s="279">
        <f t="shared" si="4"/>
        <v>-631.79999999999995</v>
      </c>
      <c r="D186" s="1"/>
      <c r="E186" s="337" t="s">
        <v>907</v>
      </c>
      <c r="F186" s="207"/>
      <c r="G186" s="367">
        <f ca="1">C138</f>
        <v>295.95384615384614</v>
      </c>
      <c r="H186" s="368">
        <f>B138</f>
        <v>298.60000000000002</v>
      </c>
    </row>
    <row r="187" spans="1:8">
      <c r="A187" s="1" t="s">
        <v>908</v>
      </c>
      <c r="B187" s="231">
        <f t="shared" ca="1" si="3"/>
        <v>10078.251204615386</v>
      </c>
      <c r="C187" s="279">
        <f t="shared" si="4"/>
        <v>10135.299999999999</v>
      </c>
      <c r="D187" s="1"/>
      <c r="E187" s="1" t="s">
        <v>909</v>
      </c>
      <c r="G187" s="231">
        <f ca="1">C139</f>
        <v>0</v>
      </c>
      <c r="H187" s="279">
        <f>B139</f>
        <v>0</v>
      </c>
    </row>
    <row r="188" spans="1:8">
      <c r="A188" s="1" t="s">
        <v>910</v>
      </c>
      <c r="B188" s="231">
        <f t="shared" ca="1" si="3"/>
        <v>3816.903293076924</v>
      </c>
      <c r="C188" s="279">
        <f t="shared" si="4"/>
        <v>3816.8999999999996</v>
      </c>
      <c r="D188" s="1"/>
      <c r="E188" s="3" t="s">
        <v>911</v>
      </c>
      <c r="G188" s="231">
        <f ca="1">C141</f>
        <v>9838.9312830769231</v>
      </c>
      <c r="H188" s="279">
        <f>B141</f>
        <v>7373.2000000000007</v>
      </c>
    </row>
    <row r="189" spans="1:8">
      <c r="A189" s="1" t="s">
        <v>912</v>
      </c>
      <c r="B189" s="231">
        <f t="shared" ca="1" si="3"/>
        <v>4568.8649192307694</v>
      </c>
      <c r="C189" s="279">
        <f t="shared" si="4"/>
        <v>4513.7</v>
      </c>
      <c r="D189" s="1"/>
      <c r="E189" s="3" t="s">
        <v>847</v>
      </c>
      <c r="G189" s="231">
        <f ca="1">C151</f>
        <v>4215.9631884615383</v>
      </c>
      <c r="H189" s="279">
        <f>B151</f>
        <v>4393.9000000000005</v>
      </c>
    </row>
    <row r="190" spans="1:8">
      <c r="A190" s="1" t="s">
        <v>913</v>
      </c>
      <c r="B190" s="231">
        <f t="shared" ref="B190:B193" ca="1" si="5">C84</f>
        <v>0</v>
      </c>
      <c r="C190" s="279">
        <f t="shared" ref="C190:C193" si="6">B84</f>
        <v>0</v>
      </c>
      <c r="D190" s="1"/>
      <c r="E190" s="3" t="s">
        <v>914</v>
      </c>
      <c r="G190" s="231">
        <f ca="1">C158</f>
        <v>35265.828062307686</v>
      </c>
      <c r="H190" s="279">
        <f>B158</f>
        <v>35417.4</v>
      </c>
    </row>
    <row r="191" spans="1:8">
      <c r="A191" s="1" t="s">
        <v>915</v>
      </c>
      <c r="B191" s="231">
        <f t="shared" ca="1" si="5"/>
        <v>4732.4090492307687</v>
      </c>
      <c r="C191" s="284">
        <f t="shared" si="6"/>
        <v>3998</v>
      </c>
      <c r="D191" s="1"/>
      <c r="E191" s="3" t="s">
        <v>916</v>
      </c>
      <c r="G191" s="231">
        <f ca="1">C140</f>
        <v>0</v>
      </c>
      <c r="H191" s="279">
        <f>B140</f>
        <v>0</v>
      </c>
    </row>
    <row r="192" spans="1:8">
      <c r="A192" s="1" t="s">
        <v>917</v>
      </c>
      <c r="B192" s="231">
        <f t="shared" ca="1" si="5"/>
        <v>19282.212179999999</v>
      </c>
      <c r="C192" s="284">
        <f t="shared" si="6"/>
        <v>20750</v>
      </c>
      <c r="D192" s="1"/>
      <c r="E192" s="3"/>
      <c r="F192" s="231"/>
      <c r="G192" s="231"/>
      <c r="H192" s="284"/>
    </row>
    <row r="193" spans="1:9">
      <c r="A193" s="1" t="s">
        <v>918</v>
      </c>
      <c r="B193" s="231">
        <f t="shared" ca="1" si="5"/>
        <v>0</v>
      </c>
      <c r="C193" s="284">
        <f t="shared" si="6"/>
        <v>0</v>
      </c>
      <c r="D193" s="1"/>
      <c r="E193" s="3"/>
      <c r="F193" s="231"/>
      <c r="G193" s="231"/>
      <c r="H193" s="284"/>
    </row>
    <row r="194" spans="1:9">
      <c r="A194" s="1" t="s">
        <v>919</v>
      </c>
      <c r="B194" s="231">
        <f ca="1">C91</f>
        <v>349.48033615384617</v>
      </c>
      <c r="C194" s="284">
        <f>B91</f>
        <v>0</v>
      </c>
      <c r="D194" s="1"/>
      <c r="E194" s="3"/>
      <c r="F194" s="231"/>
      <c r="G194" s="231"/>
      <c r="H194" s="284"/>
    </row>
    <row r="195" spans="1:9">
      <c r="A195" s="361" t="s">
        <v>920</v>
      </c>
      <c r="B195" s="367">
        <f ca="1">C92*0</f>
        <v>0</v>
      </c>
      <c r="C195" s="284">
        <f>B92*0</f>
        <v>0</v>
      </c>
      <c r="D195" s="1"/>
      <c r="E195" s="3"/>
      <c r="F195" s="231"/>
      <c r="G195" s="231"/>
      <c r="H195" s="284"/>
    </row>
    <row r="196" spans="1:9">
      <c r="A196" s="1" t="s">
        <v>921</v>
      </c>
      <c r="B196" s="231">
        <f t="shared" ref="B196:B203" ca="1" si="7">C93</f>
        <v>0</v>
      </c>
      <c r="C196" s="284">
        <f t="shared" ref="C196:C203" si="8">B93</f>
        <v>0</v>
      </c>
      <c r="D196" s="1"/>
      <c r="E196" s="1"/>
      <c r="F196" s="231"/>
      <c r="G196" s="231"/>
      <c r="H196" s="284"/>
    </row>
    <row r="197" spans="1:9">
      <c r="A197" s="1" t="s">
        <v>922</v>
      </c>
      <c r="B197" s="231">
        <f t="shared" ca="1" si="7"/>
        <v>55067.991410769217</v>
      </c>
      <c r="C197" s="284">
        <f t="shared" si="8"/>
        <v>59449.299999999988</v>
      </c>
      <c r="D197" s="1"/>
      <c r="E197" s="3"/>
      <c r="F197" s="231"/>
      <c r="G197" s="231"/>
      <c r="H197" s="284"/>
    </row>
    <row r="198" spans="1:9">
      <c r="A198" s="337" t="s">
        <v>923</v>
      </c>
      <c r="B198" s="231">
        <f t="shared" ca="1" si="7"/>
        <v>491.90769230769223</v>
      </c>
      <c r="C198" s="284">
        <f t="shared" si="8"/>
        <v>1968.1</v>
      </c>
      <c r="D198" s="1"/>
      <c r="E198" s="3"/>
      <c r="F198" s="231"/>
      <c r="G198" s="231"/>
      <c r="H198" s="284"/>
    </row>
    <row r="199" spans="1:9">
      <c r="A199" s="337" t="s">
        <v>924</v>
      </c>
      <c r="B199" s="231">
        <f t="shared" ca="1" si="7"/>
        <v>92.834393076923078</v>
      </c>
      <c r="C199" s="284">
        <f t="shared" si="8"/>
        <v>0</v>
      </c>
      <c r="D199" s="1"/>
      <c r="E199" s="3"/>
      <c r="F199" s="231"/>
      <c r="G199" s="231"/>
      <c r="H199" s="284"/>
    </row>
    <row r="200" spans="1:9">
      <c r="A200" s="1" t="s">
        <v>925</v>
      </c>
      <c r="B200" s="231">
        <f t="shared" ca="1" si="7"/>
        <v>0</v>
      </c>
      <c r="C200" s="285">
        <f t="shared" si="8"/>
        <v>0</v>
      </c>
      <c r="D200" s="1"/>
      <c r="E200" s="3"/>
      <c r="F200" s="231"/>
      <c r="G200" s="231"/>
      <c r="H200" s="284"/>
    </row>
    <row r="201" spans="1:9">
      <c r="A201" s="1" t="s">
        <v>926</v>
      </c>
      <c r="B201" s="231">
        <f t="shared" ca="1" si="7"/>
        <v>332.51357076923074</v>
      </c>
      <c r="C201" s="284">
        <f t="shared" si="8"/>
        <v>1570.5</v>
      </c>
      <c r="D201" s="1"/>
      <c r="F201" s="89"/>
      <c r="G201" s="89"/>
      <c r="H201" s="285"/>
    </row>
    <row r="202" spans="1:9">
      <c r="A202" s="361" t="s">
        <v>927</v>
      </c>
      <c r="B202" s="367">
        <f t="shared" ca="1" si="7"/>
        <v>656.67635230768735</v>
      </c>
      <c r="C202" s="284">
        <f t="shared" si="8"/>
        <v>0.19999999999708962</v>
      </c>
      <c r="D202" s="1"/>
      <c r="E202" s="1"/>
      <c r="F202" s="231"/>
      <c r="G202" s="231"/>
      <c r="H202" s="284"/>
    </row>
    <row r="203" spans="1:9">
      <c r="A203" s="1" t="s">
        <v>928</v>
      </c>
      <c r="B203" s="231">
        <f t="shared" ca="1" si="7"/>
        <v>0</v>
      </c>
      <c r="C203" s="279">
        <f t="shared" si="8"/>
        <v>0</v>
      </c>
      <c r="D203" s="1"/>
      <c r="E203" s="1"/>
      <c r="F203" s="231"/>
      <c r="G203" s="231"/>
      <c r="H203" s="284"/>
    </row>
    <row r="204" spans="1:9">
      <c r="A204" s="1"/>
      <c r="B204" s="231"/>
      <c r="C204" s="279"/>
      <c r="D204" s="1"/>
      <c r="F204" s="3"/>
      <c r="G204" s="231"/>
      <c r="H204" s="279"/>
    </row>
    <row r="205" spans="1:9">
      <c r="A205" s="1"/>
      <c r="B205" s="232"/>
      <c r="C205" s="280"/>
      <c r="D205" s="1"/>
      <c r="F205" s="3"/>
      <c r="G205" s="231"/>
      <c r="H205" s="279"/>
    </row>
    <row r="206" spans="1:9" ht="13.5" thickBot="1">
      <c r="A206" s="2" t="s">
        <v>230</v>
      </c>
      <c r="B206" s="233">
        <f ca="1">SUM(B176:B203)</f>
        <v>139505.62172307691</v>
      </c>
      <c r="C206" s="281">
        <f>SUM(C176:C203)</f>
        <v>146521.5</v>
      </c>
      <c r="D206" s="1"/>
      <c r="F206" s="1"/>
      <c r="G206" s="232"/>
      <c r="H206" s="280"/>
    </row>
    <row r="207" spans="1:9" ht="14.25" thickTop="1" thickBot="1">
      <c r="A207" s="1"/>
      <c r="B207" s="88"/>
      <c r="C207" s="88"/>
      <c r="D207" s="1"/>
      <c r="F207" s="2" t="s">
        <v>230</v>
      </c>
      <c r="G207" s="233">
        <f ca="1">SUM(G177:G204)</f>
        <v>150240.91233696957</v>
      </c>
      <c r="H207" s="281">
        <f>SUM(H177:H204)</f>
        <v>142219.99999999997</v>
      </c>
    </row>
    <row r="208" spans="1:9" ht="13.5" thickTop="1">
      <c r="A208" s="1"/>
      <c r="B208" s="3"/>
      <c r="C208" s="3"/>
      <c r="D208" s="1"/>
      <c r="F208" s="1"/>
      <c r="G208" s="88"/>
      <c r="H208" s="88"/>
      <c r="I208" s="3"/>
    </row>
    <row r="209" spans="1:9">
      <c r="B209" s="3"/>
      <c r="C209" s="3"/>
      <c r="D209" s="1"/>
      <c r="F209" s="3"/>
      <c r="G209" s="3"/>
      <c r="H209" s="3"/>
      <c r="I209" s="3"/>
    </row>
    <row r="210" spans="1:9" ht="13.5" thickBot="1">
      <c r="A210" s="1" t="s">
        <v>929</v>
      </c>
      <c r="B210" s="3"/>
      <c r="C210" s="3"/>
      <c r="D210" s="1"/>
      <c r="F210" s="1"/>
      <c r="G210" s="3"/>
      <c r="H210" s="3"/>
      <c r="I210" s="233">
        <f ca="1">B206-G207</f>
        <v>-10735.290613892663</v>
      </c>
    </row>
    <row r="211" spans="1:9" ht="13.5" thickTop="1">
      <c r="A211" s="1"/>
      <c r="B211" s="3"/>
      <c r="C211" s="3"/>
      <c r="D211" s="1"/>
      <c r="F211" s="1"/>
      <c r="G211" s="3"/>
      <c r="H211" s="3"/>
      <c r="I211" s="234"/>
    </row>
    <row r="212" spans="1:9" ht="13.5" thickBot="1">
      <c r="A212" s="1" t="s">
        <v>930</v>
      </c>
      <c r="B212" s="3"/>
      <c r="C212" s="3"/>
      <c r="D212" s="1"/>
      <c r="F212" s="1"/>
      <c r="G212" s="3"/>
      <c r="H212" s="3"/>
      <c r="I212" s="281">
        <f>C206-H207</f>
        <v>4301.5000000000291</v>
      </c>
    </row>
    <row r="213" spans="1:9" ht="13.5" thickTop="1">
      <c r="D213" s="1"/>
      <c r="E213" s="1"/>
      <c r="F213" s="1"/>
      <c r="G213" s="1"/>
      <c r="H213" s="88"/>
    </row>
  </sheetData>
  <phoneticPr fontId="0" type="noConversion"/>
  <printOptions horizontalCentered="1"/>
  <pageMargins left="0.75" right="0.75" top="1" bottom="1" header="0.5" footer="0.5"/>
  <pageSetup scale="75" orientation="landscape" r:id="rId1"/>
  <headerFooter alignWithMargins="0">
    <oddFooter>&amp;L&amp;F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AG366"/>
  <sheetViews>
    <sheetView workbookViewId="0">
      <selection activeCell="P14" sqref="P14"/>
    </sheetView>
  </sheetViews>
  <sheetFormatPr defaultColWidth="13.5703125" defaultRowHeight="12.75"/>
  <cols>
    <col min="1" max="1" width="31.140625" customWidth="1"/>
    <col min="2" max="2" width="14.140625" customWidth="1"/>
    <col min="3" max="3" width="2.28515625" customWidth="1"/>
    <col min="4" max="4" width="9.7109375" customWidth="1"/>
    <col min="5" max="5" width="2.28515625" customWidth="1"/>
    <col min="6" max="6" width="11" bestFit="1" customWidth="1"/>
    <col min="7" max="7" width="2.28515625" customWidth="1"/>
    <col min="8" max="8" width="9.7109375" customWidth="1"/>
    <col min="9" max="9" width="2.28515625" customWidth="1"/>
    <col min="10" max="10" width="11" customWidth="1"/>
    <col min="11" max="11" width="2.28515625" customWidth="1"/>
    <col min="12" max="12" width="10.85546875" customWidth="1"/>
    <col min="13" max="13" width="3" customWidth="1"/>
    <col min="14" max="14" width="12.28515625" customWidth="1"/>
    <col min="15" max="15" width="2.28515625" customWidth="1"/>
    <col min="16" max="16" width="9.7109375" customWidth="1"/>
    <col min="17" max="17" width="2.28515625" customWidth="1"/>
    <col min="18" max="18" width="9.7109375" customWidth="1"/>
    <col min="19" max="19" width="2.28515625" customWidth="1"/>
    <col min="20" max="20" width="9.7109375" customWidth="1"/>
    <col min="21" max="21" width="2.28515625" customWidth="1"/>
    <col min="22" max="22" width="9.7109375" customWidth="1"/>
    <col min="23" max="23" width="13.28515625" bestFit="1" customWidth="1"/>
    <col min="24" max="24" width="14" customWidth="1"/>
    <col min="25" max="26" width="13.5703125" customWidth="1"/>
    <col min="27" max="27" width="2.5703125" customWidth="1"/>
    <col min="28" max="28" width="19.28515625" bestFit="1" customWidth="1"/>
    <col min="29" max="29" width="8.85546875" bestFit="1" customWidth="1"/>
    <col min="32" max="32" width="19.28515625" bestFit="1" customWidth="1"/>
  </cols>
  <sheetData>
    <row r="1" spans="1:29">
      <c r="A1" s="90" t="s">
        <v>659</v>
      </c>
      <c r="B1" s="91"/>
      <c r="C1" s="91"/>
      <c r="D1" s="91"/>
      <c r="E1" s="91"/>
      <c r="F1" s="91"/>
      <c r="G1" s="91"/>
      <c r="H1" s="91"/>
      <c r="I1" s="91"/>
      <c r="J1" s="91"/>
      <c r="K1" s="92"/>
      <c r="L1" s="92"/>
      <c r="M1" s="91"/>
      <c r="N1" s="91" t="s">
        <v>660</v>
      </c>
      <c r="O1" s="92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95" customHeight="1">
      <c r="A2" s="90" t="s">
        <v>661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/>
      <c r="O2" s="92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540" t="str">
        <f>+Report!A3</f>
        <v>2023 Budget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2"/>
      <c r="O3" s="9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P4" s="39"/>
    </row>
    <row r="5" spans="1:29">
      <c r="A5" s="93"/>
      <c r="P5" s="39"/>
    </row>
    <row r="6" spans="1:29">
      <c r="A6" s="94"/>
      <c r="B6" s="94"/>
      <c r="C6" s="94"/>
      <c r="D6" s="1"/>
      <c r="E6" s="94"/>
      <c r="F6" s="95" t="s">
        <v>663</v>
      </c>
      <c r="G6" s="94"/>
      <c r="H6" s="95" t="s">
        <v>664</v>
      </c>
      <c r="I6" s="94"/>
      <c r="J6" s="95" t="s">
        <v>665</v>
      </c>
      <c r="K6" s="94"/>
      <c r="L6" s="95" t="s">
        <v>666</v>
      </c>
      <c r="M6" s="94"/>
      <c r="N6" s="95" t="s">
        <v>667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A7" s="94"/>
      <c r="B7" s="94"/>
      <c r="C7" s="94"/>
      <c r="D7" s="1"/>
      <c r="E7" s="94"/>
      <c r="F7" s="95" t="s">
        <v>2</v>
      </c>
      <c r="G7" s="94"/>
      <c r="H7" s="95" t="s">
        <v>668</v>
      </c>
      <c r="I7" s="94"/>
      <c r="J7" s="95" t="s">
        <v>668</v>
      </c>
      <c r="K7" s="94"/>
      <c r="L7" s="95" t="s">
        <v>669</v>
      </c>
      <c r="M7" s="94"/>
      <c r="N7" s="95" t="s">
        <v>669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>
      <c r="A8" s="94"/>
      <c r="B8" s="94"/>
      <c r="C8" s="94"/>
      <c r="D8" s="1"/>
      <c r="E8" s="94"/>
      <c r="F8" s="96" t="s">
        <v>670</v>
      </c>
      <c r="G8" s="94"/>
      <c r="H8" s="96" t="s">
        <v>671</v>
      </c>
      <c r="I8" s="94"/>
      <c r="J8" s="96" t="s">
        <v>672</v>
      </c>
      <c r="K8" s="94"/>
      <c r="L8" s="96" t="s">
        <v>671</v>
      </c>
      <c r="M8" s="94"/>
      <c r="N8" s="96" t="s">
        <v>672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94" t="s">
        <v>673</v>
      </c>
      <c r="B9" s="94"/>
      <c r="C9" s="94"/>
      <c r="D9" s="1"/>
      <c r="E9" s="94"/>
      <c r="F9" s="94"/>
      <c r="G9" s="94"/>
      <c r="H9" s="94"/>
      <c r="I9" s="94"/>
      <c r="J9" s="94"/>
      <c r="K9" s="94"/>
      <c r="L9" s="94"/>
      <c r="M9" s="94"/>
      <c r="N9" s="9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97" t="s">
        <v>674</v>
      </c>
      <c r="B10" s="97"/>
      <c r="C10" s="94"/>
      <c r="D10" s="1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94" t="s">
        <v>675</v>
      </c>
      <c r="B11" s="94"/>
      <c r="C11" s="94"/>
      <c r="D11" s="1"/>
      <c r="E11" s="94" t="s">
        <v>676</v>
      </c>
      <c r="F11" s="98">
        <f ca="1">V103</f>
        <v>114637.09999999992</v>
      </c>
      <c r="G11" s="86" t="s">
        <v>676</v>
      </c>
      <c r="H11" s="98">
        <f ca="1">V123</f>
        <v>567.12909009280884</v>
      </c>
      <c r="I11" s="86" t="s">
        <v>676</v>
      </c>
      <c r="J11" s="98">
        <f ca="1">F11+H11</f>
        <v>115204.22909009273</v>
      </c>
      <c r="K11" s="86" t="s">
        <v>676</v>
      </c>
      <c r="L11" s="98">
        <f>V136</f>
        <v>0</v>
      </c>
      <c r="M11" s="86" t="s">
        <v>676</v>
      </c>
      <c r="N11" s="98">
        <f ca="1">J11+L11</f>
        <v>115204.22909009273</v>
      </c>
      <c r="O11" s="1"/>
      <c r="P11" s="3"/>
      <c r="Q11" s="1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>
      <c r="A12" s="94"/>
      <c r="B12" s="94"/>
      <c r="C12" s="94"/>
      <c r="D12" s="1"/>
      <c r="E12" s="94"/>
      <c r="F12" s="86"/>
      <c r="G12" s="86"/>
      <c r="H12" s="86"/>
      <c r="I12" s="86"/>
      <c r="J12" s="86"/>
      <c r="K12" s="86"/>
      <c r="L12" s="86"/>
      <c r="M12" s="86"/>
      <c r="N12" s="8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94" t="s">
        <v>677</v>
      </c>
      <c r="B13" s="94"/>
      <c r="C13" s="94"/>
      <c r="D13" s="1"/>
      <c r="E13" s="94" t="s">
        <v>676</v>
      </c>
      <c r="F13" s="98">
        <f>T53</f>
        <v>2385537.8000000003</v>
      </c>
      <c r="G13" s="86" t="s">
        <v>676</v>
      </c>
      <c r="H13" s="98">
        <f>T75</f>
        <v>-181186.95276852534</v>
      </c>
      <c r="I13" s="86" t="s">
        <v>676</v>
      </c>
      <c r="J13" s="98">
        <f>F13+H13</f>
        <v>2204350.8472314747</v>
      </c>
      <c r="K13" s="86" t="s">
        <v>676</v>
      </c>
      <c r="L13" s="98">
        <f>T88</f>
        <v>0</v>
      </c>
      <c r="M13" s="86" t="s">
        <v>676</v>
      </c>
      <c r="N13" s="98">
        <f>J13+L13</f>
        <v>2204350.8472314747</v>
      </c>
      <c r="O13" s="1"/>
      <c r="P13" s="3"/>
      <c r="Q13" s="1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94" t="s">
        <v>650</v>
      </c>
      <c r="B14" s="94"/>
      <c r="C14" s="94"/>
      <c r="D14" s="1"/>
      <c r="E14" s="94"/>
      <c r="F14" s="94"/>
      <c r="G14" s="94"/>
      <c r="H14" s="94"/>
      <c r="I14" s="94"/>
      <c r="J14" s="94"/>
      <c r="K14" s="94"/>
      <c r="L14" s="1"/>
      <c r="M14" s="94"/>
      <c r="N14" s="9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94" t="s">
        <v>678</v>
      </c>
      <c r="B15" s="94"/>
      <c r="C15" s="94"/>
      <c r="D15" s="1"/>
      <c r="E15" s="94"/>
      <c r="F15" s="99">
        <f ca="1">ROUND(F11/F13*100,4)</f>
        <v>4.8055000000000003</v>
      </c>
      <c r="G15" s="100" t="s">
        <v>105</v>
      </c>
      <c r="H15" s="100"/>
      <c r="I15" s="100" t="s">
        <v>650</v>
      </c>
      <c r="J15" s="99">
        <f ca="1">ROUND(J11/J13*100,4)</f>
        <v>5.2262000000000004</v>
      </c>
      <c r="K15" s="100" t="s">
        <v>105</v>
      </c>
      <c r="L15" s="101"/>
      <c r="M15" s="100"/>
      <c r="N15" s="99">
        <f ca="1">ROUND(N11/N13*100,4)</f>
        <v>5.2262000000000004</v>
      </c>
      <c r="O15" s="94" t="s">
        <v>105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94"/>
      <c r="B16" s="94"/>
      <c r="C16" s="94"/>
      <c r="D16" s="1"/>
      <c r="E16" s="94"/>
      <c r="F16" s="94"/>
      <c r="G16" s="94"/>
      <c r="H16" s="94"/>
      <c r="I16" s="94"/>
      <c r="J16" s="94"/>
      <c r="K16" s="94"/>
      <c r="L16" s="94"/>
      <c r="M16" s="94"/>
      <c r="N16" s="1"/>
      <c r="O16" s="94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>
      <c r="A17" s="94"/>
      <c r="B17" s="94"/>
      <c r="C17" s="94"/>
      <c r="D17" s="1"/>
      <c r="E17" s="94"/>
      <c r="F17" s="94"/>
      <c r="G17" s="94"/>
      <c r="H17" s="94"/>
      <c r="I17" s="94"/>
      <c r="J17" s="94"/>
      <c r="K17" s="94"/>
      <c r="L17" s="94"/>
      <c r="M17" s="94"/>
      <c r="N17" s="1"/>
      <c r="O17" s="9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3.5" thickBot="1">
      <c r="A18" s="102"/>
      <c r="B18" s="102"/>
      <c r="C18" s="102"/>
      <c r="D18" s="103"/>
      <c r="E18" s="102"/>
      <c r="F18" s="102"/>
      <c r="G18" s="102"/>
      <c r="H18" s="102"/>
      <c r="I18" s="102"/>
      <c r="J18" s="102"/>
      <c r="K18" s="102"/>
      <c r="L18" s="102"/>
      <c r="M18" s="102"/>
      <c r="N18" s="103"/>
      <c r="O18" s="9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3.5" thickTop="1">
      <c r="A19" s="94"/>
      <c r="B19" s="94"/>
      <c r="C19" s="94"/>
      <c r="D19" s="1"/>
      <c r="E19" s="94"/>
      <c r="F19" s="94"/>
      <c r="G19" s="94"/>
      <c r="H19" s="94"/>
      <c r="I19" s="94"/>
      <c r="J19" s="94"/>
      <c r="K19" s="94"/>
      <c r="L19" s="94"/>
      <c r="M19" s="94"/>
      <c r="N19" s="1"/>
      <c r="O19" s="9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94" t="s">
        <v>679</v>
      </c>
      <c r="B20" s="94"/>
      <c r="C20" s="94"/>
      <c r="D20" s="1"/>
      <c r="E20" s="94"/>
      <c r="F20" s="94"/>
      <c r="G20" s="1"/>
      <c r="H20" s="1"/>
      <c r="I20" s="104" t="s">
        <v>680</v>
      </c>
      <c r="J20" s="1"/>
      <c r="K20" s="94"/>
      <c r="L20" s="94"/>
      <c r="M20" s="94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>
      <c r="A21" s="94" t="s">
        <v>681</v>
      </c>
      <c r="B21" s="94"/>
      <c r="C21" s="94"/>
      <c r="D21" s="1"/>
      <c r="E21" s="94"/>
      <c r="F21" s="94"/>
      <c r="G21" s="1"/>
      <c r="H21" s="1"/>
      <c r="I21" s="1"/>
      <c r="J21" s="1"/>
      <c r="K21" s="1"/>
      <c r="L21" s="1"/>
      <c r="M21" s="9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>
      <c r="A22" s="97" t="s">
        <v>682</v>
      </c>
      <c r="B22" s="97"/>
      <c r="C22" s="94"/>
      <c r="D22" s="1"/>
      <c r="E22" s="94"/>
      <c r="F22" s="94"/>
      <c r="G22" s="1"/>
      <c r="H22" s="1"/>
      <c r="I22" s="1"/>
      <c r="J22" s="1"/>
      <c r="K22" s="1"/>
      <c r="L22" s="95" t="s">
        <v>668</v>
      </c>
      <c r="M22" s="2"/>
      <c r="N22" s="95" t="s">
        <v>683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>
      <c r="A23" s="1"/>
      <c r="B23" s="94" t="s">
        <v>684</v>
      </c>
      <c r="C23" s="94"/>
      <c r="D23" s="99">
        <f>N167</f>
        <v>5.93</v>
      </c>
      <c r="E23" s="94" t="s">
        <v>105</v>
      </c>
      <c r="F23" s="1"/>
      <c r="G23" s="1"/>
      <c r="H23" s="1"/>
      <c r="I23" s="1"/>
      <c r="J23" s="1"/>
      <c r="K23" s="1"/>
      <c r="L23" s="105" t="s">
        <v>622</v>
      </c>
      <c r="M23" s="2"/>
      <c r="N23" s="105" t="s">
        <v>622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>
      <c r="A24" s="1"/>
      <c r="B24" s="94"/>
      <c r="C24" s="94"/>
      <c r="D24" s="100"/>
      <c r="E24" s="94"/>
      <c r="F24" s="1"/>
      <c r="G24" s="94" t="s">
        <v>685</v>
      </c>
      <c r="H24" s="1"/>
      <c r="I24" s="94"/>
      <c r="J24" s="94"/>
      <c r="K24" s="94"/>
      <c r="L24" s="1"/>
      <c r="M24" s="94"/>
      <c r="N24" s="1"/>
      <c r="O24" s="1"/>
      <c r="P24" s="31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>
      <c r="A25" s="1"/>
      <c r="B25" s="94" t="s">
        <v>686</v>
      </c>
      <c r="C25" s="94"/>
      <c r="D25" s="99">
        <f>R167</f>
        <v>6.41</v>
      </c>
      <c r="E25" s="94" t="s">
        <v>105</v>
      </c>
      <c r="F25" s="1"/>
      <c r="G25" s="94" t="s">
        <v>687</v>
      </c>
      <c r="H25" s="1"/>
      <c r="I25" s="94"/>
      <c r="J25" s="94"/>
      <c r="K25" s="94"/>
      <c r="L25" s="99">
        <f ca="1">H198</f>
        <v>7.4234999999999998</v>
      </c>
      <c r="M25" s="94" t="s">
        <v>105</v>
      </c>
      <c r="N25" s="182">
        <f ca="1">H259</f>
        <v>7.4234999999999998</v>
      </c>
      <c r="O25" s="94" t="s">
        <v>105</v>
      </c>
      <c r="P25" s="1"/>
      <c r="Q25" s="1"/>
      <c r="R25" s="10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>
      <c r="A26" s="1"/>
      <c r="B26" s="94"/>
      <c r="C26" s="94"/>
      <c r="D26" s="100"/>
      <c r="E26" s="94"/>
      <c r="F26" s="1"/>
      <c r="G26" s="1"/>
      <c r="H26" s="1"/>
      <c r="I26" s="1"/>
      <c r="J26" s="1"/>
      <c r="K26" s="1"/>
      <c r="L26" s="1"/>
      <c r="M26" s="94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>
      <c r="A27" s="1"/>
      <c r="B27" s="94" t="s">
        <v>688</v>
      </c>
      <c r="C27" s="94"/>
      <c r="D27" s="99">
        <f>V167</f>
        <v>6.93</v>
      </c>
      <c r="E27" s="94" t="s">
        <v>105</v>
      </c>
      <c r="F27" s="1"/>
      <c r="G27" s="94" t="s">
        <v>689</v>
      </c>
      <c r="H27" s="1"/>
      <c r="I27" s="94"/>
      <c r="J27" s="94"/>
      <c r="K27" s="94"/>
      <c r="L27" s="1"/>
      <c r="M27" s="9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>
      <c r="A28" s="94"/>
      <c r="B28" s="94"/>
      <c r="C28" s="94"/>
      <c r="D28" s="94"/>
      <c r="E28" s="94"/>
      <c r="F28" s="94"/>
      <c r="G28" s="94" t="s">
        <v>687</v>
      </c>
      <c r="H28" s="94"/>
      <c r="I28" s="94"/>
      <c r="J28" s="94"/>
      <c r="K28" s="94"/>
      <c r="L28" s="99">
        <f ca="1">H225</f>
        <v>7.1605193912029135</v>
      </c>
      <c r="M28" s="94" t="s">
        <v>105</v>
      </c>
      <c r="N28" s="99">
        <f ca="1">H286</f>
        <v>7.1605193912029135</v>
      </c>
      <c r="O28" s="94" t="s">
        <v>105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1"/>
      <c r="O29" s="9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>
      <c r="A30" s="94"/>
      <c r="B30" s="94"/>
      <c r="C30" s="94" t="s">
        <v>650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1"/>
      <c r="O30" s="9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>
      <c r="A31" s="106" t="s">
        <v>690</v>
      </c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8"/>
      <c r="M31" s="94"/>
      <c r="N31" s="1"/>
      <c r="O31" s="9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>
      <c r="A32" s="10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110"/>
      <c r="M32" s="94"/>
      <c r="N32" s="1"/>
      <c r="O32" s="9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>
      <c r="A33" s="109"/>
      <c r="B33" s="94" t="s">
        <v>691</v>
      </c>
      <c r="C33" s="94"/>
      <c r="D33" s="94"/>
      <c r="E33" s="94"/>
      <c r="F33" s="94"/>
      <c r="G33" s="94"/>
      <c r="H33" s="94"/>
      <c r="I33" s="94"/>
      <c r="J33" s="94"/>
      <c r="K33" s="94"/>
      <c r="L33" s="110"/>
      <c r="M33" s="94"/>
      <c r="N33" s="1"/>
      <c r="O33" s="9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>
      <c r="A34" s="109"/>
      <c r="B34" s="94" t="s">
        <v>692</v>
      </c>
      <c r="C34" s="94"/>
      <c r="D34" s="94"/>
      <c r="E34" s="94"/>
      <c r="F34" s="94"/>
      <c r="G34" s="94"/>
      <c r="H34" s="94"/>
      <c r="I34" s="94"/>
      <c r="J34" s="94"/>
      <c r="K34" s="94"/>
      <c r="L34" s="110"/>
      <c r="M34" s="94"/>
      <c r="N34" s="1"/>
      <c r="O34" s="9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>
      <c r="A35" s="109"/>
      <c r="B35" s="94" t="s">
        <v>693</v>
      </c>
      <c r="C35" s="94"/>
      <c r="D35" s="94"/>
      <c r="E35" s="94"/>
      <c r="F35" s="94"/>
      <c r="G35" s="94"/>
      <c r="H35" s="94"/>
      <c r="I35" s="94"/>
      <c r="J35" s="94"/>
      <c r="K35" s="94"/>
      <c r="L35" s="110"/>
      <c r="M35" s="94"/>
      <c r="N35" s="1"/>
      <c r="O35" s="9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>
      <c r="A36" s="109"/>
      <c r="B36" s="94" t="s">
        <v>694</v>
      </c>
      <c r="C36" s="94"/>
      <c r="D36" s="94"/>
      <c r="E36" s="94"/>
      <c r="F36" s="94"/>
      <c r="G36" s="94"/>
      <c r="H36" s="94"/>
      <c r="I36" s="94"/>
      <c r="J36" s="94"/>
      <c r="K36" s="94"/>
      <c r="L36" s="110"/>
      <c r="M36" s="94"/>
      <c r="N36" s="1"/>
      <c r="O36" s="9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>
      <c r="A37" s="10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110"/>
      <c r="M37" s="94"/>
      <c r="N37" s="1"/>
      <c r="O37" s="9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>
      <c r="A38" s="109" t="s">
        <v>931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110"/>
      <c r="M38" s="94"/>
      <c r="N38" s="1"/>
      <c r="O38" s="9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>
      <c r="A39" s="106" t="s">
        <v>696</v>
      </c>
      <c r="B39" s="107"/>
      <c r="C39" s="94"/>
      <c r="D39" s="94"/>
      <c r="E39" s="107" t="s">
        <v>697</v>
      </c>
      <c r="F39" s="107"/>
      <c r="G39" s="107"/>
      <c r="H39" s="107"/>
      <c r="I39" s="111"/>
      <c r="J39" s="1"/>
      <c r="K39" s="111"/>
      <c r="L39" s="112" t="s">
        <v>698</v>
      </c>
      <c r="M39" s="94"/>
      <c r="N39" s="1"/>
      <c r="O39" s="9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>
      <c r="A40" s="113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114"/>
      <c r="M40" s="94"/>
      <c r="N40" s="115" t="s">
        <v>699</v>
      </c>
      <c r="O40" s="9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4" spans="1:29">
      <c r="A44" s="90" t="s">
        <v>232</v>
      </c>
      <c r="B44" s="91"/>
      <c r="C44" s="91"/>
      <c r="D44" s="91"/>
      <c r="E44" s="91"/>
      <c r="F44" s="91"/>
      <c r="G44" s="92"/>
      <c r="H44" s="14"/>
      <c r="I44" s="91"/>
      <c r="J44" s="91"/>
      <c r="K44" s="91"/>
      <c r="L44" s="91"/>
      <c r="M44" s="91"/>
      <c r="N44" s="91"/>
      <c r="O44" s="91"/>
      <c r="P44" s="91"/>
      <c r="Q44" s="92"/>
      <c r="R44" s="92"/>
      <c r="S44" s="1"/>
      <c r="T44" s="91" t="s">
        <v>700</v>
      </c>
      <c r="U44" s="1"/>
      <c r="V44" s="1"/>
      <c r="W44" s="1"/>
      <c r="X44" s="1"/>
      <c r="Y44" s="1"/>
      <c r="Z44" s="1"/>
      <c r="AA44" s="1"/>
      <c r="AB44" s="1"/>
      <c r="AC44" s="1"/>
    </row>
    <row r="45" spans="1:29">
      <c r="A45" s="90" t="s">
        <v>701</v>
      </c>
      <c r="B45" s="91"/>
      <c r="C45" s="91"/>
      <c r="D45" s="91"/>
      <c r="E45" s="91"/>
      <c r="F45" s="91"/>
      <c r="G45" s="91"/>
      <c r="H45" s="14"/>
      <c r="I45" s="91"/>
      <c r="J45" s="91"/>
      <c r="K45" s="91"/>
      <c r="L45" s="91"/>
      <c r="M45" s="91"/>
      <c r="N45" s="91"/>
      <c r="O45" s="91"/>
      <c r="P45" s="92"/>
      <c r="Q45" s="92"/>
      <c r="R45" s="92"/>
      <c r="S45" s="1"/>
      <c r="T45" s="91"/>
      <c r="U45" s="1"/>
      <c r="V45" s="1"/>
      <c r="W45" s="1"/>
      <c r="X45" s="1"/>
      <c r="Y45" s="1"/>
      <c r="Z45" s="1"/>
      <c r="AA45" s="1"/>
      <c r="AB45" s="1"/>
      <c r="AC45" s="1"/>
    </row>
    <row r="46" spans="1:29">
      <c r="A46" s="116" t="str">
        <f>A3</f>
        <v>2023 Budget</v>
      </c>
      <c r="B46" s="91"/>
      <c r="C46" s="91"/>
      <c r="D46" s="91"/>
      <c r="E46" s="91"/>
      <c r="F46" s="91"/>
      <c r="G46" s="91"/>
      <c r="H46" s="90"/>
      <c r="I46" s="92"/>
      <c r="J46" s="91"/>
      <c r="K46" s="91"/>
      <c r="L46" s="91"/>
      <c r="M46" s="91"/>
      <c r="N46" s="91"/>
      <c r="O46" s="91"/>
      <c r="P46" s="91"/>
      <c r="Q46" s="92"/>
      <c r="R46" s="92"/>
      <c r="S46" s="117"/>
      <c r="T46" s="117"/>
      <c r="U46" s="117"/>
      <c r="V46" s="1"/>
      <c r="W46" s="1"/>
      <c r="X46" s="1"/>
      <c r="Y46" s="1"/>
      <c r="Z46" s="1"/>
      <c r="AA46" s="1"/>
      <c r="AB46" s="1"/>
      <c r="AC46" s="1"/>
    </row>
    <row r="47" spans="1:29">
      <c r="A47" s="94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1"/>
      <c r="V47" s="1"/>
      <c r="W47" s="1"/>
      <c r="X47" s="1"/>
      <c r="Y47" s="1"/>
      <c r="Z47" s="1"/>
      <c r="AA47" s="1"/>
      <c r="AB47" s="1"/>
      <c r="AC47" s="1"/>
    </row>
    <row r="48" spans="1:29"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</row>
    <row r="49" spans="1:29">
      <c r="A49" s="1"/>
      <c r="B49" s="2" t="s">
        <v>663</v>
      </c>
      <c r="C49" s="1"/>
      <c r="D49" s="2" t="s">
        <v>664</v>
      </c>
      <c r="E49" s="1"/>
      <c r="F49" s="2" t="s">
        <v>665</v>
      </c>
      <c r="G49" s="1"/>
      <c r="H49" s="2" t="s">
        <v>666</v>
      </c>
      <c r="I49" s="1"/>
      <c r="J49" s="2" t="s">
        <v>667</v>
      </c>
      <c r="K49" s="1"/>
      <c r="L49" s="2" t="s">
        <v>702</v>
      </c>
      <c r="M49" s="1"/>
      <c r="N49" s="2" t="s">
        <v>703</v>
      </c>
      <c r="O49" s="1"/>
      <c r="P49" s="2" t="s">
        <v>704</v>
      </c>
      <c r="Q49" s="1"/>
      <c r="R49" s="2" t="s">
        <v>705</v>
      </c>
      <c r="S49" s="1"/>
      <c r="T49" s="2" t="s">
        <v>706</v>
      </c>
      <c r="U49" s="1"/>
      <c r="V49" s="1"/>
      <c r="W49" s="1"/>
      <c r="X49" s="1"/>
      <c r="Y49" s="1"/>
      <c r="Z49" s="1"/>
      <c r="AA49" s="1"/>
      <c r="AB49" s="1"/>
      <c r="AC49" s="1"/>
    </row>
    <row r="50" spans="1:29">
      <c r="A50" s="1"/>
      <c r="B50" s="1"/>
      <c r="C50" s="1"/>
      <c r="D50" s="2" t="s">
        <v>707</v>
      </c>
      <c r="E50" s="1"/>
      <c r="F50" s="2" t="s">
        <v>708</v>
      </c>
      <c r="G50" s="1"/>
      <c r="H50" s="2" t="s">
        <v>709</v>
      </c>
      <c r="I50" s="1"/>
      <c r="J50" s="2" t="s">
        <v>710</v>
      </c>
      <c r="K50" s="1"/>
      <c r="L50" s="1"/>
      <c r="M50" s="1"/>
      <c r="N50" s="2" t="s">
        <v>711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>
      <c r="A51" s="1"/>
      <c r="B51" s="2" t="s">
        <v>712</v>
      </c>
      <c r="C51" s="1"/>
      <c r="D51" s="2" t="s">
        <v>713</v>
      </c>
      <c r="E51" s="1"/>
      <c r="F51" s="2" t="s">
        <v>714</v>
      </c>
      <c r="G51" s="1"/>
      <c r="H51" s="2" t="s">
        <v>715</v>
      </c>
      <c r="I51" s="1"/>
      <c r="J51" s="2" t="s">
        <v>712</v>
      </c>
      <c r="K51" s="1"/>
      <c r="L51" s="2" t="s">
        <v>716</v>
      </c>
      <c r="M51" s="1"/>
      <c r="N51" s="2" t="s">
        <v>717</v>
      </c>
      <c r="O51" s="1"/>
      <c r="P51" s="2" t="s">
        <v>710</v>
      </c>
      <c r="Q51" s="1"/>
      <c r="R51" s="2" t="s">
        <v>718</v>
      </c>
      <c r="S51" s="1"/>
      <c r="T51" s="2" t="s">
        <v>719</v>
      </c>
      <c r="U51" s="1"/>
      <c r="V51" s="2"/>
      <c r="W51" s="1"/>
      <c r="X51" s="1"/>
      <c r="Y51" s="1"/>
      <c r="Z51" s="1"/>
      <c r="AA51" s="1"/>
      <c r="AB51" s="1"/>
      <c r="AC51" s="1"/>
    </row>
    <row r="52" spans="1:29">
      <c r="A52" s="1"/>
      <c r="B52" s="118" t="s">
        <v>720</v>
      </c>
      <c r="C52" s="1"/>
      <c r="D52" s="118" t="s">
        <v>721</v>
      </c>
      <c r="E52" s="1"/>
      <c r="F52" s="118" t="s">
        <v>722</v>
      </c>
      <c r="G52" s="1"/>
      <c r="H52" s="118" t="s">
        <v>711</v>
      </c>
      <c r="I52" s="1"/>
      <c r="J52" s="118" t="s">
        <v>723</v>
      </c>
      <c r="K52" s="1"/>
      <c r="L52" s="118" t="s">
        <v>724</v>
      </c>
      <c r="M52" s="1"/>
      <c r="N52" s="118" t="s">
        <v>725</v>
      </c>
      <c r="O52" s="1"/>
      <c r="P52" s="118" t="s">
        <v>466</v>
      </c>
      <c r="Q52" s="1"/>
      <c r="R52" s="118" t="s">
        <v>726</v>
      </c>
      <c r="S52" s="1"/>
      <c r="T52" s="118" t="s">
        <v>727</v>
      </c>
      <c r="U52" s="1"/>
      <c r="V52" s="2"/>
      <c r="W52" s="1"/>
      <c r="X52" s="1"/>
      <c r="Y52" s="1"/>
      <c r="Z52" s="1"/>
      <c r="AA52" s="1"/>
      <c r="AB52" s="1"/>
      <c r="AC52" s="1"/>
    </row>
    <row r="53" spans="1:29" ht="13.9" customHeight="1">
      <c r="A53" s="1" t="s">
        <v>728</v>
      </c>
      <c r="B53" s="561">
        <f>Reconcil!B57</f>
        <v>3202682.9000000004</v>
      </c>
      <c r="C53" s="1093"/>
      <c r="D53" s="561">
        <f>Reconcil!B60</f>
        <v>5031.8999999999996</v>
      </c>
      <c r="E53" s="1093"/>
      <c r="F53" s="561">
        <f>-Reconcil!B63</f>
        <v>894044.49999999988</v>
      </c>
      <c r="G53" s="1093"/>
      <c r="H53" s="561">
        <f>Reconcil!B149</f>
        <v>20000</v>
      </c>
      <c r="I53" s="1093"/>
      <c r="J53" s="561">
        <f>B53+D53-F53-H53</f>
        <v>2293670.3000000003</v>
      </c>
      <c r="K53" s="1093"/>
      <c r="L53" s="561">
        <f>Reconcil!B58</f>
        <v>1939.6</v>
      </c>
      <c r="M53" s="1093"/>
      <c r="N53" s="561">
        <f>Reconcil!B59</f>
        <v>85626.4</v>
      </c>
      <c r="O53" s="1093"/>
      <c r="P53" s="561">
        <f>J53+L53+N53</f>
        <v>2381236.3000000003</v>
      </c>
      <c r="Q53" s="1093"/>
      <c r="R53" s="561">
        <f>+Reconcil!I212</f>
        <v>4301.5000000000291</v>
      </c>
      <c r="S53" s="1093"/>
      <c r="T53" s="561">
        <f>P53+R53</f>
        <v>2385537.8000000003</v>
      </c>
      <c r="U53" s="3"/>
      <c r="V53" s="1093"/>
      <c r="W53" s="1"/>
      <c r="X53" s="3"/>
      <c r="Y53" s="3"/>
      <c r="Z53" s="3"/>
      <c r="AA53" s="3"/>
      <c r="AB53" s="3"/>
      <c r="AC53" s="3"/>
    </row>
    <row r="54" spans="1:29">
      <c r="A54" s="1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3"/>
      <c r="V54" s="1093"/>
      <c r="W54" s="1"/>
      <c r="X54" s="3"/>
      <c r="Y54" s="3"/>
      <c r="Z54" s="3"/>
      <c r="AA54" s="3"/>
      <c r="AB54" s="3"/>
      <c r="AC54" s="3"/>
    </row>
    <row r="55" spans="1:29">
      <c r="A55" s="119" t="s">
        <v>729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3"/>
      <c r="V55" s="1093"/>
      <c r="W55" s="1"/>
      <c r="X55" s="3"/>
      <c r="Y55" s="3"/>
      <c r="Z55" s="3"/>
      <c r="AA55" s="3"/>
      <c r="AB55" s="3"/>
      <c r="AC55" s="3"/>
    </row>
    <row r="56" spans="1:29">
      <c r="A56" s="1" t="s">
        <v>38</v>
      </c>
      <c r="B56" s="1093"/>
      <c r="C56" s="1093"/>
      <c r="D56" s="1093"/>
      <c r="E56" s="1093"/>
      <c r="F56" s="1093"/>
      <c r="G56" s="1093"/>
      <c r="H56" s="1093"/>
      <c r="I56" s="1093"/>
      <c r="J56" s="1093"/>
      <c r="K56" s="1093"/>
      <c r="L56" s="1093">
        <f>-L53</f>
        <v>-1939.6</v>
      </c>
      <c r="M56" s="1093"/>
      <c r="N56" s="1093"/>
      <c r="O56" s="1093"/>
      <c r="P56" s="1093">
        <f>J56+L56+N56</f>
        <v>-1939.6</v>
      </c>
      <c r="Q56" s="1093"/>
      <c r="R56" s="1093"/>
      <c r="S56" s="1093"/>
      <c r="T56" s="1093">
        <f t="shared" ref="T56:T73" si="0">P56+R56</f>
        <v>-1939.6</v>
      </c>
      <c r="U56" s="3"/>
      <c r="V56" s="1093"/>
      <c r="W56" s="1"/>
      <c r="X56" s="3"/>
      <c r="Y56" s="3"/>
      <c r="Z56" s="3"/>
      <c r="AA56" s="3"/>
      <c r="AB56" s="3"/>
      <c r="AC56" s="3"/>
    </row>
    <row r="57" spans="1:29">
      <c r="A57" s="1" t="s">
        <v>47</v>
      </c>
      <c r="B57" s="1093"/>
      <c r="C57" s="1093"/>
      <c r="D57" s="1093"/>
      <c r="E57" s="1093"/>
      <c r="F57" s="1093"/>
      <c r="G57" s="1093"/>
      <c r="H57" s="1093"/>
      <c r="I57" s="1093"/>
      <c r="J57" s="1093"/>
      <c r="K57" s="1093"/>
      <c r="L57" s="1093"/>
      <c r="M57" s="1093"/>
      <c r="N57" s="1093"/>
      <c r="O57" s="1093"/>
      <c r="P57" s="1093"/>
      <c r="Q57" s="1093"/>
      <c r="R57" s="1093">
        <f>-Reconcil!B76</f>
        <v>-3</v>
      </c>
      <c r="S57" s="1093"/>
      <c r="T57" s="1093">
        <f t="shared" si="0"/>
        <v>-3</v>
      </c>
      <c r="U57" s="3"/>
      <c r="V57" s="1093"/>
      <c r="W57" s="1093"/>
      <c r="X57" s="3"/>
      <c r="Y57" s="3"/>
      <c r="Z57" s="3"/>
      <c r="AA57" s="3"/>
      <c r="AB57" s="3"/>
      <c r="AC57" s="3"/>
    </row>
    <row r="58" spans="1:29">
      <c r="A58" s="1" t="s">
        <v>730</v>
      </c>
      <c r="B58" s="1093"/>
      <c r="C58" s="1093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>
        <f>-Reconcil!B77</f>
        <v>0</v>
      </c>
      <c r="S58" s="1093"/>
      <c r="T58" s="1093">
        <f t="shared" si="0"/>
        <v>0</v>
      </c>
      <c r="U58" s="3"/>
      <c r="V58" s="1093"/>
      <c r="W58" s="1"/>
      <c r="X58" s="3"/>
      <c r="Y58" s="3"/>
      <c r="Z58" s="3"/>
      <c r="AA58" s="3"/>
      <c r="AB58" s="3"/>
      <c r="AC58" s="3"/>
    </row>
    <row r="59" spans="1:29">
      <c r="A59" s="1" t="s">
        <v>48</v>
      </c>
      <c r="B59" s="1093"/>
      <c r="C59" s="1093"/>
      <c r="D59" s="1093"/>
      <c r="E59" s="1093"/>
      <c r="F59" s="1093"/>
      <c r="G59" s="1093"/>
      <c r="H59" s="1093"/>
      <c r="I59" s="1093"/>
      <c r="J59" s="1093"/>
      <c r="K59" s="1093"/>
      <c r="L59" s="1093"/>
      <c r="M59" s="1093"/>
      <c r="N59" s="1093"/>
      <c r="O59" s="1093"/>
      <c r="P59" s="1093"/>
      <c r="Q59" s="1093"/>
      <c r="R59" s="1093">
        <f>-Reconcil!$B$81+Reconcil!$B$128</f>
        <v>-10135.299999999999</v>
      </c>
      <c r="S59" s="1093"/>
      <c r="T59" s="1093">
        <f t="shared" si="0"/>
        <v>-10135.299999999999</v>
      </c>
      <c r="U59" s="3"/>
      <c r="V59" s="1093"/>
      <c r="W59" s="1"/>
      <c r="X59" s="3"/>
      <c r="Y59" s="3"/>
      <c r="Z59" s="3"/>
      <c r="AA59" s="3"/>
      <c r="AB59" s="3"/>
      <c r="AC59" s="3"/>
    </row>
    <row r="60" spans="1:29">
      <c r="A60" s="1" t="s">
        <v>49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43">
        <f>-Reconcil!$B$79</f>
        <v>-578.60000000000036</v>
      </c>
      <c r="S60" s="1093"/>
      <c r="T60" s="1093">
        <f t="shared" si="0"/>
        <v>-578.60000000000036</v>
      </c>
      <c r="U60" s="3"/>
      <c r="V60" s="1093"/>
      <c r="W60" s="1"/>
      <c r="X60" s="3"/>
      <c r="Y60" s="3"/>
      <c r="Z60" s="3"/>
      <c r="AA60" s="3"/>
      <c r="AB60" s="3"/>
      <c r="AC60" s="3"/>
    </row>
    <row r="61" spans="1:29">
      <c r="A61" s="1" t="s">
        <v>27</v>
      </c>
      <c r="B61" s="1096">
        <f>(-'Input Plant'!CA11/1000)</f>
        <v>-1451.3377101882725</v>
      </c>
      <c r="C61" s="164"/>
      <c r="D61" s="164"/>
      <c r="E61" s="164"/>
      <c r="F61" s="1096">
        <f>'Input Plant'!CA23/1000</f>
        <v>-452.41187166296589</v>
      </c>
      <c r="G61" s="31"/>
      <c r="H61" s="31"/>
      <c r="I61" s="31"/>
      <c r="J61" s="1093">
        <f>B61+D61-F61-H61</f>
        <v>-998.92583852530652</v>
      </c>
      <c r="K61" s="1093"/>
      <c r="L61" s="1093"/>
      <c r="M61" s="1093"/>
      <c r="N61" s="1093"/>
      <c r="O61" s="1093"/>
      <c r="P61" s="1093">
        <f>J61+L61+N61</f>
        <v>-998.92583852530652</v>
      </c>
      <c r="Q61" s="1093"/>
      <c r="R61" s="1093"/>
      <c r="S61" s="1093"/>
      <c r="T61" s="1093">
        <f t="shared" si="0"/>
        <v>-998.92583852530652</v>
      </c>
      <c r="U61" s="3"/>
      <c r="V61" s="1093"/>
      <c r="W61" s="1"/>
      <c r="X61" s="3" t="s">
        <v>1189</v>
      </c>
      <c r="Y61" s="3"/>
      <c r="Z61" s="3"/>
      <c r="AA61" s="3"/>
      <c r="AB61" s="3"/>
      <c r="AC61" s="3"/>
    </row>
    <row r="62" spans="1:29" ht="12" customHeight="1">
      <c r="A62" s="1" t="s">
        <v>50</v>
      </c>
      <c r="B62" s="31"/>
      <c r="C62" s="31"/>
      <c r="D62" s="31"/>
      <c r="E62" s="31"/>
      <c r="F62" s="31"/>
      <c r="G62" s="31"/>
      <c r="H62" s="31"/>
      <c r="I62" s="31"/>
      <c r="J62" s="1093"/>
      <c r="K62" s="1093"/>
      <c r="L62" s="1093"/>
      <c r="M62" s="1093"/>
      <c r="N62" s="1093"/>
      <c r="O62" s="1093"/>
      <c r="P62" s="1093"/>
      <c r="Q62" s="1093"/>
      <c r="R62" s="1093">
        <f>-Reconcil!$B$91</f>
        <v>0</v>
      </c>
      <c r="S62" s="1093"/>
      <c r="T62" s="1093">
        <f t="shared" si="0"/>
        <v>0</v>
      </c>
      <c r="U62" s="3"/>
      <c r="V62" s="1093"/>
      <c r="W62" s="1"/>
      <c r="X62" s="3"/>
      <c r="Y62" s="3"/>
      <c r="Z62" s="3"/>
      <c r="AA62" s="3"/>
      <c r="AB62" s="3"/>
      <c r="AC62" s="3"/>
    </row>
    <row r="63" spans="1:29">
      <c r="A63" s="361" t="s">
        <v>51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429">
        <f>IF(Reconcil!$B$99&gt;0,Reconcil!$B$99*-1,0)</f>
        <v>-0.19999999999708962</v>
      </c>
      <c r="S63" s="1093"/>
      <c r="T63" s="1093">
        <f t="shared" si="0"/>
        <v>-0.19999999999708962</v>
      </c>
      <c r="U63" s="3"/>
      <c r="V63" s="1093"/>
      <c r="W63" s="1"/>
      <c r="X63" s="3"/>
      <c r="Y63" s="3"/>
      <c r="Z63" s="3"/>
      <c r="AA63" s="3"/>
      <c r="AB63" s="3"/>
      <c r="AC63" s="3"/>
    </row>
    <row r="64" spans="1:29">
      <c r="A64" s="1" t="s">
        <v>52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>
        <f>Reconcil!$B$134</f>
        <v>0</v>
      </c>
      <c r="S64" s="1093"/>
      <c r="T64" s="1093">
        <f t="shared" si="0"/>
        <v>0</v>
      </c>
      <c r="U64" s="3"/>
      <c r="V64" s="1093"/>
      <c r="W64" s="1"/>
      <c r="X64" s="3"/>
      <c r="Y64" s="3"/>
      <c r="Z64" s="3"/>
      <c r="AA64" s="3"/>
      <c r="AB64" s="3"/>
      <c r="AC64" s="3"/>
    </row>
    <row r="65" spans="1:29">
      <c r="A65" s="361" t="s">
        <v>53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429">
        <f>IF((Reconcil!$B$137-Reconcil!$B$95)&lt;0,(Reconcil!$B$137-Reconcil!$B$95),0)</f>
        <v>-1968.1</v>
      </c>
      <c r="S65" s="1093"/>
      <c r="T65" s="1093">
        <f t="shared" si="0"/>
        <v>-1968.1</v>
      </c>
      <c r="U65" s="3"/>
      <c r="V65" s="1093"/>
      <c r="W65" s="1"/>
      <c r="X65" s="3"/>
      <c r="Y65" s="3"/>
      <c r="Z65" s="3"/>
      <c r="AA65" s="3"/>
      <c r="AB65" s="3"/>
      <c r="AC65" s="3"/>
    </row>
    <row r="66" spans="1:29">
      <c r="A66" s="361" t="s">
        <v>54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43">
        <f>IF((Reconcil!$B$138-Reconcil!$B$96)&lt;0,(Reconcil!$B$138-Reconcil!$B$96),0)</f>
        <v>0</v>
      </c>
      <c r="S66" s="1093"/>
      <c r="T66" s="1093">
        <f>P66+R66</f>
        <v>0</v>
      </c>
      <c r="U66" s="3"/>
      <c r="V66" s="1093"/>
      <c r="W66" s="1"/>
      <c r="X66" s="3"/>
      <c r="Y66" s="3"/>
      <c r="Z66" s="3"/>
      <c r="AA66" s="3"/>
      <c r="AB66" s="3"/>
      <c r="AC66" s="3"/>
    </row>
    <row r="67" spans="1:29">
      <c r="A67" s="1" t="s">
        <v>55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1093">
        <f>-Input!C14/1000</f>
        <v>-3550</v>
      </c>
      <c r="S67" s="1093"/>
      <c r="T67" s="1093">
        <f t="shared" si="0"/>
        <v>-3550</v>
      </c>
      <c r="U67" s="3"/>
      <c r="V67" s="1093"/>
      <c r="W67" s="31"/>
      <c r="X67" s="3"/>
      <c r="Y67" s="3"/>
      <c r="Z67" s="3"/>
      <c r="AA67" s="3"/>
      <c r="AB67" s="3"/>
      <c r="AC67" s="3"/>
    </row>
    <row r="68" spans="1:29">
      <c r="A68" s="1" t="s">
        <v>56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1093">
        <f>-Reconcil!$B$98</f>
        <v>-1570.5</v>
      </c>
      <c r="S68" s="1093"/>
      <c r="T68" s="1093">
        <f t="shared" si="0"/>
        <v>-1570.5</v>
      </c>
      <c r="U68" s="3"/>
      <c r="V68" s="1093"/>
      <c r="W68" s="1"/>
      <c r="X68" s="3"/>
      <c r="Y68" s="3"/>
      <c r="Z68" s="3"/>
      <c r="AA68" s="3"/>
      <c r="AB68" s="3"/>
      <c r="AC68" s="3"/>
    </row>
    <row r="69" spans="1:29">
      <c r="A69" s="1" t="s">
        <v>731</v>
      </c>
      <c r="B69" s="31"/>
      <c r="C69" s="31"/>
      <c r="D69" s="37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1095">
        <v>0</v>
      </c>
      <c r="S69" s="1093"/>
      <c r="T69" s="1093">
        <f t="shared" si="0"/>
        <v>0</v>
      </c>
      <c r="U69" s="3"/>
      <c r="V69" s="1093"/>
      <c r="W69" s="1"/>
      <c r="X69" s="3"/>
      <c r="Y69" s="3"/>
      <c r="Z69" s="3"/>
      <c r="AA69" s="3"/>
      <c r="AB69" s="3"/>
      <c r="AC69" s="3"/>
    </row>
    <row r="70" spans="1:29">
      <c r="A70" s="1" t="s">
        <v>31</v>
      </c>
      <c r="B70" s="120"/>
      <c r="C70" s="120"/>
      <c r="D70" s="1097">
        <f>+'Input WFNG'!C264</f>
        <v>2947</v>
      </c>
      <c r="E70" s="121"/>
      <c r="F70" s="1097">
        <f>+'Input WFNG'!E264</f>
        <v>2947</v>
      </c>
      <c r="G70" s="31"/>
      <c r="H70" s="31"/>
      <c r="I70" s="31"/>
      <c r="J70" s="31">
        <f>B70+D70-F70-H70</f>
        <v>0</v>
      </c>
      <c r="K70" s="31"/>
      <c r="L70" s="31"/>
      <c r="M70" s="31"/>
      <c r="N70" s="31"/>
      <c r="O70" s="31"/>
      <c r="P70" s="31">
        <f>J70+L70+N70</f>
        <v>0</v>
      </c>
      <c r="Q70" s="31"/>
      <c r="R70" s="1093"/>
      <c r="S70" s="1093"/>
      <c r="T70" s="1093">
        <f t="shared" si="0"/>
        <v>0</v>
      </c>
      <c r="U70" s="3"/>
      <c r="V70" s="1093"/>
      <c r="W70" s="1" t="s">
        <v>1190</v>
      </c>
      <c r="X70" s="3"/>
      <c r="Y70" s="3"/>
      <c r="Z70" s="3"/>
      <c r="AA70" s="3"/>
      <c r="AB70" s="3"/>
      <c r="AC70" s="3"/>
    </row>
    <row r="71" spans="1:29">
      <c r="A71" s="1" t="s">
        <v>732</v>
      </c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1093">
        <f>(-Reconcil!B87+Reconcil!B140)*0</f>
        <v>0</v>
      </c>
      <c r="S71" s="1093"/>
      <c r="T71" s="1093">
        <f t="shared" si="0"/>
        <v>0</v>
      </c>
      <c r="U71" s="3"/>
      <c r="V71" s="1093"/>
      <c r="W71" s="1"/>
      <c r="X71" s="3"/>
      <c r="Y71" s="3"/>
      <c r="Z71" s="3"/>
      <c r="AA71" s="3"/>
      <c r="AB71" s="3"/>
      <c r="AC71" s="3"/>
    </row>
    <row r="72" spans="1:29">
      <c r="A72" s="1" t="s">
        <v>28</v>
      </c>
      <c r="B72" s="374">
        <f>-Input!C60/1000</f>
        <v>-91733.660180000006</v>
      </c>
      <c r="C72" s="31"/>
      <c r="D72" s="31"/>
      <c r="E72" s="31"/>
      <c r="F72" s="374">
        <f>-Input!C61/1000</f>
        <v>-1273.9898100000005</v>
      </c>
      <c r="G72" s="31"/>
      <c r="H72" s="31"/>
      <c r="I72" s="31"/>
      <c r="J72" s="31">
        <f>B72+D72-F72-H72</f>
        <v>-90459.670370000007</v>
      </c>
      <c r="K72" s="31"/>
      <c r="L72" s="31"/>
      <c r="M72" s="31"/>
      <c r="N72" s="374">
        <f>-Input!C62/1000</f>
        <v>-2808.7762599999974</v>
      </c>
      <c r="O72" s="31"/>
      <c r="P72" s="31">
        <f>J72+L72+N72</f>
        <v>-93268.446630000006</v>
      </c>
      <c r="Q72" s="31"/>
      <c r="R72" s="202"/>
      <c r="S72" s="1093"/>
      <c r="T72" s="1093">
        <f t="shared" si="0"/>
        <v>-93268.446630000006</v>
      </c>
      <c r="U72" s="3"/>
      <c r="V72" s="1093"/>
      <c r="W72" s="1"/>
      <c r="X72" s="3"/>
      <c r="Y72" s="3"/>
      <c r="Z72" s="3"/>
      <c r="AA72" s="3"/>
      <c r="AB72" s="3"/>
      <c r="AC72" s="3"/>
    </row>
    <row r="73" spans="1:29">
      <c r="A73" s="1" t="s">
        <v>733</v>
      </c>
      <c r="B73" s="37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74">
        <f>+-'Input Plant'!BY40/1000</f>
        <v>-65649.580300000001</v>
      </c>
      <c r="O73" s="31"/>
      <c r="P73" s="31">
        <f>J73+L73+N73</f>
        <v>-65649.580300000001</v>
      </c>
      <c r="Q73" s="31"/>
      <c r="R73" s="37">
        <v>0</v>
      </c>
      <c r="S73" s="1093"/>
      <c r="T73" s="1093">
        <f t="shared" si="0"/>
        <v>-65649.580300000001</v>
      </c>
      <c r="U73" s="3"/>
      <c r="V73" s="1093"/>
      <c r="W73" s="1"/>
      <c r="X73" s="3"/>
      <c r="Y73" s="3"/>
      <c r="Z73" s="3"/>
      <c r="AA73" s="3"/>
      <c r="AB73" s="3"/>
      <c r="AC73" s="3"/>
    </row>
    <row r="74" spans="1:29">
      <c r="A74" s="1" t="s">
        <v>57</v>
      </c>
      <c r="B74" s="84"/>
      <c r="C74" s="31"/>
      <c r="D74" s="84"/>
      <c r="E74" s="31"/>
      <c r="F74" s="84"/>
      <c r="G74" s="31"/>
      <c r="H74" s="84"/>
      <c r="I74" s="31"/>
      <c r="J74" s="84"/>
      <c r="K74" s="31"/>
      <c r="L74" s="84"/>
      <c r="M74" s="31"/>
      <c r="N74" s="84"/>
      <c r="O74" s="31"/>
      <c r="P74" s="84"/>
      <c r="Q74" s="31"/>
      <c r="R74" s="1094">
        <f>-Reconcil!B67</f>
        <v>-1524.7</v>
      </c>
      <c r="S74" s="1093"/>
      <c r="T74" s="1094">
        <f>P74+R74</f>
        <v>-1524.7</v>
      </c>
      <c r="U74" s="3"/>
      <c r="V74" s="1093"/>
      <c r="W74" s="1"/>
      <c r="X74" s="3"/>
      <c r="Y74" s="3"/>
      <c r="Z74" s="3"/>
      <c r="AA74" s="3"/>
      <c r="AB74" s="3"/>
      <c r="AC74" s="3"/>
    </row>
    <row r="75" spans="1:29" ht="12.95" customHeight="1">
      <c r="A75" s="1" t="s">
        <v>734</v>
      </c>
      <c r="B75" s="84">
        <f>SUM(B56:B74)</f>
        <v>-93184.997890188271</v>
      </c>
      <c r="C75" s="31"/>
      <c r="D75" s="84">
        <f>SUM(D56:D74)</f>
        <v>2947</v>
      </c>
      <c r="E75" s="31"/>
      <c r="F75" s="84">
        <f>SUM(F56:F74)</f>
        <v>1220.5983183370336</v>
      </c>
      <c r="G75" s="31"/>
      <c r="H75" s="84">
        <f>SUM(H56:H74)</f>
        <v>0</v>
      </c>
      <c r="I75" s="31"/>
      <c r="J75" s="84">
        <f>SUM(J56:J74)</f>
        <v>-91458.596208525312</v>
      </c>
      <c r="K75" s="31"/>
      <c r="L75" s="84">
        <f>SUM(L56:L74)</f>
        <v>-1939.6</v>
      </c>
      <c r="M75" s="31"/>
      <c r="N75" s="84">
        <f>SUM(N56:N74)</f>
        <v>-68458.35656</v>
      </c>
      <c r="O75" s="31"/>
      <c r="P75" s="84">
        <f>SUM(P56:P74)</f>
        <v>-161856.55276852532</v>
      </c>
      <c r="Q75" s="31"/>
      <c r="R75" s="84">
        <f>SUM(R56:R74)</f>
        <v>-19330.399999999998</v>
      </c>
      <c r="S75" s="31"/>
      <c r="T75" s="84">
        <f>SUM(T56:T74)</f>
        <v>-181186.95276852534</v>
      </c>
      <c r="U75" s="3"/>
      <c r="V75" s="1093"/>
      <c r="W75" s="1"/>
      <c r="X75" s="3"/>
      <c r="Y75" s="3"/>
      <c r="Z75" s="3"/>
      <c r="AA75" s="3"/>
      <c r="AB75" s="3"/>
      <c r="AC75" s="3"/>
    </row>
    <row r="76" spans="1:29">
      <c r="A76" s="1"/>
      <c r="B76" s="31" t="s">
        <v>650</v>
      </c>
      <c r="C76" s="31"/>
      <c r="D76" s="31" t="s">
        <v>650</v>
      </c>
      <c r="E76" s="31"/>
      <c r="F76" s="31" t="s">
        <v>650</v>
      </c>
      <c r="G76" s="31"/>
      <c r="H76" s="31" t="s">
        <v>650</v>
      </c>
      <c r="I76" s="31"/>
      <c r="J76" s="31" t="s">
        <v>650</v>
      </c>
      <c r="K76" s="31"/>
      <c r="L76" s="31" t="s">
        <v>650</v>
      </c>
      <c r="M76" s="31"/>
      <c r="N76" s="31" t="s">
        <v>650</v>
      </c>
      <c r="O76" s="31"/>
      <c r="P76" s="31" t="s">
        <v>650</v>
      </c>
      <c r="Q76" s="31"/>
      <c r="R76" s="31" t="s">
        <v>650</v>
      </c>
      <c r="S76" s="31"/>
      <c r="T76" s="31" t="s">
        <v>650</v>
      </c>
      <c r="U76" s="3"/>
      <c r="V76" s="3"/>
      <c r="W76" s="1"/>
      <c r="X76" s="3"/>
      <c r="Y76" s="3"/>
      <c r="Z76" s="3"/>
      <c r="AA76" s="3"/>
      <c r="AB76" s="3"/>
      <c r="AC76" s="3"/>
    </row>
    <row r="77" spans="1:29" ht="13.5" thickBot="1">
      <c r="A77" s="1" t="s">
        <v>735</v>
      </c>
      <c r="B77" s="123">
        <f>B53+B75</f>
        <v>3109497.902109812</v>
      </c>
      <c r="C77" s="31"/>
      <c r="D77" s="123">
        <f>D53+D75</f>
        <v>7978.9</v>
      </c>
      <c r="E77" s="31"/>
      <c r="F77" s="123">
        <f>F53+F75</f>
        <v>895265.09831833688</v>
      </c>
      <c r="G77" s="31"/>
      <c r="H77" s="123">
        <f>H53+H75</f>
        <v>20000</v>
      </c>
      <c r="I77" s="31"/>
      <c r="J77" s="123">
        <f>J53+J75</f>
        <v>2202211.7037914749</v>
      </c>
      <c r="K77" s="31"/>
      <c r="L77" s="123">
        <f>L53+L75</f>
        <v>0</v>
      </c>
      <c r="M77" s="31"/>
      <c r="N77" s="123">
        <f>N53+N75</f>
        <v>17168.043439999994</v>
      </c>
      <c r="O77" s="31"/>
      <c r="P77" s="123">
        <f>P53+P75</f>
        <v>2219379.7472314751</v>
      </c>
      <c r="Q77" s="31"/>
      <c r="R77" s="123">
        <f>R53+R75</f>
        <v>-15028.899999999969</v>
      </c>
      <c r="S77" s="31"/>
      <c r="T77" s="123">
        <f>T53+T75</f>
        <v>2204350.8472314747</v>
      </c>
      <c r="U77" s="31"/>
      <c r="V77" s="31"/>
      <c r="W77" s="1"/>
      <c r="X77" s="3"/>
      <c r="Y77" s="3"/>
      <c r="Z77" s="3"/>
      <c r="AA77" s="3"/>
      <c r="AB77" s="3"/>
      <c r="AC77" s="3"/>
    </row>
    <row r="78" spans="1:29" ht="13.5" thickTop="1">
      <c r="A78" s="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"/>
      <c r="V78" s="3"/>
      <c r="W78" s="1"/>
      <c r="X78" s="3"/>
      <c r="Y78" s="3"/>
      <c r="Z78" s="3"/>
      <c r="AA78" s="3"/>
      <c r="AB78" s="3"/>
      <c r="AC78" s="3"/>
    </row>
    <row r="79" spans="1:29">
      <c r="A79" s="119" t="s">
        <v>736</v>
      </c>
      <c r="B79" s="84"/>
      <c r="C79" s="31"/>
      <c r="D79" s="84"/>
      <c r="E79" s="31"/>
      <c r="F79" s="84"/>
      <c r="G79" s="31"/>
      <c r="H79" s="84"/>
      <c r="I79" s="31"/>
      <c r="J79" s="84"/>
      <c r="K79" s="31"/>
      <c r="L79" s="84"/>
      <c r="M79" s="31"/>
      <c r="N79" s="84"/>
      <c r="O79" s="31"/>
      <c r="P79" s="84"/>
      <c r="Q79" s="31"/>
      <c r="R79" s="84"/>
      <c r="S79" s="31"/>
      <c r="T79" s="84"/>
      <c r="U79" s="3"/>
      <c r="V79" s="3"/>
      <c r="W79" s="1"/>
      <c r="X79" s="3"/>
      <c r="Y79" s="3"/>
      <c r="Z79" s="3"/>
      <c r="AA79" s="3"/>
      <c r="AB79" s="3"/>
      <c r="AC79" s="3"/>
    </row>
    <row r="80" spans="1:29">
      <c r="A80" s="1" t="s">
        <v>737</v>
      </c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"/>
      <c r="V80" s="3"/>
      <c r="W80" s="1"/>
      <c r="X80" s="3"/>
      <c r="Y80" s="3"/>
      <c r="Z80" s="3"/>
      <c r="AA80" s="3"/>
      <c r="AB80" s="3"/>
      <c r="AC80" s="3"/>
    </row>
    <row r="81" spans="1:29" ht="13.5" thickBot="1">
      <c r="A81" s="1" t="s">
        <v>736</v>
      </c>
      <c r="B81" s="123">
        <f>B77+B79</f>
        <v>3109497.902109812</v>
      </c>
      <c r="C81" s="31"/>
      <c r="D81" s="123">
        <f>D77+D79</f>
        <v>7978.9</v>
      </c>
      <c r="E81" s="31"/>
      <c r="F81" s="123">
        <f>F77+F79</f>
        <v>895265.09831833688</v>
      </c>
      <c r="G81" s="31"/>
      <c r="H81" s="123">
        <f>H77+H79</f>
        <v>20000</v>
      </c>
      <c r="I81" s="31"/>
      <c r="J81" s="123">
        <f>J77+J79</f>
        <v>2202211.7037914749</v>
      </c>
      <c r="K81" s="31"/>
      <c r="L81" s="123">
        <f>L77+L79</f>
        <v>0</v>
      </c>
      <c r="M81" s="31"/>
      <c r="N81" s="123">
        <f>N77+N79</f>
        <v>17168.043439999994</v>
      </c>
      <c r="O81" s="31"/>
      <c r="P81" s="123">
        <f>P77+P79</f>
        <v>2219379.7472314751</v>
      </c>
      <c r="Q81" s="31"/>
      <c r="R81" s="123">
        <f>R77+R79</f>
        <v>-15028.899999999969</v>
      </c>
      <c r="S81" s="31"/>
      <c r="T81" s="123">
        <f>T77+T79</f>
        <v>2204350.8472314747</v>
      </c>
      <c r="U81" s="3"/>
      <c r="V81" s="31"/>
      <c r="W81" s="1"/>
      <c r="X81" s="3"/>
      <c r="Y81" s="3"/>
      <c r="Z81" s="3"/>
      <c r="AA81" s="3"/>
      <c r="AB81" s="3"/>
      <c r="AC81" s="3"/>
    </row>
    <row r="82" spans="1:29" ht="13.5" thickTop="1">
      <c r="A82" s="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"/>
      <c r="V82" s="3"/>
      <c r="W82" s="1"/>
      <c r="X82" s="3"/>
      <c r="Y82" s="3"/>
      <c r="Z82" s="3"/>
      <c r="AA82" s="3"/>
      <c r="AB82" s="3"/>
      <c r="AC82" s="3"/>
    </row>
    <row r="83" spans="1:29">
      <c r="A83" s="1" t="s">
        <v>738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"/>
      <c r="V83" s="3"/>
      <c r="W83" s="1"/>
      <c r="X83" s="3"/>
      <c r="Y83" s="3"/>
      <c r="Z83" s="3"/>
      <c r="AA83" s="3"/>
      <c r="AB83" s="3"/>
      <c r="AC83" s="3"/>
    </row>
    <row r="84" spans="1:29">
      <c r="A84" s="119" t="s">
        <v>739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"/>
      <c r="V84" s="3"/>
      <c r="W84" s="1"/>
      <c r="X84" s="3"/>
      <c r="Y84" s="3"/>
      <c r="Z84" s="3"/>
      <c r="AA84" s="3"/>
      <c r="AB84" s="3"/>
      <c r="AC84" s="3"/>
    </row>
    <row r="85" spans="1:29">
      <c r="A85" s="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"/>
      <c r="V85" s="3"/>
      <c r="W85" s="1"/>
      <c r="X85" s="3"/>
      <c r="Y85" s="3"/>
      <c r="Z85" s="3"/>
      <c r="AA85" s="3"/>
      <c r="AB85" s="3"/>
      <c r="AC85" s="3"/>
    </row>
    <row r="86" spans="1:29">
      <c r="A86" s="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>
        <f>P86+R86</f>
        <v>0</v>
      </c>
      <c r="U86" s="3"/>
      <c r="V86" s="31"/>
      <c r="W86" s="1"/>
      <c r="X86" s="3"/>
      <c r="Y86" s="3"/>
      <c r="Z86" s="3"/>
      <c r="AA86" s="3"/>
      <c r="AB86" s="3"/>
      <c r="AC86" s="3"/>
    </row>
    <row r="87" spans="1:29">
      <c r="A87" s="1"/>
      <c r="B87" s="84"/>
      <c r="C87" s="31"/>
      <c r="D87" s="84"/>
      <c r="E87" s="31"/>
      <c r="F87" s="84"/>
      <c r="G87" s="31"/>
      <c r="H87" s="84"/>
      <c r="I87" s="31"/>
      <c r="J87" s="84"/>
      <c r="K87" s="31"/>
      <c r="L87" s="84"/>
      <c r="M87" s="31"/>
      <c r="N87" s="84"/>
      <c r="O87" s="31"/>
      <c r="P87" s="84"/>
      <c r="Q87" s="31"/>
      <c r="R87" s="84"/>
      <c r="S87" s="31"/>
      <c r="T87" s="84"/>
      <c r="U87" s="3"/>
      <c r="V87" s="3"/>
      <c r="W87" s="1"/>
      <c r="X87" s="3"/>
      <c r="Y87" s="3"/>
      <c r="Z87" s="3"/>
      <c r="AA87" s="3"/>
      <c r="AB87" s="3"/>
      <c r="AC87" s="3"/>
    </row>
    <row r="88" spans="1:29" ht="12.95" customHeight="1">
      <c r="A88" s="1" t="s">
        <v>740</v>
      </c>
      <c r="B88" s="84">
        <f>SUM(B86:B86)</f>
        <v>0</v>
      </c>
      <c r="C88" s="31"/>
      <c r="D88" s="84">
        <f>SUM(D86:D86)</f>
        <v>0</v>
      </c>
      <c r="E88" s="31"/>
      <c r="F88" s="84">
        <f>SUM(F86:F86)</f>
        <v>0</v>
      </c>
      <c r="G88" s="31"/>
      <c r="H88" s="84">
        <f>SUM(H86:H86)</f>
        <v>0</v>
      </c>
      <c r="I88" s="31"/>
      <c r="J88" s="84">
        <f>SUM(J86:J86)</f>
        <v>0</v>
      </c>
      <c r="K88" s="31"/>
      <c r="L88" s="84">
        <f>SUM(L86:L86)</f>
        <v>0</v>
      </c>
      <c r="M88" s="31"/>
      <c r="N88" s="84">
        <f>SUM(N86:N86)</f>
        <v>0</v>
      </c>
      <c r="O88" s="31"/>
      <c r="P88" s="84">
        <f>SUM(P86:P86)</f>
        <v>0</v>
      </c>
      <c r="Q88" s="31"/>
      <c r="R88" s="84">
        <f>SUM(R86:R86)</f>
        <v>0</v>
      </c>
      <c r="S88" s="31"/>
      <c r="T88" s="84">
        <f>SUM(T86:T86)</f>
        <v>0</v>
      </c>
      <c r="U88" s="3"/>
      <c r="V88" s="31"/>
      <c r="W88" s="1"/>
      <c r="X88" s="3"/>
      <c r="Y88" s="3"/>
      <c r="Z88" s="3"/>
      <c r="AA88" s="3"/>
      <c r="AB88" s="3"/>
      <c r="AC88" s="3"/>
    </row>
    <row r="89" spans="1:29">
      <c r="A89" s="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"/>
      <c r="V89" s="3"/>
      <c r="W89" s="1"/>
      <c r="X89" s="3"/>
      <c r="Y89" s="3"/>
      <c r="Z89" s="3"/>
      <c r="AA89" s="3"/>
      <c r="AB89" s="3"/>
      <c r="AC89" s="3"/>
    </row>
    <row r="90" spans="1:29" ht="13.5" thickBot="1">
      <c r="A90" s="1" t="s">
        <v>741</v>
      </c>
      <c r="B90" s="123">
        <f>B81+B88</f>
        <v>3109497.902109812</v>
      </c>
      <c r="C90" s="31"/>
      <c r="D90" s="123">
        <f>D81+D88</f>
        <v>7978.9</v>
      </c>
      <c r="E90" s="31"/>
      <c r="F90" s="123">
        <f>F81+F88</f>
        <v>895265.09831833688</v>
      </c>
      <c r="G90" s="31"/>
      <c r="H90" s="123">
        <f>H81+H88</f>
        <v>20000</v>
      </c>
      <c r="I90" s="31"/>
      <c r="J90" s="123">
        <f>J81+J88</f>
        <v>2202211.7037914749</v>
      </c>
      <c r="K90" s="31"/>
      <c r="L90" s="123">
        <f>L81+L88</f>
        <v>0</v>
      </c>
      <c r="M90" s="31"/>
      <c r="N90" s="123">
        <f>N81+N88</f>
        <v>17168.043439999994</v>
      </c>
      <c r="O90" s="31"/>
      <c r="P90" s="123">
        <f>P81+P88</f>
        <v>2219379.7472314751</v>
      </c>
      <c r="Q90" s="31"/>
      <c r="R90" s="123">
        <f>R81+R88</f>
        <v>-15028.899999999969</v>
      </c>
      <c r="S90" s="31"/>
      <c r="T90" s="123">
        <f>T81+T88</f>
        <v>2204350.8472314747</v>
      </c>
      <c r="U90" s="3"/>
      <c r="V90" s="31"/>
      <c r="W90" s="1"/>
      <c r="X90" s="3"/>
      <c r="Y90" s="3"/>
      <c r="Z90" s="3"/>
      <c r="AA90" s="3"/>
      <c r="AB90" s="3"/>
      <c r="AC90" s="3"/>
    </row>
    <row r="91" spans="1:29" ht="13.5" thickTop="1">
      <c r="A91" s="1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3"/>
      <c r="V91" s="3"/>
      <c r="W91" s="3"/>
      <c r="X91" s="3"/>
      <c r="Y91" s="3"/>
      <c r="Z91" s="3"/>
      <c r="AA91" s="3"/>
      <c r="AB91" s="3"/>
      <c r="AC91" s="3"/>
    </row>
    <row r="92" spans="1:29">
      <c r="A92" s="1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3"/>
      <c r="V92" s="3"/>
      <c r="W92" s="3"/>
      <c r="X92" s="3"/>
      <c r="Y92" s="3"/>
      <c r="Z92" s="3"/>
      <c r="AA92" s="3"/>
      <c r="AB92" s="3"/>
      <c r="AC92" s="3"/>
    </row>
    <row r="93" spans="1:29" ht="15.75">
      <c r="A93" s="124" t="s">
        <v>232</v>
      </c>
      <c r="B93" s="125"/>
      <c r="C93" s="125"/>
      <c r="D93" s="125"/>
      <c r="E93" s="125"/>
      <c r="F93" s="92"/>
      <c r="G93" s="125"/>
      <c r="H93" s="124"/>
      <c r="I93" s="92"/>
      <c r="J93" s="126"/>
      <c r="K93" s="125"/>
      <c r="L93" s="125"/>
      <c r="M93" s="125"/>
      <c r="N93" s="125"/>
      <c r="O93" s="125"/>
      <c r="P93" s="125"/>
      <c r="Q93" s="125"/>
      <c r="R93" s="125"/>
      <c r="S93" s="125"/>
      <c r="T93" s="125" t="s">
        <v>742</v>
      </c>
      <c r="U93" s="126"/>
      <c r="V93" s="125"/>
      <c r="W93" s="3"/>
      <c r="X93" s="3"/>
      <c r="Y93" s="3"/>
      <c r="Z93" s="3"/>
      <c r="AA93" s="3"/>
      <c r="AB93" s="3"/>
      <c r="AC93" s="3"/>
    </row>
    <row r="94" spans="1:29" ht="15.75">
      <c r="A94" s="127" t="s">
        <v>675</v>
      </c>
      <c r="B94" s="125"/>
      <c r="C94" s="125"/>
      <c r="D94" s="125"/>
      <c r="E94" s="125"/>
      <c r="F94" s="92"/>
      <c r="G94" s="125"/>
      <c r="H94" s="127"/>
      <c r="I94" s="92"/>
      <c r="J94" s="126"/>
      <c r="K94" s="125"/>
      <c r="L94" s="125"/>
      <c r="M94" s="125"/>
      <c r="N94" s="125"/>
      <c r="O94" s="125"/>
      <c r="P94" s="125"/>
      <c r="Q94" s="125"/>
      <c r="R94" s="125"/>
      <c r="S94" s="125"/>
      <c r="T94" s="128"/>
      <c r="U94" s="128"/>
      <c r="V94" s="128"/>
      <c r="W94" s="3"/>
      <c r="X94" s="3"/>
      <c r="Y94" s="3"/>
      <c r="Z94" s="3"/>
      <c r="AA94" s="3"/>
      <c r="AB94" s="3"/>
      <c r="AC94" s="3"/>
    </row>
    <row r="95" spans="1:29" ht="15.75">
      <c r="A95" s="129" t="str">
        <f>A3</f>
        <v>2023 Budget</v>
      </c>
      <c r="B95" s="125"/>
      <c r="C95" s="125"/>
      <c r="D95" s="125"/>
      <c r="E95" s="125"/>
      <c r="F95" s="125"/>
      <c r="G95" s="124"/>
      <c r="H95" s="125"/>
      <c r="I95" s="92"/>
      <c r="J95" s="126"/>
      <c r="K95" s="125"/>
      <c r="L95" s="125"/>
      <c r="M95" s="125"/>
      <c r="N95" s="125"/>
      <c r="O95" s="125"/>
      <c r="P95" s="125"/>
      <c r="Q95" s="125"/>
      <c r="R95" s="125"/>
      <c r="S95" s="125"/>
      <c r="T95" s="128"/>
      <c r="U95" s="128"/>
      <c r="V95" s="128"/>
      <c r="W95" s="3"/>
      <c r="X95" s="3"/>
      <c r="Y95" s="3"/>
      <c r="Z95" s="3"/>
      <c r="AA95" s="3"/>
      <c r="AB95" s="3"/>
      <c r="AC95" s="3"/>
    </row>
    <row r="96" spans="1:29">
      <c r="A96" s="1"/>
      <c r="B96" s="3"/>
      <c r="C96" s="3"/>
      <c r="D96" s="3"/>
      <c r="E96" s="3"/>
      <c r="F96" s="3"/>
      <c r="G96" s="3"/>
      <c r="H96" s="3"/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>
      <c r="A97" s="1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3"/>
      <c r="V97" s="288"/>
      <c r="W97" s="3"/>
      <c r="X97" s="3"/>
      <c r="Y97" s="3"/>
      <c r="Z97" s="3"/>
      <c r="AA97" s="3"/>
      <c r="AB97" s="3"/>
      <c r="AC97" s="3"/>
    </row>
    <row r="98" spans="1:29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>
      <c r="A99" s="1"/>
      <c r="B99" s="85" t="s">
        <v>663</v>
      </c>
      <c r="C99" s="3"/>
      <c r="D99" s="85" t="s">
        <v>664</v>
      </c>
      <c r="E99" s="3"/>
      <c r="F99" s="85" t="s">
        <v>665</v>
      </c>
      <c r="G99" s="3"/>
      <c r="H99" s="85" t="s">
        <v>666</v>
      </c>
      <c r="I99" s="1"/>
      <c r="J99" s="85" t="s">
        <v>667</v>
      </c>
      <c r="K99" s="3"/>
      <c r="L99" s="85" t="s">
        <v>744</v>
      </c>
      <c r="M99" s="3"/>
      <c r="N99" s="85" t="s">
        <v>702</v>
      </c>
      <c r="O99" s="3"/>
      <c r="P99" s="85" t="s">
        <v>703</v>
      </c>
      <c r="Q99" s="3"/>
      <c r="R99" s="85" t="s">
        <v>704</v>
      </c>
      <c r="S99" s="3"/>
      <c r="T99" s="85" t="s">
        <v>705</v>
      </c>
      <c r="U99" s="3"/>
      <c r="V99" s="85" t="s">
        <v>706</v>
      </c>
      <c r="W99" s="3"/>
      <c r="X99" s="3"/>
      <c r="Y99" s="3"/>
      <c r="Z99" s="3"/>
      <c r="AA99" s="3"/>
      <c r="AB99" s="3"/>
      <c r="AC99" s="3"/>
    </row>
    <row r="100" spans="1:29">
      <c r="A100" s="1"/>
      <c r="B100" s="3"/>
      <c r="C100" s="3"/>
      <c r="D100" s="3"/>
      <c r="E100" s="3"/>
      <c r="F100" s="3"/>
      <c r="G100" s="3"/>
      <c r="H100" s="85" t="s">
        <v>745</v>
      </c>
      <c r="I100" s="1"/>
      <c r="J100" s="3"/>
      <c r="K100" s="3"/>
      <c r="L100" s="3"/>
      <c r="M100" s="3"/>
      <c r="N100" s="85" t="s">
        <v>746</v>
      </c>
      <c r="O100" s="3"/>
      <c r="P100" s="85" t="s">
        <v>747</v>
      </c>
      <c r="Q100" s="3"/>
      <c r="R100" s="3"/>
      <c r="S100" s="3"/>
      <c r="T100" s="85" t="s">
        <v>719</v>
      </c>
      <c r="U100" s="3"/>
      <c r="V100" s="85" t="s">
        <v>710</v>
      </c>
      <c r="W100" s="3"/>
      <c r="X100" s="3"/>
      <c r="Y100" s="3"/>
      <c r="Z100" s="3"/>
      <c r="AA100" s="3"/>
      <c r="AB100" s="3"/>
      <c r="AC100" s="3"/>
    </row>
    <row r="101" spans="1:29">
      <c r="A101" s="1"/>
      <c r="B101" s="85" t="s">
        <v>748</v>
      </c>
      <c r="C101" s="3"/>
      <c r="D101" s="85" t="s">
        <v>749</v>
      </c>
      <c r="E101" s="3"/>
      <c r="F101" s="85" t="s">
        <v>749</v>
      </c>
      <c r="G101" s="3"/>
      <c r="H101" s="85" t="s">
        <v>714</v>
      </c>
      <c r="I101" s="1"/>
      <c r="J101" s="85" t="s">
        <v>750</v>
      </c>
      <c r="K101" s="3"/>
      <c r="L101" s="85" t="s">
        <v>751</v>
      </c>
      <c r="M101" s="3"/>
      <c r="N101" s="85" t="s">
        <v>751</v>
      </c>
      <c r="O101" s="3"/>
      <c r="P101" s="85" t="s">
        <v>752</v>
      </c>
      <c r="Q101" s="3"/>
      <c r="R101" s="85" t="s">
        <v>753</v>
      </c>
      <c r="S101" s="3"/>
      <c r="T101" s="85" t="s">
        <v>748</v>
      </c>
      <c r="U101" s="3"/>
      <c r="V101" s="85" t="s">
        <v>748</v>
      </c>
      <c r="W101" s="85"/>
      <c r="X101" s="3"/>
      <c r="Y101" s="3"/>
      <c r="Z101" s="3"/>
      <c r="AA101" s="3"/>
      <c r="AB101" s="3"/>
      <c r="AC101" s="3"/>
    </row>
    <row r="102" spans="1:29">
      <c r="A102" s="1"/>
      <c r="B102" s="130" t="s">
        <v>61</v>
      </c>
      <c r="C102" s="3"/>
      <c r="D102" s="130" t="s">
        <v>754</v>
      </c>
      <c r="E102" s="3"/>
      <c r="F102" s="130" t="s">
        <v>512</v>
      </c>
      <c r="G102" s="3"/>
      <c r="H102" s="130" t="s">
        <v>722</v>
      </c>
      <c r="I102" s="1"/>
      <c r="J102" s="130" t="s">
        <v>755</v>
      </c>
      <c r="K102" s="3"/>
      <c r="L102" s="130" t="s">
        <v>404</v>
      </c>
      <c r="M102" s="3"/>
      <c r="N102" s="130" t="s">
        <v>756</v>
      </c>
      <c r="O102" s="3"/>
      <c r="P102" s="130" t="s">
        <v>756</v>
      </c>
      <c r="Q102" s="3"/>
      <c r="R102" s="130" t="s">
        <v>757</v>
      </c>
      <c r="S102" s="3"/>
      <c r="T102" s="130" t="s">
        <v>758</v>
      </c>
      <c r="U102" s="3"/>
      <c r="V102" s="130" t="s">
        <v>759</v>
      </c>
      <c r="W102" s="2"/>
      <c r="X102" s="85"/>
      <c r="Y102" s="3"/>
      <c r="Z102" s="3"/>
      <c r="AA102" s="3"/>
      <c r="AB102" s="3"/>
      <c r="AC102" s="3"/>
    </row>
    <row r="103" spans="1:29" ht="13.9" customHeight="1">
      <c r="A103" s="1" t="s">
        <v>728</v>
      </c>
      <c r="B103" s="84">
        <f ca="1">+IncomeStmt!$F$7</f>
        <v>632323.99999999988</v>
      </c>
      <c r="C103" s="31"/>
      <c r="D103" s="204">
        <f ca="1">+IncomeStmt!$F$8</f>
        <v>228428.9</v>
      </c>
      <c r="E103" s="31"/>
      <c r="F103" s="204">
        <f ca="1">+IncomeStmt!$F$11</f>
        <v>155745.39999999997</v>
      </c>
      <c r="G103" s="31"/>
      <c r="H103" s="84">
        <f ca="1">SUM(IncomeStmt!$F$12:$F$15)</f>
        <v>53271</v>
      </c>
      <c r="I103" s="31"/>
      <c r="J103" s="84">
        <f ca="1">+IncomeStmt!$F$16</f>
        <v>54871</v>
      </c>
      <c r="K103" s="31"/>
      <c r="L103" s="84">
        <f ca="1">SUM(IncomeStmt!$F$17:$F$17)</f>
        <v>-982.6</v>
      </c>
      <c r="M103" s="31"/>
      <c r="N103" s="84">
        <f ca="1">SUM(IncomeStmt!$F$18:$F$18)</f>
        <v>23535.5</v>
      </c>
      <c r="O103" s="31"/>
      <c r="P103" s="84">
        <f ca="1">+IncomeStmt!$F$19</f>
        <v>3313.3</v>
      </c>
      <c r="Q103" s="31"/>
      <c r="R103" s="564">
        <f>+Report!R106</f>
        <v>-495.59999999999997</v>
      </c>
      <c r="S103" s="31"/>
      <c r="T103" s="84">
        <f ca="1">SUM(D103:R103)</f>
        <v>517686.89999999997</v>
      </c>
      <c r="U103" s="31"/>
      <c r="V103" s="561">
        <f ca="1">B103-T103</f>
        <v>114637.09999999992</v>
      </c>
      <c r="W103" s="1093"/>
      <c r="X103" s="31"/>
      <c r="Y103" s="3"/>
      <c r="Z103" s="3"/>
      <c r="AA103" s="3"/>
      <c r="AB103" s="3"/>
      <c r="AC103" s="3"/>
    </row>
    <row r="104" spans="1:29">
      <c r="A104" s="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"/>
      <c r="Y104" s="3"/>
      <c r="Z104" s="3"/>
      <c r="AA104" s="3"/>
      <c r="AB104" s="3"/>
      <c r="AC104" s="3"/>
    </row>
    <row r="105" spans="1:29">
      <c r="A105" s="119" t="s">
        <v>729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"/>
      <c r="Y105" s="3"/>
      <c r="Z105" s="3"/>
      <c r="AA105" s="3"/>
      <c r="AB105" s="3"/>
      <c r="AC105" s="3"/>
    </row>
    <row r="106" spans="1:29">
      <c r="A106" s="197" t="s">
        <v>62</v>
      </c>
      <c r="B106" s="563">
        <f ca="1">+Report!B109</f>
        <v>-23850.1</v>
      </c>
      <c r="C106" s="31"/>
      <c r="D106" s="31"/>
      <c r="E106" s="31"/>
      <c r="F106" s="563">
        <f ca="1">+Report!F109</f>
        <v>-23850.1</v>
      </c>
      <c r="G106" s="31"/>
      <c r="H106" s="31"/>
      <c r="I106" s="31"/>
      <c r="J106" s="31"/>
      <c r="K106" s="31"/>
      <c r="L106" s="398">
        <f ca="1">+Report!L109</f>
        <v>0</v>
      </c>
      <c r="M106" s="31"/>
      <c r="N106" s="31"/>
      <c r="O106" s="31"/>
      <c r="P106" s="31"/>
      <c r="Q106" s="31"/>
      <c r="R106" s="31"/>
      <c r="S106" s="31"/>
      <c r="T106" s="31">
        <f t="shared" ref="T106:T122" ca="1" si="1">SUM(D106:R106)</f>
        <v>-23850.1</v>
      </c>
      <c r="U106" s="31"/>
      <c r="V106" s="31">
        <f t="shared" ref="V106:V122" ca="1" si="2">B106-T106</f>
        <v>0</v>
      </c>
      <c r="W106" s="31">
        <f ca="1">+V106-Report!V109</f>
        <v>0</v>
      </c>
      <c r="X106" s="31"/>
      <c r="Y106" s="3"/>
      <c r="Z106" s="3"/>
      <c r="AA106" s="3"/>
      <c r="AB106" s="3"/>
      <c r="AC106" s="3"/>
    </row>
    <row r="107" spans="1:29">
      <c r="A107" s="197" t="s">
        <v>80</v>
      </c>
      <c r="B107" s="31"/>
      <c r="C107" s="31"/>
      <c r="D107" s="31"/>
      <c r="E107" s="31"/>
      <c r="F107" s="31"/>
      <c r="G107" s="31"/>
      <c r="H107" s="562">
        <f ca="1">+Report!H110</f>
        <v>-38.818770049943979</v>
      </c>
      <c r="I107" s="31"/>
      <c r="J107" s="362">
        <f>+Report!J110</f>
        <v>0</v>
      </c>
      <c r="K107" s="31"/>
      <c r="L107" s="398">
        <f ca="1">+Report!L110</f>
        <v>9.838617269158302</v>
      </c>
      <c r="M107" s="31"/>
      <c r="N107" s="31"/>
      <c r="O107" s="31"/>
      <c r="P107" s="31"/>
      <c r="Q107" s="31"/>
      <c r="R107" s="31"/>
      <c r="S107" s="31"/>
      <c r="T107" s="31">
        <f t="shared" ca="1" si="1"/>
        <v>-28.980152780785676</v>
      </c>
      <c r="U107" s="31"/>
      <c r="V107" s="31">
        <f t="shared" ca="1" si="2"/>
        <v>28.980152780785676</v>
      </c>
      <c r="W107" s="31"/>
      <c r="X107" s="31"/>
      <c r="Y107" s="3"/>
      <c r="Z107" s="3"/>
      <c r="AA107" s="3"/>
      <c r="AB107" s="3"/>
      <c r="AC107" s="3"/>
    </row>
    <row r="108" spans="1:29">
      <c r="A108" s="197" t="s">
        <v>86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74">
        <f ca="1">-'Int Synch'!E62</f>
        <v>305.38042651598914</v>
      </c>
      <c r="M108" s="31"/>
      <c r="N108" s="31"/>
      <c r="O108" s="31"/>
      <c r="P108" s="31"/>
      <c r="Q108" s="31"/>
      <c r="R108" s="31"/>
      <c r="S108" s="31"/>
      <c r="T108" s="31">
        <f t="shared" ca="1" si="1"/>
        <v>305.38042651598914</v>
      </c>
      <c r="U108" s="31"/>
      <c r="V108" s="31">
        <f t="shared" ca="1" si="2"/>
        <v>-305.38042651598914</v>
      </c>
      <c r="W108" s="31"/>
      <c r="X108" s="31"/>
      <c r="Y108" s="3"/>
      <c r="Z108" s="3"/>
      <c r="AA108" s="3"/>
      <c r="AB108" s="3"/>
      <c r="AC108" s="3"/>
    </row>
    <row r="109" spans="1:29">
      <c r="A109" s="197" t="s">
        <v>87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62">
        <f>+Report!L112</f>
        <v>-2099</v>
      </c>
      <c r="M109" s="31"/>
      <c r="N109" s="31"/>
      <c r="O109" s="31"/>
      <c r="P109" s="31"/>
      <c r="Q109" s="31"/>
      <c r="R109" s="31"/>
      <c r="S109" s="31"/>
      <c r="T109" s="31">
        <f t="shared" si="1"/>
        <v>-2099</v>
      </c>
      <c r="U109" s="31"/>
      <c r="V109" s="31">
        <f t="shared" si="2"/>
        <v>2099</v>
      </c>
      <c r="W109" s="31"/>
      <c r="X109" s="31"/>
      <c r="Y109" s="3"/>
      <c r="Z109" s="3"/>
      <c r="AA109" s="3"/>
      <c r="AB109" s="3"/>
      <c r="AC109" s="3"/>
    </row>
    <row r="110" spans="1:29">
      <c r="A110" s="197" t="s">
        <v>63</v>
      </c>
      <c r="B110" s="563">
        <f ca="1">+Report!B113</f>
        <v>-229472.69999999998</v>
      </c>
      <c r="C110" s="31"/>
      <c r="D110" s="563">
        <f ca="1">+Report!D113</f>
        <v>-228428.9</v>
      </c>
      <c r="E110" s="31"/>
      <c r="F110" s="31"/>
      <c r="G110" s="31"/>
      <c r="H110" s="31"/>
      <c r="I110" s="31"/>
      <c r="J110" s="563">
        <f ca="1">+Report!J113</f>
        <v>-1043.8</v>
      </c>
      <c r="K110" s="31"/>
      <c r="L110" s="398">
        <f ca="1">+Report!L113</f>
        <v>2.9390207600954455E-12</v>
      </c>
      <c r="M110" s="31"/>
      <c r="N110" s="31"/>
      <c r="O110" s="31"/>
      <c r="P110" s="31"/>
      <c r="Q110" s="31"/>
      <c r="R110" s="31"/>
      <c r="S110" s="31"/>
      <c r="T110" s="31">
        <f t="shared" ca="1" si="1"/>
        <v>-229472.69999999998</v>
      </c>
      <c r="U110" s="31"/>
      <c r="V110" s="31">
        <f t="shared" ca="1" si="2"/>
        <v>0</v>
      </c>
      <c r="W110" s="31"/>
      <c r="X110" s="31"/>
      <c r="Y110" s="3"/>
      <c r="Z110" s="3"/>
      <c r="AA110" s="3"/>
      <c r="AB110" s="3"/>
      <c r="AC110" s="3"/>
    </row>
    <row r="111" spans="1:29">
      <c r="A111" s="197" t="s">
        <v>72</v>
      </c>
      <c r="B111" s="31"/>
      <c r="C111" s="31"/>
      <c r="D111" s="31"/>
      <c r="E111" s="31"/>
      <c r="F111" s="565">
        <f ca="1">+Report!F114</f>
        <v>-18</v>
      </c>
      <c r="G111" s="31"/>
      <c r="H111" s="31"/>
      <c r="I111" s="31"/>
      <c r="J111" s="31"/>
      <c r="K111" s="31"/>
      <c r="L111" s="398">
        <f ca="1">+Report!L114</f>
        <v>4.5621</v>
      </c>
      <c r="M111" s="31"/>
      <c r="N111" s="31"/>
      <c r="O111" s="31"/>
      <c r="P111" s="31"/>
      <c r="Q111" s="31"/>
      <c r="R111" s="31"/>
      <c r="S111" s="31"/>
      <c r="T111" s="31">
        <f t="shared" ca="1" si="1"/>
        <v>-13.437899999999999</v>
      </c>
      <c r="U111" s="31"/>
      <c r="V111" s="31">
        <f t="shared" ca="1" si="2"/>
        <v>13.437899999999999</v>
      </c>
      <c r="W111" s="31"/>
      <c r="X111" s="31"/>
      <c r="Y111" s="3"/>
      <c r="Z111" s="3"/>
      <c r="AA111" s="3"/>
      <c r="AB111" s="3"/>
      <c r="AC111" s="3"/>
    </row>
    <row r="112" spans="1:29">
      <c r="A112" s="197" t="s">
        <v>73</v>
      </c>
      <c r="B112" s="31"/>
      <c r="C112" s="31"/>
      <c r="D112" s="31"/>
      <c r="E112" s="31"/>
      <c r="F112" s="562">
        <f ca="1">+Report!F115</f>
        <v>-79.175510000000003</v>
      </c>
      <c r="G112" s="31"/>
      <c r="H112" s="31"/>
      <c r="I112" s="31"/>
      <c r="J112" s="31"/>
      <c r="K112" s="31"/>
      <c r="L112" s="398">
        <f ca="1">+Report!L115</f>
        <v>20.067033009500001</v>
      </c>
      <c r="M112" s="31"/>
      <c r="N112" s="31"/>
      <c r="O112" s="31"/>
      <c r="P112" s="31"/>
      <c r="Q112" s="31"/>
      <c r="R112" s="31"/>
      <c r="S112" s="31"/>
      <c r="T112" s="31">
        <f t="shared" ca="1" si="1"/>
        <v>-59.108476990500002</v>
      </c>
      <c r="U112" s="31"/>
      <c r="V112" s="31">
        <f t="shared" ca="1" si="2"/>
        <v>59.108476990500002</v>
      </c>
      <c r="X112" s="31"/>
      <c r="Y112" s="31"/>
      <c r="Z112" s="3"/>
      <c r="AA112" s="3"/>
      <c r="AB112" s="3"/>
      <c r="AC112" s="3"/>
    </row>
    <row r="113" spans="1:33">
      <c r="A113" s="197" t="s">
        <v>64</v>
      </c>
      <c r="B113" s="565">
        <f ca="1">+Report!B116</f>
        <v>-33289.800000000003</v>
      </c>
      <c r="C113" s="31"/>
      <c r="D113" s="31"/>
      <c r="E113" s="31"/>
      <c r="F113" s="31"/>
      <c r="G113" s="31"/>
      <c r="H113" s="31"/>
      <c r="I113" s="31"/>
      <c r="J113" s="565">
        <f ca="1">+Report!J116</f>
        <v>-33289.800000000003</v>
      </c>
      <c r="K113" s="31"/>
      <c r="L113" s="398">
        <f ca="1">+Report!L116</f>
        <v>0</v>
      </c>
      <c r="M113" s="31"/>
      <c r="N113" s="31"/>
      <c r="O113" s="31"/>
      <c r="P113" s="31"/>
      <c r="Q113" s="31"/>
      <c r="R113" s="31"/>
      <c r="S113" s="31"/>
      <c r="T113" s="31">
        <f t="shared" ca="1" si="1"/>
        <v>-33289.800000000003</v>
      </c>
      <c r="U113" s="31"/>
      <c r="V113" s="31">
        <f t="shared" ca="1" si="2"/>
        <v>0</v>
      </c>
      <c r="W113" s="31"/>
      <c r="X113" s="31"/>
      <c r="Y113" s="3"/>
      <c r="Z113" s="3"/>
      <c r="AA113" s="3"/>
      <c r="AB113" s="31"/>
      <c r="AC113" s="3"/>
      <c r="AD113" s="3"/>
      <c r="AE113" s="3"/>
      <c r="AF113" s="3"/>
      <c r="AG113" s="3"/>
    </row>
    <row r="114" spans="1:33">
      <c r="A114" s="197" t="s">
        <v>75</v>
      </c>
      <c r="B114" s="31"/>
      <c r="C114" s="31"/>
      <c r="D114" s="31"/>
      <c r="E114" s="31"/>
      <c r="F114" s="562">
        <f ca="1">+Report!F117</f>
        <v>-38.448500351999989</v>
      </c>
      <c r="G114" s="31"/>
      <c r="H114" s="31"/>
      <c r="I114" s="31"/>
      <c r="J114" s="31"/>
      <c r="K114" s="31"/>
      <c r="L114" s="398">
        <f ca="1">+Report!L117</f>
        <v>9.7447724142143972</v>
      </c>
      <c r="M114" s="31"/>
      <c r="N114" s="31"/>
      <c r="O114" s="31"/>
      <c r="P114" s="31"/>
      <c r="Q114" s="31"/>
      <c r="R114" s="31"/>
      <c r="S114" s="31"/>
      <c r="T114" s="31">
        <f t="shared" ca="1" si="1"/>
        <v>-28.703727937785594</v>
      </c>
      <c r="U114" s="31"/>
      <c r="V114" s="31">
        <f t="shared" ca="1" si="2"/>
        <v>28.703727937785594</v>
      </c>
      <c r="W114" s="31"/>
      <c r="X114" s="31"/>
      <c r="Y114" s="3"/>
      <c r="Z114" s="3"/>
      <c r="AA114" s="3"/>
      <c r="AB114" s="3"/>
      <c r="AC114" s="3"/>
    </row>
    <row r="115" spans="1:33">
      <c r="A115" s="197" t="s">
        <v>76</v>
      </c>
      <c r="B115" s="31"/>
      <c r="C115" s="31"/>
      <c r="D115" s="31"/>
      <c r="E115" s="31"/>
      <c r="F115" s="562">
        <f ca="1">+Report!F118</f>
        <v>-5.9299689200000003</v>
      </c>
      <c r="G115" s="31"/>
      <c r="H115" s="31"/>
      <c r="I115" s="31"/>
      <c r="J115" s="31"/>
      <c r="K115" s="31"/>
      <c r="L115" s="398">
        <f ca="1">+Report!L118</f>
        <v>1.5029506227740002</v>
      </c>
      <c r="M115" s="31"/>
      <c r="N115" s="31"/>
      <c r="O115" s="31"/>
      <c r="P115" s="31"/>
      <c r="Q115" s="31"/>
      <c r="R115" s="31"/>
      <c r="S115" s="31"/>
      <c r="T115" s="31">
        <f t="shared" ca="1" si="1"/>
        <v>-4.4270182972260006</v>
      </c>
      <c r="U115" s="31"/>
      <c r="V115" s="31">
        <f t="shared" ca="1" si="2"/>
        <v>4.4270182972260006</v>
      </c>
      <c r="W115" s="31"/>
      <c r="X115" s="31"/>
      <c r="Y115" s="3"/>
      <c r="Z115" s="3"/>
      <c r="AA115" s="3"/>
      <c r="AB115" s="3"/>
      <c r="AC115" s="3"/>
    </row>
    <row r="116" spans="1:33">
      <c r="A116" s="197" t="s">
        <v>81</v>
      </c>
      <c r="B116" s="37"/>
      <c r="C116" s="31"/>
      <c r="D116" s="31"/>
      <c r="E116" s="31"/>
      <c r="F116" s="37"/>
      <c r="G116" s="31"/>
      <c r="H116" s="562">
        <f>+Report!H119</f>
        <v>0</v>
      </c>
      <c r="I116" s="31"/>
      <c r="J116" s="31"/>
      <c r="K116" s="31"/>
      <c r="L116" s="398">
        <f>+Report!L119</f>
        <v>0</v>
      </c>
      <c r="M116" s="31"/>
      <c r="N116" s="31"/>
      <c r="O116" s="31"/>
      <c r="P116" s="31"/>
      <c r="Q116" s="31"/>
      <c r="R116" s="31"/>
      <c r="S116" s="31"/>
      <c r="T116" s="31">
        <f t="shared" si="1"/>
        <v>0</v>
      </c>
      <c r="U116" s="31"/>
      <c r="V116" s="31">
        <f t="shared" si="2"/>
        <v>0</v>
      </c>
      <c r="W116" s="31"/>
      <c r="X116" s="31"/>
      <c r="Y116" s="3"/>
      <c r="Z116" s="3"/>
      <c r="AA116" s="3"/>
      <c r="AB116" s="3"/>
      <c r="AC116" s="3"/>
    </row>
    <row r="117" spans="1:33">
      <c r="A117" s="197" t="s">
        <v>88</v>
      </c>
      <c r="B117" s="199"/>
      <c r="C117" s="31"/>
      <c r="D117" s="31"/>
      <c r="E117" s="31"/>
      <c r="F117" s="35"/>
      <c r="G117" s="31"/>
      <c r="H117" s="31"/>
      <c r="I117" s="31"/>
      <c r="J117" s="31"/>
      <c r="K117" s="31"/>
      <c r="L117" s="398">
        <f>+Report!L120</f>
        <v>0</v>
      </c>
      <c r="M117" s="31"/>
      <c r="N117" s="31"/>
      <c r="O117" s="31"/>
      <c r="P117" s="31"/>
      <c r="Q117" s="31"/>
      <c r="R117" s="362">
        <v>0</v>
      </c>
      <c r="S117" s="31"/>
      <c r="T117" s="31">
        <f t="shared" si="1"/>
        <v>0</v>
      </c>
      <c r="U117" s="31"/>
      <c r="V117" s="31">
        <f>B117-T117</f>
        <v>0</v>
      </c>
      <c r="W117" s="31"/>
      <c r="X117" s="31"/>
      <c r="Y117" s="3"/>
      <c r="Z117" s="3"/>
      <c r="AA117" s="3"/>
      <c r="AB117" s="3"/>
      <c r="AC117" s="3"/>
    </row>
    <row r="118" spans="1:33">
      <c r="A118" s="197" t="s">
        <v>65</v>
      </c>
      <c r="B118" s="566">
        <f ca="1">+Report!B121</f>
        <v>-117.79600000000001</v>
      </c>
      <c r="C118" s="31"/>
      <c r="D118" s="31"/>
      <c r="E118" s="31"/>
      <c r="F118" s="35"/>
      <c r="G118" s="31"/>
      <c r="H118" s="31"/>
      <c r="I118" s="31"/>
      <c r="J118" s="31"/>
      <c r="K118" s="31"/>
      <c r="L118" s="398">
        <f ca="1">+Report!L121</f>
        <v>-29.855396200000001</v>
      </c>
      <c r="M118" s="31"/>
      <c r="N118" s="31"/>
      <c r="O118" s="31"/>
      <c r="P118" s="31"/>
      <c r="Q118" s="31"/>
      <c r="R118" s="31"/>
      <c r="S118" s="31"/>
      <c r="T118" s="31">
        <f t="shared" ca="1" si="1"/>
        <v>-29.855396200000001</v>
      </c>
      <c r="U118" s="31"/>
      <c r="V118" s="31">
        <f ca="1">B118-T118</f>
        <v>-87.940603800000005</v>
      </c>
      <c r="W118" s="31"/>
      <c r="X118" s="31"/>
      <c r="Y118" s="3"/>
      <c r="Z118" s="3"/>
      <c r="AA118" s="3"/>
      <c r="AB118" s="3"/>
      <c r="AC118" s="3"/>
    </row>
    <row r="119" spans="1:33">
      <c r="A119" s="197" t="s">
        <v>89</v>
      </c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98">
        <f>+Report!L122</f>
        <v>0</v>
      </c>
      <c r="M119" s="31"/>
      <c r="N119" s="31"/>
      <c r="O119" s="31"/>
      <c r="P119" s="31">
        <f ca="1">-P103</f>
        <v>-3313.3</v>
      </c>
      <c r="Q119" s="31"/>
      <c r="R119" s="31"/>
      <c r="S119" s="31"/>
      <c r="T119" s="31">
        <f t="shared" ca="1" si="1"/>
        <v>-3313.3</v>
      </c>
      <c r="U119" s="31"/>
      <c r="V119" s="31">
        <f t="shared" ca="1" si="2"/>
        <v>3313.3</v>
      </c>
      <c r="W119" s="31"/>
      <c r="X119" s="31"/>
      <c r="Y119" s="3"/>
      <c r="Z119" s="3"/>
      <c r="AA119" s="3"/>
      <c r="AB119" s="3"/>
      <c r="AC119" s="3"/>
    </row>
    <row r="120" spans="1:33">
      <c r="A120" s="197" t="s">
        <v>66</v>
      </c>
      <c r="B120" s="563">
        <f ca="1">+Report!B123</f>
        <v>-3440.3655599999993</v>
      </c>
      <c r="C120" s="31"/>
      <c r="D120" s="31"/>
      <c r="E120" s="31"/>
      <c r="F120" s="563">
        <f ca="1">+Report!F123</f>
        <v>-1917.9490000000001</v>
      </c>
      <c r="G120" s="31"/>
      <c r="H120" s="563">
        <f ca="1">+Report!H123</f>
        <v>-940.63366999999994</v>
      </c>
      <c r="I120" s="31"/>
      <c r="J120" s="563">
        <f ca="1">+Report!J123</f>
        <v>-581.78243999999995</v>
      </c>
      <c r="K120" s="31"/>
      <c r="L120" s="398">
        <f ca="1">+Report!L123</f>
        <v>-1.1405249982730084E-4</v>
      </c>
      <c r="M120" s="31"/>
      <c r="N120" s="31"/>
      <c r="O120" s="31"/>
      <c r="P120" s="31"/>
      <c r="Q120" s="31"/>
      <c r="R120" s="31"/>
      <c r="S120" s="31"/>
      <c r="T120" s="31">
        <f t="shared" ca="1" si="1"/>
        <v>-3440.3652240524993</v>
      </c>
      <c r="U120" s="31"/>
      <c r="V120" s="203">
        <f ca="1">B120-T120</f>
        <v>-3.3594749993426376E-4</v>
      </c>
      <c r="W120" s="203" t="s">
        <v>764</v>
      </c>
      <c r="X120" s="31"/>
      <c r="Y120" s="3"/>
      <c r="Z120" s="3"/>
      <c r="AA120" s="3"/>
      <c r="AB120" s="3"/>
      <c r="AC120" s="3"/>
    </row>
    <row r="121" spans="1:33">
      <c r="A121" s="197" t="s">
        <v>67</v>
      </c>
      <c r="B121" s="563">
        <f ca="1">+Report!B124</f>
        <v>-6143.6030000000001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98">
        <f ca="1">+Report!L124</f>
        <v>-1557.0961803500002</v>
      </c>
      <c r="M121" s="31"/>
      <c r="N121" s="31"/>
      <c r="O121" s="31"/>
      <c r="P121" s="31"/>
      <c r="Q121" s="31"/>
      <c r="R121" s="31"/>
      <c r="S121" s="31"/>
      <c r="T121" s="31">
        <f t="shared" ca="1" si="1"/>
        <v>-1557.0961803500002</v>
      </c>
      <c r="U121" s="31"/>
      <c r="V121" s="31">
        <f t="shared" ca="1" si="2"/>
        <v>-4586.5068196499997</v>
      </c>
      <c r="W121" s="31"/>
      <c r="X121" s="31"/>
      <c r="Y121" s="3"/>
      <c r="Z121" s="3"/>
      <c r="AA121" s="3"/>
      <c r="AB121" s="3"/>
      <c r="AC121" s="3"/>
    </row>
    <row r="122" spans="1:33">
      <c r="A122" s="198" t="s">
        <v>765</v>
      </c>
      <c r="B122" s="561">
        <v>0</v>
      </c>
      <c r="C122" s="31"/>
      <c r="D122" s="84"/>
      <c r="E122" s="31"/>
      <c r="F122" s="84"/>
      <c r="G122" s="31"/>
      <c r="H122" s="84"/>
      <c r="I122" s="31"/>
      <c r="J122" s="84"/>
      <c r="K122" s="31"/>
      <c r="L122" s="399">
        <f>+Report!L125</f>
        <v>0</v>
      </c>
      <c r="M122" s="31"/>
      <c r="N122" s="84"/>
      <c r="O122" s="31"/>
      <c r="P122" s="84"/>
      <c r="Q122" s="31"/>
      <c r="R122" s="84"/>
      <c r="S122" s="31"/>
      <c r="T122" s="122">
        <f t="shared" si="1"/>
        <v>0</v>
      </c>
      <c r="U122" s="31"/>
      <c r="V122" s="122">
        <f t="shared" si="2"/>
        <v>0</v>
      </c>
      <c r="W122" s="31"/>
      <c r="X122" s="31"/>
      <c r="Y122" s="3"/>
      <c r="Z122" s="3"/>
      <c r="AA122" s="3"/>
      <c r="AB122" s="3"/>
      <c r="AC122" s="3"/>
    </row>
    <row r="123" spans="1:33" ht="12.95" customHeight="1">
      <c r="A123" s="1" t="s">
        <v>734</v>
      </c>
      <c r="B123" s="84">
        <f ca="1">SUM(B106:B122)</f>
        <v>-296314.36455999996</v>
      </c>
      <c r="C123" s="31"/>
      <c r="D123" s="84">
        <f ca="1">SUM(D106:D122)</f>
        <v>-228428.9</v>
      </c>
      <c r="E123" s="31"/>
      <c r="F123" s="84">
        <f ca="1">SUM(F106:F122)</f>
        <v>-25909.602979272</v>
      </c>
      <c r="G123" s="31"/>
      <c r="H123" s="84">
        <f ca="1">SUM(H106:H122)</f>
        <v>-979.4524400499439</v>
      </c>
      <c r="I123" s="31"/>
      <c r="J123" s="84">
        <f ca="1">SUM(J106:J122)</f>
        <v>-34915.382440000009</v>
      </c>
      <c r="K123" s="31"/>
      <c r="L123" s="84">
        <f ca="1">SUM(L106:L122)</f>
        <v>-3334.8557907708609</v>
      </c>
      <c r="M123" s="31"/>
      <c r="N123" s="84">
        <f>SUM(N106:N122)</f>
        <v>0</v>
      </c>
      <c r="O123" s="31"/>
      <c r="P123" s="84">
        <f ca="1">SUM(P106:P122)</f>
        <v>-3313.3</v>
      </c>
      <c r="Q123" s="31"/>
      <c r="R123" s="84">
        <f>SUM(R106:R122)</f>
        <v>0</v>
      </c>
      <c r="S123" s="31"/>
      <c r="T123" s="84">
        <f ca="1">SUM(T106:T122)</f>
        <v>-296881.4936500928</v>
      </c>
      <c r="U123" s="31"/>
      <c r="V123" s="84">
        <f ca="1">SUM(V106:V122)</f>
        <v>567.12909009280884</v>
      </c>
      <c r="W123" s="31"/>
      <c r="X123" s="31"/>
      <c r="Y123" s="3"/>
      <c r="Z123" s="3"/>
      <c r="AA123" s="3"/>
      <c r="AB123" s="3"/>
      <c r="AC123" s="3"/>
    </row>
    <row r="124" spans="1:33">
      <c r="A124" s="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"/>
      <c r="Z124" s="3"/>
      <c r="AA124" s="3"/>
      <c r="AB124" s="3"/>
      <c r="AC124" s="3"/>
    </row>
    <row r="125" spans="1:33" ht="13.5" thickBot="1">
      <c r="A125" s="1" t="s">
        <v>735</v>
      </c>
      <c r="B125" s="123">
        <f ca="1">B103+B123</f>
        <v>336009.63543999993</v>
      </c>
      <c r="C125" s="31"/>
      <c r="D125" s="123">
        <f ca="1">D103+D123</f>
        <v>0</v>
      </c>
      <c r="E125" s="31"/>
      <c r="F125" s="123">
        <f ca="1">F103+F123</f>
        <v>129835.79702072797</v>
      </c>
      <c r="G125" s="31"/>
      <c r="H125" s="123">
        <f ca="1">H103+H123</f>
        <v>52291.547559950057</v>
      </c>
      <c r="I125" s="31"/>
      <c r="J125" s="123">
        <f ca="1">J103+J123</f>
        <v>19955.617559999991</v>
      </c>
      <c r="K125" s="31"/>
      <c r="L125" s="123">
        <f ca="1">L103+L123</f>
        <v>-4317.4557907708613</v>
      </c>
      <c r="M125" s="31"/>
      <c r="N125" s="123">
        <f ca="1">N103+N123</f>
        <v>23535.5</v>
      </c>
      <c r="O125" s="31"/>
      <c r="P125" s="123">
        <f ca="1">P103+P123</f>
        <v>0</v>
      </c>
      <c r="Q125" s="31"/>
      <c r="R125" s="123">
        <f>R103+R123</f>
        <v>-495.59999999999997</v>
      </c>
      <c r="S125" s="31"/>
      <c r="T125" s="123">
        <f ca="1">T103+T123</f>
        <v>220805.40634990716</v>
      </c>
      <c r="U125" s="31"/>
      <c r="V125" s="123">
        <f ca="1">V103+V123</f>
        <v>115204.22909009273</v>
      </c>
      <c r="W125" s="31"/>
      <c r="X125" s="31"/>
      <c r="Y125" s="3"/>
      <c r="Z125" s="3"/>
      <c r="AA125" s="3"/>
      <c r="AB125" s="3"/>
      <c r="AC125" s="3"/>
    </row>
    <row r="126" spans="1:33" ht="13.5" thickTop="1">
      <c r="A126" s="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169"/>
      <c r="Z126" s="3"/>
      <c r="AA126" s="3"/>
      <c r="AB126" s="3"/>
      <c r="AC126" s="3"/>
    </row>
    <row r="127" spans="1:33">
      <c r="A127" s="119" t="s">
        <v>736</v>
      </c>
      <c r="B127" s="567">
        <f ca="1">+Report!B130</f>
        <v>-3709.7959300000002</v>
      </c>
      <c r="C127" s="31"/>
      <c r="D127" s="84"/>
      <c r="E127" s="31"/>
      <c r="F127" s="84"/>
      <c r="G127" s="31"/>
      <c r="H127" s="84"/>
      <c r="I127" s="31"/>
      <c r="J127" s="84"/>
      <c r="K127" s="31"/>
      <c r="L127" s="398">
        <f ca="1">((+B127-D127-F127-H127-J127)*'Input Tax Rate'!$B$36)</f>
        <v>-940.24777845850008</v>
      </c>
      <c r="M127" s="31"/>
      <c r="N127" s="84"/>
      <c r="O127" s="31"/>
      <c r="P127" s="84"/>
      <c r="Q127" s="31"/>
      <c r="R127" s="84"/>
      <c r="S127" s="31"/>
      <c r="T127" s="84">
        <f ca="1">SUM(D127:R127)</f>
        <v>-940.24777845850008</v>
      </c>
      <c r="U127" s="31"/>
      <c r="V127" s="84">
        <f ca="1">B127-T127</f>
        <v>-2769.5481515415004</v>
      </c>
      <c r="W127" s="31"/>
      <c r="X127" s="31"/>
      <c r="Y127" s="3"/>
      <c r="Z127" s="3"/>
      <c r="AA127" s="3"/>
      <c r="AB127" s="3"/>
      <c r="AC127" s="3"/>
    </row>
    <row r="128" spans="1:33">
      <c r="A128" s="1" t="s">
        <v>737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"/>
      <c r="Z128" s="3"/>
      <c r="AA128" s="3"/>
      <c r="AB128" s="3"/>
      <c r="AC128" s="3"/>
    </row>
    <row r="129" spans="1:29" ht="13.5" thickBot="1">
      <c r="A129" s="1" t="s">
        <v>736</v>
      </c>
      <c r="B129" s="123">
        <f ca="1">B125+B127</f>
        <v>332299.8395099999</v>
      </c>
      <c r="C129" s="31"/>
      <c r="D129" s="123">
        <f ca="1">D125+D127</f>
        <v>0</v>
      </c>
      <c r="E129" s="31"/>
      <c r="F129" s="123">
        <f ca="1">F125+F127</f>
        <v>129835.79702072797</v>
      </c>
      <c r="G129" s="31"/>
      <c r="H129" s="123">
        <f ca="1">H125+H127</f>
        <v>52291.547559950057</v>
      </c>
      <c r="I129" s="31"/>
      <c r="J129" s="123">
        <f ca="1">J125+J127</f>
        <v>19955.617559999991</v>
      </c>
      <c r="K129" s="31"/>
      <c r="L129" s="123">
        <f ca="1">L125+L127</f>
        <v>-5257.7035692293612</v>
      </c>
      <c r="M129" s="31"/>
      <c r="N129" s="123">
        <f ca="1">N125+N127</f>
        <v>23535.5</v>
      </c>
      <c r="O129" s="31"/>
      <c r="P129" s="123">
        <f ca="1">P125+P127</f>
        <v>0</v>
      </c>
      <c r="Q129" s="31"/>
      <c r="R129" s="123">
        <f>R125+R127</f>
        <v>-495.59999999999997</v>
      </c>
      <c r="S129" s="31"/>
      <c r="T129" s="123">
        <f ca="1">T125+T127</f>
        <v>219865.15857144867</v>
      </c>
      <c r="U129" s="31"/>
      <c r="V129" s="123">
        <f ca="1">V125+V127</f>
        <v>112434.68093855123</v>
      </c>
      <c r="W129" s="31"/>
      <c r="X129" s="31"/>
      <c r="Y129" s="3"/>
      <c r="Z129" s="3"/>
      <c r="AA129" s="3"/>
      <c r="AB129" s="3"/>
      <c r="AC129" s="3"/>
    </row>
    <row r="130" spans="1:29" ht="13.5" thickTop="1">
      <c r="A130" s="1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31"/>
      <c r="X130" s="3"/>
      <c r="Y130" s="3"/>
      <c r="Z130" s="3"/>
      <c r="AA130" s="3"/>
      <c r="AB130" s="3"/>
      <c r="AC130" s="3"/>
    </row>
    <row r="131" spans="1:29">
      <c r="A131" s="1" t="s">
        <v>738</v>
      </c>
      <c r="B131" s="31"/>
      <c r="C131" s="164"/>
      <c r="D131" s="164"/>
      <c r="E131" s="164"/>
      <c r="F131" s="164"/>
      <c r="G131" s="164"/>
      <c r="H131" s="164"/>
      <c r="I131" s="363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31"/>
      <c r="X131" s="3"/>
      <c r="Y131" s="3"/>
      <c r="Z131" s="3"/>
      <c r="AA131" s="3"/>
      <c r="AB131" s="3"/>
      <c r="AC131" s="3"/>
    </row>
    <row r="132" spans="1:29">
      <c r="A132" s="119" t="s">
        <v>739</v>
      </c>
      <c r="B132" s="164"/>
      <c r="C132" s="164"/>
      <c r="D132" s="164"/>
      <c r="E132" s="164"/>
      <c r="F132" s="164"/>
      <c r="G132" s="164"/>
      <c r="H132" s="164"/>
      <c r="I132" s="3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31"/>
      <c r="X132" s="3"/>
      <c r="Y132" s="3"/>
      <c r="Z132" s="3"/>
      <c r="AA132" s="3"/>
      <c r="AB132" s="3"/>
      <c r="AC132" s="3"/>
    </row>
    <row r="133" spans="1:29">
      <c r="A133" s="1"/>
      <c r="B133" s="164"/>
      <c r="C133" s="164"/>
      <c r="D133" s="164"/>
      <c r="E133" s="164"/>
      <c r="F133" s="164"/>
      <c r="G133" s="164"/>
      <c r="H133" s="164"/>
      <c r="I133" s="3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31"/>
      <c r="U133" s="31"/>
      <c r="V133" s="31"/>
      <c r="W133" s="31"/>
      <c r="X133" s="31"/>
      <c r="Y133" s="3"/>
      <c r="Z133" s="3"/>
      <c r="AA133" s="3"/>
      <c r="AB133" s="3"/>
      <c r="AC133" s="3"/>
    </row>
    <row r="134" spans="1:29">
      <c r="A134" s="131" t="s">
        <v>766</v>
      </c>
      <c r="B134" s="164"/>
      <c r="C134" s="164"/>
      <c r="D134" s="164"/>
      <c r="E134" s="164"/>
      <c r="F134" s="164"/>
      <c r="G134" s="164"/>
      <c r="H134" s="164"/>
      <c r="I134" s="370"/>
      <c r="J134" s="164"/>
      <c r="K134" s="164"/>
      <c r="L134" s="37">
        <v>0</v>
      </c>
      <c r="M134" s="164"/>
      <c r="N134" s="164"/>
      <c r="O134" s="164"/>
      <c r="P134" s="164"/>
      <c r="Q134" s="164"/>
      <c r="R134" s="133"/>
      <c r="S134" s="164"/>
      <c r="T134" s="31">
        <f>SUM(D134:R134)</f>
        <v>0</v>
      </c>
      <c r="U134" s="31"/>
      <c r="V134" s="31">
        <f>B134-T134</f>
        <v>0</v>
      </c>
      <c r="W134" s="31"/>
      <c r="X134" s="31"/>
      <c r="Y134" s="3"/>
      <c r="Z134" s="3"/>
      <c r="AA134" s="3"/>
      <c r="AB134" s="3"/>
      <c r="AC134" s="3"/>
    </row>
    <row r="135" spans="1:29">
      <c r="A135" s="131"/>
      <c r="B135" s="371"/>
      <c r="C135" s="164"/>
      <c r="D135" s="371"/>
      <c r="E135" s="164"/>
      <c r="F135" s="372"/>
      <c r="G135" s="164"/>
      <c r="H135" s="371"/>
      <c r="I135" s="164"/>
      <c r="J135" s="371"/>
      <c r="K135" s="164"/>
      <c r="L135" s="122"/>
      <c r="M135" s="164"/>
      <c r="N135" s="371"/>
      <c r="O135" s="164"/>
      <c r="P135" s="371"/>
      <c r="Q135" s="164"/>
      <c r="R135" s="134"/>
      <c r="S135" s="164"/>
      <c r="T135" s="122"/>
      <c r="U135" s="31"/>
      <c r="V135" s="122"/>
      <c r="W135" s="31"/>
      <c r="X135" s="3"/>
      <c r="Y135" s="3"/>
      <c r="Z135" s="3"/>
      <c r="AA135" s="3"/>
      <c r="AB135" s="3"/>
      <c r="AC135" s="3"/>
    </row>
    <row r="136" spans="1:29" ht="12.95" customHeight="1">
      <c r="A136" s="1" t="s">
        <v>740</v>
      </c>
      <c r="B136" s="84">
        <f>SUM(B134:B135)</f>
        <v>0</v>
      </c>
      <c r="C136" s="31"/>
      <c r="D136" s="84"/>
      <c r="E136" s="31"/>
      <c r="F136" s="84">
        <f>SUM(F134:F135)</f>
        <v>0</v>
      </c>
      <c r="G136" s="31"/>
      <c r="H136" s="84"/>
      <c r="I136" s="31"/>
      <c r="J136" s="84"/>
      <c r="K136" s="31"/>
      <c r="L136" s="84">
        <f>SUM(L134:L135)</f>
        <v>0</v>
      </c>
      <c r="M136" s="31"/>
      <c r="N136" s="84"/>
      <c r="O136" s="31"/>
      <c r="P136" s="84"/>
      <c r="Q136" s="31"/>
      <c r="R136" s="84">
        <f>SUM(R134:R135)</f>
        <v>0</v>
      </c>
      <c r="S136" s="31"/>
      <c r="T136" s="84">
        <f>SUM(T134:T135)</f>
        <v>0</v>
      </c>
      <c r="U136" s="31"/>
      <c r="V136" s="84">
        <f>SUM(V134:V135)</f>
        <v>0</v>
      </c>
      <c r="W136" s="31"/>
      <c r="X136" s="31"/>
      <c r="Y136" s="3"/>
      <c r="Z136" s="3"/>
      <c r="AA136" s="3"/>
      <c r="AB136" s="3"/>
      <c r="AC136" s="3"/>
    </row>
    <row r="137" spans="1:29">
      <c r="A137" s="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"/>
      <c r="Y137" s="3"/>
      <c r="Z137" s="3"/>
      <c r="AA137" s="3"/>
      <c r="AB137" s="3"/>
      <c r="AC137" s="3"/>
    </row>
    <row r="138" spans="1:29" ht="13.5" thickBot="1">
      <c r="A138" s="1" t="s">
        <v>741</v>
      </c>
      <c r="B138" s="123">
        <f ca="1">B125+B136</f>
        <v>336009.63543999993</v>
      </c>
      <c r="C138" s="31"/>
      <c r="D138" s="123">
        <f ca="1">D125+D136</f>
        <v>0</v>
      </c>
      <c r="E138" s="31"/>
      <c r="F138" s="123">
        <f ca="1">F125+F136</f>
        <v>129835.79702072797</v>
      </c>
      <c r="G138" s="31"/>
      <c r="H138" s="123">
        <f ca="1">H125+H136</f>
        <v>52291.547559950057</v>
      </c>
      <c r="I138" s="31"/>
      <c r="J138" s="123">
        <f ca="1">J125+J136</f>
        <v>19955.617559999991</v>
      </c>
      <c r="K138" s="31"/>
      <c r="L138" s="123">
        <f ca="1">L125+L136</f>
        <v>-4317.4557907708613</v>
      </c>
      <c r="M138" s="31"/>
      <c r="N138" s="123">
        <f ca="1">N125+N136</f>
        <v>23535.5</v>
      </c>
      <c r="O138" s="31"/>
      <c r="P138" s="123">
        <f ca="1">P125+P136</f>
        <v>0</v>
      </c>
      <c r="Q138" s="31"/>
      <c r="R138" s="123">
        <f>R125+R136</f>
        <v>-495.59999999999997</v>
      </c>
      <c r="S138" s="31"/>
      <c r="T138" s="123">
        <f ca="1">T125+T136</f>
        <v>220805.40634990716</v>
      </c>
      <c r="U138" s="31"/>
      <c r="V138" s="123">
        <f ca="1">V125+V136</f>
        <v>115204.22909009273</v>
      </c>
      <c r="W138" s="31"/>
      <c r="X138" s="31"/>
      <c r="Y138" s="3"/>
      <c r="Z138" s="3"/>
      <c r="AA138" s="3"/>
      <c r="AB138" s="3"/>
      <c r="AC138" s="3"/>
    </row>
    <row r="139" spans="1:29" ht="13.5" thickTop="1">
      <c r="A139" s="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"/>
      <c r="Y139" s="3"/>
      <c r="Z139" s="3"/>
      <c r="AA139" s="3"/>
      <c r="AB139" s="3"/>
      <c r="AC139" s="3"/>
    </row>
    <row r="140" spans="1:29">
      <c r="A140" s="1" t="s">
        <v>728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"/>
      <c r="Y140" s="3"/>
      <c r="Z140" s="3"/>
      <c r="AA140" s="3"/>
      <c r="AB140" s="3"/>
      <c r="AC140" s="3"/>
    </row>
    <row r="141" spans="1:29" ht="13.5" thickBot="1">
      <c r="A141" s="1" t="s">
        <v>767</v>
      </c>
      <c r="B141" s="32">
        <f>+IncomeStmt!$D$7</f>
        <v>59236.19999999999</v>
      </c>
      <c r="C141" s="31"/>
      <c r="D141" s="32">
        <f>+IncomeStmt!$D$8</f>
        <v>21375.5</v>
      </c>
      <c r="E141" s="31"/>
      <c r="F141" s="32">
        <f>+IncomeStmt!$D$11</f>
        <v>14203.099999999999</v>
      </c>
      <c r="G141" s="31"/>
      <c r="H141" s="32">
        <f>SUM(IncomeStmt!$D$12:$D$15)</f>
        <v>-1495.9</v>
      </c>
      <c r="I141" s="31"/>
      <c r="J141" s="32">
        <f>+IncomeStmt!$D$16</f>
        <v>5211.5</v>
      </c>
      <c r="K141" s="31"/>
      <c r="L141" s="32">
        <f>SUM(IncomeStmt!$D$17:$D$17)</f>
        <v>1609.1</v>
      </c>
      <c r="M141" s="31"/>
      <c r="N141" s="32">
        <f>SUM(IncomeStmt!$D$18:$D$18)</f>
        <v>2270.8000000000002</v>
      </c>
      <c r="O141" s="31"/>
      <c r="P141" s="32">
        <f>+IncomeStmt!$D$19</f>
        <v>0</v>
      </c>
      <c r="Q141" s="31"/>
      <c r="R141" s="135">
        <v>0</v>
      </c>
      <c r="S141" s="31"/>
      <c r="T141" s="123">
        <f>SUM(D141:R141)</f>
        <v>43174.1</v>
      </c>
      <c r="U141" s="31"/>
      <c r="V141" s="123">
        <f>B141-T141</f>
        <v>16062.099999999991</v>
      </c>
      <c r="W141" s="31"/>
      <c r="X141" s="31"/>
      <c r="Y141" s="3"/>
      <c r="Z141" s="3"/>
      <c r="AA141" s="3"/>
      <c r="AB141" s="3"/>
      <c r="AC141" s="3"/>
    </row>
    <row r="142" spans="1:29" ht="13.5" thickTop="1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3"/>
      <c r="X142" s="3"/>
      <c r="Y142" s="3"/>
      <c r="Z142" s="3"/>
      <c r="AA142" s="3"/>
      <c r="AB142" s="3"/>
      <c r="AC142" s="3"/>
    </row>
    <row r="143" spans="1:29">
      <c r="A143" s="1"/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3"/>
      <c r="X143" s="3"/>
      <c r="Y143" s="3"/>
      <c r="Z143" s="3"/>
      <c r="AA143" s="3"/>
      <c r="AB143" s="3"/>
      <c r="AC143" s="3"/>
    </row>
    <row r="144" spans="1:29">
      <c r="A144" s="1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33" ht="15.75">
      <c r="A145" s="127" t="s">
        <v>232</v>
      </c>
      <c r="B145" s="125"/>
      <c r="C145" s="125"/>
      <c r="D145" s="125"/>
      <c r="E145" s="125"/>
      <c r="F145" s="124"/>
      <c r="G145" s="124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8" t="s">
        <v>768</v>
      </c>
      <c r="U145" s="136"/>
      <c r="V145" s="136"/>
      <c r="W145" s="86"/>
      <c r="X145" s="3"/>
      <c r="Y145" s="3"/>
      <c r="Z145" s="3"/>
      <c r="AA145" s="3"/>
      <c r="AB145" s="3"/>
      <c r="AC145" s="3"/>
    </row>
    <row r="146" spans="1:33" ht="15.75">
      <c r="A146" s="127" t="s">
        <v>769</v>
      </c>
      <c r="B146" s="125"/>
      <c r="C146" s="125"/>
      <c r="D146" s="125"/>
      <c r="E146" s="125"/>
      <c r="F146" s="124"/>
      <c r="G146" s="124"/>
      <c r="H146" s="125"/>
      <c r="I146" s="124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8"/>
      <c r="U146" s="128"/>
      <c r="V146" s="128"/>
      <c r="W146" s="86"/>
      <c r="X146" s="3"/>
      <c r="Y146" s="3"/>
      <c r="Z146" s="3"/>
      <c r="AA146" s="3"/>
      <c r="AB146" s="3"/>
      <c r="AC146" s="3"/>
    </row>
    <row r="147" spans="1:33" ht="15.75">
      <c r="A147" s="127" t="s">
        <v>770</v>
      </c>
      <c r="B147" s="125"/>
      <c r="C147" s="125"/>
      <c r="D147" s="125"/>
      <c r="E147" s="125"/>
      <c r="F147" s="125"/>
      <c r="G147" s="124"/>
      <c r="H147" s="124"/>
      <c r="I147" s="124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8"/>
      <c r="U147" s="128"/>
      <c r="V147" s="128"/>
      <c r="W147" s="86"/>
      <c r="X147" s="3"/>
      <c r="Y147" s="3"/>
      <c r="Z147" s="3"/>
      <c r="AA147" s="3"/>
      <c r="AB147" s="3"/>
      <c r="AC147" s="3"/>
    </row>
    <row r="148" spans="1:33" ht="15.75">
      <c r="A148" s="129" t="str">
        <f>A3</f>
        <v>2023 Budget</v>
      </c>
      <c r="B148" s="125"/>
      <c r="C148" s="125"/>
      <c r="D148" s="125"/>
      <c r="E148" s="125"/>
      <c r="F148" s="124"/>
      <c r="G148" s="124"/>
      <c r="H148" s="125"/>
      <c r="I148" s="124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8"/>
      <c r="U148" s="128"/>
      <c r="V148" s="128"/>
      <c r="W148" s="86"/>
      <c r="X148" s="3"/>
      <c r="Y148" s="3"/>
      <c r="Z148" s="3"/>
      <c r="AA148" s="3"/>
      <c r="AB148" s="3"/>
      <c r="AC148" s="3"/>
    </row>
    <row r="149" spans="1:33">
      <c r="A149" s="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86"/>
      <c r="X149" s="3"/>
      <c r="Y149" s="3"/>
      <c r="Z149" s="3"/>
      <c r="AA149" s="3"/>
      <c r="AB149" s="3"/>
      <c r="AC149" s="3"/>
    </row>
    <row r="150" spans="1:33">
      <c r="A150" s="1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86"/>
      <c r="X150" s="3"/>
      <c r="Y150" s="3"/>
      <c r="Z150" s="3"/>
      <c r="AA150" s="3"/>
      <c r="AB150" s="3"/>
      <c r="AC150" s="3"/>
    </row>
    <row r="151" spans="1:33">
      <c r="A151" s="1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86"/>
      <c r="X151" s="3"/>
      <c r="Y151" s="3"/>
      <c r="Z151" s="3"/>
      <c r="AA151" s="3"/>
      <c r="AB151" s="3"/>
      <c r="AC151" s="3"/>
    </row>
    <row r="152" spans="1:33">
      <c r="A152" s="137"/>
      <c r="B152" s="143"/>
      <c r="C152" s="138"/>
      <c r="D152" s="143"/>
      <c r="E152" s="138"/>
      <c r="F152" s="143"/>
      <c r="G152" s="138"/>
      <c r="H152" s="143"/>
      <c r="I152" s="138"/>
      <c r="J152" s="138"/>
      <c r="K152" s="138"/>
      <c r="L152" s="139" t="s">
        <v>771</v>
      </c>
      <c r="M152" s="139"/>
      <c r="N152" s="139"/>
      <c r="O152" s="138"/>
      <c r="P152" s="139" t="s">
        <v>772</v>
      </c>
      <c r="Q152" s="139"/>
      <c r="R152" s="139"/>
      <c r="S152" s="138"/>
      <c r="T152" s="139" t="s">
        <v>773</v>
      </c>
      <c r="U152" s="139"/>
      <c r="V152" s="139"/>
      <c r="W152" s="86"/>
      <c r="X152" s="3"/>
      <c r="Y152" s="3"/>
      <c r="Z152" s="3"/>
      <c r="AA152" s="3"/>
      <c r="AB152" s="3"/>
      <c r="AC152" s="3"/>
    </row>
    <row r="153" spans="1:33" ht="13.9" customHeight="1" thickBot="1">
      <c r="A153" s="137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40" t="s">
        <v>774</v>
      </c>
      <c r="M153" s="138"/>
      <c r="N153" s="140" t="s">
        <v>775</v>
      </c>
      <c r="O153" s="138"/>
      <c r="P153" s="140" t="s">
        <v>774</v>
      </c>
      <c r="Q153" s="138"/>
      <c r="R153" s="140" t="s">
        <v>775</v>
      </c>
      <c r="S153" s="138"/>
      <c r="T153" s="140" t="s">
        <v>774</v>
      </c>
      <c r="U153" s="138"/>
      <c r="V153" s="140" t="s">
        <v>775</v>
      </c>
      <c r="W153" s="86"/>
      <c r="X153" s="3"/>
      <c r="Y153" s="3"/>
      <c r="Z153" s="3"/>
      <c r="AA153" s="3"/>
      <c r="AB153" s="3"/>
      <c r="AC153" s="3"/>
    </row>
    <row r="154" spans="1:33" ht="13.9" customHeight="1">
      <c r="A154" s="137"/>
      <c r="B154" s="138"/>
      <c r="C154" s="138"/>
      <c r="D154" s="139" t="s">
        <v>776</v>
      </c>
      <c r="E154" s="139"/>
      <c r="F154" s="139"/>
      <c r="G154" s="138"/>
      <c r="H154" s="138"/>
      <c r="I154" s="138"/>
      <c r="J154" s="140" t="s">
        <v>777</v>
      </c>
      <c r="K154" s="138"/>
      <c r="L154" s="140" t="s">
        <v>323</v>
      </c>
      <c r="M154" s="138"/>
      <c r="N154" s="140" t="s">
        <v>774</v>
      </c>
      <c r="O154" s="138"/>
      <c r="P154" s="140" t="s">
        <v>323</v>
      </c>
      <c r="Q154" s="138"/>
      <c r="R154" s="140" t="s">
        <v>774</v>
      </c>
      <c r="S154" s="138"/>
      <c r="T154" s="140" t="s">
        <v>323</v>
      </c>
      <c r="U154" s="138"/>
      <c r="V154" s="140" t="s">
        <v>774</v>
      </c>
      <c r="W154" s="86"/>
      <c r="X154" s="241" t="s">
        <v>932</v>
      </c>
      <c r="Y154" s="242"/>
      <c r="Z154" s="243"/>
      <c r="AA154" s="337"/>
      <c r="AB154" s="241"/>
      <c r="AC154" s="242"/>
      <c r="AD154" s="243"/>
      <c r="AE154" s="337"/>
      <c r="AF154" s="331" t="s">
        <v>933</v>
      </c>
      <c r="AG154" s="332"/>
    </row>
    <row r="155" spans="1:33" ht="13.9" customHeight="1" thickBot="1">
      <c r="A155" s="141" t="s">
        <v>247</v>
      </c>
      <c r="B155" s="142" t="s">
        <v>728</v>
      </c>
      <c r="C155" s="138"/>
      <c r="D155" s="142" t="s">
        <v>778</v>
      </c>
      <c r="E155" s="138"/>
      <c r="F155" s="142" t="s">
        <v>779</v>
      </c>
      <c r="G155" s="138"/>
      <c r="H155" s="142" t="s">
        <v>780</v>
      </c>
      <c r="I155" s="138"/>
      <c r="J155" s="142" t="s">
        <v>781</v>
      </c>
      <c r="K155" s="138"/>
      <c r="L155" s="142" t="s">
        <v>781</v>
      </c>
      <c r="M155" s="138"/>
      <c r="N155" s="142" t="s">
        <v>781</v>
      </c>
      <c r="O155" s="138"/>
      <c r="P155" s="142" t="s">
        <v>781</v>
      </c>
      <c r="Q155" s="138"/>
      <c r="R155" s="142" t="s">
        <v>781</v>
      </c>
      <c r="S155" s="138"/>
      <c r="T155" s="142" t="s">
        <v>781</v>
      </c>
      <c r="U155" s="138"/>
      <c r="V155" s="142" t="s">
        <v>781</v>
      </c>
      <c r="W155" s="86"/>
      <c r="X155" s="244" t="s">
        <v>934</v>
      </c>
      <c r="Y155" s="245"/>
      <c r="Z155" s="246"/>
      <c r="AA155" s="207"/>
      <c r="AB155" s="244" t="s">
        <v>935</v>
      </c>
      <c r="AC155" s="245"/>
      <c r="AD155" s="246"/>
      <c r="AE155" s="207"/>
      <c r="AF155" s="333" t="s">
        <v>936</v>
      </c>
      <c r="AG155" s="333" t="s">
        <v>937</v>
      </c>
    </row>
    <row r="156" spans="1:33" ht="13.9" customHeight="1">
      <c r="A156" s="137" t="s">
        <v>782</v>
      </c>
      <c r="B156" s="143">
        <f>Reconcil!B119+Reconcil!B120</f>
        <v>825000</v>
      </c>
      <c r="C156" s="143"/>
      <c r="D156" s="1047">
        <f>+'Reconcil YE'!D42</f>
        <v>0</v>
      </c>
      <c r="E156" s="143"/>
      <c r="F156" s="143">
        <f>ROUND('Reconcil YE'!$K$42*'Report YE'!Y156,9)+ROUND('Reconcil YE'!$J$42*'Report YE'!AC156,9)</f>
        <v>-54046.093361963001</v>
      </c>
      <c r="G156" s="143"/>
      <c r="H156" s="533">
        <f>B156+D156+F156+('Cap Str 54.7%'!C17*'Cap Str 54.7%'!C8)</f>
        <v>771258.92575413489</v>
      </c>
      <c r="I156" s="138"/>
      <c r="J156" s="193">
        <f>ROUND(H156/$H$167,4)</f>
        <v>0.34989999999999999</v>
      </c>
      <c r="K156" s="138"/>
      <c r="L156" s="1098">
        <f>+'Int Synch'!D48*100</f>
        <v>3.4799999999999995</v>
      </c>
      <c r="M156" s="289"/>
      <c r="N156" s="144">
        <f>ROUND(L156*J156,2)</f>
        <v>1.22</v>
      </c>
      <c r="O156" s="138"/>
      <c r="P156" s="144">
        <f>L156</f>
        <v>3.4799999999999995</v>
      </c>
      <c r="Q156" s="138"/>
      <c r="R156" s="144">
        <f>ROUND(P156*J156,2)</f>
        <v>1.22</v>
      </c>
      <c r="S156" s="138"/>
      <c r="T156" s="144">
        <f>L156</f>
        <v>3.4799999999999995</v>
      </c>
      <c r="U156" s="138"/>
      <c r="V156" s="144">
        <f>ROUND(T156*J156,2)</f>
        <v>1.22</v>
      </c>
      <c r="W156" s="86"/>
      <c r="X156" s="235">
        <f>B156+D156</f>
        <v>825000</v>
      </c>
      <c r="Y156" s="177">
        <f>X156/$X$167</f>
        <v>0.4005049271125613</v>
      </c>
      <c r="Z156" s="236"/>
      <c r="AA156" s="3"/>
      <c r="AB156" s="235">
        <f>B156+D156</f>
        <v>825000</v>
      </c>
      <c r="AC156" s="177">
        <f>AB156/$AB$167</f>
        <v>0.35064234342032879</v>
      </c>
      <c r="AD156" s="236"/>
      <c r="AE156" s="3"/>
      <c r="AF156" s="334">
        <f>+H156</f>
        <v>771258.92575413489</v>
      </c>
      <c r="AG156" s="335">
        <f>AF156/AF167</f>
        <v>0.40066338231696319</v>
      </c>
    </row>
    <row r="157" spans="1:33" ht="6" customHeight="1">
      <c r="A157" s="137"/>
      <c r="B157" s="143"/>
      <c r="C157" s="143"/>
      <c r="D157" s="1047"/>
      <c r="E157" s="143"/>
      <c r="F157" s="143"/>
      <c r="G157" s="143"/>
      <c r="H157" s="143"/>
      <c r="I157" s="138"/>
      <c r="J157" s="194"/>
      <c r="K157" s="138"/>
      <c r="L157" s="138"/>
      <c r="M157" s="138"/>
      <c r="N157" s="138"/>
      <c r="O157" s="138"/>
      <c r="P157" s="144"/>
      <c r="Q157" s="138"/>
      <c r="R157" s="144"/>
      <c r="S157" s="138"/>
      <c r="T157" s="144"/>
      <c r="U157" s="138"/>
      <c r="V157" s="144"/>
      <c r="W157" s="86"/>
      <c r="X157" s="235"/>
      <c r="Y157" s="177"/>
      <c r="Z157" s="236"/>
      <c r="AA157" s="3"/>
      <c r="AB157" s="235"/>
      <c r="AC157" s="177"/>
      <c r="AD157" s="236"/>
      <c r="AE157" s="3"/>
      <c r="AF157" s="334"/>
      <c r="AG157" s="335"/>
    </row>
    <row r="158" spans="1:33" ht="13.9" customHeight="1">
      <c r="A158" s="137" t="s">
        <v>783</v>
      </c>
      <c r="B158" s="143">
        <f>Reconcil!B126</f>
        <v>107765.54957135532</v>
      </c>
      <c r="C158" s="143"/>
      <c r="D158" s="1047"/>
      <c r="E158" s="143"/>
      <c r="F158" s="143">
        <f>ROUND('Reconcil YE'!$K$42*'Report YE'!Y158,9)+ROUND('Reconcil YE'!$J$42*'Report YE'!AC158,9)</f>
        <v>-7059.766004045</v>
      </c>
      <c r="G158" s="143"/>
      <c r="H158" s="533">
        <f>B158+D158+F158+('Cap Str 54.7%'!C17*'Cap Str 54.7%'!C9)</f>
        <v>100745.62666146313</v>
      </c>
      <c r="I158" s="138"/>
      <c r="J158" s="193">
        <f>ROUND(H158/$H$167,4)</f>
        <v>4.5699999999999998E-2</v>
      </c>
      <c r="K158" s="138"/>
      <c r="L158" s="1098">
        <f>+'Int Synch'!D50*100</f>
        <v>9.31</v>
      </c>
      <c r="M158" s="289"/>
      <c r="N158" s="144">
        <f>ROUND(L158*J158,2)</f>
        <v>0.43</v>
      </c>
      <c r="O158" s="138"/>
      <c r="P158" s="144">
        <f>L158</f>
        <v>9.31</v>
      </c>
      <c r="Q158" s="138"/>
      <c r="R158" s="144">
        <f>ROUND(P158*J158,2)</f>
        <v>0.43</v>
      </c>
      <c r="S158" s="138"/>
      <c r="T158" s="144">
        <f>L158</f>
        <v>9.31</v>
      </c>
      <c r="U158" s="138"/>
      <c r="V158" s="144">
        <f>ROUND(T158*J158,2)</f>
        <v>0.43</v>
      </c>
      <c r="W158" s="86"/>
      <c r="X158" s="235">
        <f>B158+D158</f>
        <v>107765.54957135532</v>
      </c>
      <c r="Y158" s="177">
        <f>X158/$X$167</f>
        <v>5.2315919486449425E-2</v>
      </c>
      <c r="Z158" s="236"/>
      <c r="AA158" s="3"/>
      <c r="AB158" s="235">
        <f>B158+D158</f>
        <v>107765.54957135532</v>
      </c>
      <c r="AC158" s="177">
        <f>AB158/$AB$167</f>
        <v>4.5802624050520775E-2</v>
      </c>
      <c r="AD158" s="236"/>
      <c r="AE158" s="3"/>
      <c r="AF158" s="334">
        <f>+H158</f>
        <v>100745.62666146313</v>
      </c>
      <c r="AG158" s="335">
        <f>AF158/$AF$167</f>
        <v>5.2336617683036823E-2</v>
      </c>
    </row>
    <row r="159" spans="1:33" ht="6" customHeight="1">
      <c r="A159" s="137"/>
      <c r="B159" s="143"/>
      <c r="C159" s="143"/>
      <c r="D159" s="1047"/>
      <c r="E159" s="143"/>
      <c r="F159" s="143"/>
      <c r="G159" s="143"/>
      <c r="H159" s="143"/>
      <c r="I159" s="138"/>
      <c r="J159" s="194"/>
      <c r="K159" s="138"/>
      <c r="L159" s="144"/>
      <c r="M159" s="138"/>
      <c r="N159" s="144"/>
      <c r="O159" s="138"/>
      <c r="P159" s="144"/>
      <c r="Q159" s="138"/>
      <c r="R159" s="144"/>
      <c r="S159" s="138"/>
      <c r="T159" s="144"/>
      <c r="U159" s="138"/>
      <c r="V159" s="144"/>
      <c r="W159" s="86"/>
      <c r="X159" s="235"/>
      <c r="Y159" s="177"/>
      <c r="Z159" s="236"/>
      <c r="AA159" s="3"/>
      <c r="AB159" s="235"/>
      <c r="AC159" s="177"/>
      <c r="AD159" s="236"/>
      <c r="AE159" s="3"/>
      <c r="AF159" s="334"/>
      <c r="AG159" s="335"/>
    </row>
    <row r="160" spans="1:33" ht="13.9" customHeight="1">
      <c r="A160" s="137" t="s">
        <v>784</v>
      </c>
      <c r="B160" s="143">
        <f>Reconcil!B130+Reconcil!B150+Reconcil!B136</f>
        <v>28997.7</v>
      </c>
      <c r="C160" s="143"/>
      <c r="D160" s="1047"/>
      <c r="E160" s="143"/>
      <c r="F160" s="143">
        <f>ROUND('Reconcil YE'!$K$42*'Report YE'!Y160,9)+ROUND('Reconcil YE'!$J$42*'Report YE'!AC160,9)</f>
        <v>-1667.265620487</v>
      </c>
      <c r="G160" s="143"/>
      <c r="H160" s="143">
        <f>B160+D160+F160</f>
        <v>27330.434379513001</v>
      </c>
      <c r="I160" s="138"/>
      <c r="J160" s="193">
        <f>ROUND(H160/$H$167,4)</f>
        <v>1.24E-2</v>
      </c>
      <c r="K160" s="138"/>
      <c r="L160" s="1098">
        <f>+'Int Synch'!D52*100</f>
        <v>2.52</v>
      </c>
      <c r="M160" s="289"/>
      <c r="N160" s="144">
        <f>ROUND(L160*J160,2)</f>
        <v>0.03</v>
      </c>
      <c r="O160" s="138"/>
      <c r="P160" s="144">
        <f>L160</f>
        <v>2.52</v>
      </c>
      <c r="Q160" s="138"/>
      <c r="R160" s="144">
        <f>ROUND(P160*J160,2)</f>
        <v>0.03</v>
      </c>
      <c r="S160" s="138"/>
      <c r="T160" s="144">
        <f>L160</f>
        <v>2.52</v>
      </c>
      <c r="U160" s="138"/>
      <c r="V160" s="144">
        <f>ROUND(T160*J160,2)</f>
        <v>0.03</v>
      </c>
      <c r="W160" s="86"/>
      <c r="X160" s="237">
        <v>0</v>
      </c>
      <c r="Y160" s="177">
        <f>X160/$X$167</f>
        <v>0</v>
      </c>
      <c r="Z160" s="236"/>
      <c r="AA160" s="3"/>
      <c r="AB160" s="235">
        <f>B160+D160</f>
        <v>28997.7</v>
      </c>
      <c r="AC160" s="177">
        <f>AB160/$AB$167</f>
        <v>1.2324632099151113E-2</v>
      </c>
      <c r="AD160" s="236"/>
      <c r="AE160" s="3"/>
      <c r="AF160" s="334"/>
      <c r="AG160" s="335"/>
    </row>
    <row r="161" spans="1:33" ht="6" customHeight="1">
      <c r="A161" s="137"/>
      <c r="B161" s="143"/>
      <c r="C161" s="143"/>
      <c r="D161" s="1047"/>
      <c r="E161" s="143"/>
      <c r="F161" s="143"/>
      <c r="G161" s="143"/>
      <c r="H161" s="143"/>
      <c r="I161" s="138"/>
      <c r="J161" s="194"/>
      <c r="K161" s="138"/>
      <c r="L161" s="144"/>
      <c r="M161" s="138"/>
      <c r="N161" s="144"/>
      <c r="O161" s="138"/>
      <c r="P161" s="144"/>
      <c r="Q161" s="138"/>
      <c r="R161" s="144"/>
      <c r="S161" s="138"/>
      <c r="T161" s="144"/>
      <c r="U161" s="138"/>
      <c r="V161" s="144"/>
      <c r="W161" s="86"/>
      <c r="X161" s="235"/>
      <c r="Y161" s="177"/>
      <c r="Z161" s="236"/>
      <c r="AA161" s="3"/>
      <c r="AB161" s="235"/>
      <c r="AC161" s="177"/>
      <c r="AD161" s="236"/>
      <c r="AE161" s="3"/>
      <c r="AF161" s="334"/>
      <c r="AG161" s="335"/>
    </row>
    <row r="162" spans="1:33" ht="13.9" customHeight="1">
      <c r="A162" s="137" t="s">
        <v>785</v>
      </c>
      <c r="B162" s="143">
        <f>Reconcil!B116</f>
        <v>1131344.2504286449</v>
      </c>
      <c r="C162" s="143"/>
      <c r="D162" s="1047">
        <f>+'Reconcil YE'!G42</f>
        <v>-4210.048084751068</v>
      </c>
      <c r="E162" s="143"/>
      <c r="F162" s="143">
        <f>ROUND('Reconcil YE'!$K$42*'Report YE'!Y162,9)+ROUND('Reconcil YE'!$J$42*'Report YE'!AC162,9)</f>
        <v>-73839.030704653997</v>
      </c>
      <c r="G162" s="143"/>
      <c r="H162" s="533">
        <f>B162+D162+F162-'Cap Str 54.7%'!C17</f>
        <v>1052950.3094289892</v>
      </c>
      <c r="I162" s="138"/>
      <c r="J162" s="193">
        <f>ROUND(H162/$H$167,4)</f>
        <v>0.47770000000000001</v>
      </c>
      <c r="K162" s="138"/>
      <c r="L162" s="373">
        <f>+P162-1</f>
        <v>8.9</v>
      </c>
      <c r="M162" s="289"/>
      <c r="N162" s="144">
        <f>ROUND(L162*J162,2)</f>
        <v>4.25</v>
      </c>
      <c r="O162" s="138"/>
      <c r="P162" s="171">
        <v>9.9</v>
      </c>
      <c r="Q162" s="138"/>
      <c r="R162" s="144">
        <f>ROUND(P162*J162,2)</f>
        <v>4.7300000000000004</v>
      </c>
      <c r="S162" s="138"/>
      <c r="T162" s="145">
        <f>+P162+1.1</f>
        <v>11</v>
      </c>
      <c r="U162" s="138"/>
      <c r="V162" s="144">
        <f>ROUND(T162*J162,2)</f>
        <v>5.25</v>
      </c>
      <c r="W162" s="86"/>
      <c r="X162" s="235">
        <f>B162+D162</f>
        <v>1127134.2023438939</v>
      </c>
      <c r="Y162" s="177">
        <f>X162/$X$167</f>
        <v>0.54717915340098933</v>
      </c>
      <c r="Z162" s="236"/>
      <c r="AA162" s="3"/>
      <c r="AB162" s="235">
        <f>B162+D162</f>
        <v>1127134.2023438939</v>
      </c>
      <c r="AC162" s="177">
        <f>AB162/$AB$167</f>
        <v>0.4790557309806861</v>
      </c>
      <c r="AD162" s="236"/>
      <c r="AE162" s="3"/>
      <c r="AF162" s="334">
        <f>+H162</f>
        <v>1052950.3094289892</v>
      </c>
      <c r="AG162" s="335">
        <f>AF162/$AF$167</f>
        <v>0.54700000000000004</v>
      </c>
    </row>
    <row r="163" spans="1:33" ht="6" customHeight="1">
      <c r="A163" s="137"/>
      <c r="B163" s="143"/>
      <c r="C163" s="143"/>
      <c r="D163" s="1047"/>
      <c r="E163" s="143"/>
      <c r="F163" s="143"/>
      <c r="G163" s="143"/>
      <c r="H163" s="143"/>
      <c r="I163" s="138"/>
      <c r="J163" s="194"/>
      <c r="K163" s="138"/>
      <c r="L163" s="144"/>
      <c r="M163" s="138"/>
      <c r="N163" s="144"/>
      <c r="O163" s="138"/>
      <c r="P163" s="144"/>
      <c r="Q163" s="138"/>
      <c r="R163" s="144"/>
      <c r="S163" s="138"/>
      <c r="T163" s="144"/>
      <c r="U163" s="138"/>
      <c r="V163" s="144"/>
      <c r="W163" s="86"/>
      <c r="X163" s="235"/>
      <c r="Y163" s="177"/>
      <c r="Z163" s="236"/>
      <c r="AA163" s="3"/>
      <c r="AB163" s="235"/>
      <c r="AC163" s="177"/>
      <c r="AD163" s="236"/>
      <c r="AE163" s="3"/>
      <c r="AF163" s="334"/>
      <c r="AG163" s="335"/>
    </row>
    <row r="164" spans="1:33" ht="13.9" customHeight="1">
      <c r="A164" s="137" t="s">
        <v>786</v>
      </c>
      <c r="B164" s="143">
        <f>Reconcil!B145+Reconcil!B146+Reconcil!B148-Reconcil!B92</f>
        <v>289117.19999999995</v>
      </c>
      <c r="C164" s="143"/>
      <c r="D164" s="1047">
        <f>+'Reconcil YE'!H42</f>
        <v>-25189.856277147745</v>
      </c>
      <c r="E164" s="143"/>
      <c r="F164" s="143">
        <f>ROUND('Reconcil YE'!$K$42*'Report YE'!Y164,9)+ROUND('Reconcil YE'!$J$42*'Report YE'!AC164,9)</f>
        <v>-15174.892715477999</v>
      </c>
      <c r="G164" s="143"/>
      <c r="H164" s="143">
        <f>B164+D164+F164</f>
        <v>248752.45100737418</v>
      </c>
      <c r="I164" s="138"/>
      <c r="J164" s="193">
        <f>ROUND(H164/$H$167,4)</f>
        <v>0.1128</v>
      </c>
      <c r="K164" s="138"/>
      <c r="L164" s="144"/>
      <c r="M164" s="138"/>
      <c r="N164" s="144"/>
      <c r="O164" s="138"/>
      <c r="P164" s="144"/>
      <c r="Q164" s="138"/>
      <c r="R164" s="144"/>
      <c r="S164" s="138"/>
      <c r="T164" s="144"/>
      <c r="U164" s="138"/>
      <c r="V164" s="144"/>
      <c r="W164" s="86"/>
      <c r="X164" s="237">
        <v>0</v>
      </c>
      <c r="Y164" s="177">
        <f>X164/$X$167</f>
        <v>0</v>
      </c>
      <c r="Z164" s="236"/>
      <c r="AA164" s="3"/>
      <c r="AB164" s="235">
        <f>B164+D164</f>
        <v>263927.34372285218</v>
      </c>
      <c r="AC164" s="177">
        <f>AB164/$AB$167</f>
        <v>0.11217466944931333</v>
      </c>
      <c r="AD164" s="236"/>
      <c r="AE164" s="3"/>
      <c r="AF164" s="334"/>
      <c r="AG164" s="335"/>
    </row>
    <row r="165" spans="1:33" ht="6" customHeight="1">
      <c r="A165" s="137"/>
      <c r="B165" s="143"/>
      <c r="C165" s="143"/>
      <c r="D165" s="1047"/>
      <c r="E165" s="143"/>
      <c r="F165" s="143"/>
      <c r="G165" s="143"/>
      <c r="H165" s="143"/>
      <c r="I165" s="138"/>
      <c r="J165" s="194"/>
      <c r="K165" s="138"/>
      <c r="L165" s="144"/>
      <c r="M165" s="138"/>
      <c r="N165" s="144"/>
      <c r="O165" s="138"/>
      <c r="P165" s="144"/>
      <c r="Q165" s="138"/>
      <c r="R165" s="144"/>
      <c r="S165" s="138"/>
      <c r="T165" s="144"/>
      <c r="U165" s="138"/>
      <c r="V165" s="144"/>
      <c r="W165" s="86"/>
      <c r="X165" s="235"/>
      <c r="Y165" s="177"/>
      <c r="Z165" s="236"/>
      <c r="AA165" s="3"/>
      <c r="AB165" s="235"/>
      <c r="AC165" s="177"/>
      <c r="AD165" s="236"/>
      <c r="AE165" s="3"/>
      <c r="AF165" s="334"/>
      <c r="AG165" s="335"/>
    </row>
    <row r="166" spans="1:33" ht="13.9" customHeight="1">
      <c r="A166" s="137" t="s">
        <v>787</v>
      </c>
      <c r="B166" s="146"/>
      <c r="C166" s="143"/>
      <c r="D166" s="1048">
        <v>0</v>
      </c>
      <c r="E166" s="143"/>
      <c r="F166" s="146">
        <f>ROUND('Reconcil YE'!$K$42*'Report YE'!Y166,9)+ROUND('Reconcil YE'!$J$42*'Report YE'!AC166,9)</f>
        <v>0</v>
      </c>
      <c r="G166" s="143"/>
      <c r="H166" s="146">
        <f>B166+D166+F166</f>
        <v>0</v>
      </c>
      <c r="I166" s="138"/>
      <c r="J166" s="195">
        <f>ROUND(H166/$H$167,4)</f>
        <v>0</v>
      </c>
      <c r="K166" s="138"/>
      <c r="L166" s="144"/>
      <c r="M166" s="138"/>
      <c r="N166" s="147"/>
      <c r="O166" s="138"/>
      <c r="P166" s="144"/>
      <c r="Q166" s="138"/>
      <c r="R166" s="147"/>
      <c r="S166" s="138"/>
      <c r="T166" s="144"/>
      <c r="U166" s="138"/>
      <c r="V166" s="147"/>
      <c r="W166" s="86"/>
      <c r="X166" s="237">
        <v>0</v>
      </c>
      <c r="Y166" s="177">
        <f>X166/$X$167</f>
        <v>0</v>
      </c>
      <c r="Z166" s="236"/>
      <c r="AA166" s="3"/>
      <c r="AB166" s="235">
        <f>B166+D166</f>
        <v>0</v>
      </c>
      <c r="AC166" s="177">
        <f>AB166/$AB$167</f>
        <v>0</v>
      </c>
      <c r="AD166" s="236"/>
      <c r="AE166" s="3"/>
      <c r="AF166" s="334"/>
      <c r="AG166" s="335"/>
    </row>
    <row r="167" spans="1:33" ht="15.95" customHeight="1" thickBot="1">
      <c r="A167" s="137" t="s">
        <v>230</v>
      </c>
      <c r="B167" s="148">
        <f>SUM(B156:B166)</f>
        <v>2382224.7000000002</v>
      </c>
      <c r="C167" s="138"/>
      <c r="D167" s="148">
        <f>SUM(D156:D166)</f>
        <v>-29399.904361898814</v>
      </c>
      <c r="E167" s="138"/>
      <c r="F167" s="148">
        <f>H167-D167-B167</f>
        <v>-148473.94840662647</v>
      </c>
      <c r="G167" s="138"/>
      <c r="H167" s="148">
        <f>T90</f>
        <v>2204350.8472314747</v>
      </c>
      <c r="I167" s="138"/>
      <c r="J167" s="196">
        <f>Y167</f>
        <v>1</v>
      </c>
      <c r="K167" s="138"/>
      <c r="L167" s="144"/>
      <c r="M167" s="144"/>
      <c r="N167" s="149">
        <f>SUM(N156:N162)</f>
        <v>5.93</v>
      </c>
      <c r="O167" s="144"/>
      <c r="P167" s="144"/>
      <c r="Q167" s="144"/>
      <c r="R167" s="149">
        <f>SUM(R156:R162)</f>
        <v>6.41</v>
      </c>
      <c r="S167" s="144"/>
      <c r="T167" s="144"/>
      <c r="U167" s="144"/>
      <c r="V167" s="149">
        <f>SUM(V156:V162)</f>
        <v>6.93</v>
      </c>
      <c r="W167" s="86"/>
      <c r="X167" s="235">
        <f>SUM(X156:X166)</f>
        <v>2059899.7519152493</v>
      </c>
      <c r="Y167" s="177">
        <f>SUM(Y156:Y166)</f>
        <v>1</v>
      </c>
      <c r="Z167" s="236"/>
      <c r="AA167" s="3"/>
      <c r="AB167" s="235">
        <f>SUM(AB156:AB166)</f>
        <v>2352824.7956381012</v>
      </c>
      <c r="AC167" s="177">
        <f>SUM(AC156:AC166)</f>
        <v>1.0000000000000002</v>
      </c>
      <c r="AD167" s="236"/>
      <c r="AE167" s="3"/>
      <c r="AF167" s="334">
        <f>SUM(AF156:AF166)</f>
        <v>1924954.8618445871</v>
      </c>
      <c r="AG167" s="335">
        <f>SUM(AG156:AG166)</f>
        <v>1</v>
      </c>
    </row>
    <row r="168" spans="1:33" ht="9" customHeight="1" thickTop="1" thickBot="1">
      <c r="A168" s="137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86"/>
      <c r="X168" s="238"/>
      <c r="Y168" s="239"/>
      <c r="Z168" s="240"/>
      <c r="AA168" s="3"/>
      <c r="AB168" s="238"/>
      <c r="AC168" s="239"/>
      <c r="AD168" s="240"/>
      <c r="AE168" s="3"/>
      <c r="AF168" s="336"/>
      <c r="AG168" s="336"/>
    </row>
    <row r="169" spans="1:33">
      <c r="A169" s="137"/>
      <c r="B169" s="143">
        <f>+B167-T53</f>
        <v>-3313.1000000000931</v>
      </c>
      <c r="C169" s="138"/>
      <c r="D169" s="1047">
        <f>+D167-SUM('Reconcil YE'!D42:I42)</f>
        <v>0</v>
      </c>
      <c r="E169" s="138"/>
      <c r="F169" s="143">
        <f>+F167-'Reconcil YE'!J42-'Reconcil YE'!K42</f>
        <v>3313.1000000000495</v>
      </c>
      <c r="G169" s="138"/>
      <c r="H169" s="143">
        <f>H167-T90</f>
        <v>0</v>
      </c>
      <c r="I169" s="138"/>
      <c r="J169" s="457">
        <f>1-J167</f>
        <v>0</v>
      </c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3"/>
      <c r="X169" s="143">
        <f>+B156+B158+B162+D156+D162-X167</f>
        <v>0</v>
      </c>
      <c r="Y169" s="3"/>
      <c r="Z169" s="3"/>
      <c r="AA169" s="3"/>
      <c r="AB169" s="143">
        <f>+AB167-B167-D167</f>
        <v>-1.964508555829525E-10</v>
      </c>
      <c r="AC169" s="3"/>
      <c r="AD169" s="3"/>
      <c r="AE169" s="3"/>
      <c r="AF169" s="3"/>
      <c r="AG169" s="3"/>
    </row>
    <row r="170" spans="1:33">
      <c r="A170" s="137"/>
      <c r="B170" s="138"/>
      <c r="C170" s="138"/>
      <c r="D170" s="138"/>
      <c r="E170" s="138"/>
      <c r="F170" s="143">
        <f>SUM(F156:F166)-F167</f>
        <v>-3313.1000000005297</v>
      </c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3"/>
      <c r="X170" s="3"/>
      <c r="Y170" s="3"/>
      <c r="Z170" s="3"/>
      <c r="AA170" s="3"/>
      <c r="AB170" s="3"/>
      <c r="AC170" s="3"/>
    </row>
    <row r="171" spans="1:33">
      <c r="A171" s="137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3"/>
      <c r="X171" s="3"/>
      <c r="Y171" s="3"/>
      <c r="Z171" s="3"/>
      <c r="AA171" s="3"/>
      <c r="AB171" s="3"/>
      <c r="AC171" s="3"/>
    </row>
    <row r="172" spans="1:33" ht="15">
      <c r="A172" s="150" t="s">
        <v>232</v>
      </c>
      <c r="B172" s="151"/>
      <c r="C172" s="92"/>
      <c r="D172" s="14"/>
      <c r="E172" s="151"/>
      <c r="F172" s="151"/>
      <c r="G172" s="151"/>
      <c r="H172" s="151"/>
      <c r="I172" s="126"/>
      <c r="J172" s="14"/>
      <c r="K172" s="151"/>
      <c r="L172" s="86" t="s">
        <v>788</v>
      </c>
      <c r="M172" s="136"/>
      <c r="N172" s="153"/>
      <c r="O172" s="153"/>
      <c r="P172" s="132"/>
      <c r="Q172" s="3"/>
      <c r="R172" s="132"/>
      <c r="S172" s="3"/>
      <c r="T172" s="259"/>
      <c r="U172" s="3"/>
      <c r="V172" s="259"/>
      <c r="W172" s="3"/>
      <c r="X172" s="3"/>
      <c r="Y172" s="3"/>
      <c r="Z172" s="3"/>
      <c r="AA172" s="3"/>
      <c r="AB172" s="3"/>
      <c r="AC172" s="3"/>
    </row>
    <row r="173" spans="1:33" ht="15">
      <c r="A173" s="90" t="s">
        <v>789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2"/>
      <c r="M173" s="128"/>
      <c r="N173" s="153"/>
      <c r="O173" s="153"/>
      <c r="P173" s="132"/>
      <c r="Q173" s="3"/>
      <c r="R173" s="132"/>
      <c r="S173" s="3"/>
      <c r="T173" s="259"/>
      <c r="U173" s="3"/>
      <c r="V173" s="259"/>
      <c r="W173" s="3"/>
      <c r="X173" s="3"/>
      <c r="Y173" s="3"/>
      <c r="Z173" s="3"/>
      <c r="AA173" s="3"/>
      <c r="AB173" s="3"/>
      <c r="AC173" s="3"/>
    </row>
    <row r="174" spans="1:33" ht="15">
      <c r="A174" s="90" t="s">
        <v>770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2"/>
      <c r="M174" s="128"/>
      <c r="N174" s="153"/>
      <c r="O174" s="153"/>
      <c r="P174" s="132"/>
      <c r="Q174" s="3"/>
      <c r="R174" s="132"/>
      <c r="S174" s="3"/>
      <c r="T174" s="259"/>
      <c r="U174" s="3"/>
      <c r="V174" s="259"/>
      <c r="W174" s="3"/>
      <c r="X174" s="3"/>
      <c r="Y174" s="3"/>
      <c r="Z174" s="3"/>
      <c r="AA174" s="3"/>
      <c r="AB174" s="3"/>
      <c r="AC174" s="3"/>
    </row>
    <row r="175" spans="1:33" ht="15">
      <c r="A175" s="116" t="str">
        <f>A3</f>
        <v>2023 Budget</v>
      </c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2"/>
      <c r="M175" s="128"/>
      <c r="N175" s="3"/>
      <c r="O175" s="3"/>
      <c r="P175" s="132"/>
      <c r="Q175" s="3"/>
      <c r="R175" s="132"/>
      <c r="S175" s="3"/>
      <c r="T175" s="259"/>
      <c r="U175" s="3"/>
      <c r="V175" s="259"/>
      <c r="W175" s="3"/>
      <c r="X175" s="3"/>
      <c r="Y175" s="3"/>
      <c r="Z175" s="3"/>
      <c r="AA175" s="3"/>
      <c r="AB175" s="3"/>
      <c r="AC175" s="3"/>
    </row>
    <row r="176" spans="1:33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154"/>
      <c r="O176" s="3"/>
      <c r="P176" s="169"/>
      <c r="Q176" s="3"/>
      <c r="R176" s="13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>
      <c r="A177" s="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169"/>
      <c r="Q178" s="3"/>
      <c r="R178" s="3"/>
      <c r="S178" s="3"/>
      <c r="T178" s="258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2.95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86"/>
      <c r="O179" s="86"/>
      <c r="P179" s="3"/>
      <c r="Q179" s="3"/>
      <c r="R179" s="258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2.95" customHeight="1">
      <c r="A180" s="104" t="s">
        <v>790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169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2.95" customHeight="1">
      <c r="A181" s="104" t="s">
        <v>791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2.95" customHeight="1">
      <c r="A182" s="94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2.95" customHeight="1">
      <c r="A183" s="94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2.95" customHeight="1">
      <c r="A184" s="94" t="s">
        <v>792</v>
      </c>
      <c r="B184" s="86"/>
      <c r="C184" s="86"/>
      <c r="D184" s="86"/>
      <c r="E184" s="86"/>
      <c r="F184" s="86"/>
      <c r="G184" s="86"/>
      <c r="H184" s="99">
        <f ca="1">J15</f>
        <v>5.2262000000000004</v>
      </c>
      <c r="I184" s="86" t="s">
        <v>105</v>
      </c>
      <c r="J184" s="86" t="s">
        <v>793</v>
      </c>
      <c r="K184" s="86"/>
      <c r="L184" s="86"/>
      <c r="M184" s="86"/>
      <c r="N184" s="86"/>
      <c r="O184" s="8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2.95" customHeight="1">
      <c r="A185" s="94" t="s">
        <v>794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2.95" customHeight="1">
      <c r="A186" s="94" t="s">
        <v>795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2.95" customHeight="1">
      <c r="A187" s="94" t="s">
        <v>782</v>
      </c>
      <c r="B187" s="86"/>
      <c r="C187" s="86"/>
      <c r="D187" s="86"/>
      <c r="E187" s="86"/>
      <c r="F187" s="86"/>
      <c r="G187" s="86"/>
      <c r="H187" s="155">
        <f>-R156</f>
        <v>-1.22</v>
      </c>
      <c r="I187" s="86" t="s">
        <v>105</v>
      </c>
      <c r="J187" s="86"/>
      <c r="K187" s="86"/>
      <c r="L187" s="86"/>
      <c r="M187" s="86"/>
      <c r="N187" s="86"/>
      <c r="O187" s="8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2.95" customHeight="1">
      <c r="A188" s="94" t="s">
        <v>783</v>
      </c>
      <c r="B188" s="86"/>
      <c r="C188" s="86"/>
      <c r="D188" s="86"/>
      <c r="E188" s="86"/>
      <c r="F188" s="86"/>
      <c r="G188" s="86"/>
      <c r="H188" s="155">
        <f>-R158</f>
        <v>-0.43</v>
      </c>
      <c r="I188" s="86" t="s">
        <v>105</v>
      </c>
      <c r="J188" s="86"/>
      <c r="K188" s="86"/>
      <c r="L188" s="86"/>
      <c r="M188" s="86"/>
      <c r="N188" s="86"/>
      <c r="O188" s="8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2.95" customHeight="1">
      <c r="A189" s="94" t="s">
        <v>796</v>
      </c>
      <c r="B189" s="86"/>
      <c r="C189" s="86"/>
      <c r="D189" s="86"/>
      <c r="E189" s="86"/>
      <c r="F189" s="86"/>
      <c r="G189" s="86"/>
      <c r="H189" s="156">
        <v>0</v>
      </c>
      <c r="I189" s="86" t="s">
        <v>105</v>
      </c>
      <c r="J189" s="86"/>
      <c r="K189" s="86"/>
      <c r="L189" s="86"/>
      <c r="M189" s="86"/>
      <c r="N189" s="86"/>
      <c r="O189" s="8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2.95" customHeight="1">
      <c r="A190" s="94" t="s">
        <v>784</v>
      </c>
      <c r="B190" s="86"/>
      <c r="C190" s="86"/>
      <c r="D190" s="86"/>
      <c r="E190" s="86"/>
      <c r="F190" s="86"/>
      <c r="G190" s="86"/>
      <c r="H190" s="155">
        <f>-R160</f>
        <v>-0.03</v>
      </c>
      <c r="I190" s="86" t="s">
        <v>105</v>
      </c>
      <c r="J190" s="86"/>
      <c r="K190" s="86"/>
      <c r="L190" s="86"/>
      <c r="M190" s="86"/>
      <c r="N190" s="86"/>
      <c r="O190" s="8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2.95" customHeight="1">
      <c r="A191" s="94" t="s">
        <v>797</v>
      </c>
      <c r="B191" s="86"/>
      <c r="C191" s="86"/>
      <c r="D191" s="86"/>
      <c r="E191" s="86"/>
      <c r="F191" s="86"/>
      <c r="G191" s="86"/>
      <c r="H191" s="156">
        <v>0</v>
      </c>
      <c r="I191" s="86" t="s">
        <v>105</v>
      </c>
      <c r="J191" s="86"/>
      <c r="K191" s="86"/>
      <c r="L191" s="86"/>
      <c r="M191" s="86"/>
      <c r="N191" s="86"/>
      <c r="O191" s="8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2.95" customHeight="1">
      <c r="A192" s="94" t="s">
        <v>798</v>
      </c>
      <c r="B192" s="86"/>
      <c r="C192" s="86"/>
      <c r="D192" s="86"/>
      <c r="E192" s="86"/>
      <c r="F192" s="86"/>
      <c r="G192" s="86"/>
      <c r="H192" s="157">
        <f>SUM(H187:H191)</f>
        <v>-1.68</v>
      </c>
      <c r="I192" s="86" t="s">
        <v>105</v>
      </c>
      <c r="J192" s="86"/>
      <c r="K192" s="86"/>
      <c r="L192" s="86"/>
      <c r="M192" s="86"/>
      <c r="N192" s="86"/>
      <c r="O192" s="8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2.95" customHeight="1">
      <c r="A193" s="94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2.95" customHeight="1">
      <c r="A194" s="94" t="s">
        <v>230</v>
      </c>
      <c r="B194" s="86"/>
      <c r="C194" s="86"/>
      <c r="D194" s="86"/>
      <c r="E194" s="86"/>
      <c r="F194" s="86"/>
      <c r="G194" s="86"/>
      <c r="H194" s="155">
        <f ca="1">ROUND(H184+H192,4)</f>
        <v>3.5461999999999998</v>
      </c>
      <c r="I194" s="86" t="s">
        <v>105</v>
      </c>
      <c r="J194" s="86"/>
      <c r="K194" s="86"/>
      <c r="L194" s="86"/>
      <c r="M194" s="86"/>
      <c r="N194" s="86"/>
      <c r="O194" s="8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2.95" customHeight="1">
      <c r="A195" s="94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2.95" customHeight="1">
      <c r="A196" s="94" t="s">
        <v>799</v>
      </c>
      <c r="B196" s="86"/>
      <c r="C196" s="86"/>
      <c r="D196" s="86"/>
      <c r="E196" s="86"/>
      <c r="F196" s="86"/>
      <c r="G196" s="86"/>
      <c r="H196" s="158">
        <f>ROUND(J162*100,4)</f>
        <v>47.77</v>
      </c>
      <c r="I196" s="86" t="s">
        <v>105</v>
      </c>
      <c r="J196" s="86"/>
      <c r="K196" s="86"/>
      <c r="L196" s="86"/>
      <c r="M196" s="86"/>
      <c r="N196" s="86"/>
      <c r="O196" s="8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2.95" customHeight="1">
      <c r="A197" s="94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2.95" customHeight="1" thickBot="1">
      <c r="A198" s="94" t="s">
        <v>800</v>
      </c>
      <c r="B198" s="86"/>
      <c r="C198" s="86"/>
      <c r="D198" s="86"/>
      <c r="E198" s="86"/>
      <c r="F198" s="86"/>
      <c r="G198" s="86"/>
      <c r="H198" s="159">
        <f ca="1">ROUND((H194)/(H196/100),4)</f>
        <v>7.4234999999999998</v>
      </c>
      <c r="I198" s="86" t="s">
        <v>105</v>
      </c>
      <c r="J198" s="86"/>
      <c r="K198" s="86"/>
      <c r="L198" s="86"/>
      <c r="M198" s="86"/>
      <c r="N198" s="86"/>
      <c r="O198" s="8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2.95" customHeight="1" thickTop="1">
      <c r="A199" s="94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>
      <c r="A200" s="94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2.95" customHeight="1">
      <c r="A201" s="94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2.95" customHeight="1">
      <c r="A202" s="94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2.95" customHeight="1">
      <c r="A203" s="104" t="s">
        <v>801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2.95" customHeight="1">
      <c r="A204" s="104" t="s">
        <v>802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2.95" customHeight="1">
      <c r="A205" s="94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2.95" customHeight="1">
      <c r="A206" s="94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2.95" customHeight="1">
      <c r="A207" s="94" t="s">
        <v>803</v>
      </c>
      <c r="B207" s="86"/>
      <c r="C207" s="86"/>
      <c r="D207" s="86"/>
      <c r="E207" s="86"/>
      <c r="F207" s="86"/>
      <c r="G207" s="86" t="s">
        <v>676</v>
      </c>
      <c r="H207" s="86">
        <f ca="1">V129</f>
        <v>112434.68093855123</v>
      </c>
      <c r="I207" s="86"/>
      <c r="J207" s="86" t="s">
        <v>804</v>
      </c>
      <c r="K207" s="86"/>
      <c r="L207" s="86"/>
      <c r="M207" s="86"/>
      <c r="N207" s="86"/>
      <c r="O207" s="8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2.95" customHeight="1">
      <c r="A208" s="94"/>
      <c r="B208" s="86"/>
      <c r="C208" s="86"/>
      <c r="D208" s="86"/>
      <c r="E208" s="86"/>
      <c r="F208" s="86"/>
      <c r="G208" s="86"/>
      <c r="H208" s="86"/>
      <c r="I208" s="86"/>
      <c r="J208" s="160"/>
      <c r="K208" s="86"/>
      <c r="L208" s="86"/>
      <c r="M208" s="86"/>
      <c r="N208" s="86"/>
      <c r="O208" s="8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2.95" customHeight="1">
      <c r="A209" s="94" t="s">
        <v>805</v>
      </c>
      <c r="B209" s="86"/>
      <c r="C209" s="86"/>
      <c r="D209" s="86"/>
      <c r="E209" s="86"/>
      <c r="F209" s="86"/>
      <c r="G209" s="86" t="s">
        <v>676</v>
      </c>
      <c r="H209" s="98">
        <f>T81</f>
        <v>2204350.8472314747</v>
      </c>
      <c r="I209" s="86"/>
      <c r="J209" s="86" t="s">
        <v>806</v>
      </c>
      <c r="K209" s="86"/>
      <c r="L209" s="86"/>
      <c r="M209" s="86"/>
      <c r="N209" s="86"/>
      <c r="O209" s="8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2.95" customHeight="1">
      <c r="A210" s="94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2.95" customHeight="1">
      <c r="A211" s="94" t="s">
        <v>792</v>
      </c>
      <c r="B211" s="86"/>
      <c r="C211" s="86"/>
      <c r="D211" s="86"/>
      <c r="E211" s="86"/>
      <c r="F211" s="86"/>
      <c r="G211" s="86"/>
      <c r="H211" s="158">
        <f ca="1">(H207/H209)*100</f>
        <v>5.1005801131776316</v>
      </c>
      <c r="I211" s="86" t="s">
        <v>105</v>
      </c>
      <c r="J211" s="86"/>
      <c r="K211" s="86"/>
      <c r="L211" s="86"/>
      <c r="M211" s="86"/>
      <c r="N211" s="86"/>
      <c r="O211" s="8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2.95" customHeight="1">
      <c r="A212" s="94" t="s">
        <v>794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2.95" customHeight="1">
      <c r="A213" s="94" t="s">
        <v>795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2.95" customHeight="1">
      <c r="A214" s="94" t="s">
        <v>782</v>
      </c>
      <c r="B214" s="86"/>
      <c r="C214" s="86"/>
      <c r="D214" s="86"/>
      <c r="E214" s="86"/>
      <c r="F214" s="86"/>
      <c r="G214" s="86"/>
      <c r="H214" s="155">
        <f>H187</f>
        <v>-1.22</v>
      </c>
      <c r="I214" s="86" t="s">
        <v>105</v>
      </c>
      <c r="J214" s="86"/>
      <c r="K214" s="86"/>
      <c r="L214" s="86"/>
      <c r="M214" s="86"/>
      <c r="N214" s="86"/>
      <c r="O214" s="8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2.95" customHeight="1">
      <c r="A215" s="94" t="s">
        <v>783</v>
      </c>
      <c r="B215" s="86"/>
      <c r="C215" s="86"/>
      <c r="D215" s="86"/>
      <c r="E215" s="86"/>
      <c r="F215" s="86"/>
      <c r="G215" s="86"/>
      <c r="H215" s="155">
        <f>H188</f>
        <v>-0.43</v>
      </c>
      <c r="I215" s="86" t="s">
        <v>105</v>
      </c>
      <c r="J215" s="86"/>
      <c r="K215" s="86"/>
      <c r="L215" s="86"/>
      <c r="M215" s="86"/>
      <c r="N215" s="86"/>
      <c r="O215" s="8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2.95" customHeight="1">
      <c r="A216" s="94" t="s">
        <v>796</v>
      </c>
      <c r="B216" s="86"/>
      <c r="C216" s="86"/>
      <c r="D216" s="86"/>
      <c r="E216" s="86"/>
      <c r="F216" s="86"/>
      <c r="G216" s="86"/>
      <c r="H216" s="155">
        <f>H189</f>
        <v>0</v>
      </c>
      <c r="I216" s="86" t="s">
        <v>105</v>
      </c>
      <c r="J216" s="86"/>
      <c r="K216" s="86"/>
      <c r="L216" s="86"/>
      <c r="M216" s="86"/>
      <c r="N216" s="86"/>
      <c r="O216" s="8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2.95" customHeight="1">
      <c r="A217" s="94" t="s">
        <v>784</v>
      </c>
      <c r="B217" s="86"/>
      <c r="C217" s="86"/>
      <c r="D217" s="86"/>
      <c r="E217" s="86"/>
      <c r="F217" s="86"/>
      <c r="G217" s="86"/>
      <c r="H217" s="155">
        <f>H190</f>
        <v>-0.03</v>
      </c>
      <c r="I217" s="86" t="s">
        <v>105</v>
      </c>
      <c r="J217" s="86"/>
      <c r="K217" s="86"/>
      <c r="L217" s="86"/>
      <c r="M217" s="86"/>
      <c r="N217" s="86"/>
      <c r="O217" s="8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2.95" customHeight="1">
      <c r="A218" s="94" t="s">
        <v>797</v>
      </c>
      <c r="B218" s="86"/>
      <c r="C218" s="86"/>
      <c r="D218" s="86"/>
      <c r="E218" s="86"/>
      <c r="F218" s="86"/>
      <c r="G218" s="86"/>
      <c r="H218" s="155">
        <f>H191</f>
        <v>0</v>
      </c>
      <c r="I218" s="86" t="s">
        <v>105</v>
      </c>
      <c r="J218" s="86"/>
      <c r="K218" s="86"/>
      <c r="L218" s="86"/>
      <c r="M218" s="86"/>
      <c r="N218" s="86"/>
      <c r="O218" s="8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2.95" customHeight="1">
      <c r="A219" s="94" t="s">
        <v>798</v>
      </c>
      <c r="B219" s="86"/>
      <c r="C219" s="86"/>
      <c r="D219" s="86"/>
      <c r="E219" s="86"/>
      <c r="F219" s="86"/>
      <c r="G219" s="86"/>
      <c r="H219" s="157">
        <f>SUM(H214:H218)</f>
        <v>-1.68</v>
      </c>
      <c r="I219" s="86" t="s">
        <v>105</v>
      </c>
      <c r="J219" s="86"/>
      <c r="K219" s="86"/>
      <c r="L219" s="86"/>
      <c r="M219" s="86"/>
      <c r="N219" s="86"/>
      <c r="O219" s="8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2.95" customHeight="1">
      <c r="A220" s="94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2.95" customHeight="1">
      <c r="A221" s="94" t="s">
        <v>230</v>
      </c>
      <c r="B221" s="86"/>
      <c r="C221" s="86"/>
      <c r="D221" s="86"/>
      <c r="E221" s="86"/>
      <c r="F221" s="86"/>
      <c r="G221" s="86"/>
      <c r="H221" s="155">
        <f ca="1">H211+H219</f>
        <v>3.4205801131776319</v>
      </c>
      <c r="I221" s="86" t="s">
        <v>105</v>
      </c>
      <c r="J221" s="86"/>
      <c r="K221" s="86"/>
      <c r="L221" s="86"/>
      <c r="M221" s="86"/>
      <c r="N221" s="86"/>
      <c r="O221" s="8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2.95" customHeight="1">
      <c r="A222" s="94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2.95" customHeight="1">
      <c r="A223" s="94" t="s">
        <v>799</v>
      </c>
      <c r="B223" s="86"/>
      <c r="C223" s="86"/>
      <c r="D223" s="86"/>
      <c r="E223" s="86"/>
      <c r="F223" s="86"/>
      <c r="G223" s="86"/>
      <c r="H223" s="158">
        <f>H196</f>
        <v>47.77</v>
      </c>
      <c r="I223" s="86" t="s">
        <v>105</v>
      </c>
      <c r="J223" s="86"/>
      <c r="K223" s="86"/>
      <c r="L223" s="86"/>
      <c r="M223" s="86"/>
      <c r="N223" s="86"/>
      <c r="O223" s="8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2.95" customHeight="1">
      <c r="A224" s="94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2.95" customHeight="1" thickBot="1">
      <c r="A225" s="94" t="s">
        <v>800</v>
      </c>
      <c r="B225" s="86"/>
      <c r="C225" s="86"/>
      <c r="D225" s="86"/>
      <c r="E225" s="86"/>
      <c r="F225" s="86"/>
      <c r="G225" s="86"/>
      <c r="H225" s="159">
        <f ca="1">(H221)/(H223/100)</f>
        <v>7.1605193912029135</v>
      </c>
      <c r="I225" s="86" t="s">
        <v>105</v>
      </c>
      <c r="J225" s="86"/>
      <c r="K225" s="86"/>
      <c r="L225" s="86"/>
      <c r="M225" s="86"/>
      <c r="N225" s="86"/>
      <c r="O225" s="8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3.5" thickTop="1">
      <c r="A226" s="94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>
      <c r="A227" s="119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>
      <c r="A228" s="119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>
      <c r="A229" s="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3" spans="1:29">
      <c r="A233" s="90" t="s">
        <v>232</v>
      </c>
      <c r="B233" s="151"/>
      <c r="C233" s="151"/>
      <c r="D233" s="151"/>
      <c r="E233" s="151"/>
      <c r="F233" s="151"/>
      <c r="G233" s="151"/>
      <c r="H233" s="151"/>
      <c r="I233" s="14"/>
      <c r="J233" s="92"/>
      <c r="K233" s="151"/>
      <c r="L233" s="152" t="s">
        <v>807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>
      <c r="A234" s="90" t="s">
        <v>789</v>
      </c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17"/>
      <c r="M234" s="11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>
      <c r="A235" s="90" t="s">
        <v>808</v>
      </c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17"/>
      <c r="M235" s="11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>
      <c r="A236" s="116" t="str">
        <f>A3</f>
        <v>2023 Budget</v>
      </c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17"/>
      <c r="M236" s="11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>
      <c r="A237" s="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>
      <c r="A238" s="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>
      <c r="A239" s="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>
      <c r="A240" s="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>
      <c r="A241" s="104" t="s">
        <v>809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>
      <c r="A242" s="104" t="s">
        <v>791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>
      <c r="A243" s="94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>
      <c r="A244" s="94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>
      <c r="A245" s="94" t="s">
        <v>810</v>
      </c>
      <c r="B245" s="86"/>
      <c r="C245" s="86"/>
      <c r="D245" s="86"/>
      <c r="E245" s="86"/>
      <c r="F245" s="86"/>
      <c r="G245" s="86"/>
      <c r="H245" s="99">
        <f ca="1">ROUND(N15,4)</f>
        <v>5.2262000000000004</v>
      </c>
      <c r="I245" s="86" t="s">
        <v>105</v>
      </c>
      <c r="J245" s="86" t="s">
        <v>793</v>
      </c>
      <c r="K245" s="8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>
      <c r="A246" s="94" t="s">
        <v>794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>
      <c r="A247" s="94" t="s">
        <v>795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>
      <c r="A248" s="94" t="s">
        <v>782</v>
      </c>
      <c r="B248" s="86"/>
      <c r="C248" s="86"/>
      <c r="D248" s="86"/>
      <c r="E248" s="86"/>
      <c r="F248" s="86"/>
      <c r="G248" s="86"/>
      <c r="H248" s="155">
        <f>-R156</f>
        <v>-1.22</v>
      </c>
      <c r="I248" s="86" t="s">
        <v>105</v>
      </c>
      <c r="J248" s="86"/>
      <c r="K248" s="8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>
      <c r="A249" s="94" t="s">
        <v>783</v>
      </c>
      <c r="B249" s="86"/>
      <c r="C249" s="86"/>
      <c r="D249" s="86"/>
      <c r="E249" s="86"/>
      <c r="F249" s="86"/>
      <c r="G249" s="86"/>
      <c r="H249" s="155">
        <f>-R158</f>
        <v>-0.43</v>
      </c>
      <c r="I249" s="86" t="s">
        <v>105</v>
      </c>
      <c r="J249" s="86"/>
      <c r="K249" s="8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>
      <c r="A250" s="94" t="s">
        <v>796</v>
      </c>
      <c r="B250" s="86"/>
      <c r="C250" s="86"/>
      <c r="D250" s="86"/>
      <c r="E250" s="86"/>
      <c r="F250" s="86"/>
      <c r="G250" s="86"/>
      <c r="H250" s="156">
        <v>0</v>
      </c>
      <c r="I250" s="86" t="s">
        <v>105</v>
      </c>
      <c r="J250" s="86"/>
      <c r="K250" s="8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>
      <c r="A251" s="94" t="s">
        <v>784</v>
      </c>
      <c r="B251" s="86"/>
      <c r="C251" s="86"/>
      <c r="D251" s="86"/>
      <c r="E251" s="86"/>
      <c r="F251" s="86"/>
      <c r="G251" s="86"/>
      <c r="H251" s="155">
        <f>ROUND(-R160,4)</f>
        <v>-0.03</v>
      </c>
      <c r="I251" s="86" t="s">
        <v>105</v>
      </c>
      <c r="J251" s="86"/>
      <c r="K251" s="8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>
      <c r="A252" s="94" t="s">
        <v>797</v>
      </c>
      <c r="B252" s="86"/>
      <c r="C252" s="86"/>
      <c r="D252" s="86"/>
      <c r="E252" s="86"/>
      <c r="F252" s="86"/>
      <c r="G252" s="86"/>
      <c r="H252" s="156">
        <v>0</v>
      </c>
      <c r="I252" s="86" t="s">
        <v>105</v>
      </c>
      <c r="J252" s="86"/>
      <c r="K252" s="8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>
      <c r="A253" s="94" t="s">
        <v>798</v>
      </c>
      <c r="B253" s="86"/>
      <c r="C253" s="86"/>
      <c r="D253" s="86"/>
      <c r="E253" s="86"/>
      <c r="F253" s="86"/>
      <c r="G253" s="86"/>
      <c r="H253" s="157">
        <f>ROUND(SUM(H248:H252),4)</f>
        <v>-1.68</v>
      </c>
      <c r="I253" s="86" t="s">
        <v>105</v>
      </c>
      <c r="J253" s="86"/>
      <c r="K253" s="8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>
      <c r="A254" s="94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>
      <c r="A255" s="94" t="s">
        <v>230</v>
      </c>
      <c r="B255" s="86"/>
      <c r="C255" s="86"/>
      <c r="D255" s="86"/>
      <c r="E255" s="86"/>
      <c r="F255" s="86"/>
      <c r="G255" s="86"/>
      <c r="H255" s="155">
        <f ca="1">ROUND(H245+H253,4)</f>
        <v>3.5461999999999998</v>
      </c>
      <c r="I255" s="86" t="s">
        <v>105</v>
      </c>
      <c r="J255" s="86"/>
      <c r="K255" s="8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>
      <c r="A256" s="94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>
      <c r="A257" s="94" t="s">
        <v>799</v>
      </c>
      <c r="B257" s="86"/>
      <c r="C257" s="86"/>
      <c r="D257" s="86"/>
      <c r="E257" s="86"/>
      <c r="F257" s="86"/>
      <c r="G257" s="86"/>
      <c r="H257" s="158">
        <f>ROUND(J162*100,4)</f>
        <v>47.77</v>
      </c>
      <c r="I257" s="86" t="s">
        <v>105</v>
      </c>
      <c r="J257" s="86"/>
      <c r="K257" s="8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>
      <c r="A258" s="94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3.5" thickBot="1">
      <c r="A259" s="94" t="s">
        <v>800</v>
      </c>
      <c r="B259" s="86"/>
      <c r="C259" s="86"/>
      <c r="D259" s="86"/>
      <c r="E259" s="86"/>
      <c r="F259" s="86"/>
      <c r="G259" s="86"/>
      <c r="H259" s="159">
        <f ca="1">ROUND((H255)/(H257/100),4)</f>
        <v>7.4234999999999998</v>
      </c>
      <c r="I259" s="86" t="s">
        <v>105</v>
      </c>
      <c r="J259" s="86"/>
      <c r="K259" s="8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3.5" thickTop="1">
      <c r="A260" s="94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>
      <c r="A261" s="94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>
      <c r="A262" s="94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>
      <c r="A263" s="94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>
      <c r="A264" s="104" t="s">
        <v>811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>
      <c r="A265" s="104" t="s">
        <v>802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>
      <c r="A266" s="94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>
      <c r="A267" s="94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>
      <c r="A268" s="94" t="s">
        <v>803</v>
      </c>
      <c r="B268" s="86"/>
      <c r="C268" s="86"/>
      <c r="D268" s="86"/>
      <c r="E268" s="86"/>
      <c r="F268" s="86"/>
      <c r="G268" s="86" t="s">
        <v>676</v>
      </c>
      <c r="H268" s="86">
        <f ca="1">V138+V127</f>
        <v>112434.68093855123</v>
      </c>
      <c r="I268" s="86"/>
      <c r="J268" s="86" t="s">
        <v>812</v>
      </c>
      <c r="K268" s="8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>
      <c r="A269" s="94"/>
      <c r="B269" s="86"/>
      <c r="C269" s="86"/>
      <c r="D269" s="86"/>
      <c r="E269" s="86"/>
      <c r="F269" s="86"/>
      <c r="G269" s="86"/>
      <c r="H269" s="86"/>
      <c r="I269" s="86"/>
      <c r="J269" s="160"/>
      <c r="K269" s="8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>
      <c r="A270" s="94" t="s">
        <v>805</v>
      </c>
      <c r="B270" s="86"/>
      <c r="C270" s="86"/>
      <c r="D270" s="86"/>
      <c r="E270" s="86"/>
      <c r="F270" s="86"/>
      <c r="G270" s="86" t="s">
        <v>676</v>
      </c>
      <c r="H270" s="98">
        <f>T90</f>
        <v>2204350.8472314747</v>
      </c>
      <c r="I270" s="86"/>
      <c r="J270" s="86" t="s">
        <v>813</v>
      </c>
      <c r="K270" s="8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>
      <c r="A271" s="94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>
      <c r="A272" s="94" t="s">
        <v>792</v>
      </c>
      <c r="B272" s="86"/>
      <c r="C272" s="86"/>
      <c r="D272" s="86"/>
      <c r="E272" s="86"/>
      <c r="F272" s="86"/>
      <c r="G272" s="86"/>
      <c r="H272" s="158">
        <f ca="1">(H268/H270)*100</f>
        <v>5.1005801131776316</v>
      </c>
      <c r="I272" s="86" t="s">
        <v>105</v>
      </c>
      <c r="J272" s="86"/>
      <c r="K272" s="8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>
      <c r="A273" s="94" t="s">
        <v>794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>
      <c r="A274" s="94" t="s">
        <v>795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>
      <c r="A275" s="94" t="s">
        <v>782</v>
      </c>
      <c r="B275" s="86"/>
      <c r="C275" s="86"/>
      <c r="D275" s="86"/>
      <c r="E275" s="86"/>
      <c r="F275" s="86"/>
      <c r="G275" s="86"/>
      <c r="H275" s="155">
        <f>H248</f>
        <v>-1.22</v>
      </c>
      <c r="I275" s="86" t="s">
        <v>105</v>
      </c>
      <c r="J275" s="86"/>
      <c r="K275" s="8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>
      <c r="A276" s="94" t="s">
        <v>783</v>
      </c>
      <c r="B276" s="86"/>
      <c r="C276" s="86"/>
      <c r="D276" s="86"/>
      <c r="E276" s="86"/>
      <c r="F276" s="86"/>
      <c r="G276" s="86"/>
      <c r="H276" s="155">
        <f>H249</f>
        <v>-0.43</v>
      </c>
      <c r="I276" s="86" t="s">
        <v>105</v>
      </c>
      <c r="J276" s="86"/>
      <c r="K276" s="8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>
      <c r="A277" s="94" t="s">
        <v>796</v>
      </c>
      <c r="B277" s="86"/>
      <c r="C277" s="86"/>
      <c r="D277" s="86"/>
      <c r="E277" s="86"/>
      <c r="F277" s="86"/>
      <c r="G277" s="86"/>
      <c r="H277" s="155">
        <f>H250</f>
        <v>0</v>
      </c>
      <c r="I277" s="86" t="s">
        <v>105</v>
      </c>
      <c r="J277" s="86"/>
      <c r="K277" s="8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>
      <c r="A278" s="94" t="s">
        <v>784</v>
      </c>
      <c r="B278" s="86"/>
      <c r="C278" s="86"/>
      <c r="D278" s="86"/>
      <c r="E278" s="86"/>
      <c r="F278" s="86"/>
      <c r="G278" s="86"/>
      <c r="H278" s="155">
        <f>H251</f>
        <v>-0.03</v>
      </c>
      <c r="I278" s="86" t="s">
        <v>105</v>
      </c>
      <c r="J278" s="86"/>
      <c r="K278" s="8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>
      <c r="A279" s="94" t="s">
        <v>797</v>
      </c>
      <c r="B279" s="86"/>
      <c r="C279" s="86"/>
      <c r="D279" s="86"/>
      <c r="E279" s="86"/>
      <c r="F279" s="86"/>
      <c r="G279" s="86"/>
      <c r="H279" s="155">
        <f>H252</f>
        <v>0</v>
      </c>
      <c r="I279" s="86" t="s">
        <v>105</v>
      </c>
      <c r="J279" s="86"/>
      <c r="K279" s="8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>
      <c r="A280" s="94" t="s">
        <v>798</v>
      </c>
      <c r="B280" s="86"/>
      <c r="C280" s="86"/>
      <c r="D280" s="86"/>
      <c r="E280" s="86"/>
      <c r="F280" s="86"/>
      <c r="G280" s="86"/>
      <c r="H280" s="157">
        <f>SUM(H275:H279)</f>
        <v>-1.68</v>
      </c>
      <c r="I280" s="86" t="s">
        <v>105</v>
      </c>
      <c r="J280" s="86"/>
      <c r="K280" s="8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>
      <c r="A281" s="94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>
      <c r="A282" s="94" t="s">
        <v>230</v>
      </c>
      <c r="B282" s="86"/>
      <c r="C282" s="86"/>
      <c r="D282" s="86"/>
      <c r="E282" s="86"/>
      <c r="F282" s="86"/>
      <c r="G282" s="86"/>
      <c r="H282" s="155">
        <f ca="1">H272+H280</f>
        <v>3.4205801131776319</v>
      </c>
      <c r="I282" s="86" t="s">
        <v>105</v>
      </c>
      <c r="J282" s="86"/>
      <c r="K282" s="8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>
      <c r="A283" s="94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>
      <c r="A284" s="94" t="s">
        <v>799</v>
      </c>
      <c r="B284" s="86"/>
      <c r="C284" s="86"/>
      <c r="D284" s="86"/>
      <c r="E284" s="86"/>
      <c r="F284" s="86"/>
      <c r="G284" s="86"/>
      <c r="H284" s="158">
        <f>H257</f>
        <v>47.77</v>
      </c>
      <c r="I284" s="86" t="s">
        <v>105</v>
      </c>
      <c r="J284" s="86"/>
      <c r="K284" s="8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>
      <c r="A285" s="94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3.5" thickBot="1">
      <c r="A286" s="94" t="s">
        <v>800</v>
      </c>
      <c r="B286" s="86"/>
      <c r="C286" s="86"/>
      <c r="D286" s="86"/>
      <c r="E286" s="86"/>
      <c r="F286" s="86"/>
      <c r="G286" s="86"/>
      <c r="H286" s="159">
        <f ca="1">(H282)/(H284/100)</f>
        <v>7.1605193912029135</v>
      </c>
      <c r="I286" s="86" t="s">
        <v>105</v>
      </c>
      <c r="J286" s="86"/>
      <c r="K286" s="8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3.5" thickTop="1"/>
    <row r="358" spans="1:15">
      <c r="A358" s="9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9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9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9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9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9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9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9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9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</sheetData>
  <printOptions horizontalCentered="1"/>
  <pageMargins left="0.25" right="0.25" top="0.75" bottom="0.75" header="0.3" footer="0.3"/>
  <pageSetup scale="71" orientation="landscape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L15"/>
  <sheetViews>
    <sheetView workbookViewId="0"/>
  </sheetViews>
  <sheetFormatPr defaultRowHeight="12.75"/>
  <cols>
    <col min="1" max="1" width="2.5703125" customWidth="1"/>
    <col min="2" max="2" width="33.42578125" customWidth="1"/>
    <col min="3" max="3" width="12.85546875" bestFit="1" customWidth="1"/>
    <col min="12" max="12" width="14.28515625" customWidth="1"/>
  </cols>
  <sheetData>
    <row r="2" spans="2:12">
      <c r="B2" s="652" t="s">
        <v>121</v>
      </c>
      <c r="C2" s="639" t="s">
        <v>122</v>
      </c>
      <c r="D2" s="640"/>
      <c r="E2" s="640"/>
      <c r="F2" s="640"/>
      <c r="G2" s="640"/>
      <c r="H2" s="640"/>
      <c r="I2" s="640"/>
      <c r="J2" s="640"/>
      <c r="K2" s="640"/>
      <c r="L2" s="641"/>
    </row>
    <row r="3" spans="2:12">
      <c r="B3" s="653" t="s">
        <v>123</v>
      </c>
      <c r="C3" s="645" t="s">
        <v>124</v>
      </c>
      <c r="D3" s="642"/>
      <c r="E3" s="642"/>
      <c r="F3" s="642"/>
      <c r="G3" s="642"/>
      <c r="H3" s="642"/>
      <c r="I3" s="642"/>
      <c r="J3" s="642"/>
      <c r="K3" s="642"/>
      <c r="L3" s="643"/>
    </row>
    <row r="4" spans="2:12">
      <c r="B4" s="653" t="s">
        <v>125</v>
      </c>
      <c r="C4" s="642"/>
      <c r="D4" s="642"/>
      <c r="E4" s="642"/>
      <c r="F4" s="642"/>
      <c r="G4" s="642"/>
      <c r="H4" s="642"/>
      <c r="I4" s="642"/>
      <c r="J4" s="642"/>
      <c r="K4" s="642"/>
      <c r="L4" s="643"/>
    </row>
    <row r="5" spans="2:12">
      <c r="B5" s="644" t="s">
        <v>126</v>
      </c>
      <c r="C5" s="645" t="s">
        <v>127</v>
      </c>
      <c r="D5" s="642"/>
      <c r="E5" s="642"/>
      <c r="F5" s="642"/>
      <c r="G5" s="642"/>
      <c r="H5" s="642"/>
      <c r="I5" s="642"/>
      <c r="J5" s="642"/>
      <c r="K5" s="642"/>
      <c r="L5" s="643"/>
    </row>
    <row r="6" spans="2:12">
      <c r="B6" s="644" t="s">
        <v>128</v>
      </c>
      <c r="C6" s="645" t="s">
        <v>129</v>
      </c>
      <c r="D6" s="642"/>
      <c r="E6" s="642"/>
      <c r="F6" s="642"/>
      <c r="G6" s="642"/>
      <c r="H6" s="642"/>
      <c r="I6" s="642"/>
      <c r="J6" s="642"/>
      <c r="K6" s="642"/>
      <c r="L6" s="643"/>
    </row>
    <row r="7" spans="2:12">
      <c r="B7" s="644" t="s">
        <v>130</v>
      </c>
      <c r="C7" s="645" t="s">
        <v>131</v>
      </c>
      <c r="D7" s="642"/>
      <c r="E7" s="642"/>
      <c r="F7" s="642"/>
      <c r="G7" s="642"/>
      <c r="H7" s="642"/>
      <c r="I7" s="642"/>
      <c r="J7" s="642"/>
      <c r="K7" s="642"/>
      <c r="L7" s="643"/>
    </row>
    <row r="8" spans="2:12">
      <c r="B8" s="644" t="s">
        <v>132</v>
      </c>
      <c r="C8" s="645" t="s">
        <v>133</v>
      </c>
      <c r="D8" s="642"/>
      <c r="E8" s="642"/>
      <c r="F8" s="642"/>
      <c r="G8" s="642"/>
      <c r="H8" s="642"/>
      <c r="I8" s="642"/>
      <c r="J8" s="642"/>
      <c r="K8" s="642"/>
      <c r="L8" s="643"/>
    </row>
    <row r="9" spans="2:12">
      <c r="B9" s="654"/>
      <c r="C9" s="642"/>
      <c r="D9" s="642"/>
      <c r="E9" s="642"/>
      <c r="F9" s="642"/>
      <c r="G9" s="642"/>
      <c r="H9" s="642"/>
      <c r="I9" s="642"/>
      <c r="J9" s="642"/>
      <c r="K9" s="642"/>
      <c r="L9" s="643"/>
    </row>
    <row r="10" spans="2:12">
      <c r="B10" s="653" t="s">
        <v>134</v>
      </c>
      <c r="C10" s="642"/>
      <c r="D10" s="642"/>
      <c r="E10" s="642"/>
      <c r="F10" s="642"/>
      <c r="G10" s="642"/>
      <c r="H10" s="642"/>
      <c r="I10" s="642"/>
      <c r="J10" s="642"/>
      <c r="K10" s="642"/>
      <c r="L10" s="643"/>
    </row>
    <row r="11" spans="2:12">
      <c r="B11" s="646" t="s">
        <v>135</v>
      </c>
      <c r="C11" s="645" t="s">
        <v>136</v>
      </c>
      <c r="D11" s="642"/>
      <c r="E11" s="642"/>
      <c r="F11" s="642"/>
      <c r="G11" s="642"/>
      <c r="H11" s="642"/>
      <c r="I11" s="642"/>
      <c r="J11" s="642"/>
      <c r="K11" s="642"/>
      <c r="L11" s="643"/>
    </row>
    <row r="12" spans="2:12">
      <c r="B12" s="647" t="s">
        <v>137</v>
      </c>
      <c r="C12" s="645" t="s">
        <v>138</v>
      </c>
      <c r="D12" s="642"/>
      <c r="E12" s="642"/>
      <c r="F12" s="642"/>
      <c r="G12" s="642"/>
      <c r="H12" s="642"/>
      <c r="I12" s="642"/>
      <c r="J12" s="642"/>
      <c r="K12" s="642"/>
      <c r="L12" s="643"/>
    </row>
    <row r="13" spans="2:12">
      <c r="B13" s="648" t="s">
        <v>139</v>
      </c>
      <c r="C13" s="645" t="s">
        <v>140</v>
      </c>
      <c r="D13" s="642"/>
      <c r="E13" s="642"/>
      <c r="F13" s="642"/>
      <c r="G13" s="642"/>
      <c r="H13" s="642"/>
      <c r="I13" s="642"/>
      <c r="J13" s="642"/>
      <c r="K13" s="642"/>
      <c r="L13" s="643"/>
    </row>
    <row r="14" spans="2:12">
      <c r="B14" s="763" t="s">
        <v>141</v>
      </c>
      <c r="C14" s="645" t="s">
        <v>142</v>
      </c>
      <c r="D14" s="642"/>
      <c r="E14" s="642"/>
      <c r="F14" s="642"/>
      <c r="G14" s="642"/>
      <c r="H14" s="642"/>
      <c r="I14" s="642"/>
      <c r="J14" s="642"/>
      <c r="K14" s="642"/>
      <c r="L14" s="643"/>
    </row>
    <row r="15" spans="2:12">
      <c r="B15" s="764"/>
      <c r="C15" s="649" t="s">
        <v>143</v>
      </c>
      <c r="D15" s="650"/>
      <c r="E15" s="650"/>
      <c r="F15" s="650"/>
      <c r="G15" s="650"/>
      <c r="H15" s="650"/>
      <c r="I15" s="650"/>
      <c r="J15" s="650"/>
      <c r="K15" s="650"/>
      <c r="L15" s="651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Q212"/>
  <sheetViews>
    <sheetView workbookViewId="0">
      <selection activeCell="P25" sqref="P25"/>
    </sheetView>
  </sheetViews>
  <sheetFormatPr defaultColWidth="8.42578125" defaultRowHeight="12.75"/>
  <cols>
    <col min="1" max="1" width="36" customWidth="1"/>
    <col min="2" max="2" width="14.7109375" customWidth="1"/>
    <col min="3" max="3" width="13.85546875" customWidth="1"/>
    <col min="4" max="4" width="10.7109375" customWidth="1"/>
    <col min="5" max="5" width="12.5703125" customWidth="1"/>
    <col min="6" max="12" width="10.7109375" customWidth="1"/>
    <col min="14" max="14" width="9.85546875" bestFit="1" customWidth="1"/>
    <col min="15" max="15" width="24.85546875" bestFit="1" customWidth="1"/>
    <col min="20" max="20" width="31.7109375" bestFit="1" customWidth="1"/>
    <col min="22" max="22" width="23.42578125" bestFit="1" customWidth="1"/>
    <col min="25" max="25" width="16.42578125" bestFit="1" customWidth="1"/>
  </cols>
  <sheetData>
    <row r="1" spans="1:14">
      <c r="A1" t="s">
        <v>814</v>
      </c>
    </row>
    <row r="2" spans="1:14">
      <c r="A2" t="s">
        <v>815</v>
      </c>
    </row>
    <row r="3" spans="1:14">
      <c r="A3" s="8" t="s">
        <v>816</v>
      </c>
      <c r="B3" s="38" t="str">
        <f>+Report!A3</f>
        <v>2023 Budget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5" spans="1:14" ht="13.5" thickBot="1"/>
    <row r="6" spans="1:14" ht="16.5" thickBot="1">
      <c r="A6" s="1"/>
      <c r="B6" s="1"/>
      <c r="C6" s="1"/>
      <c r="D6" s="9" t="s">
        <v>671</v>
      </c>
      <c r="E6" s="10"/>
      <c r="F6" s="10"/>
      <c r="G6" s="10"/>
      <c r="H6" s="10"/>
      <c r="I6" s="10"/>
      <c r="J6" s="11"/>
      <c r="K6" s="11"/>
      <c r="L6" s="1"/>
      <c r="M6" s="1"/>
      <c r="N6" s="1"/>
    </row>
    <row r="7" spans="1:14">
      <c r="D7" s="5"/>
      <c r="E7" s="5"/>
      <c r="F7" s="5"/>
      <c r="G7" s="5"/>
      <c r="H7" s="5"/>
      <c r="I7" s="5"/>
      <c r="J7" s="376" t="s">
        <v>817</v>
      </c>
      <c r="K7" s="376" t="s">
        <v>818</v>
      </c>
    </row>
    <row r="8" spans="1:14">
      <c r="A8" s="1"/>
      <c r="B8" s="4" t="s">
        <v>819</v>
      </c>
      <c r="C8" s="1"/>
      <c r="D8" s="4" t="s">
        <v>820</v>
      </c>
      <c r="E8" s="4" t="s">
        <v>821</v>
      </c>
      <c r="F8" s="4" t="s">
        <v>822</v>
      </c>
      <c r="G8" s="4" t="s">
        <v>823</v>
      </c>
      <c r="H8" s="4" t="s">
        <v>824</v>
      </c>
      <c r="I8" s="4" t="s">
        <v>825</v>
      </c>
      <c r="J8" s="4" t="s">
        <v>826</v>
      </c>
      <c r="K8" s="4" t="s">
        <v>826</v>
      </c>
      <c r="L8" s="4" t="s">
        <v>827</v>
      </c>
      <c r="M8" s="1"/>
      <c r="N8" s="1"/>
    </row>
    <row r="9" spans="1:14">
      <c r="A9" s="1"/>
      <c r="B9" s="6"/>
      <c r="C9" s="1"/>
      <c r="D9" s="2"/>
      <c r="E9" s="2"/>
      <c r="F9" s="2"/>
      <c r="G9" s="2"/>
      <c r="H9" s="2"/>
      <c r="I9" s="2"/>
      <c r="J9" s="2"/>
      <c r="K9" s="2"/>
      <c r="L9" s="2"/>
      <c r="M9" s="1"/>
      <c r="N9" s="1"/>
    </row>
    <row r="10" spans="1:14">
      <c r="A10" s="20" t="s">
        <v>938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7">
        <f>+'Report YE'!B167</f>
        <v>2382224.7000000002</v>
      </c>
      <c r="M10" s="1"/>
      <c r="N10" s="1"/>
    </row>
    <row r="12" spans="1:14">
      <c r="A12" s="13" t="s">
        <v>829</v>
      </c>
    </row>
    <row r="13" spans="1:14">
      <c r="L13" s="375"/>
    </row>
    <row r="14" spans="1:14">
      <c r="A14" s="1" t="s">
        <v>830</v>
      </c>
      <c r="B14" s="1"/>
      <c r="C14" s="1"/>
      <c r="D14" s="31">
        <f>-Reconcil!B68</f>
        <v>0</v>
      </c>
      <c r="E14" s="31"/>
      <c r="F14" s="31"/>
      <c r="G14" s="31"/>
      <c r="H14" s="31"/>
      <c r="I14" s="31"/>
      <c r="J14" s="31"/>
      <c r="K14" s="31"/>
      <c r="L14" s="31">
        <f t="shared" ref="L14:L39" si="0">SUM(D14:K14)</f>
        <v>0</v>
      </c>
      <c r="M14" s="31"/>
      <c r="N14" s="31"/>
    </row>
    <row r="15" spans="1:14">
      <c r="A15" s="1" t="s">
        <v>831</v>
      </c>
      <c r="B15" s="1"/>
      <c r="C15" s="1"/>
      <c r="D15" s="31"/>
      <c r="E15" s="31"/>
      <c r="F15" s="31"/>
      <c r="G15" s="31">
        <f>-Reconcil!B67</f>
        <v>-1524.7</v>
      </c>
      <c r="H15" s="31"/>
      <c r="I15" s="31"/>
      <c r="J15" s="31"/>
      <c r="K15" s="31"/>
      <c r="L15" s="31">
        <f t="shared" si="0"/>
        <v>-1524.7</v>
      </c>
      <c r="M15" s="31"/>
      <c r="N15" s="31"/>
    </row>
    <row r="16" spans="1:14">
      <c r="A16" s="1" t="s">
        <v>832</v>
      </c>
      <c r="B16" s="1"/>
      <c r="C16" s="1"/>
      <c r="D16" s="31"/>
      <c r="E16" s="31"/>
      <c r="F16" s="31"/>
      <c r="G16" s="31"/>
      <c r="H16" s="31"/>
      <c r="I16" s="31"/>
      <c r="J16" s="31"/>
      <c r="K16" s="31"/>
      <c r="L16" s="31">
        <f t="shared" si="0"/>
        <v>0</v>
      </c>
      <c r="M16" s="31"/>
      <c r="N16" s="31"/>
    </row>
    <row r="17" spans="1:17">
      <c r="A17" s="1" t="s">
        <v>833</v>
      </c>
      <c r="B17" s="1"/>
      <c r="C17" s="1"/>
      <c r="D17" s="31"/>
      <c r="E17" s="31"/>
      <c r="F17" s="31"/>
      <c r="G17" s="31"/>
      <c r="H17" s="31"/>
      <c r="I17" s="31"/>
      <c r="J17" s="31"/>
      <c r="K17" s="31">
        <f>-Reconcil!$B$76</f>
        <v>-3</v>
      </c>
      <c r="L17" s="31">
        <f t="shared" si="0"/>
        <v>-3</v>
      </c>
      <c r="M17" s="31"/>
      <c r="N17" s="31"/>
    </row>
    <row r="18" spans="1:17">
      <c r="A18" s="1" t="s">
        <v>834</v>
      </c>
      <c r="B18" s="1"/>
      <c r="C18" s="1"/>
      <c r="D18" s="31"/>
      <c r="E18" s="31"/>
      <c r="F18" s="31"/>
      <c r="G18" s="31">
        <f>-Reconcil!B77</f>
        <v>0</v>
      </c>
      <c r="H18" s="31"/>
      <c r="I18" s="31"/>
      <c r="J18" s="31"/>
      <c r="K18" s="31"/>
      <c r="L18" s="31">
        <f t="shared" si="0"/>
        <v>0</v>
      </c>
      <c r="M18" s="31"/>
      <c r="N18" s="31"/>
    </row>
    <row r="19" spans="1:17">
      <c r="A19" s="1" t="s">
        <v>835</v>
      </c>
      <c r="B19" s="1"/>
      <c r="C19" s="1"/>
      <c r="D19" s="31"/>
      <c r="E19" s="31"/>
      <c r="F19" s="31"/>
      <c r="G19" s="31"/>
      <c r="H19" s="31"/>
      <c r="I19" s="31"/>
      <c r="J19" s="31"/>
      <c r="K19" s="374">
        <f>-Reconcil!B79</f>
        <v>-578.60000000000036</v>
      </c>
      <c r="L19" s="31">
        <f t="shared" si="0"/>
        <v>-578.60000000000036</v>
      </c>
      <c r="M19" s="31"/>
      <c r="N19" s="31"/>
    </row>
    <row r="20" spans="1:17">
      <c r="A20" s="1" t="s">
        <v>836</v>
      </c>
      <c r="B20" s="1"/>
      <c r="C20" s="1"/>
      <c r="D20" s="31"/>
      <c r="E20" s="31"/>
      <c r="F20" s="31"/>
      <c r="G20" s="31"/>
      <c r="H20" s="31"/>
      <c r="I20" s="31"/>
      <c r="J20" s="31"/>
      <c r="K20" s="31"/>
      <c r="L20" s="31">
        <f t="shared" si="0"/>
        <v>0</v>
      </c>
      <c r="M20" s="31"/>
      <c r="N20" s="31"/>
    </row>
    <row r="21" spans="1:17">
      <c r="A21" s="1" t="s">
        <v>837</v>
      </c>
      <c r="B21" s="1"/>
      <c r="C21" s="1"/>
      <c r="D21" s="31"/>
      <c r="E21" s="31"/>
      <c r="F21" s="31"/>
      <c r="G21" s="31"/>
      <c r="H21" s="31"/>
      <c r="I21" s="31"/>
      <c r="J21" s="31"/>
      <c r="K21" s="31">
        <f>-Reconcil!B81</f>
        <v>-10135.299999999999</v>
      </c>
      <c r="L21" s="31">
        <f t="shared" si="0"/>
        <v>-10135.299999999999</v>
      </c>
      <c r="M21" s="31"/>
      <c r="N21" s="31"/>
    </row>
    <row r="22" spans="1:17">
      <c r="A22" s="1" t="s">
        <v>838</v>
      </c>
      <c r="B22" s="1"/>
      <c r="C22" s="1"/>
      <c r="D22" s="31"/>
      <c r="E22" s="31"/>
      <c r="F22" s="31"/>
      <c r="G22" s="31"/>
      <c r="H22" s="31"/>
      <c r="I22" s="31"/>
      <c r="J22" s="31"/>
      <c r="K22" s="31"/>
      <c r="L22" s="31">
        <f t="shared" si="0"/>
        <v>0</v>
      </c>
      <c r="M22" s="31"/>
      <c r="N22" s="31"/>
    </row>
    <row r="23" spans="1:17">
      <c r="A23" s="1" t="s">
        <v>839</v>
      </c>
      <c r="B23" s="1"/>
      <c r="C23" s="1"/>
      <c r="D23" s="31">
        <f>-Reconcil!B91</f>
        <v>0</v>
      </c>
      <c r="E23" s="31"/>
      <c r="F23" s="31"/>
      <c r="G23" s="31"/>
      <c r="H23" s="31"/>
      <c r="I23" s="31"/>
      <c r="J23" s="31"/>
      <c r="K23" s="31"/>
      <c r="L23" s="31">
        <f t="shared" si="0"/>
        <v>0</v>
      </c>
      <c r="M23" s="31"/>
      <c r="N23" s="31"/>
    </row>
    <row r="24" spans="1:17">
      <c r="A24" s="1" t="s">
        <v>840</v>
      </c>
      <c r="B24" s="1"/>
      <c r="C24" s="1"/>
      <c r="D24" s="31"/>
      <c r="E24" s="31"/>
      <c r="F24" s="31"/>
      <c r="G24" s="31"/>
      <c r="H24" s="398">
        <f>-Reconcil!B98*'Input Tax Rate'!B36</f>
        <v>-398.04322500000001</v>
      </c>
      <c r="I24" s="31"/>
      <c r="J24" s="31"/>
      <c r="K24" s="401">
        <f>-Reconcil!B98*'Input Tax Rate'!B37</f>
        <v>-1172.4567750000001</v>
      </c>
      <c r="L24" s="31">
        <f t="shared" si="0"/>
        <v>-1570.5</v>
      </c>
      <c r="M24" s="31"/>
      <c r="N24" s="31"/>
    </row>
    <row r="25" spans="1:17">
      <c r="A25" s="361" t="s">
        <v>841</v>
      </c>
      <c r="B25" s="1"/>
      <c r="C25" s="1"/>
      <c r="D25" s="31"/>
      <c r="E25" s="31"/>
      <c r="F25" s="31"/>
      <c r="G25" s="31"/>
      <c r="H25" s="31"/>
      <c r="I25" s="31"/>
      <c r="J25" s="31"/>
      <c r="K25" s="374">
        <f>IF(Reconcil!$B$99&gt;0,Reconcil!$B$99*-1,0)</f>
        <v>-0.19999999999708962</v>
      </c>
      <c r="L25" s="31">
        <f t="shared" si="0"/>
        <v>-0.19999999999708962</v>
      </c>
      <c r="M25" s="31"/>
      <c r="N25" s="31"/>
    </row>
    <row r="26" spans="1:17">
      <c r="A26" s="1" t="s">
        <v>842</v>
      </c>
      <c r="B26" s="1"/>
      <c r="C26" s="1"/>
      <c r="D26" s="31"/>
      <c r="E26" s="31"/>
      <c r="F26" s="31"/>
      <c r="G26" s="31"/>
      <c r="H26" s="398">
        <f>(-Input!C14/1000)*'Input Tax Rate'!B36</f>
        <v>-899.74750000000006</v>
      </c>
      <c r="I26" s="31"/>
      <c r="J26" s="31"/>
      <c r="K26" s="401">
        <f>(-Input!C14/1000)*'Input Tax Rate'!B37</f>
        <v>-2650.2525000000001</v>
      </c>
      <c r="L26" s="31">
        <f t="shared" si="0"/>
        <v>-3550</v>
      </c>
      <c r="M26" s="31"/>
      <c r="N26" s="31"/>
      <c r="O26" s="33"/>
      <c r="Q26" s="33"/>
    </row>
    <row r="27" spans="1:17">
      <c r="A27" s="1" t="s">
        <v>843</v>
      </c>
      <c r="B27" s="1"/>
      <c r="C27" s="1"/>
      <c r="D27" s="31"/>
      <c r="E27" s="31"/>
      <c r="F27" s="31"/>
      <c r="G27" s="31"/>
      <c r="H27" s="31"/>
      <c r="I27" s="31"/>
      <c r="J27" s="31"/>
      <c r="K27" s="31">
        <f>Reconcil!B128</f>
        <v>0</v>
      </c>
      <c r="L27" s="31">
        <f t="shared" si="0"/>
        <v>0</v>
      </c>
      <c r="M27" s="31"/>
      <c r="N27" s="31"/>
      <c r="O27" s="216"/>
    </row>
    <row r="28" spans="1:17">
      <c r="A28" s="1" t="s">
        <v>844</v>
      </c>
      <c r="B28" s="1"/>
      <c r="C28" s="1"/>
      <c r="D28" s="31"/>
      <c r="E28" s="31"/>
      <c r="F28" s="31"/>
      <c r="G28" s="31">
        <f>Reconcil!B134</f>
        <v>0</v>
      </c>
      <c r="H28" s="31"/>
      <c r="I28" s="31"/>
      <c r="J28" s="31"/>
      <c r="K28" s="31"/>
      <c r="L28" s="31">
        <f t="shared" si="0"/>
        <v>0</v>
      </c>
      <c r="M28" s="31"/>
      <c r="N28" s="31"/>
      <c r="P28" s="1"/>
    </row>
    <row r="29" spans="1:17">
      <c r="A29" s="361" t="s">
        <v>845</v>
      </c>
      <c r="B29" s="1"/>
      <c r="C29" s="1"/>
      <c r="D29" s="31"/>
      <c r="E29" s="31"/>
      <c r="F29" s="31"/>
      <c r="G29" s="31"/>
      <c r="H29" s="31"/>
      <c r="I29" s="31"/>
      <c r="J29" s="31"/>
      <c r="K29" s="374">
        <f>IF((Reconcil!$B$137-Reconcil!$B$95)&lt;0,(Reconcil!$B$137-Reconcil!$B$95),0)</f>
        <v>-1968.1</v>
      </c>
      <c r="L29" s="31">
        <f t="shared" si="0"/>
        <v>-1968.1</v>
      </c>
      <c r="M29" s="31"/>
      <c r="N29" s="31"/>
      <c r="P29" s="1"/>
    </row>
    <row r="30" spans="1:17">
      <c r="A30" s="361" t="s">
        <v>846</v>
      </c>
      <c r="B30" s="1"/>
      <c r="C30" s="1"/>
      <c r="D30" s="31"/>
      <c r="E30" s="31"/>
      <c r="F30" s="31"/>
      <c r="G30" s="31"/>
      <c r="H30" s="31"/>
      <c r="I30" s="31"/>
      <c r="J30" s="31"/>
      <c r="K30" s="374">
        <f>IF((Reconcil!$B$138-Reconcil!$B$96)&lt;0,(Reconcil!$B$138-Reconcil!$B$96),0)</f>
        <v>0</v>
      </c>
      <c r="L30" s="31">
        <f>SUM(D30:K30)</f>
        <v>0</v>
      </c>
      <c r="M30" s="31"/>
      <c r="N30" s="31"/>
      <c r="P30" s="1"/>
    </row>
    <row r="31" spans="1:17">
      <c r="A31" s="1" t="s">
        <v>847</v>
      </c>
      <c r="B31" s="1"/>
      <c r="C31" s="1"/>
      <c r="D31" s="31"/>
      <c r="E31" s="31"/>
      <c r="F31" s="31"/>
      <c r="G31" s="31"/>
      <c r="H31" s="31"/>
      <c r="I31" s="31"/>
      <c r="J31" s="31"/>
      <c r="K31" s="35">
        <f>+N36</f>
        <v>0</v>
      </c>
      <c r="L31" s="31">
        <f t="shared" si="0"/>
        <v>0</v>
      </c>
      <c r="M31" s="31"/>
      <c r="N31" s="31"/>
      <c r="P31" s="1"/>
    </row>
    <row r="32" spans="1:17">
      <c r="A32" s="1" t="s">
        <v>848</v>
      </c>
      <c r="B32" s="1"/>
      <c r="C32" s="1"/>
      <c r="D32" s="31"/>
      <c r="E32" s="31"/>
      <c r="F32" s="31"/>
      <c r="G32" s="31"/>
      <c r="H32" s="31"/>
      <c r="I32" s="31"/>
      <c r="J32" s="31"/>
      <c r="K32" s="346">
        <f>-(MSEA!$D$69/1000)*0</f>
        <v>0</v>
      </c>
      <c r="L32" s="31">
        <f t="shared" si="0"/>
        <v>0</v>
      </c>
      <c r="M32" s="31"/>
      <c r="N32" s="31"/>
      <c r="P32" s="1"/>
    </row>
    <row r="33" spans="1:16">
      <c r="A33" s="1" t="s">
        <v>849</v>
      </c>
      <c r="B33" s="1"/>
      <c r="C33" s="1"/>
      <c r="D33" s="31"/>
      <c r="E33" s="31"/>
      <c r="F33" s="31"/>
      <c r="G33" s="31">
        <f>-Reconcil!B58</f>
        <v>-1939.6</v>
      </c>
      <c r="H33" s="31"/>
      <c r="I33" s="31"/>
      <c r="J33" s="31"/>
      <c r="K33" s="31"/>
      <c r="L33" s="31">
        <f t="shared" si="0"/>
        <v>-1939.6</v>
      </c>
      <c r="M33" s="31"/>
      <c r="N33" s="31" t="s">
        <v>850</v>
      </c>
      <c r="P33" s="188"/>
    </row>
    <row r="34" spans="1:16">
      <c r="A34" s="1" t="s">
        <v>851</v>
      </c>
      <c r="B34" s="1"/>
      <c r="C34" s="1"/>
      <c r="D34" s="31"/>
      <c r="E34" s="31"/>
      <c r="F34" s="31"/>
      <c r="G34" s="401">
        <f>+'Report YE'!J61*'Input Tax Rate'!B37</f>
        <v>-745.74808475106761</v>
      </c>
      <c r="H34" s="398">
        <f>+'Report YE'!J61*'Input Tax Rate'!B36</f>
        <v>-253.17775377423894</v>
      </c>
      <c r="I34" s="31"/>
      <c r="J34" s="31"/>
      <c r="K34" s="31"/>
      <c r="L34" s="31">
        <f t="shared" si="0"/>
        <v>-998.92583852530652</v>
      </c>
      <c r="M34" s="31"/>
      <c r="N34" s="31" t="s">
        <v>852</v>
      </c>
      <c r="P34" s="1"/>
    </row>
    <row r="35" spans="1:16" ht="13.5" thickBot="1">
      <c r="A35" s="1" t="s">
        <v>853</v>
      </c>
      <c r="B35" s="1"/>
      <c r="C35" s="1"/>
      <c r="D35" s="31"/>
      <c r="E35" s="31"/>
      <c r="F35" s="31"/>
      <c r="G35" s="31"/>
      <c r="H35" s="31"/>
      <c r="I35" s="31"/>
      <c r="J35" s="31"/>
      <c r="K35" s="31">
        <f>+'Report YE'!R69</f>
        <v>0</v>
      </c>
      <c r="L35" s="31">
        <f t="shared" si="0"/>
        <v>0</v>
      </c>
      <c r="M35" s="31"/>
      <c r="N35" s="31" t="s">
        <v>854</v>
      </c>
      <c r="P35" s="1"/>
    </row>
    <row r="36" spans="1:16" ht="13.5" thickBot="1">
      <c r="A36" s="1" t="s">
        <v>855</v>
      </c>
      <c r="B36" s="1"/>
      <c r="C36" s="1"/>
      <c r="D36" s="31"/>
      <c r="E36" s="31"/>
      <c r="F36" s="31"/>
      <c r="G36" s="31"/>
      <c r="H36" s="398">
        <f>+'Report YE'!J70*'Input Tax Rate'!B36</f>
        <v>0</v>
      </c>
      <c r="I36" s="31"/>
      <c r="J36" s="31"/>
      <c r="K36" s="401">
        <f>+'Report YE'!J70*'Input Tax Rate'!B37</f>
        <v>0</v>
      </c>
      <c r="L36" s="31">
        <f t="shared" si="0"/>
        <v>0</v>
      </c>
      <c r="M36" s="31"/>
      <c r="N36" s="36">
        <v>0</v>
      </c>
      <c r="P36" s="1"/>
    </row>
    <row r="37" spans="1:16">
      <c r="A37" s="1" t="s">
        <v>856</v>
      </c>
      <c r="B37" s="1"/>
      <c r="C37" s="1"/>
      <c r="D37" s="31"/>
      <c r="E37" s="31"/>
      <c r="F37" s="31"/>
      <c r="G37" s="31">
        <v>0</v>
      </c>
      <c r="H37" s="31"/>
      <c r="I37" s="31">
        <f>-G37</f>
        <v>0</v>
      </c>
      <c r="J37" s="31"/>
      <c r="K37" s="31"/>
      <c r="L37" s="31">
        <f t="shared" si="0"/>
        <v>0</v>
      </c>
      <c r="M37" s="31"/>
      <c r="N37" s="31"/>
    </row>
    <row r="38" spans="1:16">
      <c r="A38" s="1" t="s">
        <v>857</v>
      </c>
      <c r="B38" s="1"/>
      <c r="C38" s="1"/>
      <c r="D38" s="31"/>
      <c r="E38" s="31"/>
      <c r="F38" s="31"/>
      <c r="G38" s="247"/>
      <c r="H38" s="31"/>
      <c r="I38" s="31"/>
      <c r="J38" s="31">
        <f>+'Report YE'!T73</f>
        <v>-65649.580300000001</v>
      </c>
      <c r="K38" s="31"/>
      <c r="L38" s="31">
        <f t="shared" si="0"/>
        <v>-65649.580300000001</v>
      </c>
      <c r="M38" s="31"/>
      <c r="N38" s="31"/>
    </row>
    <row r="39" spans="1:16">
      <c r="A39" s="1" t="s">
        <v>859</v>
      </c>
      <c r="B39" s="1"/>
      <c r="C39" s="1"/>
      <c r="D39" s="31">
        <f>(-G39-H39)</f>
        <v>0</v>
      </c>
      <c r="E39" s="31"/>
      <c r="F39" s="31"/>
      <c r="G39" s="420">
        <f>-Input!C33/1000</f>
        <v>0</v>
      </c>
      <c r="H39" s="420">
        <f>-Input!C34/1000</f>
        <v>0</v>
      </c>
      <c r="I39" s="31"/>
      <c r="J39" s="31"/>
      <c r="K39" s="31"/>
      <c r="L39" s="31">
        <f t="shared" si="0"/>
        <v>0</v>
      </c>
      <c r="M39" s="31"/>
      <c r="N39" s="31"/>
    </row>
    <row r="40" spans="1:16">
      <c r="A40" s="188" t="s">
        <v>28</v>
      </c>
      <c r="D40" s="248"/>
      <c r="E40" s="964"/>
      <c r="F40" s="964"/>
      <c r="G40" s="964"/>
      <c r="H40" s="399">
        <f>+'Report YE'!T72*'Input Tax Rate'!B36</f>
        <v>-23638.887798373504</v>
      </c>
      <c r="I40" s="122"/>
      <c r="J40" s="443">
        <f>+'Report YE'!T72*'Input Tax Rate'!B37</f>
        <v>-69629.558831626506</v>
      </c>
      <c r="K40" s="122"/>
      <c r="L40" s="122">
        <f>SUM(D40:K40)</f>
        <v>-93268.446630000006</v>
      </c>
      <c r="M40" s="33"/>
      <c r="N40" s="33"/>
    </row>
    <row r="41" spans="1:16">
      <c r="A41" s="1"/>
      <c r="B41" s="1"/>
      <c r="C41" s="1"/>
      <c r="D41" s="34"/>
      <c r="E41" s="34"/>
      <c r="F41" s="34"/>
      <c r="G41" s="34"/>
      <c r="H41" s="34"/>
      <c r="I41" s="34"/>
      <c r="J41" s="34"/>
      <c r="K41" s="34"/>
      <c r="L41" s="34"/>
      <c r="M41" s="31"/>
      <c r="N41" s="31"/>
    </row>
    <row r="42" spans="1:16">
      <c r="A42" s="1" t="s">
        <v>860</v>
      </c>
      <c r="B42" s="1"/>
      <c r="C42" s="1"/>
      <c r="D42" s="31">
        <f t="shared" ref="D42:I42" si="1">SUM(D14:D40)</f>
        <v>0</v>
      </c>
      <c r="E42" s="31">
        <f t="shared" si="1"/>
        <v>0</v>
      </c>
      <c r="F42" s="31">
        <f t="shared" si="1"/>
        <v>0</v>
      </c>
      <c r="G42" s="31">
        <f t="shared" si="1"/>
        <v>-4210.048084751068</v>
      </c>
      <c r="H42" s="31">
        <f t="shared" si="1"/>
        <v>-25189.856277147745</v>
      </c>
      <c r="I42" s="31">
        <f t="shared" si="1"/>
        <v>0</v>
      </c>
      <c r="J42" s="31">
        <f>SUM(J14:J40)</f>
        <v>-135279.13913162652</v>
      </c>
      <c r="K42" s="31">
        <f>SUM(K14:K40)</f>
        <v>-16507.909274999998</v>
      </c>
      <c r="L42" s="31">
        <f>SUM(L14:L40)</f>
        <v>-181186.95276852528</v>
      </c>
      <c r="M42" s="31"/>
      <c r="N42" s="31"/>
    </row>
    <row r="43" spans="1:16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6" ht="13.5" thickBot="1">
      <c r="A44" s="1" t="s">
        <v>861</v>
      </c>
      <c r="B44" s="1"/>
      <c r="C44" s="1"/>
      <c r="D44" s="31"/>
      <c r="E44" s="31"/>
      <c r="F44" s="31"/>
      <c r="G44" s="31"/>
      <c r="H44" s="31"/>
      <c r="I44" s="31"/>
      <c r="J44" s="31"/>
      <c r="K44" s="31"/>
      <c r="L44" s="32">
        <f>SUM(L10:L41)</f>
        <v>2201037.7472314741</v>
      </c>
      <c r="M44" s="31"/>
      <c r="N44" s="31">
        <f>+'Report YE'!T81</f>
        <v>2204350.8472314747</v>
      </c>
      <c r="O44" t="s">
        <v>862</v>
      </c>
    </row>
    <row r="45" spans="1:16" ht="14.25" thickTop="1" thickBot="1">
      <c r="A45" s="1"/>
      <c r="B45" s="1"/>
      <c r="C45" s="1"/>
      <c r="D45" s="31"/>
      <c r="E45" s="31"/>
      <c r="F45" s="31"/>
      <c r="G45" s="31"/>
      <c r="H45" s="31"/>
      <c r="I45" s="31"/>
      <c r="J45" s="31"/>
      <c r="K45" s="31"/>
      <c r="L45" s="34"/>
      <c r="M45" s="31"/>
      <c r="N45" s="40">
        <f>+L44-N44</f>
        <v>-3313.1000000005588</v>
      </c>
      <c r="O45" t="s">
        <v>863</v>
      </c>
    </row>
    <row r="48" spans="1:16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</row>
    <row r="88" spans="15:15">
      <c r="O88" s="31"/>
    </row>
    <row r="89" spans="15:15">
      <c r="O89" s="31"/>
    </row>
    <row r="90" spans="15:15">
      <c r="O90" s="31"/>
    </row>
    <row r="91" spans="15:15">
      <c r="O91" s="31"/>
    </row>
    <row r="92" spans="15:15">
      <c r="O92" s="31"/>
    </row>
    <row r="93" spans="15:15">
      <c r="O93" s="31"/>
    </row>
    <row r="94" spans="15:15">
      <c r="O94" s="31"/>
    </row>
    <row r="95" spans="15:15">
      <c r="O95" s="31"/>
    </row>
    <row r="96" spans="15:15">
      <c r="O96" s="31"/>
    </row>
    <row r="212" spans="1:8">
      <c r="A212" s="1"/>
      <c r="B212" s="3"/>
      <c r="C212" s="3"/>
      <c r="D212" s="1"/>
      <c r="E212" s="1"/>
      <c r="F212" s="1"/>
      <c r="G212" s="1"/>
      <c r="H212" s="88"/>
    </row>
  </sheetData>
  <printOptions horizontalCentered="1"/>
  <pageMargins left="0.75" right="0.75" top="1" bottom="1" header="0.5" footer="0.5"/>
  <pageSetup scale="75" orientation="landscape" r:id="rId1"/>
  <headerFooter alignWithMargins="0">
    <oddFooter>&amp;L&amp;F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0" tint="-0.249977111117893"/>
  </sheetPr>
  <dimension ref="A1:H70"/>
  <sheetViews>
    <sheetView workbookViewId="0"/>
  </sheetViews>
  <sheetFormatPr defaultColWidth="9.140625" defaultRowHeight="12.75"/>
  <cols>
    <col min="1" max="1" width="41.140625" style="305" bestFit="1" customWidth="1"/>
    <col min="2" max="2" width="9.85546875" style="305" customWidth="1"/>
    <col min="3" max="3" width="9.140625" style="305"/>
    <col min="4" max="4" width="12.85546875" style="306" bestFit="1" customWidth="1"/>
    <col min="5" max="16384" width="9.140625" style="305"/>
  </cols>
  <sheetData>
    <row r="1" spans="1:8">
      <c r="A1" s="304" t="s">
        <v>939</v>
      </c>
      <c r="D1" s="965"/>
      <c r="F1" s="307"/>
    </row>
    <row r="2" spans="1:8">
      <c r="D2" s="965"/>
      <c r="H2" s="966"/>
    </row>
    <row r="3" spans="1:8">
      <c r="A3" s="305" t="s">
        <v>940</v>
      </c>
      <c r="B3" s="308" t="str">
        <f>Report!A3</f>
        <v>2023 Budget</v>
      </c>
      <c r="D3" s="965"/>
    </row>
    <row r="4" spans="1:8">
      <c r="D4" s="309" t="s">
        <v>941</v>
      </c>
    </row>
    <row r="5" spans="1:8">
      <c r="A5" s="310" t="s">
        <v>942</v>
      </c>
      <c r="D5" s="311">
        <v>0</v>
      </c>
    </row>
    <row r="6" spans="1:8">
      <c r="A6" s="310" t="s">
        <v>943</v>
      </c>
      <c r="D6" s="311">
        <v>0</v>
      </c>
    </row>
    <row r="7" spans="1:8">
      <c r="A7" s="310" t="s">
        <v>944</v>
      </c>
      <c r="D7" s="311">
        <v>6557.97</v>
      </c>
      <c r="E7" s="965"/>
    </row>
    <row r="8" spans="1:8">
      <c r="A8" s="310" t="s">
        <v>945</v>
      </c>
      <c r="D8" s="311">
        <v>0</v>
      </c>
      <c r="E8" s="965"/>
    </row>
    <row r="9" spans="1:8">
      <c r="A9" s="310" t="s">
        <v>946</v>
      </c>
      <c r="D9" s="311">
        <v>0</v>
      </c>
      <c r="E9" s="965"/>
    </row>
    <row r="10" spans="1:8">
      <c r="A10" s="310" t="s">
        <v>947</v>
      </c>
      <c r="D10" s="311">
        <v>0</v>
      </c>
      <c r="E10" s="965"/>
    </row>
    <row r="11" spans="1:8">
      <c r="A11" s="310" t="s">
        <v>948</v>
      </c>
      <c r="D11" s="311">
        <v>0</v>
      </c>
      <c r="E11" s="965"/>
    </row>
    <row r="12" spans="1:8">
      <c r="A12" s="310" t="s">
        <v>949</v>
      </c>
      <c r="D12" s="311">
        <v>0</v>
      </c>
      <c r="E12" s="965"/>
    </row>
    <row r="13" spans="1:8">
      <c r="A13" s="310" t="s">
        <v>950</v>
      </c>
      <c r="D13" s="311">
        <v>0</v>
      </c>
      <c r="E13" s="965"/>
    </row>
    <row r="14" spans="1:8">
      <c r="A14" s="310" t="s">
        <v>951</v>
      </c>
      <c r="D14" s="311">
        <v>0</v>
      </c>
      <c r="E14" s="965"/>
    </row>
    <row r="15" spans="1:8">
      <c r="A15" s="310" t="s">
        <v>952</v>
      </c>
      <c r="D15" s="311">
        <v>24470.25</v>
      </c>
      <c r="E15" s="965"/>
    </row>
    <row r="16" spans="1:8">
      <c r="A16" s="310" t="s">
        <v>953</v>
      </c>
      <c r="D16" s="311">
        <v>15389.66</v>
      </c>
      <c r="E16" s="965"/>
    </row>
    <row r="17" spans="1:5">
      <c r="A17" s="310" t="s">
        <v>954</v>
      </c>
      <c r="D17" s="311">
        <v>0</v>
      </c>
      <c r="E17" s="965"/>
    </row>
    <row r="18" spans="1:5">
      <c r="A18" s="310" t="s">
        <v>955</v>
      </c>
      <c r="D18" s="311">
        <v>0</v>
      </c>
      <c r="E18" s="965"/>
    </row>
    <row r="19" spans="1:5">
      <c r="A19" s="310" t="s">
        <v>956</v>
      </c>
      <c r="D19" s="311">
        <v>0</v>
      </c>
      <c r="E19" s="965"/>
    </row>
    <row r="20" spans="1:5">
      <c r="A20" s="310" t="s">
        <v>957</v>
      </c>
      <c r="D20" s="311">
        <v>5777.14</v>
      </c>
      <c r="E20" s="965"/>
    </row>
    <row r="21" spans="1:5">
      <c r="A21" s="310" t="s">
        <v>958</v>
      </c>
      <c r="D21" s="311">
        <v>0</v>
      </c>
      <c r="E21" s="965"/>
    </row>
    <row r="22" spans="1:5">
      <c r="A22" s="310" t="s">
        <v>959</v>
      </c>
      <c r="D22" s="311">
        <v>5107.68</v>
      </c>
      <c r="E22" s="965"/>
    </row>
    <row r="23" spans="1:5">
      <c r="A23" s="310" t="s">
        <v>960</v>
      </c>
      <c r="D23" s="311">
        <v>0</v>
      </c>
      <c r="E23" s="965"/>
    </row>
    <row r="24" spans="1:5">
      <c r="A24" s="310" t="s">
        <v>961</v>
      </c>
      <c r="D24" s="311">
        <v>0</v>
      </c>
      <c r="E24" s="965"/>
    </row>
    <row r="25" spans="1:5">
      <c r="A25" s="310" t="s">
        <v>962</v>
      </c>
      <c r="D25" s="311">
        <v>8745.2800000000007</v>
      </c>
      <c r="E25" s="965"/>
    </row>
    <row r="26" spans="1:5">
      <c r="A26" s="310" t="s">
        <v>963</v>
      </c>
      <c r="D26" s="311">
        <v>0</v>
      </c>
      <c r="E26" s="965"/>
    </row>
    <row r="27" spans="1:5">
      <c r="A27" s="310" t="s">
        <v>964</v>
      </c>
      <c r="D27" s="311">
        <v>457350.03</v>
      </c>
      <c r="E27" s="965"/>
    </row>
    <row r="28" spans="1:5">
      <c r="A28" s="310" t="s">
        <v>965</v>
      </c>
      <c r="D28" s="311">
        <v>59173.51</v>
      </c>
      <c r="E28" s="965"/>
    </row>
    <row r="29" spans="1:5">
      <c r="A29" s="310" t="s">
        <v>966</v>
      </c>
      <c r="D29" s="311">
        <v>145007.78</v>
      </c>
      <c r="E29" s="965"/>
    </row>
    <row r="30" spans="1:5">
      <c r="A30" s="310" t="s">
        <v>967</v>
      </c>
      <c r="D30" s="311">
        <v>70376.039999999994</v>
      </c>
      <c r="E30" s="965"/>
    </row>
    <row r="31" spans="1:5">
      <c r="A31" s="310" t="s">
        <v>968</v>
      </c>
      <c r="D31" s="311">
        <v>99750.3</v>
      </c>
      <c r="E31" s="965"/>
    </row>
    <row r="32" spans="1:5">
      <c r="A32" s="310" t="s">
        <v>969</v>
      </c>
      <c r="D32" s="311">
        <v>0</v>
      </c>
      <c r="E32" s="965"/>
    </row>
    <row r="33" spans="1:5">
      <c r="A33" s="310" t="s">
        <v>970</v>
      </c>
      <c r="D33" s="311">
        <v>3718.2</v>
      </c>
      <c r="E33" s="965"/>
    </row>
    <row r="34" spans="1:5">
      <c r="A34" s="310" t="s">
        <v>971</v>
      </c>
      <c r="D34" s="311">
        <v>3907.41</v>
      </c>
      <c r="E34" s="965"/>
    </row>
    <row r="35" spans="1:5">
      <c r="A35" s="310" t="s">
        <v>972</v>
      </c>
      <c r="D35" s="311">
        <v>0</v>
      </c>
      <c r="E35" s="965"/>
    </row>
    <row r="36" spans="1:5">
      <c r="A36" s="310" t="s">
        <v>973</v>
      </c>
      <c r="D36" s="311">
        <v>0</v>
      </c>
      <c r="E36" s="965"/>
    </row>
    <row r="37" spans="1:5">
      <c r="A37" s="310" t="s">
        <v>974</v>
      </c>
      <c r="D37" s="311">
        <v>70793.33</v>
      </c>
      <c r="E37" s="965"/>
    </row>
    <row r="38" spans="1:5">
      <c r="A38" s="310" t="s">
        <v>975</v>
      </c>
      <c r="D38" s="311">
        <v>0</v>
      </c>
      <c r="E38" s="965"/>
    </row>
    <row r="39" spans="1:5">
      <c r="A39" s="310" t="s">
        <v>976</v>
      </c>
      <c r="D39" s="311">
        <v>0</v>
      </c>
      <c r="E39" s="965"/>
    </row>
    <row r="40" spans="1:5">
      <c r="A40" s="310" t="s">
        <v>977</v>
      </c>
      <c r="D40" s="311">
        <v>0</v>
      </c>
      <c r="E40" s="965"/>
    </row>
    <row r="41" spans="1:5">
      <c r="A41" s="310" t="s">
        <v>978</v>
      </c>
      <c r="D41" s="311">
        <v>53187.53</v>
      </c>
      <c r="E41" s="965"/>
    </row>
    <row r="42" spans="1:5">
      <c r="A42" s="310" t="s">
        <v>979</v>
      </c>
      <c r="D42" s="311">
        <v>0</v>
      </c>
      <c r="E42" s="965"/>
    </row>
    <row r="43" spans="1:5">
      <c r="A43" s="310" t="s">
        <v>980</v>
      </c>
      <c r="D43" s="311">
        <v>0</v>
      </c>
      <c r="E43" s="965"/>
    </row>
    <row r="44" spans="1:5">
      <c r="A44" s="310" t="s">
        <v>981</v>
      </c>
      <c r="D44" s="311">
        <v>0</v>
      </c>
      <c r="E44" s="965"/>
    </row>
    <row r="45" spans="1:5">
      <c r="A45" s="310" t="s">
        <v>982</v>
      </c>
      <c r="D45" s="311">
        <v>0</v>
      </c>
      <c r="E45" s="965"/>
    </row>
    <row r="46" spans="1:5">
      <c r="A46" s="310" t="s">
        <v>983</v>
      </c>
      <c r="D46" s="311">
        <v>0</v>
      </c>
      <c r="E46" s="965"/>
    </row>
    <row r="47" spans="1:5">
      <c r="A47" s="310" t="s">
        <v>984</v>
      </c>
      <c r="D47" s="311">
        <v>102110.13</v>
      </c>
      <c r="E47" s="965"/>
    </row>
    <row r="48" spans="1:5">
      <c r="A48" s="310" t="s">
        <v>985</v>
      </c>
      <c r="D48" s="311">
        <v>0</v>
      </c>
      <c r="E48" s="965"/>
    </row>
    <row r="49" spans="1:8">
      <c r="A49" s="310" t="s">
        <v>986</v>
      </c>
      <c r="D49" s="311">
        <v>53060.43</v>
      </c>
      <c r="E49" s="965"/>
    </row>
    <row r="50" spans="1:8">
      <c r="A50" s="310" t="s">
        <v>987</v>
      </c>
      <c r="D50" s="311">
        <v>0</v>
      </c>
      <c r="E50" s="307"/>
    </row>
    <row r="51" spans="1:8">
      <c r="A51" s="310" t="s">
        <v>988</v>
      </c>
      <c r="D51" s="311">
        <v>32686.47</v>
      </c>
      <c r="E51" s="307"/>
    </row>
    <row r="52" spans="1:8">
      <c r="A52" s="310" t="s">
        <v>989</v>
      </c>
      <c r="D52" s="311">
        <v>0</v>
      </c>
      <c r="E52" s="307"/>
    </row>
    <row r="53" spans="1:8">
      <c r="A53" s="310" t="s">
        <v>990</v>
      </c>
      <c r="D53" s="311">
        <v>3535.38</v>
      </c>
      <c r="E53" s="307"/>
    </row>
    <row r="54" spans="1:8">
      <c r="A54" s="310" t="s">
        <v>991</v>
      </c>
      <c r="D54" s="311">
        <v>0</v>
      </c>
      <c r="E54" s="307"/>
    </row>
    <row r="55" spans="1:8">
      <c r="A55" s="310" t="s">
        <v>992</v>
      </c>
      <c r="D55" s="311">
        <v>0</v>
      </c>
      <c r="E55" s="307"/>
    </row>
    <row r="56" spans="1:8">
      <c r="A56" s="310" t="s">
        <v>993</v>
      </c>
      <c r="D56" s="311">
        <v>0</v>
      </c>
    </row>
    <row r="57" spans="1:8">
      <c r="A57" s="310" t="s">
        <v>994</v>
      </c>
      <c r="D57" s="311">
        <v>0</v>
      </c>
    </row>
    <row r="58" spans="1:8">
      <c r="A58" s="310" t="s">
        <v>995</v>
      </c>
      <c r="D58" s="311">
        <v>0</v>
      </c>
    </row>
    <row r="59" spans="1:8">
      <c r="A59" s="310" t="s">
        <v>996</v>
      </c>
      <c r="D59" s="311">
        <v>0</v>
      </c>
    </row>
    <row r="60" spans="1:8">
      <c r="A60" s="310" t="s">
        <v>997</v>
      </c>
      <c r="D60" s="311">
        <v>0</v>
      </c>
    </row>
    <row r="61" spans="1:8">
      <c r="A61" s="310" t="s">
        <v>998</v>
      </c>
      <c r="D61" s="311">
        <v>0</v>
      </c>
    </row>
    <row r="62" spans="1:8">
      <c r="A62" s="310" t="s">
        <v>999</v>
      </c>
      <c r="D62" s="311">
        <v>0</v>
      </c>
    </row>
    <row r="63" spans="1:8">
      <c r="A63" s="310" t="s">
        <v>1000</v>
      </c>
      <c r="D63" s="311">
        <v>0</v>
      </c>
      <c r="E63" s="967"/>
      <c r="F63" s="967"/>
      <c r="G63" s="967"/>
      <c r="H63" s="968"/>
    </row>
    <row r="64" spans="1:8">
      <c r="A64" s="310" t="s">
        <v>1001</v>
      </c>
      <c r="D64" s="311">
        <v>0</v>
      </c>
      <c r="H64" s="969"/>
    </row>
    <row r="65" spans="1:8">
      <c r="A65" s="310" t="s">
        <v>1002</v>
      </c>
      <c r="D65" s="311">
        <v>0</v>
      </c>
      <c r="E65" s="970"/>
      <c r="F65" s="970"/>
      <c r="G65" s="970"/>
    </row>
    <row r="66" spans="1:8">
      <c r="A66" s="310" t="s">
        <v>1003</v>
      </c>
      <c r="D66" s="311">
        <v>4015.95</v>
      </c>
      <c r="H66" s="966"/>
    </row>
    <row r="67" spans="1:8">
      <c r="A67" s="310" t="s">
        <v>1004</v>
      </c>
      <c r="D67" s="311">
        <v>0</v>
      </c>
      <c r="H67" s="966"/>
    </row>
    <row r="68" spans="1:8">
      <c r="A68" s="310" t="s">
        <v>1005</v>
      </c>
      <c r="D68" s="311">
        <v>0</v>
      </c>
    </row>
    <row r="69" spans="1:8" ht="13.5" thickBot="1">
      <c r="A69" s="971" t="s">
        <v>1006</v>
      </c>
      <c r="D69" s="972">
        <v>1224720.47</v>
      </c>
      <c r="E69" s="312" t="s">
        <v>1007</v>
      </c>
    </row>
    <row r="70" spans="1:8" ht="13.5" thickTop="1">
      <c r="A70" s="971"/>
      <c r="B70" s="313"/>
      <c r="C70" s="313"/>
      <c r="D70" s="973"/>
      <c r="E70" s="313" t="s">
        <v>1008</v>
      </c>
      <c r="F70" s="313"/>
      <c r="G70" s="313"/>
      <c r="H70" s="313"/>
    </row>
  </sheetData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0.59999389629810485"/>
    <pageSetUpPr fitToPage="1"/>
  </sheetPr>
  <dimension ref="A1:I74"/>
  <sheetViews>
    <sheetView workbookViewId="0">
      <selection activeCell="C12" sqref="C12"/>
    </sheetView>
  </sheetViews>
  <sheetFormatPr defaultColWidth="27.85546875" defaultRowHeight="15"/>
  <cols>
    <col min="1" max="1" width="31.7109375" style="488" customWidth="1"/>
    <col min="2" max="2" width="1.85546875" style="488" customWidth="1"/>
    <col min="3" max="3" width="17.42578125" style="488" bestFit="1" customWidth="1"/>
    <col min="4" max="4" width="1.85546875" style="488" customWidth="1"/>
    <col min="5" max="5" width="15.5703125" style="488" bestFit="1" customWidth="1"/>
    <col min="6" max="6" width="1.85546875" style="488" customWidth="1"/>
    <col min="7" max="7" width="17.42578125" style="488" bestFit="1" customWidth="1"/>
    <col min="8" max="8" width="1.85546875" style="488" customWidth="1"/>
    <col min="9" max="9" width="19.42578125" style="488" customWidth="1"/>
    <col min="10" max="256" width="27.85546875" style="488"/>
    <col min="257" max="257" width="31.7109375" style="488" customWidth="1"/>
    <col min="258" max="258" width="1.85546875" style="488" customWidth="1"/>
    <col min="259" max="259" width="17.42578125" style="488" bestFit="1" customWidth="1"/>
    <col min="260" max="260" width="1.85546875" style="488" customWidth="1"/>
    <col min="261" max="261" width="15.5703125" style="488" bestFit="1" customWidth="1"/>
    <col min="262" max="262" width="1.85546875" style="488" customWidth="1"/>
    <col min="263" max="263" width="17.42578125" style="488" bestFit="1" customWidth="1"/>
    <col min="264" max="264" width="1.85546875" style="488" customWidth="1"/>
    <col min="265" max="265" width="19.42578125" style="488" customWidth="1"/>
    <col min="266" max="512" width="27.85546875" style="488"/>
    <col min="513" max="513" width="31.7109375" style="488" customWidth="1"/>
    <col min="514" max="514" width="1.85546875" style="488" customWidth="1"/>
    <col min="515" max="515" width="17.42578125" style="488" bestFit="1" customWidth="1"/>
    <col min="516" max="516" width="1.85546875" style="488" customWidth="1"/>
    <col min="517" max="517" width="15.5703125" style="488" bestFit="1" customWidth="1"/>
    <col min="518" max="518" width="1.85546875" style="488" customWidth="1"/>
    <col min="519" max="519" width="17.42578125" style="488" bestFit="1" customWidth="1"/>
    <col min="520" max="520" width="1.85546875" style="488" customWidth="1"/>
    <col min="521" max="521" width="19.42578125" style="488" customWidth="1"/>
    <col min="522" max="768" width="27.85546875" style="488"/>
    <col min="769" max="769" width="31.7109375" style="488" customWidth="1"/>
    <col min="770" max="770" width="1.85546875" style="488" customWidth="1"/>
    <col min="771" max="771" width="17.42578125" style="488" bestFit="1" customWidth="1"/>
    <col min="772" max="772" width="1.85546875" style="488" customWidth="1"/>
    <col min="773" max="773" width="15.5703125" style="488" bestFit="1" customWidth="1"/>
    <col min="774" max="774" width="1.85546875" style="488" customWidth="1"/>
    <col min="775" max="775" width="17.42578125" style="488" bestFit="1" customWidth="1"/>
    <col min="776" max="776" width="1.85546875" style="488" customWidth="1"/>
    <col min="777" max="777" width="19.42578125" style="488" customWidth="1"/>
    <col min="778" max="1024" width="27.85546875" style="488"/>
    <col min="1025" max="1025" width="31.7109375" style="488" customWidth="1"/>
    <col min="1026" max="1026" width="1.85546875" style="488" customWidth="1"/>
    <col min="1027" max="1027" width="17.42578125" style="488" bestFit="1" customWidth="1"/>
    <col min="1028" max="1028" width="1.85546875" style="488" customWidth="1"/>
    <col min="1029" max="1029" width="15.5703125" style="488" bestFit="1" customWidth="1"/>
    <col min="1030" max="1030" width="1.85546875" style="488" customWidth="1"/>
    <col min="1031" max="1031" width="17.42578125" style="488" bestFit="1" customWidth="1"/>
    <col min="1032" max="1032" width="1.85546875" style="488" customWidth="1"/>
    <col min="1033" max="1033" width="19.42578125" style="488" customWidth="1"/>
    <col min="1034" max="1280" width="27.85546875" style="488"/>
    <col min="1281" max="1281" width="31.7109375" style="488" customWidth="1"/>
    <col min="1282" max="1282" width="1.85546875" style="488" customWidth="1"/>
    <col min="1283" max="1283" width="17.42578125" style="488" bestFit="1" customWidth="1"/>
    <col min="1284" max="1284" width="1.85546875" style="488" customWidth="1"/>
    <col min="1285" max="1285" width="15.5703125" style="488" bestFit="1" customWidth="1"/>
    <col min="1286" max="1286" width="1.85546875" style="488" customWidth="1"/>
    <col min="1287" max="1287" width="17.42578125" style="488" bestFit="1" customWidth="1"/>
    <col min="1288" max="1288" width="1.85546875" style="488" customWidth="1"/>
    <col min="1289" max="1289" width="19.42578125" style="488" customWidth="1"/>
    <col min="1290" max="1536" width="27.85546875" style="488"/>
    <col min="1537" max="1537" width="31.7109375" style="488" customWidth="1"/>
    <col min="1538" max="1538" width="1.85546875" style="488" customWidth="1"/>
    <col min="1539" max="1539" width="17.42578125" style="488" bestFit="1" customWidth="1"/>
    <col min="1540" max="1540" width="1.85546875" style="488" customWidth="1"/>
    <col min="1541" max="1541" width="15.5703125" style="488" bestFit="1" customWidth="1"/>
    <col min="1542" max="1542" width="1.85546875" style="488" customWidth="1"/>
    <col min="1543" max="1543" width="17.42578125" style="488" bestFit="1" customWidth="1"/>
    <col min="1544" max="1544" width="1.85546875" style="488" customWidth="1"/>
    <col min="1545" max="1545" width="19.42578125" style="488" customWidth="1"/>
    <col min="1546" max="1792" width="27.85546875" style="488"/>
    <col min="1793" max="1793" width="31.7109375" style="488" customWidth="1"/>
    <col min="1794" max="1794" width="1.85546875" style="488" customWidth="1"/>
    <col min="1795" max="1795" width="17.42578125" style="488" bestFit="1" customWidth="1"/>
    <col min="1796" max="1796" width="1.85546875" style="488" customWidth="1"/>
    <col min="1797" max="1797" width="15.5703125" style="488" bestFit="1" customWidth="1"/>
    <col min="1798" max="1798" width="1.85546875" style="488" customWidth="1"/>
    <col min="1799" max="1799" width="17.42578125" style="488" bestFit="1" customWidth="1"/>
    <col min="1800" max="1800" width="1.85546875" style="488" customWidth="1"/>
    <col min="1801" max="1801" width="19.42578125" style="488" customWidth="1"/>
    <col min="1802" max="2048" width="27.85546875" style="488"/>
    <col min="2049" max="2049" width="31.7109375" style="488" customWidth="1"/>
    <col min="2050" max="2050" width="1.85546875" style="488" customWidth="1"/>
    <col min="2051" max="2051" width="17.42578125" style="488" bestFit="1" customWidth="1"/>
    <col min="2052" max="2052" width="1.85546875" style="488" customWidth="1"/>
    <col min="2053" max="2053" width="15.5703125" style="488" bestFit="1" customWidth="1"/>
    <col min="2054" max="2054" width="1.85546875" style="488" customWidth="1"/>
    <col min="2055" max="2055" width="17.42578125" style="488" bestFit="1" customWidth="1"/>
    <col min="2056" max="2056" width="1.85546875" style="488" customWidth="1"/>
    <col min="2057" max="2057" width="19.42578125" style="488" customWidth="1"/>
    <col min="2058" max="2304" width="27.85546875" style="488"/>
    <col min="2305" max="2305" width="31.7109375" style="488" customWidth="1"/>
    <col min="2306" max="2306" width="1.85546875" style="488" customWidth="1"/>
    <col min="2307" max="2307" width="17.42578125" style="488" bestFit="1" customWidth="1"/>
    <col min="2308" max="2308" width="1.85546875" style="488" customWidth="1"/>
    <col min="2309" max="2309" width="15.5703125" style="488" bestFit="1" customWidth="1"/>
    <col min="2310" max="2310" width="1.85546875" style="488" customWidth="1"/>
    <col min="2311" max="2311" width="17.42578125" style="488" bestFit="1" customWidth="1"/>
    <col min="2312" max="2312" width="1.85546875" style="488" customWidth="1"/>
    <col min="2313" max="2313" width="19.42578125" style="488" customWidth="1"/>
    <col min="2314" max="2560" width="27.85546875" style="488"/>
    <col min="2561" max="2561" width="31.7109375" style="488" customWidth="1"/>
    <col min="2562" max="2562" width="1.85546875" style="488" customWidth="1"/>
    <col min="2563" max="2563" width="17.42578125" style="488" bestFit="1" customWidth="1"/>
    <col min="2564" max="2564" width="1.85546875" style="488" customWidth="1"/>
    <col min="2565" max="2565" width="15.5703125" style="488" bestFit="1" customWidth="1"/>
    <col min="2566" max="2566" width="1.85546875" style="488" customWidth="1"/>
    <col min="2567" max="2567" width="17.42578125" style="488" bestFit="1" customWidth="1"/>
    <col min="2568" max="2568" width="1.85546875" style="488" customWidth="1"/>
    <col min="2569" max="2569" width="19.42578125" style="488" customWidth="1"/>
    <col min="2570" max="2816" width="27.85546875" style="488"/>
    <col min="2817" max="2817" width="31.7109375" style="488" customWidth="1"/>
    <col min="2818" max="2818" width="1.85546875" style="488" customWidth="1"/>
    <col min="2819" max="2819" width="17.42578125" style="488" bestFit="1" customWidth="1"/>
    <col min="2820" max="2820" width="1.85546875" style="488" customWidth="1"/>
    <col min="2821" max="2821" width="15.5703125" style="488" bestFit="1" customWidth="1"/>
    <col min="2822" max="2822" width="1.85546875" style="488" customWidth="1"/>
    <col min="2823" max="2823" width="17.42578125" style="488" bestFit="1" customWidth="1"/>
    <col min="2824" max="2824" width="1.85546875" style="488" customWidth="1"/>
    <col min="2825" max="2825" width="19.42578125" style="488" customWidth="1"/>
    <col min="2826" max="3072" width="27.85546875" style="488"/>
    <col min="3073" max="3073" width="31.7109375" style="488" customWidth="1"/>
    <col min="3074" max="3074" width="1.85546875" style="488" customWidth="1"/>
    <col min="3075" max="3075" width="17.42578125" style="488" bestFit="1" customWidth="1"/>
    <col min="3076" max="3076" width="1.85546875" style="488" customWidth="1"/>
    <col min="3077" max="3077" width="15.5703125" style="488" bestFit="1" customWidth="1"/>
    <col min="3078" max="3078" width="1.85546875" style="488" customWidth="1"/>
    <col min="3079" max="3079" width="17.42578125" style="488" bestFit="1" customWidth="1"/>
    <col min="3080" max="3080" width="1.85546875" style="488" customWidth="1"/>
    <col min="3081" max="3081" width="19.42578125" style="488" customWidth="1"/>
    <col min="3082" max="3328" width="27.85546875" style="488"/>
    <col min="3329" max="3329" width="31.7109375" style="488" customWidth="1"/>
    <col min="3330" max="3330" width="1.85546875" style="488" customWidth="1"/>
    <col min="3331" max="3331" width="17.42578125" style="488" bestFit="1" customWidth="1"/>
    <col min="3332" max="3332" width="1.85546875" style="488" customWidth="1"/>
    <col min="3333" max="3333" width="15.5703125" style="488" bestFit="1" customWidth="1"/>
    <col min="3334" max="3334" width="1.85546875" style="488" customWidth="1"/>
    <col min="3335" max="3335" width="17.42578125" style="488" bestFit="1" customWidth="1"/>
    <col min="3336" max="3336" width="1.85546875" style="488" customWidth="1"/>
    <col min="3337" max="3337" width="19.42578125" style="488" customWidth="1"/>
    <col min="3338" max="3584" width="27.85546875" style="488"/>
    <col min="3585" max="3585" width="31.7109375" style="488" customWidth="1"/>
    <col min="3586" max="3586" width="1.85546875" style="488" customWidth="1"/>
    <col min="3587" max="3587" width="17.42578125" style="488" bestFit="1" customWidth="1"/>
    <col min="3588" max="3588" width="1.85546875" style="488" customWidth="1"/>
    <col min="3589" max="3589" width="15.5703125" style="488" bestFit="1" customWidth="1"/>
    <col min="3590" max="3590" width="1.85546875" style="488" customWidth="1"/>
    <col min="3591" max="3591" width="17.42578125" style="488" bestFit="1" customWidth="1"/>
    <col min="3592" max="3592" width="1.85546875" style="488" customWidth="1"/>
    <col min="3593" max="3593" width="19.42578125" style="488" customWidth="1"/>
    <col min="3594" max="3840" width="27.85546875" style="488"/>
    <col min="3841" max="3841" width="31.7109375" style="488" customWidth="1"/>
    <col min="3842" max="3842" width="1.85546875" style="488" customWidth="1"/>
    <col min="3843" max="3843" width="17.42578125" style="488" bestFit="1" customWidth="1"/>
    <col min="3844" max="3844" width="1.85546875" style="488" customWidth="1"/>
    <col min="3845" max="3845" width="15.5703125" style="488" bestFit="1" customWidth="1"/>
    <col min="3846" max="3846" width="1.85546875" style="488" customWidth="1"/>
    <col min="3847" max="3847" width="17.42578125" style="488" bestFit="1" customWidth="1"/>
    <col min="3848" max="3848" width="1.85546875" style="488" customWidth="1"/>
    <col min="3849" max="3849" width="19.42578125" style="488" customWidth="1"/>
    <col min="3850" max="4096" width="27.85546875" style="488"/>
    <col min="4097" max="4097" width="31.7109375" style="488" customWidth="1"/>
    <col min="4098" max="4098" width="1.85546875" style="488" customWidth="1"/>
    <col min="4099" max="4099" width="17.42578125" style="488" bestFit="1" customWidth="1"/>
    <col min="4100" max="4100" width="1.85546875" style="488" customWidth="1"/>
    <col min="4101" max="4101" width="15.5703125" style="488" bestFit="1" customWidth="1"/>
    <col min="4102" max="4102" width="1.85546875" style="488" customWidth="1"/>
    <col min="4103" max="4103" width="17.42578125" style="488" bestFit="1" customWidth="1"/>
    <col min="4104" max="4104" width="1.85546875" style="488" customWidth="1"/>
    <col min="4105" max="4105" width="19.42578125" style="488" customWidth="1"/>
    <col min="4106" max="4352" width="27.85546875" style="488"/>
    <col min="4353" max="4353" width="31.7109375" style="488" customWidth="1"/>
    <col min="4354" max="4354" width="1.85546875" style="488" customWidth="1"/>
    <col min="4355" max="4355" width="17.42578125" style="488" bestFit="1" customWidth="1"/>
    <col min="4356" max="4356" width="1.85546875" style="488" customWidth="1"/>
    <col min="4357" max="4357" width="15.5703125" style="488" bestFit="1" customWidth="1"/>
    <col min="4358" max="4358" width="1.85546875" style="488" customWidth="1"/>
    <col min="4359" max="4359" width="17.42578125" style="488" bestFit="1" customWidth="1"/>
    <col min="4360" max="4360" width="1.85546875" style="488" customWidth="1"/>
    <col min="4361" max="4361" width="19.42578125" style="488" customWidth="1"/>
    <col min="4362" max="4608" width="27.85546875" style="488"/>
    <col min="4609" max="4609" width="31.7109375" style="488" customWidth="1"/>
    <col min="4610" max="4610" width="1.85546875" style="488" customWidth="1"/>
    <col min="4611" max="4611" width="17.42578125" style="488" bestFit="1" customWidth="1"/>
    <col min="4612" max="4612" width="1.85546875" style="488" customWidth="1"/>
    <col min="4613" max="4613" width="15.5703125" style="488" bestFit="1" customWidth="1"/>
    <col min="4614" max="4614" width="1.85546875" style="488" customWidth="1"/>
    <col min="4615" max="4615" width="17.42578125" style="488" bestFit="1" customWidth="1"/>
    <col min="4616" max="4616" width="1.85546875" style="488" customWidth="1"/>
    <col min="4617" max="4617" width="19.42578125" style="488" customWidth="1"/>
    <col min="4618" max="4864" width="27.85546875" style="488"/>
    <col min="4865" max="4865" width="31.7109375" style="488" customWidth="1"/>
    <col min="4866" max="4866" width="1.85546875" style="488" customWidth="1"/>
    <col min="4867" max="4867" width="17.42578125" style="488" bestFit="1" customWidth="1"/>
    <col min="4868" max="4868" width="1.85546875" style="488" customWidth="1"/>
    <col min="4869" max="4869" width="15.5703125" style="488" bestFit="1" customWidth="1"/>
    <col min="4870" max="4870" width="1.85546875" style="488" customWidth="1"/>
    <col min="4871" max="4871" width="17.42578125" style="488" bestFit="1" customWidth="1"/>
    <col min="4872" max="4872" width="1.85546875" style="488" customWidth="1"/>
    <col min="4873" max="4873" width="19.42578125" style="488" customWidth="1"/>
    <col min="4874" max="5120" width="27.85546875" style="488"/>
    <col min="5121" max="5121" width="31.7109375" style="488" customWidth="1"/>
    <col min="5122" max="5122" width="1.85546875" style="488" customWidth="1"/>
    <col min="5123" max="5123" width="17.42578125" style="488" bestFit="1" customWidth="1"/>
    <col min="5124" max="5124" width="1.85546875" style="488" customWidth="1"/>
    <col min="5125" max="5125" width="15.5703125" style="488" bestFit="1" customWidth="1"/>
    <col min="5126" max="5126" width="1.85546875" style="488" customWidth="1"/>
    <col min="5127" max="5127" width="17.42578125" style="488" bestFit="1" customWidth="1"/>
    <col min="5128" max="5128" width="1.85546875" style="488" customWidth="1"/>
    <col min="5129" max="5129" width="19.42578125" style="488" customWidth="1"/>
    <col min="5130" max="5376" width="27.85546875" style="488"/>
    <col min="5377" max="5377" width="31.7109375" style="488" customWidth="1"/>
    <col min="5378" max="5378" width="1.85546875" style="488" customWidth="1"/>
    <col min="5379" max="5379" width="17.42578125" style="488" bestFit="1" customWidth="1"/>
    <col min="5380" max="5380" width="1.85546875" style="488" customWidth="1"/>
    <col min="5381" max="5381" width="15.5703125" style="488" bestFit="1" customWidth="1"/>
    <col min="5382" max="5382" width="1.85546875" style="488" customWidth="1"/>
    <col min="5383" max="5383" width="17.42578125" style="488" bestFit="1" customWidth="1"/>
    <col min="5384" max="5384" width="1.85546875" style="488" customWidth="1"/>
    <col min="5385" max="5385" width="19.42578125" style="488" customWidth="1"/>
    <col min="5386" max="5632" width="27.85546875" style="488"/>
    <col min="5633" max="5633" width="31.7109375" style="488" customWidth="1"/>
    <col min="5634" max="5634" width="1.85546875" style="488" customWidth="1"/>
    <col min="5635" max="5635" width="17.42578125" style="488" bestFit="1" customWidth="1"/>
    <col min="5636" max="5636" width="1.85546875" style="488" customWidth="1"/>
    <col min="5637" max="5637" width="15.5703125" style="488" bestFit="1" customWidth="1"/>
    <col min="5638" max="5638" width="1.85546875" style="488" customWidth="1"/>
    <col min="5639" max="5639" width="17.42578125" style="488" bestFit="1" customWidth="1"/>
    <col min="5640" max="5640" width="1.85546875" style="488" customWidth="1"/>
    <col min="5641" max="5641" width="19.42578125" style="488" customWidth="1"/>
    <col min="5642" max="5888" width="27.85546875" style="488"/>
    <col min="5889" max="5889" width="31.7109375" style="488" customWidth="1"/>
    <col min="5890" max="5890" width="1.85546875" style="488" customWidth="1"/>
    <col min="5891" max="5891" width="17.42578125" style="488" bestFit="1" customWidth="1"/>
    <col min="5892" max="5892" width="1.85546875" style="488" customWidth="1"/>
    <col min="5893" max="5893" width="15.5703125" style="488" bestFit="1" customWidth="1"/>
    <col min="5894" max="5894" width="1.85546875" style="488" customWidth="1"/>
    <col min="5895" max="5895" width="17.42578125" style="488" bestFit="1" customWidth="1"/>
    <col min="5896" max="5896" width="1.85546875" style="488" customWidth="1"/>
    <col min="5897" max="5897" width="19.42578125" style="488" customWidth="1"/>
    <col min="5898" max="6144" width="27.85546875" style="488"/>
    <col min="6145" max="6145" width="31.7109375" style="488" customWidth="1"/>
    <col min="6146" max="6146" width="1.85546875" style="488" customWidth="1"/>
    <col min="6147" max="6147" width="17.42578125" style="488" bestFit="1" customWidth="1"/>
    <col min="6148" max="6148" width="1.85546875" style="488" customWidth="1"/>
    <col min="6149" max="6149" width="15.5703125" style="488" bestFit="1" customWidth="1"/>
    <col min="6150" max="6150" width="1.85546875" style="488" customWidth="1"/>
    <col min="6151" max="6151" width="17.42578125" style="488" bestFit="1" customWidth="1"/>
    <col min="6152" max="6152" width="1.85546875" style="488" customWidth="1"/>
    <col min="6153" max="6153" width="19.42578125" style="488" customWidth="1"/>
    <col min="6154" max="6400" width="27.85546875" style="488"/>
    <col min="6401" max="6401" width="31.7109375" style="488" customWidth="1"/>
    <col min="6402" max="6402" width="1.85546875" style="488" customWidth="1"/>
    <col min="6403" max="6403" width="17.42578125" style="488" bestFit="1" customWidth="1"/>
    <col min="6404" max="6404" width="1.85546875" style="488" customWidth="1"/>
    <col min="6405" max="6405" width="15.5703125" style="488" bestFit="1" customWidth="1"/>
    <col min="6406" max="6406" width="1.85546875" style="488" customWidth="1"/>
    <col min="6407" max="6407" width="17.42578125" style="488" bestFit="1" customWidth="1"/>
    <col min="6408" max="6408" width="1.85546875" style="488" customWidth="1"/>
    <col min="6409" max="6409" width="19.42578125" style="488" customWidth="1"/>
    <col min="6410" max="6656" width="27.85546875" style="488"/>
    <col min="6657" max="6657" width="31.7109375" style="488" customWidth="1"/>
    <col min="6658" max="6658" width="1.85546875" style="488" customWidth="1"/>
    <col min="6659" max="6659" width="17.42578125" style="488" bestFit="1" customWidth="1"/>
    <col min="6660" max="6660" width="1.85546875" style="488" customWidth="1"/>
    <col min="6661" max="6661" width="15.5703125" style="488" bestFit="1" customWidth="1"/>
    <col min="6662" max="6662" width="1.85546875" style="488" customWidth="1"/>
    <col min="6663" max="6663" width="17.42578125" style="488" bestFit="1" customWidth="1"/>
    <col min="6664" max="6664" width="1.85546875" style="488" customWidth="1"/>
    <col min="6665" max="6665" width="19.42578125" style="488" customWidth="1"/>
    <col min="6666" max="6912" width="27.85546875" style="488"/>
    <col min="6913" max="6913" width="31.7109375" style="488" customWidth="1"/>
    <col min="6914" max="6914" width="1.85546875" style="488" customWidth="1"/>
    <col min="6915" max="6915" width="17.42578125" style="488" bestFit="1" customWidth="1"/>
    <col min="6916" max="6916" width="1.85546875" style="488" customWidth="1"/>
    <col min="6917" max="6917" width="15.5703125" style="488" bestFit="1" customWidth="1"/>
    <col min="6918" max="6918" width="1.85546875" style="488" customWidth="1"/>
    <col min="6919" max="6919" width="17.42578125" style="488" bestFit="1" customWidth="1"/>
    <col min="6920" max="6920" width="1.85546875" style="488" customWidth="1"/>
    <col min="6921" max="6921" width="19.42578125" style="488" customWidth="1"/>
    <col min="6922" max="7168" width="27.85546875" style="488"/>
    <col min="7169" max="7169" width="31.7109375" style="488" customWidth="1"/>
    <col min="7170" max="7170" width="1.85546875" style="488" customWidth="1"/>
    <col min="7171" max="7171" width="17.42578125" style="488" bestFit="1" customWidth="1"/>
    <col min="7172" max="7172" width="1.85546875" style="488" customWidth="1"/>
    <col min="7173" max="7173" width="15.5703125" style="488" bestFit="1" customWidth="1"/>
    <col min="7174" max="7174" width="1.85546875" style="488" customWidth="1"/>
    <col min="7175" max="7175" width="17.42578125" style="488" bestFit="1" customWidth="1"/>
    <col min="7176" max="7176" width="1.85546875" style="488" customWidth="1"/>
    <col min="7177" max="7177" width="19.42578125" style="488" customWidth="1"/>
    <col min="7178" max="7424" width="27.85546875" style="488"/>
    <col min="7425" max="7425" width="31.7109375" style="488" customWidth="1"/>
    <col min="7426" max="7426" width="1.85546875" style="488" customWidth="1"/>
    <col min="7427" max="7427" width="17.42578125" style="488" bestFit="1" customWidth="1"/>
    <col min="7428" max="7428" width="1.85546875" style="488" customWidth="1"/>
    <col min="7429" max="7429" width="15.5703125" style="488" bestFit="1" customWidth="1"/>
    <col min="7430" max="7430" width="1.85546875" style="488" customWidth="1"/>
    <col min="7431" max="7431" width="17.42578125" style="488" bestFit="1" customWidth="1"/>
    <col min="7432" max="7432" width="1.85546875" style="488" customWidth="1"/>
    <col min="7433" max="7433" width="19.42578125" style="488" customWidth="1"/>
    <col min="7434" max="7680" width="27.85546875" style="488"/>
    <col min="7681" max="7681" width="31.7109375" style="488" customWidth="1"/>
    <col min="7682" max="7682" width="1.85546875" style="488" customWidth="1"/>
    <col min="7683" max="7683" width="17.42578125" style="488" bestFit="1" customWidth="1"/>
    <col min="7684" max="7684" width="1.85546875" style="488" customWidth="1"/>
    <col min="7685" max="7685" width="15.5703125" style="488" bestFit="1" customWidth="1"/>
    <col min="7686" max="7686" width="1.85546875" style="488" customWidth="1"/>
    <col min="7687" max="7687" width="17.42578125" style="488" bestFit="1" customWidth="1"/>
    <col min="7688" max="7688" width="1.85546875" style="488" customWidth="1"/>
    <col min="7689" max="7689" width="19.42578125" style="488" customWidth="1"/>
    <col min="7690" max="7936" width="27.85546875" style="488"/>
    <col min="7937" max="7937" width="31.7109375" style="488" customWidth="1"/>
    <col min="7938" max="7938" width="1.85546875" style="488" customWidth="1"/>
    <col min="7939" max="7939" width="17.42578125" style="488" bestFit="1" customWidth="1"/>
    <col min="7940" max="7940" width="1.85546875" style="488" customWidth="1"/>
    <col min="7941" max="7941" width="15.5703125" style="488" bestFit="1" customWidth="1"/>
    <col min="7942" max="7942" width="1.85546875" style="488" customWidth="1"/>
    <col min="7943" max="7943" width="17.42578125" style="488" bestFit="1" customWidth="1"/>
    <col min="7944" max="7944" width="1.85546875" style="488" customWidth="1"/>
    <col min="7945" max="7945" width="19.42578125" style="488" customWidth="1"/>
    <col min="7946" max="8192" width="27.85546875" style="488"/>
    <col min="8193" max="8193" width="31.7109375" style="488" customWidth="1"/>
    <col min="8194" max="8194" width="1.85546875" style="488" customWidth="1"/>
    <col min="8195" max="8195" width="17.42578125" style="488" bestFit="1" customWidth="1"/>
    <col min="8196" max="8196" width="1.85546875" style="488" customWidth="1"/>
    <col min="8197" max="8197" width="15.5703125" style="488" bestFit="1" customWidth="1"/>
    <col min="8198" max="8198" width="1.85546875" style="488" customWidth="1"/>
    <col min="8199" max="8199" width="17.42578125" style="488" bestFit="1" customWidth="1"/>
    <col min="8200" max="8200" width="1.85546875" style="488" customWidth="1"/>
    <col min="8201" max="8201" width="19.42578125" style="488" customWidth="1"/>
    <col min="8202" max="8448" width="27.85546875" style="488"/>
    <col min="8449" max="8449" width="31.7109375" style="488" customWidth="1"/>
    <col min="8450" max="8450" width="1.85546875" style="488" customWidth="1"/>
    <col min="8451" max="8451" width="17.42578125" style="488" bestFit="1" customWidth="1"/>
    <col min="8452" max="8452" width="1.85546875" style="488" customWidth="1"/>
    <col min="8453" max="8453" width="15.5703125" style="488" bestFit="1" customWidth="1"/>
    <col min="8454" max="8454" width="1.85546875" style="488" customWidth="1"/>
    <col min="8455" max="8455" width="17.42578125" style="488" bestFit="1" customWidth="1"/>
    <col min="8456" max="8456" width="1.85546875" style="488" customWidth="1"/>
    <col min="8457" max="8457" width="19.42578125" style="488" customWidth="1"/>
    <col min="8458" max="8704" width="27.85546875" style="488"/>
    <col min="8705" max="8705" width="31.7109375" style="488" customWidth="1"/>
    <col min="8706" max="8706" width="1.85546875" style="488" customWidth="1"/>
    <col min="8707" max="8707" width="17.42578125" style="488" bestFit="1" customWidth="1"/>
    <col min="8708" max="8708" width="1.85546875" style="488" customWidth="1"/>
    <col min="8709" max="8709" width="15.5703125" style="488" bestFit="1" customWidth="1"/>
    <col min="8710" max="8710" width="1.85546875" style="488" customWidth="1"/>
    <col min="8711" max="8711" width="17.42578125" style="488" bestFit="1" customWidth="1"/>
    <col min="8712" max="8712" width="1.85546875" style="488" customWidth="1"/>
    <col min="8713" max="8713" width="19.42578125" style="488" customWidth="1"/>
    <col min="8714" max="8960" width="27.85546875" style="488"/>
    <col min="8961" max="8961" width="31.7109375" style="488" customWidth="1"/>
    <col min="8962" max="8962" width="1.85546875" style="488" customWidth="1"/>
    <col min="8963" max="8963" width="17.42578125" style="488" bestFit="1" customWidth="1"/>
    <col min="8964" max="8964" width="1.85546875" style="488" customWidth="1"/>
    <col min="8965" max="8965" width="15.5703125" style="488" bestFit="1" customWidth="1"/>
    <col min="8966" max="8966" width="1.85546875" style="488" customWidth="1"/>
    <col min="8967" max="8967" width="17.42578125" style="488" bestFit="1" customWidth="1"/>
    <col min="8968" max="8968" width="1.85546875" style="488" customWidth="1"/>
    <col min="8969" max="8969" width="19.42578125" style="488" customWidth="1"/>
    <col min="8970" max="9216" width="27.85546875" style="488"/>
    <col min="9217" max="9217" width="31.7109375" style="488" customWidth="1"/>
    <col min="9218" max="9218" width="1.85546875" style="488" customWidth="1"/>
    <col min="9219" max="9219" width="17.42578125" style="488" bestFit="1" customWidth="1"/>
    <col min="9220" max="9220" width="1.85546875" style="488" customWidth="1"/>
    <col min="9221" max="9221" width="15.5703125" style="488" bestFit="1" customWidth="1"/>
    <col min="9222" max="9222" width="1.85546875" style="488" customWidth="1"/>
    <col min="9223" max="9223" width="17.42578125" style="488" bestFit="1" customWidth="1"/>
    <col min="9224" max="9224" width="1.85546875" style="488" customWidth="1"/>
    <col min="9225" max="9225" width="19.42578125" style="488" customWidth="1"/>
    <col min="9226" max="9472" width="27.85546875" style="488"/>
    <col min="9473" max="9473" width="31.7109375" style="488" customWidth="1"/>
    <col min="9474" max="9474" width="1.85546875" style="488" customWidth="1"/>
    <col min="9475" max="9475" width="17.42578125" style="488" bestFit="1" customWidth="1"/>
    <col min="9476" max="9476" width="1.85546875" style="488" customWidth="1"/>
    <col min="9477" max="9477" width="15.5703125" style="488" bestFit="1" customWidth="1"/>
    <col min="9478" max="9478" width="1.85546875" style="488" customWidth="1"/>
    <col min="9479" max="9479" width="17.42578125" style="488" bestFit="1" customWidth="1"/>
    <col min="9480" max="9480" width="1.85546875" style="488" customWidth="1"/>
    <col min="9481" max="9481" width="19.42578125" style="488" customWidth="1"/>
    <col min="9482" max="9728" width="27.85546875" style="488"/>
    <col min="9729" max="9729" width="31.7109375" style="488" customWidth="1"/>
    <col min="9730" max="9730" width="1.85546875" style="488" customWidth="1"/>
    <col min="9731" max="9731" width="17.42578125" style="488" bestFit="1" customWidth="1"/>
    <col min="9732" max="9732" width="1.85546875" style="488" customWidth="1"/>
    <col min="9733" max="9733" width="15.5703125" style="488" bestFit="1" customWidth="1"/>
    <col min="9734" max="9734" width="1.85546875" style="488" customWidth="1"/>
    <col min="9735" max="9735" width="17.42578125" style="488" bestFit="1" customWidth="1"/>
    <col min="9736" max="9736" width="1.85546875" style="488" customWidth="1"/>
    <col min="9737" max="9737" width="19.42578125" style="488" customWidth="1"/>
    <col min="9738" max="9984" width="27.85546875" style="488"/>
    <col min="9985" max="9985" width="31.7109375" style="488" customWidth="1"/>
    <col min="9986" max="9986" width="1.85546875" style="488" customWidth="1"/>
    <col min="9987" max="9987" width="17.42578125" style="488" bestFit="1" customWidth="1"/>
    <col min="9988" max="9988" width="1.85546875" style="488" customWidth="1"/>
    <col min="9989" max="9989" width="15.5703125" style="488" bestFit="1" customWidth="1"/>
    <col min="9990" max="9990" width="1.85546875" style="488" customWidth="1"/>
    <col min="9991" max="9991" width="17.42578125" style="488" bestFit="1" customWidth="1"/>
    <col min="9992" max="9992" width="1.85546875" style="488" customWidth="1"/>
    <col min="9993" max="9993" width="19.42578125" style="488" customWidth="1"/>
    <col min="9994" max="10240" width="27.85546875" style="488"/>
    <col min="10241" max="10241" width="31.7109375" style="488" customWidth="1"/>
    <col min="10242" max="10242" width="1.85546875" style="488" customWidth="1"/>
    <col min="10243" max="10243" width="17.42578125" style="488" bestFit="1" customWidth="1"/>
    <col min="10244" max="10244" width="1.85546875" style="488" customWidth="1"/>
    <col min="10245" max="10245" width="15.5703125" style="488" bestFit="1" customWidth="1"/>
    <col min="10246" max="10246" width="1.85546875" style="488" customWidth="1"/>
    <col min="10247" max="10247" width="17.42578125" style="488" bestFit="1" customWidth="1"/>
    <col min="10248" max="10248" width="1.85546875" style="488" customWidth="1"/>
    <col min="10249" max="10249" width="19.42578125" style="488" customWidth="1"/>
    <col min="10250" max="10496" width="27.85546875" style="488"/>
    <col min="10497" max="10497" width="31.7109375" style="488" customWidth="1"/>
    <col min="10498" max="10498" width="1.85546875" style="488" customWidth="1"/>
    <col min="10499" max="10499" width="17.42578125" style="488" bestFit="1" customWidth="1"/>
    <col min="10500" max="10500" width="1.85546875" style="488" customWidth="1"/>
    <col min="10501" max="10501" width="15.5703125" style="488" bestFit="1" customWidth="1"/>
    <col min="10502" max="10502" width="1.85546875" style="488" customWidth="1"/>
    <col min="10503" max="10503" width="17.42578125" style="488" bestFit="1" customWidth="1"/>
    <col min="10504" max="10504" width="1.85546875" style="488" customWidth="1"/>
    <col min="10505" max="10505" width="19.42578125" style="488" customWidth="1"/>
    <col min="10506" max="10752" width="27.85546875" style="488"/>
    <col min="10753" max="10753" width="31.7109375" style="488" customWidth="1"/>
    <col min="10754" max="10754" width="1.85546875" style="488" customWidth="1"/>
    <col min="10755" max="10755" width="17.42578125" style="488" bestFit="1" customWidth="1"/>
    <col min="10756" max="10756" width="1.85546875" style="488" customWidth="1"/>
    <col min="10757" max="10757" width="15.5703125" style="488" bestFit="1" customWidth="1"/>
    <col min="10758" max="10758" width="1.85546875" style="488" customWidth="1"/>
    <col min="10759" max="10759" width="17.42578125" style="488" bestFit="1" customWidth="1"/>
    <col min="10760" max="10760" width="1.85546875" style="488" customWidth="1"/>
    <col min="10761" max="10761" width="19.42578125" style="488" customWidth="1"/>
    <col min="10762" max="11008" width="27.85546875" style="488"/>
    <col min="11009" max="11009" width="31.7109375" style="488" customWidth="1"/>
    <col min="11010" max="11010" width="1.85546875" style="488" customWidth="1"/>
    <col min="11011" max="11011" width="17.42578125" style="488" bestFit="1" customWidth="1"/>
    <col min="11012" max="11012" width="1.85546875" style="488" customWidth="1"/>
    <col min="11013" max="11013" width="15.5703125" style="488" bestFit="1" customWidth="1"/>
    <col min="11014" max="11014" width="1.85546875" style="488" customWidth="1"/>
    <col min="11015" max="11015" width="17.42578125" style="488" bestFit="1" customWidth="1"/>
    <col min="11016" max="11016" width="1.85546875" style="488" customWidth="1"/>
    <col min="11017" max="11017" width="19.42578125" style="488" customWidth="1"/>
    <col min="11018" max="11264" width="27.85546875" style="488"/>
    <col min="11265" max="11265" width="31.7109375" style="488" customWidth="1"/>
    <col min="11266" max="11266" width="1.85546875" style="488" customWidth="1"/>
    <col min="11267" max="11267" width="17.42578125" style="488" bestFit="1" customWidth="1"/>
    <col min="11268" max="11268" width="1.85546875" style="488" customWidth="1"/>
    <col min="11269" max="11269" width="15.5703125" style="488" bestFit="1" customWidth="1"/>
    <col min="11270" max="11270" width="1.85546875" style="488" customWidth="1"/>
    <col min="11271" max="11271" width="17.42578125" style="488" bestFit="1" customWidth="1"/>
    <col min="11272" max="11272" width="1.85546875" style="488" customWidth="1"/>
    <col min="11273" max="11273" width="19.42578125" style="488" customWidth="1"/>
    <col min="11274" max="11520" width="27.85546875" style="488"/>
    <col min="11521" max="11521" width="31.7109375" style="488" customWidth="1"/>
    <col min="11522" max="11522" width="1.85546875" style="488" customWidth="1"/>
    <col min="11523" max="11523" width="17.42578125" style="488" bestFit="1" customWidth="1"/>
    <col min="11524" max="11524" width="1.85546875" style="488" customWidth="1"/>
    <col min="11525" max="11525" width="15.5703125" style="488" bestFit="1" customWidth="1"/>
    <col min="11526" max="11526" width="1.85546875" style="488" customWidth="1"/>
    <col min="11527" max="11527" width="17.42578125" style="488" bestFit="1" customWidth="1"/>
    <col min="11528" max="11528" width="1.85546875" style="488" customWidth="1"/>
    <col min="11529" max="11529" width="19.42578125" style="488" customWidth="1"/>
    <col min="11530" max="11776" width="27.85546875" style="488"/>
    <col min="11777" max="11777" width="31.7109375" style="488" customWidth="1"/>
    <col min="11778" max="11778" width="1.85546875" style="488" customWidth="1"/>
    <col min="11779" max="11779" width="17.42578125" style="488" bestFit="1" customWidth="1"/>
    <col min="11780" max="11780" width="1.85546875" style="488" customWidth="1"/>
    <col min="11781" max="11781" width="15.5703125" style="488" bestFit="1" customWidth="1"/>
    <col min="11782" max="11782" width="1.85546875" style="488" customWidth="1"/>
    <col min="11783" max="11783" width="17.42578125" style="488" bestFit="1" customWidth="1"/>
    <col min="11784" max="11784" width="1.85546875" style="488" customWidth="1"/>
    <col min="11785" max="11785" width="19.42578125" style="488" customWidth="1"/>
    <col min="11786" max="12032" width="27.85546875" style="488"/>
    <col min="12033" max="12033" width="31.7109375" style="488" customWidth="1"/>
    <col min="12034" max="12034" width="1.85546875" style="488" customWidth="1"/>
    <col min="12035" max="12035" width="17.42578125" style="488" bestFit="1" customWidth="1"/>
    <col min="12036" max="12036" width="1.85546875" style="488" customWidth="1"/>
    <col min="12037" max="12037" width="15.5703125" style="488" bestFit="1" customWidth="1"/>
    <col min="12038" max="12038" width="1.85546875" style="488" customWidth="1"/>
    <col min="12039" max="12039" width="17.42578125" style="488" bestFit="1" customWidth="1"/>
    <col min="12040" max="12040" width="1.85546875" style="488" customWidth="1"/>
    <col min="12041" max="12041" width="19.42578125" style="488" customWidth="1"/>
    <col min="12042" max="12288" width="27.85546875" style="488"/>
    <col min="12289" max="12289" width="31.7109375" style="488" customWidth="1"/>
    <col min="12290" max="12290" width="1.85546875" style="488" customWidth="1"/>
    <col min="12291" max="12291" width="17.42578125" style="488" bestFit="1" customWidth="1"/>
    <col min="12292" max="12292" width="1.85546875" style="488" customWidth="1"/>
    <col min="12293" max="12293" width="15.5703125" style="488" bestFit="1" customWidth="1"/>
    <col min="12294" max="12294" width="1.85546875" style="488" customWidth="1"/>
    <col min="12295" max="12295" width="17.42578125" style="488" bestFit="1" customWidth="1"/>
    <col min="12296" max="12296" width="1.85546875" style="488" customWidth="1"/>
    <col min="12297" max="12297" width="19.42578125" style="488" customWidth="1"/>
    <col min="12298" max="12544" width="27.85546875" style="488"/>
    <col min="12545" max="12545" width="31.7109375" style="488" customWidth="1"/>
    <col min="12546" max="12546" width="1.85546875" style="488" customWidth="1"/>
    <col min="12547" max="12547" width="17.42578125" style="488" bestFit="1" customWidth="1"/>
    <col min="12548" max="12548" width="1.85546875" style="488" customWidth="1"/>
    <col min="12549" max="12549" width="15.5703125" style="488" bestFit="1" customWidth="1"/>
    <col min="12550" max="12550" width="1.85546875" style="488" customWidth="1"/>
    <col min="12551" max="12551" width="17.42578125" style="488" bestFit="1" customWidth="1"/>
    <col min="12552" max="12552" width="1.85546875" style="488" customWidth="1"/>
    <col min="12553" max="12553" width="19.42578125" style="488" customWidth="1"/>
    <col min="12554" max="12800" width="27.85546875" style="488"/>
    <col min="12801" max="12801" width="31.7109375" style="488" customWidth="1"/>
    <col min="12802" max="12802" width="1.85546875" style="488" customWidth="1"/>
    <col min="12803" max="12803" width="17.42578125" style="488" bestFit="1" customWidth="1"/>
    <col min="12804" max="12804" width="1.85546875" style="488" customWidth="1"/>
    <col min="12805" max="12805" width="15.5703125" style="488" bestFit="1" customWidth="1"/>
    <col min="12806" max="12806" width="1.85546875" style="488" customWidth="1"/>
    <col min="12807" max="12807" width="17.42578125" style="488" bestFit="1" customWidth="1"/>
    <col min="12808" max="12808" width="1.85546875" style="488" customWidth="1"/>
    <col min="12809" max="12809" width="19.42578125" style="488" customWidth="1"/>
    <col min="12810" max="13056" width="27.85546875" style="488"/>
    <col min="13057" max="13057" width="31.7109375" style="488" customWidth="1"/>
    <col min="13058" max="13058" width="1.85546875" style="488" customWidth="1"/>
    <col min="13059" max="13059" width="17.42578125" style="488" bestFit="1" customWidth="1"/>
    <col min="13060" max="13060" width="1.85546875" style="488" customWidth="1"/>
    <col min="13061" max="13061" width="15.5703125" style="488" bestFit="1" customWidth="1"/>
    <col min="13062" max="13062" width="1.85546875" style="488" customWidth="1"/>
    <col min="13063" max="13063" width="17.42578125" style="488" bestFit="1" customWidth="1"/>
    <col min="13064" max="13064" width="1.85546875" style="488" customWidth="1"/>
    <col min="13065" max="13065" width="19.42578125" style="488" customWidth="1"/>
    <col min="13066" max="13312" width="27.85546875" style="488"/>
    <col min="13313" max="13313" width="31.7109375" style="488" customWidth="1"/>
    <col min="13314" max="13314" width="1.85546875" style="488" customWidth="1"/>
    <col min="13315" max="13315" width="17.42578125" style="488" bestFit="1" customWidth="1"/>
    <col min="13316" max="13316" width="1.85546875" style="488" customWidth="1"/>
    <col min="13317" max="13317" width="15.5703125" style="488" bestFit="1" customWidth="1"/>
    <col min="13318" max="13318" width="1.85546875" style="488" customWidth="1"/>
    <col min="13319" max="13319" width="17.42578125" style="488" bestFit="1" customWidth="1"/>
    <col min="13320" max="13320" width="1.85546875" style="488" customWidth="1"/>
    <col min="13321" max="13321" width="19.42578125" style="488" customWidth="1"/>
    <col min="13322" max="13568" width="27.85546875" style="488"/>
    <col min="13569" max="13569" width="31.7109375" style="488" customWidth="1"/>
    <col min="13570" max="13570" width="1.85546875" style="488" customWidth="1"/>
    <col min="13571" max="13571" width="17.42578125" style="488" bestFit="1" customWidth="1"/>
    <col min="13572" max="13572" width="1.85546875" style="488" customWidth="1"/>
    <col min="13573" max="13573" width="15.5703125" style="488" bestFit="1" customWidth="1"/>
    <col min="13574" max="13574" width="1.85546875" style="488" customWidth="1"/>
    <col min="13575" max="13575" width="17.42578125" style="488" bestFit="1" customWidth="1"/>
    <col min="13576" max="13576" width="1.85546875" style="488" customWidth="1"/>
    <col min="13577" max="13577" width="19.42578125" style="488" customWidth="1"/>
    <col min="13578" max="13824" width="27.85546875" style="488"/>
    <col min="13825" max="13825" width="31.7109375" style="488" customWidth="1"/>
    <col min="13826" max="13826" width="1.85546875" style="488" customWidth="1"/>
    <col min="13827" max="13827" width="17.42578125" style="488" bestFit="1" customWidth="1"/>
    <col min="13828" max="13828" width="1.85546875" style="488" customWidth="1"/>
    <col min="13829" max="13829" width="15.5703125" style="488" bestFit="1" customWidth="1"/>
    <col min="13830" max="13830" width="1.85546875" style="488" customWidth="1"/>
    <col min="13831" max="13831" width="17.42578125" style="488" bestFit="1" customWidth="1"/>
    <col min="13832" max="13832" width="1.85546875" style="488" customWidth="1"/>
    <col min="13833" max="13833" width="19.42578125" style="488" customWidth="1"/>
    <col min="13834" max="14080" width="27.85546875" style="488"/>
    <col min="14081" max="14081" width="31.7109375" style="488" customWidth="1"/>
    <col min="14082" max="14082" width="1.85546875" style="488" customWidth="1"/>
    <col min="14083" max="14083" width="17.42578125" style="488" bestFit="1" customWidth="1"/>
    <col min="14084" max="14084" width="1.85546875" style="488" customWidth="1"/>
    <col min="14085" max="14085" width="15.5703125" style="488" bestFit="1" customWidth="1"/>
    <col min="14086" max="14086" width="1.85546875" style="488" customWidth="1"/>
    <col min="14087" max="14087" width="17.42578125" style="488" bestFit="1" customWidth="1"/>
    <col min="14088" max="14088" width="1.85546875" style="488" customWidth="1"/>
    <col min="14089" max="14089" width="19.42578125" style="488" customWidth="1"/>
    <col min="14090" max="14336" width="27.85546875" style="488"/>
    <col min="14337" max="14337" width="31.7109375" style="488" customWidth="1"/>
    <col min="14338" max="14338" width="1.85546875" style="488" customWidth="1"/>
    <col min="14339" max="14339" width="17.42578125" style="488" bestFit="1" customWidth="1"/>
    <col min="14340" max="14340" width="1.85546875" style="488" customWidth="1"/>
    <col min="14341" max="14341" width="15.5703125" style="488" bestFit="1" customWidth="1"/>
    <col min="14342" max="14342" width="1.85546875" style="488" customWidth="1"/>
    <col min="14343" max="14343" width="17.42578125" style="488" bestFit="1" customWidth="1"/>
    <col min="14344" max="14344" width="1.85546875" style="488" customWidth="1"/>
    <col min="14345" max="14345" width="19.42578125" style="488" customWidth="1"/>
    <col min="14346" max="14592" width="27.85546875" style="488"/>
    <col min="14593" max="14593" width="31.7109375" style="488" customWidth="1"/>
    <col min="14594" max="14594" width="1.85546875" style="488" customWidth="1"/>
    <col min="14595" max="14595" width="17.42578125" style="488" bestFit="1" customWidth="1"/>
    <col min="14596" max="14596" width="1.85546875" style="488" customWidth="1"/>
    <col min="14597" max="14597" width="15.5703125" style="488" bestFit="1" customWidth="1"/>
    <col min="14598" max="14598" width="1.85546875" style="488" customWidth="1"/>
    <col min="14599" max="14599" width="17.42578125" style="488" bestFit="1" customWidth="1"/>
    <col min="14600" max="14600" width="1.85546875" style="488" customWidth="1"/>
    <col min="14601" max="14601" width="19.42578125" style="488" customWidth="1"/>
    <col min="14602" max="14848" width="27.85546875" style="488"/>
    <col min="14849" max="14849" width="31.7109375" style="488" customWidth="1"/>
    <col min="14850" max="14850" width="1.85546875" style="488" customWidth="1"/>
    <col min="14851" max="14851" width="17.42578125" style="488" bestFit="1" customWidth="1"/>
    <col min="14852" max="14852" width="1.85546875" style="488" customWidth="1"/>
    <col min="14853" max="14853" width="15.5703125" style="488" bestFit="1" customWidth="1"/>
    <col min="14854" max="14854" width="1.85546875" style="488" customWidth="1"/>
    <col min="14855" max="14855" width="17.42578125" style="488" bestFit="1" customWidth="1"/>
    <col min="14856" max="14856" width="1.85546875" style="488" customWidth="1"/>
    <col min="14857" max="14857" width="19.42578125" style="488" customWidth="1"/>
    <col min="14858" max="15104" width="27.85546875" style="488"/>
    <col min="15105" max="15105" width="31.7109375" style="488" customWidth="1"/>
    <col min="15106" max="15106" width="1.85546875" style="488" customWidth="1"/>
    <col min="15107" max="15107" width="17.42578125" style="488" bestFit="1" customWidth="1"/>
    <col min="15108" max="15108" width="1.85546875" style="488" customWidth="1"/>
    <col min="15109" max="15109" width="15.5703125" style="488" bestFit="1" customWidth="1"/>
    <col min="15110" max="15110" width="1.85546875" style="488" customWidth="1"/>
    <col min="15111" max="15111" width="17.42578125" style="488" bestFit="1" customWidth="1"/>
    <col min="15112" max="15112" width="1.85546875" style="488" customWidth="1"/>
    <col min="15113" max="15113" width="19.42578125" style="488" customWidth="1"/>
    <col min="15114" max="15360" width="27.85546875" style="488"/>
    <col min="15361" max="15361" width="31.7109375" style="488" customWidth="1"/>
    <col min="15362" max="15362" width="1.85546875" style="488" customWidth="1"/>
    <col min="15363" max="15363" width="17.42578125" style="488" bestFit="1" customWidth="1"/>
    <col min="15364" max="15364" width="1.85546875" style="488" customWidth="1"/>
    <col min="15365" max="15365" width="15.5703125" style="488" bestFit="1" customWidth="1"/>
    <col min="15366" max="15366" width="1.85546875" style="488" customWidth="1"/>
    <col min="15367" max="15367" width="17.42578125" style="488" bestFit="1" customWidth="1"/>
    <col min="15368" max="15368" width="1.85546875" style="488" customWidth="1"/>
    <col min="15369" max="15369" width="19.42578125" style="488" customWidth="1"/>
    <col min="15370" max="15616" width="27.85546875" style="488"/>
    <col min="15617" max="15617" width="31.7109375" style="488" customWidth="1"/>
    <col min="15618" max="15618" width="1.85546875" style="488" customWidth="1"/>
    <col min="15619" max="15619" width="17.42578125" style="488" bestFit="1" customWidth="1"/>
    <col min="15620" max="15620" width="1.85546875" style="488" customWidth="1"/>
    <col min="15621" max="15621" width="15.5703125" style="488" bestFit="1" customWidth="1"/>
    <col min="15622" max="15622" width="1.85546875" style="488" customWidth="1"/>
    <col min="15623" max="15623" width="17.42578125" style="488" bestFit="1" customWidth="1"/>
    <col min="15624" max="15624" width="1.85546875" style="488" customWidth="1"/>
    <col min="15625" max="15625" width="19.42578125" style="488" customWidth="1"/>
    <col min="15626" max="15872" width="27.85546875" style="488"/>
    <col min="15873" max="15873" width="31.7109375" style="488" customWidth="1"/>
    <col min="15874" max="15874" width="1.85546875" style="488" customWidth="1"/>
    <col min="15875" max="15875" width="17.42578125" style="488" bestFit="1" customWidth="1"/>
    <col min="15876" max="15876" width="1.85546875" style="488" customWidth="1"/>
    <col min="15877" max="15877" width="15.5703125" style="488" bestFit="1" customWidth="1"/>
    <col min="15878" max="15878" width="1.85546875" style="488" customWidth="1"/>
    <col min="15879" max="15879" width="17.42578125" style="488" bestFit="1" customWidth="1"/>
    <col min="15880" max="15880" width="1.85546875" style="488" customWidth="1"/>
    <col min="15881" max="15881" width="19.42578125" style="488" customWidth="1"/>
    <col min="15882" max="16128" width="27.85546875" style="488"/>
    <col min="16129" max="16129" width="31.7109375" style="488" customWidth="1"/>
    <col min="16130" max="16130" width="1.85546875" style="488" customWidth="1"/>
    <col min="16131" max="16131" width="17.42578125" style="488" bestFit="1" customWidth="1"/>
    <col min="16132" max="16132" width="1.85546875" style="488" customWidth="1"/>
    <col min="16133" max="16133" width="15.5703125" style="488" bestFit="1" customWidth="1"/>
    <col min="16134" max="16134" width="1.85546875" style="488" customWidth="1"/>
    <col min="16135" max="16135" width="17.42578125" style="488" bestFit="1" customWidth="1"/>
    <col min="16136" max="16136" width="1.85546875" style="488" customWidth="1"/>
    <col min="16137" max="16137" width="19.42578125" style="488" customWidth="1"/>
    <col min="16138" max="16384" width="27.85546875" style="488"/>
  </cols>
  <sheetData>
    <row r="1" spans="1:9" ht="18" customHeight="1">
      <c r="A1" s="1126" t="s">
        <v>1009</v>
      </c>
      <c r="B1" s="1126"/>
      <c r="C1" s="1126"/>
      <c r="D1" s="1126"/>
      <c r="E1" s="1126"/>
      <c r="F1" s="1126"/>
      <c r="G1" s="1126"/>
      <c r="H1" s="1126"/>
      <c r="I1" s="1126"/>
    </row>
    <row r="2" spans="1:9" s="489" customFormat="1" ht="18" customHeight="1">
      <c r="A2" s="1126" t="s">
        <v>1010</v>
      </c>
      <c r="B2" s="1126"/>
      <c r="C2" s="1126"/>
      <c r="D2" s="1126"/>
      <c r="E2" s="1126"/>
      <c r="F2" s="1126"/>
      <c r="G2" s="1126"/>
      <c r="H2" s="1126"/>
      <c r="I2" s="1126"/>
    </row>
    <row r="3" spans="1:9" ht="18" customHeight="1">
      <c r="A3" s="1127" t="str">
        <f>+Input!A4</f>
        <v>December 2023</v>
      </c>
      <c r="B3" s="1126"/>
      <c r="C3" s="1126"/>
      <c r="D3" s="1126"/>
      <c r="E3" s="1126"/>
      <c r="F3" s="1126"/>
      <c r="G3" s="1126"/>
      <c r="H3" s="1126"/>
      <c r="I3" s="1126"/>
    </row>
    <row r="4" spans="1:9" ht="18" customHeight="1">
      <c r="A4" s="1128" t="s">
        <v>662</v>
      </c>
      <c r="B4" s="1128"/>
      <c r="C4" s="1128"/>
      <c r="D4" s="1128"/>
      <c r="E4" s="1128"/>
      <c r="F4" s="1128"/>
      <c r="G4" s="1128"/>
      <c r="H4" s="1128"/>
      <c r="I4" s="1128"/>
    </row>
    <row r="5" spans="1:9" ht="18" customHeight="1">
      <c r="A5" s="490"/>
      <c r="B5" s="491"/>
      <c r="C5" s="491"/>
      <c r="D5" s="491"/>
      <c r="E5" s="491"/>
      <c r="F5" s="491"/>
      <c r="G5" s="1129" t="s">
        <v>1011</v>
      </c>
      <c r="H5" s="1129"/>
      <c r="I5" s="1129"/>
    </row>
    <row r="6" spans="1:9" ht="18" customHeight="1">
      <c r="A6" s="490"/>
      <c r="B6" s="491"/>
      <c r="C6" s="491"/>
      <c r="D6" s="491"/>
      <c r="E6" s="491"/>
      <c r="F6" s="491"/>
      <c r="G6" s="491"/>
      <c r="H6" s="491"/>
      <c r="I6" s="491"/>
    </row>
    <row r="7" spans="1:9" ht="18" customHeight="1">
      <c r="E7" s="492"/>
      <c r="G7" s="492"/>
      <c r="I7" s="493"/>
    </row>
    <row r="8" spans="1:9" ht="18" customHeight="1">
      <c r="C8" s="494" t="s">
        <v>780</v>
      </c>
      <c r="G8" s="494"/>
      <c r="I8" s="493" t="s">
        <v>775</v>
      </c>
    </row>
    <row r="9" spans="1:9" ht="18" customHeight="1">
      <c r="A9" s="495"/>
      <c r="C9" s="494" t="s">
        <v>1012</v>
      </c>
      <c r="D9" s="494"/>
      <c r="E9" s="494" t="s">
        <v>1013</v>
      </c>
      <c r="F9" s="494"/>
      <c r="G9" s="494" t="s">
        <v>1014</v>
      </c>
      <c r="H9" s="494"/>
      <c r="I9" s="493" t="s">
        <v>1014</v>
      </c>
    </row>
    <row r="10" spans="1:9" ht="18" customHeight="1">
      <c r="A10" s="496" t="s">
        <v>1015</v>
      </c>
      <c r="C10" s="497" t="s">
        <v>1016</v>
      </c>
      <c r="D10" s="494"/>
      <c r="E10" s="496" t="s">
        <v>777</v>
      </c>
      <c r="F10" s="494"/>
      <c r="G10" s="496" t="s">
        <v>1013</v>
      </c>
      <c r="H10" s="494"/>
      <c r="I10" s="496" t="s">
        <v>1013</v>
      </c>
    </row>
    <row r="11" spans="1:9" ht="18" customHeight="1"/>
    <row r="12" spans="1:9" ht="18" customHeight="1">
      <c r="A12" s="488" t="s">
        <v>782</v>
      </c>
      <c r="B12" s="498"/>
      <c r="C12" s="499">
        <f ca="1">+'AFUDC Sch B'!G12</f>
        <v>578352.31628888287</v>
      </c>
      <c r="E12" s="500">
        <f ca="1">ROUND(C12/$C$24*100,2)/100</f>
        <v>0.28570000000000001</v>
      </c>
      <c r="F12" s="492"/>
      <c r="G12" s="500">
        <f>+'Debt &amp; Cust Dep'!BW36</f>
        <v>3.7999999999999999E-2</v>
      </c>
      <c r="I12" s="500">
        <f ca="1">ROUND(E12*G12,4)</f>
        <v>1.09E-2</v>
      </c>
    </row>
    <row r="13" spans="1:9" ht="18" customHeight="1">
      <c r="B13" s="498"/>
      <c r="E13" s="500"/>
      <c r="F13" s="492"/>
      <c r="G13" s="500"/>
      <c r="H13" s="492"/>
      <c r="I13" s="500"/>
    </row>
    <row r="14" spans="1:9" ht="18" customHeight="1">
      <c r="A14" s="488" t="s">
        <v>783</v>
      </c>
      <c r="B14" s="501"/>
      <c r="C14" s="488">
        <f ca="1">+'AFUDC Sch B'!G14</f>
        <v>218681.86410038217</v>
      </c>
      <c r="E14" s="500">
        <f ca="1">ROUND(C14/$C$24*100,2)/100</f>
        <v>0.10800000000000001</v>
      </c>
      <c r="F14" s="492"/>
      <c r="G14" s="500">
        <f ca="1">+Report!P162/100</f>
        <v>4.2199999999999994E-2</v>
      </c>
      <c r="H14" s="492" t="s">
        <v>1017</v>
      </c>
      <c r="I14" s="500">
        <f ca="1">ROUND(E14*G14,4)</f>
        <v>4.5999999999999999E-3</v>
      </c>
    </row>
    <row r="15" spans="1:9" ht="18" customHeight="1">
      <c r="B15" s="501"/>
      <c r="E15" s="500"/>
      <c r="F15" s="492"/>
      <c r="G15" s="500"/>
      <c r="H15" s="492"/>
      <c r="I15" s="500"/>
    </row>
    <row r="16" spans="1:9" ht="18" customHeight="1">
      <c r="A16" s="488" t="s">
        <v>784</v>
      </c>
      <c r="B16" s="501"/>
      <c r="C16" s="488">
        <f ca="1">+'AFUDC Sch B'!G16</f>
        <v>26882.011816876606</v>
      </c>
      <c r="E16" s="500">
        <f ca="1">ROUND(C16/$C$24*100,2)/100</f>
        <v>1.3300000000000001E-2</v>
      </c>
      <c r="F16" s="492"/>
      <c r="G16" s="500">
        <f ca="1">+Report!P164/100</f>
        <v>2.52E-2</v>
      </c>
      <c r="H16" s="492" t="s">
        <v>1017</v>
      </c>
      <c r="I16" s="500">
        <f ca="1">ROUND(E16*G16,4)</f>
        <v>2.9999999999999997E-4</v>
      </c>
    </row>
    <row r="17" spans="1:9" ht="18" customHeight="1">
      <c r="B17" s="501"/>
      <c r="E17" s="500"/>
      <c r="F17" s="492"/>
      <c r="G17" s="500"/>
      <c r="H17" s="492"/>
      <c r="I17" s="500"/>
    </row>
    <row r="18" spans="1:9" ht="18" customHeight="1">
      <c r="A18" s="488" t="s">
        <v>785</v>
      </c>
      <c r="B18" s="501"/>
      <c r="C18" s="488">
        <f ca="1">+'AFUDC Sch B'!G18</f>
        <v>962423.17146341712</v>
      </c>
      <c r="E18" s="500">
        <f ca="1">ROUND(C18/$C$24*100,2)/100</f>
        <v>0.47539999999999999</v>
      </c>
      <c r="F18" s="492"/>
      <c r="G18" s="500">
        <f>+Report!P166/100</f>
        <v>9.9000000000000005E-2</v>
      </c>
      <c r="H18" s="492"/>
      <c r="I18" s="500">
        <f ca="1">ROUND(E18*G18,4)</f>
        <v>4.7100000000000003E-2</v>
      </c>
    </row>
    <row r="19" spans="1:9" ht="18" customHeight="1">
      <c r="B19" s="501"/>
      <c r="E19" s="500"/>
      <c r="F19" s="492"/>
      <c r="G19" s="502"/>
      <c r="H19" s="492"/>
      <c r="I19" s="500"/>
    </row>
    <row r="20" spans="1:9" ht="18" customHeight="1">
      <c r="A20" s="488" t="s">
        <v>786</v>
      </c>
      <c r="B20" s="501"/>
      <c r="C20" s="488">
        <f ca="1">+'AFUDC Sch B'!G20</f>
        <v>235153.27380608773</v>
      </c>
      <c r="E20" s="500">
        <f ca="1">ROUND(C20/$C$24*100,2)/100</f>
        <v>0.1162</v>
      </c>
      <c r="F20" s="492"/>
      <c r="G20" s="500">
        <v>0</v>
      </c>
      <c r="H20" s="492"/>
      <c r="I20" s="503">
        <f ca="1">ROUND(E20*G20,4)</f>
        <v>0</v>
      </c>
    </row>
    <row r="21" spans="1:9" ht="18" customHeight="1">
      <c r="B21" s="501"/>
      <c r="E21" s="500"/>
      <c r="F21" s="492"/>
      <c r="G21" s="500"/>
      <c r="H21" s="492"/>
      <c r="I21" s="503"/>
    </row>
    <row r="22" spans="1:9" ht="18" customHeight="1">
      <c r="A22" s="488" t="s">
        <v>1018</v>
      </c>
      <c r="B22" s="501"/>
      <c r="C22" s="504">
        <f ca="1">+'AFUDC Sch B'!G22</f>
        <v>2839.7993873227697</v>
      </c>
      <c r="E22" s="505">
        <f ca="1">ROUND(C22/$C$24*100,2)/100</f>
        <v>1.4000000000000002E-3</v>
      </c>
      <c r="F22" s="492"/>
      <c r="G22" s="500">
        <v>0</v>
      </c>
      <c r="H22" s="492"/>
      <c r="I22" s="504">
        <f ca="1">ROUND(E22*G22,4)</f>
        <v>0</v>
      </c>
    </row>
    <row r="23" spans="1:9" ht="18" customHeight="1">
      <c r="B23" s="501"/>
      <c r="E23" s="506"/>
      <c r="F23" s="492"/>
      <c r="G23" s="500"/>
      <c r="H23" s="492"/>
      <c r="I23" s="507"/>
    </row>
    <row r="24" spans="1:9" ht="18" customHeight="1">
      <c r="A24" s="494" t="s">
        <v>230</v>
      </c>
      <c r="B24" s="498"/>
      <c r="C24" s="499">
        <f ca="1">SUM(C12:C22)</f>
        <v>2024332.4368629693</v>
      </c>
      <c r="E24" s="500">
        <f ca="1">SUM(E12:E22)</f>
        <v>1</v>
      </c>
      <c r="F24" s="492"/>
      <c r="G24" s="492"/>
      <c r="H24" s="492"/>
      <c r="I24" s="500">
        <f ca="1">SUM(I12:I22)</f>
        <v>6.2900000000000011E-2</v>
      </c>
    </row>
    <row r="25" spans="1:9" ht="18" customHeight="1"/>
    <row r="26" spans="1:9" ht="18" customHeight="1"/>
    <row r="27" spans="1:9" ht="18" customHeight="1">
      <c r="A27" s="488" t="s">
        <v>1019</v>
      </c>
    </row>
    <row r="28" spans="1:9" ht="18" customHeight="1"/>
    <row r="29" spans="1:9" ht="18" customHeight="1">
      <c r="A29" s="1124" t="s">
        <v>1020</v>
      </c>
      <c r="B29" s="1125"/>
      <c r="C29" s="1125"/>
      <c r="D29" s="1125"/>
      <c r="E29" s="1125"/>
      <c r="F29" s="1125"/>
      <c r="G29" s="1125"/>
      <c r="H29" s="1125"/>
      <c r="I29" s="1125"/>
    </row>
    <row r="30" spans="1:9" ht="18" customHeight="1">
      <c r="A30" s="1125"/>
      <c r="B30" s="1125"/>
      <c r="C30" s="1125"/>
      <c r="D30" s="1125"/>
      <c r="E30" s="1125"/>
      <c r="F30" s="1125"/>
      <c r="G30" s="1125"/>
      <c r="H30" s="1125"/>
      <c r="I30" s="1125"/>
    </row>
    <row r="31" spans="1:9" ht="18" customHeight="1"/>
    <row r="32" spans="1:9" ht="18" customHeight="1">
      <c r="H32" s="508"/>
      <c r="I32" s="901" t="s">
        <v>1021</v>
      </c>
    </row>
    <row r="33" spans="7:9" ht="18" customHeight="1">
      <c r="H33" s="508"/>
      <c r="I33" s="901" t="s">
        <v>1022</v>
      </c>
    </row>
    <row r="34" spans="7:9" ht="18" customHeight="1">
      <c r="H34" s="509"/>
      <c r="I34" s="509"/>
    </row>
    <row r="35" spans="7:9" ht="18" customHeight="1">
      <c r="G35" s="488" t="s">
        <v>1023</v>
      </c>
      <c r="H35" s="510"/>
      <c r="I35" s="902">
        <f ca="1">1-I36</f>
        <v>0.25119236883942775</v>
      </c>
    </row>
    <row r="36" spans="7:9" ht="18" customHeight="1">
      <c r="G36" s="488" t="s">
        <v>1024</v>
      </c>
      <c r="H36" s="510"/>
      <c r="I36" s="902">
        <f ca="1">+I18/I24</f>
        <v>0.74880763116057225</v>
      </c>
    </row>
    <row r="37" spans="7:9" ht="18" customHeight="1">
      <c r="H37" s="510"/>
      <c r="I37" s="510"/>
    </row>
    <row r="38" spans="7:9" ht="18" customHeight="1">
      <c r="H38" s="510"/>
      <c r="I38" s="510"/>
    </row>
    <row r="39" spans="7:9" ht="18" customHeight="1">
      <c r="H39" s="510"/>
      <c r="I39" s="510"/>
    </row>
    <row r="40" spans="7:9" ht="18" customHeight="1">
      <c r="H40" s="510"/>
      <c r="I40" s="510"/>
    </row>
    <row r="41" spans="7:9" ht="18" customHeight="1"/>
    <row r="42" spans="7:9" ht="18" customHeight="1"/>
    <row r="43" spans="7:9" ht="18" customHeight="1"/>
    <row r="44" spans="7:9" ht="18" customHeight="1"/>
    <row r="45" spans="7:9" ht="18" customHeight="1"/>
    <row r="46" spans="7:9" ht="18" customHeight="1">
      <c r="I46" s="494"/>
    </row>
    <row r="47" spans="7:9" ht="18" customHeight="1">
      <c r="I47" s="494"/>
    </row>
    <row r="48" spans="7:9" ht="18" customHeight="1">
      <c r="I48" s="494"/>
    </row>
    <row r="49" spans="9:9" ht="18" customHeight="1"/>
    <row r="50" spans="9:9" ht="18" customHeight="1">
      <c r="I50" s="511"/>
    </row>
    <row r="51" spans="9:9" ht="18" customHeight="1">
      <c r="I51" s="511"/>
    </row>
    <row r="52" spans="9:9" ht="18" customHeight="1">
      <c r="I52" s="511"/>
    </row>
    <row r="53" spans="9:9" ht="18" customHeight="1">
      <c r="I53" s="511"/>
    </row>
    <row r="54" spans="9:9" ht="18" customHeight="1">
      <c r="I54" s="511"/>
    </row>
    <row r="55" spans="9:9" ht="18" customHeight="1">
      <c r="I55" s="511"/>
    </row>
    <row r="56" spans="9:9" ht="18" customHeight="1">
      <c r="I56" s="511"/>
    </row>
    <row r="57" spans="9:9" ht="18" customHeight="1">
      <c r="I57" s="511"/>
    </row>
    <row r="58" spans="9:9" ht="18" customHeight="1">
      <c r="I58" s="511"/>
    </row>
    <row r="59" spans="9:9" ht="18" customHeight="1">
      <c r="I59" s="511"/>
    </row>
    <row r="60" spans="9:9" ht="18" customHeight="1">
      <c r="I60" s="511"/>
    </row>
    <row r="61" spans="9:9" ht="18" customHeight="1">
      <c r="I61" s="511"/>
    </row>
    <row r="62" spans="9:9" ht="18" customHeight="1">
      <c r="I62" s="511"/>
    </row>
    <row r="69" spans="1:7">
      <c r="A69" s="512" t="s">
        <v>1025</v>
      </c>
    </row>
    <row r="70" spans="1:7">
      <c r="A70" s="512" t="s">
        <v>1026</v>
      </c>
    </row>
    <row r="72" spans="1:7">
      <c r="A72" s="513">
        <v>5.9699999999999998E-4</v>
      </c>
      <c r="C72" s="488" t="s">
        <v>1027</v>
      </c>
    </row>
    <row r="73" spans="1:7">
      <c r="A73" s="513">
        <v>4.5199999999999998E-4</v>
      </c>
      <c r="C73" s="488" t="s">
        <v>1028</v>
      </c>
      <c r="E73" s="514">
        <v>0.75711892797319935</v>
      </c>
      <c r="G73" s="488" t="s">
        <v>1029</v>
      </c>
    </row>
    <row r="74" spans="1:7">
      <c r="A74" s="513">
        <v>1.45E-4</v>
      </c>
      <c r="C74" s="488" t="s">
        <v>1030</v>
      </c>
      <c r="E74" s="514">
        <v>0.24288107202680065</v>
      </c>
      <c r="G74" s="488" t="s">
        <v>1031</v>
      </c>
    </row>
  </sheetData>
  <mergeCells count="6">
    <mergeCell ref="A29:I30"/>
    <mergeCell ref="A1:I1"/>
    <mergeCell ref="A2:I2"/>
    <mergeCell ref="A3:I3"/>
    <mergeCell ref="A4:I4"/>
    <mergeCell ref="G5:I5"/>
  </mergeCells>
  <printOptions horizontalCentered="1"/>
  <pageMargins left="0.7" right="0.7" top="0.75" bottom="0.75" header="0.3" footer="0.3"/>
  <pageSetup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7" tint="0.59999389629810485"/>
    <pageSetUpPr fitToPage="1"/>
  </sheetPr>
  <dimension ref="A1:K45"/>
  <sheetViews>
    <sheetView workbookViewId="0">
      <selection activeCell="C12" sqref="C12"/>
    </sheetView>
  </sheetViews>
  <sheetFormatPr defaultColWidth="2.28515625" defaultRowHeight="15"/>
  <cols>
    <col min="1" max="1" width="35" style="478" customWidth="1"/>
    <col min="2" max="2" width="2.140625" style="478" customWidth="1"/>
    <col min="3" max="3" width="20" style="478" customWidth="1"/>
    <col min="4" max="4" width="2.140625" style="478" customWidth="1"/>
    <col min="5" max="5" width="20" style="478" customWidth="1"/>
    <col min="6" max="6" width="2.140625" style="478" customWidth="1"/>
    <col min="7" max="7" width="20" style="478" customWidth="1"/>
    <col min="8" max="8" width="2.28515625" style="478" customWidth="1"/>
    <col min="9" max="9" width="9.7109375" style="478" customWidth="1"/>
    <col min="10" max="10" width="2.28515625" style="478" customWidth="1"/>
    <col min="11" max="11" width="9.7109375" style="478" customWidth="1"/>
    <col min="12" max="215" width="13.5703125" style="478" customWidth="1"/>
    <col min="216" max="216" width="31.140625" style="478" customWidth="1"/>
    <col min="217" max="217" width="14.140625" style="478" customWidth="1"/>
    <col min="218" max="218" width="2.28515625" style="478" customWidth="1"/>
    <col min="219" max="219" width="9.7109375" style="478" customWidth="1"/>
    <col min="220" max="220" width="2.28515625" style="478" customWidth="1"/>
    <col min="221" max="221" width="9.7109375" style="478" customWidth="1"/>
    <col min="222" max="222" width="2.28515625" style="478" customWidth="1"/>
    <col min="223" max="223" width="9.7109375" style="478" customWidth="1"/>
    <col min="224" max="224" width="2.28515625" style="478" customWidth="1"/>
    <col min="225" max="225" width="11" style="478" customWidth="1"/>
    <col min="226" max="226" width="2.28515625" style="478" customWidth="1"/>
    <col min="227" max="227" width="9.7109375" style="478" customWidth="1"/>
    <col min="228" max="228" width="4.28515625" style="478" customWidth="1"/>
    <col min="229" max="229" width="12.28515625" style="478" customWidth="1"/>
    <col min="230" max="230" width="2.28515625" style="478" customWidth="1"/>
    <col min="231" max="231" width="9.7109375" style="478" customWidth="1"/>
    <col min="232" max="232" width="2.28515625" style="478" customWidth="1"/>
    <col min="233" max="233" width="9.7109375" style="478" customWidth="1"/>
    <col min="234" max="234" width="2.28515625" style="478" customWidth="1"/>
    <col min="235" max="235" width="9.7109375" style="478" customWidth="1"/>
    <col min="236" max="236" width="2.28515625" style="478" customWidth="1"/>
    <col min="237" max="237" width="9.7109375" style="478" customWidth="1"/>
    <col min="238" max="238" width="13.28515625" style="478" bestFit="1" customWidth="1"/>
    <col min="239" max="239" width="14" style="478" customWidth="1"/>
    <col min="240" max="241" width="13.5703125" style="478" customWidth="1"/>
    <col min="242" max="242" width="2.85546875" style="478" customWidth="1"/>
    <col min="243" max="243" width="19.28515625" style="478" bestFit="1" customWidth="1"/>
    <col min="244" max="244" width="8.85546875" style="478" bestFit="1" customWidth="1"/>
    <col min="245" max="245" width="13.5703125" style="478" customWidth="1"/>
    <col min="246" max="246" width="31.140625" style="478" customWidth="1"/>
    <col min="247" max="247" width="14.140625" style="478" customWidth="1"/>
    <col min="248" max="248" width="2.28515625" style="478" customWidth="1"/>
    <col min="249" max="249" width="9.7109375" style="478" customWidth="1"/>
    <col min="250" max="250" width="2.28515625" style="478" customWidth="1"/>
    <col min="251" max="251" width="9.7109375" style="478" customWidth="1"/>
    <col min="252" max="252" width="2.28515625" style="478" customWidth="1"/>
    <col min="253" max="253" width="9.7109375" style="478" customWidth="1"/>
    <col min="254" max="254" width="2.28515625" style="478" customWidth="1"/>
    <col min="255" max="255" width="11" style="478" customWidth="1"/>
    <col min="256" max="256" width="2.28515625" style="478"/>
    <col min="257" max="257" width="35" style="478" customWidth="1"/>
    <col min="258" max="258" width="2.140625" style="478" customWidth="1"/>
    <col min="259" max="259" width="20" style="478" customWidth="1"/>
    <col min="260" max="260" width="2.140625" style="478" customWidth="1"/>
    <col min="261" max="261" width="20" style="478" customWidth="1"/>
    <col min="262" max="262" width="2.140625" style="478" customWidth="1"/>
    <col min="263" max="263" width="20" style="478" customWidth="1"/>
    <col min="264" max="264" width="2.28515625" style="478"/>
    <col min="265" max="265" width="9.7109375" style="478" customWidth="1"/>
    <col min="266" max="266" width="2.28515625" style="478"/>
    <col min="267" max="267" width="9.7109375" style="478" customWidth="1"/>
    <col min="268" max="471" width="13.5703125" style="478" customWidth="1"/>
    <col min="472" max="472" width="31.140625" style="478" customWidth="1"/>
    <col min="473" max="473" width="14.140625" style="478" customWidth="1"/>
    <col min="474" max="474" width="2.28515625" style="478"/>
    <col min="475" max="475" width="9.7109375" style="478" customWidth="1"/>
    <col min="476" max="476" width="2.28515625" style="478"/>
    <col min="477" max="477" width="9.7109375" style="478" customWidth="1"/>
    <col min="478" max="478" width="2.28515625" style="478"/>
    <col min="479" max="479" width="9.7109375" style="478" customWidth="1"/>
    <col min="480" max="480" width="2.28515625" style="478"/>
    <col min="481" max="481" width="11" style="478" customWidth="1"/>
    <col min="482" max="482" width="2.28515625" style="478"/>
    <col min="483" max="483" width="9.7109375" style="478" customWidth="1"/>
    <col min="484" max="484" width="4.28515625" style="478" customWidth="1"/>
    <col min="485" max="485" width="12.28515625" style="478" customWidth="1"/>
    <col min="486" max="486" width="2.28515625" style="478"/>
    <col min="487" max="487" width="9.7109375" style="478" customWidth="1"/>
    <col min="488" max="488" width="2.28515625" style="478"/>
    <col min="489" max="489" width="9.7109375" style="478" customWidth="1"/>
    <col min="490" max="490" width="2.28515625" style="478"/>
    <col min="491" max="491" width="9.7109375" style="478" customWidth="1"/>
    <col min="492" max="492" width="2.28515625" style="478"/>
    <col min="493" max="493" width="9.7109375" style="478" customWidth="1"/>
    <col min="494" max="494" width="13.28515625" style="478" bestFit="1" customWidth="1"/>
    <col min="495" max="495" width="14" style="478" customWidth="1"/>
    <col min="496" max="497" width="13.5703125" style="478" customWidth="1"/>
    <col min="498" max="498" width="2.85546875" style="478" customWidth="1"/>
    <col min="499" max="499" width="19.28515625" style="478" bestFit="1" customWidth="1"/>
    <col min="500" max="500" width="8.85546875" style="478" bestFit="1" customWidth="1"/>
    <col min="501" max="501" width="13.5703125" style="478" customWidth="1"/>
    <col min="502" max="502" width="31.140625" style="478" customWidth="1"/>
    <col min="503" max="503" width="14.140625" style="478" customWidth="1"/>
    <col min="504" max="504" width="2.28515625" style="478"/>
    <col min="505" max="505" width="9.7109375" style="478" customWidth="1"/>
    <col min="506" max="506" width="2.28515625" style="478"/>
    <col min="507" max="507" width="9.7109375" style="478" customWidth="1"/>
    <col min="508" max="508" width="2.28515625" style="478"/>
    <col min="509" max="509" width="9.7109375" style="478" customWidth="1"/>
    <col min="510" max="510" width="2.28515625" style="478"/>
    <col min="511" max="511" width="11" style="478" customWidth="1"/>
    <col min="512" max="512" width="2.28515625" style="478"/>
    <col min="513" max="513" width="35" style="478" customWidth="1"/>
    <col min="514" max="514" width="2.140625" style="478" customWidth="1"/>
    <col min="515" max="515" width="20" style="478" customWidth="1"/>
    <col min="516" max="516" width="2.140625" style="478" customWidth="1"/>
    <col min="517" max="517" width="20" style="478" customWidth="1"/>
    <col min="518" max="518" width="2.140625" style="478" customWidth="1"/>
    <col min="519" max="519" width="20" style="478" customWidth="1"/>
    <col min="520" max="520" width="2.28515625" style="478"/>
    <col min="521" max="521" width="9.7109375" style="478" customWidth="1"/>
    <col min="522" max="522" width="2.28515625" style="478"/>
    <col min="523" max="523" width="9.7109375" style="478" customWidth="1"/>
    <col min="524" max="727" width="13.5703125" style="478" customWidth="1"/>
    <col min="728" max="728" width="31.140625" style="478" customWidth="1"/>
    <col min="729" max="729" width="14.140625" style="478" customWidth="1"/>
    <col min="730" max="730" width="2.28515625" style="478"/>
    <col min="731" max="731" width="9.7109375" style="478" customWidth="1"/>
    <col min="732" max="732" width="2.28515625" style="478"/>
    <col min="733" max="733" width="9.7109375" style="478" customWidth="1"/>
    <col min="734" max="734" width="2.28515625" style="478"/>
    <col min="735" max="735" width="9.7109375" style="478" customWidth="1"/>
    <col min="736" max="736" width="2.28515625" style="478"/>
    <col min="737" max="737" width="11" style="478" customWidth="1"/>
    <col min="738" max="738" width="2.28515625" style="478"/>
    <col min="739" max="739" width="9.7109375" style="478" customWidth="1"/>
    <col min="740" max="740" width="4.28515625" style="478" customWidth="1"/>
    <col min="741" max="741" width="12.28515625" style="478" customWidth="1"/>
    <col min="742" max="742" width="2.28515625" style="478"/>
    <col min="743" max="743" width="9.7109375" style="478" customWidth="1"/>
    <col min="744" max="744" width="2.28515625" style="478"/>
    <col min="745" max="745" width="9.7109375" style="478" customWidth="1"/>
    <col min="746" max="746" width="2.28515625" style="478"/>
    <col min="747" max="747" width="9.7109375" style="478" customWidth="1"/>
    <col min="748" max="748" width="2.28515625" style="478"/>
    <col min="749" max="749" width="9.7109375" style="478" customWidth="1"/>
    <col min="750" max="750" width="13.28515625" style="478" bestFit="1" customWidth="1"/>
    <col min="751" max="751" width="14" style="478" customWidth="1"/>
    <col min="752" max="753" width="13.5703125" style="478" customWidth="1"/>
    <col min="754" max="754" width="2.85546875" style="478" customWidth="1"/>
    <col min="755" max="755" width="19.28515625" style="478" bestFit="1" customWidth="1"/>
    <col min="756" max="756" width="8.85546875" style="478" bestFit="1" customWidth="1"/>
    <col min="757" max="757" width="13.5703125" style="478" customWidth="1"/>
    <col min="758" max="758" width="31.140625" style="478" customWidth="1"/>
    <col min="759" max="759" width="14.140625" style="478" customWidth="1"/>
    <col min="760" max="760" width="2.28515625" style="478"/>
    <col min="761" max="761" width="9.7109375" style="478" customWidth="1"/>
    <col min="762" max="762" width="2.28515625" style="478"/>
    <col min="763" max="763" width="9.7109375" style="478" customWidth="1"/>
    <col min="764" max="764" width="2.28515625" style="478"/>
    <col min="765" max="765" width="9.7109375" style="478" customWidth="1"/>
    <col min="766" max="766" width="2.28515625" style="478"/>
    <col min="767" max="767" width="11" style="478" customWidth="1"/>
    <col min="768" max="768" width="2.28515625" style="478"/>
    <col min="769" max="769" width="35" style="478" customWidth="1"/>
    <col min="770" max="770" width="2.140625" style="478" customWidth="1"/>
    <col min="771" max="771" width="20" style="478" customWidth="1"/>
    <col min="772" max="772" width="2.140625" style="478" customWidth="1"/>
    <col min="773" max="773" width="20" style="478" customWidth="1"/>
    <col min="774" max="774" width="2.140625" style="478" customWidth="1"/>
    <col min="775" max="775" width="20" style="478" customWidth="1"/>
    <col min="776" max="776" width="2.28515625" style="478"/>
    <col min="777" max="777" width="9.7109375" style="478" customWidth="1"/>
    <col min="778" max="778" width="2.28515625" style="478"/>
    <col min="779" max="779" width="9.7109375" style="478" customWidth="1"/>
    <col min="780" max="983" width="13.5703125" style="478" customWidth="1"/>
    <col min="984" max="984" width="31.140625" style="478" customWidth="1"/>
    <col min="985" max="985" width="14.140625" style="478" customWidth="1"/>
    <col min="986" max="986" width="2.28515625" style="478"/>
    <col min="987" max="987" width="9.7109375" style="478" customWidth="1"/>
    <col min="988" max="988" width="2.28515625" style="478"/>
    <col min="989" max="989" width="9.7109375" style="478" customWidth="1"/>
    <col min="990" max="990" width="2.28515625" style="478"/>
    <col min="991" max="991" width="9.7109375" style="478" customWidth="1"/>
    <col min="992" max="992" width="2.28515625" style="478"/>
    <col min="993" max="993" width="11" style="478" customWidth="1"/>
    <col min="994" max="994" width="2.28515625" style="478"/>
    <col min="995" max="995" width="9.7109375" style="478" customWidth="1"/>
    <col min="996" max="996" width="4.28515625" style="478" customWidth="1"/>
    <col min="997" max="997" width="12.28515625" style="478" customWidth="1"/>
    <col min="998" max="998" width="2.28515625" style="478"/>
    <col min="999" max="999" width="9.7109375" style="478" customWidth="1"/>
    <col min="1000" max="1000" width="2.28515625" style="478"/>
    <col min="1001" max="1001" width="9.7109375" style="478" customWidth="1"/>
    <col min="1002" max="1002" width="2.28515625" style="478"/>
    <col min="1003" max="1003" width="9.7109375" style="478" customWidth="1"/>
    <col min="1004" max="1004" width="2.28515625" style="478"/>
    <col min="1005" max="1005" width="9.7109375" style="478" customWidth="1"/>
    <col min="1006" max="1006" width="13.28515625" style="478" bestFit="1" customWidth="1"/>
    <col min="1007" max="1007" width="14" style="478" customWidth="1"/>
    <col min="1008" max="1009" width="13.5703125" style="478" customWidth="1"/>
    <col min="1010" max="1010" width="2.85546875" style="478" customWidth="1"/>
    <col min="1011" max="1011" width="19.28515625" style="478" bestFit="1" customWidth="1"/>
    <col min="1012" max="1012" width="8.85546875" style="478" bestFit="1" customWidth="1"/>
    <col min="1013" max="1013" width="13.5703125" style="478" customWidth="1"/>
    <col min="1014" max="1014" width="31.140625" style="478" customWidth="1"/>
    <col min="1015" max="1015" width="14.140625" style="478" customWidth="1"/>
    <col min="1016" max="1016" width="2.28515625" style="478"/>
    <col min="1017" max="1017" width="9.7109375" style="478" customWidth="1"/>
    <col min="1018" max="1018" width="2.28515625" style="478"/>
    <col min="1019" max="1019" width="9.7109375" style="478" customWidth="1"/>
    <col min="1020" max="1020" width="2.28515625" style="478"/>
    <col min="1021" max="1021" width="9.7109375" style="478" customWidth="1"/>
    <col min="1022" max="1022" width="2.28515625" style="478"/>
    <col min="1023" max="1023" width="11" style="478" customWidth="1"/>
    <col min="1024" max="1024" width="2.28515625" style="478"/>
    <col min="1025" max="1025" width="35" style="478" customWidth="1"/>
    <col min="1026" max="1026" width="2.140625" style="478" customWidth="1"/>
    <col min="1027" max="1027" width="20" style="478" customWidth="1"/>
    <col min="1028" max="1028" width="2.140625" style="478" customWidth="1"/>
    <col min="1029" max="1029" width="20" style="478" customWidth="1"/>
    <col min="1030" max="1030" width="2.140625" style="478" customWidth="1"/>
    <col min="1031" max="1031" width="20" style="478" customWidth="1"/>
    <col min="1032" max="1032" width="2.28515625" style="478"/>
    <col min="1033" max="1033" width="9.7109375" style="478" customWidth="1"/>
    <col min="1034" max="1034" width="2.28515625" style="478"/>
    <col min="1035" max="1035" width="9.7109375" style="478" customWidth="1"/>
    <col min="1036" max="1239" width="13.5703125" style="478" customWidth="1"/>
    <col min="1240" max="1240" width="31.140625" style="478" customWidth="1"/>
    <col min="1241" max="1241" width="14.140625" style="478" customWidth="1"/>
    <col min="1242" max="1242" width="2.28515625" style="478"/>
    <col min="1243" max="1243" width="9.7109375" style="478" customWidth="1"/>
    <col min="1244" max="1244" width="2.28515625" style="478"/>
    <col min="1245" max="1245" width="9.7109375" style="478" customWidth="1"/>
    <col min="1246" max="1246" width="2.28515625" style="478"/>
    <col min="1247" max="1247" width="9.7109375" style="478" customWidth="1"/>
    <col min="1248" max="1248" width="2.28515625" style="478"/>
    <col min="1249" max="1249" width="11" style="478" customWidth="1"/>
    <col min="1250" max="1250" width="2.28515625" style="478"/>
    <col min="1251" max="1251" width="9.7109375" style="478" customWidth="1"/>
    <col min="1252" max="1252" width="4.28515625" style="478" customWidth="1"/>
    <col min="1253" max="1253" width="12.28515625" style="478" customWidth="1"/>
    <col min="1254" max="1254" width="2.28515625" style="478"/>
    <col min="1255" max="1255" width="9.7109375" style="478" customWidth="1"/>
    <col min="1256" max="1256" width="2.28515625" style="478"/>
    <col min="1257" max="1257" width="9.7109375" style="478" customWidth="1"/>
    <col min="1258" max="1258" width="2.28515625" style="478"/>
    <col min="1259" max="1259" width="9.7109375" style="478" customWidth="1"/>
    <col min="1260" max="1260" width="2.28515625" style="478"/>
    <col min="1261" max="1261" width="9.7109375" style="478" customWidth="1"/>
    <col min="1262" max="1262" width="13.28515625" style="478" bestFit="1" customWidth="1"/>
    <col min="1263" max="1263" width="14" style="478" customWidth="1"/>
    <col min="1264" max="1265" width="13.5703125" style="478" customWidth="1"/>
    <col min="1266" max="1266" width="2.85546875" style="478" customWidth="1"/>
    <col min="1267" max="1267" width="19.28515625" style="478" bestFit="1" customWidth="1"/>
    <col min="1268" max="1268" width="8.85546875" style="478" bestFit="1" customWidth="1"/>
    <col min="1269" max="1269" width="13.5703125" style="478" customWidth="1"/>
    <col min="1270" max="1270" width="31.140625" style="478" customWidth="1"/>
    <col min="1271" max="1271" width="14.140625" style="478" customWidth="1"/>
    <col min="1272" max="1272" width="2.28515625" style="478"/>
    <col min="1273" max="1273" width="9.7109375" style="478" customWidth="1"/>
    <col min="1274" max="1274" width="2.28515625" style="478"/>
    <col min="1275" max="1275" width="9.7109375" style="478" customWidth="1"/>
    <col min="1276" max="1276" width="2.28515625" style="478"/>
    <col min="1277" max="1277" width="9.7109375" style="478" customWidth="1"/>
    <col min="1278" max="1278" width="2.28515625" style="478"/>
    <col min="1279" max="1279" width="11" style="478" customWidth="1"/>
    <col min="1280" max="1280" width="2.28515625" style="478"/>
    <col min="1281" max="1281" width="35" style="478" customWidth="1"/>
    <col min="1282" max="1282" width="2.140625" style="478" customWidth="1"/>
    <col min="1283" max="1283" width="20" style="478" customWidth="1"/>
    <col min="1284" max="1284" width="2.140625" style="478" customWidth="1"/>
    <col min="1285" max="1285" width="20" style="478" customWidth="1"/>
    <col min="1286" max="1286" width="2.140625" style="478" customWidth="1"/>
    <col min="1287" max="1287" width="20" style="478" customWidth="1"/>
    <col min="1288" max="1288" width="2.28515625" style="478"/>
    <col min="1289" max="1289" width="9.7109375" style="478" customWidth="1"/>
    <col min="1290" max="1290" width="2.28515625" style="478"/>
    <col min="1291" max="1291" width="9.7109375" style="478" customWidth="1"/>
    <col min="1292" max="1495" width="13.5703125" style="478" customWidth="1"/>
    <col min="1496" max="1496" width="31.140625" style="478" customWidth="1"/>
    <col min="1497" max="1497" width="14.140625" style="478" customWidth="1"/>
    <col min="1498" max="1498" width="2.28515625" style="478"/>
    <col min="1499" max="1499" width="9.7109375" style="478" customWidth="1"/>
    <col min="1500" max="1500" width="2.28515625" style="478"/>
    <col min="1501" max="1501" width="9.7109375" style="478" customWidth="1"/>
    <col min="1502" max="1502" width="2.28515625" style="478"/>
    <col min="1503" max="1503" width="9.7109375" style="478" customWidth="1"/>
    <col min="1504" max="1504" width="2.28515625" style="478"/>
    <col min="1505" max="1505" width="11" style="478" customWidth="1"/>
    <col min="1506" max="1506" width="2.28515625" style="478"/>
    <col min="1507" max="1507" width="9.7109375" style="478" customWidth="1"/>
    <col min="1508" max="1508" width="4.28515625" style="478" customWidth="1"/>
    <col min="1509" max="1509" width="12.28515625" style="478" customWidth="1"/>
    <col min="1510" max="1510" width="2.28515625" style="478"/>
    <col min="1511" max="1511" width="9.7109375" style="478" customWidth="1"/>
    <col min="1512" max="1512" width="2.28515625" style="478"/>
    <col min="1513" max="1513" width="9.7109375" style="478" customWidth="1"/>
    <col min="1514" max="1514" width="2.28515625" style="478"/>
    <col min="1515" max="1515" width="9.7109375" style="478" customWidth="1"/>
    <col min="1516" max="1516" width="2.28515625" style="478"/>
    <col min="1517" max="1517" width="9.7109375" style="478" customWidth="1"/>
    <col min="1518" max="1518" width="13.28515625" style="478" bestFit="1" customWidth="1"/>
    <col min="1519" max="1519" width="14" style="478" customWidth="1"/>
    <col min="1520" max="1521" width="13.5703125" style="478" customWidth="1"/>
    <col min="1522" max="1522" width="2.85546875" style="478" customWidth="1"/>
    <col min="1523" max="1523" width="19.28515625" style="478" bestFit="1" customWidth="1"/>
    <col min="1524" max="1524" width="8.85546875" style="478" bestFit="1" customWidth="1"/>
    <col min="1525" max="1525" width="13.5703125" style="478" customWidth="1"/>
    <col min="1526" max="1526" width="31.140625" style="478" customWidth="1"/>
    <col min="1527" max="1527" width="14.140625" style="478" customWidth="1"/>
    <col min="1528" max="1528" width="2.28515625" style="478"/>
    <col min="1529" max="1529" width="9.7109375" style="478" customWidth="1"/>
    <col min="1530" max="1530" width="2.28515625" style="478"/>
    <col min="1531" max="1531" width="9.7109375" style="478" customWidth="1"/>
    <col min="1532" max="1532" width="2.28515625" style="478"/>
    <col min="1533" max="1533" width="9.7109375" style="478" customWidth="1"/>
    <col min="1534" max="1534" width="2.28515625" style="478"/>
    <col min="1535" max="1535" width="11" style="478" customWidth="1"/>
    <col min="1536" max="1536" width="2.28515625" style="478"/>
    <col min="1537" max="1537" width="35" style="478" customWidth="1"/>
    <col min="1538" max="1538" width="2.140625" style="478" customWidth="1"/>
    <col min="1539" max="1539" width="20" style="478" customWidth="1"/>
    <col min="1540" max="1540" width="2.140625" style="478" customWidth="1"/>
    <col min="1541" max="1541" width="20" style="478" customWidth="1"/>
    <col min="1542" max="1542" width="2.140625" style="478" customWidth="1"/>
    <col min="1543" max="1543" width="20" style="478" customWidth="1"/>
    <col min="1544" max="1544" width="2.28515625" style="478"/>
    <col min="1545" max="1545" width="9.7109375" style="478" customWidth="1"/>
    <col min="1546" max="1546" width="2.28515625" style="478"/>
    <col min="1547" max="1547" width="9.7109375" style="478" customWidth="1"/>
    <col min="1548" max="1751" width="13.5703125" style="478" customWidth="1"/>
    <col min="1752" max="1752" width="31.140625" style="478" customWidth="1"/>
    <col min="1753" max="1753" width="14.140625" style="478" customWidth="1"/>
    <col min="1754" max="1754" width="2.28515625" style="478"/>
    <col min="1755" max="1755" width="9.7109375" style="478" customWidth="1"/>
    <col min="1756" max="1756" width="2.28515625" style="478"/>
    <col min="1757" max="1757" width="9.7109375" style="478" customWidth="1"/>
    <col min="1758" max="1758" width="2.28515625" style="478"/>
    <col min="1759" max="1759" width="9.7109375" style="478" customWidth="1"/>
    <col min="1760" max="1760" width="2.28515625" style="478"/>
    <col min="1761" max="1761" width="11" style="478" customWidth="1"/>
    <col min="1762" max="1762" width="2.28515625" style="478"/>
    <col min="1763" max="1763" width="9.7109375" style="478" customWidth="1"/>
    <col min="1764" max="1764" width="4.28515625" style="478" customWidth="1"/>
    <col min="1765" max="1765" width="12.28515625" style="478" customWidth="1"/>
    <col min="1766" max="1766" width="2.28515625" style="478"/>
    <col min="1767" max="1767" width="9.7109375" style="478" customWidth="1"/>
    <col min="1768" max="1768" width="2.28515625" style="478"/>
    <col min="1769" max="1769" width="9.7109375" style="478" customWidth="1"/>
    <col min="1770" max="1770" width="2.28515625" style="478"/>
    <col min="1771" max="1771" width="9.7109375" style="478" customWidth="1"/>
    <col min="1772" max="1772" width="2.28515625" style="478"/>
    <col min="1773" max="1773" width="9.7109375" style="478" customWidth="1"/>
    <col min="1774" max="1774" width="13.28515625" style="478" bestFit="1" customWidth="1"/>
    <col min="1775" max="1775" width="14" style="478" customWidth="1"/>
    <col min="1776" max="1777" width="13.5703125" style="478" customWidth="1"/>
    <col min="1778" max="1778" width="2.85546875" style="478" customWidth="1"/>
    <col min="1779" max="1779" width="19.28515625" style="478" bestFit="1" customWidth="1"/>
    <col min="1780" max="1780" width="8.85546875" style="478" bestFit="1" customWidth="1"/>
    <col min="1781" max="1781" width="13.5703125" style="478" customWidth="1"/>
    <col min="1782" max="1782" width="31.140625" style="478" customWidth="1"/>
    <col min="1783" max="1783" width="14.140625" style="478" customWidth="1"/>
    <col min="1784" max="1784" width="2.28515625" style="478"/>
    <col min="1785" max="1785" width="9.7109375" style="478" customWidth="1"/>
    <col min="1786" max="1786" width="2.28515625" style="478"/>
    <col min="1787" max="1787" width="9.7109375" style="478" customWidth="1"/>
    <col min="1788" max="1788" width="2.28515625" style="478"/>
    <col min="1789" max="1789" width="9.7109375" style="478" customWidth="1"/>
    <col min="1790" max="1790" width="2.28515625" style="478"/>
    <col min="1791" max="1791" width="11" style="478" customWidth="1"/>
    <col min="1792" max="1792" width="2.28515625" style="478"/>
    <col min="1793" max="1793" width="35" style="478" customWidth="1"/>
    <col min="1794" max="1794" width="2.140625" style="478" customWidth="1"/>
    <col min="1795" max="1795" width="20" style="478" customWidth="1"/>
    <col min="1796" max="1796" width="2.140625" style="478" customWidth="1"/>
    <col min="1797" max="1797" width="20" style="478" customWidth="1"/>
    <col min="1798" max="1798" width="2.140625" style="478" customWidth="1"/>
    <col min="1799" max="1799" width="20" style="478" customWidth="1"/>
    <col min="1800" max="1800" width="2.28515625" style="478"/>
    <col min="1801" max="1801" width="9.7109375" style="478" customWidth="1"/>
    <col min="1802" max="1802" width="2.28515625" style="478"/>
    <col min="1803" max="1803" width="9.7109375" style="478" customWidth="1"/>
    <col min="1804" max="2007" width="13.5703125" style="478" customWidth="1"/>
    <col min="2008" max="2008" width="31.140625" style="478" customWidth="1"/>
    <col min="2009" max="2009" width="14.140625" style="478" customWidth="1"/>
    <col min="2010" max="2010" width="2.28515625" style="478"/>
    <col min="2011" max="2011" width="9.7109375" style="478" customWidth="1"/>
    <col min="2012" max="2012" width="2.28515625" style="478"/>
    <col min="2013" max="2013" width="9.7109375" style="478" customWidth="1"/>
    <col min="2014" max="2014" width="2.28515625" style="478"/>
    <col min="2015" max="2015" width="9.7109375" style="478" customWidth="1"/>
    <col min="2016" max="2016" width="2.28515625" style="478"/>
    <col min="2017" max="2017" width="11" style="478" customWidth="1"/>
    <col min="2018" max="2018" width="2.28515625" style="478"/>
    <col min="2019" max="2019" width="9.7109375" style="478" customWidth="1"/>
    <col min="2020" max="2020" width="4.28515625" style="478" customWidth="1"/>
    <col min="2021" max="2021" width="12.28515625" style="478" customWidth="1"/>
    <col min="2022" max="2022" width="2.28515625" style="478"/>
    <col min="2023" max="2023" width="9.7109375" style="478" customWidth="1"/>
    <col min="2024" max="2024" width="2.28515625" style="478"/>
    <col min="2025" max="2025" width="9.7109375" style="478" customWidth="1"/>
    <col min="2026" max="2026" width="2.28515625" style="478"/>
    <col min="2027" max="2027" width="9.7109375" style="478" customWidth="1"/>
    <col min="2028" max="2028" width="2.28515625" style="478"/>
    <col min="2029" max="2029" width="9.7109375" style="478" customWidth="1"/>
    <col min="2030" max="2030" width="13.28515625" style="478" bestFit="1" customWidth="1"/>
    <col min="2031" max="2031" width="14" style="478" customWidth="1"/>
    <col min="2032" max="2033" width="13.5703125" style="478" customWidth="1"/>
    <col min="2034" max="2034" width="2.85546875" style="478" customWidth="1"/>
    <col min="2035" max="2035" width="19.28515625" style="478" bestFit="1" customWidth="1"/>
    <col min="2036" max="2036" width="8.85546875" style="478" bestFit="1" customWidth="1"/>
    <col min="2037" max="2037" width="13.5703125" style="478" customWidth="1"/>
    <col min="2038" max="2038" width="31.140625" style="478" customWidth="1"/>
    <col min="2039" max="2039" width="14.140625" style="478" customWidth="1"/>
    <col min="2040" max="2040" width="2.28515625" style="478"/>
    <col min="2041" max="2041" width="9.7109375" style="478" customWidth="1"/>
    <col min="2042" max="2042" width="2.28515625" style="478"/>
    <col min="2043" max="2043" width="9.7109375" style="478" customWidth="1"/>
    <col min="2044" max="2044" width="2.28515625" style="478"/>
    <col min="2045" max="2045" width="9.7109375" style="478" customWidth="1"/>
    <col min="2046" max="2046" width="2.28515625" style="478"/>
    <col min="2047" max="2047" width="11" style="478" customWidth="1"/>
    <col min="2048" max="2048" width="2.28515625" style="478"/>
    <col min="2049" max="2049" width="35" style="478" customWidth="1"/>
    <col min="2050" max="2050" width="2.140625" style="478" customWidth="1"/>
    <col min="2051" max="2051" width="20" style="478" customWidth="1"/>
    <col min="2052" max="2052" width="2.140625" style="478" customWidth="1"/>
    <col min="2053" max="2053" width="20" style="478" customWidth="1"/>
    <col min="2054" max="2054" width="2.140625" style="478" customWidth="1"/>
    <col min="2055" max="2055" width="20" style="478" customWidth="1"/>
    <col min="2056" max="2056" width="2.28515625" style="478"/>
    <col min="2057" max="2057" width="9.7109375" style="478" customWidth="1"/>
    <col min="2058" max="2058" width="2.28515625" style="478"/>
    <col min="2059" max="2059" width="9.7109375" style="478" customWidth="1"/>
    <col min="2060" max="2263" width="13.5703125" style="478" customWidth="1"/>
    <col min="2264" max="2264" width="31.140625" style="478" customWidth="1"/>
    <col min="2265" max="2265" width="14.140625" style="478" customWidth="1"/>
    <col min="2266" max="2266" width="2.28515625" style="478"/>
    <col min="2267" max="2267" width="9.7109375" style="478" customWidth="1"/>
    <col min="2268" max="2268" width="2.28515625" style="478"/>
    <col min="2269" max="2269" width="9.7109375" style="478" customWidth="1"/>
    <col min="2270" max="2270" width="2.28515625" style="478"/>
    <col min="2271" max="2271" width="9.7109375" style="478" customWidth="1"/>
    <col min="2272" max="2272" width="2.28515625" style="478"/>
    <col min="2273" max="2273" width="11" style="478" customWidth="1"/>
    <col min="2274" max="2274" width="2.28515625" style="478"/>
    <col min="2275" max="2275" width="9.7109375" style="478" customWidth="1"/>
    <col min="2276" max="2276" width="4.28515625" style="478" customWidth="1"/>
    <col min="2277" max="2277" width="12.28515625" style="478" customWidth="1"/>
    <col min="2278" max="2278" width="2.28515625" style="478"/>
    <col min="2279" max="2279" width="9.7109375" style="478" customWidth="1"/>
    <col min="2280" max="2280" width="2.28515625" style="478"/>
    <col min="2281" max="2281" width="9.7109375" style="478" customWidth="1"/>
    <col min="2282" max="2282" width="2.28515625" style="478"/>
    <col min="2283" max="2283" width="9.7109375" style="478" customWidth="1"/>
    <col min="2284" max="2284" width="2.28515625" style="478"/>
    <col min="2285" max="2285" width="9.7109375" style="478" customWidth="1"/>
    <col min="2286" max="2286" width="13.28515625" style="478" bestFit="1" customWidth="1"/>
    <col min="2287" max="2287" width="14" style="478" customWidth="1"/>
    <col min="2288" max="2289" width="13.5703125" style="478" customWidth="1"/>
    <col min="2290" max="2290" width="2.85546875" style="478" customWidth="1"/>
    <col min="2291" max="2291" width="19.28515625" style="478" bestFit="1" customWidth="1"/>
    <col min="2292" max="2292" width="8.85546875" style="478" bestFit="1" customWidth="1"/>
    <col min="2293" max="2293" width="13.5703125" style="478" customWidth="1"/>
    <col min="2294" max="2294" width="31.140625" style="478" customWidth="1"/>
    <col min="2295" max="2295" width="14.140625" style="478" customWidth="1"/>
    <col min="2296" max="2296" width="2.28515625" style="478"/>
    <col min="2297" max="2297" width="9.7109375" style="478" customWidth="1"/>
    <col min="2298" max="2298" width="2.28515625" style="478"/>
    <col min="2299" max="2299" width="9.7109375" style="478" customWidth="1"/>
    <col min="2300" max="2300" width="2.28515625" style="478"/>
    <col min="2301" max="2301" width="9.7109375" style="478" customWidth="1"/>
    <col min="2302" max="2302" width="2.28515625" style="478"/>
    <col min="2303" max="2303" width="11" style="478" customWidth="1"/>
    <col min="2304" max="2304" width="2.28515625" style="478"/>
    <col min="2305" max="2305" width="35" style="478" customWidth="1"/>
    <col min="2306" max="2306" width="2.140625" style="478" customWidth="1"/>
    <col min="2307" max="2307" width="20" style="478" customWidth="1"/>
    <col min="2308" max="2308" width="2.140625" style="478" customWidth="1"/>
    <col min="2309" max="2309" width="20" style="478" customWidth="1"/>
    <col min="2310" max="2310" width="2.140625" style="478" customWidth="1"/>
    <col min="2311" max="2311" width="20" style="478" customWidth="1"/>
    <col min="2312" max="2312" width="2.28515625" style="478"/>
    <col min="2313" max="2313" width="9.7109375" style="478" customWidth="1"/>
    <col min="2314" max="2314" width="2.28515625" style="478"/>
    <col min="2315" max="2315" width="9.7109375" style="478" customWidth="1"/>
    <col min="2316" max="2519" width="13.5703125" style="478" customWidth="1"/>
    <col min="2520" max="2520" width="31.140625" style="478" customWidth="1"/>
    <col min="2521" max="2521" width="14.140625" style="478" customWidth="1"/>
    <col min="2522" max="2522" width="2.28515625" style="478"/>
    <col min="2523" max="2523" width="9.7109375" style="478" customWidth="1"/>
    <col min="2524" max="2524" width="2.28515625" style="478"/>
    <col min="2525" max="2525" width="9.7109375" style="478" customWidth="1"/>
    <col min="2526" max="2526" width="2.28515625" style="478"/>
    <col min="2527" max="2527" width="9.7109375" style="478" customWidth="1"/>
    <col min="2528" max="2528" width="2.28515625" style="478"/>
    <col min="2529" max="2529" width="11" style="478" customWidth="1"/>
    <col min="2530" max="2530" width="2.28515625" style="478"/>
    <col min="2531" max="2531" width="9.7109375" style="478" customWidth="1"/>
    <col min="2532" max="2532" width="4.28515625" style="478" customWidth="1"/>
    <col min="2533" max="2533" width="12.28515625" style="478" customWidth="1"/>
    <col min="2534" max="2534" width="2.28515625" style="478"/>
    <col min="2535" max="2535" width="9.7109375" style="478" customWidth="1"/>
    <col min="2536" max="2536" width="2.28515625" style="478"/>
    <col min="2537" max="2537" width="9.7109375" style="478" customWidth="1"/>
    <col min="2538" max="2538" width="2.28515625" style="478"/>
    <col min="2539" max="2539" width="9.7109375" style="478" customWidth="1"/>
    <col min="2540" max="2540" width="2.28515625" style="478"/>
    <col min="2541" max="2541" width="9.7109375" style="478" customWidth="1"/>
    <col min="2542" max="2542" width="13.28515625" style="478" bestFit="1" customWidth="1"/>
    <col min="2543" max="2543" width="14" style="478" customWidth="1"/>
    <col min="2544" max="2545" width="13.5703125" style="478" customWidth="1"/>
    <col min="2546" max="2546" width="2.85546875" style="478" customWidth="1"/>
    <col min="2547" max="2547" width="19.28515625" style="478" bestFit="1" customWidth="1"/>
    <col min="2548" max="2548" width="8.85546875" style="478" bestFit="1" customWidth="1"/>
    <col min="2549" max="2549" width="13.5703125" style="478" customWidth="1"/>
    <col min="2550" max="2550" width="31.140625" style="478" customWidth="1"/>
    <col min="2551" max="2551" width="14.140625" style="478" customWidth="1"/>
    <col min="2552" max="2552" width="2.28515625" style="478"/>
    <col min="2553" max="2553" width="9.7109375" style="478" customWidth="1"/>
    <col min="2554" max="2554" width="2.28515625" style="478"/>
    <col min="2555" max="2555" width="9.7109375" style="478" customWidth="1"/>
    <col min="2556" max="2556" width="2.28515625" style="478"/>
    <col min="2557" max="2557" width="9.7109375" style="478" customWidth="1"/>
    <col min="2558" max="2558" width="2.28515625" style="478"/>
    <col min="2559" max="2559" width="11" style="478" customWidth="1"/>
    <col min="2560" max="2560" width="2.28515625" style="478"/>
    <col min="2561" max="2561" width="35" style="478" customWidth="1"/>
    <col min="2562" max="2562" width="2.140625" style="478" customWidth="1"/>
    <col min="2563" max="2563" width="20" style="478" customWidth="1"/>
    <col min="2564" max="2564" width="2.140625" style="478" customWidth="1"/>
    <col min="2565" max="2565" width="20" style="478" customWidth="1"/>
    <col min="2566" max="2566" width="2.140625" style="478" customWidth="1"/>
    <col min="2567" max="2567" width="20" style="478" customWidth="1"/>
    <col min="2568" max="2568" width="2.28515625" style="478"/>
    <col min="2569" max="2569" width="9.7109375" style="478" customWidth="1"/>
    <col min="2570" max="2570" width="2.28515625" style="478"/>
    <col min="2571" max="2571" width="9.7109375" style="478" customWidth="1"/>
    <col min="2572" max="2775" width="13.5703125" style="478" customWidth="1"/>
    <col min="2776" max="2776" width="31.140625" style="478" customWidth="1"/>
    <col min="2777" max="2777" width="14.140625" style="478" customWidth="1"/>
    <col min="2778" max="2778" width="2.28515625" style="478"/>
    <col min="2779" max="2779" width="9.7109375" style="478" customWidth="1"/>
    <col min="2780" max="2780" width="2.28515625" style="478"/>
    <col min="2781" max="2781" width="9.7109375" style="478" customWidth="1"/>
    <col min="2782" max="2782" width="2.28515625" style="478"/>
    <col min="2783" max="2783" width="9.7109375" style="478" customWidth="1"/>
    <col min="2784" max="2784" width="2.28515625" style="478"/>
    <col min="2785" max="2785" width="11" style="478" customWidth="1"/>
    <col min="2786" max="2786" width="2.28515625" style="478"/>
    <col min="2787" max="2787" width="9.7109375" style="478" customWidth="1"/>
    <col min="2788" max="2788" width="4.28515625" style="478" customWidth="1"/>
    <col min="2789" max="2789" width="12.28515625" style="478" customWidth="1"/>
    <col min="2790" max="2790" width="2.28515625" style="478"/>
    <col min="2791" max="2791" width="9.7109375" style="478" customWidth="1"/>
    <col min="2792" max="2792" width="2.28515625" style="478"/>
    <col min="2793" max="2793" width="9.7109375" style="478" customWidth="1"/>
    <col min="2794" max="2794" width="2.28515625" style="478"/>
    <col min="2795" max="2795" width="9.7109375" style="478" customWidth="1"/>
    <col min="2796" max="2796" width="2.28515625" style="478"/>
    <col min="2797" max="2797" width="9.7109375" style="478" customWidth="1"/>
    <col min="2798" max="2798" width="13.28515625" style="478" bestFit="1" customWidth="1"/>
    <col min="2799" max="2799" width="14" style="478" customWidth="1"/>
    <col min="2800" max="2801" width="13.5703125" style="478" customWidth="1"/>
    <col min="2802" max="2802" width="2.85546875" style="478" customWidth="1"/>
    <col min="2803" max="2803" width="19.28515625" style="478" bestFit="1" customWidth="1"/>
    <col min="2804" max="2804" width="8.85546875" style="478" bestFit="1" customWidth="1"/>
    <col min="2805" max="2805" width="13.5703125" style="478" customWidth="1"/>
    <col min="2806" max="2806" width="31.140625" style="478" customWidth="1"/>
    <col min="2807" max="2807" width="14.140625" style="478" customWidth="1"/>
    <col min="2808" max="2808" width="2.28515625" style="478"/>
    <col min="2809" max="2809" width="9.7109375" style="478" customWidth="1"/>
    <col min="2810" max="2810" width="2.28515625" style="478"/>
    <col min="2811" max="2811" width="9.7109375" style="478" customWidth="1"/>
    <col min="2812" max="2812" width="2.28515625" style="478"/>
    <col min="2813" max="2813" width="9.7109375" style="478" customWidth="1"/>
    <col min="2814" max="2814" width="2.28515625" style="478"/>
    <col min="2815" max="2815" width="11" style="478" customWidth="1"/>
    <col min="2816" max="2816" width="2.28515625" style="478"/>
    <col min="2817" max="2817" width="35" style="478" customWidth="1"/>
    <col min="2818" max="2818" width="2.140625" style="478" customWidth="1"/>
    <col min="2819" max="2819" width="20" style="478" customWidth="1"/>
    <col min="2820" max="2820" width="2.140625" style="478" customWidth="1"/>
    <col min="2821" max="2821" width="20" style="478" customWidth="1"/>
    <col min="2822" max="2822" width="2.140625" style="478" customWidth="1"/>
    <col min="2823" max="2823" width="20" style="478" customWidth="1"/>
    <col min="2824" max="2824" width="2.28515625" style="478"/>
    <col min="2825" max="2825" width="9.7109375" style="478" customWidth="1"/>
    <col min="2826" max="2826" width="2.28515625" style="478"/>
    <col min="2827" max="2827" width="9.7109375" style="478" customWidth="1"/>
    <col min="2828" max="3031" width="13.5703125" style="478" customWidth="1"/>
    <col min="3032" max="3032" width="31.140625" style="478" customWidth="1"/>
    <col min="3033" max="3033" width="14.140625" style="478" customWidth="1"/>
    <col min="3034" max="3034" width="2.28515625" style="478"/>
    <col min="3035" max="3035" width="9.7109375" style="478" customWidth="1"/>
    <col min="3036" max="3036" width="2.28515625" style="478"/>
    <col min="3037" max="3037" width="9.7109375" style="478" customWidth="1"/>
    <col min="3038" max="3038" width="2.28515625" style="478"/>
    <col min="3039" max="3039" width="9.7109375" style="478" customWidth="1"/>
    <col min="3040" max="3040" width="2.28515625" style="478"/>
    <col min="3041" max="3041" width="11" style="478" customWidth="1"/>
    <col min="3042" max="3042" width="2.28515625" style="478"/>
    <col min="3043" max="3043" width="9.7109375" style="478" customWidth="1"/>
    <col min="3044" max="3044" width="4.28515625" style="478" customWidth="1"/>
    <col min="3045" max="3045" width="12.28515625" style="478" customWidth="1"/>
    <col min="3046" max="3046" width="2.28515625" style="478"/>
    <col min="3047" max="3047" width="9.7109375" style="478" customWidth="1"/>
    <col min="3048" max="3048" width="2.28515625" style="478"/>
    <col min="3049" max="3049" width="9.7109375" style="478" customWidth="1"/>
    <col min="3050" max="3050" width="2.28515625" style="478"/>
    <col min="3051" max="3051" width="9.7109375" style="478" customWidth="1"/>
    <col min="3052" max="3052" width="2.28515625" style="478"/>
    <col min="3053" max="3053" width="9.7109375" style="478" customWidth="1"/>
    <col min="3054" max="3054" width="13.28515625" style="478" bestFit="1" customWidth="1"/>
    <col min="3055" max="3055" width="14" style="478" customWidth="1"/>
    <col min="3056" max="3057" width="13.5703125" style="478" customWidth="1"/>
    <col min="3058" max="3058" width="2.85546875" style="478" customWidth="1"/>
    <col min="3059" max="3059" width="19.28515625" style="478" bestFit="1" customWidth="1"/>
    <col min="3060" max="3060" width="8.85546875" style="478" bestFit="1" customWidth="1"/>
    <col min="3061" max="3061" width="13.5703125" style="478" customWidth="1"/>
    <col min="3062" max="3062" width="31.140625" style="478" customWidth="1"/>
    <col min="3063" max="3063" width="14.140625" style="478" customWidth="1"/>
    <col min="3064" max="3064" width="2.28515625" style="478"/>
    <col min="3065" max="3065" width="9.7109375" style="478" customWidth="1"/>
    <col min="3066" max="3066" width="2.28515625" style="478"/>
    <col min="3067" max="3067" width="9.7109375" style="478" customWidth="1"/>
    <col min="3068" max="3068" width="2.28515625" style="478"/>
    <col min="3069" max="3069" width="9.7109375" style="478" customWidth="1"/>
    <col min="3070" max="3070" width="2.28515625" style="478"/>
    <col min="3071" max="3071" width="11" style="478" customWidth="1"/>
    <col min="3072" max="3072" width="2.28515625" style="478"/>
    <col min="3073" max="3073" width="35" style="478" customWidth="1"/>
    <col min="3074" max="3074" width="2.140625" style="478" customWidth="1"/>
    <col min="3075" max="3075" width="20" style="478" customWidth="1"/>
    <col min="3076" max="3076" width="2.140625" style="478" customWidth="1"/>
    <col min="3077" max="3077" width="20" style="478" customWidth="1"/>
    <col min="3078" max="3078" width="2.140625" style="478" customWidth="1"/>
    <col min="3079" max="3079" width="20" style="478" customWidth="1"/>
    <col min="3080" max="3080" width="2.28515625" style="478"/>
    <col min="3081" max="3081" width="9.7109375" style="478" customWidth="1"/>
    <col min="3082" max="3082" width="2.28515625" style="478"/>
    <col min="3083" max="3083" width="9.7109375" style="478" customWidth="1"/>
    <col min="3084" max="3287" width="13.5703125" style="478" customWidth="1"/>
    <col min="3288" max="3288" width="31.140625" style="478" customWidth="1"/>
    <col min="3289" max="3289" width="14.140625" style="478" customWidth="1"/>
    <col min="3290" max="3290" width="2.28515625" style="478"/>
    <col min="3291" max="3291" width="9.7109375" style="478" customWidth="1"/>
    <col min="3292" max="3292" width="2.28515625" style="478"/>
    <col min="3293" max="3293" width="9.7109375" style="478" customWidth="1"/>
    <col min="3294" max="3294" width="2.28515625" style="478"/>
    <col min="3295" max="3295" width="9.7109375" style="478" customWidth="1"/>
    <col min="3296" max="3296" width="2.28515625" style="478"/>
    <col min="3297" max="3297" width="11" style="478" customWidth="1"/>
    <col min="3298" max="3298" width="2.28515625" style="478"/>
    <col min="3299" max="3299" width="9.7109375" style="478" customWidth="1"/>
    <col min="3300" max="3300" width="4.28515625" style="478" customWidth="1"/>
    <col min="3301" max="3301" width="12.28515625" style="478" customWidth="1"/>
    <col min="3302" max="3302" width="2.28515625" style="478"/>
    <col min="3303" max="3303" width="9.7109375" style="478" customWidth="1"/>
    <col min="3304" max="3304" width="2.28515625" style="478"/>
    <col min="3305" max="3305" width="9.7109375" style="478" customWidth="1"/>
    <col min="3306" max="3306" width="2.28515625" style="478"/>
    <col min="3307" max="3307" width="9.7109375" style="478" customWidth="1"/>
    <col min="3308" max="3308" width="2.28515625" style="478"/>
    <col min="3309" max="3309" width="9.7109375" style="478" customWidth="1"/>
    <col min="3310" max="3310" width="13.28515625" style="478" bestFit="1" customWidth="1"/>
    <col min="3311" max="3311" width="14" style="478" customWidth="1"/>
    <col min="3312" max="3313" width="13.5703125" style="478" customWidth="1"/>
    <col min="3314" max="3314" width="2.85546875" style="478" customWidth="1"/>
    <col min="3315" max="3315" width="19.28515625" style="478" bestFit="1" customWidth="1"/>
    <col min="3316" max="3316" width="8.85546875" style="478" bestFit="1" customWidth="1"/>
    <col min="3317" max="3317" width="13.5703125" style="478" customWidth="1"/>
    <col min="3318" max="3318" width="31.140625" style="478" customWidth="1"/>
    <col min="3319" max="3319" width="14.140625" style="478" customWidth="1"/>
    <col min="3320" max="3320" width="2.28515625" style="478"/>
    <col min="3321" max="3321" width="9.7109375" style="478" customWidth="1"/>
    <col min="3322" max="3322" width="2.28515625" style="478"/>
    <col min="3323" max="3323" width="9.7109375" style="478" customWidth="1"/>
    <col min="3324" max="3324" width="2.28515625" style="478"/>
    <col min="3325" max="3325" width="9.7109375" style="478" customWidth="1"/>
    <col min="3326" max="3326" width="2.28515625" style="478"/>
    <col min="3327" max="3327" width="11" style="478" customWidth="1"/>
    <col min="3328" max="3328" width="2.28515625" style="478"/>
    <col min="3329" max="3329" width="35" style="478" customWidth="1"/>
    <col min="3330" max="3330" width="2.140625" style="478" customWidth="1"/>
    <col min="3331" max="3331" width="20" style="478" customWidth="1"/>
    <col min="3332" max="3332" width="2.140625" style="478" customWidth="1"/>
    <col min="3333" max="3333" width="20" style="478" customWidth="1"/>
    <col min="3334" max="3334" width="2.140625" style="478" customWidth="1"/>
    <col min="3335" max="3335" width="20" style="478" customWidth="1"/>
    <col min="3336" max="3336" width="2.28515625" style="478"/>
    <col min="3337" max="3337" width="9.7109375" style="478" customWidth="1"/>
    <col min="3338" max="3338" width="2.28515625" style="478"/>
    <col min="3339" max="3339" width="9.7109375" style="478" customWidth="1"/>
    <col min="3340" max="3543" width="13.5703125" style="478" customWidth="1"/>
    <col min="3544" max="3544" width="31.140625" style="478" customWidth="1"/>
    <col min="3545" max="3545" width="14.140625" style="478" customWidth="1"/>
    <col min="3546" max="3546" width="2.28515625" style="478"/>
    <col min="3547" max="3547" width="9.7109375" style="478" customWidth="1"/>
    <col min="3548" max="3548" width="2.28515625" style="478"/>
    <col min="3549" max="3549" width="9.7109375" style="478" customWidth="1"/>
    <col min="3550" max="3550" width="2.28515625" style="478"/>
    <col min="3551" max="3551" width="9.7109375" style="478" customWidth="1"/>
    <col min="3552" max="3552" width="2.28515625" style="478"/>
    <col min="3553" max="3553" width="11" style="478" customWidth="1"/>
    <col min="3554" max="3554" width="2.28515625" style="478"/>
    <col min="3555" max="3555" width="9.7109375" style="478" customWidth="1"/>
    <col min="3556" max="3556" width="4.28515625" style="478" customWidth="1"/>
    <col min="3557" max="3557" width="12.28515625" style="478" customWidth="1"/>
    <col min="3558" max="3558" width="2.28515625" style="478"/>
    <col min="3559" max="3559" width="9.7109375" style="478" customWidth="1"/>
    <col min="3560" max="3560" width="2.28515625" style="478"/>
    <col min="3561" max="3561" width="9.7109375" style="478" customWidth="1"/>
    <col min="3562" max="3562" width="2.28515625" style="478"/>
    <col min="3563" max="3563" width="9.7109375" style="478" customWidth="1"/>
    <col min="3564" max="3564" width="2.28515625" style="478"/>
    <col min="3565" max="3565" width="9.7109375" style="478" customWidth="1"/>
    <col min="3566" max="3566" width="13.28515625" style="478" bestFit="1" customWidth="1"/>
    <col min="3567" max="3567" width="14" style="478" customWidth="1"/>
    <col min="3568" max="3569" width="13.5703125" style="478" customWidth="1"/>
    <col min="3570" max="3570" width="2.85546875" style="478" customWidth="1"/>
    <col min="3571" max="3571" width="19.28515625" style="478" bestFit="1" customWidth="1"/>
    <col min="3572" max="3572" width="8.85546875" style="478" bestFit="1" customWidth="1"/>
    <col min="3573" max="3573" width="13.5703125" style="478" customWidth="1"/>
    <col min="3574" max="3574" width="31.140625" style="478" customWidth="1"/>
    <col min="3575" max="3575" width="14.140625" style="478" customWidth="1"/>
    <col min="3576" max="3576" width="2.28515625" style="478"/>
    <col min="3577" max="3577" width="9.7109375" style="478" customWidth="1"/>
    <col min="3578" max="3578" width="2.28515625" style="478"/>
    <col min="3579" max="3579" width="9.7109375" style="478" customWidth="1"/>
    <col min="3580" max="3580" width="2.28515625" style="478"/>
    <col min="3581" max="3581" width="9.7109375" style="478" customWidth="1"/>
    <col min="3582" max="3582" width="2.28515625" style="478"/>
    <col min="3583" max="3583" width="11" style="478" customWidth="1"/>
    <col min="3584" max="3584" width="2.28515625" style="478"/>
    <col min="3585" max="3585" width="35" style="478" customWidth="1"/>
    <col min="3586" max="3586" width="2.140625" style="478" customWidth="1"/>
    <col min="3587" max="3587" width="20" style="478" customWidth="1"/>
    <col min="3588" max="3588" width="2.140625" style="478" customWidth="1"/>
    <col min="3589" max="3589" width="20" style="478" customWidth="1"/>
    <col min="3590" max="3590" width="2.140625" style="478" customWidth="1"/>
    <col min="3591" max="3591" width="20" style="478" customWidth="1"/>
    <col min="3592" max="3592" width="2.28515625" style="478"/>
    <col min="3593" max="3593" width="9.7109375" style="478" customWidth="1"/>
    <col min="3594" max="3594" width="2.28515625" style="478"/>
    <col min="3595" max="3595" width="9.7109375" style="478" customWidth="1"/>
    <col min="3596" max="3799" width="13.5703125" style="478" customWidth="1"/>
    <col min="3800" max="3800" width="31.140625" style="478" customWidth="1"/>
    <col min="3801" max="3801" width="14.140625" style="478" customWidth="1"/>
    <col min="3802" max="3802" width="2.28515625" style="478"/>
    <col min="3803" max="3803" width="9.7109375" style="478" customWidth="1"/>
    <col min="3804" max="3804" width="2.28515625" style="478"/>
    <col min="3805" max="3805" width="9.7109375" style="478" customWidth="1"/>
    <col min="3806" max="3806" width="2.28515625" style="478"/>
    <col min="3807" max="3807" width="9.7109375" style="478" customWidth="1"/>
    <col min="3808" max="3808" width="2.28515625" style="478"/>
    <col min="3809" max="3809" width="11" style="478" customWidth="1"/>
    <col min="3810" max="3810" width="2.28515625" style="478"/>
    <col min="3811" max="3811" width="9.7109375" style="478" customWidth="1"/>
    <col min="3812" max="3812" width="4.28515625" style="478" customWidth="1"/>
    <col min="3813" max="3813" width="12.28515625" style="478" customWidth="1"/>
    <col min="3814" max="3814" width="2.28515625" style="478"/>
    <col min="3815" max="3815" width="9.7109375" style="478" customWidth="1"/>
    <col min="3816" max="3816" width="2.28515625" style="478"/>
    <col min="3817" max="3817" width="9.7109375" style="478" customWidth="1"/>
    <col min="3818" max="3818" width="2.28515625" style="478"/>
    <col min="3819" max="3819" width="9.7109375" style="478" customWidth="1"/>
    <col min="3820" max="3820" width="2.28515625" style="478"/>
    <col min="3821" max="3821" width="9.7109375" style="478" customWidth="1"/>
    <col min="3822" max="3822" width="13.28515625" style="478" bestFit="1" customWidth="1"/>
    <col min="3823" max="3823" width="14" style="478" customWidth="1"/>
    <col min="3824" max="3825" width="13.5703125" style="478" customWidth="1"/>
    <col min="3826" max="3826" width="2.85546875" style="478" customWidth="1"/>
    <col min="3827" max="3827" width="19.28515625" style="478" bestFit="1" customWidth="1"/>
    <col min="3828" max="3828" width="8.85546875" style="478" bestFit="1" customWidth="1"/>
    <col min="3829" max="3829" width="13.5703125" style="478" customWidth="1"/>
    <col min="3830" max="3830" width="31.140625" style="478" customWidth="1"/>
    <col min="3831" max="3831" width="14.140625" style="478" customWidth="1"/>
    <col min="3832" max="3832" width="2.28515625" style="478"/>
    <col min="3833" max="3833" width="9.7109375" style="478" customWidth="1"/>
    <col min="3834" max="3834" width="2.28515625" style="478"/>
    <col min="3835" max="3835" width="9.7109375" style="478" customWidth="1"/>
    <col min="3836" max="3836" width="2.28515625" style="478"/>
    <col min="3837" max="3837" width="9.7109375" style="478" customWidth="1"/>
    <col min="3838" max="3838" width="2.28515625" style="478"/>
    <col min="3839" max="3839" width="11" style="478" customWidth="1"/>
    <col min="3840" max="3840" width="2.28515625" style="478"/>
    <col min="3841" max="3841" width="35" style="478" customWidth="1"/>
    <col min="3842" max="3842" width="2.140625" style="478" customWidth="1"/>
    <col min="3843" max="3843" width="20" style="478" customWidth="1"/>
    <col min="3844" max="3844" width="2.140625" style="478" customWidth="1"/>
    <col min="3845" max="3845" width="20" style="478" customWidth="1"/>
    <col min="3846" max="3846" width="2.140625" style="478" customWidth="1"/>
    <col min="3847" max="3847" width="20" style="478" customWidth="1"/>
    <col min="3848" max="3848" width="2.28515625" style="478"/>
    <col min="3849" max="3849" width="9.7109375" style="478" customWidth="1"/>
    <col min="3850" max="3850" width="2.28515625" style="478"/>
    <col min="3851" max="3851" width="9.7109375" style="478" customWidth="1"/>
    <col min="3852" max="4055" width="13.5703125" style="478" customWidth="1"/>
    <col min="4056" max="4056" width="31.140625" style="478" customWidth="1"/>
    <col min="4057" max="4057" width="14.140625" style="478" customWidth="1"/>
    <col min="4058" max="4058" width="2.28515625" style="478"/>
    <col min="4059" max="4059" width="9.7109375" style="478" customWidth="1"/>
    <col min="4060" max="4060" width="2.28515625" style="478"/>
    <col min="4061" max="4061" width="9.7109375" style="478" customWidth="1"/>
    <col min="4062" max="4062" width="2.28515625" style="478"/>
    <col min="4063" max="4063" width="9.7109375" style="478" customWidth="1"/>
    <col min="4064" max="4064" width="2.28515625" style="478"/>
    <col min="4065" max="4065" width="11" style="478" customWidth="1"/>
    <col min="4066" max="4066" width="2.28515625" style="478"/>
    <col min="4067" max="4067" width="9.7109375" style="478" customWidth="1"/>
    <col min="4068" max="4068" width="4.28515625" style="478" customWidth="1"/>
    <col min="4069" max="4069" width="12.28515625" style="478" customWidth="1"/>
    <col min="4070" max="4070" width="2.28515625" style="478"/>
    <col min="4071" max="4071" width="9.7109375" style="478" customWidth="1"/>
    <col min="4072" max="4072" width="2.28515625" style="478"/>
    <col min="4073" max="4073" width="9.7109375" style="478" customWidth="1"/>
    <col min="4074" max="4074" width="2.28515625" style="478"/>
    <col min="4075" max="4075" width="9.7109375" style="478" customWidth="1"/>
    <col min="4076" max="4076" width="2.28515625" style="478"/>
    <col min="4077" max="4077" width="9.7109375" style="478" customWidth="1"/>
    <col min="4078" max="4078" width="13.28515625" style="478" bestFit="1" customWidth="1"/>
    <col min="4079" max="4079" width="14" style="478" customWidth="1"/>
    <col min="4080" max="4081" width="13.5703125" style="478" customWidth="1"/>
    <col min="4082" max="4082" width="2.85546875" style="478" customWidth="1"/>
    <col min="4083" max="4083" width="19.28515625" style="478" bestFit="1" customWidth="1"/>
    <col min="4084" max="4084" width="8.85546875" style="478" bestFit="1" customWidth="1"/>
    <col min="4085" max="4085" width="13.5703125" style="478" customWidth="1"/>
    <col min="4086" max="4086" width="31.140625" style="478" customWidth="1"/>
    <col min="4087" max="4087" width="14.140625" style="478" customWidth="1"/>
    <col min="4088" max="4088" width="2.28515625" style="478"/>
    <col min="4089" max="4089" width="9.7109375" style="478" customWidth="1"/>
    <col min="4090" max="4090" width="2.28515625" style="478"/>
    <col min="4091" max="4091" width="9.7109375" style="478" customWidth="1"/>
    <col min="4092" max="4092" width="2.28515625" style="478"/>
    <col min="4093" max="4093" width="9.7109375" style="478" customWidth="1"/>
    <col min="4094" max="4094" width="2.28515625" style="478"/>
    <col min="4095" max="4095" width="11" style="478" customWidth="1"/>
    <col min="4096" max="4096" width="2.28515625" style="478"/>
    <col min="4097" max="4097" width="35" style="478" customWidth="1"/>
    <col min="4098" max="4098" width="2.140625" style="478" customWidth="1"/>
    <col min="4099" max="4099" width="20" style="478" customWidth="1"/>
    <col min="4100" max="4100" width="2.140625" style="478" customWidth="1"/>
    <col min="4101" max="4101" width="20" style="478" customWidth="1"/>
    <col min="4102" max="4102" width="2.140625" style="478" customWidth="1"/>
    <col min="4103" max="4103" width="20" style="478" customWidth="1"/>
    <col min="4104" max="4104" width="2.28515625" style="478"/>
    <col min="4105" max="4105" width="9.7109375" style="478" customWidth="1"/>
    <col min="4106" max="4106" width="2.28515625" style="478"/>
    <col min="4107" max="4107" width="9.7109375" style="478" customWidth="1"/>
    <col min="4108" max="4311" width="13.5703125" style="478" customWidth="1"/>
    <col min="4312" max="4312" width="31.140625" style="478" customWidth="1"/>
    <col min="4313" max="4313" width="14.140625" style="478" customWidth="1"/>
    <col min="4314" max="4314" width="2.28515625" style="478"/>
    <col min="4315" max="4315" width="9.7109375" style="478" customWidth="1"/>
    <col min="4316" max="4316" width="2.28515625" style="478"/>
    <col min="4317" max="4317" width="9.7109375" style="478" customWidth="1"/>
    <col min="4318" max="4318" width="2.28515625" style="478"/>
    <col min="4319" max="4319" width="9.7109375" style="478" customWidth="1"/>
    <col min="4320" max="4320" width="2.28515625" style="478"/>
    <col min="4321" max="4321" width="11" style="478" customWidth="1"/>
    <col min="4322" max="4322" width="2.28515625" style="478"/>
    <col min="4323" max="4323" width="9.7109375" style="478" customWidth="1"/>
    <col min="4324" max="4324" width="4.28515625" style="478" customWidth="1"/>
    <col min="4325" max="4325" width="12.28515625" style="478" customWidth="1"/>
    <col min="4326" max="4326" width="2.28515625" style="478"/>
    <col min="4327" max="4327" width="9.7109375" style="478" customWidth="1"/>
    <col min="4328" max="4328" width="2.28515625" style="478"/>
    <col min="4329" max="4329" width="9.7109375" style="478" customWidth="1"/>
    <col min="4330" max="4330" width="2.28515625" style="478"/>
    <col min="4331" max="4331" width="9.7109375" style="478" customWidth="1"/>
    <col min="4332" max="4332" width="2.28515625" style="478"/>
    <col min="4333" max="4333" width="9.7109375" style="478" customWidth="1"/>
    <col min="4334" max="4334" width="13.28515625" style="478" bestFit="1" customWidth="1"/>
    <col min="4335" max="4335" width="14" style="478" customWidth="1"/>
    <col min="4336" max="4337" width="13.5703125" style="478" customWidth="1"/>
    <col min="4338" max="4338" width="2.85546875" style="478" customWidth="1"/>
    <col min="4339" max="4339" width="19.28515625" style="478" bestFit="1" customWidth="1"/>
    <col min="4340" max="4340" width="8.85546875" style="478" bestFit="1" customWidth="1"/>
    <col min="4341" max="4341" width="13.5703125" style="478" customWidth="1"/>
    <col min="4342" max="4342" width="31.140625" style="478" customWidth="1"/>
    <col min="4343" max="4343" width="14.140625" style="478" customWidth="1"/>
    <col min="4344" max="4344" width="2.28515625" style="478"/>
    <col min="4345" max="4345" width="9.7109375" style="478" customWidth="1"/>
    <col min="4346" max="4346" width="2.28515625" style="478"/>
    <col min="4347" max="4347" width="9.7109375" style="478" customWidth="1"/>
    <col min="4348" max="4348" width="2.28515625" style="478"/>
    <col min="4349" max="4349" width="9.7109375" style="478" customWidth="1"/>
    <col min="4350" max="4350" width="2.28515625" style="478"/>
    <col min="4351" max="4351" width="11" style="478" customWidth="1"/>
    <col min="4352" max="4352" width="2.28515625" style="478"/>
    <col min="4353" max="4353" width="35" style="478" customWidth="1"/>
    <col min="4354" max="4354" width="2.140625" style="478" customWidth="1"/>
    <col min="4355" max="4355" width="20" style="478" customWidth="1"/>
    <col min="4356" max="4356" width="2.140625" style="478" customWidth="1"/>
    <col min="4357" max="4357" width="20" style="478" customWidth="1"/>
    <col min="4358" max="4358" width="2.140625" style="478" customWidth="1"/>
    <col min="4359" max="4359" width="20" style="478" customWidth="1"/>
    <col min="4360" max="4360" width="2.28515625" style="478"/>
    <col min="4361" max="4361" width="9.7109375" style="478" customWidth="1"/>
    <col min="4362" max="4362" width="2.28515625" style="478"/>
    <col min="4363" max="4363" width="9.7109375" style="478" customWidth="1"/>
    <col min="4364" max="4567" width="13.5703125" style="478" customWidth="1"/>
    <col min="4568" max="4568" width="31.140625" style="478" customWidth="1"/>
    <col min="4569" max="4569" width="14.140625" style="478" customWidth="1"/>
    <col min="4570" max="4570" width="2.28515625" style="478"/>
    <col min="4571" max="4571" width="9.7109375" style="478" customWidth="1"/>
    <col min="4572" max="4572" width="2.28515625" style="478"/>
    <col min="4573" max="4573" width="9.7109375" style="478" customWidth="1"/>
    <col min="4574" max="4574" width="2.28515625" style="478"/>
    <col min="4575" max="4575" width="9.7109375" style="478" customWidth="1"/>
    <col min="4576" max="4576" width="2.28515625" style="478"/>
    <col min="4577" max="4577" width="11" style="478" customWidth="1"/>
    <col min="4578" max="4578" width="2.28515625" style="478"/>
    <col min="4579" max="4579" width="9.7109375" style="478" customWidth="1"/>
    <col min="4580" max="4580" width="4.28515625" style="478" customWidth="1"/>
    <col min="4581" max="4581" width="12.28515625" style="478" customWidth="1"/>
    <col min="4582" max="4582" width="2.28515625" style="478"/>
    <col min="4583" max="4583" width="9.7109375" style="478" customWidth="1"/>
    <col min="4584" max="4584" width="2.28515625" style="478"/>
    <col min="4585" max="4585" width="9.7109375" style="478" customWidth="1"/>
    <col min="4586" max="4586" width="2.28515625" style="478"/>
    <col min="4587" max="4587" width="9.7109375" style="478" customWidth="1"/>
    <col min="4588" max="4588" width="2.28515625" style="478"/>
    <col min="4589" max="4589" width="9.7109375" style="478" customWidth="1"/>
    <col min="4590" max="4590" width="13.28515625" style="478" bestFit="1" customWidth="1"/>
    <col min="4591" max="4591" width="14" style="478" customWidth="1"/>
    <col min="4592" max="4593" width="13.5703125" style="478" customWidth="1"/>
    <col min="4594" max="4594" width="2.85546875" style="478" customWidth="1"/>
    <col min="4595" max="4595" width="19.28515625" style="478" bestFit="1" customWidth="1"/>
    <col min="4596" max="4596" width="8.85546875" style="478" bestFit="1" customWidth="1"/>
    <col min="4597" max="4597" width="13.5703125" style="478" customWidth="1"/>
    <col min="4598" max="4598" width="31.140625" style="478" customWidth="1"/>
    <col min="4599" max="4599" width="14.140625" style="478" customWidth="1"/>
    <col min="4600" max="4600" width="2.28515625" style="478"/>
    <col min="4601" max="4601" width="9.7109375" style="478" customWidth="1"/>
    <col min="4602" max="4602" width="2.28515625" style="478"/>
    <col min="4603" max="4603" width="9.7109375" style="478" customWidth="1"/>
    <col min="4604" max="4604" width="2.28515625" style="478"/>
    <col min="4605" max="4605" width="9.7109375" style="478" customWidth="1"/>
    <col min="4606" max="4606" width="2.28515625" style="478"/>
    <col min="4607" max="4607" width="11" style="478" customWidth="1"/>
    <col min="4608" max="4608" width="2.28515625" style="478"/>
    <col min="4609" max="4609" width="35" style="478" customWidth="1"/>
    <col min="4610" max="4610" width="2.140625" style="478" customWidth="1"/>
    <col min="4611" max="4611" width="20" style="478" customWidth="1"/>
    <col min="4612" max="4612" width="2.140625" style="478" customWidth="1"/>
    <col min="4613" max="4613" width="20" style="478" customWidth="1"/>
    <col min="4614" max="4614" width="2.140625" style="478" customWidth="1"/>
    <col min="4615" max="4615" width="20" style="478" customWidth="1"/>
    <col min="4616" max="4616" width="2.28515625" style="478"/>
    <col min="4617" max="4617" width="9.7109375" style="478" customWidth="1"/>
    <col min="4618" max="4618" width="2.28515625" style="478"/>
    <col min="4619" max="4619" width="9.7109375" style="478" customWidth="1"/>
    <col min="4620" max="4823" width="13.5703125" style="478" customWidth="1"/>
    <col min="4824" max="4824" width="31.140625" style="478" customWidth="1"/>
    <col min="4825" max="4825" width="14.140625" style="478" customWidth="1"/>
    <col min="4826" max="4826" width="2.28515625" style="478"/>
    <col min="4827" max="4827" width="9.7109375" style="478" customWidth="1"/>
    <col min="4828" max="4828" width="2.28515625" style="478"/>
    <col min="4829" max="4829" width="9.7109375" style="478" customWidth="1"/>
    <col min="4830" max="4830" width="2.28515625" style="478"/>
    <col min="4831" max="4831" width="9.7109375" style="478" customWidth="1"/>
    <col min="4832" max="4832" width="2.28515625" style="478"/>
    <col min="4833" max="4833" width="11" style="478" customWidth="1"/>
    <col min="4834" max="4834" width="2.28515625" style="478"/>
    <col min="4835" max="4835" width="9.7109375" style="478" customWidth="1"/>
    <col min="4836" max="4836" width="4.28515625" style="478" customWidth="1"/>
    <col min="4837" max="4837" width="12.28515625" style="478" customWidth="1"/>
    <col min="4838" max="4838" width="2.28515625" style="478"/>
    <col min="4839" max="4839" width="9.7109375" style="478" customWidth="1"/>
    <col min="4840" max="4840" width="2.28515625" style="478"/>
    <col min="4841" max="4841" width="9.7109375" style="478" customWidth="1"/>
    <col min="4842" max="4842" width="2.28515625" style="478"/>
    <col min="4843" max="4843" width="9.7109375" style="478" customWidth="1"/>
    <col min="4844" max="4844" width="2.28515625" style="478"/>
    <col min="4845" max="4845" width="9.7109375" style="478" customWidth="1"/>
    <col min="4846" max="4846" width="13.28515625" style="478" bestFit="1" customWidth="1"/>
    <col min="4847" max="4847" width="14" style="478" customWidth="1"/>
    <col min="4848" max="4849" width="13.5703125" style="478" customWidth="1"/>
    <col min="4850" max="4850" width="2.85546875" style="478" customWidth="1"/>
    <col min="4851" max="4851" width="19.28515625" style="478" bestFit="1" customWidth="1"/>
    <col min="4852" max="4852" width="8.85546875" style="478" bestFit="1" customWidth="1"/>
    <col min="4853" max="4853" width="13.5703125" style="478" customWidth="1"/>
    <col min="4854" max="4854" width="31.140625" style="478" customWidth="1"/>
    <col min="4855" max="4855" width="14.140625" style="478" customWidth="1"/>
    <col min="4856" max="4856" width="2.28515625" style="478"/>
    <col min="4857" max="4857" width="9.7109375" style="478" customWidth="1"/>
    <col min="4858" max="4858" width="2.28515625" style="478"/>
    <col min="4859" max="4859" width="9.7109375" style="478" customWidth="1"/>
    <col min="4860" max="4860" width="2.28515625" style="478"/>
    <col min="4861" max="4861" width="9.7109375" style="478" customWidth="1"/>
    <col min="4862" max="4862" width="2.28515625" style="478"/>
    <col min="4863" max="4863" width="11" style="478" customWidth="1"/>
    <col min="4864" max="4864" width="2.28515625" style="478"/>
    <col min="4865" max="4865" width="35" style="478" customWidth="1"/>
    <col min="4866" max="4866" width="2.140625" style="478" customWidth="1"/>
    <col min="4867" max="4867" width="20" style="478" customWidth="1"/>
    <col min="4868" max="4868" width="2.140625" style="478" customWidth="1"/>
    <col min="4869" max="4869" width="20" style="478" customWidth="1"/>
    <col min="4870" max="4870" width="2.140625" style="478" customWidth="1"/>
    <col min="4871" max="4871" width="20" style="478" customWidth="1"/>
    <col min="4872" max="4872" width="2.28515625" style="478"/>
    <col min="4873" max="4873" width="9.7109375" style="478" customWidth="1"/>
    <col min="4874" max="4874" width="2.28515625" style="478"/>
    <col min="4875" max="4875" width="9.7109375" style="478" customWidth="1"/>
    <col min="4876" max="5079" width="13.5703125" style="478" customWidth="1"/>
    <col min="5080" max="5080" width="31.140625" style="478" customWidth="1"/>
    <col min="5081" max="5081" width="14.140625" style="478" customWidth="1"/>
    <col min="5082" max="5082" width="2.28515625" style="478"/>
    <col min="5083" max="5083" width="9.7109375" style="478" customWidth="1"/>
    <col min="5084" max="5084" width="2.28515625" style="478"/>
    <col min="5085" max="5085" width="9.7109375" style="478" customWidth="1"/>
    <col min="5086" max="5086" width="2.28515625" style="478"/>
    <col min="5087" max="5087" width="9.7109375" style="478" customWidth="1"/>
    <col min="5088" max="5088" width="2.28515625" style="478"/>
    <col min="5089" max="5089" width="11" style="478" customWidth="1"/>
    <col min="5090" max="5090" width="2.28515625" style="478"/>
    <col min="5091" max="5091" width="9.7109375" style="478" customWidth="1"/>
    <col min="5092" max="5092" width="4.28515625" style="478" customWidth="1"/>
    <col min="5093" max="5093" width="12.28515625" style="478" customWidth="1"/>
    <col min="5094" max="5094" width="2.28515625" style="478"/>
    <col min="5095" max="5095" width="9.7109375" style="478" customWidth="1"/>
    <col min="5096" max="5096" width="2.28515625" style="478"/>
    <col min="5097" max="5097" width="9.7109375" style="478" customWidth="1"/>
    <col min="5098" max="5098" width="2.28515625" style="478"/>
    <col min="5099" max="5099" width="9.7109375" style="478" customWidth="1"/>
    <col min="5100" max="5100" width="2.28515625" style="478"/>
    <col min="5101" max="5101" width="9.7109375" style="478" customWidth="1"/>
    <col min="5102" max="5102" width="13.28515625" style="478" bestFit="1" customWidth="1"/>
    <col min="5103" max="5103" width="14" style="478" customWidth="1"/>
    <col min="5104" max="5105" width="13.5703125" style="478" customWidth="1"/>
    <col min="5106" max="5106" width="2.85546875" style="478" customWidth="1"/>
    <col min="5107" max="5107" width="19.28515625" style="478" bestFit="1" customWidth="1"/>
    <col min="5108" max="5108" width="8.85546875" style="478" bestFit="1" customWidth="1"/>
    <col min="5109" max="5109" width="13.5703125" style="478" customWidth="1"/>
    <col min="5110" max="5110" width="31.140625" style="478" customWidth="1"/>
    <col min="5111" max="5111" width="14.140625" style="478" customWidth="1"/>
    <col min="5112" max="5112" width="2.28515625" style="478"/>
    <col min="5113" max="5113" width="9.7109375" style="478" customWidth="1"/>
    <col min="5114" max="5114" width="2.28515625" style="478"/>
    <col min="5115" max="5115" width="9.7109375" style="478" customWidth="1"/>
    <col min="5116" max="5116" width="2.28515625" style="478"/>
    <col min="5117" max="5117" width="9.7109375" style="478" customWidth="1"/>
    <col min="5118" max="5118" width="2.28515625" style="478"/>
    <col min="5119" max="5119" width="11" style="478" customWidth="1"/>
    <col min="5120" max="5120" width="2.28515625" style="478"/>
    <col min="5121" max="5121" width="35" style="478" customWidth="1"/>
    <col min="5122" max="5122" width="2.140625" style="478" customWidth="1"/>
    <col min="5123" max="5123" width="20" style="478" customWidth="1"/>
    <col min="5124" max="5124" width="2.140625" style="478" customWidth="1"/>
    <col min="5125" max="5125" width="20" style="478" customWidth="1"/>
    <col min="5126" max="5126" width="2.140625" style="478" customWidth="1"/>
    <col min="5127" max="5127" width="20" style="478" customWidth="1"/>
    <col min="5128" max="5128" width="2.28515625" style="478"/>
    <col min="5129" max="5129" width="9.7109375" style="478" customWidth="1"/>
    <col min="5130" max="5130" width="2.28515625" style="478"/>
    <col min="5131" max="5131" width="9.7109375" style="478" customWidth="1"/>
    <col min="5132" max="5335" width="13.5703125" style="478" customWidth="1"/>
    <col min="5336" max="5336" width="31.140625" style="478" customWidth="1"/>
    <col min="5337" max="5337" width="14.140625" style="478" customWidth="1"/>
    <col min="5338" max="5338" width="2.28515625" style="478"/>
    <col min="5339" max="5339" width="9.7109375" style="478" customWidth="1"/>
    <col min="5340" max="5340" width="2.28515625" style="478"/>
    <col min="5341" max="5341" width="9.7109375" style="478" customWidth="1"/>
    <col min="5342" max="5342" width="2.28515625" style="478"/>
    <col min="5343" max="5343" width="9.7109375" style="478" customWidth="1"/>
    <col min="5344" max="5344" width="2.28515625" style="478"/>
    <col min="5345" max="5345" width="11" style="478" customWidth="1"/>
    <col min="5346" max="5346" width="2.28515625" style="478"/>
    <col min="5347" max="5347" width="9.7109375" style="478" customWidth="1"/>
    <col min="5348" max="5348" width="4.28515625" style="478" customWidth="1"/>
    <col min="5349" max="5349" width="12.28515625" style="478" customWidth="1"/>
    <col min="5350" max="5350" width="2.28515625" style="478"/>
    <col min="5351" max="5351" width="9.7109375" style="478" customWidth="1"/>
    <col min="5352" max="5352" width="2.28515625" style="478"/>
    <col min="5353" max="5353" width="9.7109375" style="478" customWidth="1"/>
    <col min="5354" max="5354" width="2.28515625" style="478"/>
    <col min="5355" max="5355" width="9.7109375" style="478" customWidth="1"/>
    <col min="5356" max="5356" width="2.28515625" style="478"/>
    <col min="5357" max="5357" width="9.7109375" style="478" customWidth="1"/>
    <col min="5358" max="5358" width="13.28515625" style="478" bestFit="1" customWidth="1"/>
    <col min="5359" max="5359" width="14" style="478" customWidth="1"/>
    <col min="5360" max="5361" width="13.5703125" style="478" customWidth="1"/>
    <col min="5362" max="5362" width="2.85546875" style="478" customWidth="1"/>
    <col min="5363" max="5363" width="19.28515625" style="478" bestFit="1" customWidth="1"/>
    <col min="5364" max="5364" width="8.85546875" style="478" bestFit="1" customWidth="1"/>
    <col min="5365" max="5365" width="13.5703125" style="478" customWidth="1"/>
    <col min="5366" max="5366" width="31.140625" style="478" customWidth="1"/>
    <col min="5367" max="5367" width="14.140625" style="478" customWidth="1"/>
    <col min="5368" max="5368" width="2.28515625" style="478"/>
    <col min="5369" max="5369" width="9.7109375" style="478" customWidth="1"/>
    <col min="5370" max="5370" width="2.28515625" style="478"/>
    <col min="5371" max="5371" width="9.7109375" style="478" customWidth="1"/>
    <col min="5372" max="5372" width="2.28515625" style="478"/>
    <col min="5373" max="5373" width="9.7109375" style="478" customWidth="1"/>
    <col min="5374" max="5374" width="2.28515625" style="478"/>
    <col min="5375" max="5375" width="11" style="478" customWidth="1"/>
    <col min="5376" max="5376" width="2.28515625" style="478"/>
    <col min="5377" max="5377" width="35" style="478" customWidth="1"/>
    <col min="5378" max="5378" width="2.140625" style="478" customWidth="1"/>
    <col min="5379" max="5379" width="20" style="478" customWidth="1"/>
    <col min="5380" max="5380" width="2.140625" style="478" customWidth="1"/>
    <col min="5381" max="5381" width="20" style="478" customWidth="1"/>
    <col min="5382" max="5382" width="2.140625" style="478" customWidth="1"/>
    <col min="5383" max="5383" width="20" style="478" customWidth="1"/>
    <col min="5384" max="5384" width="2.28515625" style="478"/>
    <col min="5385" max="5385" width="9.7109375" style="478" customWidth="1"/>
    <col min="5386" max="5386" width="2.28515625" style="478"/>
    <col min="5387" max="5387" width="9.7109375" style="478" customWidth="1"/>
    <col min="5388" max="5591" width="13.5703125" style="478" customWidth="1"/>
    <col min="5592" max="5592" width="31.140625" style="478" customWidth="1"/>
    <col min="5593" max="5593" width="14.140625" style="478" customWidth="1"/>
    <col min="5594" max="5594" width="2.28515625" style="478"/>
    <col min="5595" max="5595" width="9.7109375" style="478" customWidth="1"/>
    <col min="5596" max="5596" width="2.28515625" style="478"/>
    <col min="5597" max="5597" width="9.7109375" style="478" customWidth="1"/>
    <col min="5598" max="5598" width="2.28515625" style="478"/>
    <col min="5599" max="5599" width="9.7109375" style="478" customWidth="1"/>
    <col min="5600" max="5600" width="2.28515625" style="478"/>
    <col min="5601" max="5601" width="11" style="478" customWidth="1"/>
    <col min="5602" max="5602" width="2.28515625" style="478"/>
    <col min="5603" max="5603" width="9.7109375" style="478" customWidth="1"/>
    <col min="5604" max="5604" width="4.28515625" style="478" customWidth="1"/>
    <col min="5605" max="5605" width="12.28515625" style="478" customWidth="1"/>
    <col min="5606" max="5606" width="2.28515625" style="478"/>
    <col min="5607" max="5607" width="9.7109375" style="478" customWidth="1"/>
    <col min="5608" max="5608" width="2.28515625" style="478"/>
    <col min="5609" max="5609" width="9.7109375" style="478" customWidth="1"/>
    <col min="5610" max="5610" width="2.28515625" style="478"/>
    <col min="5611" max="5611" width="9.7109375" style="478" customWidth="1"/>
    <col min="5612" max="5612" width="2.28515625" style="478"/>
    <col min="5613" max="5613" width="9.7109375" style="478" customWidth="1"/>
    <col min="5614" max="5614" width="13.28515625" style="478" bestFit="1" customWidth="1"/>
    <col min="5615" max="5615" width="14" style="478" customWidth="1"/>
    <col min="5616" max="5617" width="13.5703125" style="478" customWidth="1"/>
    <col min="5618" max="5618" width="2.85546875" style="478" customWidth="1"/>
    <col min="5619" max="5619" width="19.28515625" style="478" bestFit="1" customWidth="1"/>
    <col min="5620" max="5620" width="8.85546875" style="478" bestFit="1" customWidth="1"/>
    <col min="5621" max="5621" width="13.5703125" style="478" customWidth="1"/>
    <col min="5622" max="5622" width="31.140625" style="478" customWidth="1"/>
    <col min="5623" max="5623" width="14.140625" style="478" customWidth="1"/>
    <col min="5624" max="5624" width="2.28515625" style="478"/>
    <col min="5625" max="5625" width="9.7109375" style="478" customWidth="1"/>
    <col min="5626" max="5626" width="2.28515625" style="478"/>
    <col min="5627" max="5627" width="9.7109375" style="478" customWidth="1"/>
    <col min="5628" max="5628" width="2.28515625" style="478"/>
    <col min="5629" max="5629" width="9.7109375" style="478" customWidth="1"/>
    <col min="5630" max="5630" width="2.28515625" style="478"/>
    <col min="5631" max="5631" width="11" style="478" customWidth="1"/>
    <col min="5632" max="5632" width="2.28515625" style="478"/>
    <col min="5633" max="5633" width="35" style="478" customWidth="1"/>
    <col min="5634" max="5634" width="2.140625" style="478" customWidth="1"/>
    <col min="5635" max="5635" width="20" style="478" customWidth="1"/>
    <col min="5636" max="5636" width="2.140625" style="478" customWidth="1"/>
    <col min="5637" max="5637" width="20" style="478" customWidth="1"/>
    <col min="5638" max="5638" width="2.140625" style="478" customWidth="1"/>
    <col min="5639" max="5639" width="20" style="478" customWidth="1"/>
    <col min="5640" max="5640" width="2.28515625" style="478"/>
    <col min="5641" max="5641" width="9.7109375" style="478" customWidth="1"/>
    <col min="5642" max="5642" width="2.28515625" style="478"/>
    <col min="5643" max="5643" width="9.7109375" style="478" customWidth="1"/>
    <col min="5644" max="5847" width="13.5703125" style="478" customWidth="1"/>
    <col min="5848" max="5848" width="31.140625" style="478" customWidth="1"/>
    <col min="5849" max="5849" width="14.140625" style="478" customWidth="1"/>
    <col min="5850" max="5850" width="2.28515625" style="478"/>
    <col min="5851" max="5851" width="9.7109375" style="478" customWidth="1"/>
    <col min="5852" max="5852" width="2.28515625" style="478"/>
    <col min="5853" max="5853" width="9.7109375" style="478" customWidth="1"/>
    <col min="5854" max="5854" width="2.28515625" style="478"/>
    <col min="5855" max="5855" width="9.7109375" style="478" customWidth="1"/>
    <col min="5856" max="5856" width="2.28515625" style="478"/>
    <col min="5857" max="5857" width="11" style="478" customWidth="1"/>
    <col min="5858" max="5858" width="2.28515625" style="478"/>
    <col min="5859" max="5859" width="9.7109375" style="478" customWidth="1"/>
    <col min="5860" max="5860" width="4.28515625" style="478" customWidth="1"/>
    <col min="5861" max="5861" width="12.28515625" style="478" customWidth="1"/>
    <col min="5862" max="5862" width="2.28515625" style="478"/>
    <col min="5863" max="5863" width="9.7109375" style="478" customWidth="1"/>
    <col min="5864" max="5864" width="2.28515625" style="478"/>
    <col min="5865" max="5865" width="9.7109375" style="478" customWidth="1"/>
    <col min="5866" max="5866" width="2.28515625" style="478"/>
    <col min="5867" max="5867" width="9.7109375" style="478" customWidth="1"/>
    <col min="5868" max="5868" width="2.28515625" style="478"/>
    <col min="5869" max="5869" width="9.7109375" style="478" customWidth="1"/>
    <col min="5870" max="5870" width="13.28515625" style="478" bestFit="1" customWidth="1"/>
    <col min="5871" max="5871" width="14" style="478" customWidth="1"/>
    <col min="5872" max="5873" width="13.5703125" style="478" customWidth="1"/>
    <col min="5874" max="5874" width="2.85546875" style="478" customWidth="1"/>
    <col min="5875" max="5875" width="19.28515625" style="478" bestFit="1" customWidth="1"/>
    <col min="5876" max="5876" width="8.85546875" style="478" bestFit="1" customWidth="1"/>
    <col min="5877" max="5877" width="13.5703125" style="478" customWidth="1"/>
    <col min="5878" max="5878" width="31.140625" style="478" customWidth="1"/>
    <col min="5879" max="5879" width="14.140625" style="478" customWidth="1"/>
    <col min="5880" max="5880" width="2.28515625" style="478"/>
    <col min="5881" max="5881" width="9.7109375" style="478" customWidth="1"/>
    <col min="5882" max="5882" width="2.28515625" style="478"/>
    <col min="5883" max="5883" width="9.7109375" style="478" customWidth="1"/>
    <col min="5884" max="5884" width="2.28515625" style="478"/>
    <col min="5885" max="5885" width="9.7109375" style="478" customWidth="1"/>
    <col min="5886" max="5886" width="2.28515625" style="478"/>
    <col min="5887" max="5887" width="11" style="478" customWidth="1"/>
    <col min="5888" max="5888" width="2.28515625" style="478"/>
    <col min="5889" max="5889" width="35" style="478" customWidth="1"/>
    <col min="5890" max="5890" width="2.140625" style="478" customWidth="1"/>
    <col min="5891" max="5891" width="20" style="478" customWidth="1"/>
    <col min="5892" max="5892" width="2.140625" style="478" customWidth="1"/>
    <col min="5893" max="5893" width="20" style="478" customWidth="1"/>
    <col min="5894" max="5894" width="2.140625" style="478" customWidth="1"/>
    <col min="5895" max="5895" width="20" style="478" customWidth="1"/>
    <col min="5896" max="5896" width="2.28515625" style="478"/>
    <col min="5897" max="5897" width="9.7109375" style="478" customWidth="1"/>
    <col min="5898" max="5898" width="2.28515625" style="478"/>
    <col min="5899" max="5899" width="9.7109375" style="478" customWidth="1"/>
    <col min="5900" max="6103" width="13.5703125" style="478" customWidth="1"/>
    <col min="6104" max="6104" width="31.140625" style="478" customWidth="1"/>
    <col min="6105" max="6105" width="14.140625" style="478" customWidth="1"/>
    <col min="6106" max="6106" width="2.28515625" style="478"/>
    <col min="6107" max="6107" width="9.7109375" style="478" customWidth="1"/>
    <col min="6108" max="6108" width="2.28515625" style="478"/>
    <col min="6109" max="6109" width="9.7109375" style="478" customWidth="1"/>
    <col min="6110" max="6110" width="2.28515625" style="478"/>
    <col min="6111" max="6111" width="9.7109375" style="478" customWidth="1"/>
    <col min="6112" max="6112" width="2.28515625" style="478"/>
    <col min="6113" max="6113" width="11" style="478" customWidth="1"/>
    <col min="6114" max="6114" width="2.28515625" style="478"/>
    <col min="6115" max="6115" width="9.7109375" style="478" customWidth="1"/>
    <col min="6116" max="6116" width="4.28515625" style="478" customWidth="1"/>
    <col min="6117" max="6117" width="12.28515625" style="478" customWidth="1"/>
    <col min="6118" max="6118" width="2.28515625" style="478"/>
    <col min="6119" max="6119" width="9.7109375" style="478" customWidth="1"/>
    <col min="6120" max="6120" width="2.28515625" style="478"/>
    <col min="6121" max="6121" width="9.7109375" style="478" customWidth="1"/>
    <col min="6122" max="6122" width="2.28515625" style="478"/>
    <col min="6123" max="6123" width="9.7109375" style="478" customWidth="1"/>
    <col min="6124" max="6124" width="2.28515625" style="478"/>
    <col min="6125" max="6125" width="9.7109375" style="478" customWidth="1"/>
    <col min="6126" max="6126" width="13.28515625" style="478" bestFit="1" customWidth="1"/>
    <col min="6127" max="6127" width="14" style="478" customWidth="1"/>
    <col min="6128" max="6129" width="13.5703125" style="478" customWidth="1"/>
    <col min="6130" max="6130" width="2.85546875" style="478" customWidth="1"/>
    <col min="6131" max="6131" width="19.28515625" style="478" bestFit="1" customWidth="1"/>
    <col min="6132" max="6132" width="8.85546875" style="478" bestFit="1" customWidth="1"/>
    <col min="6133" max="6133" width="13.5703125" style="478" customWidth="1"/>
    <col min="6134" max="6134" width="31.140625" style="478" customWidth="1"/>
    <col min="6135" max="6135" width="14.140625" style="478" customWidth="1"/>
    <col min="6136" max="6136" width="2.28515625" style="478"/>
    <col min="6137" max="6137" width="9.7109375" style="478" customWidth="1"/>
    <col min="6138" max="6138" width="2.28515625" style="478"/>
    <col min="6139" max="6139" width="9.7109375" style="478" customWidth="1"/>
    <col min="6140" max="6140" width="2.28515625" style="478"/>
    <col min="6141" max="6141" width="9.7109375" style="478" customWidth="1"/>
    <col min="6142" max="6142" width="2.28515625" style="478"/>
    <col min="6143" max="6143" width="11" style="478" customWidth="1"/>
    <col min="6144" max="6144" width="2.28515625" style="478"/>
    <col min="6145" max="6145" width="35" style="478" customWidth="1"/>
    <col min="6146" max="6146" width="2.140625" style="478" customWidth="1"/>
    <col min="6147" max="6147" width="20" style="478" customWidth="1"/>
    <col min="6148" max="6148" width="2.140625" style="478" customWidth="1"/>
    <col min="6149" max="6149" width="20" style="478" customWidth="1"/>
    <col min="6150" max="6150" width="2.140625" style="478" customWidth="1"/>
    <col min="6151" max="6151" width="20" style="478" customWidth="1"/>
    <col min="6152" max="6152" width="2.28515625" style="478"/>
    <col min="6153" max="6153" width="9.7109375" style="478" customWidth="1"/>
    <col min="6154" max="6154" width="2.28515625" style="478"/>
    <col min="6155" max="6155" width="9.7109375" style="478" customWidth="1"/>
    <col min="6156" max="6359" width="13.5703125" style="478" customWidth="1"/>
    <col min="6360" max="6360" width="31.140625" style="478" customWidth="1"/>
    <col min="6361" max="6361" width="14.140625" style="478" customWidth="1"/>
    <col min="6362" max="6362" width="2.28515625" style="478"/>
    <col min="6363" max="6363" width="9.7109375" style="478" customWidth="1"/>
    <col min="6364" max="6364" width="2.28515625" style="478"/>
    <col min="6365" max="6365" width="9.7109375" style="478" customWidth="1"/>
    <col min="6366" max="6366" width="2.28515625" style="478"/>
    <col min="6367" max="6367" width="9.7109375" style="478" customWidth="1"/>
    <col min="6368" max="6368" width="2.28515625" style="478"/>
    <col min="6369" max="6369" width="11" style="478" customWidth="1"/>
    <col min="6370" max="6370" width="2.28515625" style="478"/>
    <col min="6371" max="6371" width="9.7109375" style="478" customWidth="1"/>
    <col min="6372" max="6372" width="4.28515625" style="478" customWidth="1"/>
    <col min="6373" max="6373" width="12.28515625" style="478" customWidth="1"/>
    <col min="6374" max="6374" width="2.28515625" style="478"/>
    <col min="6375" max="6375" width="9.7109375" style="478" customWidth="1"/>
    <col min="6376" max="6376" width="2.28515625" style="478"/>
    <col min="6377" max="6377" width="9.7109375" style="478" customWidth="1"/>
    <col min="6378" max="6378" width="2.28515625" style="478"/>
    <col min="6379" max="6379" width="9.7109375" style="478" customWidth="1"/>
    <col min="6380" max="6380" width="2.28515625" style="478"/>
    <col min="6381" max="6381" width="9.7109375" style="478" customWidth="1"/>
    <col min="6382" max="6382" width="13.28515625" style="478" bestFit="1" customWidth="1"/>
    <col min="6383" max="6383" width="14" style="478" customWidth="1"/>
    <col min="6384" max="6385" width="13.5703125" style="478" customWidth="1"/>
    <col min="6386" max="6386" width="2.85546875" style="478" customWidth="1"/>
    <col min="6387" max="6387" width="19.28515625" style="478" bestFit="1" customWidth="1"/>
    <col min="6388" max="6388" width="8.85546875" style="478" bestFit="1" customWidth="1"/>
    <col min="6389" max="6389" width="13.5703125" style="478" customWidth="1"/>
    <col min="6390" max="6390" width="31.140625" style="478" customWidth="1"/>
    <col min="6391" max="6391" width="14.140625" style="478" customWidth="1"/>
    <col min="6392" max="6392" width="2.28515625" style="478"/>
    <col min="6393" max="6393" width="9.7109375" style="478" customWidth="1"/>
    <col min="6394" max="6394" width="2.28515625" style="478"/>
    <col min="6395" max="6395" width="9.7109375" style="478" customWidth="1"/>
    <col min="6396" max="6396" width="2.28515625" style="478"/>
    <col min="6397" max="6397" width="9.7109375" style="478" customWidth="1"/>
    <col min="6398" max="6398" width="2.28515625" style="478"/>
    <col min="6399" max="6399" width="11" style="478" customWidth="1"/>
    <col min="6400" max="6400" width="2.28515625" style="478"/>
    <col min="6401" max="6401" width="35" style="478" customWidth="1"/>
    <col min="6402" max="6402" width="2.140625" style="478" customWidth="1"/>
    <col min="6403" max="6403" width="20" style="478" customWidth="1"/>
    <col min="6404" max="6404" width="2.140625" style="478" customWidth="1"/>
    <col min="6405" max="6405" width="20" style="478" customWidth="1"/>
    <col min="6406" max="6406" width="2.140625" style="478" customWidth="1"/>
    <col min="6407" max="6407" width="20" style="478" customWidth="1"/>
    <col min="6408" max="6408" width="2.28515625" style="478"/>
    <col min="6409" max="6409" width="9.7109375" style="478" customWidth="1"/>
    <col min="6410" max="6410" width="2.28515625" style="478"/>
    <col min="6411" max="6411" width="9.7109375" style="478" customWidth="1"/>
    <col min="6412" max="6615" width="13.5703125" style="478" customWidth="1"/>
    <col min="6616" max="6616" width="31.140625" style="478" customWidth="1"/>
    <col min="6617" max="6617" width="14.140625" style="478" customWidth="1"/>
    <col min="6618" max="6618" width="2.28515625" style="478"/>
    <col min="6619" max="6619" width="9.7109375" style="478" customWidth="1"/>
    <col min="6620" max="6620" width="2.28515625" style="478"/>
    <col min="6621" max="6621" width="9.7109375" style="478" customWidth="1"/>
    <col min="6622" max="6622" width="2.28515625" style="478"/>
    <col min="6623" max="6623" width="9.7109375" style="478" customWidth="1"/>
    <col min="6624" max="6624" width="2.28515625" style="478"/>
    <col min="6625" max="6625" width="11" style="478" customWidth="1"/>
    <col min="6626" max="6626" width="2.28515625" style="478"/>
    <col min="6627" max="6627" width="9.7109375" style="478" customWidth="1"/>
    <col min="6628" max="6628" width="4.28515625" style="478" customWidth="1"/>
    <col min="6629" max="6629" width="12.28515625" style="478" customWidth="1"/>
    <col min="6630" max="6630" width="2.28515625" style="478"/>
    <col min="6631" max="6631" width="9.7109375" style="478" customWidth="1"/>
    <col min="6632" max="6632" width="2.28515625" style="478"/>
    <col min="6633" max="6633" width="9.7109375" style="478" customWidth="1"/>
    <col min="6634" max="6634" width="2.28515625" style="478"/>
    <col min="6635" max="6635" width="9.7109375" style="478" customWidth="1"/>
    <col min="6636" max="6636" width="2.28515625" style="478"/>
    <col min="6637" max="6637" width="9.7109375" style="478" customWidth="1"/>
    <col min="6638" max="6638" width="13.28515625" style="478" bestFit="1" customWidth="1"/>
    <col min="6639" max="6639" width="14" style="478" customWidth="1"/>
    <col min="6640" max="6641" width="13.5703125" style="478" customWidth="1"/>
    <col min="6642" max="6642" width="2.85546875" style="478" customWidth="1"/>
    <col min="6643" max="6643" width="19.28515625" style="478" bestFit="1" customWidth="1"/>
    <col min="6644" max="6644" width="8.85546875" style="478" bestFit="1" customWidth="1"/>
    <col min="6645" max="6645" width="13.5703125" style="478" customWidth="1"/>
    <col min="6646" max="6646" width="31.140625" style="478" customWidth="1"/>
    <col min="6647" max="6647" width="14.140625" style="478" customWidth="1"/>
    <col min="6648" max="6648" width="2.28515625" style="478"/>
    <col min="6649" max="6649" width="9.7109375" style="478" customWidth="1"/>
    <col min="6650" max="6650" width="2.28515625" style="478"/>
    <col min="6651" max="6651" width="9.7109375" style="478" customWidth="1"/>
    <col min="6652" max="6652" width="2.28515625" style="478"/>
    <col min="6653" max="6653" width="9.7109375" style="478" customWidth="1"/>
    <col min="6654" max="6654" width="2.28515625" style="478"/>
    <col min="6655" max="6655" width="11" style="478" customWidth="1"/>
    <col min="6656" max="6656" width="2.28515625" style="478"/>
    <col min="6657" max="6657" width="35" style="478" customWidth="1"/>
    <col min="6658" max="6658" width="2.140625" style="478" customWidth="1"/>
    <col min="6659" max="6659" width="20" style="478" customWidth="1"/>
    <col min="6660" max="6660" width="2.140625" style="478" customWidth="1"/>
    <col min="6661" max="6661" width="20" style="478" customWidth="1"/>
    <col min="6662" max="6662" width="2.140625" style="478" customWidth="1"/>
    <col min="6663" max="6663" width="20" style="478" customWidth="1"/>
    <col min="6664" max="6664" width="2.28515625" style="478"/>
    <col min="6665" max="6665" width="9.7109375" style="478" customWidth="1"/>
    <col min="6666" max="6666" width="2.28515625" style="478"/>
    <col min="6667" max="6667" width="9.7109375" style="478" customWidth="1"/>
    <col min="6668" max="6871" width="13.5703125" style="478" customWidth="1"/>
    <col min="6872" max="6872" width="31.140625" style="478" customWidth="1"/>
    <col min="6873" max="6873" width="14.140625" style="478" customWidth="1"/>
    <col min="6874" max="6874" width="2.28515625" style="478"/>
    <col min="6875" max="6875" width="9.7109375" style="478" customWidth="1"/>
    <col min="6876" max="6876" width="2.28515625" style="478"/>
    <col min="6877" max="6877" width="9.7109375" style="478" customWidth="1"/>
    <col min="6878" max="6878" width="2.28515625" style="478"/>
    <col min="6879" max="6879" width="9.7109375" style="478" customWidth="1"/>
    <col min="6880" max="6880" width="2.28515625" style="478"/>
    <col min="6881" max="6881" width="11" style="478" customWidth="1"/>
    <col min="6882" max="6882" width="2.28515625" style="478"/>
    <col min="6883" max="6883" width="9.7109375" style="478" customWidth="1"/>
    <col min="6884" max="6884" width="4.28515625" style="478" customWidth="1"/>
    <col min="6885" max="6885" width="12.28515625" style="478" customWidth="1"/>
    <col min="6886" max="6886" width="2.28515625" style="478"/>
    <col min="6887" max="6887" width="9.7109375" style="478" customWidth="1"/>
    <col min="6888" max="6888" width="2.28515625" style="478"/>
    <col min="6889" max="6889" width="9.7109375" style="478" customWidth="1"/>
    <col min="6890" max="6890" width="2.28515625" style="478"/>
    <col min="6891" max="6891" width="9.7109375" style="478" customWidth="1"/>
    <col min="6892" max="6892" width="2.28515625" style="478"/>
    <col min="6893" max="6893" width="9.7109375" style="478" customWidth="1"/>
    <col min="6894" max="6894" width="13.28515625" style="478" bestFit="1" customWidth="1"/>
    <col min="6895" max="6895" width="14" style="478" customWidth="1"/>
    <col min="6896" max="6897" width="13.5703125" style="478" customWidth="1"/>
    <col min="6898" max="6898" width="2.85546875" style="478" customWidth="1"/>
    <col min="6899" max="6899" width="19.28515625" style="478" bestFit="1" customWidth="1"/>
    <col min="6900" max="6900" width="8.85546875" style="478" bestFit="1" customWidth="1"/>
    <col min="6901" max="6901" width="13.5703125" style="478" customWidth="1"/>
    <col min="6902" max="6902" width="31.140625" style="478" customWidth="1"/>
    <col min="6903" max="6903" width="14.140625" style="478" customWidth="1"/>
    <col min="6904" max="6904" width="2.28515625" style="478"/>
    <col min="6905" max="6905" width="9.7109375" style="478" customWidth="1"/>
    <col min="6906" max="6906" width="2.28515625" style="478"/>
    <col min="6907" max="6907" width="9.7109375" style="478" customWidth="1"/>
    <col min="6908" max="6908" width="2.28515625" style="478"/>
    <col min="6909" max="6909" width="9.7109375" style="478" customWidth="1"/>
    <col min="6910" max="6910" width="2.28515625" style="478"/>
    <col min="6911" max="6911" width="11" style="478" customWidth="1"/>
    <col min="6912" max="6912" width="2.28515625" style="478"/>
    <col min="6913" max="6913" width="35" style="478" customWidth="1"/>
    <col min="6914" max="6914" width="2.140625" style="478" customWidth="1"/>
    <col min="6915" max="6915" width="20" style="478" customWidth="1"/>
    <col min="6916" max="6916" width="2.140625" style="478" customWidth="1"/>
    <col min="6917" max="6917" width="20" style="478" customWidth="1"/>
    <col min="6918" max="6918" width="2.140625" style="478" customWidth="1"/>
    <col min="6919" max="6919" width="20" style="478" customWidth="1"/>
    <col min="6920" max="6920" width="2.28515625" style="478"/>
    <col min="6921" max="6921" width="9.7109375" style="478" customWidth="1"/>
    <col min="6922" max="6922" width="2.28515625" style="478"/>
    <col min="6923" max="6923" width="9.7109375" style="478" customWidth="1"/>
    <col min="6924" max="7127" width="13.5703125" style="478" customWidth="1"/>
    <col min="7128" max="7128" width="31.140625" style="478" customWidth="1"/>
    <col min="7129" max="7129" width="14.140625" style="478" customWidth="1"/>
    <col min="7130" max="7130" width="2.28515625" style="478"/>
    <col min="7131" max="7131" width="9.7109375" style="478" customWidth="1"/>
    <col min="7132" max="7132" width="2.28515625" style="478"/>
    <col min="7133" max="7133" width="9.7109375" style="478" customWidth="1"/>
    <col min="7134" max="7134" width="2.28515625" style="478"/>
    <col min="7135" max="7135" width="9.7109375" style="478" customWidth="1"/>
    <col min="7136" max="7136" width="2.28515625" style="478"/>
    <col min="7137" max="7137" width="11" style="478" customWidth="1"/>
    <col min="7138" max="7138" width="2.28515625" style="478"/>
    <col min="7139" max="7139" width="9.7109375" style="478" customWidth="1"/>
    <col min="7140" max="7140" width="4.28515625" style="478" customWidth="1"/>
    <col min="7141" max="7141" width="12.28515625" style="478" customWidth="1"/>
    <col min="7142" max="7142" width="2.28515625" style="478"/>
    <col min="7143" max="7143" width="9.7109375" style="478" customWidth="1"/>
    <col min="7144" max="7144" width="2.28515625" style="478"/>
    <col min="7145" max="7145" width="9.7109375" style="478" customWidth="1"/>
    <col min="7146" max="7146" width="2.28515625" style="478"/>
    <col min="7147" max="7147" width="9.7109375" style="478" customWidth="1"/>
    <col min="7148" max="7148" width="2.28515625" style="478"/>
    <col min="7149" max="7149" width="9.7109375" style="478" customWidth="1"/>
    <col min="7150" max="7150" width="13.28515625" style="478" bestFit="1" customWidth="1"/>
    <col min="7151" max="7151" width="14" style="478" customWidth="1"/>
    <col min="7152" max="7153" width="13.5703125" style="478" customWidth="1"/>
    <col min="7154" max="7154" width="2.85546875" style="478" customWidth="1"/>
    <col min="7155" max="7155" width="19.28515625" style="478" bestFit="1" customWidth="1"/>
    <col min="7156" max="7156" width="8.85546875" style="478" bestFit="1" customWidth="1"/>
    <col min="7157" max="7157" width="13.5703125" style="478" customWidth="1"/>
    <col min="7158" max="7158" width="31.140625" style="478" customWidth="1"/>
    <col min="7159" max="7159" width="14.140625" style="478" customWidth="1"/>
    <col min="7160" max="7160" width="2.28515625" style="478"/>
    <col min="7161" max="7161" width="9.7109375" style="478" customWidth="1"/>
    <col min="7162" max="7162" width="2.28515625" style="478"/>
    <col min="7163" max="7163" width="9.7109375" style="478" customWidth="1"/>
    <col min="7164" max="7164" width="2.28515625" style="478"/>
    <col min="7165" max="7165" width="9.7109375" style="478" customWidth="1"/>
    <col min="7166" max="7166" width="2.28515625" style="478"/>
    <col min="7167" max="7167" width="11" style="478" customWidth="1"/>
    <col min="7168" max="7168" width="2.28515625" style="478"/>
    <col min="7169" max="7169" width="35" style="478" customWidth="1"/>
    <col min="7170" max="7170" width="2.140625" style="478" customWidth="1"/>
    <col min="7171" max="7171" width="20" style="478" customWidth="1"/>
    <col min="7172" max="7172" width="2.140625" style="478" customWidth="1"/>
    <col min="7173" max="7173" width="20" style="478" customWidth="1"/>
    <col min="7174" max="7174" width="2.140625" style="478" customWidth="1"/>
    <col min="7175" max="7175" width="20" style="478" customWidth="1"/>
    <col min="7176" max="7176" width="2.28515625" style="478"/>
    <col min="7177" max="7177" width="9.7109375" style="478" customWidth="1"/>
    <col min="7178" max="7178" width="2.28515625" style="478"/>
    <col min="7179" max="7179" width="9.7109375" style="478" customWidth="1"/>
    <col min="7180" max="7383" width="13.5703125" style="478" customWidth="1"/>
    <col min="7384" max="7384" width="31.140625" style="478" customWidth="1"/>
    <col min="7385" max="7385" width="14.140625" style="478" customWidth="1"/>
    <col min="7386" max="7386" width="2.28515625" style="478"/>
    <col min="7387" max="7387" width="9.7109375" style="478" customWidth="1"/>
    <col min="7388" max="7388" width="2.28515625" style="478"/>
    <col min="7389" max="7389" width="9.7109375" style="478" customWidth="1"/>
    <col min="7390" max="7390" width="2.28515625" style="478"/>
    <col min="7391" max="7391" width="9.7109375" style="478" customWidth="1"/>
    <col min="7392" max="7392" width="2.28515625" style="478"/>
    <col min="7393" max="7393" width="11" style="478" customWidth="1"/>
    <col min="7394" max="7394" width="2.28515625" style="478"/>
    <col min="7395" max="7395" width="9.7109375" style="478" customWidth="1"/>
    <col min="7396" max="7396" width="4.28515625" style="478" customWidth="1"/>
    <col min="7397" max="7397" width="12.28515625" style="478" customWidth="1"/>
    <col min="7398" max="7398" width="2.28515625" style="478"/>
    <col min="7399" max="7399" width="9.7109375" style="478" customWidth="1"/>
    <col min="7400" max="7400" width="2.28515625" style="478"/>
    <col min="7401" max="7401" width="9.7109375" style="478" customWidth="1"/>
    <col min="7402" max="7402" width="2.28515625" style="478"/>
    <col min="7403" max="7403" width="9.7109375" style="478" customWidth="1"/>
    <col min="7404" max="7404" width="2.28515625" style="478"/>
    <col min="7405" max="7405" width="9.7109375" style="478" customWidth="1"/>
    <col min="7406" max="7406" width="13.28515625" style="478" bestFit="1" customWidth="1"/>
    <col min="7407" max="7407" width="14" style="478" customWidth="1"/>
    <col min="7408" max="7409" width="13.5703125" style="478" customWidth="1"/>
    <col min="7410" max="7410" width="2.85546875" style="478" customWidth="1"/>
    <col min="7411" max="7411" width="19.28515625" style="478" bestFit="1" customWidth="1"/>
    <col min="7412" max="7412" width="8.85546875" style="478" bestFit="1" customWidth="1"/>
    <col min="7413" max="7413" width="13.5703125" style="478" customWidth="1"/>
    <col min="7414" max="7414" width="31.140625" style="478" customWidth="1"/>
    <col min="7415" max="7415" width="14.140625" style="478" customWidth="1"/>
    <col min="7416" max="7416" width="2.28515625" style="478"/>
    <col min="7417" max="7417" width="9.7109375" style="478" customWidth="1"/>
    <col min="7418" max="7418" width="2.28515625" style="478"/>
    <col min="7419" max="7419" width="9.7109375" style="478" customWidth="1"/>
    <col min="7420" max="7420" width="2.28515625" style="478"/>
    <col min="7421" max="7421" width="9.7109375" style="478" customWidth="1"/>
    <col min="7422" max="7422" width="2.28515625" style="478"/>
    <col min="7423" max="7423" width="11" style="478" customWidth="1"/>
    <col min="7424" max="7424" width="2.28515625" style="478"/>
    <col min="7425" max="7425" width="35" style="478" customWidth="1"/>
    <col min="7426" max="7426" width="2.140625" style="478" customWidth="1"/>
    <col min="7427" max="7427" width="20" style="478" customWidth="1"/>
    <col min="7428" max="7428" width="2.140625" style="478" customWidth="1"/>
    <col min="7429" max="7429" width="20" style="478" customWidth="1"/>
    <col min="7430" max="7430" width="2.140625" style="478" customWidth="1"/>
    <col min="7431" max="7431" width="20" style="478" customWidth="1"/>
    <col min="7432" max="7432" width="2.28515625" style="478"/>
    <col min="7433" max="7433" width="9.7109375" style="478" customWidth="1"/>
    <col min="7434" max="7434" width="2.28515625" style="478"/>
    <col min="7435" max="7435" width="9.7109375" style="478" customWidth="1"/>
    <col min="7436" max="7639" width="13.5703125" style="478" customWidth="1"/>
    <col min="7640" max="7640" width="31.140625" style="478" customWidth="1"/>
    <col min="7641" max="7641" width="14.140625" style="478" customWidth="1"/>
    <col min="7642" max="7642" width="2.28515625" style="478"/>
    <col min="7643" max="7643" width="9.7109375" style="478" customWidth="1"/>
    <col min="7644" max="7644" width="2.28515625" style="478"/>
    <col min="7645" max="7645" width="9.7109375" style="478" customWidth="1"/>
    <col min="7646" max="7646" width="2.28515625" style="478"/>
    <col min="7647" max="7647" width="9.7109375" style="478" customWidth="1"/>
    <col min="7648" max="7648" width="2.28515625" style="478"/>
    <col min="7649" max="7649" width="11" style="478" customWidth="1"/>
    <col min="7650" max="7650" width="2.28515625" style="478"/>
    <col min="7651" max="7651" width="9.7109375" style="478" customWidth="1"/>
    <col min="7652" max="7652" width="4.28515625" style="478" customWidth="1"/>
    <col min="7653" max="7653" width="12.28515625" style="478" customWidth="1"/>
    <col min="7654" max="7654" width="2.28515625" style="478"/>
    <col min="7655" max="7655" width="9.7109375" style="478" customWidth="1"/>
    <col min="7656" max="7656" width="2.28515625" style="478"/>
    <col min="7657" max="7657" width="9.7109375" style="478" customWidth="1"/>
    <col min="7658" max="7658" width="2.28515625" style="478"/>
    <col min="7659" max="7659" width="9.7109375" style="478" customWidth="1"/>
    <col min="7660" max="7660" width="2.28515625" style="478"/>
    <col min="7661" max="7661" width="9.7109375" style="478" customWidth="1"/>
    <col min="7662" max="7662" width="13.28515625" style="478" bestFit="1" customWidth="1"/>
    <col min="7663" max="7663" width="14" style="478" customWidth="1"/>
    <col min="7664" max="7665" width="13.5703125" style="478" customWidth="1"/>
    <col min="7666" max="7666" width="2.85546875" style="478" customWidth="1"/>
    <col min="7667" max="7667" width="19.28515625" style="478" bestFit="1" customWidth="1"/>
    <col min="7668" max="7668" width="8.85546875" style="478" bestFit="1" customWidth="1"/>
    <col min="7669" max="7669" width="13.5703125" style="478" customWidth="1"/>
    <col min="7670" max="7670" width="31.140625" style="478" customWidth="1"/>
    <col min="7671" max="7671" width="14.140625" style="478" customWidth="1"/>
    <col min="7672" max="7672" width="2.28515625" style="478"/>
    <col min="7673" max="7673" width="9.7109375" style="478" customWidth="1"/>
    <col min="7674" max="7674" width="2.28515625" style="478"/>
    <col min="7675" max="7675" width="9.7109375" style="478" customWidth="1"/>
    <col min="7676" max="7676" width="2.28515625" style="478"/>
    <col min="7677" max="7677" width="9.7109375" style="478" customWidth="1"/>
    <col min="7678" max="7678" width="2.28515625" style="478"/>
    <col min="7679" max="7679" width="11" style="478" customWidth="1"/>
    <col min="7680" max="7680" width="2.28515625" style="478"/>
    <col min="7681" max="7681" width="35" style="478" customWidth="1"/>
    <col min="7682" max="7682" width="2.140625" style="478" customWidth="1"/>
    <col min="7683" max="7683" width="20" style="478" customWidth="1"/>
    <col min="7684" max="7684" width="2.140625" style="478" customWidth="1"/>
    <col min="7685" max="7685" width="20" style="478" customWidth="1"/>
    <col min="7686" max="7686" width="2.140625" style="478" customWidth="1"/>
    <col min="7687" max="7687" width="20" style="478" customWidth="1"/>
    <col min="7688" max="7688" width="2.28515625" style="478"/>
    <col min="7689" max="7689" width="9.7109375" style="478" customWidth="1"/>
    <col min="7690" max="7690" width="2.28515625" style="478"/>
    <col min="7691" max="7691" width="9.7109375" style="478" customWidth="1"/>
    <col min="7692" max="7895" width="13.5703125" style="478" customWidth="1"/>
    <col min="7896" max="7896" width="31.140625" style="478" customWidth="1"/>
    <col min="7897" max="7897" width="14.140625" style="478" customWidth="1"/>
    <col min="7898" max="7898" width="2.28515625" style="478"/>
    <col min="7899" max="7899" width="9.7109375" style="478" customWidth="1"/>
    <col min="7900" max="7900" width="2.28515625" style="478"/>
    <col min="7901" max="7901" width="9.7109375" style="478" customWidth="1"/>
    <col min="7902" max="7902" width="2.28515625" style="478"/>
    <col min="7903" max="7903" width="9.7109375" style="478" customWidth="1"/>
    <col min="7904" max="7904" width="2.28515625" style="478"/>
    <col min="7905" max="7905" width="11" style="478" customWidth="1"/>
    <col min="7906" max="7906" width="2.28515625" style="478"/>
    <col min="7907" max="7907" width="9.7109375" style="478" customWidth="1"/>
    <col min="7908" max="7908" width="4.28515625" style="478" customWidth="1"/>
    <col min="7909" max="7909" width="12.28515625" style="478" customWidth="1"/>
    <col min="7910" max="7910" width="2.28515625" style="478"/>
    <col min="7911" max="7911" width="9.7109375" style="478" customWidth="1"/>
    <col min="7912" max="7912" width="2.28515625" style="478"/>
    <col min="7913" max="7913" width="9.7109375" style="478" customWidth="1"/>
    <col min="7914" max="7914" width="2.28515625" style="478"/>
    <col min="7915" max="7915" width="9.7109375" style="478" customWidth="1"/>
    <col min="7916" max="7916" width="2.28515625" style="478"/>
    <col min="7917" max="7917" width="9.7109375" style="478" customWidth="1"/>
    <col min="7918" max="7918" width="13.28515625" style="478" bestFit="1" customWidth="1"/>
    <col min="7919" max="7919" width="14" style="478" customWidth="1"/>
    <col min="7920" max="7921" width="13.5703125" style="478" customWidth="1"/>
    <col min="7922" max="7922" width="2.85546875" style="478" customWidth="1"/>
    <col min="7923" max="7923" width="19.28515625" style="478" bestFit="1" customWidth="1"/>
    <col min="7924" max="7924" width="8.85546875" style="478" bestFit="1" customWidth="1"/>
    <col min="7925" max="7925" width="13.5703125" style="478" customWidth="1"/>
    <col min="7926" max="7926" width="31.140625" style="478" customWidth="1"/>
    <col min="7927" max="7927" width="14.140625" style="478" customWidth="1"/>
    <col min="7928" max="7928" width="2.28515625" style="478"/>
    <col min="7929" max="7929" width="9.7109375" style="478" customWidth="1"/>
    <col min="7930" max="7930" width="2.28515625" style="478"/>
    <col min="7931" max="7931" width="9.7109375" style="478" customWidth="1"/>
    <col min="7932" max="7932" width="2.28515625" style="478"/>
    <col min="7933" max="7933" width="9.7109375" style="478" customWidth="1"/>
    <col min="7934" max="7934" width="2.28515625" style="478"/>
    <col min="7935" max="7935" width="11" style="478" customWidth="1"/>
    <col min="7936" max="7936" width="2.28515625" style="478"/>
    <col min="7937" max="7937" width="35" style="478" customWidth="1"/>
    <col min="7938" max="7938" width="2.140625" style="478" customWidth="1"/>
    <col min="7939" max="7939" width="20" style="478" customWidth="1"/>
    <col min="7940" max="7940" width="2.140625" style="478" customWidth="1"/>
    <col min="7941" max="7941" width="20" style="478" customWidth="1"/>
    <col min="7942" max="7942" width="2.140625" style="478" customWidth="1"/>
    <col min="7943" max="7943" width="20" style="478" customWidth="1"/>
    <col min="7944" max="7944" width="2.28515625" style="478"/>
    <col min="7945" max="7945" width="9.7109375" style="478" customWidth="1"/>
    <col min="7946" max="7946" width="2.28515625" style="478"/>
    <col min="7947" max="7947" width="9.7109375" style="478" customWidth="1"/>
    <col min="7948" max="8151" width="13.5703125" style="478" customWidth="1"/>
    <col min="8152" max="8152" width="31.140625" style="478" customWidth="1"/>
    <col min="8153" max="8153" width="14.140625" style="478" customWidth="1"/>
    <col min="8154" max="8154" width="2.28515625" style="478"/>
    <col min="8155" max="8155" width="9.7109375" style="478" customWidth="1"/>
    <col min="8156" max="8156" width="2.28515625" style="478"/>
    <col min="8157" max="8157" width="9.7109375" style="478" customWidth="1"/>
    <col min="8158" max="8158" width="2.28515625" style="478"/>
    <col min="8159" max="8159" width="9.7109375" style="478" customWidth="1"/>
    <col min="8160" max="8160" width="2.28515625" style="478"/>
    <col min="8161" max="8161" width="11" style="478" customWidth="1"/>
    <col min="8162" max="8162" width="2.28515625" style="478"/>
    <col min="8163" max="8163" width="9.7109375" style="478" customWidth="1"/>
    <col min="8164" max="8164" width="4.28515625" style="478" customWidth="1"/>
    <col min="8165" max="8165" width="12.28515625" style="478" customWidth="1"/>
    <col min="8166" max="8166" width="2.28515625" style="478"/>
    <col min="8167" max="8167" width="9.7109375" style="478" customWidth="1"/>
    <col min="8168" max="8168" width="2.28515625" style="478"/>
    <col min="8169" max="8169" width="9.7109375" style="478" customWidth="1"/>
    <col min="8170" max="8170" width="2.28515625" style="478"/>
    <col min="8171" max="8171" width="9.7109375" style="478" customWidth="1"/>
    <col min="8172" max="8172" width="2.28515625" style="478"/>
    <col min="8173" max="8173" width="9.7109375" style="478" customWidth="1"/>
    <col min="8174" max="8174" width="13.28515625" style="478" bestFit="1" customWidth="1"/>
    <col min="8175" max="8175" width="14" style="478" customWidth="1"/>
    <col min="8176" max="8177" width="13.5703125" style="478" customWidth="1"/>
    <col min="8178" max="8178" width="2.85546875" style="478" customWidth="1"/>
    <col min="8179" max="8179" width="19.28515625" style="478" bestFit="1" customWidth="1"/>
    <col min="8180" max="8180" width="8.85546875" style="478" bestFit="1" customWidth="1"/>
    <col min="8181" max="8181" width="13.5703125" style="478" customWidth="1"/>
    <col min="8182" max="8182" width="31.140625" style="478" customWidth="1"/>
    <col min="8183" max="8183" width="14.140625" style="478" customWidth="1"/>
    <col min="8184" max="8184" width="2.28515625" style="478"/>
    <col min="8185" max="8185" width="9.7109375" style="478" customWidth="1"/>
    <col min="8186" max="8186" width="2.28515625" style="478"/>
    <col min="8187" max="8187" width="9.7109375" style="478" customWidth="1"/>
    <col min="8188" max="8188" width="2.28515625" style="478"/>
    <col min="8189" max="8189" width="9.7109375" style="478" customWidth="1"/>
    <col min="8190" max="8190" width="2.28515625" style="478"/>
    <col min="8191" max="8191" width="11" style="478" customWidth="1"/>
    <col min="8192" max="8192" width="2.28515625" style="478"/>
    <col min="8193" max="8193" width="35" style="478" customWidth="1"/>
    <col min="8194" max="8194" width="2.140625" style="478" customWidth="1"/>
    <col min="8195" max="8195" width="20" style="478" customWidth="1"/>
    <col min="8196" max="8196" width="2.140625" style="478" customWidth="1"/>
    <col min="8197" max="8197" width="20" style="478" customWidth="1"/>
    <col min="8198" max="8198" width="2.140625" style="478" customWidth="1"/>
    <col min="8199" max="8199" width="20" style="478" customWidth="1"/>
    <col min="8200" max="8200" width="2.28515625" style="478"/>
    <col min="8201" max="8201" width="9.7109375" style="478" customWidth="1"/>
    <col min="8202" max="8202" width="2.28515625" style="478"/>
    <col min="8203" max="8203" width="9.7109375" style="478" customWidth="1"/>
    <col min="8204" max="8407" width="13.5703125" style="478" customWidth="1"/>
    <col min="8408" max="8408" width="31.140625" style="478" customWidth="1"/>
    <col min="8409" max="8409" width="14.140625" style="478" customWidth="1"/>
    <col min="8410" max="8410" width="2.28515625" style="478"/>
    <col min="8411" max="8411" width="9.7109375" style="478" customWidth="1"/>
    <col min="8412" max="8412" width="2.28515625" style="478"/>
    <col min="8413" max="8413" width="9.7109375" style="478" customWidth="1"/>
    <col min="8414" max="8414" width="2.28515625" style="478"/>
    <col min="8415" max="8415" width="9.7109375" style="478" customWidth="1"/>
    <col min="8416" max="8416" width="2.28515625" style="478"/>
    <col min="8417" max="8417" width="11" style="478" customWidth="1"/>
    <col min="8418" max="8418" width="2.28515625" style="478"/>
    <col min="8419" max="8419" width="9.7109375" style="478" customWidth="1"/>
    <col min="8420" max="8420" width="4.28515625" style="478" customWidth="1"/>
    <col min="8421" max="8421" width="12.28515625" style="478" customWidth="1"/>
    <col min="8422" max="8422" width="2.28515625" style="478"/>
    <col min="8423" max="8423" width="9.7109375" style="478" customWidth="1"/>
    <col min="8424" max="8424" width="2.28515625" style="478"/>
    <col min="8425" max="8425" width="9.7109375" style="478" customWidth="1"/>
    <col min="8426" max="8426" width="2.28515625" style="478"/>
    <col min="8427" max="8427" width="9.7109375" style="478" customWidth="1"/>
    <col min="8428" max="8428" width="2.28515625" style="478"/>
    <col min="8429" max="8429" width="9.7109375" style="478" customWidth="1"/>
    <col min="8430" max="8430" width="13.28515625" style="478" bestFit="1" customWidth="1"/>
    <col min="8431" max="8431" width="14" style="478" customWidth="1"/>
    <col min="8432" max="8433" width="13.5703125" style="478" customWidth="1"/>
    <col min="8434" max="8434" width="2.85546875" style="478" customWidth="1"/>
    <col min="8435" max="8435" width="19.28515625" style="478" bestFit="1" customWidth="1"/>
    <col min="8436" max="8436" width="8.85546875" style="478" bestFit="1" customWidth="1"/>
    <col min="8437" max="8437" width="13.5703125" style="478" customWidth="1"/>
    <col min="8438" max="8438" width="31.140625" style="478" customWidth="1"/>
    <col min="8439" max="8439" width="14.140625" style="478" customWidth="1"/>
    <col min="8440" max="8440" width="2.28515625" style="478"/>
    <col min="8441" max="8441" width="9.7109375" style="478" customWidth="1"/>
    <col min="8442" max="8442" width="2.28515625" style="478"/>
    <col min="8443" max="8443" width="9.7109375" style="478" customWidth="1"/>
    <col min="8444" max="8444" width="2.28515625" style="478"/>
    <col min="8445" max="8445" width="9.7109375" style="478" customWidth="1"/>
    <col min="8446" max="8446" width="2.28515625" style="478"/>
    <col min="8447" max="8447" width="11" style="478" customWidth="1"/>
    <col min="8448" max="8448" width="2.28515625" style="478"/>
    <col min="8449" max="8449" width="35" style="478" customWidth="1"/>
    <col min="8450" max="8450" width="2.140625" style="478" customWidth="1"/>
    <col min="8451" max="8451" width="20" style="478" customWidth="1"/>
    <col min="8452" max="8452" width="2.140625" style="478" customWidth="1"/>
    <col min="8453" max="8453" width="20" style="478" customWidth="1"/>
    <col min="8454" max="8454" width="2.140625" style="478" customWidth="1"/>
    <col min="8455" max="8455" width="20" style="478" customWidth="1"/>
    <col min="8456" max="8456" width="2.28515625" style="478"/>
    <col min="8457" max="8457" width="9.7109375" style="478" customWidth="1"/>
    <col min="8458" max="8458" width="2.28515625" style="478"/>
    <col min="8459" max="8459" width="9.7109375" style="478" customWidth="1"/>
    <col min="8460" max="8663" width="13.5703125" style="478" customWidth="1"/>
    <col min="8664" max="8664" width="31.140625" style="478" customWidth="1"/>
    <col min="8665" max="8665" width="14.140625" style="478" customWidth="1"/>
    <col min="8666" max="8666" width="2.28515625" style="478"/>
    <col min="8667" max="8667" width="9.7109375" style="478" customWidth="1"/>
    <col min="8668" max="8668" width="2.28515625" style="478"/>
    <col min="8669" max="8669" width="9.7109375" style="478" customWidth="1"/>
    <col min="8670" max="8670" width="2.28515625" style="478"/>
    <col min="8671" max="8671" width="9.7109375" style="478" customWidth="1"/>
    <col min="8672" max="8672" width="2.28515625" style="478"/>
    <col min="8673" max="8673" width="11" style="478" customWidth="1"/>
    <col min="8674" max="8674" width="2.28515625" style="478"/>
    <col min="8675" max="8675" width="9.7109375" style="478" customWidth="1"/>
    <col min="8676" max="8676" width="4.28515625" style="478" customWidth="1"/>
    <col min="8677" max="8677" width="12.28515625" style="478" customWidth="1"/>
    <col min="8678" max="8678" width="2.28515625" style="478"/>
    <col min="8679" max="8679" width="9.7109375" style="478" customWidth="1"/>
    <col min="8680" max="8680" width="2.28515625" style="478"/>
    <col min="8681" max="8681" width="9.7109375" style="478" customWidth="1"/>
    <col min="8682" max="8682" width="2.28515625" style="478"/>
    <col min="8683" max="8683" width="9.7109375" style="478" customWidth="1"/>
    <col min="8684" max="8684" width="2.28515625" style="478"/>
    <col min="8685" max="8685" width="9.7109375" style="478" customWidth="1"/>
    <col min="8686" max="8686" width="13.28515625" style="478" bestFit="1" customWidth="1"/>
    <col min="8687" max="8687" width="14" style="478" customWidth="1"/>
    <col min="8688" max="8689" width="13.5703125" style="478" customWidth="1"/>
    <col min="8690" max="8690" width="2.85546875" style="478" customWidth="1"/>
    <col min="8691" max="8691" width="19.28515625" style="478" bestFit="1" customWidth="1"/>
    <col min="8692" max="8692" width="8.85546875" style="478" bestFit="1" customWidth="1"/>
    <col min="8693" max="8693" width="13.5703125" style="478" customWidth="1"/>
    <col min="8694" max="8694" width="31.140625" style="478" customWidth="1"/>
    <col min="8695" max="8695" width="14.140625" style="478" customWidth="1"/>
    <col min="8696" max="8696" width="2.28515625" style="478"/>
    <col min="8697" max="8697" width="9.7109375" style="478" customWidth="1"/>
    <col min="8698" max="8698" width="2.28515625" style="478"/>
    <col min="8699" max="8699" width="9.7109375" style="478" customWidth="1"/>
    <col min="8700" max="8700" width="2.28515625" style="478"/>
    <col min="8701" max="8701" width="9.7109375" style="478" customWidth="1"/>
    <col min="8702" max="8702" width="2.28515625" style="478"/>
    <col min="8703" max="8703" width="11" style="478" customWidth="1"/>
    <col min="8704" max="8704" width="2.28515625" style="478"/>
    <col min="8705" max="8705" width="35" style="478" customWidth="1"/>
    <col min="8706" max="8706" width="2.140625" style="478" customWidth="1"/>
    <col min="8707" max="8707" width="20" style="478" customWidth="1"/>
    <col min="8708" max="8708" width="2.140625" style="478" customWidth="1"/>
    <col min="8709" max="8709" width="20" style="478" customWidth="1"/>
    <col min="8710" max="8710" width="2.140625" style="478" customWidth="1"/>
    <col min="8711" max="8711" width="20" style="478" customWidth="1"/>
    <col min="8712" max="8712" width="2.28515625" style="478"/>
    <col min="8713" max="8713" width="9.7109375" style="478" customWidth="1"/>
    <col min="8714" max="8714" width="2.28515625" style="478"/>
    <col min="8715" max="8715" width="9.7109375" style="478" customWidth="1"/>
    <col min="8716" max="8919" width="13.5703125" style="478" customWidth="1"/>
    <col min="8920" max="8920" width="31.140625" style="478" customWidth="1"/>
    <col min="8921" max="8921" width="14.140625" style="478" customWidth="1"/>
    <col min="8922" max="8922" width="2.28515625" style="478"/>
    <col min="8923" max="8923" width="9.7109375" style="478" customWidth="1"/>
    <col min="8924" max="8924" width="2.28515625" style="478"/>
    <col min="8925" max="8925" width="9.7109375" style="478" customWidth="1"/>
    <col min="8926" max="8926" width="2.28515625" style="478"/>
    <col min="8927" max="8927" width="9.7109375" style="478" customWidth="1"/>
    <col min="8928" max="8928" width="2.28515625" style="478"/>
    <col min="8929" max="8929" width="11" style="478" customWidth="1"/>
    <col min="8930" max="8930" width="2.28515625" style="478"/>
    <col min="8931" max="8931" width="9.7109375" style="478" customWidth="1"/>
    <col min="8932" max="8932" width="4.28515625" style="478" customWidth="1"/>
    <col min="8933" max="8933" width="12.28515625" style="478" customWidth="1"/>
    <col min="8934" max="8934" width="2.28515625" style="478"/>
    <col min="8935" max="8935" width="9.7109375" style="478" customWidth="1"/>
    <col min="8936" max="8936" width="2.28515625" style="478"/>
    <col min="8937" max="8937" width="9.7109375" style="478" customWidth="1"/>
    <col min="8938" max="8938" width="2.28515625" style="478"/>
    <col min="8939" max="8939" width="9.7109375" style="478" customWidth="1"/>
    <col min="8940" max="8940" width="2.28515625" style="478"/>
    <col min="8941" max="8941" width="9.7109375" style="478" customWidth="1"/>
    <col min="8942" max="8942" width="13.28515625" style="478" bestFit="1" customWidth="1"/>
    <col min="8943" max="8943" width="14" style="478" customWidth="1"/>
    <col min="8944" max="8945" width="13.5703125" style="478" customWidth="1"/>
    <col min="8946" max="8946" width="2.85546875" style="478" customWidth="1"/>
    <col min="8947" max="8947" width="19.28515625" style="478" bestFit="1" customWidth="1"/>
    <col min="8948" max="8948" width="8.85546875" style="478" bestFit="1" customWidth="1"/>
    <col min="8949" max="8949" width="13.5703125" style="478" customWidth="1"/>
    <col min="8950" max="8950" width="31.140625" style="478" customWidth="1"/>
    <col min="8951" max="8951" width="14.140625" style="478" customWidth="1"/>
    <col min="8952" max="8952" width="2.28515625" style="478"/>
    <col min="8953" max="8953" width="9.7109375" style="478" customWidth="1"/>
    <col min="8954" max="8954" width="2.28515625" style="478"/>
    <col min="8955" max="8955" width="9.7109375" style="478" customWidth="1"/>
    <col min="8956" max="8956" width="2.28515625" style="478"/>
    <col min="8957" max="8957" width="9.7109375" style="478" customWidth="1"/>
    <col min="8958" max="8958" width="2.28515625" style="478"/>
    <col min="8959" max="8959" width="11" style="478" customWidth="1"/>
    <col min="8960" max="8960" width="2.28515625" style="478"/>
    <col min="8961" max="8961" width="35" style="478" customWidth="1"/>
    <col min="8962" max="8962" width="2.140625" style="478" customWidth="1"/>
    <col min="8963" max="8963" width="20" style="478" customWidth="1"/>
    <col min="8964" max="8964" width="2.140625" style="478" customWidth="1"/>
    <col min="8965" max="8965" width="20" style="478" customWidth="1"/>
    <col min="8966" max="8966" width="2.140625" style="478" customWidth="1"/>
    <col min="8967" max="8967" width="20" style="478" customWidth="1"/>
    <col min="8968" max="8968" width="2.28515625" style="478"/>
    <col min="8969" max="8969" width="9.7109375" style="478" customWidth="1"/>
    <col min="8970" max="8970" width="2.28515625" style="478"/>
    <col min="8971" max="8971" width="9.7109375" style="478" customWidth="1"/>
    <col min="8972" max="9175" width="13.5703125" style="478" customWidth="1"/>
    <col min="9176" max="9176" width="31.140625" style="478" customWidth="1"/>
    <col min="9177" max="9177" width="14.140625" style="478" customWidth="1"/>
    <col min="9178" max="9178" width="2.28515625" style="478"/>
    <col min="9179" max="9179" width="9.7109375" style="478" customWidth="1"/>
    <col min="9180" max="9180" width="2.28515625" style="478"/>
    <col min="9181" max="9181" width="9.7109375" style="478" customWidth="1"/>
    <col min="9182" max="9182" width="2.28515625" style="478"/>
    <col min="9183" max="9183" width="9.7109375" style="478" customWidth="1"/>
    <col min="9184" max="9184" width="2.28515625" style="478"/>
    <col min="9185" max="9185" width="11" style="478" customWidth="1"/>
    <col min="9186" max="9186" width="2.28515625" style="478"/>
    <col min="9187" max="9187" width="9.7109375" style="478" customWidth="1"/>
    <col min="9188" max="9188" width="4.28515625" style="478" customWidth="1"/>
    <col min="9189" max="9189" width="12.28515625" style="478" customWidth="1"/>
    <col min="9190" max="9190" width="2.28515625" style="478"/>
    <col min="9191" max="9191" width="9.7109375" style="478" customWidth="1"/>
    <col min="9192" max="9192" width="2.28515625" style="478"/>
    <col min="9193" max="9193" width="9.7109375" style="478" customWidth="1"/>
    <col min="9194" max="9194" width="2.28515625" style="478"/>
    <col min="9195" max="9195" width="9.7109375" style="478" customWidth="1"/>
    <col min="9196" max="9196" width="2.28515625" style="478"/>
    <col min="9197" max="9197" width="9.7109375" style="478" customWidth="1"/>
    <col min="9198" max="9198" width="13.28515625" style="478" bestFit="1" customWidth="1"/>
    <col min="9199" max="9199" width="14" style="478" customWidth="1"/>
    <col min="9200" max="9201" width="13.5703125" style="478" customWidth="1"/>
    <col min="9202" max="9202" width="2.85546875" style="478" customWidth="1"/>
    <col min="9203" max="9203" width="19.28515625" style="478" bestFit="1" customWidth="1"/>
    <col min="9204" max="9204" width="8.85546875" style="478" bestFit="1" customWidth="1"/>
    <col min="9205" max="9205" width="13.5703125" style="478" customWidth="1"/>
    <col min="9206" max="9206" width="31.140625" style="478" customWidth="1"/>
    <col min="9207" max="9207" width="14.140625" style="478" customWidth="1"/>
    <col min="9208" max="9208" width="2.28515625" style="478"/>
    <col min="9209" max="9209" width="9.7109375" style="478" customWidth="1"/>
    <col min="9210" max="9210" width="2.28515625" style="478"/>
    <col min="9211" max="9211" width="9.7109375" style="478" customWidth="1"/>
    <col min="9212" max="9212" width="2.28515625" style="478"/>
    <col min="9213" max="9213" width="9.7109375" style="478" customWidth="1"/>
    <col min="9214" max="9214" width="2.28515625" style="478"/>
    <col min="9215" max="9215" width="11" style="478" customWidth="1"/>
    <col min="9216" max="9216" width="2.28515625" style="478"/>
    <col min="9217" max="9217" width="35" style="478" customWidth="1"/>
    <col min="9218" max="9218" width="2.140625" style="478" customWidth="1"/>
    <col min="9219" max="9219" width="20" style="478" customWidth="1"/>
    <col min="9220" max="9220" width="2.140625" style="478" customWidth="1"/>
    <col min="9221" max="9221" width="20" style="478" customWidth="1"/>
    <col min="9222" max="9222" width="2.140625" style="478" customWidth="1"/>
    <col min="9223" max="9223" width="20" style="478" customWidth="1"/>
    <col min="9224" max="9224" width="2.28515625" style="478"/>
    <col min="9225" max="9225" width="9.7109375" style="478" customWidth="1"/>
    <col min="9226" max="9226" width="2.28515625" style="478"/>
    <col min="9227" max="9227" width="9.7109375" style="478" customWidth="1"/>
    <col min="9228" max="9431" width="13.5703125" style="478" customWidth="1"/>
    <col min="9432" max="9432" width="31.140625" style="478" customWidth="1"/>
    <col min="9433" max="9433" width="14.140625" style="478" customWidth="1"/>
    <col min="9434" max="9434" width="2.28515625" style="478"/>
    <col min="9435" max="9435" width="9.7109375" style="478" customWidth="1"/>
    <col min="9436" max="9436" width="2.28515625" style="478"/>
    <col min="9437" max="9437" width="9.7109375" style="478" customWidth="1"/>
    <col min="9438" max="9438" width="2.28515625" style="478"/>
    <col min="9439" max="9439" width="9.7109375" style="478" customWidth="1"/>
    <col min="9440" max="9440" width="2.28515625" style="478"/>
    <col min="9441" max="9441" width="11" style="478" customWidth="1"/>
    <col min="9442" max="9442" width="2.28515625" style="478"/>
    <col min="9443" max="9443" width="9.7109375" style="478" customWidth="1"/>
    <col min="9444" max="9444" width="4.28515625" style="478" customWidth="1"/>
    <col min="9445" max="9445" width="12.28515625" style="478" customWidth="1"/>
    <col min="9446" max="9446" width="2.28515625" style="478"/>
    <col min="9447" max="9447" width="9.7109375" style="478" customWidth="1"/>
    <col min="9448" max="9448" width="2.28515625" style="478"/>
    <col min="9449" max="9449" width="9.7109375" style="478" customWidth="1"/>
    <col min="9450" max="9450" width="2.28515625" style="478"/>
    <col min="9451" max="9451" width="9.7109375" style="478" customWidth="1"/>
    <col min="9452" max="9452" width="2.28515625" style="478"/>
    <col min="9453" max="9453" width="9.7109375" style="478" customWidth="1"/>
    <col min="9454" max="9454" width="13.28515625" style="478" bestFit="1" customWidth="1"/>
    <col min="9455" max="9455" width="14" style="478" customWidth="1"/>
    <col min="9456" max="9457" width="13.5703125" style="478" customWidth="1"/>
    <col min="9458" max="9458" width="2.85546875" style="478" customWidth="1"/>
    <col min="9459" max="9459" width="19.28515625" style="478" bestFit="1" customWidth="1"/>
    <col min="9460" max="9460" width="8.85546875" style="478" bestFit="1" customWidth="1"/>
    <col min="9461" max="9461" width="13.5703125" style="478" customWidth="1"/>
    <col min="9462" max="9462" width="31.140625" style="478" customWidth="1"/>
    <col min="9463" max="9463" width="14.140625" style="478" customWidth="1"/>
    <col min="9464" max="9464" width="2.28515625" style="478"/>
    <col min="9465" max="9465" width="9.7109375" style="478" customWidth="1"/>
    <col min="9466" max="9466" width="2.28515625" style="478"/>
    <col min="9467" max="9467" width="9.7109375" style="478" customWidth="1"/>
    <col min="9468" max="9468" width="2.28515625" style="478"/>
    <col min="9469" max="9469" width="9.7109375" style="478" customWidth="1"/>
    <col min="9470" max="9470" width="2.28515625" style="478"/>
    <col min="9471" max="9471" width="11" style="478" customWidth="1"/>
    <col min="9472" max="9472" width="2.28515625" style="478"/>
    <col min="9473" max="9473" width="35" style="478" customWidth="1"/>
    <col min="9474" max="9474" width="2.140625" style="478" customWidth="1"/>
    <col min="9475" max="9475" width="20" style="478" customWidth="1"/>
    <col min="9476" max="9476" width="2.140625" style="478" customWidth="1"/>
    <col min="9477" max="9477" width="20" style="478" customWidth="1"/>
    <col min="9478" max="9478" width="2.140625" style="478" customWidth="1"/>
    <col min="9479" max="9479" width="20" style="478" customWidth="1"/>
    <col min="9480" max="9480" width="2.28515625" style="478"/>
    <col min="9481" max="9481" width="9.7109375" style="478" customWidth="1"/>
    <col min="9482" max="9482" width="2.28515625" style="478"/>
    <col min="9483" max="9483" width="9.7109375" style="478" customWidth="1"/>
    <col min="9484" max="9687" width="13.5703125" style="478" customWidth="1"/>
    <col min="9688" max="9688" width="31.140625" style="478" customWidth="1"/>
    <col min="9689" max="9689" width="14.140625" style="478" customWidth="1"/>
    <col min="9690" max="9690" width="2.28515625" style="478"/>
    <col min="9691" max="9691" width="9.7109375" style="478" customWidth="1"/>
    <col min="9692" max="9692" width="2.28515625" style="478"/>
    <col min="9693" max="9693" width="9.7109375" style="478" customWidth="1"/>
    <col min="9694" max="9694" width="2.28515625" style="478"/>
    <col min="9695" max="9695" width="9.7109375" style="478" customWidth="1"/>
    <col min="9696" max="9696" width="2.28515625" style="478"/>
    <col min="9697" max="9697" width="11" style="478" customWidth="1"/>
    <col min="9698" max="9698" width="2.28515625" style="478"/>
    <col min="9699" max="9699" width="9.7109375" style="478" customWidth="1"/>
    <col min="9700" max="9700" width="4.28515625" style="478" customWidth="1"/>
    <col min="9701" max="9701" width="12.28515625" style="478" customWidth="1"/>
    <col min="9702" max="9702" width="2.28515625" style="478"/>
    <col min="9703" max="9703" width="9.7109375" style="478" customWidth="1"/>
    <col min="9704" max="9704" width="2.28515625" style="478"/>
    <col min="9705" max="9705" width="9.7109375" style="478" customWidth="1"/>
    <col min="9706" max="9706" width="2.28515625" style="478"/>
    <col min="9707" max="9707" width="9.7109375" style="478" customWidth="1"/>
    <col min="9708" max="9708" width="2.28515625" style="478"/>
    <col min="9709" max="9709" width="9.7109375" style="478" customWidth="1"/>
    <col min="9710" max="9710" width="13.28515625" style="478" bestFit="1" customWidth="1"/>
    <col min="9711" max="9711" width="14" style="478" customWidth="1"/>
    <col min="9712" max="9713" width="13.5703125" style="478" customWidth="1"/>
    <col min="9714" max="9714" width="2.85546875" style="478" customWidth="1"/>
    <col min="9715" max="9715" width="19.28515625" style="478" bestFit="1" customWidth="1"/>
    <col min="9716" max="9716" width="8.85546875" style="478" bestFit="1" customWidth="1"/>
    <col min="9717" max="9717" width="13.5703125" style="478" customWidth="1"/>
    <col min="9718" max="9718" width="31.140625" style="478" customWidth="1"/>
    <col min="9719" max="9719" width="14.140625" style="478" customWidth="1"/>
    <col min="9720" max="9720" width="2.28515625" style="478"/>
    <col min="9721" max="9721" width="9.7109375" style="478" customWidth="1"/>
    <col min="9722" max="9722" width="2.28515625" style="478"/>
    <col min="9723" max="9723" width="9.7109375" style="478" customWidth="1"/>
    <col min="9724" max="9724" width="2.28515625" style="478"/>
    <col min="9725" max="9725" width="9.7109375" style="478" customWidth="1"/>
    <col min="9726" max="9726" width="2.28515625" style="478"/>
    <col min="9727" max="9727" width="11" style="478" customWidth="1"/>
    <col min="9728" max="9728" width="2.28515625" style="478"/>
    <col min="9729" max="9729" width="35" style="478" customWidth="1"/>
    <col min="9730" max="9730" width="2.140625" style="478" customWidth="1"/>
    <col min="9731" max="9731" width="20" style="478" customWidth="1"/>
    <col min="9732" max="9732" width="2.140625" style="478" customWidth="1"/>
    <col min="9733" max="9733" width="20" style="478" customWidth="1"/>
    <col min="9734" max="9734" width="2.140625" style="478" customWidth="1"/>
    <col min="9735" max="9735" width="20" style="478" customWidth="1"/>
    <col min="9736" max="9736" width="2.28515625" style="478"/>
    <col min="9737" max="9737" width="9.7109375" style="478" customWidth="1"/>
    <col min="9738" max="9738" width="2.28515625" style="478"/>
    <col min="9739" max="9739" width="9.7109375" style="478" customWidth="1"/>
    <col min="9740" max="9943" width="13.5703125" style="478" customWidth="1"/>
    <col min="9944" max="9944" width="31.140625" style="478" customWidth="1"/>
    <col min="9945" max="9945" width="14.140625" style="478" customWidth="1"/>
    <col min="9946" max="9946" width="2.28515625" style="478"/>
    <col min="9947" max="9947" width="9.7109375" style="478" customWidth="1"/>
    <col min="9948" max="9948" width="2.28515625" style="478"/>
    <col min="9949" max="9949" width="9.7109375" style="478" customWidth="1"/>
    <col min="9950" max="9950" width="2.28515625" style="478"/>
    <col min="9951" max="9951" width="9.7109375" style="478" customWidth="1"/>
    <col min="9952" max="9952" width="2.28515625" style="478"/>
    <col min="9953" max="9953" width="11" style="478" customWidth="1"/>
    <col min="9954" max="9954" width="2.28515625" style="478"/>
    <col min="9955" max="9955" width="9.7109375" style="478" customWidth="1"/>
    <col min="9956" max="9956" width="4.28515625" style="478" customWidth="1"/>
    <col min="9957" max="9957" width="12.28515625" style="478" customWidth="1"/>
    <col min="9958" max="9958" width="2.28515625" style="478"/>
    <col min="9959" max="9959" width="9.7109375" style="478" customWidth="1"/>
    <col min="9960" max="9960" width="2.28515625" style="478"/>
    <col min="9961" max="9961" width="9.7109375" style="478" customWidth="1"/>
    <col min="9962" max="9962" width="2.28515625" style="478"/>
    <col min="9963" max="9963" width="9.7109375" style="478" customWidth="1"/>
    <col min="9964" max="9964" width="2.28515625" style="478"/>
    <col min="9965" max="9965" width="9.7109375" style="478" customWidth="1"/>
    <col min="9966" max="9966" width="13.28515625" style="478" bestFit="1" customWidth="1"/>
    <col min="9967" max="9967" width="14" style="478" customWidth="1"/>
    <col min="9968" max="9969" width="13.5703125" style="478" customWidth="1"/>
    <col min="9970" max="9970" width="2.85546875" style="478" customWidth="1"/>
    <col min="9971" max="9971" width="19.28515625" style="478" bestFit="1" customWidth="1"/>
    <col min="9972" max="9972" width="8.85546875" style="478" bestFit="1" customWidth="1"/>
    <col min="9973" max="9973" width="13.5703125" style="478" customWidth="1"/>
    <col min="9974" max="9974" width="31.140625" style="478" customWidth="1"/>
    <col min="9975" max="9975" width="14.140625" style="478" customWidth="1"/>
    <col min="9976" max="9976" width="2.28515625" style="478"/>
    <col min="9977" max="9977" width="9.7109375" style="478" customWidth="1"/>
    <col min="9978" max="9978" width="2.28515625" style="478"/>
    <col min="9979" max="9979" width="9.7109375" style="478" customWidth="1"/>
    <col min="9980" max="9980" width="2.28515625" style="478"/>
    <col min="9981" max="9981" width="9.7109375" style="478" customWidth="1"/>
    <col min="9982" max="9982" width="2.28515625" style="478"/>
    <col min="9983" max="9983" width="11" style="478" customWidth="1"/>
    <col min="9984" max="9984" width="2.28515625" style="478"/>
    <col min="9985" max="9985" width="35" style="478" customWidth="1"/>
    <col min="9986" max="9986" width="2.140625" style="478" customWidth="1"/>
    <col min="9987" max="9987" width="20" style="478" customWidth="1"/>
    <col min="9988" max="9988" width="2.140625" style="478" customWidth="1"/>
    <col min="9989" max="9989" width="20" style="478" customWidth="1"/>
    <col min="9990" max="9990" width="2.140625" style="478" customWidth="1"/>
    <col min="9991" max="9991" width="20" style="478" customWidth="1"/>
    <col min="9992" max="9992" width="2.28515625" style="478"/>
    <col min="9993" max="9993" width="9.7109375" style="478" customWidth="1"/>
    <col min="9994" max="9994" width="2.28515625" style="478"/>
    <col min="9995" max="9995" width="9.7109375" style="478" customWidth="1"/>
    <col min="9996" max="10199" width="13.5703125" style="478" customWidth="1"/>
    <col min="10200" max="10200" width="31.140625" style="478" customWidth="1"/>
    <col min="10201" max="10201" width="14.140625" style="478" customWidth="1"/>
    <col min="10202" max="10202" width="2.28515625" style="478"/>
    <col min="10203" max="10203" width="9.7109375" style="478" customWidth="1"/>
    <col min="10204" max="10204" width="2.28515625" style="478"/>
    <col min="10205" max="10205" width="9.7109375" style="478" customWidth="1"/>
    <col min="10206" max="10206" width="2.28515625" style="478"/>
    <col min="10207" max="10207" width="9.7109375" style="478" customWidth="1"/>
    <col min="10208" max="10208" width="2.28515625" style="478"/>
    <col min="10209" max="10209" width="11" style="478" customWidth="1"/>
    <col min="10210" max="10210" width="2.28515625" style="478"/>
    <col min="10211" max="10211" width="9.7109375" style="478" customWidth="1"/>
    <col min="10212" max="10212" width="4.28515625" style="478" customWidth="1"/>
    <col min="10213" max="10213" width="12.28515625" style="478" customWidth="1"/>
    <col min="10214" max="10214" width="2.28515625" style="478"/>
    <col min="10215" max="10215" width="9.7109375" style="478" customWidth="1"/>
    <col min="10216" max="10216" width="2.28515625" style="478"/>
    <col min="10217" max="10217" width="9.7109375" style="478" customWidth="1"/>
    <col min="10218" max="10218" width="2.28515625" style="478"/>
    <col min="10219" max="10219" width="9.7109375" style="478" customWidth="1"/>
    <col min="10220" max="10220" width="2.28515625" style="478"/>
    <col min="10221" max="10221" width="9.7109375" style="478" customWidth="1"/>
    <col min="10222" max="10222" width="13.28515625" style="478" bestFit="1" customWidth="1"/>
    <col min="10223" max="10223" width="14" style="478" customWidth="1"/>
    <col min="10224" max="10225" width="13.5703125" style="478" customWidth="1"/>
    <col min="10226" max="10226" width="2.85546875" style="478" customWidth="1"/>
    <col min="10227" max="10227" width="19.28515625" style="478" bestFit="1" customWidth="1"/>
    <col min="10228" max="10228" width="8.85546875" style="478" bestFit="1" customWidth="1"/>
    <col min="10229" max="10229" width="13.5703125" style="478" customWidth="1"/>
    <col min="10230" max="10230" width="31.140625" style="478" customWidth="1"/>
    <col min="10231" max="10231" width="14.140625" style="478" customWidth="1"/>
    <col min="10232" max="10232" width="2.28515625" style="478"/>
    <col min="10233" max="10233" width="9.7109375" style="478" customWidth="1"/>
    <col min="10234" max="10234" width="2.28515625" style="478"/>
    <col min="10235" max="10235" width="9.7109375" style="478" customWidth="1"/>
    <col min="10236" max="10236" width="2.28515625" style="478"/>
    <col min="10237" max="10237" width="9.7109375" style="478" customWidth="1"/>
    <col min="10238" max="10238" width="2.28515625" style="478"/>
    <col min="10239" max="10239" width="11" style="478" customWidth="1"/>
    <col min="10240" max="10240" width="2.28515625" style="478"/>
    <col min="10241" max="10241" width="35" style="478" customWidth="1"/>
    <col min="10242" max="10242" width="2.140625" style="478" customWidth="1"/>
    <col min="10243" max="10243" width="20" style="478" customWidth="1"/>
    <col min="10244" max="10244" width="2.140625" style="478" customWidth="1"/>
    <col min="10245" max="10245" width="20" style="478" customWidth="1"/>
    <col min="10246" max="10246" width="2.140625" style="478" customWidth="1"/>
    <col min="10247" max="10247" width="20" style="478" customWidth="1"/>
    <col min="10248" max="10248" width="2.28515625" style="478"/>
    <col min="10249" max="10249" width="9.7109375" style="478" customWidth="1"/>
    <col min="10250" max="10250" width="2.28515625" style="478"/>
    <col min="10251" max="10251" width="9.7109375" style="478" customWidth="1"/>
    <col min="10252" max="10455" width="13.5703125" style="478" customWidth="1"/>
    <col min="10456" max="10456" width="31.140625" style="478" customWidth="1"/>
    <col min="10457" max="10457" width="14.140625" style="478" customWidth="1"/>
    <col min="10458" max="10458" width="2.28515625" style="478"/>
    <col min="10459" max="10459" width="9.7109375" style="478" customWidth="1"/>
    <col min="10460" max="10460" width="2.28515625" style="478"/>
    <col min="10461" max="10461" width="9.7109375" style="478" customWidth="1"/>
    <col min="10462" max="10462" width="2.28515625" style="478"/>
    <col min="10463" max="10463" width="9.7109375" style="478" customWidth="1"/>
    <col min="10464" max="10464" width="2.28515625" style="478"/>
    <col min="10465" max="10465" width="11" style="478" customWidth="1"/>
    <col min="10466" max="10466" width="2.28515625" style="478"/>
    <col min="10467" max="10467" width="9.7109375" style="478" customWidth="1"/>
    <col min="10468" max="10468" width="4.28515625" style="478" customWidth="1"/>
    <col min="10469" max="10469" width="12.28515625" style="478" customWidth="1"/>
    <col min="10470" max="10470" width="2.28515625" style="478"/>
    <col min="10471" max="10471" width="9.7109375" style="478" customWidth="1"/>
    <col min="10472" max="10472" width="2.28515625" style="478"/>
    <col min="10473" max="10473" width="9.7109375" style="478" customWidth="1"/>
    <col min="10474" max="10474" width="2.28515625" style="478"/>
    <col min="10475" max="10475" width="9.7109375" style="478" customWidth="1"/>
    <col min="10476" max="10476" width="2.28515625" style="478"/>
    <col min="10477" max="10477" width="9.7109375" style="478" customWidth="1"/>
    <col min="10478" max="10478" width="13.28515625" style="478" bestFit="1" customWidth="1"/>
    <col min="10479" max="10479" width="14" style="478" customWidth="1"/>
    <col min="10480" max="10481" width="13.5703125" style="478" customWidth="1"/>
    <col min="10482" max="10482" width="2.85546875" style="478" customWidth="1"/>
    <col min="10483" max="10483" width="19.28515625" style="478" bestFit="1" customWidth="1"/>
    <col min="10484" max="10484" width="8.85546875" style="478" bestFit="1" customWidth="1"/>
    <col min="10485" max="10485" width="13.5703125" style="478" customWidth="1"/>
    <col min="10486" max="10486" width="31.140625" style="478" customWidth="1"/>
    <col min="10487" max="10487" width="14.140625" style="478" customWidth="1"/>
    <col min="10488" max="10488" width="2.28515625" style="478"/>
    <col min="10489" max="10489" width="9.7109375" style="478" customWidth="1"/>
    <col min="10490" max="10490" width="2.28515625" style="478"/>
    <col min="10491" max="10491" width="9.7109375" style="478" customWidth="1"/>
    <col min="10492" max="10492" width="2.28515625" style="478"/>
    <col min="10493" max="10493" width="9.7109375" style="478" customWidth="1"/>
    <col min="10494" max="10494" width="2.28515625" style="478"/>
    <col min="10495" max="10495" width="11" style="478" customWidth="1"/>
    <col min="10496" max="10496" width="2.28515625" style="478"/>
    <col min="10497" max="10497" width="35" style="478" customWidth="1"/>
    <col min="10498" max="10498" width="2.140625" style="478" customWidth="1"/>
    <col min="10499" max="10499" width="20" style="478" customWidth="1"/>
    <col min="10500" max="10500" width="2.140625" style="478" customWidth="1"/>
    <col min="10501" max="10501" width="20" style="478" customWidth="1"/>
    <col min="10502" max="10502" width="2.140625" style="478" customWidth="1"/>
    <col min="10503" max="10503" width="20" style="478" customWidth="1"/>
    <col min="10504" max="10504" width="2.28515625" style="478"/>
    <col min="10505" max="10505" width="9.7109375" style="478" customWidth="1"/>
    <col min="10506" max="10506" width="2.28515625" style="478"/>
    <col min="10507" max="10507" width="9.7109375" style="478" customWidth="1"/>
    <col min="10508" max="10711" width="13.5703125" style="478" customWidth="1"/>
    <col min="10712" max="10712" width="31.140625" style="478" customWidth="1"/>
    <col min="10713" max="10713" width="14.140625" style="478" customWidth="1"/>
    <col min="10714" max="10714" width="2.28515625" style="478"/>
    <col min="10715" max="10715" width="9.7109375" style="478" customWidth="1"/>
    <col min="10716" max="10716" width="2.28515625" style="478"/>
    <col min="10717" max="10717" width="9.7109375" style="478" customWidth="1"/>
    <col min="10718" max="10718" width="2.28515625" style="478"/>
    <col min="10719" max="10719" width="9.7109375" style="478" customWidth="1"/>
    <col min="10720" max="10720" width="2.28515625" style="478"/>
    <col min="10721" max="10721" width="11" style="478" customWidth="1"/>
    <col min="10722" max="10722" width="2.28515625" style="478"/>
    <col min="10723" max="10723" width="9.7109375" style="478" customWidth="1"/>
    <col min="10724" max="10724" width="4.28515625" style="478" customWidth="1"/>
    <col min="10725" max="10725" width="12.28515625" style="478" customWidth="1"/>
    <col min="10726" max="10726" width="2.28515625" style="478"/>
    <col min="10727" max="10727" width="9.7109375" style="478" customWidth="1"/>
    <col min="10728" max="10728" width="2.28515625" style="478"/>
    <col min="10729" max="10729" width="9.7109375" style="478" customWidth="1"/>
    <col min="10730" max="10730" width="2.28515625" style="478"/>
    <col min="10731" max="10731" width="9.7109375" style="478" customWidth="1"/>
    <col min="10732" max="10732" width="2.28515625" style="478"/>
    <col min="10733" max="10733" width="9.7109375" style="478" customWidth="1"/>
    <col min="10734" max="10734" width="13.28515625" style="478" bestFit="1" customWidth="1"/>
    <col min="10735" max="10735" width="14" style="478" customWidth="1"/>
    <col min="10736" max="10737" width="13.5703125" style="478" customWidth="1"/>
    <col min="10738" max="10738" width="2.85546875" style="478" customWidth="1"/>
    <col min="10739" max="10739" width="19.28515625" style="478" bestFit="1" customWidth="1"/>
    <col min="10740" max="10740" width="8.85546875" style="478" bestFit="1" customWidth="1"/>
    <col min="10741" max="10741" width="13.5703125" style="478" customWidth="1"/>
    <col min="10742" max="10742" width="31.140625" style="478" customWidth="1"/>
    <col min="10743" max="10743" width="14.140625" style="478" customWidth="1"/>
    <col min="10744" max="10744" width="2.28515625" style="478"/>
    <col min="10745" max="10745" width="9.7109375" style="478" customWidth="1"/>
    <col min="10746" max="10746" width="2.28515625" style="478"/>
    <col min="10747" max="10747" width="9.7109375" style="478" customWidth="1"/>
    <col min="10748" max="10748" width="2.28515625" style="478"/>
    <col min="10749" max="10749" width="9.7109375" style="478" customWidth="1"/>
    <col min="10750" max="10750" width="2.28515625" style="478"/>
    <col min="10751" max="10751" width="11" style="478" customWidth="1"/>
    <col min="10752" max="10752" width="2.28515625" style="478"/>
    <col min="10753" max="10753" width="35" style="478" customWidth="1"/>
    <col min="10754" max="10754" width="2.140625" style="478" customWidth="1"/>
    <col min="10755" max="10755" width="20" style="478" customWidth="1"/>
    <col min="10756" max="10756" width="2.140625" style="478" customWidth="1"/>
    <col min="10757" max="10757" width="20" style="478" customWidth="1"/>
    <col min="10758" max="10758" width="2.140625" style="478" customWidth="1"/>
    <col min="10759" max="10759" width="20" style="478" customWidth="1"/>
    <col min="10760" max="10760" width="2.28515625" style="478"/>
    <col min="10761" max="10761" width="9.7109375" style="478" customWidth="1"/>
    <col min="10762" max="10762" width="2.28515625" style="478"/>
    <col min="10763" max="10763" width="9.7109375" style="478" customWidth="1"/>
    <col min="10764" max="10967" width="13.5703125" style="478" customWidth="1"/>
    <col min="10968" max="10968" width="31.140625" style="478" customWidth="1"/>
    <col min="10969" max="10969" width="14.140625" style="478" customWidth="1"/>
    <col min="10970" max="10970" width="2.28515625" style="478"/>
    <col min="10971" max="10971" width="9.7109375" style="478" customWidth="1"/>
    <col min="10972" max="10972" width="2.28515625" style="478"/>
    <col min="10973" max="10973" width="9.7109375" style="478" customWidth="1"/>
    <col min="10974" max="10974" width="2.28515625" style="478"/>
    <col min="10975" max="10975" width="9.7109375" style="478" customWidth="1"/>
    <col min="10976" max="10976" width="2.28515625" style="478"/>
    <col min="10977" max="10977" width="11" style="478" customWidth="1"/>
    <col min="10978" max="10978" width="2.28515625" style="478"/>
    <col min="10979" max="10979" width="9.7109375" style="478" customWidth="1"/>
    <col min="10980" max="10980" width="4.28515625" style="478" customWidth="1"/>
    <col min="10981" max="10981" width="12.28515625" style="478" customWidth="1"/>
    <col min="10982" max="10982" width="2.28515625" style="478"/>
    <col min="10983" max="10983" width="9.7109375" style="478" customWidth="1"/>
    <col min="10984" max="10984" width="2.28515625" style="478"/>
    <col min="10985" max="10985" width="9.7109375" style="478" customWidth="1"/>
    <col min="10986" max="10986" width="2.28515625" style="478"/>
    <col min="10987" max="10987" width="9.7109375" style="478" customWidth="1"/>
    <col min="10988" max="10988" width="2.28515625" style="478"/>
    <col min="10989" max="10989" width="9.7109375" style="478" customWidth="1"/>
    <col min="10990" max="10990" width="13.28515625" style="478" bestFit="1" customWidth="1"/>
    <col min="10991" max="10991" width="14" style="478" customWidth="1"/>
    <col min="10992" max="10993" width="13.5703125" style="478" customWidth="1"/>
    <col min="10994" max="10994" width="2.85546875" style="478" customWidth="1"/>
    <col min="10995" max="10995" width="19.28515625" style="478" bestFit="1" customWidth="1"/>
    <col min="10996" max="10996" width="8.85546875" style="478" bestFit="1" customWidth="1"/>
    <col min="10997" max="10997" width="13.5703125" style="478" customWidth="1"/>
    <col min="10998" max="10998" width="31.140625" style="478" customWidth="1"/>
    <col min="10999" max="10999" width="14.140625" style="478" customWidth="1"/>
    <col min="11000" max="11000" width="2.28515625" style="478"/>
    <col min="11001" max="11001" width="9.7109375" style="478" customWidth="1"/>
    <col min="11002" max="11002" width="2.28515625" style="478"/>
    <col min="11003" max="11003" width="9.7109375" style="478" customWidth="1"/>
    <col min="11004" max="11004" width="2.28515625" style="478"/>
    <col min="11005" max="11005" width="9.7109375" style="478" customWidth="1"/>
    <col min="11006" max="11006" width="2.28515625" style="478"/>
    <col min="11007" max="11007" width="11" style="478" customWidth="1"/>
    <col min="11008" max="11008" width="2.28515625" style="478"/>
    <col min="11009" max="11009" width="35" style="478" customWidth="1"/>
    <col min="11010" max="11010" width="2.140625" style="478" customWidth="1"/>
    <col min="11011" max="11011" width="20" style="478" customWidth="1"/>
    <col min="11012" max="11012" width="2.140625" style="478" customWidth="1"/>
    <col min="11013" max="11013" width="20" style="478" customWidth="1"/>
    <col min="11014" max="11014" width="2.140625" style="478" customWidth="1"/>
    <col min="11015" max="11015" width="20" style="478" customWidth="1"/>
    <col min="11016" max="11016" width="2.28515625" style="478"/>
    <col min="11017" max="11017" width="9.7109375" style="478" customWidth="1"/>
    <col min="11018" max="11018" width="2.28515625" style="478"/>
    <col min="11019" max="11019" width="9.7109375" style="478" customWidth="1"/>
    <col min="11020" max="11223" width="13.5703125" style="478" customWidth="1"/>
    <col min="11224" max="11224" width="31.140625" style="478" customWidth="1"/>
    <col min="11225" max="11225" width="14.140625" style="478" customWidth="1"/>
    <col min="11226" max="11226" width="2.28515625" style="478"/>
    <col min="11227" max="11227" width="9.7109375" style="478" customWidth="1"/>
    <col min="11228" max="11228" width="2.28515625" style="478"/>
    <col min="11229" max="11229" width="9.7109375" style="478" customWidth="1"/>
    <col min="11230" max="11230" width="2.28515625" style="478"/>
    <col min="11231" max="11231" width="9.7109375" style="478" customWidth="1"/>
    <col min="11232" max="11232" width="2.28515625" style="478"/>
    <col min="11233" max="11233" width="11" style="478" customWidth="1"/>
    <col min="11234" max="11234" width="2.28515625" style="478"/>
    <col min="11235" max="11235" width="9.7109375" style="478" customWidth="1"/>
    <col min="11236" max="11236" width="4.28515625" style="478" customWidth="1"/>
    <col min="11237" max="11237" width="12.28515625" style="478" customWidth="1"/>
    <col min="11238" max="11238" width="2.28515625" style="478"/>
    <col min="11239" max="11239" width="9.7109375" style="478" customWidth="1"/>
    <col min="11240" max="11240" width="2.28515625" style="478"/>
    <col min="11241" max="11241" width="9.7109375" style="478" customWidth="1"/>
    <col min="11242" max="11242" width="2.28515625" style="478"/>
    <col min="11243" max="11243" width="9.7109375" style="478" customWidth="1"/>
    <col min="11244" max="11244" width="2.28515625" style="478"/>
    <col min="11245" max="11245" width="9.7109375" style="478" customWidth="1"/>
    <col min="11246" max="11246" width="13.28515625" style="478" bestFit="1" customWidth="1"/>
    <col min="11247" max="11247" width="14" style="478" customWidth="1"/>
    <col min="11248" max="11249" width="13.5703125" style="478" customWidth="1"/>
    <col min="11250" max="11250" width="2.85546875" style="478" customWidth="1"/>
    <col min="11251" max="11251" width="19.28515625" style="478" bestFit="1" customWidth="1"/>
    <col min="11252" max="11252" width="8.85546875" style="478" bestFit="1" customWidth="1"/>
    <col min="11253" max="11253" width="13.5703125" style="478" customWidth="1"/>
    <col min="11254" max="11254" width="31.140625" style="478" customWidth="1"/>
    <col min="11255" max="11255" width="14.140625" style="478" customWidth="1"/>
    <col min="11256" max="11256" width="2.28515625" style="478"/>
    <col min="11257" max="11257" width="9.7109375" style="478" customWidth="1"/>
    <col min="11258" max="11258" width="2.28515625" style="478"/>
    <col min="11259" max="11259" width="9.7109375" style="478" customWidth="1"/>
    <col min="11260" max="11260" width="2.28515625" style="478"/>
    <col min="11261" max="11261" width="9.7109375" style="478" customWidth="1"/>
    <col min="11262" max="11262" width="2.28515625" style="478"/>
    <col min="11263" max="11263" width="11" style="478" customWidth="1"/>
    <col min="11264" max="11264" width="2.28515625" style="478"/>
    <col min="11265" max="11265" width="35" style="478" customWidth="1"/>
    <col min="11266" max="11266" width="2.140625" style="478" customWidth="1"/>
    <col min="11267" max="11267" width="20" style="478" customWidth="1"/>
    <col min="11268" max="11268" width="2.140625" style="478" customWidth="1"/>
    <col min="11269" max="11269" width="20" style="478" customWidth="1"/>
    <col min="11270" max="11270" width="2.140625" style="478" customWidth="1"/>
    <col min="11271" max="11271" width="20" style="478" customWidth="1"/>
    <col min="11272" max="11272" width="2.28515625" style="478"/>
    <col min="11273" max="11273" width="9.7109375" style="478" customWidth="1"/>
    <col min="11274" max="11274" width="2.28515625" style="478"/>
    <col min="11275" max="11275" width="9.7109375" style="478" customWidth="1"/>
    <col min="11276" max="11479" width="13.5703125" style="478" customWidth="1"/>
    <col min="11480" max="11480" width="31.140625" style="478" customWidth="1"/>
    <col min="11481" max="11481" width="14.140625" style="478" customWidth="1"/>
    <col min="11482" max="11482" width="2.28515625" style="478"/>
    <col min="11483" max="11483" width="9.7109375" style="478" customWidth="1"/>
    <col min="11484" max="11484" width="2.28515625" style="478"/>
    <col min="11485" max="11485" width="9.7109375" style="478" customWidth="1"/>
    <col min="11486" max="11486" width="2.28515625" style="478"/>
    <col min="11487" max="11487" width="9.7109375" style="478" customWidth="1"/>
    <col min="11488" max="11488" width="2.28515625" style="478"/>
    <col min="11489" max="11489" width="11" style="478" customWidth="1"/>
    <col min="11490" max="11490" width="2.28515625" style="478"/>
    <col min="11491" max="11491" width="9.7109375" style="478" customWidth="1"/>
    <col min="11492" max="11492" width="4.28515625" style="478" customWidth="1"/>
    <col min="11493" max="11493" width="12.28515625" style="478" customWidth="1"/>
    <col min="11494" max="11494" width="2.28515625" style="478"/>
    <col min="11495" max="11495" width="9.7109375" style="478" customWidth="1"/>
    <col min="11496" max="11496" width="2.28515625" style="478"/>
    <col min="11497" max="11497" width="9.7109375" style="478" customWidth="1"/>
    <col min="11498" max="11498" width="2.28515625" style="478"/>
    <col min="11499" max="11499" width="9.7109375" style="478" customWidth="1"/>
    <col min="11500" max="11500" width="2.28515625" style="478"/>
    <col min="11501" max="11501" width="9.7109375" style="478" customWidth="1"/>
    <col min="11502" max="11502" width="13.28515625" style="478" bestFit="1" customWidth="1"/>
    <col min="11503" max="11503" width="14" style="478" customWidth="1"/>
    <col min="11504" max="11505" width="13.5703125" style="478" customWidth="1"/>
    <col min="11506" max="11506" width="2.85546875" style="478" customWidth="1"/>
    <col min="11507" max="11507" width="19.28515625" style="478" bestFit="1" customWidth="1"/>
    <col min="11508" max="11508" width="8.85546875" style="478" bestFit="1" customWidth="1"/>
    <col min="11509" max="11509" width="13.5703125" style="478" customWidth="1"/>
    <col min="11510" max="11510" width="31.140625" style="478" customWidth="1"/>
    <col min="11511" max="11511" width="14.140625" style="478" customWidth="1"/>
    <col min="11512" max="11512" width="2.28515625" style="478"/>
    <col min="11513" max="11513" width="9.7109375" style="478" customWidth="1"/>
    <col min="11514" max="11514" width="2.28515625" style="478"/>
    <col min="11515" max="11515" width="9.7109375" style="478" customWidth="1"/>
    <col min="11516" max="11516" width="2.28515625" style="478"/>
    <col min="11517" max="11517" width="9.7109375" style="478" customWidth="1"/>
    <col min="11518" max="11518" width="2.28515625" style="478"/>
    <col min="11519" max="11519" width="11" style="478" customWidth="1"/>
    <col min="11520" max="11520" width="2.28515625" style="478"/>
    <col min="11521" max="11521" width="35" style="478" customWidth="1"/>
    <col min="11522" max="11522" width="2.140625" style="478" customWidth="1"/>
    <col min="11523" max="11523" width="20" style="478" customWidth="1"/>
    <col min="11524" max="11524" width="2.140625" style="478" customWidth="1"/>
    <col min="11525" max="11525" width="20" style="478" customWidth="1"/>
    <col min="11526" max="11526" width="2.140625" style="478" customWidth="1"/>
    <col min="11527" max="11527" width="20" style="478" customWidth="1"/>
    <col min="11528" max="11528" width="2.28515625" style="478"/>
    <col min="11529" max="11529" width="9.7109375" style="478" customWidth="1"/>
    <col min="11530" max="11530" width="2.28515625" style="478"/>
    <col min="11531" max="11531" width="9.7109375" style="478" customWidth="1"/>
    <col min="11532" max="11735" width="13.5703125" style="478" customWidth="1"/>
    <col min="11736" max="11736" width="31.140625" style="478" customWidth="1"/>
    <col min="11737" max="11737" width="14.140625" style="478" customWidth="1"/>
    <col min="11738" max="11738" width="2.28515625" style="478"/>
    <col min="11739" max="11739" width="9.7109375" style="478" customWidth="1"/>
    <col min="11740" max="11740" width="2.28515625" style="478"/>
    <col min="11741" max="11741" width="9.7109375" style="478" customWidth="1"/>
    <col min="11742" max="11742" width="2.28515625" style="478"/>
    <col min="11743" max="11743" width="9.7109375" style="478" customWidth="1"/>
    <col min="11744" max="11744" width="2.28515625" style="478"/>
    <col min="11745" max="11745" width="11" style="478" customWidth="1"/>
    <col min="11746" max="11746" width="2.28515625" style="478"/>
    <col min="11747" max="11747" width="9.7109375" style="478" customWidth="1"/>
    <col min="11748" max="11748" width="4.28515625" style="478" customWidth="1"/>
    <col min="11749" max="11749" width="12.28515625" style="478" customWidth="1"/>
    <col min="11750" max="11750" width="2.28515625" style="478"/>
    <col min="11751" max="11751" width="9.7109375" style="478" customWidth="1"/>
    <col min="11752" max="11752" width="2.28515625" style="478"/>
    <col min="11753" max="11753" width="9.7109375" style="478" customWidth="1"/>
    <col min="11754" max="11754" width="2.28515625" style="478"/>
    <col min="11755" max="11755" width="9.7109375" style="478" customWidth="1"/>
    <col min="11756" max="11756" width="2.28515625" style="478"/>
    <col min="11757" max="11757" width="9.7109375" style="478" customWidth="1"/>
    <col min="11758" max="11758" width="13.28515625" style="478" bestFit="1" customWidth="1"/>
    <col min="11759" max="11759" width="14" style="478" customWidth="1"/>
    <col min="11760" max="11761" width="13.5703125" style="478" customWidth="1"/>
    <col min="11762" max="11762" width="2.85546875" style="478" customWidth="1"/>
    <col min="11763" max="11763" width="19.28515625" style="478" bestFit="1" customWidth="1"/>
    <col min="11764" max="11764" width="8.85546875" style="478" bestFit="1" customWidth="1"/>
    <col min="11765" max="11765" width="13.5703125" style="478" customWidth="1"/>
    <col min="11766" max="11766" width="31.140625" style="478" customWidth="1"/>
    <col min="11767" max="11767" width="14.140625" style="478" customWidth="1"/>
    <col min="11768" max="11768" width="2.28515625" style="478"/>
    <col min="11769" max="11769" width="9.7109375" style="478" customWidth="1"/>
    <col min="11770" max="11770" width="2.28515625" style="478"/>
    <col min="11771" max="11771" width="9.7109375" style="478" customWidth="1"/>
    <col min="11772" max="11772" width="2.28515625" style="478"/>
    <col min="11773" max="11773" width="9.7109375" style="478" customWidth="1"/>
    <col min="11774" max="11774" width="2.28515625" style="478"/>
    <col min="11775" max="11775" width="11" style="478" customWidth="1"/>
    <col min="11776" max="11776" width="2.28515625" style="478"/>
    <col min="11777" max="11777" width="35" style="478" customWidth="1"/>
    <col min="11778" max="11778" width="2.140625" style="478" customWidth="1"/>
    <col min="11779" max="11779" width="20" style="478" customWidth="1"/>
    <col min="11780" max="11780" width="2.140625" style="478" customWidth="1"/>
    <col min="11781" max="11781" width="20" style="478" customWidth="1"/>
    <col min="11782" max="11782" width="2.140625" style="478" customWidth="1"/>
    <col min="11783" max="11783" width="20" style="478" customWidth="1"/>
    <col min="11784" max="11784" width="2.28515625" style="478"/>
    <col min="11785" max="11785" width="9.7109375" style="478" customWidth="1"/>
    <col min="11786" max="11786" width="2.28515625" style="478"/>
    <col min="11787" max="11787" width="9.7109375" style="478" customWidth="1"/>
    <col min="11788" max="11991" width="13.5703125" style="478" customWidth="1"/>
    <col min="11992" max="11992" width="31.140625" style="478" customWidth="1"/>
    <col min="11993" max="11993" width="14.140625" style="478" customWidth="1"/>
    <col min="11994" max="11994" width="2.28515625" style="478"/>
    <col min="11995" max="11995" width="9.7109375" style="478" customWidth="1"/>
    <col min="11996" max="11996" width="2.28515625" style="478"/>
    <col min="11997" max="11997" width="9.7109375" style="478" customWidth="1"/>
    <col min="11998" max="11998" width="2.28515625" style="478"/>
    <col min="11999" max="11999" width="9.7109375" style="478" customWidth="1"/>
    <col min="12000" max="12000" width="2.28515625" style="478"/>
    <col min="12001" max="12001" width="11" style="478" customWidth="1"/>
    <col min="12002" max="12002" width="2.28515625" style="478"/>
    <col min="12003" max="12003" width="9.7109375" style="478" customWidth="1"/>
    <col min="12004" max="12004" width="4.28515625" style="478" customWidth="1"/>
    <col min="12005" max="12005" width="12.28515625" style="478" customWidth="1"/>
    <col min="12006" max="12006" width="2.28515625" style="478"/>
    <col min="12007" max="12007" width="9.7109375" style="478" customWidth="1"/>
    <col min="12008" max="12008" width="2.28515625" style="478"/>
    <col min="12009" max="12009" width="9.7109375" style="478" customWidth="1"/>
    <col min="12010" max="12010" width="2.28515625" style="478"/>
    <col min="12011" max="12011" width="9.7109375" style="478" customWidth="1"/>
    <col min="12012" max="12012" width="2.28515625" style="478"/>
    <col min="12013" max="12013" width="9.7109375" style="478" customWidth="1"/>
    <col min="12014" max="12014" width="13.28515625" style="478" bestFit="1" customWidth="1"/>
    <col min="12015" max="12015" width="14" style="478" customWidth="1"/>
    <col min="12016" max="12017" width="13.5703125" style="478" customWidth="1"/>
    <col min="12018" max="12018" width="2.85546875" style="478" customWidth="1"/>
    <col min="12019" max="12019" width="19.28515625" style="478" bestFit="1" customWidth="1"/>
    <col min="12020" max="12020" width="8.85546875" style="478" bestFit="1" customWidth="1"/>
    <col min="12021" max="12021" width="13.5703125" style="478" customWidth="1"/>
    <col min="12022" max="12022" width="31.140625" style="478" customWidth="1"/>
    <col min="12023" max="12023" width="14.140625" style="478" customWidth="1"/>
    <col min="12024" max="12024" width="2.28515625" style="478"/>
    <col min="12025" max="12025" width="9.7109375" style="478" customWidth="1"/>
    <col min="12026" max="12026" width="2.28515625" style="478"/>
    <col min="12027" max="12027" width="9.7109375" style="478" customWidth="1"/>
    <col min="12028" max="12028" width="2.28515625" style="478"/>
    <col min="12029" max="12029" width="9.7109375" style="478" customWidth="1"/>
    <col min="12030" max="12030" width="2.28515625" style="478"/>
    <col min="12031" max="12031" width="11" style="478" customWidth="1"/>
    <col min="12032" max="12032" width="2.28515625" style="478"/>
    <col min="12033" max="12033" width="35" style="478" customWidth="1"/>
    <col min="12034" max="12034" width="2.140625" style="478" customWidth="1"/>
    <col min="12035" max="12035" width="20" style="478" customWidth="1"/>
    <col min="12036" max="12036" width="2.140625" style="478" customWidth="1"/>
    <col min="12037" max="12037" width="20" style="478" customWidth="1"/>
    <col min="12038" max="12038" width="2.140625" style="478" customWidth="1"/>
    <col min="12039" max="12039" width="20" style="478" customWidth="1"/>
    <col min="12040" max="12040" width="2.28515625" style="478"/>
    <col min="12041" max="12041" width="9.7109375" style="478" customWidth="1"/>
    <col min="12042" max="12042" width="2.28515625" style="478"/>
    <col min="12043" max="12043" width="9.7109375" style="478" customWidth="1"/>
    <col min="12044" max="12247" width="13.5703125" style="478" customWidth="1"/>
    <col min="12248" max="12248" width="31.140625" style="478" customWidth="1"/>
    <col min="12249" max="12249" width="14.140625" style="478" customWidth="1"/>
    <col min="12250" max="12250" width="2.28515625" style="478"/>
    <col min="12251" max="12251" width="9.7109375" style="478" customWidth="1"/>
    <col min="12252" max="12252" width="2.28515625" style="478"/>
    <col min="12253" max="12253" width="9.7109375" style="478" customWidth="1"/>
    <col min="12254" max="12254" width="2.28515625" style="478"/>
    <col min="12255" max="12255" width="9.7109375" style="478" customWidth="1"/>
    <col min="12256" max="12256" width="2.28515625" style="478"/>
    <col min="12257" max="12257" width="11" style="478" customWidth="1"/>
    <col min="12258" max="12258" width="2.28515625" style="478"/>
    <col min="12259" max="12259" width="9.7109375" style="478" customWidth="1"/>
    <col min="12260" max="12260" width="4.28515625" style="478" customWidth="1"/>
    <col min="12261" max="12261" width="12.28515625" style="478" customWidth="1"/>
    <col min="12262" max="12262" width="2.28515625" style="478"/>
    <col min="12263" max="12263" width="9.7109375" style="478" customWidth="1"/>
    <col min="12264" max="12264" width="2.28515625" style="478"/>
    <col min="12265" max="12265" width="9.7109375" style="478" customWidth="1"/>
    <col min="12266" max="12266" width="2.28515625" style="478"/>
    <col min="12267" max="12267" width="9.7109375" style="478" customWidth="1"/>
    <col min="12268" max="12268" width="2.28515625" style="478"/>
    <col min="12269" max="12269" width="9.7109375" style="478" customWidth="1"/>
    <col min="12270" max="12270" width="13.28515625" style="478" bestFit="1" customWidth="1"/>
    <col min="12271" max="12271" width="14" style="478" customWidth="1"/>
    <col min="12272" max="12273" width="13.5703125" style="478" customWidth="1"/>
    <col min="12274" max="12274" width="2.85546875" style="478" customWidth="1"/>
    <col min="12275" max="12275" width="19.28515625" style="478" bestFit="1" customWidth="1"/>
    <col min="12276" max="12276" width="8.85546875" style="478" bestFit="1" customWidth="1"/>
    <col min="12277" max="12277" width="13.5703125" style="478" customWidth="1"/>
    <col min="12278" max="12278" width="31.140625" style="478" customWidth="1"/>
    <col min="12279" max="12279" width="14.140625" style="478" customWidth="1"/>
    <col min="12280" max="12280" width="2.28515625" style="478"/>
    <col min="12281" max="12281" width="9.7109375" style="478" customWidth="1"/>
    <col min="12282" max="12282" width="2.28515625" style="478"/>
    <col min="12283" max="12283" width="9.7109375" style="478" customWidth="1"/>
    <col min="12284" max="12284" width="2.28515625" style="478"/>
    <col min="12285" max="12285" width="9.7109375" style="478" customWidth="1"/>
    <col min="12286" max="12286" width="2.28515625" style="478"/>
    <col min="12287" max="12287" width="11" style="478" customWidth="1"/>
    <col min="12288" max="12288" width="2.28515625" style="478"/>
    <col min="12289" max="12289" width="35" style="478" customWidth="1"/>
    <col min="12290" max="12290" width="2.140625" style="478" customWidth="1"/>
    <col min="12291" max="12291" width="20" style="478" customWidth="1"/>
    <col min="12292" max="12292" width="2.140625" style="478" customWidth="1"/>
    <col min="12293" max="12293" width="20" style="478" customWidth="1"/>
    <col min="12294" max="12294" width="2.140625" style="478" customWidth="1"/>
    <col min="12295" max="12295" width="20" style="478" customWidth="1"/>
    <col min="12296" max="12296" width="2.28515625" style="478"/>
    <col min="12297" max="12297" width="9.7109375" style="478" customWidth="1"/>
    <col min="12298" max="12298" width="2.28515625" style="478"/>
    <col min="12299" max="12299" width="9.7109375" style="478" customWidth="1"/>
    <col min="12300" max="12503" width="13.5703125" style="478" customWidth="1"/>
    <col min="12504" max="12504" width="31.140625" style="478" customWidth="1"/>
    <col min="12505" max="12505" width="14.140625" style="478" customWidth="1"/>
    <col min="12506" max="12506" width="2.28515625" style="478"/>
    <col min="12507" max="12507" width="9.7109375" style="478" customWidth="1"/>
    <col min="12508" max="12508" width="2.28515625" style="478"/>
    <col min="12509" max="12509" width="9.7109375" style="478" customWidth="1"/>
    <col min="12510" max="12510" width="2.28515625" style="478"/>
    <col min="12511" max="12511" width="9.7109375" style="478" customWidth="1"/>
    <col min="12512" max="12512" width="2.28515625" style="478"/>
    <col min="12513" max="12513" width="11" style="478" customWidth="1"/>
    <col min="12514" max="12514" width="2.28515625" style="478"/>
    <col min="12515" max="12515" width="9.7109375" style="478" customWidth="1"/>
    <col min="12516" max="12516" width="4.28515625" style="478" customWidth="1"/>
    <col min="12517" max="12517" width="12.28515625" style="478" customWidth="1"/>
    <col min="12518" max="12518" width="2.28515625" style="478"/>
    <col min="12519" max="12519" width="9.7109375" style="478" customWidth="1"/>
    <col min="12520" max="12520" width="2.28515625" style="478"/>
    <col min="12521" max="12521" width="9.7109375" style="478" customWidth="1"/>
    <col min="12522" max="12522" width="2.28515625" style="478"/>
    <col min="12523" max="12523" width="9.7109375" style="478" customWidth="1"/>
    <col min="12524" max="12524" width="2.28515625" style="478"/>
    <col min="12525" max="12525" width="9.7109375" style="478" customWidth="1"/>
    <col min="12526" max="12526" width="13.28515625" style="478" bestFit="1" customWidth="1"/>
    <col min="12527" max="12527" width="14" style="478" customWidth="1"/>
    <col min="12528" max="12529" width="13.5703125" style="478" customWidth="1"/>
    <col min="12530" max="12530" width="2.85546875" style="478" customWidth="1"/>
    <col min="12531" max="12531" width="19.28515625" style="478" bestFit="1" customWidth="1"/>
    <col min="12532" max="12532" width="8.85546875" style="478" bestFit="1" customWidth="1"/>
    <col min="12533" max="12533" width="13.5703125" style="478" customWidth="1"/>
    <col min="12534" max="12534" width="31.140625" style="478" customWidth="1"/>
    <col min="12535" max="12535" width="14.140625" style="478" customWidth="1"/>
    <col min="12536" max="12536" width="2.28515625" style="478"/>
    <col min="12537" max="12537" width="9.7109375" style="478" customWidth="1"/>
    <col min="12538" max="12538" width="2.28515625" style="478"/>
    <col min="12539" max="12539" width="9.7109375" style="478" customWidth="1"/>
    <col min="12540" max="12540" width="2.28515625" style="478"/>
    <col min="12541" max="12541" width="9.7109375" style="478" customWidth="1"/>
    <col min="12542" max="12542" width="2.28515625" style="478"/>
    <col min="12543" max="12543" width="11" style="478" customWidth="1"/>
    <col min="12544" max="12544" width="2.28515625" style="478"/>
    <col min="12545" max="12545" width="35" style="478" customWidth="1"/>
    <col min="12546" max="12546" width="2.140625" style="478" customWidth="1"/>
    <col min="12547" max="12547" width="20" style="478" customWidth="1"/>
    <col min="12548" max="12548" width="2.140625" style="478" customWidth="1"/>
    <col min="12549" max="12549" width="20" style="478" customWidth="1"/>
    <col min="12550" max="12550" width="2.140625" style="478" customWidth="1"/>
    <col min="12551" max="12551" width="20" style="478" customWidth="1"/>
    <col min="12552" max="12552" width="2.28515625" style="478"/>
    <col min="12553" max="12553" width="9.7109375" style="478" customWidth="1"/>
    <col min="12554" max="12554" width="2.28515625" style="478"/>
    <col min="12555" max="12555" width="9.7109375" style="478" customWidth="1"/>
    <col min="12556" max="12759" width="13.5703125" style="478" customWidth="1"/>
    <col min="12760" max="12760" width="31.140625" style="478" customWidth="1"/>
    <col min="12761" max="12761" width="14.140625" style="478" customWidth="1"/>
    <col min="12762" max="12762" width="2.28515625" style="478"/>
    <col min="12763" max="12763" width="9.7109375" style="478" customWidth="1"/>
    <col min="12764" max="12764" width="2.28515625" style="478"/>
    <col min="12765" max="12765" width="9.7109375" style="478" customWidth="1"/>
    <col min="12766" max="12766" width="2.28515625" style="478"/>
    <col min="12767" max="12767" width="9.7109375" style="478" customWidth="1"/>
    <col min="12768" max="12768" width="2.28515625" style="478"/>
    <col min="12769" max="12769" width="11" style="478" customWidth="1"/>
    <col min="12770" max="12770" width="2.28515625" style="478"/>
    <col min="12771" max="12771" width="9.7109375" style="478" customWidth="1"/>
    <col min="12772" max="12772" width="4.28515625" style="478" customWidth="1"/>
    <col min="12773" max="12773" width="12.28515625" style="478" customWidth="1"/>
    <col min="12774" max="12774" width="2.28515625" style="478"/>
    <col min="12775" max="12775" width="9.7109375" style="478" customWidth="1"/>
    <col min="12776" max="12776" width="2.28515625" style="478"/>
    <col min="12777" max="12777" width="9.7109375" style="478" customWidth="1"/>
    <col min="12778" max="12778" width="2.28515625" style="478"/>
    <col min="12779" max="12779" width="9.7109375" style="478" customWidth="1"/>
    <col min="12780" max="12780" width="2.28515625" style="478"/>
    <col min="12781" max="12781" width="9.7109375" style="478" customWidth="1"/>
    <col min="12782" max="12782" width="13.28515625" style="478" bestFit="1" customWidth="1"/>
    <col min="12783" max="12783" width="14" style="478" customWidth="1"/>
    <col min="12784" max="12785" width="13.5703125" style="478" customWidth="1"/>
    <col min="12786" max="12786" width="2.85546875" style="478" customWidth="1"/>
    <col min="12787" max="12787" width="19.28515625" style="478" bestFit="1" customWidth="1"/>
    <col min="12788" max="12788" width="8.85546875" style="478" bestFit="1" customWidth="1"/>
    <col min="12789" max="12789" width="13.5703125" style="478" customWidth="1"/>
    <col min="12790" max="12790" width="31.140625" style="478" customWidth="1"/>
    <col min="12791" max="12791" width="14.140625" style="478" customWidth="1"/>
    <col min="12792" max="12792" width="2.28515625" style="478"/>
    <col min="12793" max="12793" width="9.7109375" style="478" customWidth="1"/>
    <col min="12794" max="12794" width="2.28515625" style="478"/>
    <col min="12795" max="12795" width="9.7109375" style="478" customWidth="1"/>
    <col min="12796" max="12796" width="2.28515625" style="478"/>
    <col min="12797" max="12797" width="9.7109375" style="478" customWidth="1"/>
    <col min="12798" max="12798" width="2.28515625" style="478"/>
    <col min="12799" max="12799" width="11" style="478" customWidth="1"/>
    <col min="12800" max="12800" width="2.28515625" style="478"/>
    <col min="12801" max="12801" width="35" style="478" customWidth="1"/>
    <col min="12802" max="12802" width="2.140625" style="478" customWidth="1"/>
    <col min="12803" max="12803" width="20" style="478" customWidth="1"/>
    <col min="12804" max="12804" width="2.140625" style="478" customWidth="1"/>
    <col min="12805" max="12805" width="20" style="478" customWidth="1"/>
    <col min="12806" max="12806" width="2.140625" style="478" customWidth="1"/>
    <col min="12807" max="12807" width="20" style="478" customWidth="1"/>
    <col min="12808" max="12808" width="2.28515625" style="478"/>
    <col min="12809" max="12809" width="9.7109375" style="478" customWidth="1"/>
    <col min="12810" max="12810" width="2.28515625" style="478"/>
    <col min="12811" max="12811" width="9.7109375" style="478" customWidth="1"/>
    <col min="12812" max="13015" width="13.5703125" style="478" customWidth="1"/>
    <col min="13016" max="13016" width="31.140625" style="478" customWidth="1"/>
    <col min="13017" max="13017" width="14.140625" style="478" customWidth="1"/>
    <col min="13018" max="13018" width="2.28515625" style="478"/>
    <col min="13019" max="13019" width="9.7109375" style="478" customWidth="1"/>
    <col min="13020" max="13020" width="2.28515625" style="478"/>
    <col min="13021" max="13021" width="9.7109375" style="478" customWidth="1"/>
    <col min="13022" max="13022" width="2.28515625" style="478"/>
    <col min="13023" max="13023" width="9.7109375" style="478" customWidth="1"/>
    <col min="13024" max="13024" width="2.28515625" style="478"/>
    <col min="13025" max="13025" width="11" style="478" customWidth="1"/>
    <col min="13026" max="13026" width="2.28515625" style="478"/>
    <col min="13027" max="13027" width="9.7109375" style="478" customWidth="1"/>
    <col min="13028" max="13028" width="4.28515625" style="478" customWidth="1"/>
    <col min="13029" max="13029" width="12.28515625" style="478" customWidth="1"/>
    <col min="13030" max="13030" width="2.28515625" style="478"/>
    <col min="13031" max="13031" width="9.7109375" style="478" customWidth="1"/>
    <col min="13032" max="13032" width="2.28515625" style="478"/>
    <col min="13033" max="13033" width="9.7109375" style="478" customWidth="1"/>
    <col min="13034" max="13034" width="2.28515625" style="478"/>
    <col min="13035" max="13035" width="9.7109375" style="478" customWidth="1"/>
    <col min="13036" max="13036" width="2.28515625" style="478"/>
    <col min="13037" max="13037" width="9.7109375" style="478" customWidth="1"/>
    <col min="13038" max="13038" width="13.28515625" style="478" bestFit="1" customWidth="1"/>
    <col min="13039" max="13039" width="14" style="478" customWidth="1"/>
    <col min="13040" max="13041" width="13.5703125" style="478" customWidth="1"/>
    <col min="13042" max="13042" width="2.85546875" style="478" customWidth="1"/>
    <col min="13043" max="13043" width="19.28515625" style="478" bestFit="1" customWidth="1"/>
    <col min="13044" max="13044" width="8.85546875" style="478" bestFit="1" customWidth="1"/>
    <col min="13045" max="13045" width="13.5703125" style="478" customWidth="1"/>
    <col min="13046" max="13046" width="31.140625" style="478" customWidth="1"/>
    <col min="13047" max="13047" width="14.140625" style="478" customWidth="1"/>
    <col min="13048" max="13048" width="2.28515625" style="478"/>
    <col min="13049" max="13049" width="9.7109375" style="478" customWidth="1"/>
    <col min="13050" max="13050" width="2.28515625" style="478"/>
    <col min="13051" max="13051" width="9.7109375" style="478" customWidth="1"/>
    <col min="13052" max="13052" width="2.28515625" style="478"/>
    <col min="13053" max="13053" width="9.7109375" style="478" customWidth="1"/>
    <col min="13054" max="13054" width="2.28515625" style="478"/>
    <col min="13055" max="13055" width="11" style="478" customWidth="1"/>
    <col min="13056" max="13056" width="2.28515625" style="478"/>
    <col min="13057" max="13057" width="35" style="478" customWidth="1"/>
    <col min="13058" max="13058" width="2.140625" style="478" customWidth="1"/>
    <col min="13059" max="13059" width="20" style="478" customWidth="1"/>
    <col min="13060" max="13060" width="2.140625" style="478" customWidth="1"/>
    <col min="13061" max="13061" width="20" style="478" customWidth="1"/>
    <col min="13062" max="13062" width="2.140625" style="478" customWidth="1"/>
    <col min="13063" max="13063" width="20" style="478" customWidth="1"/>
    <col min="13064" max="13064" width="2.28515625" style="478"/>
    <col min="13065" max="13065" width="9.7109375" style="478" customWidth="1"/>
    <col min="13066" max="13066" width="2.28515625" style="478"/>
    <col min="13067" max="13067" width="9.7109375" style="478" customWidth="1"/>
    <col min="13068" max="13271" width="13.5703125" style="478" customWidth="1"/>
    <col min="13272" max="13272" width="31.140625" style="478" customWidth="1"/>
    <col min="13273" max="13273" width="14.140625" style="478" customWidth="1"/>
    <col min="13274" max="13274" width="2.28515625" style="478"/>
    <col min="13275" max="13275" width="9.7109375" style="478" customWidth="1"/>
    <col min="13276" max="13276" width="2.28515625" style="478"/>
    <col min="13277" max="13277" width="9.7109375" style="478" customWidth="1"/>
    <col min="13278" max="13278" width="2.28515625" style="478"/>
    <col min="13279" max="13279" width="9.7109375" style="478" customWidth="1"/>
    <col min="13280" max="13280" width="2.28515625" style="478"/>
    <col min="13281" max="13281" width="11" style="478" customWidth="1"/>
    <col min="13282" max="13282" width="2.28515625" style="478"/>
    <col min="13283" max="13283" width="9.7109375" style="478" customWidth="1"/>
    <col min="13284" max="13284" width="4.28515625" style="478" customWidth="1"/>
    <col min="13285" max="13285" width="12.28515625" style="478" customWidth="1"/>
    <col min="13286" max="13286" width="2.28515625" style="478"/>
    <col min="13287" max="13287" width="9.7109375" style="478" customWidth="1"/>
    <col min="13288" max="13288" width="2.28515625" style="478"/>
    <col min="13289" max="13289" width="9.7109375" style="478" customWidth="1"/>
    <col min="13290" max="13290" width="2.28515625" style="478"/>
    <col min="13291" max="13291" width="9.7109375" style="478" customWidth="1"/>
    <col min="13292" max="13292" width="2.28515625" style="478"/>
    <col min="13293" max="13293" width="9.7109375" style="478" customWidth="1"/>
    <col min="13294" max="13294" width="13.28515625" style="478" bestFit="1" customWidth="1"/>
    <col min="13295" max="13295" width="14" style="478" customWidth="1"/>
    <col min="13296" max="13297" width="13.5703125" style="478" customWidth="1"/>
    <col min="13298" max="13298" width="2.85546875" style="478" customWidth="1"/>
    <col min="13299" max="13299" width="19.28515625" style="478" bestFit="1" customWidth="1"/>
    <col min="13300" max="13300" width="8.85546875" style="478" bestFit="1" customWidth="1"/>
    <col min="13301" max="13301" width="13.5703125" style="478" customWidth="1"/>
    <col min="13302" max="13302" width="31.140625" style="478" customWidth="1"/>
    <col min="13303" max="13303" width="14.140625" style="478" customWidth="1"/>
    <col min="13304" max="13304" width="2.28515625" style="478"/>
    <col min="13305" max="13305" width="9.7109375" style="478" customWidth="1"/>
    <col min="13306" max="13306" width="2.28515625" style="478"/>
    <col min="13307" max="13307" width="9.7109375" style="478" customWidth="1"/>
    <col min="13308" max="13308" width="2.28515625" style="478"/>
    <col min="13309" max="13309" width="9.7109375" style="478" customWidth="1"/>
    <col min="13310" max="13310" width="2.28515625" style="478"/>
    <col min="13311" max="13311" width="11" style="478" customWidth="1"/>
    <col min="13312" max="13312" width="2.28515625" style="478"/>
    <col min="13313" max="13313" width="35" style="478" customWidth="1"/>
    <col min="13314" max="13314" width="2.140625" style="478" customWidth="1"/>
    <col min="13315" max="13315" width="20" style="478" customWidth="1"/>
    <col min="13316" max="13316" width="2.140625" style="478" customWidth="1"/>
    <col min="13317" max="13317" width="20" style="478" customWidth="1"/>
    <col min="13318" max="13318" width="2.140625" style="478" customWidth="1"/>
    <col min="13319" max="13319" width="20" style="478" customWidth="1"/>
    <col min="13320" max="13320" width="2.28515625" style="478"/>
    <col min="13321" max="13321" width="9.7109375" style="478" customWidth="1"/>
    <col min="13322" max="13322" width="2.28515625" style="478"/>
    <col min="13323" max="13323" width="9.7109375" style="478" customWidth="1"/>
    <col min="13324" max="13527" width="13.5703125" style="478" customWidth="1"/>
    <col min="13528" max="13528" width="31.140625" style="478" customWidth="1"/>
    <col min="13529" max="13529" width="14.140625" style="478" customWidth="1"/>
    <col min="13530" max="13530" width="2.28515625" style="478"/>
    <col min="13531" max="13531" width="9.7109375" style="478" customWidth="1"/>
    <col min="13532" max="13532" width="2.28515625" style="478"/>
    <col min="13533" max="13533" width="9.7109375" style="478" customWidth="1"/>
    <col min="13534" max="13534" width="2.28515625" style="478"/>
    <col min="13535" max="13535" width="9.7109375" style="478" customWidth="1"/>
    <col min="13536" max="13536" width="2.28515625" style="478"/>
    <col min="13537" max="13537" width="11" style="478" customWidth="1"/>
    <col min="13538" max="13538" width="2.28515625" style="478"/>
    <col min="13539" max="13539" width="9.7109375" style="478" customWidth="1"/>
    <col min="13540" max="13540" width="4.28515625" style="478" customWidth="1"/>
    <col min="13541" max="13541" width="12.28515625" style="478" customWidth="1"/>
    <col min="13542" max="13542" width="2.28515625" style="478"/>
    <col min="13543" max="13543" width="9.7109375" style="478" customWidth="1"/>
    <col min="13544" max="13544" width="2.28515625" style="478"/>
    <col min="13545" max="13545" width="9.7109375" style="478" customWidth="1"/>
    <col min="13546" max="13546" width="2.28515625" style="478"/>
    <col min="13547" max="13547" width="9.7109375" style="478" customWidth="1"/>
    <col min="13548" max="13548" width="2.28515625" style="478"/>
    <col min="13549" max="13549" width="9.7109375" style="478" customWidth="1"/>
    <col min="13550" max="13550" width="13.28515625" style="478" bestFit="1" customWidth="1"/>
    <col min="13551" max="13551" width="14" style="478" customWidth="1"/>
    <col min="13552" max="13553" width="13.5703125" style="478" customWidth="1"/>
    <col min="13554" max="13554" width="2.85546875" style="478" customWidth="1"/>
    <col min="13555" max="13555" width="19.28515625" style="478" bestFit="1" customWidth="1"/>
    <col min="13556" max="13556" width="8.85546875" style="478" bestFit="1" customWidth="1"/>
    <col min="13557" max="13557" width="13.5703125" style="478" customWidth="1"/>
    <col min="13558" max="13558" width="31.140625" style="478" customWidth="1"/>
    <col min="13559" max="13559" width="14.140625" style="478" customWidth="1"/>
    <col min="13560" max="13560" width="2.28515625" style="478"/>
    <col min="13561" max="13561" width="9.7109375" style="478" customWidth="1"/>
    <col min="13562" max="13562" width="2.28515625" style="478"/>
    <col min="13563" max="13563" width="9.7109375" style="478" customWidth="1"/>
    <col min="13564" max="13564" width="2.28515625" style="478"/>
    <col min="13565" max="13565" width="9.7109375" style="478" customWidth="1"/>
    <col min="13566" max="13566" width="2.28515625" style="478"/>
    <col min="13567" max="13567" width="11" style="478" customWidth="1"/>
    <col min="13568" max="13568" width="2.28515625" style="478"/>
    <col min="13569" max="13569" width="35" style="478" customWidth="1"/>
    <col min="13570" max="13570" width="2.140625" style="478" customWidth="1"/>
    <col min="13571" max="13571" width="20" style="478" customWidth="1"/>
    <col min="13572" max="13572" width="2.140625" style="478" customWidth="1"/>
    <col min="13573" max="13573" width="20" style="478" customWidth="1"/>
    <col min="13574" max="13574" width="2.140625" style="478" customWidth="1"/>
    <col min="13575" max="13575" width="20" style="478" customWidth="1"/>
    <col min="13576" max="13576" width="2.28515625" style="478"/>
    <col min="13577" max="13577" width="9.7109375" style="478" customWidth="1"/>
    <col min="13578" max="13578" width="2.28515625" style="478"/>
    <col min="13579" max="13579" width="9.7109375" style="478" customWidth="1"/>
    <col min="13580" max="13783" width="13.5703125" style="478" customWidth="1"/>
    <col min="13784" max="13784" width="31.140625" style="478" customWidth="1"/>
    <col min="13785" max="13785" width="14.140625" style="478" customWidth="1"/>
    <col min="13786" max="13786" width="2.28515625" style="478"/>
    <col min="13787" max="13787" width="9.7109375" style="478" customWidth="1"/>
    <col min="13788" max="13788" width="2.28515625" style="478"/>
    <col min="13789" max="13789" width="9.7109375" style="478" customWidth="1"/>
    <col min="13790" max="13790" width="2.28515625" style="478"/>
    <col min="13791" max="13791" width="9.7109375" style="478" customWidth="1"/>
    <col min="13792" max="13792" width="2.28515625" style="478"/>
    <col min="13793" max="13793" width="11" style="478" customWidth="1"/>
    <col min="13794" max="13794" width="2.28515625" style="478"/>
    <col min="13795" max="13795" width="9.7109375" style="478" customWidth="1"/>
    <col min="13796" max="13796" width="4.28515625" style="478" customWidth="1"/>
    <col min="13797" max="13797" width="12.28515625" style="478" customWidth="1"/>
    <col min="13798" max="13798" width="2.28515625" style="478"/>
    <col min="13799" max="13799" width="9.7109375" style="478" customWidth="1"/>
    <col min="13800" max="13800" width="2.28515625" style="478"/>
    <col min="13801" max="13801" width="9.7109375" style="478" customWidth="1"/>
    <col min="13802" max="13802" width="2.28515625" style="478"/>
    <col min="13803" max="13803" width="9.7109375" style="478" customWidth="1"/>
    <col min="13804" max="13804" width="2.28515625" style="478"/>
    <col min="13805" max="13805" width="9.7109375" style="478" customWidth="1"/>
    <col min="13806" max="13806" width="13.28515625" style="478" bestFit="1" customWidth="1"/>
    <col min="13807" max="13807" width="14" style="478" customWidth="1"/>
    <col min="13808" max="13809" width="13.5703125" style="478" customWidth="1"/>
    <col min="13810" max="13810" width="2.85546875" style="478" customWidth="1"/>
    <col min="13811" max="13811" width="19.28515625" style="478" bestFit="1" customWidth="1"/>
    <col min="13812" max="13812" width="8.85546875" style="478" bestFit="1" customWidth="1"/>
    <col min="13813" max="13813" width="13.5703125" style="478" customWidth="1"/>
    <col min="13814" max="13814" width="31.140625" style="478" customWidth="1"/>
    <col min="13815" max="13815" width="14.140625" style="478" customWidth="1"/>
    <col min="13816" max="13816" width="2.28515625" style="478"/>
    <col min="13817" max="13817" width="9.7109375" style="478" customWidth="1"/>
    <col min="13818" max="13818" width="2.28515625" style="478"/>
    <col min="13819" max="13819" width="9.7109375" style="478" customWidth="1"/>
    <col min="13820" max="13820" width="2.28515625" style="478"/>
    <col min="13821" max="13821" width="9.7109375" style="478" customWidth="1"/>
    <col min="13822" max="13822" width="2.28515625" style="478"/>
    <col min="13823" max="13823" width="11" style="478" customWidth="1"/>
    <col min="13824" max="13824" width="2.28515625" style="478"/>
    <col min="13825" max="13825" width="35" style="478" customWidth="1"/>
    <col min="13826" max="13826" width="2.140625" style="478" customWidth="1"/>
    <col min="13827" max="13827" width="20" style="478" customWidth="1"/>
    <col min="13828" max="13828" width="2.140625" style="478" customWidth="1"/>
    <col min="13829" max="13829" width="20" style="478" customWidth="1"/>
    <col min="13830" max="13830" width="2.140625" style="478" customWidth="1"/>
    <col min="13831" max="13831" width="20" style="478" customWidth="1"/>
    <col min="13832" max="13832" width="2.28515625" style="478"/>
    <col min="13833" max="13833" width="9.7109375" style="478" customWidth="1"/>
    <col min="13834" max="13834" width="2.28515625" style="478"/>
    <col min="13835" max="13835" width="9.7109375" style="478" customWidth="1"/>
    <col min="13836" max="14039" width="13.5703125" style="478" customWidth="1"/>
    <col min="14040" max="14040" width="31.140625" style="478" customWidth="1"/>
    <col min="14041" max="14041" width="14.140625" style="478" customWidth="1"/>
    <col min="14042" max="14042" width="2.28515625" style="478"/>
    <col min="14043" max="14043" width="9.7109375" style="478" customWidth="1"/>
    <col min="14044" max="14044" width="2.28515625" style="478"/>
    <col min="14045" max="14045" width="9.7109375" style="478" customWidth="1"/>
    <col min="14046" max="14046" width="2.28515625" style="478"/>
    <col min="14047" max="14047" width="9.7109375" style="478" customWidth="1"/>
    <col min="14048" max="14048" width="2.28515625" style="478"/>
    <col min="14049" max="14049" width="11" style="478" customWidth="1"/>
    <col min="14050" max="14050" width="2.28515625" style="478"/>
    <col min="14051" max="14051" width="9.7109375" style="478" customWidth="1"/>
    <col min="14052" max="14052" width="4.28515625" style="478" customWidth="1"/>
    <col min="14053" max="14053" width="12.28515625" style="478" customWidth="1"/>
    <col min="14054" max="14054" width="2.28515625" style="478"/>
    <col min="14055" max="14055" width="9.7109375" style="478" customWidth="1"/>
    <col min="14056" max="14056" width="2.28515625" style="478"/>
    <col min="14057" max="14057" width="9.7109375" style="478" customWidth="1"/>
    <col min="14058" max="14058" width="2.28515625" style="478"/>
    <col min="14059" max="14059" width="9.7109375" style="478" customWidth="1"/>
    <col min="14060" max="14060" width="2.28515625" style="478"/>
    <col min="14061" max="14061" width="9.7109375" style="478" customWidth="1"/>
    <col min="14062" max="14062" width="13.28515625" style="478" bestFit="1" customWidth="1"/>
    <col min="14063" max="14063" width="14" style="478" customWidth="1"/>
    <col min="14064" max="14065" width="13.5703125" style="478" customWidth="1"/>
    <col min="14066" max="14066" width="2.85546875" style="478" customWidth="1"/>
    <col min="14067" max="14067" width="19.28515625" style="478" bestFit="1" customWidth="1"/>
    <col min="14068" max="14068" width="8.85546875" style="478" bestFit="1" customWidth="1"/>
    <col min="14069" max="14069" width="13.5703125" style="478" customWidth="1"/>
    <col min="14070" max="14070" width="31.140625" style="478" customWidth="1"/>
    <col min="14071" max="14071" width="14.140625" style="478" customWidth="1"/>
    <col min="14072" max="14072" width="2.28515625" style="478"/>
    <col min="14073" max="14073" width="9.7109375" style="478" customWidth="1"/>
    <col min="14074" max="14074" width="2.28515625" style="478"/>
    <col min="14075" max="14075" width="9.7109375" style="478" customWidth="1"/>
    <col min="14076" max="14076" width="2.28515625" style="478"/>
    <col min="14077" max="14077" width="9.7109375" style="478" customWidth="1"/>
    <col min="14078" max="14078" width="2.28515625" style="478"/>
    <col min="14079" max="14079" width="11" style="478" customWidth="1"/>
    <col min="14080" max="14080" width="2.28515625" style="478"/>
    <col min="14081" max="14081" width="35" style="478" customWidth="1"/>
    <col min="14082" max="14082" width="2.140625" style="478" customWidth="1"/>
    <col min="14083" max="14083" width="20" style="478" customWidth="1"/>
    <col min="14084" max="14084" width="2.140625" style="478" customWidth="1"/>
    <col min="14085" max="14085" width="20" style="478" customWidth="1"/>
    <col min="14086" max="14086" width="2.140625" style="478" customWidth="1"/>
    <col min="14087" max="14087" width="20" style="478" customWidth="1"/>
    <col min="14088" max="14088" width="2.28515625" style="478"/>
    <col min="14089" max="14089" width="9.7109375" style="478" customWidth="1"/>
    <col min="14090" max="14090" width="2.28515625" style="478"/>
    <col min="14091" max="14091" width="9.7109375" style="478" customWidth="1"/>
    <col min="14092" max="14295" width="13.5703125" style="478" customWidth="1"/>
    <col min="14296" max="14296" width="31.140625" style="478" customWidth="1"/>
    <col min="14297" max="14297" width="14.140625" style="478" customWidth="1"/>
    <col min="14298" max="14298" width="2.28515625" style="478"/>
    <col min="14299" max="14299" width="9.7109375" style="478" customWidth="1"/>
    <col min="14300" max="14300" width="2.28515625" style="478"/>
    <col min="14301" max="14301" width="9.7109375" style="478" customWidth="1"/>
    <col min="14302" max="14302" width="2.28515625" style="478"/>
    <col min="14303" max="14303" width="9.7109375" style="478" customWidth="1"/>
    <col min="14304" max="14304" width="2.28515625" style="478"/>
    <col min="14305" max="14305" width="11" style="478" customWidth="1"/>
    <col min="14306" max="14306" width="2.28515625" style="478"/>
    <col min="14307" max="14307" width="9.7109375" style="478" customWidth="1"/>
    <col min="14308" max="14308" width="4.28515625" style="478" customWidth="1"/>
    <col min="14309" max="14309" width="12.28515625" style="478" customWidth="1"/>
    <col min="14310" max="14310" width="2.28515625" style="478"/>
    <col min="14311" max="14311" width="9.7109375" style="478" customWidth="1"/>
    <col min="14312" max="14312" width="2.28515625" style="478"/>
    <col min="14313" max="14313" width="9.7109375" style="478" customWidth="1"/>
    <col min="14314" max="14314" width="2.28515625" style="478"/>
    <col min="14315" max="14315" width="9.7109375" style="478" customWidth="1"/>
    <col min="14316" max="14316" width="2.28515625" style="478"/>
    <col min="14317" max="14317" width="9.7109375" style="478" customWidth="1"/>
    <col min="14318" max="14318" width="13.28515625" style="478" bestFit="1" customWidth="1"/>
    <col min="14319" max="14319" width="14" style="478" customWidth="1"/>
    <col min="14320" max="14321" width="13.5703125" style="478" customWidth="1"/>
    <col min="14322" max="14322" width="2.85546875" style="478" customWidth="1"/>
    <col min="14323" max="14323" width="19.28515625" style="478" bestFit="1" customWidth="1"/>
    <col min="14324" max="14324" width="8.85546875" style="478" bestFit="1" customWidth="1"/>
    <col min="14325" max="14325" width="13.5703125" style="478" customWidth="1"/>
    <col min="14326" max="14326" width="31.140625" style="478" customWidth="1"/>
    <col min="14327" max="14327" width="14.140625" style="478" customWidth="1"/>
    <col min="14328" max="14328" width="2.28515625" style="478"/>
    <col min="14329" max="14329" width="9.7109375" style="478" customWidth="1"/>
    <col min="14330" max="14330" width="2.28515625" style="478"/>
    <col min="14331" max="14331" width="9.7109375" style="478" customWidth="1"/>
    <col min="14332" max="14332" width="2.28515625" style="478"/>
    <col min="14333" max="14333" width="9.7109375" style="478" customWidth="1"/>
    <col min="14334" max="14334" width="2.28515625" style="478"/>
    <col min="14335" max="14335" width="11" style="478" customWidth="1"/>
    <col min="14336" max="14336" width="2.28515625" style="478"/>
    <col min="14337" max="14337" width="35" style="478" customWidth="1"/>
    <col min="14338" max="14338" width="2.140625" style="478" customWidth="1"/>
    <col min="14339" max="14339" width="20" style="478" customWidth="1"/>
    <col min="14340" max="14340" width="2.140625" style="478" customWidth="1"/>
    <col min="14341" max="14341" width="20" style="478" customWidth="1"/>
    <col min="14342" max="14342" width="2.140625" style="478" customWidth="1"/>
    <col min="14343" max="14343" width="20" style="478" customWidth="1"/>
    <col min="14344" max="14344" width="2.28515625" style="478"/>
    <col min="14345" max="14345" width="9.7109375" style="478" customWidth="1"/>
    <col min="14346" max="14346" width="2.28515625" style="478"/>
    <col min="14347" max="14347" width="9.7109375" style="478" customWidth="1"/>
    <col min="14348" max="14551" width="13.5703125" style="478" customWidth="1"/>
    <col min="14552" max="14552" width="31.140625" style="478" customWidth="1"/>
    <col min="14553" max="14553" width="14.140625" style="478" customWidth="1"/>
    <col min="14554" max="14554" width="2.28515625" style="478"/>
    <col min="14555" max="14555" width="9.7109375" style="478" customWidth="1"/>
    <col min="14556" max="14556" width="2.28515625" style="478"/>
    <col min="14557" max="14557" width="9.7109375" style="478" customWidth="1"/>
    <col min="14558" max="14558" width="2.28515625" style="478"/>
    <col min="14559" max="14559" width="9.7109375" style="478" customWidth="1"/>
    <col min="14560" max="14560" width="2.28515625" style="478"/>
    <col min="14561" max="14561" width="11" style="478" customWidth="1"/>
    <col min="14562" max="14562" width="2.28515625" style="478"/>
    <col min="14563" max="14563" width="9.7109375" style="478" customWidth="1"/>
    <col min="14564" max="14564" width="4.28515625" style="478" customWidth="1"/>
    <col min="14565" max="14565" width="12.28515625" style="478" customWidth="1"/>
    <col min="14566" max="14566" width="2.28515625" style="478"/>
    <col min="14567" max="14567" width="9.7109375" style="478" customWidth="1"/>
    <col min="14568" max="14568" width="2.28515625" style="478"/>
    <col min="14569" max="14569" width="9.7109375" style="478" customWidth="1"/>
    <col min="14570" max="14570" width="2.28515625" style="478"/>
    <col min="14571" max="14571" width="9.7109375" style="478" customWidth="1"/>
    <col min="14572" max="14572" width="2.28515625" style="478"/>
    <col min="14573" max="14573" width="9.7109375" style="478" customWidth="1"/>
    <col min="14574" max="14574" width="13.28515625" style="478" bestFit="1" customWidth="1"/>
    <col min="14575" max="14575" width="14" style="478" customWidth="1"/>
    <col min="14576" max="14577" width="13.5703125" style="478" customWidth="1"/>
    <col min="14578" max="14578" width="2.85546875" style="478" customWidth="1"/>
    <col min="14579" max="14579" width="19.28515625" style="478" bestFit="1" customWidth="1"/>
    <col min="14580" max="14580" width="8.85546875" style="478" bestFit="1" customWidth="1"/>
    <col min="14581" max="14581" width="13.5703125" style="478" customWidth="1"/>
    <col min="14582" max="14582" width="31.140625" style="478" customWidth="1"/>
    <col min="14583" max="14583" width="14.140625" style="478" customWidth="1"/>
    <col min="14584" max="14584" width="2.28515625" style="478"/>
    <col min="14585" max="14585" width="9.7109375" style="478" customWidth="1"/>
    <col min="14586" max="14586" width="2.28515625" style="478"/>
    <col min="14587" max="14587" width="9.7109375" style="478" customWidth="1"/>
    <col min="14588" max="14588" width="2.28515625" style="478"/>
    <col min="14589" max="14589" width="9.7109375" style="478" customWidth="1"/>
    <col min="14590" max="14590" width="2.28515625" style="478"/>
    <col min="14591" max="14591" width="11" style="478" customWidth="1"/>
    <col min="14592" max="14592" width="2.28515625" style="478"/>
    <col min="14593" max="14593" width="35" style="478" customWidth="1"/>
    <col min="14594" max="14594" width="2.140625" style="478" customWidth="1"/>
    <col min="14595" max="14595" width="20" style="478" customWidth="1"/>
    <col min="14596" max="14596" width="2.140625" style="478" customWidth="1"/>
    <col min="14597" max="14597" width="20" style="478" customWidth="1"/>
    <col min="14598" max="14598" width="2.140625" style="478" customWidth="1"/>
    <col min="14599" max="14599" width="20" style="478" customWidth="1"/>
    <col min="14600" max="14600" width="2.28515625" style="478"/>
    <col min="14601" max="14601" width="9.7109375" style="478" customWidth="1"/>
    <col min="14602" max="14602" width="2.28515625" style="478"/>
    <col min="14603" max="14603" width="9.7109375" style="478" customWidth="1"/>
    <col min="14604" max="14807" width="13.5703125" style="478" customWidth="1"/>
    <col min="14808" max="14808" width="31.140625" style="478" customWidth="1"/>
    <col min="14809" max="14809" width="14.140625" style="478" customWidth="1"/>
    <col min="14810" max="14810" width="2.28515625" style="478"/>
    <col min="14811" max="14811" width="9.7109375" style="478" customWidth="1"/>
    <col min="14812" max="14812" width="2.28515625" style="478"/>
    <col min="14813" max="14813" width="9.7109375" style="478" customWidth="1"/>
    <col min="14814" max="14814" width="2.28515625" style="478"/>
    <col min="14815" max="14815" width="9.7109375" style="478" customWidth="1"/>
    <col min="14816" max="14816" width="2.28515625" style="478"/>
    <col min="14817" max="14817" width="11" style="478" customWidth="1"/>
    <col min="14818" max="14818" width="2.28515625" style="478"/>
    <col min="14819" max="14819" width="9.7109375" style="478" customWidth="1"/>
    <col min="14820" max="14820" width="4.28515625" style="478" customWidth="1"/>
    <col min="14821" max="14821" width="12.28515625" style="478" customWidth="1"/>
    <col min="14822" max="14822" width="2.28515625" style="478"/>
    <col min="14823" max="14823" width="9.7109375" style="478" customWidth="1"/>
    <col min="14824" max="14824" width="2.28515625" style="478"/>
    <col min="14825" max="14825" width="9.7109375" style="478" customWidth="1"/>
    <col min="14826" max="14826" width="2.28515625" style="478"/>
    <col min="14827" max="14827" width="9.7109375" style="478" customWidth="1"/>
    <col min="14828" max="14828" width="2.28515625" style="478"/>
    <col min="14829" max="14829" width="9.7109375" style="478" customWidth="1"/>
    <col min="14830" max="14830" width="13.28515625" style="478" bestFit="1" customWidth="1"/>
    <col min="14831" max="14831" width="14" style="478" customWidth="1"/>
    <col min="14832" max="14833" width="13.5703125" style="478" customWidth="1"/>
    <col min="14834" max="14834" width="2.85546875" style="478" customWidth="1"/>
    <col min="14835" max="14835" width="19.28515625" style="478" bestFit="1" customWidth="1"/>
    <col min="14836" max="14836" width="8.85546875" style="478" bestFit="1" customWidth="1"/>
    <col min="14837" max="14837" width="13.5703125" style="478" customWidth="1"/>
    <col min="14838" max="14838" width="31.140625" style="478" customWidth="1"/>
    <col min="14839" max="14839" width="14.140625" style="478" customWidth="1"/>
    <col min="14840" max="14840" width="2.28515625" style="478"/>
    <col min="14841" max="14841" width="9.7109375" style="478" customWidth="1"/>
    <col min="14842" max="14842" width="2.28515625" style="478"/>
    <col min="14843" max="14843" width="9.7109375" style="478" customWidth="1"/>
    <col min="14844" max="14844" width="2.28515625" style="478"/>
    <col min="14845" max="14845" width="9.7109375" style="478" customWidth="1"/>
    <col min="14846" max="14846" width="2.28515625" style="478"/>
    <col min="14847" max="14847" width="11" style="478" customWidth="1"/>
    <col min="14848" max="14848" width="2.28515625" style="478"/>
    <col min="14849" max="14849" width="35" style="478" customWidth="1"/>
    <col min="14850" max="14850" width="2.140625" style="478" customWidth="1"/>
    <col min="14851" max="14851" width="20" style="478" customWidth="1"/>
    <col min="14852" max="14852" width="2.140625" style="478" customWidth="1"/>
    <col min="14853" max="14853" width="20" style="478" customWidth="1"/>
    <col min="14854" max="14854" width="2.140625" style="478" customWidth="1"/>
    <col min="14855" max="14855" width="20" style="478" customWidth="1"/>
    <col min="14856" max="14856" width="2.28515625" style="478"/>
    <col min="14857" max="14857" width="9.7109375" style="478" customWidth="1"/>
    <col min="14858" max="14858" width="2.28515625" style="478"/>
    <col min="14859" max="14859" width="9.7109375" style="478" customWidth="1"/>
    <col min="14860" max="15063" width="13.5703125" style="478" customWidth="1"/>
    <col min="15064" max="15064" width="31.140625" style="478" customWidth="1"/>
    <col min="15065" max="15065" width="14.140625" style="478" customWidth="1"/>
    <col min="15066" max="15066" width="2.28515625" style="478"/>
    <col min="15067" max="15067" width="9.7109375" style="478" customWidth="1"/>
    <col min="15068" max="15068" width="2.28515625" style="478"/>
    <col min="15069" max="15069" width="9.7109375" style="478" customWidth="1"/>
    <col min="15070" max="15070" width="2.28515625" style="478"/>
    <col min="15071" max="15071" width="9.7109375" style="478" customWidth="1"/>
    <col min="15072" max="15072" width="2.28515625" style="478"/>
    <col min="15073" max="15073" width="11" style="478" customWidth="1"/>
    <col min="15074" max="15074" width="2.28515625" style="478"/>
    <col min="15075" max="15075" width="9.7109375" style="478" customWidth="1"/>
    <col min="15076" max="15076" width="4.28515625" style="478" customWidth="1"/>
    <col min="15077" max="15077" width="12.28515625" style="478" customWidth="1"/>
    <col min="15078" max="15078" width="2.28515625" style="478"/>
    <col min="15079" max="15079" width="9.7109375" style="478" customWidth="1"/>
    <col min="15080" max="15080" width="2.28515625" style="478"/>
    <col min="15081" max="15081" width="9.7109375" style="478" customWidth="1"/>
    <col min="15082" max="15082" width="2.28515625" style="478"/>
    <col min="15083" max="15083" width="9.7109375" style="478" customWidth="1"/>
    <col min="15084" max="15084" width="2.28515625" style="478"/>
    <col min="15085" max="15085" width="9.7109375" style="478" customWidth="1"/>
    <col min="15086" max="15086" width="13.28515625" style="478" bestFit="1" customWidth="1"/>
    <col min="15087" max="15087" width="14" style="478" customWidth="1"/>
    <col min="15088" max="15089" width="13.5703125" style="478" customWidth="1"/>
    <col min="15090" max="15090" width="2.85546875" style="478" customWidth="1"/>
    <col min="15091" max="15091" width="19.28515625" style="478" bestFit="1" customWidth="1"/>
    <col min="15092" max="15092" width="8.85546875" style="478" bestFit="1" customWidth="1"/>
    <col min="15093" max="15093" width="13.5703125" style="478" customWidth="1"/>
    <col min="15094" max="15094" width="31.140625" style="478" customWidth="1"/>
    <col min="15095" max="15095" width="14.140625" style="478" customWidth="1"/>
    <col min="15096" max="15096" width="2.28515625" style="478"/>
    <col min="15097" max="15097" width="9.7109375" style="478" customWidth="1"/>
    <col min="15098" max="15098" width="2.28515625" style="478"/>
    <col min="15099" max="15099" width="9.7109375" style="478" customWidth="1"/>
    <col min="15100" max="15100" width="2.28515625" style="478"/>
    <col min="15101" max="15101" width="9.7109375" style="478" customWidth="1"/>
    <col min="15102" max="15102" width="2.28515625" style="478"/>
    <col min="15103" max="15103" width="11" style="478" customWidth="1"/>
    <col min="15104" max="15104" width="2.28515625" style="478"/>
    <col min="15105" max="15105" width="35" style="478" customWidth="1"/>
    <col min="15106" max="15106" width="2.140625" style="478" customWidth="1"/>
    <col min="15107" max="15107" width="20" style="478" customWidth="1"/>
    <col min="15108" max="15108" width="2.140625" style="478" customWidth="1"/>
    <col min="15109" max="15109" width="20" style="478" customWidth="1"/>
    <col min="15110" max="15110" width="2.140625" style="478" customWidth="1"/>
    <col min="15111" max="15111" width="20" style="478" customWidth="1"/>
    <col min="15112" max="15112" width="2.28515625" style="478"/>
    <col min="15113" max="15113" width="9.7109375" style="478" customWidth="1"/>
    <col min="15114" max="15114" width="2.28515625" style="478"/>
    <col min="15115" max="15115" width="9.7109375" style="478" customWidth="1"/>
    <col min="15116" max="15319" width="13.5703125" style="478" customWidth="1"/>
    <col min="15320" max="15320" width="31.140625" style="478" customWidth="1"/>
    <col min="15321" max="15321" width="14.140625" style="478" customWidth="1"/>
    <col min="15322" max="15322" width="2.28515625" style="478"/>
    <col min="15323" max="15323" width="9.7109375" style="478" customWidth="1"/>
    <col min="15324" max="15324" width="2.28515625" style="478"/>
    <col min="15325" max="15325" width="9.7109375" style="478" customWidth="1"/>
    <col min="15326" max="15326" width="2.28515625" style="478"/>
    <col min="15327" max="15327" width="9.7109375" style="478" customWidth="1"/>
    <col min="15328" max="15328" width="2.28515625" style="478"/>
    <col min="15329" max="15329" width="11" style="478" customWidth="1"/>
    <col min="15330" max="15330" width="2.28515625" style="478"/>
    <col min="15331" max="15331" width="9.7109375" style="478" customWidth="1"/>
    <col min="15332" max="15332" width="4.28515625" style="478" customWidth="1"/>
    <col min="15333" max="15333" width="12.28515625" style="478" customWidth="1"/>
    <col min="15334" max="15334" width="2.28515625" style="478"/>
    <col min="15335" max="15335" width="9.7109375" style="478" customWidth="1"/>
    <col min="15336" max="15336" width="2.28515625" style="478"/>
    <col min="15337" max="15337" width="9.7109375" style="478" customWidth="1"/>
    <col min="15338" max="15338" width="2.28515625" style="478"/>
    <col min="15339" max="15339" width="9.7109375" style="478" customWidth="1"/>
    <col min="15340" max="15340" width="2.28515625" style="478"/>
    <col min="15341" max="15341" width="9.7109375" style="478" customWidth="1"/>
    <col min="15342" max="15342" width="13.28515625" style="478" bestFit="1" customWidth="1"/>
    <col min="15343" max="15343" width="14" style="478" customWidth="1"/>
    <col min="15344" max="15345" width="13.5703125" style="478" customWidth="1"/>
    <col min="15346" max="15346" width="2.85546875" style="478" customWidth="1"/>
    <col min="15347" max="15347" width="19.28515625" style="478" bestFit="1" customWidth="1"/>
    <col min="15348" max="15348" width="8.85546875" style="478" bestFit="1" customWidth="1"/>
    <col min="15349" max="15349" width="13.5703125" style="478" customWidth="1"/>
    <col min="15350" max="15350" width="31.140625" style="478" customWidth="1"/>
    <col min="15351" max="15351" width="14.140625" style="478" customWidth="1"/>
    <col min="15352" max="15352" width="2.28515625" style="478"/>
    <col min="15353" max="15353" width="9.7109375" style="478" customWidth="1"/>
    <col min="15354" max="15354" width="2.28515625" style="478"/>
    <col min="15355" max="15355" width="9.7109375" style="478" customWidth="1"/>
    <col min="15356" max="15356" width="2.28515625" style="478"/>
    <col min="15357" max="15357" width="9.7109375" style="478" customWidth="1"/>
    <col min="15358" max="15358" width="2.28515625" style="478"/>
    <col min="15359" max="15359" width="11" style="478" customWidth="1"/>
    <col min="15360" max="15360" width="2.28515625" style="478"/>
    <col min="15361" max="15361" width="35" style="478" customWidth="1"/>
    <col min="15362" max="15362" width="2.140625" style="478" customWidth="1"/>
    <col min="15363" max="15363" width="20" style="478" customWidth="1"/>
    <col min="15364" max="15364" width="2.140625" style="478" customWidth="1"/>
    <col min="15365" max="15365" width="20" style="478" customWidth="1"/>
    <col min="15366" max="15366" width="2.140625" style="478" customWidth="1"/>
    <col min="15367" max="15367" width="20" style="478" customWidth="1"/>
    <col min="15368" max="15368" width="2.28515625" style="478"/>
    <col min="15369" max="15369" width="9.7109375" style="478" customWidth="1"/>
    <col min="15370" max="15370" width="2.28515625" style="478"/>
    <col min="15371" max="15371" width="9.7109375" style="478" customWidth="1"/>
    <col min="15372" max="15575" width="13.5703125" style="478" customWidth="1"/>
    <col min="15576" max="15576" width="31.140625" style="478" customWidth="1"/>
    <col min="15577" max="15577" width="14.140625" style="478" customWidth="1"/>
    <col min="15578" max="15578" width="2.28515625" style="478"/>
    <col min="15579" max="15579" width="9.7109375" style="478" customWidth="1"/>
    <col min="15580" max="15580" width="2.28515625" style="478"/>
    <col min="15581" max="15581" width="9.7109375" style="478" customWidth="1"/>
    <col min="15582" max="15582" width="2.28515625" style="478"/>
    <col min="15583" max="15583" width="9.7109375" style="478" customWidth="1"/>
    <col min="15584" max="15584" width="2.28515625" style="478"/>
    <col min="15585" max="15585" width="11" style="478" customWidth="1"/>
    <col min="15586" max="15586" width="2.28515625" style="478"/>
    <col min="15587" max="15587" width="9.7109375" style="478" customWidth="1"/>
    <col min="15588" max="15588" width="4.28515625" style="478" customWidth="1"/>
    <col min="15589" max="15589" width="12.28515625" style="478" customWidth="1"/>
    <col min="15590" max="15590" width="2.28515625" style="478"/>
    <col min="15591" max="15591" width="9.7109375" style="478" customWidth="1"/>
    <col min="15592" max="15592" width="2.28515625" style="478"/>
    <col min="15593" max="15593" width="9.7109375" style="478" customWidth="1"/>
    <col min="15594" max="15594" width="2.28515625" style="478"/>
    <col min="15595" max="15595" width="9.7109375" style="478" customWidth="1"/>
    <col min="15596" max="15596" width="2.28515625" style="478"/>
    <col min="15597" max="15597" width="9.7109375" style="478" customWidth="1"/>
    <col min="15598" max="15598" width="13.28515625" style="478" bestFit="1" customWidth="1"/>
    <col min="15599" max="15599" width="14" style="478" customWidth="1"/>
    <col min="15600" max="15601" width="13.5703125" style="478" customWidth="1"/>
    <col min="15602" max="15602" width="2.85546875" style="478" customWidth="1"/>
    <col min="15603" max="15603" width="19.28515625" style="478" bestFit="1" customWidth="1"/>
    <col min="15604" max="15604" width="8.85546875" style="478" bestFit="1" customWidth="1"/>
    <col min="15605" max="15605" width="13.5703125" style="478" customWidth="1"/>
    <col min="15606" max="15606" width="31.140625" style="478" customWidth="1"/>
    <col min="15607" max="15607" width="14.140625" style="478" customWidth="1"/>
    <col min="15608" max="15608" width="2.28515625" style="478"/>
    <col min="15609" max="15609" width="9.7109375" style="478" customWidth="1"/>
    <col min="15610" max="15610" width="2.28515625" style="478"/>
    <col min="15611" max="15611" width="9.7109375" style="478" customWidth="1"/>
    <col min="15612" max="15612" width="2.28515625" style="478"/>
    <col min="15613" max="15613" width="9.7109375" style="478" customWidth="1"/>
    <col min="15614" max="15614" width="2.28515625" style="478"/>
    <col min="15615" max="15615" width="11" style="478" customWidth="1"/>
    <col min="15616" max="15616" width="2.28515625" style="478"/>
    <col min="15617" max="15617" width="35" style="478" customWidth="1"/>
    <col min="15618" max="15618" width="2.140625" style="478" customWidth="1"/>
    <col min="15619" max="15619" width="20" style="478" customWidth="1"/>
    <col min="15620" max="15620" width="2.140625" style="478" customWidth="1"/>
    <col min="15621" max="15621" width="20" style="478" customWidth="1"/>
    <col min="15622" max="15622" width="2.140625" style="478" customWidth="1"/>
    <col min="15623" max="15623" width="20" style="478" customWidth="1"/>
    <col min="15624" max="15624" width="2.28515625" style="478"/>
    <col min="15625" max="15625" width="9.7109375" style="478" customWidth="1"/>
    <col min="15626" max="15626" width="2.28515625" style="478"/>
    <col min="15627" max="15627" width="9.7109375" style="478" customWidth="1"/>
    <col min="15628" max="15831" width="13.5703125" style="478" customWidth="1"/>
    <col min="15832" max="15832" width="31.140625" style="478" customWidth="1"/>
    <col min="15833" max="15833" width="14.140625" style="478" customWidth="1"/>
    <col min="15834" max="15834" width="2.28515625" style="478"/>
    <col min="15835" max="15835" width="9.7109375" style="478" customWidth="1"/>
    <col min="15836" max="15836" width="2.28515625" style="478"/>
    <col min="15837" max="15837" width="9.7109375" style="478" customWidth="1"/>
    <col min="15838" max="15838" width="2.28515625" style="478"/>
    <col min="15839" max="15839" width="9.7109375" style="478" customWidth="1"/>
    <col min="15840" max="15840" width="2.28515625" style="478"/>
    <col min="15841" max="15841" width="11" style="478" customWidth="1"/>
    <col min="15842" max="15842" width="2.28515625" style="478"/>
    <col min="15843" max="15843" width="9.7109375" style="478" customWidth="1"/>
    <col min="15844" max="15844" width="4.28515625" style="478" customWidth="1"/>
    <col min="15845" max="15845" width="12.28515625" style="478" customWidth="1"/>
    <col min="15846" max="15846" width="2.28515625" style="478"/>
    <col min="15847" max="15847" width="9.7109375" style="478" customWidth="1"/>
    <col min="15848" max="15848" width="2.28515625" style="478"/>
    <col min="15849" max="15849" width="9.7109375" style="478" customWidth="1"/>
    <col min="15850" max="15850" width="2.28515625" style="478"/>
    <col min="15851" max="15851" width="9.7109375" style="478" customWidth="1"/>
    <col min="15852" max="15852" width="2.28515625" style="478"/>
    <col min="15853" max="15853" width="9.7109375" style="478" customWidth="1"/>
    <col min="15854" max="15854" width="13.28515625" style="478" bestFit="1" customWidth="1"/>
    <col min="15855" max="15855" width="14" style="478" customWidth="1"/>
    <col min="15856" max="15857" width="13.5703125" style="478" customWidth="1"/>
    <col min="15858" max="15858" width="2.85546875" style="478" customWidth="1"/>
    <col min="15859" max="15859" width="19.28515625" style="478" bestFit="1" customWidth="1"/>
    <col min="15860" max="15860" width="8.85546875" style="478" bestFit="1" customWidth="1"/>
    <col min="15861" max="15861" width="13.5703125" style="478" customWidth="1"/>
    <col min="15862" max="15862" width="31.140625" style="478" customWidth="1"/>
    <col min="15863" max="15863" width="14.140625" style="478" customWidth="1"/>
    <col min="15864" max="15864" width="2.28515625" style="478"/>
    <col min="15865" max="15865" width="9.7109375" style="478" customWidth="1"/>
    <col min="15866" max="15866" width="2.28515625" style="478"/>
    <col min="15867" max="15867" width="9.7109375" style="478" customWidth="1"/>
    <col min="15868" max="15868" width="2.28515625" style="478"/>
    <col min="15869" max="15869" width="9.7109375" style="478" customWidth="1"/>
    <col min="15870" max="15870" width="2.28515625" style="478"/>
    <col min="15871" max="15871" width="11" style="478" customWidth="1"/>
    <col min="15872" max="15872" width="2.28515625" style="478"/>
    <col min="15873" max="15873" width="35" style="478" customWidth="1"/>
    <col min="15874" max="15874" width="2.140625" style="478" customWidth="1"/>
    <col min="15875" max="15875" width="20" style="478" customWidth="1"/>
    <col min="15876" max="15876" width="2.140625" style="478" customWidth="1"/>
    <col min="15877" max="15877" width="20" style="478" customWidth="1"/>
    <col min="15878" max="15878" width="2.140625" style="478" customWidth="1"/>
    <col min="15879" max="15879" width="20" style="478" customWidth="1"/>
    <col min="15880" max="15880" width="2.28515625" style="478"/>
    <col min="15881" max="15881" width="9.7109375" style="478" customWidth="1"/>
    <col min="15882" max="15882" width="2.28515625" style="478"/>
    <col min="15883" max="15883" width="9.7109375" style="478" customWidth="1"/>
    <col min="15884" max="16087" width="13.5703125" style="478" customWidth="1"/>
    <col min="16088" max="16088" width="31.140625" style="478" customWidth="1"/>
    <col min="16089" max="16089" width="14.140625" style="478" customWidth="1"/>
    <col min="16090" max="16090" width="2.28515625" style="478"/>
    <col min="16091" max="16091" width="9.7109375" style="478" customWidth="1"/>
    <col min="16092" max="16092" width="2.28515625" style="478"/>
    <col min="16093" max="16093" width="9.7109375" style="478" customWidth="1"/>
    <col min="16094" max="16094" width="2.28515625" style="478"/>
    <col min="16095" max="16095" width="9.7109375" style="478" customWidth="1"/>
    <col min="16096" max="16096" width="2.28515625" style="478"/>
    <col min="16097" max="16097" width="11" style="478" customWidth="1"/>
    <col min="16098" max="16098" width="2.28515625" style="478"/>
    <col min="16099" max="16099" width="9.7109375" style="478" customWidth="1"/>
    <col min="16100" max="16100" width="4.28515625" style="478" customWidth="1"/>
    <col min="16101" max="16101" width="12.28515625" style="478" customWidth="1"/>
    <col min="16102" max="16102" width="2.28515625" style="478"/>
    <col min="16103" max="16103" width="9.7109375" style="478" customWidth="1"/>
    <col min="16104" max="16104" width="2.28515625" style="478"/>
    <col min="16105" max="16105" width="9.7109375" style="478" customWidth="1"/>
    <col min="16106" max="16106" width="2.28515625" style="478"/>
    <col min="16107" max="16107" width="9.7109375" style="478" customWidth="1"/>
    <col min="16108" max="16108" width="2.28515625" style="478"/>
    <col min="16109" max="16109" width="9.7109375" style="478" customWidth="1"/>
    <col min="16110" max="16110" width="13.28515625" style="478" bestFit="1" customWidth="1"/>
    <col min="16111" max="16111" width="14" style="478" customWidth="1"/>
    <col min="16112" max="16113" width="13.5703125" style="478" customWidth="1"/>
    <col min="16114" max="16114" width="2.85546875" style="478" customWidth="1"/>
    <col min="16115" max="16115" width="19.28515625" style="478" bestFit="1" customWidth="1"/>
    <col min="16116" max="16116" width="8.85546875" style="478" bestFit="1" customWidth="1"/>
    <col min="16117" max="16117" width="13.5703125" style="478" customWidth="1"/>
    <col min="16118" max="16118" width="31.140625" style="478" customWidth="1"/>
    <col min="16119" max="16119" width="14.140625" style="478" customWidth="1"/>
    <col min="16120" max="16120" width="2.28515625" style="478"/>
    <col min="16121" max="16121" width="9.7109375" style="478" customWidth="1"/>
    <col min="16122" max="16122" width="2.28515625" style="478"/>
    <col min="16123" max="16123" width="9.7109375" style="478" customWidth="1"/>
    <col min="16124" max="16124" width="2.28515625" style="478"/>
    <col min="16125" max="16125" width="9.7109375" style="478" customWidth="1"/>
    <col min="16126" max="16126" width="2.28515625" style="478"/>
    <col min="16127" max="16127" width="11" style="478" customWidth="1"/>
    <col min="16128" max="16128" width="2.28515625" style="478"/>
    <col min="16129" max="16129" width="35" style="478" customWidth="1"/>
    <col min="16130" max="16130" width="2.140625" style="478" customWidth="1"/>
    <col min="16131" max="16131" width="20" style="478" customWidth="1"/>
    <col min="16132" max="16132" width="2.140625" style="478" customWidth="1"/>
    <col min="16133" max="16133" width="20" style="478" customWidth="1"/>
    <col min="16134" max="16134" width="2.140625" style="478" customWidth="1"/>
    <col min="16135" max="16135" width="20" style="478" customWidth="1"/>
    <col min="16136" max="16136" width="2.28515625" style="478"/>
    <col min="16137" max="16137" width="9.7109375" style="478" customWidth="1"/>
    <col min="16138" max="16138" width="2.28515625" style="478"/>
    <col min="16139" max="16139" width="9.7109375" style="478" customWidth="1"/>
    <col min="16140" max="16343" width="13.5703125" style="478" customWidth="1"/>
    <col min="16344" max="16344" width="31.140625" style="478" customWidth="1"/>
    <col min="16345" max="16345" width="14.140625" style="478" customWidth="1"/>
    <col min="16346" max="16346" width="2.28515625" style="478"/>
    <col min="16347" max="16347" width="9.7109375" style="478" customWidth="1"/>
    <col min="16348" max="16348" width="2.28515625" style="478"/>
    <col min="16349" max="16349" width="9.7109375" style="478" customWidth="1"/>
    <col min="16350" max="16350" width="2.28515625" style="478"/>
    <col min="16351" max="16351" width="9.7109375" style="478" customWidth="1"/>
    <col min="16352" max="16352" width="2.28515625" style="478"/>
    <col min="16353" max="16353" width="11" style="478" customWidth="1"/>
    <col min="16354" max="16354" width="2.28515625" style="478"/>
    <col min="16355" max="16355" width="9.7109375" style="478" customWidth="1"/>
    <col min="16356" max="16356" width="4.28515625" style="478" customWidth="1"/>
    <col min="16357" max="16357" width="12.28515625" style="478" customWidth="1"/>
    <col min="16358" max="16358" width="2.28515625" style="478"/>
    <col min="16359" max="16359" width="9.7109375" style="478" customWidth="1"/>
    <col min="16360" max="16360" width="2.28515625" style="478"/>
    <col min="16361" max="16361" width="9.7109375" style="478" customWidth="1"/>
    <col min="16362" max="16362" width="2.28515625" style="478"/>
    <col min="16363" max="16363" width="9.7109375" style="478" customWidth="1"/>
    <col min="16364" max="16364" width="2.28515625" style="478"/>
    <col min="16365" max="16365" width="9.7109375" style="478" customWidth="1"/>
    <col min="16366" max="16366" width="13.28515625" style="478" bestFit="1" customWidth="1"/>
    <col min="16367" max="16367" width="14" style="478" customWidth="1"/>
    <col min="16368" max="16369" width="13.5703125" style="478" customWidth="1"/>
    <col min="16370" max="16370" width="2.85546875" style="478" customWidth="1"/>
    <col min="16371" max="16371" width="19.28515625" style="478" bestFit="1" customWidth="1"/>
    <col min="16372" max="16372" width="8.85546875" style="478" bestFit="1" customWidth="1"/>
    <col min="16373" max="16373" width="13.5703125" style="478" customWidth="1"/>
    <col min="16374" max="16374" width="31.140625" style="478" customWidth="1"/>
    <col min="16375" max="16375" width="14.140625" style="478" customWidth="1"/>
    <col min="16376" max="16376" width="2.28515625" style="478"/>
    <col min="16377" max="16377" width="9.7109375" style="478" customWidth="1"/>
    <col min="16378" max="16378" width="2.28515625" style="478"/>
    <col min="16379" max="16379" width="9.7109375" style="478" customWidth="1"/>
    <col min="16380" max="16380" width="2.28515625" style="478"/>
    <col min="16381" max="16381" width="9.7109375" style="478" customWidth="1"/>
    <col min="16382" max="16382" width="2.28515625" style="478"/>
    <col min="16383" max="16383" width="11" style="478" customWidth="1"/>
    <col min="16384" max="16384" width="2.28515625" style="478"/>
  </cols>
  <sheetData>
    <row r="1" spans="1:11" ht="16.5" customHeight="1">
      <c r="A1" s="1132" t="s">
        <v>232</v>
      </c>
      <c r="B1" s="1132"/>
      <c r="C1" s="1132"/>
      <c r="D1" s="1132"/>
      <c r="E1" s="1132"/>
      <c r="F1" s="1132"/>
      <c r="G1" s="1132"/>
      <c r="H1" s="515"/>
      <c r="I1" s="516"/>
      <c r="J1" s="516"/>
      <c r="K1" s="516"/>
    </row>
    <row r="2" spans="1:11" ht="15.75">
      <c r="A2" s="1132" t="s">
        <v>1010</v>
      </c>
      <c r="B2" s="1132"/>
      <c r="C2" s="1132"/>
      <c r="D2" s="1132"/>
      <c r="E2" s="1132"/>
      <c r="F2" s="1132"/>
      <c r="G2" s="1132"/>
      <c r="H2" s="515"/>
      <c r="I2" s="516"/>
      <c r="J2" s="516"/>
      <c r="K2" s="516"/>
    </row>
    <row r="3" spans="1:11" ht="15.75">
      <c r="A3" s="1133" t="str">
        <f>+Input!A4</f>
        <v>December 2023</v>
      </c>
      <c r="B3" s="1133"/>
      <c r="C3" s="1128"/>
      <c r="D3" s="1128"/>
      <c r="E3" s="1128"/>
      <c r="F3" s="1128"/>
      <c r="G3" s="1128"/>
      <c r="H3" s="515"/>
      <c r="I3" s="516"/>
      <c r="J3" s="516"/>
      <c r="K3" s="516"/>
    </row>
    <row r="4" spans="1:11" ht="15.75">
      <c r="A4" s="1128" t="s">
        <v>662</v>
      </c>
      <c r="B4" s="1128"/>
      <c r="C4" s="1128"/>
      <c r="D4" s="1128"/>
      <c r="E4" s="1128"/>
      <c r="F4" s="1128"/>
      <c r="G4" s="1128"/>
      <c r="H4" s="515"/>
      <c r="I4" s="516"/>
      <c r="J4" s="516"/>
      <c r="K4" s="516"/>
    </row>
    <row r="5" spans="1:11" ht="18" customHeight="1">
      <c r="C5" s="517"/>
      <c r="D5" s="517"/>
      <c r="E5" s="1129" t="s">
        <v>1032</v>
      </c>
      <c r="F5" s="1129"/>
      <c r="G5" s="1129"/>
      <c r="H5" s="517"/>
      <c r="I5" s="517"/>
      <c r="J5" s="517"/>
      <c r="K5" s="517"/>
    </row>
    <row r="6" spans="1:11" ht="18" customHeight="1">
      <c r="C6" s="517"/>
      <c r="D6" s="517"/>
      <c r="E6" s="517"/>
      <c r="F6" s="517"/>
      <c r="G6" s="517"/>
      <c r="H6" s="517"/>
      <c r="I6" s="517"/>
      <c r="J6" s="517"/>
      <c r="K6" s="517"/>
    </row>
    <row r="7" spans="1:11" ht="18" customHeight="1">
      <c r="C7" s="517"/>
      <c r="D7" s="517"/>
      <c r="E7" s="517"/>
      <c r="F7" s="517"/>
      <c r="G7" s="517"/>
      <c r="H7" s="517"/>
      <c r="I7" s="517"/>
      <c r="J7" s="517"/>
      <c r="K7" s="517"/>
    </row>
    <row r="8" spans="1:11" ht="18" customHeight="1">
      <c r="C8" s="517"/>
      <c r="D8" s="517"/>
      <c r="F8" s="517"/>
      <c r="G8" s="518" t="s">
        <v>780</v>
      </c>
      <c r="H8" s="517"/>
      <c r="I8" s="517"/>
      <c r="J8" s="517"/>
      <c r="K8" s="517"/>
    </row>
    <row r="9" spans="1:11" ht="18" customHeight="1">
      <c r="C9" s="517"/>
      <c r="D9" s="517"/>
      <c r="E9" s="518" t="s">
        <v>1033</v>
      </c>
      <c r="F9" s="517"/>
      <c r="G9" s="518" t="s">
        <v>247</v>
      </c>
      <c r="H9" s="517"/>
      <c r="I9" s="517"/>
      <c r="J9" s="517"/>
      <c r="K9" s="517"/>
    </row>
    <row r="10" spans="1:11" ht="18" customHeight="1">
      <c r="A10" s="519" t="s">
        <v>1015</v>
      </c>
      <c r="C10" s="519" t="s">
        <v>728</v>
      </c>
      <c r="D10" s="517"/>
      <c r="E10" s="519" t="s">
        <v>1034</v>
      </c>
      <c r="F10" s="517"/>
      <c r="G10" s="519" t="s">
        <v>1016</v>
      </c>
      <c r="H10" s="517"/>
      <c r="I10" s="517"/>
      <c r="J10" s="517"/>
      <c r="K10" s="517"/>
    </row>
    <row r="11" spans="1:11" ht="18" customHeight="1">
      <c r="A11" s="520"/>
      <c r="C11" s="518"/>
      <c r="D11" s="517"/>
      <c r="E11" s="518"/>
      <c r="F11" s="517"/>
      <c r="G11" s="518"/>
      <c r="H11" s="517"/>
      <c r="I11" s="517"/>
      <c r="J11" s="517"/>
      <c r="K11" s="517"/>
    </row>
    <row r="12" spans="1:11" ht="18" customHeight="1">
      <c r="A12" s="478" t="s">
        <v>782</v>
      </c>
      <c r="C12" s="499">
        <f ca="1">+Report!B160</f>
        <v>627633.8224153847</v>
      </c>
      <c r="D12" s="521"/>
      <c r="E12" s="499">
        <f ca="1">+Report!D160+Report!F160</f>
        <v>-49721.841684891711</v>
      </c>
      <c r="F12" s="521"/>
      <c r="G12" s="499">
        <f ca="1">+Report!H160</f>
        <v>578352.31628888287</v>
      </c>
      <c r="H12" s="517"/>
      <c r="I12" s="517"/>
      <c r="J12" s="517"/>
      <c r="K12" s="517"/>
    </row>
    <row r="13" spans="1:11" ht="18" customHeight="1">
      <c r="C13" s="521"/>
      <c r="D13" s="521"/>
      <c r="E13" s="521"/>
      <c r="F13" s="521"/>
      <c r="G13" s="521"/>
      <c r="H13" s="517"/>
      <c r="I13" s="517"/>
      <c r="J13" s="517"/>
      <c r="K13" s="517"/>
    </row>
    <row r="14" spans="1:11" ht="18" customHeight="1">
      <c r="A14" s="478" t="s">
        <v>783</v>
      </c>
      <c r="C14" s="521">
        <f ca="1">+Report!B162</f>
        <v>237829.61571560969</v>
      </c>
      <c r="D14" s="521"/>
      <c r="E14" s="521">
        <f ca="1">+Report!D162+Report!F162</f>
        <v>-19314.247707706691</v>
      </c>
      <c r="F14" s="521"/>
      <c r="G14" s="521">
        <f ca="1">+Report!H162</f>
        <v>218681.86410038217</v>
      </c>
      <c r="H14" s="517"/>
      <c r="I14" s="517"/>
      <c r="J14" s="517"/>
      <c r="K14" s="517"/>
    </row>
    <row r="15" spans="1:11" ht="18" customHeight="1">
      <c r="C15" s="521"/>
      <c r="D15" s="521"/>
      <c r="E15" s="521"/>
      <c r="F15" s="521"/>
      <c r="G15" s="521"/>
      <c r="H15" s="517"/>
      <c r="I15" s="517"/>
      <c r="J15" s="517"/>
      <c r="K15" s="517"/>
    </row>
    <row r="16" spans="1:11" ht="18" customHeight="1">
      <c r="A16" s="488" t="s">
        <v>784</v>
      </c>
      <c r="C16" s="521">
        <f ca="1">+Report!B164</f>
        <v>28951.612725384606</v>
      </c>
      <c r="D16" s="521"/>
      <c r="E16" s="521">
        <f ca="1">+Report!D164+Report!F164</f>
        <v>-2069.600908508</v>
      </c>
      <c r="F16" s="521"/>
      <c r="G16" s="521">
        <f ca="1">+C16+E16</f>
        <v>26882.011816876606</v>
      </c>
      <c r="H16" s="517"/>
      <c r="I16" s="522"/>
      <c r="J16" s="517"/>
      <c r="K16" s="522"/>
    </row>
    <row r="17" spans="1:11" ht="18" customHeight="1">
      <c r="C17" s="521"/>
      <c r="D17" s="521"/>
      <c r="E17" s="521"/>
      <c r="F17" s="521"/>
      <c r="G17" s="521"/>
      <c r="H17" s="517"/>
      <c r="I17" s="522"/>
      <c r="J17" s="517"/>
      <c r="K17" s="522"/>
    </row>
    <row r="18" spans="1:11" ht="18" customHeight="1">
      <c r="A18" s="478" t="s">
        <v>785</v>
      </c>
      <c r="C18" s="521">
        <f ca="1">+Report!B166</f>
        <v>1049081.1314387338</v>
      </c>
      <c r="D18" s="521"/>
      <c r="E18" s="521">
        <f ca="1">+Report!D166+Report!F166</f>
        <v>-86051.128324447534</v>
      </c>
      <c r="F18" s="521"/>
      <c r="G18" s="521">
        <f ca="1">+Report!H166</f>
        <v>962423.17146341712</v>
      </c>
      <c r="H18" s="517"/>
      <c r="I18" s="522"/>
      <c r="J18" s="517"/>
      <c r="K18" s="522"/>
    </row>
    <row r="19" spans="1:11" ht="18" customHeight="1">
      <c r="C19" s="521"/>
      <c r="D19" s="521"/>
      <c r="E19" s="521"/>
      <c r="F19" s="521"/>
      <c r="G19" s="521"/>
      <c r="H19" s="517"/>
      <c r="I19" s="522"/>
      <c r="J19" s="517"/>
      <c r="K19" s="522"/>
    </row>
    <row r="20" spans="1:11" ht="18" customHeight="1">
      <c r="A20" s="478" t="s">
        <v>786</v>
      </c>
      <c r="C20" s="521">
        <f ca="1">+Report!B168</f>
        <v>275352.61019461532</v>
      </c>
      <c r="D20" s="521"/>
      <c r="E20" s="521">
        <f ca="1">+Report!D168+Report!F168</f>
        <v>-40199.33638852759</v>
      </c>
      <c r="F20" s="521"/>
      <c r="G20" s="521">
        <f ca="1">+C20+E20</f>
        <v>235153.27380608773</v>
      </c>
      <c r="H20" s="517"/>
      <c r="I20" s="522"/>
      <c r="J20" s="517"/>
      <c r="K20" s="522"/>
    </row>
    <row r="21" spans="1:11" ht="18" customHeight="1">
      <c r="C21" s="521"/>
      <c r="D21" s="521"/>
      <c r="E21" s="521"/>
      <c r="F21" s="521"/>
      <c r="G21" s="521"/>
      <c r="H21" s="517"/>
      <c r="I21" s="522"/>
      <c r="J21" s="517"/>
      <c r="K21" s="522"/>
    </row>
    <row r="22" spans="1:11" ht="18" customHeight="1">
      <c r="A22" s="478" t="s">
        <v>1018</v>
      </c>
      <c r="C22" s="523">
        <f ca="1">+Report!B170</f>
        <v>3058.4307692307698</v>
      </c>
      <c r="D22" s="521"/>
      <c r="E22" s="523">
        <f ca="1">+Report!D170+Report!F170</f>
        <v>-218.63138190800001</v>
      </c>
      <c r="F22" s="521"/>
      <c r="G22" s="523">
        <f ca="1">+C22+E22</f>
        <v>2839.7993873227697</v>
      </c>
      <c r="H22" s="517"/>
      <c r="I22" s="522"/>
      <c r="J22" s="517"/>
      <c r="K22" s="522"/>
    </row>
    <row r="23" spans="1:11" ht="18" customHeight="1">
      <c r="H23" s="522"/>
      <c r="I23" s="522"/>
      <c r="J23" s="522"/>
      <c r="K23" s="522"/>
    </row>
    <row r="24" spans="1:11" ht="18" customHeight="1">
      <c r="A24" s="478" t="s">
        <v>230</v>
      </c>
      <c r="C24" s="524">
        <f ca="1">SUM(C12:C22)</f>
        <v>2221907.2232589587</v>
      </c>
      <c r="D24" s="524"/>
      <c r="E24" s="524">
        <f ca="1">SUM(E12:E22)</f>
        <v>-197574.7863959895</v>
      </c>
      <c r="F24" s="524"/>
      <c r="G24" s="524">
        <f ca="1">SUM(G12:G22)</f>
        <v>2024332.4368629693</v>
      </c>
      <c r="H24" s="517"/>
      <c r="I24" s="517"/>
      <c r="J24" s="517"/>
      <c r="K24" s="522"/>
    </row>
    <row r="25" spans="1:11" ht="18" customHeight="1">
      <c r="C25" s="517"/>
      <c r="D25" s="517"/>
      <c r="E25" s="517"/>
      <c r="F25" s="517"/>
      <c r="G25" s="521"/>
      <c r="H25" s="517"/>
      <c r="I25" s="517"/>
      <c r="J25" s="517"/>
      <c r="K25" s="522"/>
    </row>
    <row r="26" spans="1:11" ht="18" customHeight="1">
      <c r="C26" s="517"/>
      <c r="D26" s="517"/>
      <c r="E26" s="517"/>
      <c r="F26" s="517"/>
      <c r="G26" s="521"/>
      <c r="H26" s="517"/>
      <c r="I26" s="517"/>
      <c r="J26" s="517"/>
      <c r="K26" s="522"/>
    </row>
    <row r="27" spans="1:11" ht="18" customHeight="1">
      <c r="A27" s="1131" t="s">
        <v>1035</v>
      </c>
      <c r="B27" s="1131"/>
      <c r="C27" s="1131"/>
      <c r="D27" s="1131"/>
      <c r="E27" s="1131"/>
      <c r="F27" s="1131"/>
      <c r="G27" s="1131"/>
      <c r="H27" s="517"/>
      <c r="I27" s="517"/>
      <c r="J27" s="517"/>
      <c r="K27" s="522"/>
    </row>
    <row r="28" spans="1:11" ht="18" customHeight="1">
      <c r="A28" s="1131"/>
      <c r="B28" s="1131"/>
      <c r="C28" s="1131"/>
      <c r="D28" s="1131"/>
      <c r="E28" s="1131"/>
      <c r="F28" s="1131"/>
      <c r="G28" s="1131"/>
      <c r="H28" s="517"/>
      <c r="I28" s="517"/>
      <c r="J28" s="517"/>
      <c r="K28" s="522"/>
    </row>
    <row r="29" spans="1:11">
      <c r="C29" s="517"/>
      <c r="D29" s="517"/>
      <c r="E29" s="517"/>
      <c r="F29" s="517"/>
      <c r="G29" s="517"/>
      <c r="H29" s="517"/>
      <c r="I29" s="517"/>
      <c r="J29" s="517"/>
      <c r="K29" s="517"/>
    </row>
    <row r="30" spans="1:11">
      <c r="A30" s="1130" t="s">
        <v>1036</v>
      </c>
      <c r="B30" s="1130"/>
      <c r="C30" s="1130"/>
      <c r="D30" s="1130"/>
      <c r="E30" s="1130"/>
      <c r="F30" s="1130"/>
      <c r="G30" s="1130"/>
      <c r="H30" s="517"/>
      <c r="I30" s="517"/>
      <c r="J30" s="517"/>
      <c r="K30" s="517"/>
    </row>
    <row r="31" spans="1:11">
      <c r="A31" s="1130"/>
      <c r="B31" s="1130"/>
      <c r="C31" s="1130"/>
      <c r="D31" s="1130"/>
      <c r="E31" s="1130"/>
      <c r="F31" s="1130"/>
      <c r="G31" s="1130"/>
      <c r="H31" s="517"/>
      <c r="I31" s="517"/>
      <c r="J31" s="517"/>
      <c r="K31" s="517"/>
    </row>
    <row r="32" spans="1:11">
      <c r="A32" s="1130"/>
      <c r="B32" s="1130"/>
      <c r="C32" s="1130"/>
      <c r="D32" s="1130"/>
      <c r="E32" s="1130"/>
      <c r="F32" s="1130"/>
      <c r="G32" s="1130"/>
      <c r="H32" s="517"/>
      <c r="I32" s="517"/>
      <c r="J32" s="517"/>
      <c r="K32" s="517"/>
    </row>
    <row r="33" spans="2:11">
      <c r="B33" s="525"/>
      <c r="C33" s="517"/>
      <c r="D33" s="517"/>
      <c r="E33" s="517"/>
      <c r="F33" s="517"/>
      <c r="G33" s="526"/>
      <c r="H33" s="517"/>
      <c r="I33" s="517"/>
      <c r="J33" s="517"/>
      <c r="K33" s="517"/>
    </row>
    <row r="34" spans="2:11">
      <c r="C34" s="517"/>
      <c r="D34" s="517"/>
      <c r="E34" s="517"/>
      <c r="F34" s="517"/>
      <c r="G34" s="517"/>
      <c r="H34" s="517"/>
      <c r="I34" s="517"/>
      <c r="J34" s="517"/>
      <c r="K34" s="517"/>
    </row>
    <row r="35" spans="2:11">
      <c r="C35" s="517"/>
      <c r="D35" s="517"/>
      <c r="E35" s="517"/>
      <c r="F35" s="517"/>
      <c r="G35" s="517"/>
      <c r="H35" s="517"/>
      <c r="I35" s="517"/>
      <c r="J35" s="517"/>
      <c r="K35" s="517"/>
    </row>
    <row r="36" spans="2:11">
      <c r="C36" s="517"/>
      <c r="D36" s="517"/>
      <c r="E36" s="517"/>
      <c r="F36" s="517"/>
      <c r="G36" s="517"/>
      <c r="H36" s="517"/>
      <c r="I36" s="517"/>
      <c r="J36" s="517"/>
      <c r="K36" s="517"/>
    </row>
    <row r="37" spans="2:11">
      <c r="C37" s="517"/>
      <c r="D37" s="517"/>
      <c r="E37" s="517"/>
      <c r="F37" s="517"/>
      <c r="G37" s="517"/>
      <c r="H37" s="517"/>
      <c r="I37" s="517"/>
      <c r="J37" s="517"/>
      <c r="K37" s="517"/>
    </row>
    <row r="38" spans="2:11">
      <c r="C38" s="517"/>
      <c r="D38" s="517"/>
      <c r="E38" s="517"/>
      <c r="F38" s="517"/>
      <c r="G38" s="517"/>
      <c r="H38" s="517"/>
      <c r="I38" s="517"/>
      <c r="J38" s="517"/>
      <c r="K38" s="517"/>
    </row>
    <row r="39" spans="2:11">
      <c r="C39" s="517"/>
      <c r="D39" s="517"/>
      <c r="E39" s="517"/>
      <c r="F39" s="517"/>
      <c r="G39" s="517"/>
      <c r="H39" s="517"/>
      <c r="I39" s="517"/>
      <c r="J39" s="517"/>
      <c r="K39" s="517"/>
    </row>
    <row r="40" spans="2:11">
      <c r="C40" s="517"/>
      <c r="D40" s="517"/>
      <c r="E40" s="517"/>
      <c r="F40" s="517"/>
      <c r="G40" s="517"/>
      <c r="H40" s="517"/>
      <c r="I40" s="517"/>
      <c r="J40" s="517"/>
      <c r="K40" s="517"/>
    </row>
    <row r="41" spans="2:11">
      <c r="C41" s="517"/>
      <c r="D41" s="517"/>
      <c r="E41" s="517"/>
      <c r="F41" s="517"/>
      <c r="G41" s="517"/>
      <c r="H41" s="517"/>
      <c r="I41" s="517"/>
      <c r="J41" s="517"/>
      <c r="K41" s="517"/>
    </row>
    <row r="42" spans="2:11">
      <c r="C42" s="517"/>
      <c r="D42" s="517"/>
      <c r="E42" s="517"/>
      <c r="F42" s="517"/>
      <c r="G42" s="517"/>
      <c r="H42" s="517"/>
      <c r="I42" s="517"/>
      <c r="J42" s="517"/>
      <c r="K42" s="517"/>
    </row>
    <row r="43" spans="2:11">
      <c r="C43" s="517"/>
      <c r="D43" s="517"/>
      <c r="E43" s="517"/>
      <c r="F43" s="517"/>
      <c r="G43" s="517"/>
      <c r="H43" s="517"/>
      <c r="I43" s="517"/>
      <c r="J43" s="517"/>
      <c r="K43" s="517"/>
    </row>
    <row r="44" spans="2:11">
      <c r="C44" s="517"/>
      <c r="D44" s="517"/>
      <c r="E44" s="517"/>
      <c r="F44" s="517"/>
      <c r="G44" s="517"/>
      <c r="H44" s="517"/>
      <c r="I44" s="517"/>
      <c r="J44" s="517"/>
      <c r="K44" s="517"/>
    </row>
    <row r="45" spans="2:11">
      <c r="C45" s="517"/>
      <c r="D45" s="517"/>
      <c r="E45" s="517"/>
      <c r="F45" s="517"/>
      <c r="G45" s="517"/>
      <c r="H45" s="517"/>
      <c r="I45" s="517"/>
      <c r="J45" s="517"/>
      <c r="K45" s="517"/>
    </row>
  </sheetData>
  <mergeCells count="7">
    <mergeCell ref="A30:G32"/>
    <mergeCell ref="A27:G28"/>
    <mergeCell ref="A1:G1"/>
    <mergeCell ref="A2:G2"/>
    <mergeCell ref="A3:G3"/>
    <mergeCell ref="A4:G4"/>
    <mergeCell ref="E5:G5"/>
  </mergeCells>
  <printOptions horizontalCentered="1"/>
  <pageMargins left="0.7" right="0.7" top="0.75" bottom="0.75" header="0.3" footer="0.3"/>
  <pageSetup scale="9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7" tint="0.59999389629810485"/>
    <pageSetUpPr fitToPage="1"/>
  </sheetPr>
  <dimension ref="A1:R107"/>
  <sheetViews>
    <sheetView workbookViewId="0">
      <selection activeCell="G13" sqref="G13"/>
    </sheetView>
  </sheetViews>
  <sheetFormatPr defaultColWidth="27.85546875" defaultRowHeight="15"/>
  <cols>
    <col min="1" max="1" width="17.28515625" style="488" customWidth="1"/>
    <col min="2" max="2" width="2.28515625" style="488" customWidth="1"/>
    <col min="3" max="3" width="17.42578125" style="488" customWidth="1"/>
    <col min="4" max="4" width="2.28515625" style="488" customWidth="1"/>
    <col min="5" max="5" width="15.5703125" style="488" bestFit="1" customWidth="1"/>
    <col min="6" max="6" width="2.28515625" style="488" customWidth="1"/>
    <col min="7" max="7" width="17.42578125" style="488" bestFit="1" customWidth="1"/>
    <col min="8" max="8" width="2.28515625" style="488" customWidth="1"/>
    <col min="9" max="9" width="19.42578125" style="488" customWidth="1"/>
    <col min="10" max="10" width="4.140625" style="488" customWidth="1"/>
    <col min="11" max="11" width="19.42578125" style="488" customWidth="1"/>
    <col min="12" max="12" width="4.140625" style="488" customWidth="1"/>
    <col min="13" max="13" width="20" style="488" customWidth="1"/>
    <col min="14" max="14" width="16.7109375" style="488" customWidth="1"/>
    <col min="15" max="15" width="27.85546875" style="488"/>
    <col min="16" max="16" width="20.7109375" style="488" customWidth="1"/>
    <col min="17" max="17" width="14.28515625" style="488" customWidth="1"/>
    <col min="18" max="18" width="10.140625" style="488" customWidth="1"/>
    <col min="19" max="19" width="15.5703125" style="488" customWidth="1"/>
    <col min="20" max="20" width="3.140625" style="488" customWidth="1"/>
    <col min="21" max="21" width="2.28515625" style="488" customWidth="1"/>
    <col min="22" max="45" width="18.85546875" style="488" customWidth="1"/>
    <col min="46" max="46" width="47.42578125" style="488" bestFit="1" customWidth="1"/>
    <col min="47" max="47" width="20.42578125" style="488" customWidth="1"/>
    <col min="48" max="48" width="18.7109375" style="488" customWidth="1"/>
    <col min="49" max="49" width="19.28515625" style="488" customWidth="1"/>
    <col min="50" max="50" width="18.7109375" style="488" customWidth="1"/>
    <col min="51" max="51" width="3.7109375" style="488" customWidth="1"/>
    <col min="52" max="52" width="18.7109375" style="488" customWidth="1"/>
    <col min="53" max="53" width="43" style="488" customWidth="1"/>
    <col min="54" max="55" width="18.7109375" style="488" customWidth="1"/>
    <col min="56" max="56" width="3.7109375" style="488" customWidth="1"/>
    <col min="57" max="256" width="27.85546875" style="488"/>
    <col min="257" max="257" width="17.28515625" style="488" customWidth="1"/>
    <col min="258" max="258" width="2.28515625" style="488" customWidth="1"/>
    <col min="259" max="259" width="17.42578125" style="488" customWidth="1"/>
    <col min="260" max="260" width="2.28515625" style="488" customWidth="1"/>
    <col min="261" max="261" width="15.5703125" style="488" bestFit="1" customWidth="1"/>
    <col min="262" max="262" width="2.28515625" style="488" customWidth="1"/>
    <col min="263" max="263" width="17.42578125" style="488" bestFit="1" customWidth="1"/>
    <col min="264" max="264" width="2.28515625" style="488" customWidth="1"/>
    <col min="265" max="265" width="19.42578125" style="488" customWidth="1"/>
    <col min="266" max="266" width="4.140625" style="488" customWidth="1"/>
    <col min="267" max="267" width="19.42578125" style="488" customWidth="1"/>
    <col min="268" max="268" width="4.140625" style="488" customWidth="1"/>
    <col min="269" max="269" width="20" style="488" customWidth="1"/>
    <col min="270" max="270" width="16.7109375" style="488" customWidth="1"/>
    <col min="271" max="271" width="27.85546875" style="488"/>
    <col min="272" max="272" width="20.7109375" style="488" customWidth="1"/>
    <col min="273" max="273" width="14.28515625" style="488" customWidth="1"/>
    <col min="274" max="274" width="10.140625" style="488" customWidth="1"/>
    <col min="275" max="275" width="15.5703125" style="488" customWidth="1"/>
    <col min="276" max="276" width="3.140625" style="488" customWidth="1"/>
    <col min="277" max="277" width="2.28515625" style="488" customWidth="1"/>
    <col min="278" max="301" width="18.85546875" style="488" customWidth="1"/>
    <col min="302" max="302" width="47.42578125" style="488" bestFit="1" customWidth="1"/>
    <col min="303" max="303" width="20.42578125" style="488" customWidth="1"/>
    <col min="304" max="304" width="18.7109375" style="488" customWidth="1"/>
    <col min="305" max="305" width="19.28515625" style="488" customWidth="1"/>
    <col min="306" max="306" width="18.7109375" style="488" customWidth="1"/>
    <col min="307" max="307" width="3.7109375" style="488" customWidth="1"/>
    <col min="308" max="308" width="18.7109375" style="488" customWidth="1"/>
    <col min="309" max="309" width="43" style="488" customWidth="1"/>
    <col min="310" max="311" width="18.7109375" style="488" customWidth="1"/>
    <col min="312" max="312" width="3.7109375" style="488" customWidth="1"/>
    <col min="313" max="512" width="27.85546875" style="488"/>
    <col min="513" max="513" width="17.28515625" style="488" customWidth="1"/>
    <col min="514" max="514" width="2.28515625" style="488" customWidth="1"/>
    <col min="515" max="515" width="17.42578125" style="488" customWidth="1"/>
    <col min="516" max="516" width="2.28515625" style="488" customWidth="1"/>
    <col min="517" max="517" width="15.5703125" style="488" bestFit="1" customWidth="1"/>
    <col min="518" max="518" width="2.28515625" style="488" customWidth="1"/>
    <col min="519" max="519" width="17.42578125" style="488" bestFit="1" customWidth="1"/>
    <col min="520" max="520" width="2.28515625" style="488" customWidth="1"/>
    <col min="521" max="521" width="19.42578125" style="488" customWidth="1"/>
    <col min="522" max="522" width="4.140625" style="488" customWidth="1"/>
    <col min="523" max="523" width="19.42578125" style="488" customWidth="1"/>
    <col min="524" max="524" width="4.140625" style="488" customWidth="1"/>
    <col min="525" max="525" width="20" style="488" customWidth="1"/>
    <col min="526" max="526" width="16.7109375" style="488" customWidth="1"/>
    <col min="527" max="527" width="27.85546875" style="488"/>
    <col min="528" max="528" width="20.7109375" style="488" customWidth="1"/>
    <col min="529" max="529" width="14.28515625" style="488" customWidth="1"/>
    <col min="530" max="530" width="10.140625" style="488" customWidth="1"/>
    <col min="531" max="531" width="15.5703125" style="488" customWidth="1"/>
    <col min="532" max="532" width="3.140625" style="488" customWidth="1"/>
    <col min="533" max="533" width="2.28515625" style="488" customWidth="1"/>
    <col min="534" max="557" width="18.85546875" style="488" customWidth="1"/>
    <col min="558" max="558" width="47.42578125" style="488" bestFit="1" customWidth="1"/>
    <col min="559" max="559" width="20.42578125" style="488" customWidth="1"/>
    <col min="560" max="560" width="18.7109375" style="488" customWidth="1"/>
    <col min="561" max="561" width="19.28515625" style="488" customWidth="1"/>
    <col min="562" max="562" width="18.7109375" style="488" customWidth="1"/>
    <col min="563" max="563" width="3.7109375" style="488" customWidth="1"/>
    <col min="564" max="564" width="18.7109375" style="488" customWidth="1"/>
    <col min="565" max="565" width="43" style="488" customWidth="1"/>
    <col min="566" max="567" width="18.7109375" style="488" customWidth="1"/>
    <col min="568" max="568" width="3.7109375" style="488" customWidth="1"/>
    <col min="569" max="768" width="27.85546875" style="488"/>
    <col min="769" max="769" width="17.28515625" style="488" customWidth="1"/>
    <col min="770" max="770" width="2.28515625" style="488" customWidth="1"/>
    <col min="771" max="771" width="17.42578125" style="488" customWidth="1"/>
    <col min="772" max="772" width="2.28515625" style="488" customWidth="1"/>
    <col min="773" max="773" width="15.5703125" style="488" bestFit="1" customWidth="1"/>
    <col min="774" max="774" width="2.28515625" style="488" customWidth="1"/>
    <col min="775" max="775" width="17.42578125" style="488" bestFit="1" customWidth="1"/>
    <col min="776" max="776" width="2.28515625" style="488" customWidth="1"/>
    <col min="777" max="777" width="19.42578125" style="488" customWidth="1"/>
    <col min="778" max="778" width="4.140625" style="488" customWidth="1"/>
    <col min="779" max="779" width="19.42578125" style="488" customWidth="1"/>
    <col min="780" max="780" width="4.140625" style="488" customWidth="1"/>
    <col min="781" max="781" width="20" style="488" customWidth="1"/>
    <col min="782" max="782" width="16.7109375" style="488" customWidth="1"/>
    <col min="783" max="783" width="27.85546875" style="488"/>
    <col min="784" max="784" width="20.7109375" style="488" customWidth="1"/>
    <col min="785" max="785" width="14.28515625" style="488" customWidth="1"/>
    <col min="786" max="786" width="10.140625" style="488" customWidth="1"/>
    <col min="787" max="787" width="15.5703125" style="488" customWidth="1"/>
    <col min="788" max="788" width="3.140625" style="488" customWidth="1"/>
    <col min="789" max="789" width="2.28515625" style="488" customWidth="1"/>
    <col min="790" max="813" width="18.85546875" style="488" customWidth="1"/>
    <col min="814" max="814" width="47.42578125" style="488" bestFit="1" customWidth="1"/>
    <col min="815" max="815" width="20.42578125" style="488" customWidth="1"/>
    <col min="816" max="816" width="18.7109375" style="488" customWidth="1"/>
    <col min="817" max="817" width="19.28515625" style="488" customWidth="1"/>
    <col min="818" max="818" width="18.7109375" style="488" customWidth="1"/>
    <col min="819" max="819" width="3.7109375" style="488" customWidth="1"/>
    <col min="820" max="820" width="18.7109375" style="488" customWidth="1"/>
    <col min="821" max="821" width="43" style="488" customWidth="1"/>
    <col min="822" max="823" width="18.7109375" style="488" customWidth="1"/>
    <col min="824" max="824" width="3.7109375" style="488" customWidth="1"/>
    <col min="825" max="1024" width="27.85546875" style="488"/>
    <col min="1025" max="1025" width="17.28515625" style="488" customWidth="1"/>
    <col min="1026" max="1026" width="2.28515625" style="488" customWidth="1"/>
    <col min="1027" max="1027" width="17.42578125" style="488" customWidth="1"/>
    <col min="1028" max="1028" width="2.28515625" style="488" customWidth="1"/>
    <col min="1029" max="1029" width="15.5703125" style="488" bestFit="1" customWidth="1"/>
    <col min="1030" max="1030" width="2.28515625" style="488" customWidth="1"/>
    <col min="1031" max="1031" width="17.42578125" style="488" bestFit="1" customWidth="1"/>
    <col min="1032" max="1032" width="2.28515625" style="488" customWidth="1"/>
    <col min="1033" max="1033" width="19.42578125" style="488" customWidth="1"/>
    <col min="1034" max="1034" width="4.140625" style="488" customWidth="1"/>
    <col min="1035" max="1035" width="19.42578125" style="488" customWidth="1"/>
    <col min="1036" max="1036" width="4.140625" style="488" customWidth="1"/>
    <col min="1037" max="1037" width="20" style="488" customWidth="1"/>
    <col min="1038" max="1038" width="16.7109375" style="488" customWidth="1"/>
    <col min="1039" max="1039" width="27.85546875" style="488"/>
    <col min="1040" max="1040" width="20.7109375" style="488" customWidth="1"/>
    <col min="1041" max="1041" width="14.28515625" style="488" customWidth="1"/>
    <col min="1042" max="1042" width="10.140625" style="488" customWidth="1"/>
    <col min="1043" max="1043" width="15.5703125" style="488" customWidth="1"/>
    <col min="1044" max="1044" width="3.140625" style="488" customWidth="1"/>
    <col min="1045" max="1045" width="2.28515625" style="488" customWidth="1"/>
    <col min="1046" max="1069" width="18.85546875" style="488" customWidth="1"/>
    <col min="1070" max="1070" width="47.42578125" style="488" bestFit="1" customWidth="1"/>
    <col min="1071" max="1071" width="20.42578125" style="488" customWidth="1"/>
    <col min="1072" max="1072" width="18.7109375" style="488" customWidth="1"/>
    <col min="1073" max="1073" width="19.28515625" style="488" customWidth="1"/>
    <col min="1074" max="1074" width="18.7109375" style="488" customWidth="1"/>
    <col min="1075" max="1075" width="3.7109375" style="488" customWidth="1"/>
    <col min="1076" max="1076" width="18.7109375" style="488" customWidth="1"/>
    <col min="1077" max="1077" width="43" style="488" customWidth="1"/>
    <col min="1078" max="1079" width="18.7109375" style="488" customWidth="1"/>
    <col min="1080" max="1080" width="3.7109375" style="488" customWidth="1"/>
    <col min="1081" max="1280" width="27.85546875" style="488"/>
    <col min="1281" max="1281" width="17.28515625" style="488" customWidth="1"/>
    <col min="1282" max="1282" width="2.28515625" style="488" customWidth="1"/>
    <col min="1283" max="1283" width="17.42578125" style="488" customWidth="1"/>
    <col min="1284" max="1284" width="2.28515625" style="488" customWidth="1"/>
    <col min="1285" max="1285" width="15.5703125" style="488" bestFit="1" customWidth="1"/>
    <col min="1286" max="1286" width="2.28515625" style="488" customWidth="1"/>
    <col min="1287" max="1287" width="17.42578125" style="488" bestFit="1" customWidth="1"/>
    <col min="1288" max="1288" width="2.28515625" style="488" customWidth="1"/>
    <col min="1289" max="1289" width="19.42578125" style="488" customWidth="1"/>
    <col min="1290" max="1290" width="4.140625" style="488" customWidth="1"/>
    <col min="1291" max="1291" width="19.42578125" style="488" customWidth="1"/>
    <col min="1292" max="1292" width="4.140625" style="488" customWidth="1"/>
    <col min="1293" max="1293" width="20" style="488" customWidth="1"/>
    <col min="1294" max="1294" width="16.7109375" style="488" customWidth="1"/>
    <col min="1295" max="1295" width="27.85546875" style="488"/>
    <col min="1296" max="1296" width="20.7109375" style="488" customWidth="1"/>
    <col min="1297" max="1297" width="14.28515625" style="488" customWidth="1"/>
    <col min="1298" max="1298" width="10.140625" style="488" customWidth="1"/>
    <col min="1299" max="1299" width="15.5703125" style="488" customWidth="1"/>
    <col min="1300" max="1300" width="3.140625" style="488" customWidth="1"/>
    <col min="1301" max="1301" width="2.28515625" style="488" customWidth="1"/>
    <col min="1302" max="1325" width="18.85546875" style="488" customWidth="1"/>
    <col min="1326" max="1326" width="47.42578125" style="488" bestFit="1" customWidth="1"/>
    <col min="1327" max="1327" width="20.42578125" style="488" customWidth="1"/>
    <col min="1328" max="1328" width="18.7109375" style="488" customWidth="1"/>
    <col min="1329" max="1329" width="19.28515625" style="488" customWidth="1"/>
    <col min="1330" max="1330" width="18.7109375" style="488" customWidth="1"/>
    <col min="1331" max="1331" width="3.7109375" style="488" customWidth="1"/>
    <col min="1332" max="1332" width="18.7109375" style="488" customWidth="1"/>
    <col min="1333" max="1333" width="43" style="488" customWidth="1"/>
    <col min="1334" max="1335" width="18.7109375" style="488" customWidth="1"/>
    <col min="1336" max="1336" width="3.7109375" style="488" customWidth="1"/>
    <col min="1337" max="1536" width="27.85546875" style="488"/>
    <col min="1537" max="1537" width="17.28515625" style="488" customWidth="1"/>
    <col min="1538" max="1538" width="2.28515625" style="488" customWidth="1"/>
    <col min="1539" max="1539" width="17.42578125" style="488" customWidth="1"/>
    <col min="1540" max="1540" width="2.28515625" style="488" customWidth="1"/>
    <col min="1541" max="1541" width="15.5703125" style="488" bestFit="1" customWidth="1"/>
    <col min="1542" max="1542" width="2.28515625" style="488" customWidth="1"/>
    <col min="1543" max="1543" width="17.42578125" style="488" bestFit="1" customWidth="1"/>
    <col min="1544" max="1544" width="2.28515625" style="488" customWidth="1"/>
    <col min="1545" max="1545" width="19.42578125" style="488" customWidth="1"/>
    <col min="1546" max="1546" width="4.140625" style="488" customWidth="1"/>
    <col min="1547" max="1547" width="19.42578125" style="488" customWidth="1"/>
    <col min="1548" max="1548" width="4.140625" style="488" customWidth="1"/>
    <col min="1549" max="1549" width="20" style="488" customWidth="1"/>
    <col min="1550" max="1550" width="16.7109375" style="488" customWidth="1"/>
    <col min="1551" max="1551" width="27.85546875" style="488"/>
    <col min="1552" max="1552" width="20.7109375" style="488" customWidth="1"/>
    <col min="1553" max="1553" width="14.28515625" style="488" customWidth="1"/>
    <col min="1554" max="1554" width="10.140625" style="488" customWidth="1"/>
    <col min="1555" max="1555" width="15.5703125" style="488" customWidth="1"/>
    <col min="1556" max="1556" width="3.140625" style="488" customWidth="1"/>
    <col min="1557" max="1557" width="2.28515625" style="488" customWidth="1"/>
    <col min="1558" max="1581" width="18.85546875" style="488" customWidth="1"/>
    <col min="1582" max="1582" width="47.42578125" style="488" bestFit="1" customWidth="1"/>
    <col min="1583" max="1583" width="20.42578125" style="488" customWidth="1"/>
    <col min="1584" max="1584" width="18.7109375" style="488" customWidth="1"/>
    <col min="1585" max="1585" width="19.28515625" style="488" customWidth="1"/>
    <col min="1586" max="1586" width="18.7109375" style="488" customWidth="1"/>
    <col min="1587" max="1587" width="3.7109375" style="488" customWidth="1"/>
    <col min="1588" max="1588" width="18.7109375" style="488" customWidth="1"/>
    <col min="1589" max="1589" width="43" style="488" customWidth="1"/>
    <col min="1590" max="1591" width="18.7109375" style="488" customWidth="1"/>
    <col min="1592" max="1592" width="3.7109375" style="488" customWidth="1"/>
    <col min="1593" max="1792" width="27.85546875" style="488"/>
    <col min="1793" max="1793" width="17.28515625" style="488" customWidth="1"/>
    <col min="1794" max="1794" width="2.28515625" style="488" customWidth="1"/>
    <col min="1795" max="1795" width="17.42578125" style="488" customWidth="1"/>
    <col min="1796" max="1796" width="2.28515625" style="488" customWidth="1"/>
    <col min="1797" max="1797" width="15.5703125" style="488" bestFit="1" customWidth="1"/>
    <col min="1798" max="1798" width="2.28515625" style="488" customWidth="1"/>
    <col min="1799" max="1799" width="17.42578125" style="488" bestFit="1" customWidth="1"/>
    <col min="1800" max="1800" width="2.28515625" style="488" customWidth="1"/>
    <col min="1801" max="1801" width="19.42578125" style="488" customWidth="1"/>
    <col min="1802" max="1802" width="4.140625" style="488" customWidth="1"/>
    <col min="1803" max="1803" width="19.42578125" style="488" customWidth="1"/>
    <col min="1804" max="1804" width="4.140625" style="488" customWidth="1"/>
    <col min="1805" max="1805" width="20" style="488" customWidth="1"/>
    <col min="1806" max="1806" width="16.7109375" style="488" customWidth="1"/>
    <col min="1807" max="1807" width="27.85546875" style="488"/>
    <col min="1808" max="1808" width="20.7109375" style="488" customWidth="1"/>
    <col min="1809" max="1809" width="14.28515625" style="488" customWidth="1"/>
    <col min="1810" max="1810" width="10.140625" style="488" customWidth="1"/>
    <col min="1811" max="1811" width="15.5703125" style="488" customWidth="1"/>
    <col min="1812" max="1812" width="3.140625" style="488" customWidth="1"/>
    <col min="1813" max="1813" width="2.28515625" style="488" customWidth="1"/>
    <col min="1814" max="1837" width="18.85546875" style="488" customWidth="1"/>
    <col min="1838" max="1838" width="47.42578125" style="488" bestFit="1" customWidth="1"/>
    <col min="1839" max="1839" width="20.42578125" style="488" customWidth="1"/>
    <col min="1840" max="1840" width="18.7109375" style="488" customWidth="1"/>
    <col min="1841" max="1841" width="19.28515625" style="488" customWidth="1"/>
    <col min="1842" max="1842" width="18.7109375" style="488" customWidth="1"/>
    <col min="1843" max="1843" width="3.7109375" style="488" customWidth="1"/>
    <col min="1844" max="1844" width="18.7109375" style="488" customWidth="1"/>
    <col min="1845" max="1845" width="43" style="488" customWidth="1"/>
    <col min="1846" max="1847" width="18.7109375" style="488" customWidth="1"/>
    <col min="1848" max="1848" width="3.7109375" style="488" customWidth="1"/>
    <col min="1849" max="2048" width="27.85546875" style="488"/>
    <col min="2049" max="2049" width="17.28515625" style="488" customWidth="1"/>
    <col min="2050" max="2050" width="2.28515625" style="488" customWidth="1"/>
    <col min="2051" max="2051" width="17.42578125" style="488" customWidth="1"/>
    <col min="2052" max="2052" width="2.28515625" style="488" customWidth="1"/>
    <col min="2053" max="2053" width="15.5703125" style="488" bestFit="1" customWidth="1"/>
    <col min="2054" max="2054" width="2.28515625" style="488" customWidth="1"/>
    <col min="2055" max="2055" width="17.42578125" style="488" bestFit="1" customWidth="1"/>
    <col min="2056" max="2056" width="2.28515625" style="488" customWidth="1"/>
    <col min="2057" max="2057" width="19.42578125" style="488" customWidth="1"/>
    <col min="2058" max="2058" width="4.140625" style="488" customWidth="1"/>
    <col min="2059" max="2059" width="19.42578125" style="488" customWidth="1"/>
    <col min="2060" max="2060" width="4.140625" style="488" customWidth="1"/>
    <col min="2061" max="2061" width="20" style="488" customWidth="1"/>
    <col min="2062" max="2062" width="16.7109375" style="488" customWidth="1"/>
    <col min="2063" max="2063" width="27.85546875" style="488"/>
    <col min="2064" max="2064" width="20.7109375" style="488" customWidth="1"/>
    <col min="2065" max="2065" width="14.28515625" style="488" customWidth="1"/>
    <col min="2066" max="2066" width="10.140625" style="488" customWidth="1"/>
    <col min="2067" max="2067" width="15.5703125" style="488" customWidth="1"/>
    <col min="2068" max="2068" width="3.140625" style="488" customWidth="1"/>
    <col min="2069" max="2069" width="2.28515625" style="488" customWidth="1"/>
    <col min="2070" max="2093" width="18.85546875" style="488" customWidth="1"/>
    <col min="2094" max="2094" width="47.42578125" style="488" bestFit="1" customWidth="1"/>
    <col min="2095" max="2095" width="20.42578125" style="488" customWidth="1"/>
    <col min="2096" max="2096" width="18.7109375" style="488" customWidth="1"/>
    <col min="2097" max="2097" width="19.28515625" style="488" customWidth="1"/>
    <col min="2098" max="2098" width="18.7109375" style="488" customWidth="1"/>
    <col min="2099" max="2099" width="3.7109375" style="488" customWidth="1"/>
    <col min="2100" max="2100" width="18.7109375" style="488" customWidth="1"/>
    <col min="2101" max="2101" width="43" style="488" customWidth="1"/>
    <col min="2102" max="2103" width="18.7109375" style="488" customWidth="1"/>
    <col min="2104" max="2104" width="3.7109375" style="488" customWidth="1"/>
    <col min="2105" max="2304" width="27.85546875" style="488"/>
    <col min="2305" max="2305" width="17.28515625" style="488" customWidth="1"/>
    <col min="2306" max="2306" width="2.28515625" style="488" customWidth="1"/>
    <col min="2307" max="2307" width="17.42578125" style="488" customWidth="1"/>
    <col min="2308" max="2308" width="2.28515625" style="488" customWidth="1"/>
    <col min="2309" max="2309" width="15.5703125" style="488" bestFit="1" customWidth="1"/>
    <col min="2310" max="2310" width="2.28515625" style="488" customWidth="1"/>
    <col min="2311" max="2311" width="17.42578125" style="488" bestFit="1" customWidth="1"/>
    <col min="2312" max="2312" width="2.28515625" style="488" customWidth="1"/>
    <col min="2313" max="2313" width="19.42578125" style="488" customWidth="1"/>
    <col min="2314" max="2314" width="4.140625" style="488" customWidth="1"/>
    <col min="2315" max="2315" width="19.42578125" style="488" customWidth="1"/>
    <col min="2316" max="2316" width="4.140625" style="488" customWidth="1"/>
    <col min="2317" max="2317" width="20" style="488" customWidth="1"/>
    <col min="2318" max="2318" width="16.7109375" style="488" customWidth="1"/>
    <col min="2319" max="2319" width="27.85546875" style="488"/>
    <col min="2320" max="2320" width="20.7109375" style="488" customWidth="1"/>
    <col min="2321" max="2321" width="14.28515625" style="488" customWidth="1"/>
    <col min="2322" max="2322" width="10.140625" style="488" customWidth="1"/>
    <col min="2323" max="2323" width="15.5703125" style="488" customWidth="1"/>
    <col min="2324" max="2324" width="3.140625" style="488" customWidth="1"/>
    <col min="2325" max="2325" width="2.28515625" style="488" customWidth="1"/>
    <col min="2326" max="2349" width="18.85546875" style="488" customWidth="1"/>
    <col min="2350" max="2350" width="47.42578125" style="488" bestFit="1" customWidth="1"/>
    <col min="2351" max="2351" width="20.42578125" style="488" customWidth="1"/>
    <col min="2352" max="2352" width="18.7109375" style="488" customWidth="1"/>
    <col min="2353" max="2353" width="19.28515625" style="488" customWidth="1"/>
    <col min="2354" max="2354" width="18.7109375" style="488" customWidth="1"/>
    <col min="2355" max="2355" width="3.7109375" style="488" customWidth="1"/>
    <col min="2356" max="2356" width="18.7109375" style="488" customWidth="1"/>
    <col min="2357" max="2357" width="43" style="488" customWidth="1"/>
    <col min="2358" max="2359" width="18.7109375" style="488" customWidth="1"/>
    <col min="2360" max="2360" width="3.7109375" style="488" customWidth="1"/>
    <col min="2361" max="2560" width="27.85546875" style="488"/>
    <col min="2561" max="2561" width="17.28515625" style="488" customWidth="1"/>
    <col min="2562" max="2562" width="2.28515625" style="488" customWidth="1"/>
    <col min="2563" max="2563" width="17.42578125" style="488" customWidth="1"/>
    <col min="2564" max="2564" width="2.28515625" style="488" customWidth="1"/>
    <col min="2565" max="2565" width="15.5703125" style="488" bestFit="1" customWidth="1"/>
    <col min="2566" max="2566" width="2.28515625" style="488" customWidth="1"/>
    <col min="2567" max="2567" width="17.42578125" style="488" bestFit="1" customWidth="1"/>
    <col min="2568" max="2568" width="2.28515625" style="488" customWidth="1"/>
    <col min="2569" max="2569" width="19.42578125" style="488" customWidth="1"/>
    <col min="2570" max="2570" width="4.140625" style="488" customWidth="1"/>
    <col min="2571" max="2571" width="19.42578125" style="488" customWidth="1"/>
    <col min="2572" max="2572" width="4.140625" style="488" customWidth="1"/>
    <col min="2573" max="2573" width="20" style="488" customWidth="1"/>
    <col min="2574" max="2574" width="16.7109375" style="488" customWidth="1"/>
    <col min="2575" max="2575" width="27.85546875" style="488"/>
    <col min="2576" max="2576" width="20.7109375" style="488" customWidth="1"/>
    <col min="2577" max="2577" width="14.28515625" style="488" customWidth="1"/>
    <col min="2578" max="2578" width="10.140625" style="488" customWidth="1"/>
    <col min="2579" max="2579" width="15.5703125" style="488" customWidth="1"/>
    <col min="2580" max="2580" width="3.140625" style="488" customWidth="1"/>
    <col min="2581" max="2581" width="2.28515625" style="488" customWidth="1"/>
    <col min="2582" max="2605" width="18.85546875" style="488" customWidth="1"/>
    <col min="2606" max="2606" width="47.42578125" style="488" bestFit="1" customWidth="1"/>
    <col min="2607" max="2607" width="20.42578125" style="488" customWidth="1"/>
    <col min="2608" max="2608" width="18.7109375" style="488" customWidth="1"/>
    <col min="2609" max="2609" width="19.28515625" style="488" customWidth="1"/>
    <col min="2610" max="2610" width="18.7109375" style="488" customWidth="1"/>
    <col min="2611" max="2611" width="3.7109375" style="488" customWidth="1"/>
    <col min="2612" max="2612" width="18.7109375" style="488" customWidth="1"/>
    <col min="2613" max="2613" width="43" style="488" customWidth="1"/>
    <col min="2614" max="2615" width="18.7109375" style="488" customWidth="1"/>
    <col min="2616" max="2616" width="3.7109375" style="488" customWidth="1"/>
    <col min="2617" max="2816" width="27.85546875" style="488"/>
    <col min="2817" max="2817" width="17.28515625" style="488" customWidth="1"/>
    <col min="2818" max="2818" width="2.28515625" style="488" customWidth="1"/>
    <col min="2819" max="2819" width="17.42578125" style="488" customWidth="1"/>
    <col min="2820" max="2820" width="2.28515625" style="488" customWidth="1"/>
    <col min="2821" max="2821" width="15.5703125" style="488" bestFit="1" customWidth="1"/>
    <col min="2822" max="2822" width="2.28515625" style="488" customWidth="1"/>
    <col min="2823" max="2823" width="17.42578125" style="488" bestFit="1" customWidth="1"/>
    <col min="2824" max="2824" width="2.28515625" style="488" customWidth="1"/>
    <col min="2825" max="2825" width="19.42578125" style="488" customWidth="1"/>
    <col min="2826" max="2826" width="4.140625" style="488" customWidth="1"/>
    <col min="2827" max="2827" width="19.42578125" style="488" customWidth="1"/>
    <col min="2828" max="2828" width="4.140625" style="488" customWidth="1"/>
    <col min="2829" max="2829" width="20" style="488" customWidth="1"/>
    <col min="2830" max="2830" width="16.7109375" style="488" customWidth="1"/>
    <col min="2831" max="2831" width="27.85546875" style="488"/>
    <col min="2832" max="2832" width="20.7109375" style="488" customWidth="1"/>
    <col min="2833" max="2833" width="14.28515625" style="488" customWidth="1"/>
    <col min="2834" max="2834" width="10.140625" style="488" customWidth="1"/>
    <col min="2835" max="2835" width="15.5703125" style="488" customWidth="1"/>
    <col min="2836" max="2836" width="3.140625" style="488" customWidth="1"/>
    <col min="2837" max="2837" width="2.28515625" style="488" customWidth="1"/>
    <col min="2838" max="2861" width="18.85546875" style="488" customWidth="1"/>
    <col min="2862" max="2862" width="47.42578125" style="488" bestFit="1" customWidth="1"/>
    <col min="2863" max="2863" width="20.42578125" style="488" customWidth="1"/>
    <col min="2864" max="2864" width="18.7109375" style="488" customWidth="1"/>
    <col min="2865" max="2865" width="19.28515625" style="488" customWidth="1"/>
    <col min="2866" max="2866" width="18.7109375" style="488" customWidth="1"/>
    <col min="2867" max="2867" width="3.7109375" style="488" customWidth="1"/>
    <col min="2868" max="2868" width="18.7109375" style="488" customWidth="1"/>
    <col min="2869" max="2869" width="43" style="488" customWidth="1"/>
    <col min="2870" max="2871" width="18.7109375" style="488" customWidth="1"/>
    <col min="2872" max="2872" width="3.7109375" style="488" customWidth="1"/>
    <col min="2873" max="3072" width="27.85546875" style="488"/>
    <col min="3073" max="3073" width="17.28515625" style="488" customWidth="1"/>
    <col min="3074" max="3074" width="2.28515625" style="488" customWidth="1"/>
    <col min="3075" max="3075" width="17.42578125" style="488" customWidth="1"/>
    <col min="3076" max="3076" width="2.28515625" style="488" customWidth="1"/>
    <col min="3077" max="3077" width="15.5703125" style="488" bestFit="1" customWidth="1"/>
    <col min="3078" max="3078" width="2.28515625" style="488" customWidth="1"/>
    <col min="3079" max="3079" width="17.42578125" style="488" bestFit="1" customWidth="1"/>
    <col min="3080" max="3080" width="2.28515625" style="488" customWidth="1"/>
    <col min="3081" max="3081" width="19.42578125" style="488" customWidth="1"/>
    <col min="3082" max="3082" width="4.140625" style="488" customWidth="1"/>
    <col min="3083" max="3083" width="19.42578125" style="488" customWidth="1"/>
    <col min="3084" max="3084" width="4.140625" style="488" customWidth="1"/>
    <col min="3085" max="3085" width="20" style="488" customWidth="1"/>
    <col min="3086" max="3086" width="16.7109375" style="488" customWidth="1"/>
    <col min="3087" max="3087" width="27.85546875" style="488"/>
    <col min="3088" max="3088" width="20.7109375" style="488" customWidth="1"/>
    <col min="3089" max="3089" width="14.28515625" style="488" customWidth="1"/>
    <col min="3090" max="3090" width="10.140625" style="488" customWidth="1"/>
    <col min="3091" max="3091" width="15.5703125" style="488" customWidth="1"/>
    <col min="3092" max="3092" width="3.140625" style="488" customWidth="1"/>
    <col min="3093" max="3093" width="2.28515625" style="488" customWidth="1"/>
    <col min="3094" max="3117" width="18.85546875" style="488" customWidth="1"/>
    <col min="3118" max="3118" width="47.42578125" style="488" bestFit="1" customWidth="1"/>
    <col min="3119" max="3119" width="20.42578125" style="488" customWidth="1"/>
    <col min="3120" max="3120" width="18.7109375" style="488" customWidth="1"/>
    <col min="3121" max="3121" width="19.28515625" style="488" customWidth="1"/>
    <col min="3122" max="3122" width="18.7109375" style="488" customWidth="1"/>
    <col min="3123" max="3123" width="3.7109375" style="488" customWidth="1"/>
    <col min="3124" max="3124" width="18.7109375" style="488" customWidth="1"/>
    <col min="3125" max="3125" width="43" style="488" customWidth="1"/>
    <col min="3126" max="3127" width="18.7109375" style="488" customWidth="1"/>
    <col min="3128" max="3128" width="3.7109375" style="488" customWidth="1"/>
    <col min="3129" max="3328" width="27.85546875" style="488"/>
    <col min="3329" max="3329" width="17.28515625" style="488" customWidth="1"/>
    <col min="3330" max="3330" width="2.28515625" style="488" customWidth="1"/>
    <col min="3331" max="3331" width="17.42578125" style="488" customWidth="1"/>
    <col min="3332" max="3332" width="2.28515625" style="488" customWidth="1"/>
    <col min="3333" max="3333" width="15.5703125" style="488" bestFit="1" customWidth="1"/>
    <col min="3334" max="3334" width="2.28515625" style="488" customWidth="1"/>
    <col min="3335" max="3335" width="17.42578125" style="488" bestFit="1" customWidth="1"/>
    <col min="3336" max="3336" width="2.28515625" style="488" customWidth="1"/>
    <col min="3337" max="3337" width="19.42578125" style="488" customWidth="1"/>
    <col min="3338" max="3338" width="4.140625" style="488" customWidth="1"/>
    <col min="3339" max="3339" width="19.42578125" style="488" customWidth="1"/>
    <col min="3340" max="3340" width="4.140625" style="488" customWidth="1"/>
    <col min="3341" max="3341" width="20" style="488" customWidth="1"/>
    <col min="3342" max="3342" width="16.7109375" style="488" customWidth="1"/>
    <col min="3343" max="3343" width="27.85546875" style="488"/>
    <col min="3344" max="3344" width="20.7109375" style="488" customWidth="1"/>
    <col min="3345" max="3345" width="14.28515625" style="488" customWidth="1"/>
    <col min="3346" max="3346" width="10.140625" style="488" customWidth="1"/>
    <col min="3347" max="3347" width="15.5703125" style="488" customWidth="1"/>
    <col min="3348" max="3348" width="3.140625" style="488" customWidth="1"/>
    <col min="3349" max="3349" width="2.28515625" style="488" customWidth="1"/>
    <col min="3350" max="3373" width="18.85546875" style="488" customWidth="1"/>
    <col min="3374" max="3374" width="47.42578125" style="488" bestFit="1" customWidth="1"/>
    <col min="3375" max="3375" width="20.42578125" style="488" customWidth="1"/>
    <col min="3376" max="3376" width="18.7109375" style="488" customWidth="1"/>
    <col min="3377" max="3377" width="19.28515625" style="488" customWidth="1"/>
    <col min="3378" max="3378" width="18.7109375" style="488" customWidth="1"/>
    <col min="3379" max="3379" width="3.7109375" style="488" customWidth="1"/>
    <col min="3380" max="3380" width="18.7109375" style="488" customWidth="1"/>
    <col min="3381" max="3381" width="43" style="488" customWidth="1"/>
    <col min="3382" max="3383" width="18.7109375" style="488" customWidth="1"/>
    <col min="3384" max="3384" width="3.7109375" style="488" customWidth="1"/>
    <col min="3385" max="3584" width="27.85546875" style="488"/>
    <col min="3585" max="3585" width="17.28515625" style="488" customWidth="1"/>
    <col min="3586" max="3586" width="2.28515625" style="488" customWidth="1"/>
    <col min="3587" max="3587" width="17.42578125" style="488" customWidth="1"/>
    <col min="3588" max="3588" width="2.28515625" style="488" customWidth="1"/>
    <col min="3589" max="3589" width="15.5703125" style="488" bestFit="1" customWidth="1"/>
    <col min="3590" max="3590" width="2.28515625" style="488" customWidth="1"/>
    <col min="3591" max="3591" width="17.42578125" style="488" bestFit="1" customWidth="1"/>
    <col min="3592" max="3592" width="2.28515625" style="488" customWidth="1"/>
    <col min="3593" max="3593" width="19.42578125" style="488" customWidth="1"/>
    <col min="3594" max="3594" width="4.140625" style="488" customWidth="1"/>
    <col min="3595" max="3595" width="19.42578125" style="488" customWidth="1"/>
    <col min="3596" max="3596" width="4.140625" style="488" customWidth="1"/>
    <col min="3597" max="3597" width="20" style="488" customWidth="1"/>
    <col min="3598" max="3598" width="16.7109375" style="488" customWidth="1"/>
    <col min="3599" max="3599" width="27.85546875" style="488"/>
    <col min="3600" max="3600" width="20.7109375" style="488" customWidth="1"/>
    <col min="3601" max="3601" width="14.28515625" style="488" customWidth="1"/>
    <col min="3602" max="3602" width="10.140625" style="488" customWidth="1"/>
    <col min="3603" max="3603" width="15.5703125" style="488" customWidth="1"/>
    <col min="3604" max="3604" width="3.140625" style="488" customWidth="1"/>
    <col min="3605" max="3605" width="2.28515625" style="488" customWidth="1"/>
    <col min="3606" max="3629" width="18.85546875" style="488" customWidth="1"/>
    <col min="3630" max="3630" width="47.42578125" style="488" bestFit="1" customWidth="1"/>
    <col min="3631" max="3631" width="20.42578125" style="488" customWidth="1"/>
    <col min="3632" max="3632" width="18.7109375" style="488" customWidth="1"/>
    <col min="3633" max="3633" width="19.28515625" style="488" customWidth="1"/>
    <col min="3634" max="3634" width="18.7109375" style="488" customWidth="1"/>
    <col min="3635" max="3635" width="3.7109375" style="488" customWidth="1"/>
    <col min="3636" max="3636" width="18.7109375" style="488" customWidth="1"/>
    <col min="3637" max="3637" width="43" style="488" customWidth="1"/>
    <col min="3638" max="3639" width="18.7109375" style="488" customWidth="1"/>
    <col min="3640" max="3640" width="3.7109375" style="488" customWidth="1"/>
    <col min="3641" max="3840" width="27.85546875" style="488"/>
    <col min="3841" max="3841" width="17.28515625" style="488" customWidth="1"/>
    <col min="3842" max="3842" width="2.28515625" style="488" customWidth="1"/>
    <col min="3843" max="3843" width="17.42578125" style="488" customWidth="1"/>
    <col min="3844" max="3844" width="2.28515625" style="488" customWidth="1"/>
    <col min="3845" max="3845" width="15.5703125" style="488" bestFit="1" customWidth="1"/>
    <col min="3846" max="3846" width="2.28515625" style="488" customWidth="1"/>
    <col min="3847" max="3847" width="17.42578125" style="488" bestFit="1" customWidth="1"/>
    <col min="3848" max="3848" width="2.28515625" style="488" customWidth="1"/>
    <col min="3849" max="3849" width="19.42578125" style="488" customWidth="1"/>
    <col min="3850" max="3850" width="4.140625" style="488" customWidth="1"/>
    <col min="3851" max="3851" width="19.42578125" style="488" customWidth="1"/>
    <col min="3852" max="3852" width="4.140625" style="488" customWidth="1"/>
    <col min="3853" max="3853" width="20" style="488" customWidth="1"/>
    <col min="3854" max="3854" width="16.7109375" style="488" customWidth="1"/>
    <col min="3855" max="3855" width="27.85546875" style="488"/>
    <col min="3856" max="3856" width="20.7109375" style="488" customWidth="1"/>
    <col min="3857" max="3857" width="14.28515625" style="488" customWidth="1"/>
    <col min="3858" max="3858" width="10.140625" style="488" customWidth="1"/>
    <col min="3859" max="3859" width="15.5703125" style="488" customWidth="1"/>
    <col min="3860" max="3860" width="3.140625" style="488" customWidth="1"/>
    <col min="3861" max="3861" width="2.28515625" style="488" customWidth="1"/>
    <col min="3862" max="3885" width="18.85546875" style="488" customWidth="1"/>
    <col min="3886" max="3886" width="47.42578125" style="488" bestFit="1" customWidth="1"/>
    <col min="3887" max="3887" width="20.42578125" style="488" customWidth="1"/>
    <col min="3888" max="3888" width="18.7109375" style="488" customWidth="1"/>
    <col min="3889" max="3889" width="19.28515625" style="488" customWidth="1"/>
    <col min="3890" max="3890" width="18.7109375" style="488" customWidth="1"/>
    <col min="3891" max="3891" width="3.7109375" style="488" customWidth="1"/>
    <col min="3892" max="3892" width="18.7109375" style="488" customWidth="1"/>
    <col min="3893" max="3893" width="43" style="488" customWidth="1"/>
    <col min="3894" max="3895" width="18.7109375" style="488" customWidth="1"/>
    <col min="3896" max="3896" width="3.7109375" style="488" customWidth="1"/>
    <col min="3897" max="4096" width="27.85546875" style="488"/>
    <col min="4097" max="4097" width="17.28515625" style="488" customWidth="1"/>
    <col min="4098" max="4098" width="2.28515625" style="488" customWidth="1"/>
    <col min="4099" max="4099" width="17.42578125" style="488" customWidth="1"/>
    <col min="4100" max="4100" width="2.28515625" style="488" customWidth="1"/>
    <col min="4101" max="4101" width="15.5703125" style="488" bestFit="1" customWidth="1"/>
    <col min="4102" max="4102" width="2.28515625" style="488" customWidth="1"/>
    <col min="4103" max="4103" width="17.42578125" style="488" bestFit="1" customWidth="1"/>
    <col min="4104" max="4104" width="2.28515625" style="488" customWidth="1"/>
    <col min="4105" max="4105" width="19.42578125" style="488" customWidth="1"/>
    <col min="4106" max="4106" width="4.140625" style="488" customWidth="1"/>
    <col min="4107" max="4107" width="19.42578125" style="488" customWidth="1"/>
    <col min="4108" max="4108" width="4.140625" style="488" customWidth="1"/>
    <col min="4109" max="4109" width="20" style="488" customWidth="1"/>
    <col min="4110" max="4110" width="16.7109375" style="488" customWidth="1"/>
    <col min="4111" max="4111" width="27.85546875" style="488"/>
    <col min="4112" max="4112" width="20.7109375" style="488" customWidth="1"/>
    <col min="4113" max="4113" width="14.28515625" style="488" customWidth="1"/>
    <col min="4114" max="4114" width="10.140625" style="488" customWidth="1"/>
    <col min="4115" max="4115" width="15.5703125" style="488" customWidth="1"/>
    <col min="4116" max="4116" width="3.140625" style="488" customWidth="1"/>
    <col min="4117" max="4117" width="2.28515625" style="488" customWidth="1"/>
    <col min="4118" max="4141" width="18.85546875" style="488" customWidth="1"/>
    <col min="4142" max="4142" width="47.42578125" style="488" bestFit="1" customWidth="1"/>
    <col min="4143" max="4143" width="20.42578125" style="488" customWidth="1"/>
    <col min="4144" max="4144" width="18.7109375" style="488" customWidth="1"/>
    <col min="4145" max="4145" width="19.28515625" style="488" customWidth="1"/>
    <col min="4146" max="4146" width="18.7109375" style="488" customWidth="1"/>
    <col min="4147" max="4147" width="3.7109375" style="488" customWidth="1"/>
    <col min="4148" max="4148" width="18.7109375" style="488" customWidth="1"/>
    <col min="4149" max="4149" width="43" style="488" customWidth="1"/>
    <col min="4150" max="4151" width="18.7109375" style="488" customWidth="1"/>
    <col min="4152" max="4152" width="3.7109375" style="488" customWidth="1"/>
    <col min="4153" max="4352" width="27.85546875" style="488"/>
    <col min="4353" max="4353" width="17.28515625" style="488" customWidth="1"/>
    <col min="4354" max="4354" width="2.28515625" style="488" customWidth="1"/>
    <col min="4355" max="4355" width="17.42578125" style="488" customWidth="1"/>
    <col min="4356" max="4356" width="2.28515625" style="488" customWidth="1"/>
    <col min="4357" max="4357" width="15.5703125" style="488" bestFit="1" customWidth="1"/>
    <col min="4358" max="4358" width="2.28515625" style="488" customWidth="1"/>
    <col min="4359" max="4359" width="17.42578125" style="488" bestFit="1" customWidth="1"/>
    <col min="4360" max="4360" width="2.28515625" style="488" customWidth="1"/>
    <col min="4361" max="4361" width="19.42578125" style="488" customWidth="1"/>
    <col min="4362" max="4362" width="4.140625" style="488" customWidth="1"/>
    <col min="4363" max="4363" width="19.42578125" style="488" customWidth="1"/>
    <col min="4364" max="4364" width="4.140625" style="488" customWidth="1"/>
    <col min="4365" max="4365" width="20" style="488" customWidth="1"/>
    <col min="4366" max="4366" width="16.7109375" style="488" customWidth="1"/>
    <col min="4367" max="4367" width="27.85546875" style="488"/>
    <col min="4368" max="4368" width="20.7109375" style="488" customWidth="1"/>
    <col min="4369" max="4369" width="14.28515625" style="488" customWidth="1"/>
    <col min="4370" max="4370" width="10.140625" style="488" customWidth="1"/>
    <col min="4371" max="4371" width="15.5703125" style="488" customWidth="1"/>
    <col min="4372" max="4372" width="3.140625" style="488" customWidth="1"/>
    <col min="4373" max="4373" width="2.28515625" style="488" customWidth="1"/>
    <col min="4374" max="4397" width="18.85546875" style="488" customWidth="1"/>
    <col min="4398" max="4398" width="47.42578125" style="488" bestFit="1" customWidth="1"/>
    <col min="4399" max="4399" width="20.42578125" style="488" customWidth="1"/>
    <col min="4400" max="4400" width="18.7109375" style="488" customWidth="1"/>
    <col min="4401" max="4401" width="19.28515625" style="488" customWidth="1"/>
    <col min="4402" max="4402" width="18.7109375" style="488" customWidth="1"/>
    <col min="4403" max="4403" width="3.7109375" style="488" customWidth="1"/>
    <col min="4404" max="4404" width="18.7109375" style="488" customWidth="1"/>
    <col min="4405" max="4405" width="43" style="488" customWidth="1"/>
    <col min="4406" max="4407" width="18.7109375" style="488" customWidth="1"/>
    <col min="4408" max="4408" width="3.7109375" style="488" customWidth="1"/>
    <col min="4409" max="4608" width="27.85546875" style="488"/>
    <col min="4609" max="4609" width="17.28515625" style="488" customWidth="1"/>
    <col min="4610" max="4610" width="2.28515625" style="488" customWidth="1"/>
    <col min="4611" max="4611" width="17.42578125" style="488" customWidth="1"/>
    <col min="4612" max="4612" width="2.28515625" style="488" customWidth="1"/>
    <col min="4613" max="4613" width="15.5703125" style="488" bestFit="1" customWidth="1"/>
    <col min="4614" max="4614" width="2.28515625" style="488" customWidth="1"/>
    <col min="4615" max="4615" width="17.42578125" style="488" bestFit="1" customWidth="1"/>
    <col min="4616" max="4616" width="2.28515625" style="488" customWidth="1"/>
    <col min="4617" max="4617" width="19.42578125" style="488" customWidth="1"/>
    <col min="4618" max="4618" width="4.140625" style="488" customWidth="1"/>
    <col min="4619" max="4619" width="19.42578125" style="488" customWidth="1"/>
    <col min="4620" max="4620" width="4.140625" style="488" customWidth="1"/>
    <col min="4621" max="4621" width="20" style="488" customWidth="1"/>
    <col min="4622" max="4622" width="16.7109375" style="488" customWidth="1"/>
    <col min="4623" max="4623" width="27.85546875" style="488"/>
    <col min="4624" max="4624" width="20.7109375" style="488" customWidth="1"/>
    <col min="4625" max="4625" width="14.28515625" style="488" customWidth="1"/>
    <col min="4626" max="4626" width="10.140625" style="488" customWidth="1"/>
    <col min="4627" max="4627" width="15.5703125" style="488" customWidth="1"/>
    <col min="4628" max="4628" width="3.140625" style="488" customWidth="1"/>
    <col min="4629" max="4629" width="2.28515625" style="488" customWidth="1"/>
    <col min="4630" max="4653" width="18.85546875" style="488" customWidth="1"/>
    <col min="4654" max="4654" width="47.42578125" style="488" bestFit="1" customWidth="1"/>
    <col min="4655" max="4655" width="20.42578125" style="488" customWidth="1"/>
    <col min="4656" max="4656" width="18.7109375" style="488" customWidth="1"/>
    <col min="4657" max="4657" width="19.28515625" style="488" customWidth="1"/>
    <col min="4658" max="4658" width="18.7109375" style="488" customWidth="1"/>
    <col min="4659" max="4659" width="3.7109375" style="488" customWidth="1"/>
    <col min="4660" max="4660" width="18.7109375" style="488" customWidth="1"/>
    <col min="4661" max="4661" width="43" style="488" customWidth="1"/>
    <col min="4662" max="4663" width="18.7109375" style="488" customWidth="1"/>
    <col min="4664" max="4664" width="3.7109375" style="488" customWidth="1"/>
    <col min="4665" max="4864" width="27.85546875" style="488"/>
    <col min="4865" max="4865" width="17.28515625" style="488" customWidth="1"/>
    <col min="4866" max="4866" width="2.28515625" style="488" customWidth="1"/>
    <col min="4867" max="4867" width="17.42578125" style="488" customWidth="1"/>
    <col min="4868" max="4868" width="2.28515625" style="488" customWidth="1"/>
    <col min="4869" max="4869" width="15.5703125" style="488" bestFit="1" customWidth="1"/>
    <col min="4870" max="4870" width="2.28515625" style="488" customWidth="1"/>
    <col min="4871" max="4871" width="17.42578125" style="488" bestFit="1" customWidth="1"/>
    <col min="4872" max="4872" width="2.28515625" style="488" customWidth="1"/>
    <col min="4873" max="4873" width="19.42578125" style="488" customWidth="1"/>
    <col min="4874" max="4874" width="4.140625" style="488" customWidth="1"/>
    <col min="4875" max="4875" width="19.42578125" style="488" customWidth="1"/>
    <col min="4876" max="4876" width="4.140625" style="488" customWidth="1"/>
    <col min="4877" max="4877" width="20" style="488" customWidth="1"/>
    <col min="4878" max="4878" width="16.7109375" style="488" customWidth="1"/>
    <col min="4879" max="4879" width="27.85546875" style="488"/>
    <col min="4880" max="4880" width="20.7109375" style="488" customWidth="1"/>
    <col min="4881" max="4881" width="14.28515625" style="488" customWidth="1"/>
    <col min="4882" max="4882" width="10.140625" style="488" customWidth="1"/>
    <col min="4883" max="4883" width="15.5703125" style="488" customWidth="1"/>
    <col min="4884" max="4884" width="3.140625" style="488" customWidth="1"/>
    <col min="4885" max="4885" width="2.28515625" style="488" customWidth="1"/>
    <col min="4886" max="4909" width="18.85546875" style="488" customWidth="1"/>
    <col min="4910" max="4910" width="47.42578125" style="488" bestFit="1" customWidth="1"/>
    <col min="4911" max="4911" width="20.42578125" style="488" customWidth="1"/>
    <col min="4912" max="4912" width="18.7109375" style="488" customWidth="1"/>
    <col min="4913" max="4913" width="19.28515625" style="488" customWidth="1"/>
    <col min="4914" max="4914" width="18.7109375" style="488" customWidth="1"/>
    <col min="4915" max="4915" width="3.7109375" style="488" customWidth="1"/>
    <col min="4916" max="4916" width="18.7109375" style="488" customWidth="1"/>
    <col min="4917" max="4917" width="43" style="488" customWidth="1"/>
    <col min="4918" max="4919" width="18.7109375" style="488" customWidth="1"/>
    <col min="4920" max="4920" width="3.7109375" style="488" customWidth="1"/>
    <col min="4921" max="5120" width="27.85546875" style="488"/>
    <col min="5121" max="5121" width="17.28515625" style="488" customWidth="1"/>
    <col min="5122" max="5122" width="2.28515625" style="488" customWidth="1"/>
    <col min="5123" max="5123" width="17.42578125" style="488" customWidth="1"/>
    <col min="5124" max="5124" width="2.28515625" style="488" customWidth="1"/>
    <col min="5125" max="5125" width="15.5703125" style="488" bestFit="1" customWidth="1"/>
    <col min="5126" max="5126" width="2.28515625" style="488" customWidth="1"/>
    <col min="5127" max="5127" width="17.42578125" style="488" bestFit="1" customWidth="1"/>
    <col min="5128" max="5128" width="2.28515625" style="488" customWidth="1"/>
    <col min="5129" max="5129" width="19.42578125" style="488" customWidth="1"/>
    <col min="5130" max="5130" width="4.140625" style="488" customWidth="1"/>
    <col min="5131" max="5131" width="19.42578125" style="488" customWidth="1"/>
    <col min="5132" max="5132" width="4.140625" style="488" customWidth="1"/>
    <col min="5133" max="5133" width="20" style="488" customWidth="1"/>
    <col min="5134" max="5134" width="16.7109375" style="488" customWidth="1"/>
    <col min="5135" max="5135" width="27.85546875" style="488"/>
    <col min="5136" max="5136" width="20.7109375" style="488" customWidth="1"/>
    <col min="5137" max="5137" width="14.28515625" style="488" customWidth="1"/>
    <col min="5138" max="5138" width="10.140625" style="488" customWidth="1"/>
    <col min="5139" max="5139" width="15.5703125" style="488" customWidth="1"/>
    <col min="5140" max="5140" width="3.140625" style="488" customWidth="1"/>
    <col min="5141" max="5141" width="2.28515625" style="488" customWidth="1"/>
    <col min="5142" max="5165" width="18.85546875" style="488" customWidth="1"/>
    <col min="5166" max="5166" width="47.42578125" style="488" bestFit="1" customWidth="1"/>
    <col min="5167" max="5167" width="20.42578125" style="488" customWidth="1"/>
    <col min="5168" max="5168" width="18.7109375" style="488" customWidth="1"/>
    <col min="5169" max="5169" width="19.28515625" style="488" customWidth="1"/>
    <col min="5170" max="5170" width="18.7109375" style="488" customWidth="1"/>
    <col min="5171" max="5171" width="3.7109375" style="488" customWidth="1"/>
    <col min="5172" max="5172" width="18.7109375" style="488" customWidth="1"/>
    <col min="5173" max="5173" width="43" style="488" customWidth="1"/>
    <col min="5174" max="5175" width="18.7109375" style="488" customWidth="1"/>
    <col min="5176" max="5176" width="3.7109375" style="488" customWidth="1"/>
    <col min="5177" max="5376" width="27.85546875" style="488"/>
    <col min="5377" max="5377" width="17.28515625" style="488" customWidth="1"/>
    <col min="5378" max="5378" width="2.28515625" style="488" customWidth="1"/>
    <col min="5379" max="5379" width="17.42578125" style="488" customWidth="1"/>
    <col min="5380" max="5380" width="2.28515625" style="488" customWidth="1"/>
    <col min="5381" max="5381" width="15.5703125" style="488" bestFit="1" customWidth="1"/>
    <col min="5382" max="5382" width="2.28515625" style="488" customWidth="1"/>
    <col min="5383" max="5383" width="17.42578125" style="488" bestFit="1" customWidth="1"/>
    <col min="5384" max="5384" width="2.28515625" style="488" customWidth="1"/>
    <col min="5385" max="5385" width="19.42578125" style="488" customWidth="1"/>
    <col min="5386" max="5386" width="4.140625" style="488" customWidth="1"/>
    <col min="5387" max="5387" width="19.42578125" style="488" customWidth="1"/>
    <col min="5388" max="5388" width="4.140625" style="488" customWidth="1"/>
    <col min="5389" max="5389" width="20" style="488" customWidth="1"/>
    <col min="5390" max="5390" width="16.7109375" style="488" customWidth="1"/>
    <col min="5391" max="5391" width="27.85546875" style="488"/>
    <col min="5392" max="5392" width="20.7109375" style="488" customWidth="1"/>
    <col min="5393" max="5393" width="14.28515625" style="488" customWidth="1"/>
    <col min="5394" max="5394" width="10.140625" style="488" customWidth="1"/>
    <col min="5395" max="5395" width="15.5703125" style="488" customWidth="1"/>
    <col min="5396" max="5396" width="3.140625" style="488" customWidth="1"/>
    <col min="5397" max="5397" width="2.28515625" style="488" customWidth="1"/>
    <col min="5398" max="5421" width="18.85546875" style="488" customWidth="1"/>
    <col min="5422" max="5422" width="47.42578125" style="488" bestFit="1" customWidth="1"/>
    <col min="5423" max="5423" width="20.42578125" style="488" customWidth="1"/>
    <col min="5424" max="5424" width="18.7109375" style="488" customWidth="1"/>
    <col min="5425" max="5425" width="19.28515625" style="488" customWidth="1"/>
    <col min="5426" max="5426" width="18.7109375" style="488" customWidth="1"/>
    <col min="5427" max="5427" width="3.7109375" style="488" customWidth="1"/>
    <col min="5428" max="5428" width="18.7109375" style="488" customWidth="1"/>
    <col min="5429" max="5429" width="43" style="488" customWidth="1"/>
    <col min="5430" max="5431" width="18.7109375" style="488" customWidth="1"/>
    <col min="5432" max="5432" width="3.7109375" style="488" customWidth="1"/>
    <col min="5433" max="5632" width="27.85546875" style="488"/>
    <col min="5633" max="5633" width="17.28515625" style="488" customWidth="1"/>
    <col min="5634" max="5634" width="2.28515625" style="488" customWidth="1"/>
    <col min="5635" max="5635" width="17.42578125" style="488" customWidth="1"/>
    <col min="5636" max="5636" width="2.28515625" style="488" customWidth="1"/>
    <col min="5637" max="5637" width="15.5703125" style="488" bestFit="1" customWidth="1"/>
    <col min="5638" max="5638" width="2.28515625" style="488" customWidth="1"/>
    <col min="5639" max="5639" width="17.42578125" style="488" bestFit="1" customWidth="1"/>
    <col min="5640" max="5640" width="2.28515625" style="488" customWidth="1"/>
    <col min="5641" max="5641" width="19.42578125" style="488" customWidth="1"/>
    <col min="5642" max="5642" width="4.140625" style="488" customWidth="1"/>
    <col min="5643" max="5643" width="19.42578125" style="488" customWidth="1"/>
    <col min="5644" max="5644" width="4.140625" style="488" customWidth="1"/>
    <col min="5645" max="5645" width="20" style="488" customWidth="1"/>
    <col min="5646" max="5646" width="16.7109375" style="488" customWidth="1"/>
    <col min="5647" max="5647" width="27.85546875" style="488"/>
    <col min="5648" max="5648" width="20.7109375" style="488" customWidth="1"/>
    <col min="5649" max="5649" width="14.28515625" style="488" customWidth="1"/>
    <col min="5650" max="5650" width="10.140625" style="488" customWidth="1"/>
    <col min="5651" max="5651" width="15.5703125" style="488" customWidth="1"/>
    <col min="5652" max="5652" width="3.140625" style="488" customWidth="1"/>
    <col min="5653" max="5653" width="2.28515625" style="488" customWidth="1"/>
    <col min="5654" max="5677" width="18.85546875" style="488" customWidth="1"/>
    <col min="5678" max="5678" width="47.42578125" style="488" bestFit="1" customWidth="1"/>
    <col min="5679" max="5679" width="20.42578125" style="488" customWidth="1"/>
    <col min="5680" max="5680" width="18.7109375" style="488" customWidth="1"/>
    <col min="5681" max="5681" width="19.28515625" style="488" customWidth="1"/>
    <col min="5682" max="5682" width="18.7109375" style="488" customWidth="1"/>
    <col min="5683" max="5683" width="3.7109375" style="488" customWidth="1"/>
    <col min="5684" max="5684" width="18.7109375" style="488" customWidth="1"/>
    <col min="5685" max="5685" width="43" style="488" customWidth="1"/>
    <col min="5686" max="5687" width="18.7109375" style="488" customWidth="1"/>
    <col min="5688" max="5688" width="3.7109375" style="488" customWidth="1"/>
    <col min="5689" max="5888" width="27.85546875" style="488"/>
    <col min="5889" max="5889" width="17.28515625" style="488" customWidth="1"/>
    <col min="5890" max="5890" width="2.28515625" style="488" customWidth="1"/>
    <col min="5891" max="5891" width="17.42578125" style="488" customWidth="1"/>
    <col min="5892" max="5892" width="2.28515625" style="488" customWidth="1"/>
    <col min="5893" max="5893" width="15.5703125" style="488" bestFit="1" customWidth="1"/>
    <col min="5894" max="5894" width="2.28515625" style="488" customWidth="1"/>
    <col min="5895" max="5895" width="17.42578125" style="488" bestFit="1" customWidth="1"/>
    <col min="5896" max="5896" width="2.28515625" style="488" customWidth="1"/>
    <col min="5897" max="5897" width="19.42578125" style="488" customWidth="1"/>
    <col min="5898" max="5898" width="4.140625" style="488" customWidth="1"/>
    <col min="5899" max="5899" width="19.42578125" style="488" customWidth="1"/>
    <col min="5900" max="5900" width="4.140625" style="488" customWidth="1"/>
    <col min="5901" max="5901" width="20" style="488" customWidth="1"/>
    <col min="5902" max="5902" width="16.7109375" style="488" customWidth="1"/>
    <col min="5903" max="5903" width="27.85546875" style="488"/>
    <col min="5904" max="5904" width="20.7109375" style="488" customWidth="1"/>
    <col min="5905" max="5905" width="14.28515625" style="488" customWidth="1"/>
    <col min="5906" max="5906" width="10.140625" style="488" customWidth="1"/>
    <col min="5907" max="5907" width="15.5703125" style="488" customWidth="1"/>
    <col min="5908" max="5908" width="3.140625" style="488" customWidth="1"/>
    <col min="5909" max="5909" width="2.28515625" style="488" customWidth="1"/>
    <col min="5910" max="5933" width="18.85546875" style="488" customWidth="1"/>
    <col min="5934" max="5934" width="47.42578125" style="488" bestFit="1" customWidth="1"/>
    <col min="5935" max="5935" width="20.42578125" style="488" customWidth="1"/>
    <col min="5936" max="5936" width="18.7109375" style="488" customWidth="1"/>
    <col min="5937" max="5937" width="19.28515625" style="488" customWidth="1"/>
    <col min="5938" max="5938" width="18.7109375" style="488" customWidth="1"/>
    <col min="5939" max="5939" width="3.7109375" style="488" customWidth="1"/>
    <col min="5940" max="5940" width="18.7109375" style="488" customWidth="1"/>
    <col min="5941" max="5941" width="43" style="488" customWidth="1"/>
    <col min="5942" max="5943" width="18.7109375" style="488" customWidth="1"/>
    <col min="5944" max="5944" width="3.7109375" style="488" customWidth="1"/>
    <col min="5945" max="6144" width="27.85546875" style="488"/>
    <col min="6145" max="6145" width="17.28515625" style="488" customWidth="1"/>
    <col min="6146" max="6146" width="2.28515625" style="488" customWidth="1"/>
    <col min="6147" max="6147" width="17.42578125" style="488" customWidth="1"/>
    <col min="6148" max="6148" width="2.28515625" style="488" customWidth="1"/>
    <col min="6149" max="6149" width="15.5703125" style="488" bestFit="1" customWidth="1"/>
    <col min="6150" max="6150" width="2.28515625" style="488" customWidth="1"/>
    <col min="6151" max="6151" width="17.42578125" style="488" bestFit="1" customWidth="1"/>
    <col min="6152" max="6152" width="2.28515625" style="488" customWidth="1"/>
    <col min="6153" max="6153" width="19.42578125" style="488" customWidth="1"/>
    <col min="6154" max="6154" width="4.140625" style="488" customWidth="1"/>
    <col min="6155" max="6155" width="19.42578125" style="488" customWidth="1"/>
    <col min="6156" max="6156" width="4.140625" style="488" customWidth="1"/>
    <col min="6157" max="6157" width="20" style="488" customWidth="1"/>
    <col min="6158" max="6158" width="16.7109375" style="488" customWidth="1"/>
    <col min="6159" max="6159" width="27.85546875" style="488"/>
    <col min="6160" max="6160" width="20.7109375" style="488" customWidth="1"/>
    <col min="6161" max="6161" width="14.28515625" style="488" customWidth="1"/>
    <col min="6162" max="6162" width="10.140625" style="488" customWidth="1"/>
    <col min="6163" max="6163" width="15.5703125" style="488" customWidth="1"/>
    <col min="6164" max="6164" width="3.140625" style="488" customWidth="1"/>
    <col min="6165" max="6165" width="2.28515625" style="488" customWidth="1"/>
    <col min="6166" max="6189" width="18.85546875" style="488" customWidth="1"/>
    <col min="6190" max="6190" width="47.42578125" style="488" bestFit="1" customWidth="1"/>
    <col min="6191" max="6191" width="20.42578125" style="488" customWidth="1"/>
    <col min="6192" max="6192" width="18.7109375" style="488" customWidth="1"/>
    <col min="6193" max="6193" width="19.28515625" style="488" customWidth="1"/>
    <col min="6194" max="6194" width="18.7109375" style="488" customWidth="1"/>
    <col min="6195" max="6195" width="3.7109375" style="488" customWidth="1"/>
    <col min="6196" max="6196" width="18.7109375" style="488" customWidth="1"/>
    <col min="6197" max="6197" width="43" style="488" customWidth="1"/>
    <col min="6198" max="6199" width="18.7109375" style="488" customWidth="1"/>
    <col min="6200" max="6200" width="3.7109375" style="488" customWidth="1"/>
    <col min="6201" max="6400" width="27.85546875" style="488"/>
    <col min="6401" max="6401" width="17.28515625" style="488" customWidth="1"/>
    <col min="6402" max="6402" width="2.28515625" style="488" customWidth="1"/>
    <col min="6403" max="6403" width="17.42578125" style="488" customWidth="1"/>
    <col min="6404" max="6404" width="2.28515625" style="488" customWidth="1"/>
    <col min="6405" max="6405" width="15.5703125" style="488" bestFit="1" customWidth="1"/>
    <col min="6406" max="6406" width="2.28515625" style="488" customWidth="1"/>
    <col min="6407" max="6407" width="17.42578125" style="488" bestFit="1" customWidth="1"/>
    <col min="6408" max="6408" width="2.28515625" style="488" customWidth="1"/>
    <col min="6409" max="6409" width="19.42578125" style="488" customWidth="1"/>
    <col min="6410" max="6410" width="4.140625" style="488" customWidth="1"/>
    <col min="6411" max="6411" width="19.42578125" style="488" customWidth="1"/>
    <col min="6412" max="6412" width="4.140625" style="488" customWidth="1"/>
    <col min="6413" max="6413" width="20" style="488" customWidth="1"/>
    <col min="6414" max="6414" width="16.7109375" style="488" customWidth="1"/>
    <col min="6415" max="6415" width="27.85546875" style="488"/>
    <col min="6416" max="6416" width="20.7109375" style="488" customWidth="1"/>
    <col min="6417" max="6417" width="14.28515625" style="488" customWidth="1"/>
    <col min="6418" max="6418" width="10.140625" style="488" customWidth="1"/>
    <col min="6419" max="6419" width="15.5703125" style="488" customWidth="1"/>
    <col min="6420" max="6420" width="3.140625" style="488" customWidth="1"/>
    <col min="6421" max="6421" width="2.28515625" style="488" customWidth="1"/>
    <col min="6422" max="6445" width="18.85546875" style="488" customWidth="1"/>
    <col min="6446" max="6446" width="47.42578125" style="488" bestFit="1" customWidth="1"/>
    <col min="6447" max="6447" width="20.42578125" style="488" customWidth="1"/>
    <col min="6448" max="6448" width="18.7109375" style="488" customWidth="1"/>
    <col min="6449" max="6449" width="19.28515625" style="488" customWidth="1"/>
    <col min="6450" max="6450" width="18.7109375" style="488" customWidth="1"/>
    <col min="6451" max="6451" width="3.7109375" style="488" customWidth="1"/>
    <col min="6452" max="6452" width="18.7109375" style="488" customWidth="1"/>
    <col min="6453" max="6453" width="43" style="488" customWidth="1"/>
    <col min="6454" max="6455" width="18.7109375" style="488" customWidth="1"/>
    <col min="6456" max="6456" width="3.7109375" style="488" customWidth="1"/>
    <col min="6457" max="6656" width="27.85546875" style="488"/>
    <col min="6657" max="6657" width="17.28515625" style="488" customWidth="1"/>
    <col min="6658" max="6658" width="2.28515625" style="488" customWidth="1"/>
    <col min="6659" max="6659" width="17.42578125" style="488" customWidth="1"/>
    <col min="6660" max="6660" width="2.28515625" style="488" customWidth="1"/>
    <col min="6661" max="6661" width="15.5703125" style="488" bestFit="1" customWidth="1"/>
    <col min="6662" max="6662" width="2.28515625" style="488" customWidth="1"/>
    <col min="6663" max="6663" width="17.42578125" style="488" bestFit="1" customWidth="1"/>
    <col min="6664" max="6664" width="2.28515625" style="488" customWidth="1"/>
    <col min="6665" max="6665" width="19.42578125" style="488" customWidth="1"/>
    <col min="6666" max="6666" width="4.140625" style="488" customWidth="1"/>
    <col min="6667" max="6667" width="19.42578125" style="488" customWidth="1"/>
    <col min="6668" max="6668" width="4.140625" style="488" customWidth="1"/>
    <col min="6669" max="6669" width="20" style="488" customWidth="1"/>
    <col min="6670" max="6670" width="16.7109375" style="488" customWidth="1"/>
    <col min="6671" max="6671" width="27.85546875" style="488"/>
    <col min="6672" max="6672" width="20.7109375" style="488" customWidth="1"/>
    <col min="6673" max="6673" width="14.28515625" style="488" customWidth="1"/>
    <col min="6674" max="6674" width="10.140625" style="488" customWidth="1"/>
    <col min="6675" max="6675" width="15.5703125" style="488" customWidth="1"/>
    <col min="6676" max="6676" width="3.140625" style="488" customWidth="1"/>
    <col min="6677" max="6677" width="2.28515625" style="488" customWidth="1"/>
    <col min="6678" max="6701" width="18.85546875" style="488" customWidth="1"/>
    <col min="6702" max="6702" width="47.42578125" style="488" bestFit="1" customWidth="1"/>
    <col min="6703" max="6703" width="20.42578125" style="488" customWidth="1"/>
    <col min="6704" max="6704" width="18.7109375" style="488" customWidth="1"/>
    <col min="6705" max="6705" width="19.28515625" style="488" customWidth="1"/>
    <col min="6706" max="6706" width="18.7109375" style="488" customWidth="1"/>
    <col min="6707" max="6707" width="3.7109375" style="488" customWidth="1"/>
    <col min="6708" max="6708" width="18.7109375" style="488" customWidth="1"/>
    <col min="6709" max="6709" width="43" style="488" customWidth="1"/>
    <col min="6710" max="6711" width="18.7109375" style="488" customWidth="1"/>
    <col min="6712" max="6712" width="3.7109375" style="488" customWidth="1"/>
    <col min="6713" max="6912" width="27.85546875" style="488"/>
    <col min="6913" max="6913" width="17.28515625" style="488" customWidth="1"/>
    <col min="6914" max="6914" width="2.28515625" style="488" customWidth="1"/>
    <col min="6915" max="6915" width="17.42578125" style="488" customWidth="1"/>
    <col min="6916" max="6916" width="2.28515625" style="488" customWidth="1"/>
    <col min="6917" max="6917" width="15.5703125" style="488" bestFit="1" customWidth="1"/>
    <col min="6918" max="6918" width="2.28515625" style="488" customWidth="1"/>
    <col min="6919" max="6919" width="17.42578125" style="488" bestFit="1" customWidth="1"/>
    <col min="6920" max="6920" width="2.28515625" style="488" customWidth="1"/>
    <col min="6921" max="6921" width="19.42578125" style="488" customWidth="1"/>
    <col min="6922" max="6922" width="4.140625" style="488" customWidth="1"/>
    <col min="6923" max="6923" width="19.42578125" style="488" customWidth="1"/>
    <col min="6924" max="6924" width="4.140625" style="488" customWidth="1"/>
    <col min="6925" max="6925" width="20" style="488" customWidth="1"/>
    <col min="6926" max="6926" width="16.7109375" style="488" customWidth="1"/>
    <col min="6927" max="6927" width="27.85546875" style="488"/>
    <col min="6928" max="6928" width="20.7109375" style="488" customWidth="1"/>
    <col min="6929" max="6929" width="14.28515625" style="488" customWidth="1"/>
    <col min="6930" max="6930" width="10.140625" style="488" customWidth="1"/>
    <col min="6931" max="6931" width="15.5703125" style="488" customWidth="1"/>
    <col min="6932" max="6932" width="3.140625" style="488" customWidth="1"/>
    <col min="6933" max="6933" width="2.28515625" style="488" customWidth="1"/>
    <col min="6934" max="6957" width="18.85546875" style="488" customWidth="1"/>
    <col min="6958" max="6958" width="47.42578125" style="488" bestFit="1" customWidth="1"/>
    <col min="6959" max="6959" width="20.42578125" style="488" customWidth="1"/>
    <col min="6960" max="6960" width="18.7109375" style="488" customWidth="1"/>
    <col min="6961" max="6961" width="19.28515625" style="488" customWidth="1"/>
    <col min="6962" max="6962" width="18.7109375" style="488" customWidth="1"/>
    <col min="6963" max="6963" width="3.7109375" style="488" customWidth="1"/>
    <col min="6964" max="6964" width="18.7109375" style="488" customWidth="1"/>
    <col min="6965" max="6965" width="43" style="488" customWidth="1"/>
    <col min="6966" max="6967" width="18.7109375" style="488" customWidth="1"/>
    <col min="6968" max="6968" width="3.7109375" style="488" customWidth="1"/>
    <col min="6969" max="7168" width="27.85546875" style="488"/>
    <col min="7169" max="7169" width="17.28515625" style="488" customWidth="1"/>
    <col min="7170" max="7170" width="2.28515625" style="488" customWidth="1"/>
    <col min="7171" max="7171" width="17.42578125" style="488" customWidth="1"/>
    <col min="7172" max="7172" width="2.28515625" style="488" customWidth="1"/>
    <col min="7173" max="7173" width="15.5703125" style="488" bestFit="1" customWidth="1"/>
    <col min="7174" max="7174" width="2.28515625" style="488" customWidth="1"/>
    <col min="7175" max="7175" width="17.42578125" style="488" bestFit="1" customWidth="1"/>
    <col min="7176" max="7176" width="2.28515625" style="488" customWidth="1"/>
    <col min="7177" max="7177" width="19.42578125" style="488" customWidth="1"/>
    <col min="7178" max="7178" width="4.140625" style="488" customWidth="1"/>
    <col min="7179" max="7179" width="19.42578125" style="488" customWidth="1"/>
    <col min="7180" max="7180" width="4.140625" style="488" customWidth="1"/>
    <col min="7181" max="7181" width="20" style="488" customWidth="1"/>
    <col min="7182" max="7182" width="16.7109375" style="488" customWidth="1"/>
    <col min="7183" max="7183" width="27.85546875" style="488"/>
    <col min="7184" max="7184" width="20.7109375" style="488" customWidth="1"/>
    <col min="7185" max="7185" width="14.28515625" style="488" customWidth="1"/>
    <col min="7186" max="7186" width="10.140625" style="488" customWidth="1"/>
    <col min="7187" max="7187" width="15.5703125" style="488" customWidth="1"/>
    <col min="7188" max="7188" width="3.140625" style="488" customWidth="1"/>
    <col min="7189" max="7189" width="2.28515625" style="488" customWidth="1"/>
    <col min="7190" max="7213" width="18.85546875" style="488" customWidth="1"/>
    <col min="7214" max="7214" width="47.42578125" style="488" bestFit="1" customWidth="1"/>
    <col min="7215" max="7215" width="20.42578125" style="488" customWidth="1"/>
    <col min="7216" max="7216" width="18.7109375" style="488" customWidth="1"/>
    <col min="7217" max="7217" width="19.28515625" style="488" customWidth="1"/>
    <col min="7218" max="7218" width="18.7109375" style="488" customWidth="1"/>
    <col min="7219" max="7219" width="3.7109375" style="488" customWidth="1"/>
    <col min="7220" max="7220" width="18.7109375" style="488" customWidth="1"/>
    <col min="7221" max="7221" width="43" style="488" customWidth="1"/>
    <col min="7222" max="7223" width="18.7109375" style="488" customWidth="1"/>
    <col min="7224" max="7224" width="3.7109375" style="488" customWidth="1"/>
    <col min="7225" max="7424" width="27.85546875" style="488"/>
    <col min="7425" max="7425" width="17.28515625" style="488" customWidth="1"/>
    <col min="7426" max="7426" width="2.28515625" style="488" customWidth="1"/>
    <col min="7427" max="7427" width="17.42578125" style="488" customWidth="1"/>
    <col min="7428" max="7428" width="2.28515625" style="488" customWidth="1"/>
    <col min="7429" max="7429" width="15.5703125" style="488" bestFit="1" customWidth="1"/>
    <col min="7430" max="7430" width="2.28515625" style="488" customWidth="1"/>
    <col min="7431" max="7431" width="17.42578125" style="488" bestFit="1" customWidth="1"/>
    <col min="7432" max="7432" width="2.28515625" style="488" customWidth="1"/>
    <col min="7433" max="7433" width="19.42578125" style="488" customWidth="1"/>
    <col min="7434" max="7434" width="4.140625" style="488" customWidth="1"/>
    <col min="7435" max="7435" width="19.42578125" style="488" customWidth="1"/>
    <col min="7436" max="7436" width="4.140625" style="488" customWidth="1"/>
    <col min="7437" max="7437" width="20" style="488" customWidth="1"/>
    <col min="7438" max="7438" width="16.7109375" style="488" customWidth="1"/>
    <col min="7439" max="7439" width="27.85546875" style="488"/>
    <col min="7440" max="7440" width="20.7109375" style="488" customWidth="1"/>
    <col min="7441" max="7441" width="14.28515625" style="488" customWidth="1"/>
    <col min="7442" max="7442" width="10.140625" style="488" customWidth="1"/>
    <col min="7443" max="7443" width="15.5703125" style="488" customWidth="1"/>
    <col min="7444" max="7444" width="3.140625" style="488" customWidth="1"/>
    <col min="7445" max="7445" width="2.28515625" style="488" customWidth="1"/>
    <col min="7446" max="7469" width="18.85546875" style="488" customWidth="1"/>
    <col min="7470" max="7470" width="47.42578125" style="488" bestFit="1" customWidth="1"/>
    <col min="7471" max="7471" width="20.42578125" style="488" customWidth="1"/>
    <col min="7472" max="7472" width="18.7109375" style="488" customWidth="1"/>
    <col min="7473" max="7473" width="19.28515625" style="488" customWidth="1"/>
    <col min="7474" max="7474" width="18.7109375" style="488" customWidth="1"/>
    <col min="7475" max="7475" width="3.7109375" style="488" customWidth="1"/>
    <col min="7476" max="7476" width="18.7109375" style="488" customWidth="1"/>
    <col min="7477" max="7477" width="43" style="488" customWidth="1"/>
    <col min="7478" max="7479" width="18.7109375" style="488" customWidth="1"/>
    <col min="7480" max="7480" width="3.7109375" style="488" customWidth="1"/>
    <col min="7481" max="7680" width="27.85546875" style="488"/>
    <col min="7681" max="7681" width="17.28515625" style="488" customWidth="1"/>
    <col min="7682" max="7682" width="2.28515625" style="488" customWidth="1"/>
    <col min="7683" max="7683" width="17.42578125" style="488" customWidth="1"/>
    <col min="7684" max="7684" width="2.28515625" style="488" customWidth="1"/>
    <col min="7685" max="7685" width="15.5703125" style="488" bestFit="1" customWidth="1"/>
    <col min="7686" max="7686" width="2.28515625" style="488" customWidth="1"/>
    <col min="7687" max="7687" width="17.42578125" style="488" bestFit="1" customWidth="1"/>
    <col min="7688" max="7688" width="2.28515625" style="488" customWidth="1"/>
    <col min="7689" max="7689" width="19.42578125" style="488" customWidth="1"/>
    <col min="7690" max="7690" width="4.140625" style="488" customWidth="1"/>
    <col min="7691" max="7691" width="19.42578125" style="488" customWidth="1"/>
    <col min="7692" max="7692" width="4.140625" style="488" customWidth="1"/>
    <col min="7693" max="7693" width="20" style="488" customWidth="1"/>
    <col min="7694" max="7694" width="16.7109375" style="488" customWidth="1"/>
    <col min="7695" max="7695" width="27.85546875" style="488"/>
    <col min="7696" max="7696" width="20.7109375" style="488" customWidth="1"/>
    <col min="7697" max="7697" width="14.28515625" style="488" customWidth="1"/>
    <col min="7698" max="7698" width="10.140625" style="488" customWidth="1"/>
    <col min="7699" max="7699" width="15.5703125" style="488" customWidth="1"/>
    <col min="7700" max="7700" width="3.140625" style="488" customWidth="1"/>
    <col min="7701" max="7701" width="2.28515625" style="488" customWidth="1"/>
    <col min="7702" max="7725" width="18.85546875" style="488" customWidth="1"/>
    <col min="7726" max="7726" width="47.42578125" style="488" bestFit="1" customWidth="1"/>
    <col min="7727" max="7727" width="20.42578125" style="488" customWidth="1"/>
    <col min="7728" max="7728" width="18.7109375" style="488" customWidth="1"/>
    <col min="7729" max="7729" width="19.28515625" style="488" customWidth="1"/>
    <col min="7730" max="7730" width="18.7109375" style="488" customWidth="1"/>
    <col min="7731" max="7731" width="3.7109375" style="488" customWidth="1"/>
    <col min="7732" max="7732" width="18.7109375" style="488" customWidth="1"/>
    <col min="7733" max="7733" width="43" style="488" customWidth="1"/>
    <col min="7734" max="7735" width="18.7109375" style="488" customWidth="1"/>
    <col min="7736" max="7736" width="3.7109375" style="488" customWidth="1"/>
    <col min="7737" max="7936" width="27.85546875" style="488"/>
    <col min="7937" max="7937" width="17.28515625" style="488" customWidth="1"/>
    <col min="7938" max="7938" width="2.28515625" style="488" customWidth="1"/>
    <col min="7939" max="7939" width="17.42578125" style="488" customWidth="1"/>
    <col min="7940" max="7940" width="2.28515625" style="488" customWidth="1"/>
    <col min="7941" max="7941" width="15.5703125" style="488" bestFit="1" customWidth="1"/>
    <col min="7942" max="7942" width="2.28515625" style="488" customWidth="1"/>
    <col min="7943" max="7943" width="17.42578125" style="488" bestFit="1" customWidth="1"/>
    <col min="7944" max="7944" width="2.28515625" style="488" customWidth="1"/>
    <col min="7945" max="7945" width="19.42578125" style="488" customWidth="1"/>
    <col min="7946" max="7946" width="4.140625" style="488" customWidth="1"/>
    <col min="7947" max="7947" width="19.42578125" style="488" customWidth="1"/>
    <col min="7948" max="7948" width="4.140625" style="488" customWidth="1"/>
    <col min="7949" max="7949" width="20" style="488" customWidth="1"/>
    <col min="7950" max="7950" width="16.7109375" style="488" customWidth="1"/>
    <col min="7951" max="7951" width="27.85546875" style="488"/>
    <col min="7952" max="7952" width="20.7109375" style="488" customWidth="1"/>
    <col min="7953" max="7953" width="14.28515625" style="488" customWidth="1"/>
    <col min="7954" max="7954" width="10.140625" style="488" customWidth="1"/>
    <col min="7955" max="7955" width="15.5703125" style="488" customWidth="1"/>
    <col min="7956" max="7956" width="3.140625" style="488" customWidth="1"/>
    <col min="7957" max="7957" width="2.28515625" style="488" customWidth="1"/>
    <col min="7958" max="7981" width="18.85546875" style="488" customWidth="1"/>
    <col min="7982" max="7982" width="47.42578125" style="488" bestFit="1" customWidth="1"/>
    <col min="7983" max="7983" width="20.42578125" style="488" customWidth="1"/>
    <col min="7984" max="7984" width="18.7109375" style="488" customWidth="1"/>
    <col min="7985" max="7985" width="19.28515625" style="488" customWidth="1"/>
    <col min="7986" max="7986" width="18.7109375" style="488" customWidth="1"/>
    <col min="7987" max="7987" width="3.7109375" style="488" customWidth="1"/>
    <col min="7988" max="7988" width="18.7109375" style="488" customWidth="1"/>
    <col min="7989" max="7989" width="43" style="488" customWidth="1"/>
    <col min="7990" max="7991" width="18.7109375" style="488" customWidth="1"/>
    <col min="7992" max="7992" width="3.7109375" style="488" customWidth="1"/>
    <col min="7993" max="8192" width="27.85546875" style="488"/>
    <col min="8193" max="8193" width="17.28515625" style="488" customWidth="1"/>
    <col min="8194" max="8194" width="2.28515625" style="488" customWidth="1"/>
    <col min="8195" max="8195" width="17.42578125" style="488" customWidth="1"/>
    <col min="8196" max="8196" width="2.28515625" style="488" customWidth="1"/>
    <col min="8197" max="8197" width="15.5703125" style="488" bestFit="1" customWidth="1"/>
    <col min="8198" max="8198" width="2.28515625" style="488" customWidth="1"/>
    <col min="8199" max="8199" width="17.42578125" style="488" bestFit="1" customWidth="1"/>
    <col min="8200" max="8200" width="2.28515625" style="488" customWidth="1"/>
    <col min="8201" max="8201" width="19.42578125" style="488" customWidth="1"/>
    <col min="8202" max="8202" width="4.140625" style="488" customWidth="1"/>
    <col min="8203" max="8203" width="19.42578125" style="488" customWidth="1"/>
    <col min="8204" max="8204" width="4.140625" style="488" customWidth="1"/>
    <col min="8205" max="8205" width="20" style="488" customWidth="1"/>
    <col min="8206" max="8206" width="16.7109375" style="488" customWidth="1"/>
    <col min="8207" max="8207" width="27.85546875" style="488"/>
    <col min="8208" max="8208" width="20.7109375" style="488" customWidth="1"/>
    <col min="8209" max="8209" width="14.28515625" style="488" customWidth="1"/>
    <col min="8210" max="8210" width="10.140625" style="488" customWidth="1"/>
    <col min="8211" max="8211" width="15.5703125" style="488" customWidth="1"/>
    <col min="8212" max="8212" width="3.140625" style="488" customWidth="1"/>
    <col min="8213" max="8213" width="2.28515625" style="488" customWidth="1"/>
    <col min="8214" max="8237" width="18.85546875" style="488" customWidth="1"/>
    <col min="8238" max="8238" width="47.42578125" style="488" bestFit="1" customWidth="1"/>
    <col min="8239" max="8239" width="20.42578125" style="488" customWidth="1"/>
    <col min="8240" max="8240" width="18.7109375" style="488" customWidth="1"/>
    <col min="8241" max="8241" width="19.28515625" style="488" customWidth="1"/>
    <col min="8242" max="8242" width="18.7109375" style="488" customWidth="1"/>
    <col min="8243" max="8243" width="3.7109375" style="488" customWidth="1"/>
    <col min="8244" max="8244" width="18.7109375" style="488" customWidth="1"/>
    <col min="8245" max="8245" width="43" style="488" customWidth="1"/>
    <col min="8246" max="8247" width="18.7109375" style="488" customWidth="1"/>
    <col min="8248" max="8248" width="3.7109375" style="488" customWidth="1"/>
    <col min="8249" max="8448" width="27.85546875" style="488"/>
    <col min="8449" max="8449" width="17.28515625" style="488" customWidth="1"/>
    <col min="8450" max="8450" width="2.28515625" style="488" customWidth="1"/>
    <col min="8451" max="8451" width="17.42578125" style="488" customWidth="1"/>
    <col min="8452" max="8452" width="2.28515625" style="488" customWidth="1"/>
    <col min="8453" max="8453" width="15.5703125" style="488" bestFit="1" customWidth="1"/>
    <col min="8454" max="8454" width="2.28515625" style="488" customWidth="1"/>
    <col min="8455" max="8455" width="17.42578125" style="488" bestFit="1" customWidth="1"/>
    <col min="8456" max="8456" width="2.28515625" style="488" customWidth="1"/>
    <col min="8457" max="8457" width="19.42578125" style="488" customWidth="1"/>
    <col min="8458" max="8458" width="4.140625" style="488" customWidth="1"/>
    <col min="8459" max="8459" width="19.42578125" style="488" customWidth="1"/>
    <col min="8460" max="8460" width="4.140625" style="488" customWidth="1"/>
    <col min="8461" max="8461" width="20" style="488" customWidth="1"/>
    <col min="8462" max="8462" width="16.7109375" style="488" customWidth="1"/>
    <col min="8463" max="8463" width="27.85546875" style="488"/>
    <col min="8464" max="8464" width="20.7109375" style="488" customWidth="1"/>
    <col min="8465" max="8465" width="14.28515625" style="488" customWidth="1"/>
    <col min="8466" max="8466" width="10.140625" style="488" customWidth="1"/>
    <col min="8467" max="8467" width="15.5703125" style="488" customWidth="1"/>
    <col min="8468" max="8468" width="3.140625" style="488" customWidth="1"/>
    <col min="8469" max="8469" width="2.28515625" style="488" customWidth="1"/>
    <col min="8470" max="8493" width="18.85546875" style="488" customWidth="1"/>
    <col min="8494" max="8494" width="47.42578125" style="488" bestFit="1" customWidth="1"/>
    <col min="8495" max="8495" width="20.42578125" style="488" customWidth="1"/>
    <col min="8496" max="8496" width="18.7109375" style="488" customWidth="1"/>
    <col min="8497" max="8497" width="19.28515625" style="488" customWidth="1"/>
    <col min="8498" max="8498" width="18.7109375" style="488" customWidth="1"/>
    <col min="8499" max="8499" width="3.7109375" style="488" customWidth="1"/>
    <col min="8500" max="8500" width="18.7109375" style="488" customWidth="1"/>
    <col min="8501" max="8501" width="43" style="488" customWidth="1"/>
    <col min="8502" max="8503" width="18.7109375" style="488" customWidth="1"/>
    <col min="8504" max="8504" width="3.7109375" style="488" customWidth="1"/>
    <col min="8505" max="8704" width="27.85546875" style="488"/>
    <col min="8705" max="8705" width="17.28515625" style="488" customWidth="1"/>
    <col min="8706" max="8706" width="2.28515625" style="488" customWidth="1"/>
    <col min="8707" max="8707" width="17.42578125" style="488" customWidth="1"/>
    <col min="8708" max="8708" width="2.28515625" style="488" customWidth="1"/>
    <col min="8709" max="8709" width="15.5703125" style="488" bestFit="1" customWidth="1"/>
    <col min="8710" max="8710" width="2.28515625" style="488" customWidth="1"/>
    <col min="8711" max="8711" width="17.42578125" style="488" bestFit="1" customWidth="1"/>
    <col min="8712" max="8712" width="2.28515625" style="488" customWidth="1"/>
    <col min="8713" max="8713" width="19.42578125" style="488" customWidth="1"/>
    <col min="8714" max="8714" width="4.140625" style="488" customWidth="1"/>
    <col min="8715" max="8715" width="19.42578125" style="488" customWidth="1"/>
    <col min="8716" max="8716" width="4.140625" style="488" customWidth="1"/>
    <col min="8717" max="8717" width="20" style="488" customWidth="1"/>
    <col min="8718" max="8718" width="16.7109375" style="488" customWidth="1"/>
    <col min="8719" max="8719" width="27.85546875" style="488"/>
    <col min="8720" max="8720" width="20.7109375" style="488" customWidth="1"/>
    <col min="8721" max="8721" width="14.28515625" style="488" customWidth="1"/>
    <col min="8722" max="8722" width="10.140625" style="488" customWidth="1"/>
    <col min="8723" max="8723" width="15.5703125" style="488" customWidth="1"/>
    <col min="8724" max="8724" width="3.140625" style="488" customWidth="1"/>
    <col min="8725" max="8725" width="2.28515625" style="488" customWidth="1"/>
    <col min="8726" max="8749" width="18.85546875" style="488" customWidth="1"/>
    <col min="8750" max="8750" width="47.42578125" style="488" bestFit="1" customWidth="1"/>
    <col min="8751" max="8751" width="20.42578125" style="488" customWidth="1"/>
    <col min="8752" max="8752" width="18.7109375" style="488" customWidth="1"/>
    <col min="8753" max="8753" width="19.28515625" style="488" customWidth="1"/>
    <col min="8754" max="8754" width="18.7109375" style="488" customWidth="1"/>
    <col min="8755" max="8755" width="3.7109375" style="488" customWidth="1"/>
    <col min="8756" max="8756" width="18.7109375" style="488" customWidth="1"/>
    <col min="8757" max="8757" width="43" style="488" customWidth="1"/>
    <col min="8758" max="8759" width="18.7109375" style="488" customWidth="1"/>
    <col min="8760" max="8760" width="3.7109375" style="488" customWidth="1"/>
    <col min="8761" max="8960" width="27.85546875" style="488"/>
    <col min="8961" max="8961" width="17.28515625" style="488" customWidth="1"/>
    <col min="8962" max="8962" width="2.28515625" style="488" customWidth="1"/>
    <col min="8963" max="8963" width="17.42578125" style="488" customWidth="1"/>
    <col min="8964" max="8964" width="2.28515625" style="488" customWidth="1"/>
    <col min="8965" max="8965" width="15.5703125" style="488" bestFit="1" customWidth="1"/>
    <col min="8966" max="8966" width="2.28515625" style="488" customWidth="1"/>
    <col min="8967" max="8967" width="17.42578125" style="488" bestFit="1" customWidth="1"/>
    <col min="8968" max="8968" width="2.28515625" style="488" customWidth="1"/>
    <col min="8969" max="8969" width="19.42578125" style="488" customWidth="1"/>
    <col min="8970" max="8970" width="4.140625" style="488" customWidth="1"/>
    <col min="8971" max="8971" width="19.42578125" style="488" customWidth="1"/>
    <col min="8972" max="8972" width="4.140625" style="488" customWidth="1"/>
    <col min="8973" max="8973" width="20" style="488" customWidth="1"/>
    <col min="8974" max="8974" width="16.7109375" style="488" customWidth="1"/>
    <col min="8975" max="8975" width="27.85546875" style="488"/>
    <col min="8976" max="8976" width="20.7109375" style="488" customWidth="1"/>
    <col min="8977" max="8977" width="14.28515625" style="488" customWidth="1"/>
    <col min="8978" max="8978" width="10.140625" style="488" customWidth="1"/>
    <col min="8979" max="8979" width="15.5703125" style="488" customWidth="1"/>
    <col min="8980" max="8980" width="3.140625" style="488" customWidth="1"/>
    <col min="8981" max="8981" width="2.28515625" style="488" customWidth="1"/>
    <col min="8982" max="9005" width="18.85546875" style="488" customWidth="1"/>
    <col min="9006" max="9006" width="47.42578125" style="488" bestFit="1" customWidth="1"/>
    <col min="9007" max="9007" width="20.42578125" style="488" customWidth="1"/>
    <col min="9008" max="9008" width="18.7109375" style="488" customWidth="1"/>
    <col min="9009" max="9009" width="19.28515625" style="488" customWidth="1"/>
    <col min="9010" max="9010" width="18.7109375" style="488" customWidth="1"/>
    <col min="9011" max="9011" width="3.7109375" style="488" customWidth="1"/>
    <col min="9012" max="9012" width="18.7109375" style="488" customWidth="1"/>
    <col min="9013" max="9013" width="43" style="488" customWidth="1"/>
    <col min="9014" max="9015" width="18.7109375" style="488" customWidth="1"/>
    <col min="9016" max="9016" width="3.7109375" style="488" customWidth="1"/>
    <col min="9017" max="9216" width="27.85546875" style="488"/>
    <col min="9217" max="9217" width="17.28515625" style="488" customWidth="1"/>
    <col min="9218" max="9218" width="2.28515625" style="488" customWidth="1"/>
    <col min="9219" max="9219" width="17.42578125" style="488" customWidth="1"/>
    <col min="9220" max="9220" width="2.28515625" style="488" customWidth="1"/>
    <col min="9221" max="9221" width="15.5703125" style="488" bestFit="1" customWidth="1"/>
    <col min="9222" max="9222" width="2.28515625" style="488" customWidth="1"/>
    <col min="9223" max="9223" width="17.42578125" style="488" bestFit="1" customWidth="1"/>
    <col min="9224" max="9224" width="2.28515625" style="488" customWidth="1"/>
    <col min="9225" max="9225" width="19.42578125" style="488" customWidth="1"/>
    <col min="9226" max="9226" width="4.140625" style="488" customWidth="1"/>
    <col min="9227" max="9227" width="19.42578125" style="488" customWidth="1"/>
    <col min="9228" max="9228" width="4.140625" style="488" customWidth="1"/>
    <col min="9229" max="9229" width="20" style="488" customWidth="1"/>
    <col min="9230" max="9230" width="16.7109375" style="488" customWidth="1"/>
    <col min="9231" max="9231" width="27.85546875" style="488"/>
    <col min="9232" max="9232" width="20.7109375" style="488" customWidth="1"/>
    <col min="9233" max="9233" width="14.28515625" style="488" customWidth="1"/>
    <col min="9234" max="9234" width="10.140625" style="488" customWidth="1"/>
    <col min="9235" max="9235" width="15.5703125" style="488" customWidth="1"/>
    <col min="9236" max="9236" width="3.140625" style="488" customWidth="1"/>
    <col min="9237" max="9237" width="2.28515625" style="488" customWidth="1"/>
    <col min="9238" max="9261" width="18.85546875" style="488" customWidth="1"/>
    <col min="9262" max="9262" width="47.42578125" style="488" bestFit="1" customWidth="1"/>
    <col min="9263" max="9263" width="20.42578125" style="488" customWidth="1"/>
    <col min="9264" max="9264" width="18.7109375" style="488" customWidth="1"/>
    <col min="9265" max="9265" width="19.28515625" style="488" customWidth="1"/>
    <col min="9266" max="9266" width="18.7109375" style="488" customWidth="1"/>
    <col min="9267" max="9267" width="3.7109375" style="488" customWidth="1"/>
    <col min="9268" max="9268" width="18.7109375" style="488" customWidth="1"/>
    <col min="9269" max="9269" width="43" style="488" customWidth="1"/>
    <col min="9270" max="9271" width="18.7109375" style="488" customWidth="1"/>
    <col min="9272" max="9272" width="3.7109375" style="488" customWidth="1"/>
    <col min="9273" max="9472" width="27.85546875" style="488"/>
    <col min="9473" max="9473" width="17.28515625" style="488" customWidth="1"/>
    <col min="9474" max="9474" width="2.28515625" style="488" customWidth="1"/>
    <col min="9475" max="9475" width="17.42578125" style="488" customWidth="1"/>
    <col min="9476" max="9476" width="2.28515625" style="488" customWidth="1"/>
    <col min="9477" max="9477" width="15.5703125" style="488" bestFit="1" customWidth="1"/>
    <col min="9478" max="9478" width="2.28515625" style="488" customWidth="1"/>
    <col min="9479" max="9479" width="17.42578125" style="488" bestFit="1" customWidth="1"/>
    <col min="9480" max="9480" width="2.28515625" style="488" customWidth="1"/>
    <col min="9481" max="9481" width="19.42578125" style="488" customWidth="1"/>
    <col min="9482" max="9482" width="4.140625" style="488" customWidth="1"/>
    <col min="9483" max="9483" width="19.42578125" style="488" customWidth="1"/>
    <col min="9484" max="9484" width="4.140625" style="488" customWidth="1"/>
    <col min="9485" max="9485" width="20" style="488" customWidth="1"/>
    <col min="9486" max="9486" width="16.7109375" style="488" customWidth="1"/>
    <col min="9487" max="9487" width="27.85546875" style="488"/>
    <col min="9488" max="9488" width="20.7109375" style="488" customWidth="1"/>
    <col min="9489" max="9489" width="14.28515625" style="488" customWidth="1"/>
    <col min="9490" max="9490" width="10.140625" style="488" customWidth="1"/>
    <col min="9491" max="9491" width="15.5703125" style="488" customWidth="1"/>
    <col min="9492" max="9492" width="3.140625" style="488" customWidth="1"/>
    <col min="9493" max="9493" width="2.28515625" style="488" customWidth="1"/>
    <col min="9494" max="9517" width="18.85546875" style="488" customWidth="1"/>
    <col min="9518" max="9518" width="47.42578125" style="488" bestFit="1" customWidth="1"/>
    <col min="9519" max="9519" width="20.42578125" style="488" customWidth="1"/>
    <col min="9520" max="9520" width="18.7109375" style="488" customWidth="1"/>
    <col min="9521" max="9521" width="19.28515625" style="488" customWidth="1"/>
    <col min="9522" max="9522" width="18.7109375" style="488" customWidth="1"/>
    <col min="9523" max="9523" width="3.7109375" style="488" customWidth="1"/>
    <col min="9524" max="9524" width="18.7109375" style="488" customWidth="1"/>
    <col min="9525" max="9525" width="43" style="488" customWidth="1"/>
    <col min="9526" max="9527" width="18.7109375" style="488" customWidth="1"/>
    <col min="9528" max="9528" width="3.7109375" style="488" customWidth="1"/>
    <col min="9529" max="9728" width="27.85546875" style="488"/>
    <col min="9729" max="9729" width="17.28515625" style="488" customWidth="1"/>
    <col min="9730" max="9730" width="2.28515625" style="488" customWidth="1"/>
    <col min="9731" max="9731" width="17.42578125" style="488" customWidth="1"/>
    <col min="9732" max="9732" width="2.28515625" style="488" customWidth="1"/>
    <col min="9733" max="9733" width="15.5703125" style="488" bestFit="1" customWidth="1"/>
    <col min="9734" max="9734" width="2.28515625" style="488" customWidth="1"/>
    <col min="9735" max="9735" width="17.42578125" style="488" bestFit="1" customWidth="1"/>
    <col min="9736" max="9736" width="2.28515625" style="488" customWidth="1"/>
    <col min="9737" max="9737" width="19.42578125" style="488" customWidth="1"/>
    <col min="9738" max="9738" width="4.140625" style="488" customWidth="1"/>
    <col min="9739" max="9739" width="19.42578125" style="488" customWidth="1"/>
    <col min="9740" max="9740" width="4.140625" style="488" customWidth="1"/>
    <col min="9741" max="9741" width="20" style="488" customWidth="1"/>
    <col min="9742" max="9742" width="16.7109375" style="488" customWidth="1"/>
    <col min="9743" max="9743" width="27.85546875" style="488"/>
    <col min="9744" max="9744" width="20.7109375" style="488" customWidth="1"/>
    <col min="9745" max="9745" width="14.28515625" style="488" customWidth="1"/>
    <col min="9746" max="9746" width="10.140625" style="488" customWidth="1"/>
    <col min="9747" max="9747" width="15.5703125" style="488" customWidth="1"/>
    <col min="9748" max="9748" width="3.140625" style="488" customWidth="1"/>
    <col min="9749" max="9749" width="2.28515625" style="488" customWidth="1"/>
    <col min="9750" max="9773" width="18.85546875" style="488" customWidth="1"/>
    <col min="9774" max="9774" width="47.42578125" style="488" bestFit="1" customWidth="1"/>
    <col min="9775" max="9775" width="20.42578125" style="488" customWidth="1"/>
    <col min="9776" max="9776" width="18.7109375" style="488" customWidth="1"/>
    <col min="9777" max="9777" width="19.28515625" style="488" customWidth="1"/>
    <col min="9778" max="9778" width="18.7109375" style="488" customWidth="1"/>
    <col min="9779" max="9779" width="3.7109375" style="488" customWidth="1"/>
    <col min="9780" max="9780" width="18.7109375" style="488" customWidth="1"/>
    <col min="9781" max="9781" width="43" style="488" customWidth="1"/>
    <col min="9782" max="9783" width="18.7109375" style="488" customWidth="1"/>
    <col min="9784" max="9784" width="3.7109375" style="488" customWidth="1"/>
    <col min="9785" max="9984" width="27.85546875" style="488"/>
    <col min="9985" max="9985" width="17.28515625" style="488" customWidth="1"/>
    <col min="9986" max="9986" width="2.28515625" style="488" customWidth="1"/>
    <col min="9987" max="9987" width="17.42578125" style="488" customWidth="1"/>
    <col min="9988" max="9988" width="2.28515625" style="488" customWidth="1"/>
    <col min="9989" max="9989" width="15.5703125" style="488" bestFit="1" customWidth="1"/>
    <col min="9990" max="9990" width="2.28515625" style="488" customWidth="1"/>
    <col min="9991" max="9991" width="17.42578125" style="488" bestFit="1" customWidth="1"/>
    <col min="9992" max="9992" width="2.28515625" style="488" customWidth="1"/>
    <col min="9993" max="9993" width="19.42578125" style="488" customWidth="1"/>
    <col min="9994" max="9994" width="4.140625" style="488" customWidth="1"/>
    <col min="9995" max="9995" width="19.42578125" style="488" customWidth="1"/>
    <col min="9996" max="9996" width="4.140625" style="488" customWidth="1"/>
    <col min="9997" max="9997" width="20" style="488" customWidth="1"/>
    <col min="9998" max="9998" width="16.7109375" style="488" customWidth="1"/>
    <col min="9999" max="9999" width="27.85546875" style="488"/>
    <col min="10000" max="10000" width="20.7109375" style="488" customWidth="1"/>
    <col min="10001" max="10001" width="14.28515625" style="488" customWidth="1"/>
    <col min="10002" max="10002" width="10.140625" style="488" customWidth="1"/>
    <col min="10003" max="10003" width="15.5703125" style="488" customWidth="1"/>
    <col min="10004" max="10004" width="3.140625" style="488" customWidth="1"/>
    <col min="10005" max="10005" width="2.28515625" style="488" customWidth="1"/>
    <col min="10006" max="10029" width="18.85546875" style="488" customWidth="1"/>
    <col min="10030" max="10030" width="47.42578125" style="488" bestFit="1" customWidth="1"/>
    <col min="10031" max="10031" width="20.42578125" style="488" customWidth="1"/>
    <col min="10032" max="10032" width="18.7109375" style="488" customWidth="1"/>
    <col min="10033" max="10033" width="19.28515625" style="488" customWidth="1"/>
    <col min="10034" max="10034" width="18.7109375" style="488" customWidth="1"/>
    <col min="10035" max="10035" width="3.7109375" style="488" customWidth="1"/>
    <col min="10036" max="10036" width="18.7109375" style="488" customWidth="1"/>
    <col min="10037" max="10037" width="43" style="488" customWidth="1"/>
    <col min="10038" max="10039" width="18.7109375" style="488" customWidth="1"/>
    <col min="10040" max="10040" width="3.7109375" style="488" customWidth="1"/>
    <col min="10041" max="10240" width="27.85546875" style="488"/>
    <col min="10241" max="10241" width="17.28515625" style="488" customWidth="1"/>
    <col min="10242" max="10242" width="2.28515625" style="488" customWidth="1"/>
    <col min="10243" max="10243" width="17.42578125" style="488" customWidth="1"/>
    <col min="10244" max="10244" width="2.28515625" style="488" customWidth="1"/>
    <col min="10245" max="10245" width="15.5703125" style="488" bestFit="1" customWidth="1"/>
    <col min="10246" max="10246" width="2.28515625" style="488" customWidth="1"/>
    <col min="10247" max="10247" width="17.42578125" style="488" bestFit="1" customWidth="1"/>
    <col min="10248" max="10248" width="2.28515625" style="488" customWidth="1"/>
    <col min="10249" max="10249" width="19.42578125" style="488" customWidth="1"/>
    <col min="10250" max="10250" width="4.140625" style="488" customWidth="1"/>
    <col min="10251" max="10251" width="19.42578125" style="488" customWidth="1"/>
    <col min="10252" max="10252" width="4.140625" style="488" customWidth="1"/>
    <col min="10253" max="10253" width="20" style="488" customWidth="1"/>
    <col min="10254" max="10254" width="16.7109375" style="488" customWidth="1"/>
    <col min="10255" max="10255" width="27.85546875" style="488"/>
    <col min="10256" max="10256" width="20.7109375" style="488" customWidth="1"/>
    <col min="10257" max="10257" width="14.28515625" style="488" customWidth="1"/>
    <col min="10258" max="10258" width="10.140625" style="488" customWidth="1"/>
    <col min="10259" max="10259" width="15.5703125" style="488" customWidth="1"/>
    <col min="10260" max="10260" width="3.140625" style="488" customWidth="1"/>
    <col min="10261" max="10261" width="2.28515625" style="488" customWidth="1"/>
    <col min="10262" max="10285" width="18.85546875" style="488" customWidth="1"/>
    <col min="10286" max="10286" width="47.42578125" style="488" bestFit="1" customWidth="1"/>
    <col min="10287" max="10287" width="20.42578125" style="488" customWidth="1"/>
    <col min="10288" max="10288" width="18.7109375" style="488" customWidth="1"/>
    <col min="10289" max="10289" width="19.28515625" style="488" customWidth="1"/>
    <col min="10290" max="10290" width="18.7109375" style="488" customWidth="1"/>
    <col min="10291" max="10291" width="3.7109375" style="488" customWidth="1"/>
    <col min="10292" max="10292" width="18.7109375" style="488" customWidth="1"/>
    <col min="10293" max="10293" width="43" style="488" customWidth="1"/>
    <col min="10294" max="10295" width="18.7109375" style="488" customWidth="1"/>
    <col min="10296" max="10296" width="3.7109375" style="488" customWidth="1"/>
    <col min="10297" max="10496" width="27.85546875" style="488"/>
    <col min="10497" max="10497" width="17.28515625" style="488" customWidth="1"/>
    <col min="10498" max="10498" width="2.28515625" style="488" customWidth="1"/>
    <col min="10499" max="10499" width="17.42578125" style="488" customWidth="1"/>
    <col min="10500" max="10500" width="2.28515625" style="488" customWidth="1"/>
    <col min="10501" max="10501" width="15.5703125" style="488" bestFit="1" customWidth="1"/>
    <col min="10502" max="10502" width="2.28515625" style="488" customWidth="1"/>
    <col min="10503" max="10503" width="17.42578125" style="488" bestFit="1" customWidth="1"/>
    <col min="10504" max="10504" width="2.28515625" style="488" customWidth="1"/>
    <col min="10505" max="10505" width="19.42578125" style="488" customWidth="1"/>
    <col min="10506" max="10506" width="4.140625" style="488" customWidth="1"/>
    <col min="10507" max="10507" width="19.42578125" style="488" customWidth="1"/>
    <col min="10508" max="10508" width="4.140625" style="488" customWidth="1"/>
    <col min="10509" max="10509" width="20" style="488" customWidth="1"/>
    <col min="10510" max="10510" width="16.7109375" style="488" customWidth="1"/>
    <col min="10511" max="10511" width="27.85546875" style="488"/>
    <col min="10512" max="10512" width="20.7109375" style="488" customWidth="1"/>
    <col min="10513" max="10513" width="14.28515625" style="488" customWidth="1"/>
    <col min="10514" max="10514" width="10.140625" style="488" customWidth="1"/>
    <col min="10515" max="10515" width="15.5703125" style="488" customWidth="1"/>
    <col min="10516" max="10516" width="3.140625" style="488" customWidth="1"/>
    <col min="10517" max="10517" width="2.28515625" style="488" customWidth="1"/>
    <col min="10518" max="10541" width="18.85546875" style="488" customWidth="1"/>
    <col min="10542" max="10542" width="47.42578125" style="488" bestFit="1" customWidth="1"/>
    <col min="10543" max="10543" width="20.42578125" style="488" customWidth="1"/>
    <col min="10544" max="10544" width="18.7109375" style="488" customWidth="1"/>
    <col min="10545" max="10545" width="19.28515625" style="488" customWidth="1"/>
    <col min="10546" max="10546" width="18.7109375" style="488" customWidth="1"/>
    <col min="10547" max="10547" width="3.7109375" style="488" customWidth="1"/>
    <col min="10548" max="10548" width="18.7109375" style="488" customWidth="1"/>
    <col min="10549" max="10549" width="43" style="488" customWidth="1"/>
    <col min="10550" max="10551" width="18.7109375" style="488" customWidth="1"/>
    <col min="10552" max="10552" width="3.7109375" style="488" customWidth="1"/>
    <col min="10553" max="10752" width="27.85546875" style="488"/>
    <col min="10753" max="10753" width="17.28515625" style="488" customWidth="1"/>
    <col min="10754" max="10754" width="2.28515625" style="488" customWidth="1"/>
    <col min="10755" max="10755" width="17.42578125" style="488" customWidth="1"/>
    <col min="10756" max="10756" width="2.28515625" style="488" customWidth="1"/>
    <col min="10757" max="10757" width="15.5703125" style="488" bestFit="1" customWidth="1"/>
    <col min="10758" max="10758" width="2.28515625" style="488" customWidth="1"/>
    <col min="10759" max="10759" width="17.42578125" style="488" bestFit="1" customWidth="1"/>
    <col min="10760" max="10760" width="2.28515625" style="488" customWidth="1"/>
    <col min="10761" max="10761" width="19.42578125" style="488" customWidth="1"/>
    <col min="10762" max="10762" width="4.140625" style="488" customWidth="1"/>
    <col min="10763" max="10763" width="19.42578125" style="488" customWidth="1"/>
    <col min="10764" max="10764" width="4.140625" style="488" customWidth="1"/>
    <col min="10765" max="10765" width="20" style="488" customWidth="1"/>
    <col min="10766" max="10766" width="16.7109375" style="488" customWidth="1"/>
    <col min="10767" max="10767" width="27.85546875" style="488"/>
    <col min="10768" max="10768" width="20.7109375" style="488" customWidth="1"/>
    <col min="10769" max="10769" width="14.28515625" style="488" customWidth="1"/>
    <col min="10770" max="10770" width="10.140625" style="488" customWidth="1"/>
    <col min="10771" max="10771" width="15.5703125" style="488" customWidth="1"/>
    <col min="10772" max="10772" width="3.140625" style="488" customWidth="1"/>
    <col min="10773" max="10773" width="2.28515625" style="488" customWidth="1"/>
    <col min="10774" max="10797" width="18.85546875" style="488" customWidth="1"/>
    <col min="10798" max="10798" width="47.42578125" style="488" bestFit="1" customWidth="1"/>
    <col min="10799" max="10799" width="20.42578125" style="488" customWidth="1"/>
    <col min="10800" max="10800" width="18.7109375" style="488" customWidth="1"/>
    <col min="10801" max="10801" width="19.28515625" style="488" customWidth="1"/>
    <col min="10802" max="10802" width="18.7109375" style="488" customWidth="1"/>
    <col min="10803" max="10803" width="3.7109375" style="488" customWidth="1"/>
    <col min="10804" max="10804" width="18.7109375" style="488" customWidth="1"/>
    <col min="10805" max="10805" width="43" style="488" customWidth="1"/>
    <col min="10806" max="10807" width="18.7109375" style="488" customWidth="1"/>
    <col min="10808" max="10808" width="3.7109375" style="488" customWidth="1"/>
    <col min="10809" max="11008" width="27.85546875" style="488"/>
    <col min="11009" max="11009" width="17.28515625" style="488" customWidth="1"/>
    <col min="11010" max="11010" width="2.28515625" style="488" customWidth="1"/>
    <col min="11011" max="11011" width="17.42578125" style="488" customWidth="1"/>
    <col min="11012" max="11012" width="2.28515625" style="488" customWidth="1"/>
    <col min="11013" max="11013" width="15.5703125" style="488" bestFit="1" customWidth="1"/>
    <col min="11014" max="11014" width="2.28515625" style="488" customWidth="1"/>
    <col min="11015" max="11015" width="17.42578125" style="488" bestFit="1" customWidth="1"/>
    <col min="11016" max="11016" width="2.28515625" style="488" customWidth="1"/>
    <col min="11017" max="11017" width="19.42578125" style="488" customWidth="1"/>
    <col min="11018" max="11018" width="4.140625" style="488" customWidth="1"/>
    <col min="11019" max="11019" width="19.42578125" style="488" customWidth="1"/>
    <col min="11020" max="11020" width="4.140625" style="488" customWidth="1"/>
    <col min="11021" max="11021" width="20" style="488" customWidth="1"/>
    <col min="11022" max="11022" width="16.7109375" style="488" customWidth="1"/>
    <col min="11023" max="11023" width="27.85546875" style="488"/>
    <col min="11024" max="11024" width="20.7109375" style="488" customWidth="1"/>
    <col min="11025" max="11025" width="14.28515625" style="488" customWidth="1"/>
    <col min="11026" max="11026" width="10.140625" style="488" customWidth="1"/>
    <col min="11027" max="11027" width="15.5703125" style="488" customWidth="1"/>
    <col min="11028" max="11028" width="3.140625" style="488" customWidth="1"/>
    <col min="11029" max="11029" width="2.28515625" style="488" customWidth="1"/>
    <col min="11030" max="11053" width="18.85546875" style="488" customWidth="1"/>
    <col min="11054" max="11054" width="47.42578125" style="488" bestFit="1" customWidth="1"/>
    <col min="11055" max="11055" width="20.42578125" style="488" customWidth="1"/>
    <col min="11056" max="11056" width="18.7109375" style="488" customWidth="1"/>
    <col min="11057" max="11057" width="19.28515625" style="488" customWidth="1"/>
    <col min="11058" max="11058" width="18.7109375" style="488" customWidth="1"/>
    <col min="11059" max="11059" width="3.7109375" style="488" customWidth="1"/>
    <col min="11060" max="11060" width="18.7109375" style="488" customWidth="1"/>
    <col min="11061" max="11061" width="43" style="488" customWidth="1"/>
    <col min="11062" max="11063" width="18.7109375" style="488" customWidth="1"/>
    <col min="11064" max="11064" width="3.7109375" style="488" customWidth="1"/>
    <col min="11065" max="11264" width="27.85546875" style="488"/>
    <col min="11265" max="11265" width="17.28515625" style="488" customWidth="1"/>
    <col min="11266" max="11266" width="2.28515625" style="488" customWidth="1"/>
    <col min="11267" max="11267" width="17.42578125" style="488" customWidth="1"/>
    <col min="11268" max="11268" width="2.28515625" style="488" customWidth="1"/>
    <col min="11269" max="11269" width="15.5703125" style="488" bestFit="1" customWidth="1"/>
    <col min="11270" max="11270" width="2.28515625" style="488" customWidth="1"/>
    <col min="11271" max="11271" width="17.42578125" style="488" bestFit="1" customWidth="1"/>
    <col min="11272" max="11272" width="2.28515625" style="488" customWidth="1"/>
    <col min="11273" max="11273" width="19.42578125" style="488" customWidth="1"/>
    <col min="11274" max="11274" width="4.140625" style="488" customWidth="1"/>
    <col min="11275" max="11275" width="19.42578125" style="488" customWidth="1"/>
    <col min="11276" max="11276" width="4.140625" style="488" customWidth="1"/>
    <col min="11277" max="11277" width="20" style="488" customWidth="1"/>
    <col min="11278" max="11278" width="16.7109375" style="488" customWidth="1"/>
    <col min="11279" max="11279" width="27.85546875" style="488"/>
    <col min="11280" max="11280" width="20.7109375" style="488" customWidth="1"/>
    <col min="11281" max="11281" width="14.28515625" style="488" customWidth="1"/>
    <col min="11282" max="11282" width="10.140625" style="488" customWidth="1"/>
    <col min="11283" max="11283" width="15.5703125" style="488" customWidth="1"/>
    <col min="11284" max="11284" width="3.140625" style="488" customWidth="1"/>
    <col min="11285" max="11285" width="2.28515625" style="488" customWidth="1"/>
    <col min="11286" max="11309" width="18.85546875" style="488" customWidth="1"/>
    <col min="11310" max="11310" width="47.42578125" style="488" bestFit="1" customWidth="1"/>
    <col min="11311" max="11311" width="20.42578125" style="488" customWidth="1"/>
    <col min="11312" max="11312" width="18.7109375" style="488" customWidth="1"/>
    <col min="11313" max="11313" width="19.28515625" style="488" customWidth="1"/>
    <col min="11314" max="11314" width="18.7109375" style="488" customWidth="1"/>
    <col min="11315" max="11315" width="3.7109375" style="488" customWidth="1"/>
    <col min="11316" max="11316" width="18.7109375" style="488" customWidth="1"/>
    <col min="11317" max="11317" width="43" style="488" customWidth="1"/>
    <col min="11318" max="11319" width="18.7109375" style="488" customWidth="1"/>
    <col min="11320" max="11320" width="3.7109375" style="488" customWidth="1"/>
    <col min="11321" max="11520" width="27.85546875" style="488"/>
    <col min="11521" max="11521" width="17.28515625" style="488" customWidth="1"/>
    <col min="11522" max="11522" width="2.28515625" style="488" customWidth="1"/>
    <col min="11523" max="11523" width="17.42578125" style="488" customWidth="1"/>
    <col min="11524" max="11524" width="2.28515625" style="488" customWidth="1"/>
    <col min="11525" max="11525" width="15.5703125" style="488" bestFit="1" customWidth="1"/>
    <col min="11526" max="11526" width="2.28515625" style="488" customWidth="1"/>
    <col min="11527" max="11527" width="17.42578125" style="488" bestFit="1" customWidth="1"/>
    <col min="11528" max="11528" width="2.28515625" style="488" customWidth="1"/>
    <col min="11529" max="11529" width="19.42578125" style="488" customWidth="1"/>
    <col min="11530" max="11530" width="4.140625" style="488" customWidth="1"/>
    <col min="11531" max="11531" width="19.42578125" style="488" customWidth="1"/>
    <col min="11532" max="11532" width="4.140625" style="488" customWidth="1"/>
    <col min="11533" max="11533" width="20" style="488" customWidth="1"/>
    <col min="11534" max="11534" width="16.7109375" style="488" customWidth="1"/>
    <col min="11535" max="11535" width="27.85546875" style="488"/>
    <col min="11536" max="11536" width="20.7109375" style="488" customWidth="1"/>
    <col min="11537" max="11537" width="14.28515625" style="488" customWidth="1"/>
    <col min="11538" max="11538" width="10.140625" style="488" customWidth="1"/>
    <col min="11539" max="11539" width="15.5703125" style="488" customWidth="1"/>
    <col min="11540" max="11540" width="3.140625" style="488" customWidth="1"/>
    <col min="11541" max="11541" width="2.28515625" style="488" customWidth="1"/>
    <col min="11542" max="11565" width="18.85546875" style="488" customWidth="1"/>
    <col min="11566" max="11566" width="47.42578125" style="488" bestFit="1" customWidth="1"/>
    <col min="11567" max="11567" width="20.42578125" style="488" customWidth="1"/>
    <col min="11568" max="11568" width="18.7109375" style="488" customWidth="1"/>
    <col min="11569" max="11569" width="19.28515625" style="488" customWidth="1"/>
    <col min="11570" max="11570" width="18.7109375" style="488" customWidth="1"/>
    <col min="11571" max="11571" width="3.7109375" style="488" customWidth="1"/>
    <col min="11572" max="11572" width="18.7109375" style="488" customWidth="1"/>
    <col min="11573" max="11573" width="43" style="488" customWidth="1"/>
    <col min="11574" max="11575" width="18.7109375" style="488" customWidth="1"/>
    <col min="11576" max="11576" width="3.7109375" style="488" customWidth="1"/>
    <col min="11577" max="11776" width="27.85546875" style="488"/>
    <col min="11777" max="11777" width="17.28515625" style="488" customWidth="1"/>
    <col min="11778" max="11778" width="2.28515625" style="488" customWidth="1"/>
    <col min="11779" max="11779" width="17.42578125" style="488" customWidth="1"/>
    <col min="11780" max="11780" width="2.28515625" style="488" customWidth="1"/>
    <col min="11781" max="11781" width="15.5703125" style="488" bestFit="1" customWidth="1"/>
    <col min="11782" max="11782" width="2.28515625" style="488" customWidth="1"/>
    <col min="11783" max="11783" width="17.42578125" style="488" bestFit="1" customWidth="1"/>
    <col min="11784" max="11784" width="2.28515625" style="488" customWidth="1"/>
    <col min="11785" max="11785" width="19.42578125" style="488" customWidth="1"/>
    <col min="11786" max="11786" width="4.140625" style="488" customWidth="1"/>
    <col min="11787" max="11787" width="19.42578125" style="488" customWidth="1"/>
    <col min="11788" max="11788" width="4.140625" style="488" customWidth="1"/>
    <col min="11789" max="11789" width="20" style="488" customWidth="1"/>
    <col min="11790" max="11790" width="16.7109375" style="488" customWidth="1"/>
    <col min="11791" max="11791" width="27.85546875" style="488"/>
    <col min="11792" max="11792" width="20.7109375" style="488" customWidth="1"/>
    <col min="11793" max="11793" width="14.28515625" style="488" customWidth="1"/>
    <col min="11794" max="11794" width="10.140625" style="488" customWidth="1"/>
    <col min="11795" max="11795" width="15.5703125" style="488" customWidth="1"/>
    <col min="11796" max="11796" width="3.140625" style="488" customWidth="1"/>
    <col min="11797" max="11797" width="2.28515625" style="488" customWidth="1"/>
    <col min="11798" max="11821" width="18.85546875" style="488" customWidth="1"/>
    <col min="11822" max="11822" width="47.42578125" style="488" bestFit="1" customWidth="1"/>
    <col min="11823" max="11823" width="20.42578125" style="488" customWidth="1"/>
    <col min="11824" max="11824" width="18.7109375" style="488" customWidth="1"/>
    <col min="11825" max="11825" width="19.28515625" style="488" customWidth="1"/>
    <col min="11826" max="11826" width="18.7109375" style="488" customWidth="1"/>
    <col min="11827" max="11827" width="3.7109375" style="488" customWidth="1"/>
    <col min="11828" max="11828" width="18.7109375" style="488" customWidth="1"/>
    <col min="11829" max="11829" width="43" style="488" customWidth="1"/>
    <col min="11830" max="11831" width="18.7109375" style="488" customWidth="1"/>
    <col min="11832" max="11832" width="3.7109375" style="488" customWidth="1"/>
    <col min="11833" max="12032" width="27.85546875" style="488"/>
    <col min="12033" max="12033" width="17.28515625" style="488" customWidth="1"/>
    <col min="12034" max="12034" width="2.28515625" style="488" customWidth="1"/>
    <col min="12035" max="12035" width="17.42578125" style="488" customWidth="1"/>
    <col min="12036" max="12036" width="2.28515625" style="488" customWidth="1"/>
    <col min="12037" max="12037" width="15.5703125" style="488" bestFit="1" customWidth="1"/>
    <col min="12038" max="12038" width="2.28515625" style="488" customWidth="1"/>
    <col min="12039" max="12039" width="17.42578125" style="488" bestFit="1" customWidth="1"/>
    <col min="12040" max="12040" width="2.28515625" style="488" customWidth="1"/>
    <col min="12041" max="12041" width="19.42578125" style="488" customWidth="1"/>
    <col min="12042" max="12042" width="4.140625" style="488" customWidth="1"/>
    <col min="12043" max="12043" width="19.42578125" style="488" customWidth="1"/>
    <col min="12044" max="12044" width="4.140625" style="488" customWidth="1"/>
    <col min="12045" max="12045" width="20" style="488" customWidth="1"/>
    <col min="12046" max="12046" width="16.7109375" style="488" customWidth="1"/>
    <col min="12047" max="12047" width="27.85546875" style="488"/>
    <col min="12048" max="12048" width="20.7109375" style="488" customWidth="1"/>
    <col min="12049" max="12049" width="14.28515625" style="488" customWidth="1"/>
    <col min="12050" max="12050" width="10.140625" style="488" customWidth="1"/>
    <col min="12051" max="12051" width="15.5703125" style="488" customWidth="1"/>
    <col min="12052" max="12052" width="3.140625" style="488" customWidth="1"/>
    <col min="12053" max="12053" width="2.28515625" style="488" customWidth="1"/>
    <col min="12054" max="12077" width="18.85546875" style="488" customWidth="1"/>
    <col min="12078" max="12078" width="47.42578125" style="488" bestFit="1" customWidth="1"/>
    <col min="12079" max="12079" width="20.42578125" style="488" customWidth="1"/>
    <col min="12080" max="12080" width="18.7109375" style="488" customWidth="1"/>
    <col min="12081" max="12081" width="19.28515625" style="488" customWidth="1"/>
    <col min="12082" max="12082" width="18.7109375" style="488" customWidth="1"/>
    <col min="12083" max="12083" width="3.7109375" style="488" customWidth="1"/>
    <col min="12084" max="12084" width="18.7109375" style="488" customWidth="1"/>
    <col min="12085" max="12085" width="43" style="488" customWidth="1"/>
    <col min="12086" max="12087" width="18.7109375" style="488" customWidth="1"/>
    <col min="12088" max="12088" width="3.7109375" style="488" customWidth="1"/>
    <col min="12089" max="12288" width="27.85546875" style="488"/>
    <col min="12289" max="12289" width="17.28515625" style="488" customWidth="1"/>
    <col min="12290" max="12290" width="2.28515625" style="488" customWidth="1"/>
    <col min="12291" max="12291" width="17.42578125" style="488" customWidth="1"/>
    <col min="12292" max="12292" width="2.28515625" style="488" customWidth="1"/>
    <col min="12293" max="12293" width="15.5703125" style="488" bestFit="1" customWidth="1"/>
    <col min="12294" max="12294" width="2.28515625" style="488" customWidth="1"/>
    <col min="12295" max="12295" width="17.42578125" style="488" bestFit="1" customWidth="1"/>
    <col min="12296" max="12296" width="2.28515625" style="488" customWidth="1"/>
    <col min="12297" max="12297" width="19.42578125" style="488" customWidth="1"/>
    <col min="12298" max="12298" width="4.140625" style="488" customWidth="1"/>
    <col min="12299" max="12299" width="19.42578125" style="488" customWidth="1"/>
    <col min="12300" max="12300" width="4.140625" style="488" customWidth="1"/>
    <col min="12301" max="12301" width="20" style="488" customWidth="1"/>
    <col min="12302" max="12302" width="16.7109375" style="488" customWidth="1"/>
    <col min="12303" max="12303" width="27.85546875" style="488"/>
    <col min="12304" max="12304" width="20.7109375" style="488" customWidth="1"/>
    <col min="12305" max="12305" width="14.28515625" style="488" customWidth="1"/>
    <col min="12306" max="12306" width="10.140625" style="488" customWidth="1"/>
    <col min="12307" max="12307" width="15.5703125" style="488" customWidth="1"/>
    <col min="12308" max="12308" width="3.140625" style="488" customWidth="1"/>
    <col min="12309" max="12309" width="2.28515625" style="488" customWidth="1"/>
    <col min="12310" max="12333" width="18.85546875" style="488" customWidth="1"/>
    <col min="12334" max="12334" width="47.42578125" style="488" bestFit="1" customWidth="1"/>
    <col min="12335" max="12335" width="20.42578125" style="488" customWidth="1"/>
    <col min="12336" max="12336" width="18.7109375" style="488" customWidth="1"/>
    <col min="12337" max="12337" width="19.28515625" style="488" customWidth="1"/>
    <col min="12338" max="12338" width="18.7109375" style="488" customWidth="1"/>
    <col min="12339" max="12339" width="3.7109375" style="488" customWidth="1"/>
    <col min="12340" max="12340" width="18.7109375" style="488" customWidth="1"/>
    <col min="12341" max="12341" width="43" style="488" customWidth="1"/>
    <col min="12342" max="12343" width="18.7109375" style="488" customWidth="1"/>
    <col min="12344" max="12344" width="3.7109375" style="488" customWidth="1"/>
    <col min="12345" max="12544" width="27.85546875" style="488"/>
    <col min="12545" max="12545" width="17.28515625" style="488" customWidth="1"/>
    <col min="12546" max="12546" width="2.28515625" style="488" customWidth="1"/>
    <col min="12547" max="12547" width="17.42578125" style="488" customWidth="1"/>
    <col min="12548" max="12548" width="2.28515625" style="488" customWidth="1"/>
    <col min="12549" max="12549" width="15.5703125" style="488" bestFit="1" customWidth="1"/>
    <col min="12550" max="12550" width="2.28515625" style="488" customWidth="1"/>
    <col min="12551" max="12551" width="17.42578125" style="488" bestFit="1" customWidth="1"/>
    <col min="12552" max="12552" width="2.28515625" style="488" customWidth="1"/>
    <col min="12553" max="12553" width="19.42578125" style="488" customWidth="1"/>
    <col min="12554" max="12554" width="4.140625" style="488" customWidth="1"/>
    <col min="12555" max="12555" width="19.42578125" style="488" customWidth="1"/>
    <col min="12556" max="12556" width="4.140625" style="488" customWidth="1"/>
    <col min="12557" max="12557" width="20" style="488" customWidth="1"/>
    <col min="12558" max="12558" width="16.7109375" style="488" customWidth="1"/>
    <col min="12559" max="12559" width="27.85546875" style="488"/>
    <col min="12560" max="12560" width="20.7109375" style="488" customWidth="1"/>
    <col min="12561" max="12561" width="14.28515625" style="488" customWidth="1"/>
    <col min="12562" max="12562" width="10.140625" style="488" customWidth="1"/>
    <col min="12563" max="12563" width="15.5703125" style="488" customWidth="1"/>
    <col min="12564" max="12564" width="3.140625" style="488" customWidth="1"/>
    <col min="12565" max="12565" width="2.28515625" style="488" customWidth="1"/>
    <col min="12566" max="12589" width="18.85546875" style="488" customWidth="1"/>
    <col min="12590" max="12590" width="47.42578125" style="488" bestFit="1" customWidth="1"/>
    <col min="12591" max="12591" width="20.42578125" style="488" customWidth="1"/>
    <col min="12592" max="12592" width="18.7109375" style="488" customWidth="1"/>
    <col min="12593" max="12593" width="19.28515625" style="488" customWidth="1"/>
    <col min="12594" max="12594" width="18.7109375" style="488" customWidth="1"/>
    <col min="12595" max="12595" width="3.7109375" style="488" customWidth="1"/>
    <col min="12596" max="12596" width="18.7109375" style="488" customWidth="1"/>
    <col min="12597" max="12597" width="43" style="488" customWidth="1"/>
    <col min="12598" max="12599" width="18.7109375" style="488" customWidth="1"/>
    <col min="12600" max="12600" width="3.7109375" style="488" customWidth="1"/>
    <col min="12601" max="12800" width="27.85546875" style="488"/>
    <col min="12801" max="12801" width="17.28515625" style="488" customWidth="1"/>
    <col min="12802" max="12802" width="2.28515625" style="488" customWidth="1"/>
    <col min="12803" max="12803" width="17.42578125" style="488" customWidth="1"/>
    <col min="12804" max="12804" width="2.28515625" style="488" customWidth="1"/>
    <col min="12805" max="12805" width="15.5703125" style="488" bestFit="1" customWidth="1"/>
    <col min="12806" max="12806" width="2.28515625" style="488" customWidth="1"/>
    <col min="12807" max="12807" width="17.42578125" style="488" bestFit="1" customWidth="1"/>
    <col min="12808" max="12808" width="2.28515625" style="488" customWidth="1"/>
    <col min="12809" max="12809" width="19.42578125" style="488" customWidth="1"/>
    <col min="12810" max="12810" width="4.140625" style="488" customWidth="1"/>
    <col min="12811" max="12811" width="19.42578125" style="488" customWidth="1"/>
    <col min="12812" max="12812" width="4.140625" style="488" customWidth="1"/>
    <col min="12813" max="12813" width="20" style="488" customWidth="1"/>
    <col min="12814" max="12814" width="16.7109375" style="488" customWidth="1"/>
    <col min="12815" max="12815" width="27.85546875" style="488"/>
    <col min="12816" max="12816" width="20.7109375" style="488" customWidth="1"/>
    <col min="12817" max="12817" width="14.28515625" style="488" customWidth="1"/>
    <col min="12818" max="12818" width="10.140625" style="488" customWidth="1"/>
    <col min="12819" max="12819" width="15.5703125" style="488" customWidth="1"/>
    <col min="12820" max="12820" width="3.140625" style="488" customWidth="1"/>
    <col min="12821" max="12821" width="2.28515625" style="488" customWidth="1"/>
    <col min="12822" max="12845" width="18.85546875" style="488" customWidth="1"/>
    <col min="12846" max="12846" width="47.42578125" style="488" bestFit="1" customWidth="1"/>
    <col min="12847" max="12847" width="20.42578125" style="488" customWidth="1"/>
    <col min="12848" max="12848" width="18.7109375" style="488" customWidth="1"/>
    <col min="12849" max="12849" width="19.28515625" style="488" customWidth="1"/>
    <col min="12850" max="12850" width="18.7109375" style="488" customWidth="1"/>
    <col min="12851" max="12851" width="3.7109375" style="488" customWidth="1"/>
    <col min="12852" max="12852" width="18.7109375" style="488" customWidth="1"/>
    <col min="12853" max="12853" width="43" style="488" customWidth="1"/>
    <col min="12854" max="12855" width="18.7109375" style="488" customWidth="1"/>
    <col min="12856" max="12856" width="3.7109375" style="488" customWidth="1"/>
    <col min="12857" max="13056" width="27.85546875" style="488"/>
    <col min="13057" max="13057" width="17.28515625" style="488" customWidth="1"/>
    <col min="13058" max="13058" width="2.28515625" style="488" customWidth="1"/>
    <col min="13059" max="13059" width="17.42578125" style="488" customWidth="1"/>
    <col min="13060" max="13060" width="2.28515625" style="488" customWidth="1"/>
    <col min="13061" max="13061" width="15.5703125" style="488" bestFit="1" customWidth="1"/>
    <col min="13062" max="13062" width="2.28515625" style="488" customWidth="1"/>
    <col min="13063" max="13063" width="17.42578125" style="488" bestFit="1" customWidth="1"/>
    <col min="13064" max="13064" width="2.28515625" style="488" customWidth="1"/>
    <col min="13065" max="13065" width="19.42578125" style="488" customWidth="1"/>
    <col min="13066" max="13066" width="4.140625" style="488" customWidth="1"/>
    <col min="13067" max="13067" width="19.42578125" style="488" customWidth="1"/>
    <col min="13068" max="13068" width="4.140625" style="488" customWidth="1"/>
    <col min="13069" max="13069" width="20" style="488" customWidth="1"/>
    <col min="13070" max="13070" width="16.7109375" style="488" customWidth="1"/>
    <col min="13071" max="13071" width="27.85546875" style="488"/>
    <col min="13072" max="13072" width="20.7109375" style="488" customWidth="1"/>
    <col min="13073" max="13073" width="14.28515625" style="488" customWidth="1"/>
    <col min="13074" max="13074" width="10.140625" style="488" customWidth="1"/>
    <col min="13075" max="13075" width="15.5703125" style="488" customWidth="1"/>
    <col min="13076" max="13076" width="3.140625" style="488" customWidth="1"/>
    <col min="13077" max="13077" width="2.28515625" style="488" customWidth="1"/>
    <col min="13078" max="13101" width="18.85546875" style="488" customWidth="1"/>
    <col min="13102" max="13102" width="47.42578125" style="488" bestFit="1" customWidth="1"/>
    <col min="13103" max="13103" width="20.42578125" style="488" customWidth="1"/>
    <col min="13104" max="13104" width="18.7109375" style="488" customWidth="1"/>
    <col min="13105" max="13105" width="19.28515625" style="488" customWidth="1"/>
    <col min="13106" max="13106" width="18.7109375" style="488" customWidth="1"/>
    <col min="13107" max="13107" width="3.7109375" style="488" customWidth="1"/>
    <col min="13108" max="13108" width="18.7109375" style="488" customWidth="1"/>
    <col min="13109" max="13109" width="43" style="488" customWidth="1"/>
    <col min="13110" max="13111" width="18.7109375" style="488" customWidth="1"/>
    <col min="13112" max="13112" width="3.7109375" style="488" customWidth="1"/>
    <col min="13113" max="13312" width="27.85546875" style="488"/>
    <col min="13313" max="13313" width="17.28515625" style="488" customWidth="1"/>
    <col min="13314" max="13314" width="2.28515625" style="488" customWidth="1"/>
    <col min="13315" max="13315" width="17.42578125" style="488" customWidth="1"/>
    <col min="13316" max="13316" width="2.28515625" style="488" customWidth="1"/>
    <col min="13317" max="13317" width="15.5703125" style="488" bestFit="1" customWidth="1"/>
    <col min="13318" max="13318" width="2.28515625" style="488" customWidth="1"/>
    <col min="13319" max="13319" width="17.42578125" style="488" bestFit="1" customWidth="1"/>
    <col min="13320" max="13320" width="2.28515625" style="488" customWidth="1"/>
    <col min="13321" max="13321" width="19.42578125" style="488" customWidth="1"/>
    <col min="13322" max="13322" width="4.140625" style="488" customWidth="1"/>
    <col min="13323" max="13323" width="19.42578125" style="488" customWidth="1"/>
    <col min="13324" max="13324" width="4.140625" style="488" customWidth="1"/>
    <col min="13325" max="13325" width="20" style="488" customWidth="1"/>
    <col min="13326" max="13326" width="16.7109375" style="488" customWidth="1"/>
    <col min="13327" max="13327" width="27.85546875" style="488"/>
    <col min="13328" max="13328" width="20.7109375" style="488" customWidth="1"/>
    <col min="13329" max="13329" width="14.28515625" style="488" customWidth="1"/>
    <col min="13330" max="13330" width="10.140625" style="488" customWidth="1"/>
    <col min="13331" max="13331" width="15.5703125" style="488" customWidth="1"/>
    <col min="13332" max="13332" width="3.140625" style="488" customWidth="1"/>
    <col min="13333" max="13333" width="2.28515625" style="488" customWidth="1"/>
    <col min="13334" max="13357" width="18.85546875" style="488" customWidth="1"/>
    <col min="13358" max="13358" width="47.42578125" style="488" bestFit="1" customWidth="1"/>
    <col min="13359" max="13359" width="20.42578125" style="488" customWidth="1"/>
    <col min="13360" max="13360" width="18.7109375" style="488" customWidth="1"/>
    <col min="13361" max="13361" width="19.28515625" style="488" customWidth="1"/>
    <col min="13362" max="13362" width="18.7109375" style="488" customWidth="1"/>
    <col min="13363" max="13363" width="3.7109375" style="488" customWidth="1"/>
    <col min="13364" max="13364" width="18.7109375" style="488" customWidth="1"/>
    <col min="13365" max="13365" width="43" style="488" customWidth="1"/>
    <col min="13366" max="13367" width="18.7109375" style="488" customWidth="1"/>
    <col min="13368" max="13368" width="3.7109375" style="488" customWidth="1"/>
    <col min="13369" max="13568" width="27.85546875" style="488"/>
    <col min="13569" max="13569" width="17.28515625" style="488" customWidth="1"/>
    <col min="13570" max="13570" width="2.28515625" style="488" customWidth="1"/>
    <col min="13571" max="13571" width="17.42578125" style="488" customWidth="1"/>
    <col min="13572" max="13572" width="2.28515625" style="488" customWidth="1"/>
    <col min="13573" max="13573" width="15.5703125" style="488" bestFit="1" customWidth="1"/>
    <col min="13574" max="13574" width="2.28515625" style="488" customWidth="1"/>
    <col min="13575" max="13575" width="17.42578125" style="488" bestFit="1" customWidth="1"/>
    <col min="13576" max="13576" width="2.28515625" style="488" customWidth="1"/>
    <col min="13577" max="13577" width="19.42578125" style="488" customWidth="1"/>
    <col min="13578" max="13578" width="4.140625" style="488" customWidth="1"/>
    <col min="13579" max="13579" width="19.42578125" style="488" customWidth="1"/>
    <col min="13580" max="13580" width="4.140625" style="488" customWidth="1"/>
    <col min="13581" max="13581" width="20" style="488" customWidth="1"/>
    <col min="13582" max="13582" width="16.7109375" style="488" customWidth="1"/>
    <col min="13583" max="13583" width="27.85546875" style="488"/>
    <col min="13584" max="13584" width="20.7109375" style="488" customWidth="1"/>
    <col min="13585" max="13585" width="14.28515625" style="488" customWidth="1"/>
    <col min="13586" max="13586" width="10.140625" style="488" customWidth="1"/>
    <col min="13587" max="13587" width="15.5703125" style="488" customWidth="1"/>
    <col min="13588" max="13588" width="3.140625" style="488" customWidth="1"/>
    <col min="13589" max="13589" width="2.28515625" style="488" customWidth="1"/>
    <col min="13590" max="13613" width="18.85546875" style="488" customWidth="1"/>
    <col min="13614" max="13614" width="47.42578125" style="488" bestFit="1" customWidth="1"/>
    <col min="13615" max="13615" width="20.42578125" style="488" customWidth="1"/>
    <col min="13616" max="13616" width="18.7109375" style="488" customWidth="1"/>
    <col min="13617" max="13617" width="19.28515625" style="488" customWidth="1"/>
    <col min="13618" max="13618" width="18.7109375" style="488" customWidth="1"/>
    <col min="13619" max="13619" width="3.7109375" style="488" customWidth="1"/>
    <col min="13620" max="13620" width="18.7109375" style="488" customWidth="1"/>
    <col min="13621" max="13621" width="43" style="488" customWidth="1"/>
    <col min="13622" max="13623" width="18.7109375" style="488" customWidth="1"/>
    <col min="13624" max="13624" width="3.7109375" style="488" customWidth="1"/>
    <col min="13625" max="13824" width="27.85546875" style="488"/>
    <col min="13825" max="13825" width="17.28515625" style="488" customWidth="1"/>
    <col min="13826" max="13826" width="2.28515625" style="488" customWidth="1"/>
    <col min="13827" max="13827" width="17.42578125" style="488" customWidth="1"/>
    <col min="13828" max="13828" width="2.28515625" style="488" customWidth="1"/>
    <col min="13829" max="13829" width="15.5703125" style="488" bestFit="1" customWidth="1"/>
    <col min="13830" max="13830" width="2.28515625" style="488" customWidth="1"/>
    <col min="13831" max="13831" width="17.42578125" style="488" bestFit="1" customWidth="1"/>
    <col min="13832" max="13832" width="2.28515625" style="488" customWidth="1"/>
    <col min="13833" max="13833" width="19.42578125" style="488" customWidth="1"/>
    <col min="13834" max="13834" width="4.140625" style="488" customWidth="1"/>
    <col min="13835" max="13835" width="19.42578125" style="488" customWidth="1"/>
    <col min="13836" max="13836" width="4.140625" style="488" customWidth="1"/>
    <col min="13837" max="13837" width="20" style="488" customWidth="1"/>
    <col min="13838" max="13838" width="16.7109375" style="488" customWidth="1"/>
    <col min="13839" max="13839" width="27.85546875" style="488"/>
    <col min="13840" max="13840" width="20.7109375" style="488" customWidth="1"/>
    <col min="13841" max="13841" width="14.28515625" style="488" customWidth="1"/>
    <col min="13842" max="13842" width="10.140625" style="488" customWidth="1"/>
    <col min="13843" max="13843" width="15.5703125" style="488" customWidth="1"/>
    <col min="13844" max="13844" width="3.140625" style="488" customWidth="1"/>
    <col min="13845" max="13845" width="2.28515625" style="488" customWidth="1"/>
    <col min="13846" max="13869" width="18.85546875" style="488" customWidth="1"/>
    <col min="13870" max="13870" width="47.42578125" style="488" bestFit="1" customWidth="1"/>
    <col min="13871" max="13871" width="20.42578125" style="488" customWidth="1"/>
    <col min="13872" max="13872" width="18.7109375" style="488" customWidth="1"/>
    <col min="13873" max="13873" width="19.28515625" style="488" customWidth="1"/>
    <col min="13874" max="13874" width="18.7109375" style="488" customWidth="1"/>
    <col min="13875" max="13875" width="3.7109375" style="488" customWidth="1"/>
    <col min="13876" max="13876" width="18.7109375" style="488" customWidth="1"/>
    <col min="13877" max="13877" width="43" style="488" customWidth="1"/>
    <col min="13878" max="13879" width="18.7109375" style="488" customWidth="1"/>
    <col min="13880" max="13880" width="3.7109375" style="488" customWidth="1"/>
    <col min="13881" max="14080" width="27.85546875" style="488"/>
    <col min="14081" max="14081" width="17.28515625" style="488" customWidth="1"/>
    <col min="14082" max="14082" width="2.28515625" style="488" customWidth="1"/>
    <col min="14083" max="14083" width="17.42578125" style="488" customWidth="1"/>
    <col min="14084" max="14084" width="2.28515625" style="488" customWidth="1"/>
    <col min="14085" max="14085" width="15.5703125" style="488" bestFit="1" customWidth="1"/>
    <col min="14086" max="14086" width="2.28515625" style="488" customWidth="1"/>
    <col min="14087" max="14087" width="17.42578125" style="488" bestFit="1" customWidth="1"/>
    <col min="14088" max="14088" width="2.28515625" style="488" customWidth="1"/>
    <col min="14089" max="14089" width="19.42578125" style="488" customWidth="1"/>
    <col min="14090" max="14090" width="4.140625" style="488" customWidth="1"/>
    <col min="14091" max="14091" width="19.42578125" style="488" customWidth="1"/>
    <col min="14092" max="14092" width="4.140625" style="488" customWidth="1"/>
    <col min="14093" max="14093" width="20" style="488" customWidth="1"/>
    <col min="14094" max="14094" width="16.7109375" style="488" customWidth="1"/>
    <col min="14095" max="14095" width="27.85546875" style="488"/>
    <col min="14096" max="14096" width="20.7109375" style="488" customWidth="1"/>
    <col min="14097" max="14097" width="14.28515625" style="488" customWidth="1"/>
    <col min="14098" max="14098" width="10.140625" style="488" customWidth="1"/>
    <col min="14099" max="14099" width="15.5703125" style="488" customWidth="1"/>
    <col min="14100" max="14100" width="3.140625" style="488" customWidth="1"/>
    <col min="14101" max="14101" width="2.28515625" style="488" customWidth="1"/>
    <col min="14102" max="14125" width="18.85546875" style="488" customWidth="1"/>
    <col min="14126" max="14126" width="47.42578125" style="488" bestFit="1" customWidth="1"/>
    <col min="14127" max="14127" width="20.42578125" style="488" customWidth="1"/>
    <col min="14128" max="14128" width="18.7109375" style="488" customWidth="1"/>
    <col min="14129" max="14129" width="19.28515625" style="488" customWidth="1"/>
    <col min="14130" max="14130" width="18.7109375" style="488" customWidth="1"/>
    <col min="14131" max="14131" width="3.7109375" style="488" customWidth="1"/>
    <col min="14132" max="14132" width="18.7109375" style="488" customWidth="1"/>
    <col min="14133" max="14133" width="43" style="488" customWidth="1"/>
    <col min="14134" max="14135" width="18.7109375" style="488" customWidth="1"/>
    <col min="14136" max="14136" width="3.7109375" style="488" customWidth="1"/>
    <col min="14137" max="14336" width="27.85546875" style="488"/>
    <col min="14337" max="14337" width="17.28515625" style="488" customWidth="1"/>
    <col min="14338" max="14338" width="2.28515625" style="488" customWidth="1"/>
    <col min="14339" max="14339" width="17.42578125" style="488" customWidth="1"/>
    <col min="14340" max="14340" width="2.28515625" style="488" customWidth="1"/>
    <col min="14341" max="14341" width="15.5703125" style="488" bestFit="1" customWidth="1"/>
    <col min="14342" max="14342" width="2.28515625" style="488" customWidth="1"/>
    <col min="14343" max="14343" width="17.42578125" style="488" bestFit="1" customWidth="1"/>
    <col min="14344" max="14344" width="2.28515625" style="488" customWidth="1"/>
    <col min="14345" max="14345" width="19.42578125" style="488" customWidth="1"/>
    <col min="14346" max="14346" width="4.140625" style="488" customWidth="1"/>
    <col min="14347" max="14347" width="19.42578125" style="488" customWidth="1"/>
    <col min="14348" max="14348" width="4.140625" style="488" customWidth="1"/>
    <col min="14349" max="14349" width="20" style="488" customWidth="1"/>
    <col min="14350" max="14350" width="16.7109375" style="488" customWidth="1"/>
    <col min="14351" max="14351" width="27.85546875" style="488"/>
    <col min="14352" max="14352" width="20.7109375" style="488" customWidth="1"/>
    <col min="14353" max="14353" width="14.28515625" style="488" customWidth="1"/>
    <col min="14354" max="14354" width="10.140625" style="488" customWidth="1"/>
    <col min="14355" max="14355" width="15.5703125" style="488" customWidth="1"/>
    <col min="14356" max="14356" width="3.140625" style="488" customWidth="1"/>
    <col min="14357" max="14357" width="2.28515625" style="488" customWidth="1"/>
    <col min="14358" max="14381" width="18.85546875" style="488" customWidth="1"/>
    <col min="14382" max="14382" width="47.42578125" style="488" bestFit="1" customWidth="1"/>
    <col min="14383" max="14383" width="20.42578125" style="488" customWidth="1"/>
    <col min="14384" max="14384" width="18.7109375" style="488" customWidth="1"/>
    <col min="14385" max="14385" width="19.28515625" style="488" customWidth="1"/>
    <col min="14386" max="14386" width="18.7109375" style="488" customWidth="1"/>
    <col min="14387" max="14387" width="3.7109375" style="488" customWidth="1"/>
    <col min="14388" max="14388" width="18.7109375" style="488" customWidth="1"/>
    <col min="14389" max="14389" width="43" style="488" customWidth="1"/>
    <col min="14390" max="14391" width="18.7109375" style="488" customWidth="1"/>
    <col min="14392" max="14392" width="3.7109375" style="488" customWidth="1"/>
    <col min="14393" max="14592" width="27.85546875" style="488"/>
    <col min="14593" max="14593" width="17.28515625" style="488" customWidth="1"/>
    <col min="14594" max="14594" width="2.28515625" style="488" customWidth="1"/>
    <col min="14595" max="14595" width="17.42578125" style="488" customWidth="1"/>
    <col min="14596" max="14596" width="2.28515625" style="488" customWidth="1"/>
    <col min="14597" max="14597" width="15.5703125" style="488" bestFit="1" customWidth="1"/>
    <col min="14598" max="14598" width="2.28515625" style="488" customWidth="1"/>
    <col min="14599" max="14599" width="17.42578125" style="488" bestFit="1" customWidth="1"/>
    <col min="14600" max="14600" width="2.28515625" style="488" customWidth="1"/>
    <col min="14601" max="14601" width="19.42578125" style="488" customWidth="1"/>
    <col min="14602" max="14602" width="4.140625" style="488" customWidth="1"/>
    <col min="14603" max="14603" width="19.42578125" style="488" customWidth="1"/>
    <col min="14604" max="14604" width="4.140625" style="488" customWidth="1"/>
    <col min="14605" max="14605" width="20" style="488" customWidth="1"/>
    <col min="14606" max="14606" width="16.7109375" style="488" customWidth="1"/>
    <col min="14607" max="14607" width="27.85546875" style="488"/>
    <col min="14608" max="14608" width="20.7109375" style="488" customWidth="1"/>
    <col min="14609" max="14609" width="14.28515625" style="488" customWidth="1"/>
    <col min="14610" max="14610" width="10.140625" style="488" customWidth="1"/>
    <col min="14611" max="14611" width="15.5703125" style="488" customWidth="1"/>
    <col min="14612" max="14612" width="3.140625" style="488" customWidth="1"/>
    <col min="14613" max="14613" width="2.28515625" style="488" customWidth="1"/>
    <col min="14614" max="14637" width="18.85546875" style="488" customWidth="1"/>
    <col min="14638" max="14638" width="47.42578125" style="488" bestFit="1" customWidth="1"/>
    <col min="14639" max="14639" width="20.42578125" style="488" customWidth="1"/>
    <col min="14640" max="14640" width="18.7109375" style="488" customWidth="1"/>
    <col min="14641" max="14641" width="19.28515625" style="488" customWidth="1"/>
    <col min="14642" max="14642" width="18.7109375" style="488" customWidth="1"/>
    <col min="14643" max="14643" width="3.7109375" style="488" customWidth="1"/>
    <col min="14644" max="14644" width="18.7109375" style="488" customWidth="1"/>
    <col min="14645" max="14645" width="43" style="488" customWidth="1"/>
    <col min="14646" max="14647" width="18.7109375" style="488" customWidth="1"/>
    <col min="14648" max="14648" width="3.7109375" style="488" customWidth="1"/>
    <col min="14649" max="14848" width="27.85546875" style="488"/>
    <col min="14849" max="14849" width="17.28515625" style="488" customWidth="1"/>
    <col min="14850" max="14850" width="2.28515625" style="488" customWidth="1"/>
    <col min="14851" max="14851" width="17.42578125" style="488" customWidth="1"/>
    <col min="14852" max="14852" width="2.28515625" style="488" customWidth="1"/>
    <col min="14853" max="14853" width="15.5703125" style="488" bestFit="1" customWidth="1"/>
    <col min="14854" max="14854" width="2.28515625" style="488" customWidth="1"/>
    <col min="14855" max="14855" width="17.42578125" style="488" bestFit="1" customWidth="1"/>
    <col min="14856" max="14856" width="2.28515625" style="488" customWidth="1"/>
    <col min="14857" max="14857" width="19.42578125" style="488" customWidth="1"/>
    <col min="14858" max="14858" width="4.140625" style="488" customWidth="1"/>
    <col min="14859" max="14859" width="19.42578125" style="488" customWidth="1"/>
    <col min="14860" max="14860" width="4.140625" style="488" customWidth="1"/>
    <col min="14861" max="14861" width="20" style="488" customWidth="1"/>
    <col min="14862" max="14862" width="16.7109375" style="488" customWidth="1"/>
    <col min="14863" max="14863" width="27.85546875" style="488"/>
    <col min="14864" max="14864" width="20.7109375" style="488" customWidth="1"/>
    <col min="14865" max="14865" width="14.28515625" style="488" customWidth="1"/>
    <col min="14866" max="14866" width="10.140625" style="488" customWidth="1"/>
    <col min="14867" max="14867" width="15.5703125" style="488" customWidth="1"/>
    <col min="14868" max="14868" width="3.140625" style="488" customWidth="1"/>
    <col min="14869" max="14869" width="2.28515625" style="488" customWidth="1"/>
    <col min="14870" max="14893" width="18.85546875" style="488" customWidth="1"/>
    <col min="14894" max="14894" width="47.42578125" style="488" bestFit="1" customWidth="1"/>
    <col min="14895" max="14895" width="20.42578125" style="488" customWidth="1"/>
    <col min="14896" max="14896" width="18.7109375" style="488" customWidth="1"/>
    <col min="14897" max="14897" width="19.28515625" style="488" customWidth="1"/>
    <col min="14898" max="14898" width="18.7109375" style="488" customWidth="1"/>
    <col min="14899" max="14899" width="3.7109375" style="488" customWidth="1"/>
    <col min="14900" max="14900" width="18.7109375" style="488" customWidth="1"/>
    <col min="14901" max="14901" width="43" style="488" customWidth="1"/>
    <col min="14902" max="14903" width="18.7109375" style="488" customWidth="1"/>
    <col min="14904" max="14904" width="3.7109375" style="488" customWidth="1"/>
    <col min="14905" max="15104" width="27.85546875" style="488"/>
    <col min="15105" max="15105" width="17.28515625" style="488" customWidth="1"/>
    <col min="15106" max="15106" width="2.28515625" style="488" customWidth="1"/>
    <col min="15107" max="15107" width="17.42578125" style="488" customWidth="1"/>
    <col min="15108" max="15108" width="2.28515625" style="488" customWidth="1"/>
    <col min="15109" max="15109" width="15.5703125" style="488" bestFit="1" customWidth="1"/>
    <col min="15110" max="15110" width="2.28515625" style="488" customWidth="1"/>
    <col min="15111" max="15111" width="17.42578125" style="488" bestFit="1" customWidth="1"/>
    <col min="15112" max="15112" width="2.28515625" style="488" customWidth="1"/>
    <col min="15113" max="15113" width="19.42578125" style="488" customWidth="1"/>
    <col min="15114" max="15114" width="4.140625" style="488" customWidth="1"/>
    <col min="15115" max="15115" width="19.42578125" style="488" customWidth="1"/>
    <col min="15116" max="15116" width="4.140625" style="488" customWidth="1"/>
    <col min="15117" max="15117" width="20" style="488" customWidth="1"/>
    <col min="15118" max="15118" width="16.7109375" style="488" customWidth="1"/>
    <col min="15119" max="15119" width="27.85546875" style="488"/>
    <col min="15120" max="15120" width="20.7109375" style="488" customWidth="1"/>
    <col min="15121" max="15121" width="14.28515625" style="488" customWidth="1"/>
    <col min="15122" max="15122" width="10.140625" style="488" customWidth="1"/>
    <col min="15123" max="15123" width="15.5703125" style="488" customWidth="1"/>
    <col min="15124" max="15124" width="3.140625" style="488" customWidth="1"/>
    <col min="15125" max="15125" width="2.28515625" style="488" customWidth="1"/>
    <col min="15126" max="15149" width="18.85546875" style="488" customWidth="1"/>
    <col min="15150" max="15150" width="47.42578125" style="488" bestFit="1" customWidth="1"/>
    <col min="15151" max="15151" width="20.42578125" style="488" customWidth="1"/>
    <col min="15152" max="15152" width="18.7109375" style="488" customWidth="1"/>
    <col min="15153" max="15153" width="19.28515625" style="488" customWidth="1"/>
    <col min="15154" max="15154" width="18.7109375" style="488" customWidth="1"/>
    <col min="15155" max="15155" width="3.7109375" style="488" customWidth="1"/>
    <col min="15156" max="15156" width="18.7109375" style="488" customWidth="1"/>
    <col min="15157" max="15157" width="43" style="488" customWidth="1"/>
    <col min="15158" max="15159" width="18.7109375" style="488" customWidth="1"/>
    <col min="15160" max="15160" width="3.7109375" style="488" customWidth="1"/>
    <col min="15161" max="15360" width="27.85546875" style="488"/>
    <col min="15361" max="15361" width="17.28515625" style="488" customWidth="1"/>
    <col min="15362" max="15362" width="2.28515625" style="488" customWidth="1"/>
    <col min="15363" max="15363" width="17.42578125" style="488" customWidth="1"/>
    <col min="15364" max="15364" width="2.28515625" style="488" customWidth="1"/>
    <col min="15365" max="15365" width="15.5703125" style="488" bestFit="1" customWidth="1"/>
    <col min="15366" max="15366" width="2.28515625" style="488" customWidth="1"/>
    <col min="15367" max="15367" width="17.42578125" style="488" bestFit="1" customWidth="1"/>
    <col min="15368" max="15368" width="2.28515625" style="488" customWidth="1"/>
    <col min="15369" max="15369" width="19.42578125" style="488" customWidth="1"/>
    <col min="15370" max="15370" width="4.140625" style="488" customWidth="1"/>
    <col min="15371" max="15371" width="19.42578125" style="488" customWidth="1"/>
    <col min="15372" max="15372" width="4.140625" style="488" customWidth="1"/>
    <col min="15373" max="15373" width="20" style="488" customWidth="1"/>
    <col min="15374" max="15374" width="16.7109375" style="488" customWidth="1"/>
    <col min="15375" max="15375" width="27.85546875" style="488"/>
    <col min="15376" max="15376" width="20.7109375" style="488" customWidth="1"/>
    <col min="15377" max="15377" width="14.28515625" style="488" customWidth="1"/>
    <col min="15378" max="15378" width="10.140625" style="488" customWidth="1"/>
    <col min="15379" max="15379" width="15.5703125" style="488" customWidth="1"/>
    <col min="15380" max="15380" width="3.140625" style="488" customWidth="1"/>
    <col min="15381" max="15381" width="2.28515625" style="488" customWidth="1"/>
    <col min="15382" max="15405" width="18.85546875" style="488" customWidth="1"/>
    <col min="15406" max="15406" width="47.42578125" style="488" bestFit="1" customWidth="1"/>
    <col min="15407" max="15407" width="20.42578125" style="488" customWidth="1"/>
    <col min="15408" max="15408" width="18.7109375" style="488" customWidth="1"/>
    <col min="15409" max="15409" width="19.28515625" style="488" customWidth="1"/>
    <col min="15410" max="15410" width="18.7109375" style="488" customWidth="1"/>
    <col min="15411" max="15411" width="3.7109375" style="488" customWidth="1"/>
    <col min="15412" max="15412" width="18.7109375" style="488" customWidth="1"/>
    <col min="15413" max="15413" width="43" style="488" customWidth="1"/>
    <col min="15414" max="15415" width="18.7109375" style="488" customWidth="1"/>
    <col min="15416" max="15416" width="3.7109375" style="488" customWidth="1"/>
    <col min="15417" max="15616" width="27.85546875" style="488"/>
    <col min="15617" max="15617" width="17.28515625" style="488" customWidth="1"/>
    <col min="15618" max="15618" width="2.28515625" style="488" customWidth="1"/>
    <col min="15619" max="15619" width="17.42578125" style="488" customWidth="1"/>
    <col min="15620" max="15620" width="2.28515625" style="488" customWidth="1"/>
    <col min="15621" max="15621" width="15.5703125" style="488" bestFit="1" customWidth="1"/>
    <col min="15622" max="15622" width="2.28515625" style="488" customWidth="1"/>
    <col min="15623" max="15623" width="17.42578125" style="488" bestFit="1" customWidth="1"/>
    <col min="15624" max="15624" width="2.28515625" style="488" customWidth="1"/>
    <col min="15625" max="15625" width="19.42578125" style="488" customWidth="1"/>
    <col min="15626" max="15626" width="4.140625" style="488" customWidth="1"/>
    <col min="15627" max="15627" width="19.42578125" style="488" customWidth="1"/>
    <col min="15628" max="15628" width="4.140625" style="488" customWidth="1"/>
    <col min="15629" max="15629" width="20" style="488" customWidth="1"/>
    <col min="15630" max="15630" width="16.7109375" style="488" customWidth="1"/>
    <col min="15631" max="15631" width="27.85546875" style="488"/>
    <col min="15632" max="15632" width="20.7109375" style="488" customWidth="1"/>
    <col min="15633" max="15633" width="14.28515625" style="488" customWidth="1"/>
    <col min="15634" max="15634" width="10.140625" style="488" customWidth="1"/>
    <col min="15635" max="15635" width="15.5703125" style="488" customWidth="1"/>
    <col min="15636" max="15636" width="3.140625" style="488" customWidth="1"/>
    <col min="15637" max="15637" width="2.28515625" style="488" customWidth="1"/>
    <col min="15638" max="15661" width="18.85546875" style="488" customWidth="1"/>
    <col min="15662" max="15662" width="47.42578125" style="488" bestFit="1" customWidth="1"/>
    <col min="15663" max="15663" width="20.42578125" style="488" customWidth="1"/>
    <col min="15664" max="15664" width="18.7109375" style="488" customWidth="1"/>
    <col min="15665" max="15665" width="19.28515625" style="488" customWidth="1"/>
    <col min="15666" max="15666" width="18.7109375" style="488" customWidth="1"/>
    <col min="15667" max="15667" width="3.7109375" style="488" customWidth="1"/>
    <col min="15668" max="15668" width="18.7109375" style="488" customWidth="1"/>
    <col min="15669" max="15669" width="43" style="488" customWidth="1"/>
    <col min="15670" max="15671" width="18.7109375" style="488" customWidth="1"/>
    <col min="15672" max="15672" width="3.7109375" style="488" customWidth="1"/>
    <col min="15673" max="15872" width="27.85546875" style="488"/>
    <col min="15873" max="15873" width="17.28515625" style="488" customWidth="1"/>
    <col min="15874" max="15874" width="2.28515625" style="488" customWidth="1"/>
    <col min="15875" max="15875" width="17.42578125" style="488" customWidth="1"/>
    <col min="15876" max="15876" width="2.28515625" style="488" customWidth="1"/>
    <col min="15877" max="15877" width="15.5703125" style="488" bestFit="1" customWidth="1"/>
    <col min="15878" max="15878" width="2.28515625" style="488" customWidth="1"/>
    <col min="15879" max="15879" width="17.42578125" style="488" bestFit="1" customWidth="1"/>
    <col min="15880" max="15880" width="2.28515625" style="488" customWidth="1"/>
    <col min="15881" max="15881" width="19.42578125" style="488" customWidth="1"/>
    <col min="15882" max="15882" width="4.140625" style="488" customWidth="1"/>
    <col min="15883" max="15883" width="19.42578125" style="488" customWidth="1"/>
    <col min="15884" max="15884" width="4.140625" style="488" customWidth="1"/>
    <col min="15885" max="15885" width="20" style="488" customWidth="1"/>
    <col min="15886" max="15886" width="16.7109375" style="488" customWidth="1"/>
    <col min="15887" max="15887" width="27.85546875" style="488"/>
    <col min="15888" max="15888" width="20.7109375" style="488" customWidth="1"/>
    <col min="15889" max="15889" width="14.28515625" style="488" customWidth="1"/>
    <col min="15890" max="15890" width="10.140625" style="488" customWidth="1"/>
    <col min="15891" max="15891" width="15.5703125" style="488" customWidth="1"/>
    <col min="15892" max="15892" width="3.140625" style="488" customWidth="1"/>
    <col min="15893" max="15893" width="2.28515625" style="488" customWidth="1"/>
    <col min="15894" max="15917" width="18.85546875" style="488" customWidth="1"/>
    <col min="15918" max="15918" width="47.42578125" style="488" bestFit="1" customWidth="1"/>
    <col min="15919" max="15919" width="20.42578125" style="488" customWidth="1"/>
    <col min="15920" max="15920" width="18.7109375" style="488" customWidth="1"/>
    <col min="15921" max="15921" width="19.28515625" style="488" customWidth="1"/>
    <col min="15922" max="15922" width="18.7109375" style="488" customWidth="1"/>
    <col min="15923" max="15923" width="3.7109375" style="488" customWidth="1"/>
    <col min="15924" max="15924" width="18.7109375" style="488" customWidth="1"/>
    <col min="15925" max="15925" width="43" style="488" customWidth="1"/>
    <col min="15926" max="15927" width="18.7109375" style="488" customWidth="1"/>
    <col min="15928" max="15928" width="3.7109375" style="488" customWidth="1"/>
    <col min="15929" max="16128" width="27.85546875" style="488"/>
    <col min="16129" max="16129" width="17.28515625" style="488" customWidth="1"/>
    <col min="16130" max="16130" width="2.28515625" style="488" customWidth="1"/>
    <col min="16131" max="16131" width="17.42578125" style="488" customWidth="1"/>
    <col min="16132" max="16132" width="2.28515625" style="488" customWidth="1"/>
    <col min="16133" max="16133" width="15.5703125" style="488" bestFit="1" customWidth="1"/>
    <col min="16134" max="16134" width="2.28515625" style="488" customWidth="1"/>
    <col min="16135" max="16135" width="17.42578125" style="488" bestFit="1" customWidth="1"/>
    <col min="16136" max="16136" width="2.28515625" style="488" customWidth="1"/>
    <col min="16137" max="16137" width="19.42578125" style="488" customWidth="1"/>
    <col min="16138" max="16138" width="4.140625" style="488" customWidth="1"/>
    <col min="16139" max="16139" width="19.42578125" style="488" customWidth="1"/>
    <col min="16140" max="16140" width="4.140625" style="488" customWidth="1"/>
    <col min="16141" max="16141" width="20" style="488" customWidth="1"/>
    <col min="16142" max="16142" width="16.7109375" style="488" customWidth="1"/>
    <col min="16143" max="16143" width="27.85546875" style="488"/>
    <col min="16144" max="16144" width="20.7109375" style="488" customWidth="1"/>
    <col min="16145" max="16145" width="14.28515625" style="488" customWidth="1"/>
    <col min="16146" max="16146" width="10.140625" style="488" customWidth="1"/>
    <col min="16147" max="16147" width="15.5703125" style="488" customWidth="1"/>
    <col min="16148" max="16148" width="3.140625" style="488" customWidth="1"/>
    <col min="16149" max="16149" width="2.28515625" style="488" customWidth="1"/>
    <col min="16150" max="16173" width="18.85546875" style="488" customWidth="1"/>
    <col min="16174" max="16174" width="47.42578125" style="488" bestFit="1" customWidth="1"/>
    <col min="16175" max="16175" width="20.42578125" style="488" customWidth="1"/>
    <col min="16176" max="16176" width="18.7109375" style="488" customWidth="1"/>
    <col min="16177" max="16177" width="19.28515625" style="488" customWidth="1"/>
    <col min="16178" max="16178" width="18.7109375" style="488" customWidth="1"/>
    <col min="16179" max="16179" width="3.7109375" style="488" customWidth="1"/>
    <col min="16180" max="16180" width="18.7109375" style="488" customWidth="1"/>
    <col min="16181" max="16181" width="43" style="488" customWidth="1"/>
    <col min="16182" max="16183" width="18.7109375" style="488" customWidth="1"/>
    <col min="16184" max="16184" width="3.7109375" style="488" customWidth="1"/>
    <col min="16185" max="16384" width="27.85546875" style="488"/>
  </cols>
  <sheetData>
    <row r="1" spans="1:18" ht="18" customHeight="1">
      <c r="A1" s="1126" t="s">
        <v>1009</v>
      </c>
      <c r="B1" s="1126"/>
      <c r="C1" s="1126"/>
      <c r="D1" s="1126"/>
      <c r="E1" s="1126"/>
      <c r="F1" s="1126"/>
      <c r="G1" s="1126"/>
      <c r="H1" s="508"/>
      <c r="I1" s="508"/>
    </row>
    <row r="2" spans="1:18" ht="18" customHeight="1">
      <c r="A2" s="1126" t="s">
        <v>1037</v>
      </c>
      <c r="B2" s="1126"/>
      <c r="C2" s="1126"/>
      <c r="D2" s="1126"/>
      <c r="E2" s="1126"/>
      <c r="F2" s="1126"/>
      <c r="G2" s="1126"/>
      <c r="H2" s="508"/>
      <c r="I2" s="508"/>
    </row>
    <row r="3" spans="1:18" ht="18" customHeight="1">
      <c r="A3" s="1126" t="s">
        <v>1038</v>
      </c>
      <c r="B3" s="1126"/>
      <c r="C3" s="1126"/>
      <c r="D3" s="1126"/>
      <c r="E3" s="1126"/>
      <c r="F3" s="1126"/>
      <c r="G3" s="1126"/>
      <c r="H3" s="508"/>
      <c r="I3" s="508"/>
    </row>
    <row r="4" spans="1:18" ht="18" customHeight="1">
      <c r="A4" s="1126" t="str">
        <f>+Input!A4</f>
        <v>December 2023</v>
      </c>
      <c r="B4" s="1126"/>
      <c r="C4" s="1126"/>
      <c r="D4" s="1126"/>
      <c r="E4" s="1126"/>
      <c r="F4" s="1126"/>
      <c r="G4" s="1126"/>
      <c r="H4" s="1126"/>
      <c r="I4" s="1126"/>
    </row>
    <row r="5" spans="1:18" ht="18" customHeight="1">
      <c r="A5" s="490"/>
      <c r="B5" s="491"/>
      <c r="C5" s="491"/>
      <c r="D5" s="491"/>
      <c r="E5" s="491"/>
      <c r="F5" s="491"/>
      <c r="G5" s="510" t="s">
        <v>1039</v>
      </c>
    </row>
    <row r="6" spans="1:18" ht="18" customHeight="1">
      <c r="A6" s="490"/>
      <c r="B6" s="491"/>
      <c r="C6" s="491"/>
      <c r="D6" s="491"/>
      <c r="E6" s="491"/>
      <c r="F6" s="491"/>
      <c r="G6" s="510"/>
      <c r="H6" s="510"/>
      <c r="I6" s="510"/>
    </row>
    <row r="7" spans="1:18" ht="18" customHeight="1">
      <c r="A7" s="490"/>
      <c r="B7" s="491"/>
      <c r="C7" s="491"/>
      <c r="D7" s="491"/>
      <c r="E7" s="491"/>
      <c r="F7" s="491"/>
      <c r="G7" s="510"/>
      <c r="H7" s="510"/>
      <c r="I7" s="510"/>
    </row>
    <row r="8" spans="1:18" ht="18" customHeight="1">
      <c r="A8" s="494"/>
      <c r="B8" s="494"/>
      <c r="C8" s="494" t="s">
        <v>41</v>
      </c>
      <c r="D8" s="494"/>
      <c r="E8" s="494" t="s">
        <v>1040</v>
      </c>
      <c r="F8" s="494"/>
      <c r="G8" s="494" t="s">
        <v>1041</v>
      </c>
      <c r="I8" s="494"/>
    </row>
    <row r="9" spans="1:18" ht="18" customHeight="1">
      <c r="A9" s="496" t="s">
        <v>1042</v>
      </c>
      <c r="B9" s="494"/>
      <c r="C9" s="496" t="s">
        <v>1043</v>
      </c>
      <c r="D9" s="494"/>
      <c r="E9" s="496" t="s">
        <v>41</v>
      </c>
      <c r="F9" s="494"/>
      <c r="G9" s="496" t="s">
        <v>41</v>
      </c>
      <c r="I9" s="494"/>
    </row>
    <row r="10" spans="1:18" ht="18" customHeight="1"/>
    <row r="11" spans="1:18" ht="18" customHeight="1">
      <c r="A11" s="528" t="s">
        <v>236</v>
      </c>
      <c r="C11" s="529">
        <v>1</v>
      </c>
      <c r="E11" s="530">
        <f ca="1">((1+'AFUDC Sch A '!I24)^(1/12))-1</f>
        <v>5.0963609561613943E-3</v>
      </c>
      <c r="G11" s="511">
        <f ca="1">E11</f>
        <v>5.0963609561613943E-3</v>
      </c>
      <c r="I11" s="511"/>
      <c r="R11" s="531"/>
    </row>
    <row r="12" spans="1:18" ht="18" customHeight="1">
      <c r="A12" s="532" t="s">
        <v>237</v>
      </c>
      <c r="C12" s="529">
        <f ca="1">1+G11</f>
        <v>1.0050963609561614</v>
      </c>
      <c r="E12" s="511">
        <f ca="1">E11*(1+E$11)</f>
        <v>5.1223338511568808E-3</v>
      </c>
      <c r="G12" s="511">
        <f ca="1">G11+E12</f>
        <v>1.0218694807318275E-2</v>
      </c>
      <c r="I12" s="511"/>
      <c r="R12" s="531"/>
    </row>
    <row r="13" spans="1:18" ht="18" customHeight="1">
      <c r="A13" s="528" t="s">
        <v>238</v>
      </c>
      <c r="C13" s="529">
        <f t="shared" ref="C13:C22" ca="1" si="0">1+G12</f>
        <v>1.0102186948073182</v>
      </c>
      <c r="E13" s="511">
        <f ca="1">E12*(1+E$11)</f>
        <v>5.1484391134003406E-3</v>
      </c>
      <c r="G13" s="511">
        <f t="shared" ref="G13:G22" ca="1" si="1">G12+E13</f>
        <v>1.5367133920718616E-2</v>
      </c>
      <c r="I13" s="511"/>
    </row>
    <row r="14" spans="1:18" ht="18" customHeight="1">
      <c r="A14" s="532" t="s">
        <v>239</v>
      </c>
      <c r="C14" s="529">
        <f t="shared" ca="1" si="0"/>
        <v>1.0153671339207186</v>
      </c>
      <c r="E14" s="511">
        <f t="shared" ref="E14:E22" ca="1" si="2">E13*(1+E$11)</f>
        <v>5.1746774174830481E-3</v>
      </c>
      <c r="G14" s="511">
        <f t="shared" ca="1" si="1"/>
        <v>2.0541811338201665E-2</v>
      </c>
      <c r="I14" s="511"/>
      <c r="J14" s="527"/>
    </row>
    <row r="15" spans="1:18" ht="18" customHeight="1">
      <c r="A15" s="528" t="s">
        <v>240</v>
      </c>
      <c r="C15" s="529">
        <f t="shared" ca="1" si="0"/>
        <v>1.0205418113382017</v>
      </c>
      <c r="E15" s="511">
        <f t="shared" ca="1" si="2"/>
        <v>5.2010494414342391E-3</v>
      </c>
      <c r="G15" s="511">
        <f t="shared" ca="1" si="1"/>
        <v>2.5742860779635904E-2</v>
      </c>
      <c r="I15" s="511"/>
      <c r="Q15" s="494"/>
    </row>
    <row r="16" spans="1:18" ht="18" customHeight="1">
      <c r="A16" s="532" t="s">
        <v>241</v>
      </c>
      <c r="C16" s="529">
        <f t="shared" ca="1" si="0"/>
        <v>1.0257428607796359</v>
      </c>
      <c r="E16" s="511">
        <f t="shared" ca="1" si="2"/>
        <v>5.2275558667386297E-3</v>
      </c>
      <c r="G16" s="511">
        <f t="shared" ca="1" si="1"/>
        <v>3.0970416646374534E-2</v>
      </c>
      <c r="I16" s="511"/>
      <c r="O16" s="527"/>
      <c r="Q16" s="527"/>
    </row>
    <row r="17" spans="1:17" ht="18" customHeight="1">
      <c r="A17" s="528" t="s">
        <v>242</v>
      </c>
      <c r="C17" s="529">
        <f t="shared" ca="1" si="0"/>
        <v>1.0309704166463745</v>
      </c>
      <c r="E17" s="511">
        <f t="shared" ca="1" si="2"/>
        <v>5.254197378354029E-3</v>
      </c>
      <c r="G17" s="511">
        <f t="shared" ca="1" si="1"/>
        <v>3.6224614024728562E-2</v>
      </c>
      <c r="I17" s="511"/>
    </row>
    <row r="18" spans="1:17" ht="18" customHeight="1">
      <c r="A18" s="532" t="s">
        <v>243</v>
      </c>
      <c r="C18" s="529">
        <f t="shared" ca="1" si="0"/>
        <v>1.0362246140247287</v>
      </c>
      <c r="E18" s="511">
        <f t="shared" ca="1" si="2"/>
        <v>5.2809746647290382E-3</v>
      </c>
      <c r="G18" s="511">
        <f t="shared" ca="1" si="1"/>
        <v>4.1505588689457598E-2</v>
      </c>
      <c r="I18" s="511"/>
    </row>
    <row r="19" spans="1:17" ht="18" customHeight="1">
      <c r="A19" s="528" t="s">
        <v>244</v>
      </c>
      <c r="C19" s="529">
        <f t="shared" ca="1" si="0"/>
        <v>1.0415055886894575</v>
      </c>
      <c r="E19" s="511">
        <f t="shared" ca="1" si="2"/>
        <v>5.3078884178208406E-3</v>
      </c>
      <c r="G19" s="511">
        <f t="shared" ca="1" si="1"/>
        <v>4.6813477107278442E-2</v>
      </c>
      <c r="I19" s="511"/>
    </row>
    <row r="20" spans="1:17" ht="18" customHeight="1">
      <c r="A20" s="532" t="s">
        <v>245</v>
      </c>
      <c r="C20" s="529">
        <f t="shared" ca="1" si="0"/>
        <v>1.0468134771072783</v>
      </c>
      <c r="E20" s="511">
        <f t="shared" ca="1" si="2"/>
        <v>5.3349393331130843E-3</v>
      </c>
      <c r="G20" s="511">
        <f t="shared" ca="1" si="1"/>
        <v>5.2148416440391525E-2</v>
      </c>
      <c r="I20" s="511"/>
    </row>
    <row r="21" spans="1:17" ht="18" customHeight="1">
      <c r="A21" s="528" t="s">
        <v>246</v>
      </c>
      <c r="C21" s="529">
        <f t="shared" ca="1" si="0"/>
        <v>1.0521484164403916</v>
      </c>
      <c r="E21" s="511">
        <f t="shared" ca="1" si="2"/>
        <v>5.3621281096338513E-3</v>
      </c>
      <c r="G21" s="511">
        <f t="shared" ca="1" si="1"/>
        <v>5.7510544550025376E-2</v>
      </c>
      <c r="I21" s="511"/>
    </row>
    <row r="22" spans="1:17" ht="18" customHeight="1">
      <c r="A22" s="532" t="s">
        <v>235</v>
      </c>
      <c r="C22" s="529">
        <f t="shared" ca="1" si="0"/>
        <v>1.0575105445500255</v>
      </c>
      <c r="E22" s="511">
        <f t="shared" ca="1" si="2"/>
        <v>5.3894554499737245E-3</v>
      </c>
      <c r="G22" s="511">
        <f t="shared" ca="1" si="1"/>
        <v>6.2899999999999096E-2</v>
      </c>
      <c r="I22" s="511"/>
    </row>
    <row r="23" spans="1:17" ht="18" customHeight="1">
      <c r="I23" s="511"/>
    </row>
    <row r="24" spans="1:17">
      <c r="A24" s="488" t="s">
        <v>1044</v>
      </c>
    </row>
    <row r="25" spans="1:17">
      <c r="A25" s="488" t="s">
        <v>1045</v>
      </c>
    </row>
    <row r="30" spans="1:17">
      <c r="O30" s="527"/>
      <c r="Q30" s="527"/>
    </row>
    <row r="31" spans="1:17">
      <c r="A31" s="903">
        <f ca="1">+((1+C31)^(1/12))-1</f>
        <v>5.0963609561613943E-3</v>
      </c>
      <c r="C31" s="904">
        <f ca="1">+G22</f>
        <v>6.2899999999999096E-2</v>
      </c>
    </row>
    <row r="32" spans="1:17">
      <c r="Q32" s="527"/>
    </row>
    <row r="33" spans="1:5">
      <c r="A33" s="513"/>
    </row>
    <row r="34" spans="1:5">
      <c r="A34" s="513"/>
      <c r="E34" s="514"/>
    </row>
    <row r="35" spans="1:5">
      <c r="A35" s="513"/>
      <c r="E35" s="514"/>
    </row>
    <row r="93" spans="13:13">
      <c r="M93" s="510"/>
    </row>
    <row r="94" spans="13:13">
      <c r="M94" s="510"/>
    </row>
    <row r="95" spans="13:13">
      <c r="M95" s="527"/>
    </row>
    <row r="100" spans="13:13">
      <c r="M100" s="510"/>
    </row>
    <row r="102" spans="13:13">
      <c r="M102" s="510"/>
    </row>
    <row r="103" spans="13:13">
      <c r="M103" s="510"/>
    </row>
    <row r="105" spans="13:13">
      <c r="M105" s="510"/>
    </row>
    <row r="107" spans="13:13">
      <c r="M107" s="510"/>
    </row>
  </sheetData>
  <mergeCells count="5">
    <mergeCell ref="A1:G1"/>
    <mergeCell ref="A2:G2"/>
    <mergeCell ref="A3:G3"/>
    <mergeCell ref="A4:G4"/>
    <mergeCell ref="H4:I4"/>
  </mergeCells>
  <printOptions horizontalCentered="1"/>
  <pageMargins left="0.7" right="0.7" top="0.75" bottom="0.75" header="0.3" footer="0.3"/>
  <pageSetup scale="4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B0F0"/>
    <pageSetUpPr fitToPage="1"/>
  </sheetPr>
  <dimension ref="A1:W64"/>
  <sheetViews>
    <sheetView workbookViewId="0">
      <selection activeCell="K9" sqref="K9"/>
    </sheetView>
  </sheetViews>
  <sheetFormatPr defaultColWidth="9.140625" defaultRowHeight="15"/>
  <cols>
    <col min="1" max="1" width="47" style="43" bestFit="1" customWidth="1"/>
    <col min="2" max="2" width="21.28515625" style="43" bestFit="1" customWidth="1"/>
    <col min="3" max="3" width="1.85546875" style="43" bestFit="1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7.140625" style="43" customWidth="1"/>
    <col min="16" max="16" width="8.140625" style="43" customWidth="1"/>
    <col min="17" max="17" width="1.7109375" style="43" customWidth="1"/>
    <col min="18" max="18" width="7.7109375" style="43" customWidth="1"/>
    <col min="19" max="19" width="13" style="43" customWidth="1"/>
    <col min="20" max="20" width="1.7109375" style="43" customWidth="1"/>
    <col min="21" max="21" width="9.140625" style="43"/>
    <col min="22" max="22" width="1.42578125" style="43" customWidth="1"/>
    <col min="23" max="23" width="8.7109375" style="47" customWidth="1"/>
    <col min="24" max="24" width="6.85546875" style="43" customWidth="1"/>
    <col min="25" max="25" width="6.28515625" style="43" customWidth="1"/>
    <col min="26" max="16384" width="9.140625" style="43"/>
  </cols>
  <sheetData>
    <row r="1" spans="1:23" ht="18">
      <c r="A1" s="45" t="s">
        <v>1046</v>
      </c>
      <c r="B1" s="76"/>
      <c r="C1" s="76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974"/>
    </row>
    <row r="2" spans="1:23" ht="18">
      <c r="A2" s="45" t="s">
        <v>1047</v>
      </c>
      <c r="B2" s="76"/>
      <c r="C2" s="76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974"/>
    </row>
    <row r="3" spans="1:23" ht="18">
      <c r="A3" s="48" t="s">
        <v>1048</v>
      </c>
      <c r="B3" s="76"/>
      <c r="C3" s="76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974"/>
    </row>
    <row r="4" spans="1:23" ht="15.75" customHeight="1">
      <c r="A4" s="48"/>
      <c r="B4" s="49"/>
      <c r="C4" s="76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974"/>
    </row>
    <row r="5" spans="1:23" ht="15.75" customHeight="1">
      <c r="A5" s="375"/>
      <c r="B5" s="297"/>
      <c r="C5" s="186"/>
      <c r="D5" s="185"/>
      <c r="E5" s="982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974"/>
    </row>
    <row r="6" spans="1:23" s="52" customFormat="1" ht="15.75">
      <c r="A6" s="51" t="s">
        <v>1049</v>
      </c>
      <c r="B6" s="430" t="s">
        <v>1106</v>
      </c>
      <c r="C6" s="76"/>
      <c r="D6" s="257" t="s">
        <v>1206</v>
      </c>
      <c r="H6" s="53" t="s">
        <v>1051</v>
      </c>
      <c r="W6" s="54"/>
    </row>
    <row r="7" spans="1:23" s="52" customFormat="1" ht="15.75">
      <c r="A7" s="55" t="s">
        <v>1052</v>
      </c>
      <c r="B7" s="431" t="s">
        <v>1107</v>
      </c>
      <c r="C7" s="44"/>
      <c r="D7" s="342" t="s">
        <v>3</v>
      </c>
      <c r="F7" s="56" t="s">
        <v>1054</v>
      </c>
      <c r="G7" s="55"/>
      <c r="H7" s="57" t="s">
        <v>1055</v>
      </c>
      <c r="K7" s="303"/>
      <c r="W7" s="54"/>
    </row>
    <row r="8" spans="1:23" ht="15.75">
      <c r="A8" s="52" t="s">
        <v>1109</v>
      </c>
      <c r="B8" s="76"/>
      <c r="C8" s="76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974"/>
    </row>
    <row r="9" spans="1:23">
      <c r="A9" s="76" t="s">
        <v>472</v>
      </c>
      <c r="B9" s="432">
        <v>1472581.083657678</v>
      </c>
      <c r="C9" s="76"/>
      <c r="D9" s="432">
        <f ca="1">Report!J92</f>
        <v>2025527.3874393962</v>
      </c>
      <c r="E9" s="76"/>
      <c r="F9" s="303">
        <f ca="1">D9-B9</f>
        <v>552946.30378171825</v>
      </c>
      <c r="G9" s="303"/>
      <c r="H9" s="316">
        <f ca="1">ROUND((((B17/(D9+D10+D11+D13))-B20)/B23)-(((B17/(B9+D10+D11+D13))-B20)/B23),4)*10000</f>
        <v>-373</v>
      </c>
      <c r="I9" s="76"/>
      <c r="J9" s="58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974"/>
    </row>
    <row r="10" spans="1:23">
      <c r="A10" s="76" t="s">
        <v>190</v>
      </c>
      <c r="B10" s="303">
        <v>63731.53211</v>
      </c>
      <c r="C10" s="76"/>
      <c r="D10" s="303">
        <f ca="1">Report!N92</f>
        <v>26412.458933076909</v>
      </c>
      <c r="E10" s="76"/>
      <c r="F10" s="303">
        <f ca="1">D10-B10</f>
        <v>-37319.073176923092</v>
      </c>
      <c r="G10" s="303"/>
      <c r="H10" s="316">
        <f ca="1">ROUND((((B17/(D9+D11+D13+D10))-B20)/B23)-(((B17/(B10+D9+D11+D13))-B20)/B23),4)*10000</f>
        <v>18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974"/>
    </row>
    <row r="11" spans="1:23">
      <c r="A11" s="76" t="s">
        <v>1057</v>
      </c>
      <c r="B11" s="303">
        <v>0</v>
      </c>
      <c r="C11" s="76"/>
      <c r="D11" s="303">
        <f ca="1">Report!L92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974"/>
    </row>
    <row r="12" spans="1:23">
      <c r="A12" s="76" t="s">
        <v>478</v>
      </c>
      <c r="B12" s="303">
        <v>-5589.6985323076933</v>
      </c>
      <c r="C12" s="76"/>
      <c r="D12" s="303">
        <f ca="1">Reconcil!C73</f>
        <v>1184.5254784615386</v>
      </c>
      <c r="E12" s="76"/>
      <c r="F12" s="303">
        <f ca="1">D12-B12</f>
        <v>6774.2240107692323</v>
      </c>
      <c r="G12" s="190"/>
      <c r="H12" s="316">
        <f ca="1">ROUND((((B17/(D9+D10+D11+D12+D13))-B20)/B23)-(((B17/(B12+D9+D10+D11+D13))-B20)/B23),4)*10000</f>
        <v>-2.9999999999999996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974"/>
    </row>
    <row r="13" spans="1:23" ht="15.75">
      <c r="A13" s="76" t="s">
        <v>1058</v>
      </c>
      <c r="B13" s="191">
        <v>-42593.076323846137</v>
      </c>
      <c r="C13" s="190"/>
      <c r="D13" s="315">
        <f ca="1">Report!R92-D12</f>
        <v>-28792.100266969584</v>
      </c>
      <c r="E13" s="76"/>
      <c r="F13" s="303">
        <f ca="1">D13-B13</f>
        <v>13800.976056876552</v>
      </c>
      <c r="G13" s="190"/>
      <c r="H13" s="316">
        <f ca="1">ROUND((((B17/(D9+D10+D11+D12+D13))-B20)/B23)-(((B17/(B13+D9+D10+D11+D12))-B20)/B23),4)*10000</f>
        <v>-7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974"/>
    </row>
    <row r="14" spans="1:23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974"/>
    </row>
    <row r="15" spans="1:23" ht="15.75">
      <c r="A15" s="52" t="s">
        <v>727</v>
      </c>
      <c r="B15" s="61">
        <v>1488129.8409</v>
      </c>
      <c r="C15" s="52"/>
      <c r="D15" s="61">
        <f ca="1">ROUND(SUM(D9:D13),4)</f>
        <v>2024332.2716000001</v>
      </c>
      <c r="E15" s="52"/>
      <c r="F15" s="50">
        <f ca="1">D15-B15</f>
        <v>536202.43070000014</v>
      </c>
      <c r="G15" s="50"/>
      <c r="H15" s="53">
        <f ca="1">ROUND((((B17/D15)-B20)/B23)-(((B17/B15)-B20)/B23),4)*10000</f>
        <v>-357</v>
      </c>
      <c r="I15" s="53">
        <f ca="1">SUM(H9:H13)</f>
        <v>-365</v>
      </c>
      <c r="J15" s="316"/>
      <c r="K15" s="53">
        <f ca="1">H15-I15</f>
        <v>8</v>
      </c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974"/>
    </row>
    <row r="16" spans="1:23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974"/>
    </row>
    <row r="17" spans="1:23" s="52" customFormat="1" ht="15.75">
      <c r="A17" s="52" t="s">
        <v>1059</v>
      </c>
      <c r="B17" s="62">
        <v>91833.5291</v>
      </c>
      <c r="D17" s="62">
        <f ca="1">ROUND(Report!V141,4)</f>
        <v>111760.75260000001</v>
      </c>
      <c r="F17" s="50">
        <f ca="1">D17-B17</f>
        <v>19927.223500000007</v>
      </c>
      <c r="G17" s="63"/>
      <c r="H17" s="64">
        <f ca="1">ROUND((((D17/B15)-B20)/B23)-(((B17/B15)-B20)/B23),4)*10000</f>
        <v>292</v>
      </c>
      <c r="I17" s="53"/>
      <c r="J17" s="53"/>
      <c r="K17" s="53"/>
      <c r="L17" s="64"/>
      <c r="W17" s="54"/>
    </row>
    <row r="18" spans="1:23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974"/>
    </row>
    <row r="19" spans="1:23" ht="15.75">
      <c r="A19" s="76" t="s">
        <v>1060</v>
      </c>
      <c r="B19" s="298">
        <v>6.1699999999999998E-2</v>
      </c>
      <c r="C19" s="76"/>
      <c r="D19" s="298">
        <f ca="1">(ROUND((D17/D15),4))</f>
        <v>5.5199999999999999E-2</v>
      </c>
      <c r="E19" s="76"/>
      <c r="F19" s="298">
        <f ca="1">D19-B19</f>
        <v>-6.4999999999999988E-3</v>
      </c>
      <c r="G19" s="298"/>
      <c r="H19" s="316">
        <f ca="1">ROUND((F19/$B$23)*10000,0)</f>
        <v>-142</v>
      </c>
      <c r="I19" s="53">
        <f ca="1">H15+H17</f>
        <v>-65</v>
      </c>
      <c r="J19" s="316"/>
      <c r="K19" s="53">
        <f ca="1">H19-I19</f>
        <v>-77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974"/>
    </row>
    <row r="20" spans="1:23" ht="15.75">
      <c r="A20" s="76" t="s">
        <v>1061</v>
      </c>
      <c r="B20" s="299">
        <v>1.3100000000000001E-2</v>
      </c>
      <c r="C20" s="76"/>
      <c r="D20" s="299">
        <f ca="1">ROUND(-Report!$H$223/100,4)</f>
        <v>1.7999999999999999E-2</v>
      </c>
      <c r="E20" s="76"/>
      <c r="F20" s="298">
        <f ca="1">D20-B20</f>
        <v>4.8999999999999981E-3</v>
      </c>
      <c r="G20" s="298"/>
      <c r="H20" s="316">
        <f ca="1">-ROUND((F20/$B$23)*10000,0)</f>
        <v>-107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974"/>
    </row>
    <row r="21" spans="1:23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974"/>
    </row>
    <row r="22" spans="1:23" ht="15.75">
      <c r="A22" s="76" t="s">
        <v>1062</v>
      </c>
      <c r="B22" s="298">
        <v>4.8599999999999997E-2</v>
      </c>
      <c r="C22" s="76"/>
      <c r="D22" s="298">
        <f ca="1">ROUND(D19-D20,4)</f>
        <v>3.7199999999999997E-2</v>
      </c>
      <c r="E22" s="76"/>
      <c r="F22" s="298">
        <f ca="1">D22-B22</f>
        <v>-1.14E-2</v>
      </c>
      <c r="G22" s="298"/>
      <c r="H22" s="316">
        <f ca="1">ROUND((F22/$B$23)*10000,0)</f>
        <v>-249</v>
      </c>
      <c r="I22" s="53">
        <f ca="1">H19+H20</f>
        <v>-249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974"/>
    </row>
    <row r="23" spans="1:23" ht="15.75">
      <c r="A23" s="76" t="s">
        <v>1063</v>
      </c>
      <c r="B23" s="299">
        <v>0.4582</v>
      </c>
      <c r="C23" s="76"/>
      <c r="D23" s="299">
        <f ca="1">ROUND(Report!J166,4)</f>
        <v>0.47539999999999999</v>
      </c>
      <c r="E23" s="76"/>
      <c r="F23" s="298">
        <f ca="1">D23-B23</f>
        <v>1.7199999999999993E-2</v>
      </c>
      <c r="G23" s="298"/>
      <c r="H23" s="316">
        <f ca="1">ROUND((B22/D23)-(B22/B23),4)*10000</f>
        <v>-38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974"/>
    </row>
    <row r="24" spans="1:23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974"/>
    </row>
    <row r="25" spans="1:23" s="52" customFormat="1" ht="15.75">
      <c r="A25" s="52" t="s">
        <v>1064</v>
      </c>
      <c r="B25" s="65">
        <v>0.1061</v>
      </c>
      <c r="D25" s="189">
        <f ca="1">ROUND((D22/D23),4)-0.0001</f>
        <v>7.8100000000000003E-2</v>
      </c>
      <c r="F25" s="65">
        <f ca="1">D25-B25</f>
        <v>-2.7999999999999997E-2</v>
      </c>
      <c r="G25" s="65"/>
      <c r="H25" s="53">
        <f ca="1">(D25-B25)*10000</f>
        <v>-279.99999999999994</v>
      </c>
      <c r="I25" s="53">
        <f ca="1">H22+H23</f>
        <v>-287</v>
      </c>
      <c r="J25" s="53"/>
      <c r="K25" s="53">
        <f ca="1">H25-I25</f>
        <v>7.0000000000000568</v>
      </c>
      <c r="L25" s="65"/>
      <c r="W25" s="54"/>
    </row>
    <row r="26" spans="1:23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976"/>
    </row>
    <row r="27" spans="1:23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974"/>
    </row>
    <row r="28" spans="1:23">
      <c r="A28" s="76" t="s">
        <v>1065</v>
      </c>
      <c r="B28" s="433">
        <v>112357.74520999985</v>
      </c>
      <c r="C28" s="76"/>
      <c r="D28" s="977">
        <f ca="1">Report!B106-SUM(Report!D106:J106)-Report!R106</f>
        <v>140503.29999999996</v>
      </c>
      <c r="E28" s="190"/>
      <c r="F28" s="303">
        <f ca="1">D28-B28</f>
        <v>28145.554790000111</v>
      </c>
      <c r="G28" s="303"/>
      <c r="H28" s="325">
        <f ca="1">ROUND((((D28/B15)-B20)/B23)-(((B28/B15)-B20)/B23),4)*10000</f>
        <v>413.00000000000006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974"/>
    </row>
    <row r="29" spans="1:23">
      <c r="A29" s="76" t="s">
        <v>1066</v>
      </c>
      <c r="B29" s="434">
        <v>21530.348039999997</v>
      </c>
      <c r="C29" s="190"/>
      <c r="D29" s="434">
        <f ca="1">Report!L106+Report!N106+Report!P106</f>
        <v>25866.2</v>
      </c>
      <c r="E29" s="190"/>
      <c r="F29" s="303">
        <f ca="1">D29-B29</f>
        <v>4335.8519600000036</v>
      </c>
      <c r="G29" s="303"/>
      <c r="H29" s="325">
        <f ca="1">-ROUND((((D29/B15)-B20)/B23)-(((B29/B15)-B20)/B23),4)*10000</f>
        <v>-64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974"/>
    </row>
    <row r="30" spans="1:23" ht="15.75">
      <c r="A30" s="978" t="s">
        <v>1067</v>
      </c>
      <c r="B30" s="191">
        <v>0</v>
      </c>
      <c r="C30" s="190"/>
      <c r="D30" s="191"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974"/>
    </row>
    <row r="31" spans="1:23" ht="15.75">
      <c r="A31" s="300" t="s">
        <v>1068</v>
      </c>
      <c r="B31" s="191">
        <v>21530.348039999997</v>
      </c>
      <c r="C31" s="76"/>
      <c r="D31" s="191">
        <f ca="1">SUM(D29:D30)</f>
        <v>25866.2</v>
      </c>
      <c r="E31" s="190"/>
      <c r="F31" s="303">
        <f ca="1">D31-B31</f>
        <v>4335.8519600000036</v>
      </c>
      <c r="G31" s="190"/>
      <c r="H31" s="325">
        <f ca="1">-ROUND((((D31/B15)-B20)/B23)-(((B31/B15)-B20)/B23),4)*10000</f>
        <v>-64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974"/>
    </row>
    <row r="32" spans="1:23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974"/>
    </row>
    <row r="33" spans="1:23" ht="15.75">
      <c r="A33" s="76" t="s">
        <v>1069</v>
      </c>
      <c r="B33" s="191">
        <v>90827.397169999851</v>
      </c>
      <c r="C33" s="76"/>
      <c r="D33" s="191">
        <f ca="1">D28-D31</f>
        <v>114637.09999999996</v>
      </c>
      <c r="E33" s="190"/>
      <c r="F33" s="303">
        <f ca="1">D33-B33</f>
        <v>23809.702830000111</v>
      </c>
      <c r="G33" s="303"/>
      <c r="H33" s="325">
        <f ca="1">ROUND((((D33/B15)-B20)/B23)-(((B33/B15)-B20)/B23),4)*10000</f>
        <v>349</v>
      </c>
      <c r="I33" s="316">
        <f ca="1">H28+H29+H30</f>
        <v>349.00000000000006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974"/>
    </row>
    <row r="34" spans="1:23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974"/>
    </row>
    <row r="35" spans="1:23" ht="15.75">
      <c r="A35" s="76" t="s">
        <v>1070</v>
      </c>
      <c r="B35" s="190">
        <v>0</v>
      </c>
      <c r="C35" s="76"/>
      <c r="D35" s="190">
        <f>Report!V139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974"/>
    </row>
    <row r="36" spans="1:23" ht="15.75">
      <c r="A36" s="978" t="s">
        <v>1071</v>
      </c>
      <c r="B36" s="191">
        <v>1006.1319359887111</v>
      </c>
      <c r="C36" s="76"/>
      <c r="D36" s="191">
        <f ca="1">D58</f>
        <v>-2876.347380839572</v>
      </c>
      <c r="E36" s="190"/>
      <c r="F36" s="303">
        <f ca="1">D36-B36</f>
        <v>-3882.4793168282831</v>
      </c>
      <c r="G36" s="76"/>
      <c r="H36" s="325">
        <f ca="1">ROUND((((D36/B15)-B20)/B23)-(((B36/B15)-B20)/B23),4)*10000</f>
        <v>-57</v>
      </c>
      <c r="I36" s="316">
        <f ca="1">H36</f>
        <v>-57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974"/>
    </row>
    <row r="37" spans="1:23" s="52" customFormat="1" ht="15.75">
      <c r="A37" s="52" t="s">
        <v>1059</v>
      </c>
      <c r="B37" s="62">
        <v>91833.529105988564</v>
      </c>
      <c r="D37" s="67">
        <f ca="1">D33+SUM(D35:D36)</f>
        <v>111760.7526191604</v>
      </c>
      <c r="E37" s="68"/>
      <c r="F37" s="50">
        <f ca="1">D37-B37</f>
        <v>19927.223513171833</v>
      </c>
      <c r="G37" s="63"/>
      <c r="H37" s="326">
        <f ca="1">ROUND((((D37/B15)-B20)/B23)-(((B37/B15)-B20)/B23),4)*10000</f>
        <v>292</v>
      </c>
      <c r="I37" s="53">
        <f ca="1">H33+H36</f>
        <v>292</v>
      </c>
      <c r="K37" s="53">
        <f ca="1">H37-I37</f>
        <v>0</v>
      </c>
      <c r="W37" s="54"/>
    </row>
    <row r="38" spans="1:23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976"/>
    </row>
    <row r="39" spans="1:23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974"/>
    </row>
    <row r="40" spans="1:23" ht="15.75">
      <c r="A40" s="55" t="s">
        <v>1073</v>
      </c>
      <c r="B40" s="302"/>
      <c r="C40" s="302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974"/>
    </row>
    <row r="41" spans="1:23">
      <c r="A41" s="76" t="s">
        <v>1074</v>
      </c>
      <c r="B41" s="192">
        <v>-3.2007087065721862E-4</v>
      </c>
      <c r="C41" s="76"/>
      <c r="D41" s="192">
        <f ca="1">Report!V109</f>
        <v>0</v>
      </c>
      <c r="E41" s="190"/>
      <c r="F41" s="303">
        <f ca="1">D41-B41</f>
        <v>3.2007087065721862E-4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974"/>
    </row>
    <row r="42" spans="1:23">
      <c r="A42" s="76" t="s">
        <v>1075</v>
      </c>
      <c r="B42" s="192">
        <v>31.340474098839898</v>
      </c>
      <c r="C42" s="76"/>
      <c r="D42" s="192">
        <f ca="1">Report!V110</f>
        <v>28.980152780785676</v>
      </c>
      <c r="E42" s="190"/>
      <c r="F42" s="303">
        <f ca="1">D42-B42</f>
        <v>-2.360321318054222</v>
      </c>
      <c r="G42" s="298"/>
      <c r="H42" s="325">
        <f ca="1">ROUND((((D42/$B$15)-$B$20)/$B$23)-(((B42/$B$15)-$B$20)/$B$23),4)*10000</f>
        <v>0</v>
      </c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974"/>
    </row>
    <row r="43" spans="1:23">
      <c r="A43" s="76" t="s">
        <v>1076</v>
      </c>
      <c r="B43" s="192">
        <v>-92.409253235451331</v>
      </c>
      <c r="C43" s="76"/>
      <c r="D43" s="192">
        <f ca="1">Report!V111</f>
        <v>-435.55689744836917</v>
      </c>
      <c r="E43" s="190"/>
      <c r="F43" s="303">
        <f t="shared" ref="F43:F58" ca="1" si="0">D43-B43</f>
        <v>-343.14764421291784</v>
      </c>
      <c r="G43" s="298"/>
      <c r="H43" s="325">
        <f t="shared" ref="H43:H58" ca="1" si="1">ROUND((((D43/$B$15)-$B$20)/$B$23)-(((B43/$B$15)-$B$20)/$B$23),4)*10000</f>
        <v>-5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974"/>
    </row>
    <row r="44" spans="1:23">
      <c r="A44" s="76" t="s">
        <v>1077</v>
      </c>
      <c r="B44" s="192">
        <v>2099</v>
      </c>
      <c r="C44" s="76"/>
      <c r="D44" s="192">
        <f>Report!V112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974"/>
    </row>
    <row r="45" spans="1:23">
      <c r="A45" s="76" t="s">
        <v>1078</v>
      </c>
      <c r="B45" s="192">
        <v>0</v>
      </c>
      <c r="C45" s="76"/>
      <c r="D45" s="192">
        <f ca="1">Report!V113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974"/>
    </row>
    <row r="46" spans="1:23">
      <c r="A46" s="76" t="s">
        <v>1079</v>
      </c>
      <c r="B46" s="192">
        <v>14.190459380769001</v>
      </c>
      <c r="C46" s="76"/>
      <c r="D46" s="192">
        <f ca="1">Report!V114</f>
        <v>13.437899999999999</v>
      </c>
      <c r="E46" s="190"/>
      <c r="F46" s="303">
        <f t="shared" ca="1" si="0"/>
        <v>-0.75255938076900186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974"/>
    </row>
    <row r="47" spans="1:23">
      <c r="A47" s="76" t="s">
        <v>1080</v>
      </c>
      <c r="B47" s="192">
        <v>53.236054178474994</v>
      </c>
      <c r="C47" s="76"/>
      <c r="D47" s="192">
        <f ca="1">Report!V115</f>
        <v>59.108476990500002</v>
      </c>
      <c r="E47" s="190"/>
      <c r="F47" s="303">
        <f t="shared" ca="1" si="0"/>
        <v>5.8724228120250075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974"/>
    </row>
    <row r="48" spans="1:23">
      <c r="A48" s="76" t="s">
        <v>1081</v>
      </c>
      <c r="B48" s="192">
        <v>-136.8710449950413</v>
      </c>
      <c r="C48" s="76"/>
      <c r="D48" s="192">
        <f ca="1">Report!V116</f>
        <v>0</v>
      </c>
      <c r="E48" s="190"/>
      <c r="F48" s="303">
        <f t="shared" ca="1" si="0"/>
        <v>136.8710449950413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974"/>
    </row>
    <row r="49" spans="1:14">
      <c r="A49" s="76" t="s">
        <v>1082</v>
      </c>
      <c r="B49" s="192">
        <v>29.30058323299987</v>
      </c>
      <c r="C49" s="76"/>
      <c r="D49" s="192">
        <f ca="1">Report!V117</f>
        <v>28.703727937785594</v>
      </c>
      <c r="E49" s="190"/>
      <c r="F49" s="303">
        <f t="shared" ca="1" si="0"/>
        <v>-0.59685529521427583</v>
      </c>
      <c r="G49" s="298"/>
      <c r="H49" s="325">
        <f t="shared" ca="1" si="1"/>
        <v>0</v>
      </c>
      <c r="I49" s="76"/>
      <c r="J49" s="76"/>
      <c r="K49" s="76"/>
      <c r="L49" s="76"/>
      <c r="M49" s="76"/>
      <c r="N49" s="76"/>
    </row>
    <row r="50" spans="1:14">
      <c r="A50" s="76" t="s">
        <v>1083</v>
      </c>
      <c r="B50" s="192">
        <v>4.5190721697556206</v>
      </c>
      <c r="C50" s="76"/>
      <c r="D50" s="192">
        <f ca="1">Report!V118</f>
        <v>4.4270182972260006</v>
      </c>
      <c r="E50" s="190"/>
      <c r="F50" s="303">
        <f t="shared" ca="1" si="0"/>
        <v>-9.2053872529620051E-2</v>
      </c>
      <c r="G50" s="298"/>
      <c r="H50" s="325">
        <f t="shared" ca="1" si="1"/>
        <v>0</v>
      </c>
      <c r="I50" s="76"/>
      <c r="J50" s="76"/>
      <c r="K50" s="76"/>
      <c r="L50" s="76"/>
      <c r="M50" s="76"/>
      <c r="N50" s="76"/>
    </row>
    <row r="51" spans="1:14">
      <c r="A51" s="76" t="s">
        <v>1084</v>
      </c>
      <c r="B51" s="192">
        <v>34.068495817500001</v>
      </c>
      <c r="C51" s="76"/>
      <c r="D51" s="192">
        <f>Report!V119</f>
        <v>0</v>
      </c>
      <c r="E51" s="190"/>
      <c r="F51" s="303">
        <f t="shared" si="0"/>
        <v>-34.068495817500001</v>
      </c>
      <c r="G51" s="298"/>
      <c r="H51" s="325">
        <f t="shared" si="1"/>
        <v>0</v>
      </c>
      <c r="I51" s="76"/>
      <c r="J51" s="76"/>
      <c r="K51" s="76"/>
      <c r="L51" s="76"/>
      <c r="M51" s="76"/>
      <c r="N51" s="76"/>
    </row>
    <row r="52" spans="1:14">
      <c r="A52" s="76" t="s">
        <v>1085</v>
      </c>
      <c r="B52" s="192">
        <v>0</v>
      </c>
      <c r="C52" s="76"/>
      <c r="D52" s="192">
        <f>Report!V120</f>
        <v>0</v>
      </c>
      <c r="E52" s="190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  <c r="L52" s="76"/>
      <c r="M52" s="76"/>
      <c r="N52" s="76"/>
    </row>
    <row r="53" spans="1:14">
      <c r="A53" s="200" t="s">
        <v>65</v>
      </c>
      <c r="B53" s="192">
        <v>-82.709216308034996</v>
      </c>
      <c r="C53" s="76"/>
      <c r="D53" s="192">
        <f ca="1">Report!V121</f>
        <v>-87.940603800000005</v>
      </c>
      <c r="E53" s="190"/>
      <c r="F53" s="303">
        <f ca="1">D53-B53</f>
        <v>-5.231387491965009</v>
      </c>
      <c r="G53" s="298"/>
      <c r="H53" s="325">
        <f ca="1">ROUND((((D53/$B$15)-$B$20)/$B$23)-(((B53/$B$15)-$B$20)/$B$23),4)*10000</f>
        <v>0</v>
      </c>
      <c r="I53" s="76"/>
      <c r="J53" s="76"/>
      <c r="K53" s="76"/>
      <c r="L53" s="76"/>
      <c r="M53" s="76"/>
      <c r="N53" s="76"/>
    </row>
    <row r="54" spans="1:14">
      <c r="A54" s="76" t="s">
        <v>1086</v>
      </c>
      <c r="B54" s="192">
        <v>0</v>
      </c>
      <c r="C54" s="76"/>
      <c r="D54" s="192">
        <f>Report!V122</f>
        <v>0</v>
      </c>
      <c r="E54" s="190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  <c r="L54" s="76"/>
      <c r="M54" s="76"/>
      <c r="N54" s="76"/>
    </row>
    <row r="55" spans="1:14">
      <c r="A55" s="76" t="s">
        <v>66</v>
      </c>
      <c r="B55" s="192">
        <v>-8.992467301141005E-4</v>
      </c>
      <c r="C55" s="76"/>
      <c r="D55" s="192">
        <f ca="1">Report!V123</f>
        <v>-3.3594749993426376E-4</v>
      </c>
      <c r="E55" s="190"/>
      <c r="F55" s="303">
        <f t="shared" ca="1" si="0"/>
        <v>5.6329923017983674E-4</v>
      </c>
      <c r="G55" s="298"/>
      <c r="H55" s="325">
        <f t="shared" ca="1" si="1"/>
        <v>0</v>
      </c>
      <c r="I55" s="76"/>
      <c r="J55" s="76"/>
      <c r="K55" s="76"/>
      <c r="L55" s="76"/>
      <c r="M55" s="76"/>
      <c r="N55" s="76"/>
    </row>
    <row r="56" spans="1:14">
      <c r="A56" s="76" t="s">
        <v>67</v>
      </c>
      <c r="B56" s="192">
        <v>-947.53246903350009</v>
      </c>
      <c r="C56" s="76"/>
      <c r="D56" s="192">
        <f ca="1">Report!V124</f>
        <v>-4586.5068196499997</v>
      </c>
      <c r="E56" s="190"/>
      <c r="F56" s="303">
        <f t="shared" ca="1" si="0"/>
        <v>-3638.9743506164996</v>
      </c>
      <c r="G56" s="298"/>
      <c r="H56" s="325">
        <f t="shared" ca="1" si="1"/>
        <v>-53</v>
      </c>
      <c r="I56" s="76"/>
      <c r="J56" s="76"/>
      <c r="K56" s="76"/>
      <c r="L56" s="76"/>
      <c r="M56" s="76"/>
      <c r="N56" s="76"/>
    </row>
    <row r="57" spans="1:14" ht="15.2" customHeight="1">
      <c r="A57" s="76" t="s">
        <v>1087</v>
      </c>
      <c r="B57" s="191">
        <v>0</v>
      </c>
      <c r="C57" s="76"/>
      <c r="D57" s="191">
        <f>Report!V125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  <c r="L57" s="76"/>
      <c r="M57" s="76"/>
      <c r="N57" s="76"/>
    </row>
    <row r="58" spans="1:14" ht="15.2" customHeight="1">
      <c r="A58" s="76" t="s">
        <v>1088</v>
      </c>
      <c r="B58" s="190">
        <v>1006.1319359887111</v>
      </c>
      <c r="C58" s="76"/>
      <c r="D58" s="190">
        <f ca="1">SUM(D41:D57)</f>
        <v>-2876.347380839572</v>
      </c>
      <c r="E58" s="190"/>
      <c r="F58" s="303">
        <f t="shared" ca="1" si="0"/>
        <v>-3882.4793168282831</v>
      </c>
      <c r="G58" s="76"/>
      <c r="H58" s="325">
        <f t="shared" ca="1" si="1"/>
        <v>-57</v>
      </c>
      <c r="I58" s="76"/>
      <c r="J58" s="76"/>
      <c r="K58" s="76"/>
      <c r="L58" s="76"/>
      <c r="M58" s="76"/>
      <c r="N58" s="76"/>
    </row>
    <row r="59" spans="1:14" ht="15.75">
      <c r="A59" s="52"/>
      <c r="B59" s="76"/>
      <c r="C59" s="76"/>
      <c r="D59" s="76"/>
      <c r="E59" s="76"/>
      <c r="F59" s="50"/>
      <c r="G59" s="76"/>
      <c r="H59" s="316"/>
      <c r="I59" s="76"/>
      <c r="J59" s="76"/>
      <c r="K59" s="76"/>
      <c r="L59" s="76"/>
      <c r="M59" s="76"/>
      <c r="N59" s="76"/>
    </row>
    <row r="60" spans="1:14">
      <c r="A60" s="76"/>
      <c r="B60" s="979"/>
      <c r="C60" s="76"/>
      <c r="D60" s="979"/>
      <c r="E60" s="76"/>
      <c r="F60" s="303"/>
      <c r="G60" s="76"/>
      <c r="H60" s="74"/>
      <c r="I60" s="76"/>
      <c r="J60" s="76"/>
      <c r="K60" s="76"/>
      <c r="L60" s="76"/>
      <c r="M60" s="76"/>
      <c r="N60" s="76"/>
    </row>
    <row r="61" spans="1:14">
      <c r="A61" s="76"/>
      <c r="B61" s="979"/>
      <c r="C61" s="76"/>
      <c r="D61" s="979"/>
      <c r="E61" s="76"/>
      <c r="F61" s="303"/>
      <c r="G61" s="76"/>
      <c r="H61" s="74"/>
      <c r="I61" s="76"/>
      <c r="J61" s="76"/>
      <c r="K61" s="76"/>
      <c r="L61" s="76"/>
      <c r="M61" s="76"/>
      <c r="N61" s="76"/>
    </row>
    <row r="62" spans="1:14">
      <c r="A62" s="300"/>
      <c r="B62" s="303"/>
      <c r="C62" s="303"/>
      <c r="D62" s="303"/>
      <c r="E62" s="303"/>
      <c r="F62" s="76"/>
      <c r="G62" s="76"/>
      <c r="H62" s="316"/>
      <c r="I62" s="76"/>
      <c r="J62" s="76"/>
      <c r="K62" s="76"/>
      <c r="L62" s="76"/>
      <c r="M62" s="76"/>
      <c r="N62" s="76"/>
    </row>
    <row r="63" spans="1:14">
      <c r="A63" s="76"/>
      <c r="B63" s="76"/>
      <c r="C63" s="76"/>
      <c r="D63" s="76"/>
      <c r="E63" s="76"/>
      <c r="F63" s="76"/>
      <c r="G63" s="76"/>
      <c r="H63" s="316"/>
      <c r="I63" s="76"/>
      <c r="J63" s="76"/>
      <c r="K63" s="76"/>
      <c r="L63" s="76"/>
      <c r="M63" s="76"/>
      <c r="N63" s="76"/>
    </row>
    <row r="64" spans="1:14">
      <c r="A64" s="76"/>
      <c r="B64" s="76"/>
      <c r="C64" s="76"/>
      <c r="D64" s="76"/>
      <c r="E64" s="76"/>
      <c r="F64" s="76"/>
      <c r="G64" s="76"/>
      <c r="H64" s="316"/>
      <c r="I64" s="76"/>
      <c r="J64" s="76"/>
      <c r="K64" s="76"/>
      <c r="L64" s="76"/>
      <c r="M64" s="76"/>
      <c r="N64" s="76"/>
    </row>
  </sheetData>
  <conditionalFormatting sqref="K31:K37 K15:K25">
    <cfRule type="cellIs" dxfId="25" priority="1" stopIfTrue="1" operator="equal">
      <formula>0</formula>
    </cfRule>
    <cfRule type="cellIs" dxfId="24" priority="2" stopIfTrue="1" operator="notEqual">
      <formula>0</formula>
    </cfRule>
  </conditionalFormatting>
  <printOptions horizontalCentered="1"/>
  <pageMargins left="0.5" right="0.5" top="0.5" bottom="0.5" header="0.5" footer="0.25"/>
  <pageSetup scale="82" orientation="portrait" r:id="rId1"/>
  <headerFooter>
    <oddFooter>&amp;Z&amp;F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1:X62"/>
  <sheetViews>
    <sheetView zoomScale="85" zoomScaleNormal="85" workbookViewId="0">
      <selection activeCell="O15" sqref="O15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1053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1722120.6450564822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303406.74238291406</v>
      </c>
      <c r="G9" s="303"/>
      <c r="H9" s="316">
        <f ca="1">ROUND((((B17/(D9+D10+D11+D13))-B20)/B23)-(((B17/(B9+D10+D11+D13))-B20)/B23),4)*10000</f>
        <v>-188</v>
      </c>
      <c r="I9" s="316">
        <f ca="1">ROUND((((B17/(D9+D10+D11+D13))-B20)/B23)-(((B17/(B9+D10+D11+D13))-B20)/B23),4)*10000</f>
        <v>-188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65318.578052307712</v>
      </c>
      <c r="C10" s="76"/>
      <c r="D10" s="303">
        <f ca="1">+'COMP Act to Prior'!D10</f>
        <v>26412.458933076909</v>
      </c>
      <c r="E10" s="76"/>
      <c r="F10" s="303">
        <f ca="1">D10-B10</f>
        <v>-38906.119119230803</v>
      </c>
      <c r="G10" s="303"/>
      <c r="H10" s="316">
        <f ca="1">ROUND((((B17/(D9+D11+D13+D10))-B20)/B23)-(((B17/(B10+D9+D11+D13))-B20)/B23),4)*10000</f>
        <v>20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-5000</v>
      </c>
      <c r="C12" s="76"/>
      <c r="D12" s="303">
        <f ca="1">+'COMP Act to Prior'!D12</f>
        <v>1184.5254784615386</v>
      </c>
      <c r="E12" s="76"/>
      <c r="F12" s="303">
        <f ca="1">D12-B12</f>
        <v>6184.525478461539</v>
      </c>
      <c r="G12" s="190"/>
      <c r="H12" s="316">
        <f ca="1">ROUND((((B17/(D9+D10+D11+D12+D13))-B20)/B23)-(((B17/(B12+D9+D10+D11+D13))-B20)/B23),4)*10000</f>
        <v>-2.9999999999999996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-24626.987594470742</v>
      </c>
      <c r="C13" s="76"/>
      <c r="D13" s="315">
        <f ca="1">+'COMP Act to Prior'!D13</f>
        <v>-28792.100266969584</v>
      </c>
      <c r="E13" s="76"/>
      <c r="F13" s="303">
        <f ca="1">D13-B13</f>
        <v>-4165.1126724988426</v>
      </c>
      <c r="G13" s="190"/>
      <c r="H13" s="316">
        <f ca="1">ROUND((((B17/(D9+D10+D11+D12+D13))-B20)/B23)-(((B17/(B13+D9+D10+D11+D12))-B20)/B23),4)*10000</f>
        <v>2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1757812.2355</v>
      </c>
      <c r="C15" s="52"/>
      <c r="D15" s="61">
        <f ca="1">+'COMP Act to Prior'!D15</f>
        <v>2024332.2716000001</v>
      </c>
      <c r="E15" s="52"/>
      <c r="F15" s="50">
        <f ca="1">D15-B15</f>
        <v>266520.03610000014</v>
      </c>
      <c r="G15" s="50"/>
      <c r="H15" s="53">
        <f ca="1">ROUND((((B17/D15)-B20)/B23)-(((B17/B15)-B20)/B23),4)*10000</f>
        <v>-161</v>
      </c>
      <c r="I15" s="53">
        <f ca="1">SUM(H9:H13)</f>
        <v>-169</v>
      </c>
      <c r="J15" s="316"/>
      <c r="K15" s="53">
        <f ca="1">H15-I15</f>
        <v>8</v>
      </c>
      <c r="L15" s="76"/>
      <c r="M15" s="76"/>
      <c r="N15" s="76"/>
      <c r="O15" s="975">
        <f ca="1">-F15/H15</f>
        <v>1655.4039509316779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101171.4877</v>
      </c>
      <c r="D17" s="62">
        <f ca="1">+'COMP Act to Prior'!D17</f>
        <v>111760.75260000001</v>
      </c>
      <c r="F17" s="50">
        <f ca="1">D17-B17</f>
        <v>10589.264900000009</v>
      </c>
      <c r="G17" s="63"/>
      <c r="H17" s="64">
        <f ca="1">ROUND((((D17/B15)-B20)/B23)-(((B17/B15)-B20)/B23),4)*10000</f>
        <v>128</v>
      </c>
      <c r="I17" s="53"/>
      <c r="J17" s="53"/>
      <c r="K17" s="53"/>
      <c r="L17" s="64"/>
      <c r="M17" s="76"/>
      <c r="N17" s="76"/>
      <c r="O17" s="975">
        <f ca="1">-F17/H17</f>
        <v>-82.728632031250072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5.7599999999999998E-2</v>
      </c>
      <c r="C19" s="76"/>
      <c r="D19" s="298">
        <f ca="1">+'COMP Act to Prior'!D19</f>
        <v>5.5199999999999999E-2</v>
      </c>
      <c r="E19" s="76"/>
      <c r="F19" s="298">
        <f ca="1">D19-B19</f>
        <v>-2.3999999999999994E-3</v>
      </c>
      <c r="G19" s="298"/>
      <c r="H19" s="316">
        <f ca="1">ROUND((F19/$B$23)*10000,0)</f>
        <v>-51</v>
      </c>
      <c r="I19" s="53">
        <f ca="1">H15+H17</f>
        <v>-33</v>
      </c>
      <c r="J19" s="316"/>
      <c r="K19" s="53">
        <f ca="1">H19-I19</f>
        <v>-18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1.38E-2</v>
      </c>
      <c r="C20" s="76"/>
      <c r="D20" s="299">
        <f ca="1">+'COMP Act to Prior'!D20</f>
        <v>1.7999999999999999E-2</v>
      </c>
      <c r="E20" s="76"/>
      <c r="F20" s="298">
        <f ca="1">D20-B20</f>
        <v>4.1999999999999989E-3</v>
      </c>
      <c r="G20" s="298"/>
      <c r="H20" s="316">
        <f ca="1">-ROUND((F20/$B$23)*10000,0)</f>
        <v>-89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4.3799999999999999E-2</v>
      </c>
      <c r="C22" s="76"/>
      <c r="D22" s="298">
        <f ca="1">+'COMP Act to Prior'!D22</f>
        <v>3.7199999999999997E-2</v>
      </c>
      <c r="E22" s="76"/>
      <c r="F22" s="298">
        <f ca="1">D22-B22</f>
        <v>-6.6000000000000017E-3</v>
      </c>
      <c r="G22" s="298"/>
      <c r="H22" s="316">
        <f ca="1">ROUND((F22/$B$23)*10000,0)</f>
        <v>-141</v>
      </c>
      <c r="I22" s="53">
        <f ca="1">H19+H20</f>
        <v>-140</v>
      </c>
      <c r="J22" s="316"/>
      <c r="K22" s="53">
        <f ca="1">H22-I22</f>
        <v>-1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0.46960000000000002</v>
      </c>
      <c r="C23" s="76"/>
      <c r="D23" s="299">
        <f ca="1">+'COMP Act to Prior'!D23</f>
        <v>0.47539999999999999</v>
      </c>
      <c r="E23" s="76"/>
      <c r="F23" s="298">
        <f ca="1">D23-B23</f>
        <v>5.7999999999999718E-3</v>
      </c>
      <c r="G23" s="298"/>
      <c r="H23" s="316">
        <f ca="1">ROUND((B22/D23)-(B22/B23),4)*10000</f>
        <v>-11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v>9.3199999999999991E-2</v>
      </c>
      <c r="D25" s="189">
        <f ca="1">+'COMP Act to Prior'!D25</f>
        <v>7.8100000000000003E-2</v>
      </c>
      <c r="F25" s="65">
        <f ca="1">D25-B25</f>
        <v>-1.5099999999999988E-2</v>
      </c>
      <c r="G25" s="65"/>
      <c r="H25" s="53">
        <f ca="1">(D25-B25)*10000</f>
        <v>-150.99999999999989</v>
      </c>
      <c r="I25" s="53">
        <f ca="1">H22+H23</f>
        <v>-152</v>
      </c>
      <c r="J25" s="53"/>
      <c r="K25" s="53">
        <f ca="1">H25-I25</f>
        <v>1.0000000000001137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433">
        <v>128059.19999999987</v>
      </c>
      <c r="C28" s="76"/>
      <c r="D28" s="977">
        <f ca="1">+'COMP Act to Prior'!D28</f>
        <v>140503.29999999996</v>
      </c>
      <c r="E28" s="190"/>
      <c r="F28" s="303">
        <f ca="1">D28-B28</f>
        <v>12444.100000000093</v>
      </c>
      <c r="G28" s="303"/>
      <c r="H28" s="325">
        <f ca="1">ROUND((((D28/B15)-B20)/B23)-(((B28/B15)-B20)/B23),4)*10000</f>
        <v>151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25975</v>
      </c>
      <c r="C29" s="76"/>
      <c r="D29" s="434">
        <f ca="1">+'COMP Act to Prior'!D29</f>
        <v>25866.2</v>
      </c>
      <c r="E29" s="190"/>
      <c r="F29" s="303">
        <f ca="1">D29-B29</f>
        <v>-108.79999999999927</v>
      </c>
      <c r="G29" s="303"/>
      <c r="H29" s="325">
        <f ca="1">-ROUND((((D29/B15)-B20)/B23)-(((B29/B15)-B20)/B23),4)*10000</f>
        <v>1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25975</v>
      </c>
      <c r="C31" s="300"/>
      <c r="D31" s="191">
        <f ca="1">+'COMP Act to Prior'!D31</f>
        <v>25866.2</v>
      </c>
      <c r="E31" s="190"/>
      <c r="F31" s="303">
        <f ca="1">D31-B31</f>
        <v>-108.79999999999927</v>
      </c>
      <c r="G31" s="190"/>
      <c r="H31" s="325">
        <f ca="1">-ROUND((((D31/B15)-B20)/B23)-(((B31/B15)-B20)/B23),4)*10000</f>
        <v>1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102084.19999999987</v>
      </c>
      <c r="C33" s="76"/>
      <c r="D33" s="191">
        <f ca="1">+'COMP Act to Prior'!D33</f>
        <v>114637.09999999996</v>
      </c>
      <c r="E33" s="190"/>
      <c r="F33" s="303">
        <f ca="1">D33-B33</f>
        <v>12552.900000000096</v>
      </c>
      <c r="G33" s="303"/>
      <c r="H33" s="325">
        <f ca="1">ROUND((((D33/B15)-B20)/B23)-(((B33/B15)-B20)/B23),4)*10000</f>
        <v>152</v>
      </c>
      <c r="I33" s="316">
        <f ca="1">H28+H29+H30</f>
        <v>152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-912.7123062110893</v>
      </c>
      <c r="C36" s="978"/>
      <c r="D36" s="191">
        <f ca="1">+'COMP Act to Prior'!D36</f>
        <v>-2876.347380839572</v>
      </c>
      <c r="E36" s="190"/>
      <c r="F36" s="303">
        <f ca="1">D36-B36</f>
        <v>-1963.6350746284827</v>
      </c>
      <c r="G36" s="76"/>
      <c r="H36" s="325">
        <f ca="1">ROUND((((D36/B15)-B20)/B23)-(((B36/B15)-B20)/B23),4)*10000</f>
        <v>-23.999999999999996</v>
      </c>
      <c r="I36" s="316">
        <f ca="1">H36</f>
        <v>-23.999999999999996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2">
        <v>101171.48769378877</v>
      </c>
      <c r="D37" s="67">
        <f ca="1">+'COMP Act to Prior'!D37</f>
        <v>111760.7526191604</v>
      </c>
      <c r="E37" s="68"/>
      <c r="F37" s="50">
        <f ca="1">D37-B37</f>
        <v>10589.264925371623</v>
      </c>
      <c r="G37" s="63"/>
      <c r="H37" s="326">
        <f ca="1">ROUND((((D37/B15)-B20)/B23)-(((B37/B15)-B20)/B23),4)*10000</f>
        <v>128</v>
      </c>
      <c r="I37" s="53">
        <f ca="1">H33+H36</f>
        <v>128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37.464298165050174</v>
      </c>
      <c r="C42" s="76"/>
      <c r="D42" s="192">
        <f ca="1">+'COMP Act to Prior'!D42</f>
        <v>28.980152780785676</v>
      </c>
      <c r="E42" s="190"/>
      <c r="F42" s="303">
        <f ca="1">D42-B42</f>
        <v>-8.4841453842644974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-240.32805942218229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-195.22883802618688</v>
      </c>
      <c r="G43" s="298"/>
      <c r="H43" s="325">
        <f t="shared" ref="H43:H58" ca="1" si="1">ROUND((((D43/$B$15)-$B$20)/$B$23)-(((B43/$B$15)-$B$20)/$B$23),4)*10000</f>
        <v>-2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8.0851365000000008</v>
      </c>
      <c r="C46" s="76"/>
      <c r="D46" s="192">
        <f ca="1">+'COMP Act to Prior'!D46</f>
        <v>13.437899999999999</v>
      </c>
      <c r="E46" s="190"/>
      <c r="F46" s="303">
        <f t="shared" ca="1" si="0"/>
        <v>5.3527634999999982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51.405499435500005</v>
      </c>
      <c r="C47" s="76"/>
      <c r="D47" s="192">
        <f ca="1">+'COMP Act to Prior'!D47</f>
        <v>59.108476990500002</v>
      </c>
      <c r="E47" s="190"/>
      <c r="F47" s="303">
        <f t="shared" ca="1" si="0"/>
        <v>7.7029775549999968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0</v>
      </c>
      <c r="C48" s="76"/>
      <c r="D48" s="192">
        <f ca="1">+'COMP Act to Prior'!D48</f>
        <v>0</v>
      </c>
      <c r="E48" s="190"/>
      <c r="F48" s="303">
        <f t="shared" ca="1" si="0"/>
        <v>0</v>
      </c>
      <c r="G48" s="298"/>
      <c r="H48" s="325">
        <f t="shared" ca="1" si="1"/>
        <v>0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28.899926664890394</v>
      </c>
      <c r="C49" s="76"/>
      <c r="D49" s="192">
        <f ca="1">+'COMP Act to Prior'!D49</f>
        <v>28.703727937785594</v>
      </c>
      <c r="E49" s="190"/>
      <c r="F49" s="303">
        <f t="shared" ca="1" si="0"/>
        <v>-0.19619872710480024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4.0923866886524998</v>
      </c>
      <c r="C50" s="76"/>
      <c r="D50" s="192">
        <f ca="1">+'COMP Act to Prior'!D50</f>
        <v>4.4270182972260006</v>
      </c>
      <c r="E50" s="190"/>
      <c r="F50" s="303">
        <f t="shared" ca="1" si="0"/>
        <v>0.33463160857350083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-81.024422755499998</v>
      </c>
      <c r="C53" s="200"/>
      <c r="D53" s="192">
        <f ca="1">+'COMP Act to Prior'!D53</f>
        <v>-87.940603800000005</v>
      </c>
      <c r="E53" s="76"/>
      <c r="F53" s="303">
        <f ca="1">D53-B53</f>
        <v>-6.9161810445000071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-9.3318750032267417E-4</v>
      </c>
      <c r="C55" s="76"/>
      <c r="D55" s="192">
        <f ca="1">+'COMP Act to Prior'!D55</f>
        <v>-3.3594749993426376E-4</v>
      </c>
      <c r="E55" s="190"/>
      <c r="F55" s="303">
        <f t="shared" ca="1" si="0"/>
        <v>5.9724000038841041E-4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-2820.3061382999999</v>
      </c>
      <c r="C56" s="76"/>
      <c r="D56" s="192">
        <f ca="1">+'COMP Act to Prior'!D56</f>
        <v>-4586.5068196499997</v>
      </c>
      <c r="E56" s="190"/>
      <c r="F56" s="303">
        <f t="shared" ca="1" si="0"/>
        <v>-1766.2006813499997</v>
      </c>
      <c r="G56" s="298"/>
      <c r="H56" s="325">
        <f t="shared" ca="1" si="1"/>
        <v>-21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-912.7123062110893</v>
      </c>
      <c r="C58" s="76"/>
      <c r="D58" s="190">
        <f ca="1">+'COMP Act to Prior'!D58</f>
        <v>-2876.347380839572</v>
      </c>
      <c r="E58" s="190"/>
      <c r="F58" s="303">
        <f t="shared" ca="1" si="0"/>
        <v>-1963.6350746284827</v>
      </c>
      <c r="G58" s="76"/>
      <c r="H58" s="325">
        <f t="shared" ca="1" si="1"/>
        <v>-23.999999999999996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23" priority="1" stopIfTrue="1" operator="equal">
      <formula>0</formula>
    </cfRule>
    <cfRule type="cellIs" dxfId="22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X64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257" t="s">
        <v>1089</v>
      </c>
      <c r="C6" s="51"/>
      <c r="D6" s="257" t="str">
        <f>+'COMP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187" t="s">
        <v>1090</v>
      </c>
      <c r="C7" s="55"/>
      <c r="D7" s="342" t="s">
        <v>1091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688482.74965200468</v>
      </c>
      <c r="C9" s="76"/>
      <c r="D9" s="432">
        <v>685766.60682471667</v>
      </c>
      <c r="E9" s="76"/>
      <c r="F9" s="303">
        <f>D9-B9</f>
        <v>-2716.1428272880148</v>
      </c>
      <c r="G9" s="303"/>
      <c r="H9" s="316">
        <f>ROUND((((B17/(D9+D10+D11+D13))-B20)/B23)-(((B17/(B9+D10+D11+D13))-B20)/B23),4)*10000</f>
        <v>5</v>
      </c>
      <c r="I9" s="76"/>
      <c r="J9" s="58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28097.368307692308</v>
      </c>
      <c r="C10" s="76"/>
      <c r="D10" s="303">
        <v>30384.686166923078</v>
      </c>
      <c r="E10" s="76"/>
      <c r="F10" s="303">
        <f>D10-B10</f>
        <v>2287.3178592307704</v>
      </c>
      <c r="G10" s="303"/>
      <c r="H10" s="316">
        <f>ROUND((((B17/(D9+D11+D13+D10))-B20)/B23)-(((B17/(B10+D9+D11+D13))-B20)/B23),4)*10000</f>
        <v>-5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v>0</v>
      </c>
      <c r="E11" s="76"/>
      <c r="F11" s="303">
        <f>D11-B11</f>
        <v>0</v>
      </c>
      <c r="G11" s="190"/>
      <c r="H11" s="316">
        <f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13626</v>
      </c>
      <c r="C12" s="76"/>
      <c r="D12" s="303">
        <v>12447</v>
      </c>
      <c r="E12" s="76"/>
      <c r="F12" s="303">
        <f>D12-B12</f>
        <v>-1179</v>
      </c>
      <c r="G12" s="190"/>
      <c r="H12" s="316">
        <f>ROUND((((B17/(D9+D10+D11+D12+D13))-B20)/B23)-(((B17/(B12+D9+D10+D11+D13))-B20)/B23),4)*10000</f>
        <v>2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14136.715384615385</v>
      </c>
      <c r="C13" s="76"/>
      <c r="D13" s="315">
        <v>15024.053846153845</v>
      </c>
      <c r="E13" s="76"/>
      <c r="F13" s="303">
        <f>D13-B13</f>
        <v>887.33846153846025</v>
      </c>
      <c r="G13" s="190"/>
      <c r="H13" s="316">
        <f>ROUND((((B17/(D9+D10+D11+D12+D13))-B20)/B23)-(((B17/(B13+D9+D10+D11+D12))-B20)/B23),4)*10000</f>
        <v>-2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744342.83330000006</v>
      </c>
      <c r="C15" s="52"/>
      <c r="D15" s="61">
        <v>743622.34680000006</v>
      </c>
      <c r="E15" s="52"/>
      <c r="F15" s="50">
        <f>D15-B15</f>
        <v>-720.48649999999907</v>
      </c>
      <c r="G15" s="50"/>
      <c r="H15" s="53">
        <f>ROUND((((B17/D15)-B20)/B23)-(((B17/B15)-B20)/B23),4)*10000</f>
        <v>1</v>
      </c>
      <c r="I15" s="53">
        <f>SUM(H9:H13)</f>
        <v>0</v>
      </c>
      <c r="J15" s="316"/>
      <c r="K15" s="53">
        <f>H15-I15</f>
        <v>1</v>
      </c>
      <c r="L15" s="76"/>
      <c r="M15" s="76"/>
      <c r="N15" s="76"/>
      <c r="O15" s="975"/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45512.261200000001</v>
      </c>
      <c r="D17" s="62">
        <v>43643.950299999997</v>
      </c>
      <c r="F17" s="50">
        <f>D17-B17</f>
        <v>-1868.310900000004</v>
      </c>
      <c r="G17" s="63"/>
      <c r="H17" s="64">
        <f>ROUND((((D17/B15)-B20)/B23)-(((B17/B15)-B20)/B23),4)*10000</f>
        <v>-59</v>
      </c>
      <c r="I17" s="53"/>
      <c r="J17" s="53"/>
      <c r="K17" s="53"/>
      <c r="L17" s="64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6.1100000000000002E-2</v>
      </c>
      <c r="C19" s="76"/>
      <c r="D19" s="298">
        <v>5.8700000000000002E-2</v>
      </c>
      <c r="E19" s="76"/>
      <c r="F19" s="298">
        <f>D19-B19</f>
        <v>-2.3999999999999994E-3</v>
      </c>
      <c r="G19" s="298"/>
      <c r="H19" s="316">
        <f>ROUND((F19/$B$23)*10000,0)</f>
        <v>-56</v>
      </c>
      <c r="I19" s="53">
        <f>H15+H17</f>
        <v>-58</v>
      </c>
      <c r="J19" s="316"/>
      <c r="K19" s="53">
        <f>H19-I19</f>
        <v>2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1.8700000000000001E-2</v>
      </c>
      <c r="C20" s="76"/>
      <c r="D20" s="299">
        <v>1.8599999999999998E-2</v>
      </c>
      <c r="E20" s="76"/>
      <c r="F20" s="298">
        <f>D20-B20</f>
        <v>-1.0000000000000286E-4</v>
      </c>
      <c r="G20" s="298"/>
      <c r="H20" s="316">
        <f>-ROUND((F20/$B$23)*10000,0)</f>
        <v>2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4.24E-2</v>
      </c>
      <c r="C22" s="76"/>
      <c r="D22" s="298">
        <v>4.0099999999999997E-2</v>
      </c>
      <c r="E22" s="76"/>
      <c r="F22" s="298">
        <f>D22-B22</f>
        <v>-2.3000000000000034E-3</v>
      </c>
      <c r="G22" s="298"/>
      <c r="H22" s="316">
        <f>ROUND((F22/$B$23)*10000,0)</f>
        <v>-54</v>
      </c>
      <c r="I22" s="53">
        <f>H19+H20</f>
        <v>-54</v>
      </c>
      <c r="J22" s="316"/>
      <c r="K22" s="53">
        <f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0.42780000000000001</v>
      </c>
      <c r="C23" s="76"/>
      <c r="D23" s="299">
        <v>0.42749999999999999</v>
      </c>
      <c r="E23" s="76"/>
      <c r="F23" s="298">
        <f>D23-B23</f>
        <v>-3.0000000000002247E-4</v>
      </c>
      <c r="G23" s="298"/>
      <c r="H23" s="316">
        <f>ROUND((B22/D23)-(B22/B23),4)*10000</f>
        <v>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v>9.9199999999999997E-2</v>
      </c>
      <c r="D25" s="189">
        <v>9.3799999999999994E-2</v>
      </c>
      <c r="F25" s="65">
        <f>D25-B25</f>
        <v>-5.400000000000002E-3</v>
      </c>
      <c r="G25" s="65"/>
      <c r="H25" s="53">
        <f>(D25-B25)*10000</f>
        <v>-54.000000000000021</v>
      </c>
      <c r="I25" s="53">
        <f>H22+H23</f>
        <v>-53</v>
      </c>
      <c r="J25" s="53"/>
      <c r="K25" s="53">
        <f>H25-I25</f>
        <v>-1.0000000000000213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981">
        <v>68200.37248999998</v>
      </c>
      <c r="C28" s="76"/>
      <c r="D28" s="977">
        <v>65041.159560000058</v>
      </c>
      <c r="E28" s="190"/>
      <c r="F28" s="303">
        <f>D28-B28</f>
        <v>-3159.2129299999215</v>
      </c>
      <c r="G28" s="303"/>
      <c r="H28" s="325">
        <f>ROUND((((D28/B15)-B20)/B23)-(((B28/B15)-B20)/B23),4)*10000</f>
        <v>-99.000000000000014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20518.937209999996</v>
      </c>
      <c r="C29" s="76"/>
      <c r="D29" s="434">
        <v>19267.41584473665</v>
      </c>
      <c r="E29" s="190"/>
      <c r="F29" s="303">
        <f>D29-B29</f>
        <v>-1251.5213652633465</v>
      </c>
      <c r="G29" s="303"/>
      <c r="H29" s="325">
        <f>-ROUND((((D29/B15)-B20)/B23)-(((B29/B15)-B20)/B23),4)*10000</f>
        <v>39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20518.937209999996</v>
      </c>
      <c r="C31" s="300"/>
      <c r="D31" s="191">
        <v>19267.41584473665</v>
      </c>
      <c r="E31" s="190"/>
      <c r="F31" s="303">
        <f>D31-B31</f>
        <v>-1251.5213652633465</v>
      </c>
      <c r="G31" s="190"/>
      <c r="H31" s="325">
        <f>-ROUND((((D31/B15)-B20)/B23)-(((B31/B15)-B20)/B23),4)*10000</f>
        <v>39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47681.435279999983</v>
      </c>
      <c r="C33" s="76"/>
      <c r="D33" s="191">
        <v>45773.743715263408</v>
      </c>
      <c r="E33" s="190"/>
      <c r="F33" s="303">
        <f>D33-B33</f>
        <v>-1907.6915647365749</v>
      </c>
      <c r="G33" s="303"/>
      <c r="H33" s="325">
        <f>ROUND((((D33/B15)-B20)/B23)-(((B33/B15)-B20)/B23),4)*10000</f>
        <v>-60</v>
      </c>
      <c r="I33" s="316">
        <f>H28+H29+H30</f>
        <v>-60.000000000000014</v>
      </c>
      <c r="J33" s="76"/>
      <c r="K33" s="53">
        <f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-2169.1740978951329</v>
      </c>
      <c r="C36" s="978"/>
      <c r="D36" s="191">
        <v>-2129.793427064028</v>
      </c>
      <c r="E36" s="190"/>
      <c r="F36" s="303">
        <f>D36-B36</f>
        <v>39.380670831104908</v>
      </c>
      <c r="G36" s="76"/>
      <c r="H36" s="325">
        <f>ROUND((((D36/B15)-B20)/B23)-(((B36/B15)-B20)/B23),4)*10000</f>
        <v>1</v>
      </c>
      <c r="I36" s="316">
        <f>H36</f>
        <v>1</v>
      </c>
      <c r="J36" s="76"/>
      <c r="K36" s="53">
        <f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7">
        <v>45512.261182104849</v>
      </c>
      <c r="D37" s="67">
        <v>43643.950288199383</v>
      </c>
      <c r="E37" s="68"/>
      <c r="F37" s="50">
        <f>D37-B37</f>
        <v>-1868.3108939054655</v>
      </c>
      <c r="G37" s="63"/>
      <c r="H37" s="326">
        <f>ROUND((((D37/B15)-B20)/B23)-(((B37/B15)-B20)/B23),4)*10000</f>
        <v>-59</v>
      </c>
      <c r="I37" s="53">
        <f>H33+H36</f>
        <v>-59</v>
      </c>
      <c r="K37" s="53">
        <f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>D37-D17</f>
        <v>-1.1800613719969988E-5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v>0</v>
      </c>
      <c r="E41" s="190"/>
      <c r="F41" s="303">
        <f>D41-B41</f>
        <v>0</v>
      </c>
      <c r="G41" s="298"/>
      <c r="H41" s="325">
        <f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10.079000424867271</v>
      </c>
      <c r="C42" s="76"/>
      <c r="D42" s="192">
        <v>10.079459159971712</v>
      </c>
      <c r="E42" s="190"/>
      <c r="F42" s="303">
        <f>D42-B42</f>
        <v>4.5873510444138788E-4</v>
      </c>
      <c r="G42" s="298"/>
      <c r="H42" s="325">
        <f>ROUND((((D42/$B$15)-$B$20)/$B$23)-(((B42/$B$15)-$B$20)/$B$23),4)*10000</f>
        <v>0</v>
      </c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-364</v>
      </c>
      <c r="C43" s="76"/>
      <c r="D43" s="192">
        <v>-362</v>
      </c>
      <c r="E43" s="190"/>
      <c r="F43" s="303">
        <f t="shared" ref="F43:F60" si="0">D43-B43</f>
        <v>2</v>
      </c>
      <c r="G43" s="298"/>
      <c r="H43" s="325">
        <f t="shared" ref="H43:H60" si="1">ROUND((((D43/$B$15)-$B$20)/$B$23)-(((B43/$B$15)-$B$20)/$B$23),4)*10000</f>
        <v>0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0</v>
      </c>
      <c r="C44" s="76"/>
      <c r="D44" s="192">
        <v>0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v>0</v>
      </c>
      <c r="E45" s="190"/>
      <c r="F45" s="303">
        <f t="shared" si="0"/>
        <v>0</v>
      </c>
      <c r="G45" s="298"/>
      <c r="H45" s="325">
        <f t="shared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10.122600000000002</v>
      </c>
      <c r="C46" s="76"/>
      <c r="D46" s="192">
        <v>9.1975999999999996</v>
      </c>
      <c r="E46" s="190"/>
      <c r="F46" s="303">
        <f t="shared" si="0"/>
        <v>-0.92500000000000249</v>
      </c>
      <c r="G46" s="298"/>
      <c r="H46" s="325">
        <f t="shared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19.619209999999999</v>
      </c>
      <c r="C47" s="76"/>
      <c r="D47" s="192">
        <v>28.062779999999997</v>
      </c>
      <c r="E47" s="190"/>
      <c r="F47" s="303">
        <f t="shared" si="0"/>
        <v>8.4435699999999976</v>
      </c>
      <c r="G47" s="298"/>
      <c r="H47" s="325">
        <f t="shared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4.9020000000000001</v>
      </c>
      <c r="C48" s="76"/>
      <c r="D48" s="192">
        <v>4.9020000000000001</v>
      </c>
      <c r="E48" s="190"/>
      <c r="F48" s="303">
        <f t="shared" si="0"/>
        <v>0</v>
      </c>
      <c r="G48" s="298"/>
      <c r="H48" s="325">
        <f t="shared" si="1"/>
        <v>0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23.342261679999993</v>
      </c>
      <c r="C49" s="76"/>
      <c r="D49" s="192">
        <v>23.673573775999998</v>
      </c>
      <c r="E49" s="190"/>
      <c r="F49" s="303">
        <f t="shared" si="0"/>
        <v>0.33131209600000489</v>
      </c>
      <c r="G49" s="298"/>
      <c r="H49" s="325">
        <f t="shared" si="1"/>
        <v>0</v>
      </c>
      <c r="I49" s="76"/>
      <c r="J49" s="76"/>
      <c r="K49" s="76"/>
    </row>
    <row r="50" spans="1:11">
      <c r="A50" s="76" t="s">
        <v>1083</v>
      </c>
      <c r="B50" s="192">
        <v>6.5239999999999991</v>
      </c>
      <c r="C50" s="76"/>
      <c r="D50" s="192">
        <v>6.5239999999999991</v>
      </c>
      <c r="E50" s="190"/>
      <c r="F50" s="303">
        <f t="shared" si="0"/>
        <v>0</v>
      </c>
      <c r="G50" s="298"/>
      <c r="H50" s="325">
        <f t="shared" si="1"/>
        <v>0</v>
      </c>
      <c r="I50" s="76"/>
      <c r="J50" s="76"/>
      <c r="K50" s="76"/>
    </row>
    <row r="51" spans="1:11">
      <c r="A51" s="76" t="s">
        <v>1092</v>
      </c>
      <c r="B51" s="192">
        <v>34.016829999999999</v>
      </c>
      <c r="C51" s="76"/>
      <c r="D51" s="192">
        <v>28.403840000000002</v>
      </c>
      <c r="E51" s="190"/>
      <c r="F51" s="303">
        <f t="shared" si="0"/>
        <v>-5.6129899999999964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1093</v>
      </c>
      <c r="B52" s="192">
        <v>0</v>
      </c>
      <c r="C52" s="76"/>
      <c r="D52" s="192">
        <v>0</v>
      </c>
      <c r="E52" s="190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76" t="s">
        <v>1084</v>
      </c>
      <c r="B53" s="192">
        <v>49</v>
      </c>
      <c r="C53" s="76"/>
      <c r="D53" s="192">
        <v>49</v>
      </c>
      <c r="E53" s="190"/>
      <c r="F53" s="303">
        <f t="shared" si="0"/>
        <v>0</v>
      </c>
      <c r="G53" s="298"/>
      <c r="H53" s="325">
        <f t="shared" si="1"/>
        <v>0</v>
      </c>
      <c r="I53" s="76"/>
      <c r="J53" s="76"/>
      <c r="K53" s="76"/>
    </row>
    <row r="54" spans="1:11">
      <c r="A54" s="76" t="s">
        <v>1085</v>
      </c>
      <c r="B54" s="192">
        <v>0</v>
      </c>
      <c r="C54" s="76"/>
      <c r="D54" s="192"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200" t="s">
        <v>65</v>
      </c>
      <c r="B55" s="192">
        <v>-83</v>
      </c>
      <c r="C55" s="200"/>
      <c r="D55" s="192">
        <v>-83</v>
      </c>
      <c r="E55" s="76"/>
      <c r="F55" s="303">
        <f>D55-B55</f>
        <v>0</v>
      </c>
      <c r="G55" s="298"/>
      <c r="H55" s="325">
        <f>ROUND((((D55/$B$15)-$B$20)/$B$23)-(((B55/$B$15)-$B$20)/$B$23),4)*10000</f>
        <v>0</v>
      </c>
      <c r="I55" s="76"/>
      <c r="J55" s="76"/>
      <c r="K55" s="76"/>
    </row>
    <row r="56" spans="1:11">
      <c r="A56" s="76" t="s">
        <v>1086</v>
      </c>
      <c r="B56" s="192">
        <v>0</v>
      </c>
      <c r="C56" s="76"/>
      <c r="D56" s="192">
        <v>0</v>
      </c>
      <c r="E56" s="76"/>
      <c r="F56" s="303">
        <f t="shared" si="0"/>
        <v>0</v>
      </c>
      <c r="G56" s="298"/>
      <c r="H56" s="325">
        <f t="shared" si="1"/>
        <v>0</v>
      </c>
      <c r="I56" s="76"/>
      <c r="J56" s="76"/>
      <c r="K56" s="76"/>
    </row>
    <row r="57" spans="1:11">
      <c r="A57" s="76" t="s">
        <v>66</v>
      </c>
      <c r="B57" s="192">
        <v>0</v>
      </c>
      <c r="C57" s="76"/>
      <c r="D57" s="192">
        <v>-1.6799999993963866E-3</v>
      </c>
      <c r="E57" s="190"/>
      <c r="F57" s="303">
        <f t="shared" si="0"/>
        <v>-1.6799999993963866E-3</v>
      </c>
      <c r="G57" s="298"/>
      <c r="H57" s="325">
        <f t="shared" si="1"/>
        <v>0</v>
      </c>
      <c r="I57" s="76"/>
      <c r="J57" s="76"/>
      <c r="K57" s="76"/>
    </row>
    <row r="58" spans="1:11">
      <c r="A58" s="76" t="s">
        <v>67</v>
      </c>
      <c r="B58" s="192">
        <v>-1879.7800000000002</v>
      </c>
      <c r="C58" s="76"/>
      <c r="D58" s="192">
        <v>-1844.6350000000002</v>
      </c>
      <c r="E58" s="190"/>
      <c r="F58" s="303">
        <f t="shared" si="0"/>
        <v>35.144999999999982</v>
      </c>
      <c r="G58" s="298"/>
      <c r="H58" s="325">
        <f t="shared" si="1"/>
        <v>1</v>
      </c>
      <c r="I58" s="76"/>
      <c r="J58" s="76"/>
      <c r="K58" s="76"/>
    </row>
    <row r="59" spans="1:11" ht="15.2" customHeight="1">
      <c r="A59" s="76" t="s">
        <v>1087</v>
      </c>
      <c r="B59" s="191">
        <v>0</v>
      </c>
      <c r="C59" s="76"/>
      <c r="D59" s="191">
        <v>0</v>
      </c>
      <c r="E59" s="190"/>
      <c r="F59" s="329">
        <f t="shared" si="0"/>
        <v>0</v>
      </c>
      <c r="G59" s="76"/>
      <c r="H59" s="325">
        <f t="shared" si="1"/>
        <v>0</v>
      </c>
      <c r="I59" s="76"/>
      <c r="J59" s="76"/>
      <c r="K59" s="76"/>
    </row>
    <row r="60" spans="1:11" ht="15.2" customHeight="1">
      <c r="A60" s="76" t="s">
        <v>1088</v>
      </c>
      <c r="B60" s="190">
        <v>-2169.1740978951329</v>
      </c>
      <c r="C60" s="76"/>
      <c r="D60" s="190">
        <v>-2129.793427064028</v>
      </c>
      <c r="E60" s="190"/>
      <c r="F60" s="303">
        <f t="shared" si="0"/>
        <v>39.380670831104908</v>
      </c>
      <c r="G60" s="76"/>
      <c r="H60" s="325">
        <f t="shared" si="1"/>
        <v>1</v>
      </c>
      <c r="I60" s="76"/>
      <c r="J60" s="76"/>
      <c r="K60" s="76"/>
    </row>
    <row r="61" spans="1:11" ht="15.75">
      <c r="A61" s="52"/>
      <c r="B61" s="52"/>
      <c r="C61" s="52"/>
      <c r="D61" s="76"/>
      <c r="E61" s="76"/>
      <c r="F61" s="50"/>
      <c r="G61" s="76"/>
      <c r="H61" s="316"/>
      <c r="I61" s="76"/>
      <c r="J61" s="76"/>
      <c r="K61" s="76"/>
    </row>
    <row r="62" spans="1:11" hidden="1">
      <c r="A62" s="76" t="s">
        <v>1094</v>
      </c>
      <c r="B62" s="76"/>
      <c r="C62" s="76"/>
      <c r="D62" s="979" t="e">
        <v>#REF!</v>
      </c>
      <c r="E62" s="76"/>
      <c r="F62" s="303" t="e">
        <f>D62-#REF!</f>
        <v>#REF!</v>
      </c>
      <c r="G62" s="76"/>
      <c r="H62" s="74"/>
      <c r="I62" s="76"/>
      <c r="J62" s="76"/>
      <c r="K62" s="76"/>
    </row>
    <row r="63" spans="1:11" hidden="1">
      <c r="A63" s="76" t="s">
        <v>1095</v>
      </c>
      <c r="B63" s="76"/>
      <c r="C63" s="76"/>
      <c r="D63" s="979" t="e">
        <v>#REF!</v>
      </c>
      <c r="E63" s="76"/>
      <c r="F63" s="303" t="e">
        <f>D63-#REF!</f>
        <v>#REF!</v>
      </c>
      <c r="G63" s="76"/>
      <c r="H63" s="74"/>
      <c r="I63" s="76"/>
      <c r="J63" s="76"/>
      <c r="K63" s="76"/>
    </row>
    <row r="64" spans="1:11">
      <c r="A64" s="300"/>
      <c r="B64" s="300"/>
      <c r="C64" s="300"/>
      <c r="D64" s="303"/>
      <c r="E64" s="303"/>
      <c r="F64" s="76"/>
      <c r="G64" s="76"/>
      <c r="H64" s="316"/>
      <c r="I64" s="76"/>
      <c r="J64" s="76"/>
      <c r="K64" s="76"/>
    </row>
  </sheetData>
  <conditionalFormatting sqref="K31:K37 K15:K25">
    <cfRule type="cellIs" dxfId="21" priority="1" stopIfTrue="1" operator="equal">
      <formula>0</formula>
    </cfRule>
    <cfRule type="cellIs" dxfId="20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X62"/>
  <sheetViews>
    <sheetView zoomScale="85" zoomScaleNormal="85" workbookViewId="0">
      <selection activeCell="D7" sqref="D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1108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1759241.9133953375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266285.4740440587</v>
      </c>
      <c r="G9" s="303"/>
      <c r="H9" s="316">
        <f ca="1">ROUND((((B17/(D9+D10+D11+D13))-B20)/B23)-(((B17/(B9+D10+D11+D13))-B20)/B23),4)*10000</f>
        <v>-158.00000000000003</v>
      </c>
      <c r="I9" s="316">
        <f ca="1">ROUND((((B17/(D9+D10+D11+D13))-B20)/B23)-(((B17/(B9+D10+D11+D13))-B20)/B23),4)*10000</f>
        <v>-158.00000000000003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32304.096216153834</v>
      </c>
      <c r="C10" s="76"/>
      <c r="D10" s="303">
        <f ca="1">+'COMP Act to Prior'!D10</f>
        <v>26412.458933076909</v>
      </c>
      <c r="E10" s="76"/>
      <c r="F10" s="303">
        <f ca="1">D10-B10</f>
        <v>-5891.6372830769251</v>
      </c>
      <c r="G10" s="303"/>
      <c r="H10" s="316">
        <f ca="1">ROUND((((B17/(D9+D11+D13+D10))-B20)/B23)-(((B17/(B10+D9+D11+D13))-B20)/B23),4)*10000</f>
        <v>2.9999999999999996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-3273.8694546153847</v>
      </c>
      <c r="C12" s="76"/>
      <c r="D12" s="303">
        <f ca="1">+'COMP Act to Prior'!D12</f>
        <v>1184.5254784615386</v>
      </c>
      <c r="E12" s="76"/>
      <c r="F12" s="303">
        <f ca="1">D12-B12</f>
        <v>4458.3949330769228</v>
      </c>
      <c r="G12" s="190"/>
      <c r="H12" s="316">
        <f ca="1">ROUND((((B17/(D9+D10+D11+D12+D13))-B20)/B23)-(((B17/(B12+D9+D10+D11+D13))-B20)/B23),4)*10000</f>
        <v>-2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315">
        <v>-25691.677179063718</v>
      </c>
      <c r="C13" s="76"/>
      <c r="D13" s="315">
        <f ca="1">+'COMP Act to Prior'!D13</f>
        <v>-28792.100266969584</v>
      </c>
      <c r="E13" s="76"/>
      <c r="F13" s="303">
        <f ca="1">D13-B13</f>
        <v>-3100.4230879058669</v>
      </c>
      <c r="G13" s="190"/>
      <c r="H13" s="316">
        <f ca="1">ROUND((((B17/(D9+D10+D11+D12+D13))-B20)/B23)-(((B17/(B13+D9+D10+D11+D12))-B20)/B23),4)*10000</f>
        <v>2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1762580.463</v>
      </c>
      <c r="C15" s="52"/>
      <c r="D15" s="61">
        <f ca="1">+'COMP Act to Prior'!D15</f>
        <v>2024332.2716000001</v>
      </c>
      <c r="E15" s="52"/>
      <c r="F15" s="50">
        <f ca="1">D15-B15</f>
        <v>261751.80860000011</v>
      </c>
      <c r="G15" s="50"/>
      <c r="H15" s="53">
        <f ca="1">ROUND((((B17/D15)-B20)/B23)-(((B17/B15)-B20)/B23),4)*10000</f>
        <v>-155</v>
      </c>
      <c r="I15" s="53">
        <f ca="1">SUM(H9:H13)</f>
        <v>-155.00000000000003</v>
      </c>
      <c r="J15" s="316"/>
      <c r="K15" s="53">
        <f ca="1">H15-I15</f>
        <v>0</v>
      </c>
      <c r="L15" s="76"/>
      <c r="M15" s="76"/>
      <c r="N15" s="76"/>
      <c r="O15" s="975">
        <f ca="1">-F15/H15</f>
        <v>1688.7213458064523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99195.435800000007</v>
      </c>
      <c r="D17" s="62">
        <f ca="1">+'COMP Act to Prior'!D17</f>
        <v>111760.75260000001</v>
      </c>
      <c r="F17" s="50">
        <f ca="1">D17-B17</f>
        <v>12565.316800000001</v>
      </c>
      <c r="G17" s="63"/>
      <c r="H17" s="64">
        <f ca="1">ROUND((((D17/B15)-B20)/B23)-(((B17/B15)-B20)/B23),4)*10000</f>
        <v>152</v>
      </c>
      <c r="I17" s="53"/>
      <c r="J17" s="53"/>
      <c r="K17" s="53"/>
      <c r="L17" s="64"/>
      <c r="O17" s="975">
        <f ca="1">-F17/H17</f>
        <v>-82.66655789473684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5.6300000000000003E-2</v>
      </c>
      <c r="C19" s="76"/>
      <c r="D19" s="298">
        <f ca="1">+'COMP Act to Prior'!D19</f>
        <v>5.5199999999999999E-2</v>
      </c>
      <c r="E19" s="76"/>
      <c r="F19" s="298">
        <f ca="1">D19-B19</f>
        <v>-1.1000000000000038E-3</v>
      </c>
      <c r="G19" s="298"/>
      <c r="H19" s="316">
        <f ca="1">ROUND((F19/$B$23)*10000,0)</f>
        <v>-23</v>
      </c>
      <c r="I19" s="53">
        <f ca="1">H15+H17</f>
        <v>-3</v>
      </c>
      <c r="J19" s="316"/>
      <c r="K19" s="53">
        <f ca="1">H19-I19</f>
        <v>-20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1.2999999999999999E-2</v>
      </c>
      <c r="C20" s="76"/>
      <c r="D20" s="299">
        <f ca="1">+'COMP Act to Prior'!D20</f>
        <v>1.7999999999999999E-2</v>
      </c>
      <c r="E20" s="76"/>
      <c r="F20" s="298">
        <f ca="1">D20-B20</f>
        <v>4.9999999999999992E-3</v>
      </c>
      <c r="G20" s="298"/>
      <c r="H20" s="316">
        <f ca="1">-ROUND((F20/$B$23)*10000,0)</f>
        <v>-106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4.3299999999999998E-2</v>
      </c>
      <c r="C22" s="76"/>
      <c r="D22" s="298">
        <f ca="1">+'COMP Act to Prior'!D22</f>
        <v>3.7199999999999997E-2</v>
      </c>
      <c r="E22" s="76"/>
      <c r="F22" s="298">
        <f ca="1">D22-B22</f>
        <v>-6.1000000000000013E-3</v>
      </c>
      <c r="G22" s="298"/>
      <c r="H22" s="316">
        <f ca="1">ROUND((F22/$B$23)*10000,0)</f>
        <v>-130</v>
      </c>
      <c r="I22" s="53">
        <f ca="1">H19+H20</f>
        <v>-129</v>
      </c>
      <c r="J22" s="316"/>
      <c r="K22" s="53">
        <f ca="1">H22-I22</f>
        <v>-1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0.47020000000000001</v>
      </c>
      <c r="C23" s="76"/>
      <c r="D23" s="299">
        <f ca="1">+'COMP Act to Prior'!D23</f>
        <v>0.47539999999999999</v>
      </c>
      <c r="E23" s="76"/>
      <c r="F23" s="298">
        <f ca="1">D23-B23</f>
        <v>5.1999999999999824E-3</v>
      </c>
      <c r="G23" s="298"/>
      <c r="H23" s="316">
        <f ca="1">ROUND((B22/D23)-(B22/B23),4)*10000</f>
        <v>-10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189">
        <v>9.1999999999999998E-2</v>
      </c>
      <c r="D25" s="189">
        <f ca="1">+'COMP Act to Prior'!D25</f>
        <v>7.8100000000000003E-2</v>
      </c>
      <c r="F25" s="65">
        <f ca="1">D25-B25</f>
        <v>-1.3899999999999996E-2</v>
      </c>
      <c r="G25" s="65"/>
      <c r="H25" s="53">
        <f ca="1">(D25-B25)*10000</f>
        <v>-138.99999999999994</v>
      </c>
      <c r="I25" s="53">
        <f ca="1">H22+H23</f>
        <v>-140</v>
      </c>
      <c r="J25" s="53"/>
      <c r="K25" s="53">
        <f ca="1">H25-I25</f>
        <v>1.0000000000000568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977">
        <v>126510.29999999984</v>
      </c>
      <c r="C28" s="76"/>
      <c r="D28" s="977">
        <f ca="1">+'COMP Act to Prior'!D28</f>
        <v>140503.29999999996</v>
      </c>
      <c r="E28" s="190"/>
      <c r="F28" s="303">
        <f ca="1">D28-B28</f>
        <v>13993.000000000116</v>
      </c>
      <c r="G28" s="303"/>
      <c r="H28" s="325">
        <f ca="1">ROUND((((D28/B15)-B20)/B23)-(((B28/B15)-B20)/B23),4)*10000</f>
        <v>168.99999999999997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25932.799999999999</v>
      </c>
      <c r="C29" s="76"/>
      <c r="D29" s="434">
        <f ca="1">+'COMP Act to Prior'!D29</f>
        <v>25866.2</v>
      </c>
      <c r="E29" s="190"/>
      <c r="F29" s="303">
        <f ca="1">D29-B29</f>
        <v>-66.599999999998545</v>
      </c>
      <c r="G29" s="303"/>
      <c r="H29" s="325">
        <f ca="1">-ROUND((((D29/B15)-B20)/B23)-(((B29/B15)-B20)/B23),4)*10000</f>
        <v>1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25932.799999999999</v>
      </c>
      <c r="C31" s="300"/>
      <c r="D31" s="191">
        <f ca="1">+'COMP Act to Prior'!D31</f>
        <v>25866.2</v>
      </c>
      <c r="E31" s="190"/>
      <c r="F31" s="303">
        <f ca="1">D31-B31</f>
        <v>-66.599999999998545</v>
      </c>
      <c r="G31" s="190"/>
      <c r="H31" s="325">
        <f ca="1">-ROUND((((D31/B15)-B20)/B23)-(((B31/B15)-B20)/B23),4)*10000</f>
        <v>1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100577.49999999984</v>
      </c>
      <c r="C33" s="76"/>
      <c r="D33" s="191">
        <f ca="1">+'COMP Act to Prior'!D33</f>
        <v>114637.09999999996</v>
      </c>
      <c r="E33" s="190"/>
      <c r="F33" s="303">
        <f ca="1">D33-B33</f>
        <v>14059.600000000122</v>
      </c>
      <c r="G33" s="303"/>
      <c r="H33" s="325">
        <f ca="1">ROUND((((D33/B15)-B20)/B23)-(((B33/B15)-B20)/B23),4)*10000</f>
        <v>170</v>
      </c>
      <c r="I33" s="316">
        <f ca="1">H28+H29+H30</f>
        <v>169.99999999999997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-1382.0641613223861</v>
      </c>
      <c r="C36" s="978"/>
      <c r="D36" s="191">
        <f ca="1">+'COMP Act to Prior'!D36</f>
        <v>-2876.347380839572</v>
      </c>
      <c r="E36" s="190"/>
      <c r="F36" s="303">
        <f ca="1">D36-B36</f>
        <v>-1494.2832195171859</v>
      </c>
      <c r="G36" s="76"/>
      <c r="H36" s="325">
        <f ca="1">ROUND((((D36/B15)-B20)/B23)-(((B36/B15)-B20)/B23),4)*10000</f>
        <v>-18</v>
      </c>
      <c r="I36" s="316">
        <f ca="1">H36</f>
        <v>-18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7">
        <v>99195.435838677455</v>
      </c>
      <c r="D37" s="67">
        <f ca="1">+'COMP Act to Prior'!D37</f>
        <v>111760.7526191604</v>
      </c>
      <c r="E37" s="68"/>
      <c r="F37" s="50">
        <f ca="1">D37-B37</f>
        <v>12565.316780482943</v>
      </c>
      <c r="G37" s="63"/>
      <c r="H37" s="326">
        <f ca="1">ROUND((((D37/B15)-B20)/B23)-(((B37/B15)-B20)/B23),4)*10000</f>
        <v>152</v>
      </c>
      <c r="I37" s="53">
        <f ca="1">H33+H36</f>
        <v>152</v>
      </c>
      <c r="K37" s="53">
        <f ca="1"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33.418249876565937</v>
      </c>
      <c r="C42" s="76"/>
      <c r="D42" s="192">
        <f ca="1">+'COMP Act to Prior'!D42</f>
        <v>28.980152780785676</v>
      </c>
      <c r="E42" s="190"/>
      <c r="F42" s="303">
        <f ca="1">D42-B42</f>
        <v>-4.438097095780261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-250.02178473946253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-185.53511270890664</v>
      </c>
      <c r="G43" s="298"/>
      <c r="H43" s="325">
        <f t="shared" ref="H43:H58" ca="1" si="1">ROUND((((D43/$B$15)-$B$20)/$B$23)-(((B43/$B$15)-$B$20)/$B$23),4)*10000</f>
        <v>-2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11.41848225</v>
      </c>
      <c r="C46" s="76"/>
      <c r="D46" s="192">
        <f ca="1">+'COMP Act to Prior'!D46</f>
        <v>13.437899999999999</v>
      </c>
      <c r="E46" s="190"/>
      <c r="F46" s="303">
        <f t="shared" ca="1" si="0"/>
        <v>2.0194177499999988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57.874123755000006</v>
      </c>
      <c r="C47" s="76"/>
      <c r="D47" s="192">
        <f ca="1">+'COMP Act to Prior'!D47</f>
        <v>59.108476990500002</v>
      </c>
      <c r="E47" s="190"/>
      <c r="F47" s="303">
        <f t="shared" ca="1" si="0"/>
        <v>1.2343532354999951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-137.58916500000123</v>
      </c>
      <c r="C48" s="76"/>
      <c r="D48" s="192">
        <f ca="1">+'COMP Act to Prior'!D48</f>
        <v>0</v>
      </c>
      <c r="E48" s="190"/>
      <c r="F48" s="303">
        <f t="shared" ca="1" si="0"/>
        <v>137.58916500000123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-81.024422755499998</v>
      </c>
      <c r="C53" s="200"/>
      <c r="D53" s="192">
        <f ca="1">+'COMP Act to Prior'!D53</f>
        <v>-87.940603800000005</v>
      </c>
      <c r="E53" s="76"/>
      <c r="F53" s="303">
        <f ca="1">D53-B53</f>
        <v>-6.9161810445000071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1.1347560002832324E-3</v>
      </c>
      <c r="C55" s="76"/>
      <c r="D55" s="192">
        <f ca="1">+'COMP Act to Prior'!D55</f>
        <v>-3.3594749993426376E-4</v>
      </c>
      <c r="E55" s="190"/>
      <c r="F55" s="303">
        <f t="shared" ca="1" si="0"/>
        <v>-1.4707035002174962E-3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-3148.2715257</v>
      </c>
      <c r="C56" s="76"/>
      <c r="D56" s="192">
        <f ca="1">+'COMP Act to Prior'!D56</f>
        <v>-4586.5068196499997</v>
      </c>
      <c r="E56" s="190"/>
      <c r="F56" s="303">
        <f t="shared" ca="1" si="0"/>
        <v>-1438.2352939499997</v>
      </c>
      <c r="G56" s="298"/>
      <c r="H56" s="325">
        <f t="shared" ca="1" si="1"/>
        <v>-17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-1382.0641613223861</v>
      </c>
      <c r="C58" s="76"/>
      <c r="D58" s="190">
        <f ca="1">+'COMP Act to Prior'!D58</f>
        <v>-2876.347380839572</v>
      </c>
      <c r="E58" s="190"/>
      <c r="F58" s="303">
        <f t="shared" ca="1" si="0"/>
        <v>-1494.2832195171859</v>
      </c>
      <c r="G58" s="76"/>
      <c r="H58" s="325">
        <f t="shared" ca="1" si="1"/>
        <v>-18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9" priority="1" stopIfTrue="1" operator="equal">
      <formula>0</formula>
    </cfRule>
    <cfRule type="cellIs" dxfId="18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</sheetPr>
  <dimension ref="A1"/>
  <sheetViews>
    <sheetView workbookViewId="0"/>
  </sheetViews>
  <sheetFormatPr defaultRowHeight="12.75"/>
  <sheetData>
    <row r="1" spans="1:1">
      <c r="A1" s="28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B0F0"/>
    <pageSetUpPr fitToPage="1"/>
  </sheetPr>
  <dimension ref="A1:X62"/>
  <sheetViews>
    <sheetView zoomScale="85" zoomScaleNormal="85" workbookViewId="0">
      <selection activeCell="D7" sqref="D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1173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1736695.8946223597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288831.49281703657</v>
      </c>
      <c r="G9" s="303"/>
      <c r="H9" s="316">
        <f ca="1">ROUND((((B17/(D9+D10+D11+D13))-B20)/B23)-(((B17/(B9+D10+D11+D13))-B20)/B23),4)*10000</f>
        <v>-168</v>
      </c>
      <c r="I9" s="316">
        <f ca="1">ROUND((((B17/(D9+D10+D11+D13))-B20)/B23)-(((B17/(B9+D10+D11+D13))-B20)/B23),4)*10000</f>
        <v>-168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55002.734282307705</v>
      </c>
      <c r="C10" s="76"/>
      <c r="D10" s="303">
        <f ca="1">+'COMP Act to Prior'!D10</f>
        <v>26412.458933076909</v>
      </c>
      <c r="E10" s="76"/>
      <c r="F10" s="303">
        <f ca="1">D10-B10</f>
        <v>-28590.275349230797</v>
      </c>
      <c r="G10" s="303"/>
      <c r="H10" s="316">
        <f ca="1">ROUND((((B17/(D9+D11+D13+D10))-B20)/B23)-(((B17/(B10+D9+D11+D13))-B20)/B23),4)*10000</f>
        <v>14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1810.5488238461539</v>
      </c>
      <c r="C12" s="76"/>
      <c r="D12" s="303">
        <f ca="1">+'COMP Act to Prior'!D12</f>
        <v>1184.5254784615386</v>
      </c>
      <c r="E12" s="76"/>
      <c r="F12" s="303">
        <f ca="1">D12-B12</f>
        <v>-626.02334538461537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315">
        <v>-30826.390850628031</v>
      </c>
      <c r="C13" s="76"/>
      <c r="D13" s="315">
        <f ca="1">+'COMP Act to Prior'!D13</f>
        <v>-28792.100266969584</v>
      </c>
      <c r="E13" s="76"/>
      <c r="F13" s="303">
        <f ca="1">D13-B13</f>
        <v>2034.2905836584468</v>
      </c>
      <c r="G13" s="190"/>
      <c r="H13" s="316">
        <f ca="1">ROUND((((B17/(D9+D10+D11+D12+D13))-B20)/B23)-(((B17/(B13+D9+D10+D11+D12))-B20)/B23),4)*10000</f>
        <v>-1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1762682.7868999999</v>
      </c>
      <c r="C15" s="52"/>
      <c r="D15" s="61">
        <f ca="1">+'COMP Act to Prior'!D15</f>
        <v>2024332.2716000001</v>
      </c>
      <c r="E15" s="52"/>
      <c r="F15" s="50">
        <f ca="1">D15-B15</f>
        <v>261649.48470000015</v>
      </c>
      <c r="G15" s="50"/>
      <c r="H15" s="53">
        <f ca="1">ROUND((((B17/D15)-B20)/B23)-(((B17/B15)-B20)/B23),4)*10000</f>
        <v>-150</v>
      </c>
      <c r="I15" s="53">
        <f ca="1">SUM(H9:H13)</f>
        <v>-155</v>
      </c>
      <c r="J15" s="316"/>
      <c r="K15" s="53">
        <f ca="1">H15-I15</f>
        <v>5</v>
      </c>
      <c r="L15" s="76"/>
      <c r="M15" s="76"/>
      <c r="N15" s="76"/>
      <c r="O15" s="975">
        <f ca="1">-F15/H15</f>
        <v>1744.3298980000009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95960.05</v>
      </c>
      <c r="D17" s="62">
        <f ca="1">+'COMP Act to Prior'!D17</f>
        <v>111760.75260000001</v>
      </c>
      <c r="F17" s="50">
        <f ca="1">D17-B17</f>
        <v>15800.702600000004</v>
      </c>
      <c r="G17" s="63"/>
      <c r="H17" s="64">
        <f ca="1">ROUND((((D17/B15)-B20)/B23)-(((B17/B15)-B20)/B23),4)*10000</f>
        <v>191</v>
      </c>
      <c r="I17" s="53"/>
      <c r="J17" s="53"/>
      <c r="K17" s="53"/>
      <c r="L17" s="64"/>
      <c r="O17" s="975">
        <f ca="1">-F17/H17</f>
        <v>-82.726191623036669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5.4399999999999997E-2</v>
      </c>
      <c r="C19" s="76"/>
      <c r="D19" s="298">
        <f ca="1">+'COMP Act to Prior'!D19</f>
        <v>5.5199999999999999E-2</v>
      </c>
      <c r="E19" s="76"/>
      <c r="F19" s="298">
        <f ca="1">D19-B19</f>
        <v>8.000000000000021E-4</v>
      </c>
      <c r="G19" s="298"/>
      <c r="H19" s="316">
        <f ca="1">ROUND((F19/$B$23)*10000,0)</f>
        <v>17</v>
      </c>
      <c r="I19" s="53">
        <f ca="1">H15+H17</f>
        <v>41</v>
      </c>
      <c r="J19" s="316"/>
      <c r="K19" s="53">
        <f ca="1">H19-I19</f>
        <v>-24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1.3299999999999999E-2</v>
      </c>
      <c r="C20" s="76"/>
      <c r="D20" s="299">
        <f ca="1">+'COMP Act to Prior'!D20</f>
        <v>1.7999999999999999E-2</v>
      </c>
      <c r="E20" s="76"/>
      <c r="F20" s="298">
        <f ca="1">D20-B20</f>
        <v>4.6999999999999993E-3</v>
      </c>
      <c r="G20" s="298"/>
      <c r="H20" s="316">
        <f ca="1">-ROUND((F20/$B$23)*10000,0)</f>
        <v>-100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4.1099999999999998E-2</v>
      </c>
      <c r="C22" s="76"/>
      <c r="D22" s="298">
        <f ca="1">+'COMP Act to Prior'!D22</f>
        <v>3.7199999999999997E-2</v>
      </c>
      <c r="E22" s="76"/>
      <c r="F22" s="298">
        <f ca="1">D22-B22</f>
        <v>-3.9000000000000007E-3</v>
      </c>
      <c r="G22" s="298"/>
      <c r="H22" s="316">
        <f ca="1">ROUND((F22/$B$23)*10000,0)</f>
        <v>-83</v>
      </c>
      <c r="I22" s="53">
        <f ca="1">H19+H20</f>
        <v>-83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0.47</v>
      </c>
      <c r="C23" s="76"/>
      <c r="D23" s="299">
        <f ca="1">+'COMP Act to Prior'!D23</f>
        <v>0.47539999999999999</v>
      </c>
      <c r="E23" s="76"/>
      <c r="F23" s="298">
        <f ca="1">D23-B23</f>
        <v>5.4000000000000159E-3</v>
      </c>
      <c r="G23" s="298"/>
      <c r="H23" s="316">
        <f ca="1">ROUND((B22/D23)-(B22/B23),4)*10000</f>
        <v>-10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189">
        <v>8.7500000000000008E-2</v>
      </c>
      <c r="D25" s="189">
        <f ca="1">+'COMP Act to Prior'!D25</f>
        <v>7.8100000000000003E-2</v>
      </c>
      <c r="F25" s="65">
        <f ca="1">D25-B25</f>
        <v>-9.4000000000000056E-3</v>
      </c>
      <c r="G25" s="65"/>
      <c r="H25" s="53">
        <f ca="1">(D25-B25)*10000</f>
        <v>-94.000000000000057</v>
      </c>
      <c r="I25" s="53">
        <f ca="1">H22+H23</f>
        <v>-93</v>
      </c>
      <c r="J25" s="53"/>
      <c r="K25" s="53">
        <f ca="1">H25-I25</f>
        <v>-1.0000000000000568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977">
        <v>122023.32184999998</v>
      </c>
      <c r="C28" s="76"/>
      <c r="D28" s="977">
        <f ca="1">+'COMP Act to Prior'!D28</f>
        <v>140503.29999999996</v>
      </c>
      <c r="E28" s="190"/>
      <c r="F28" s="303">
        <f ca="1">D28-B28</f>
        <v>18479.978149999981</v>
      </c>
      <c r="G28" s="303"/>
      <c r="H28" s="325">
        <f ca="1">ROUND((((D28/B15)-B20)/B23)-(((B28/B15)-B20)/B23),4)*10000</f>
        <v>223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24401.658975707487</v>
      </c>
      <c r="C29" s="76"/>
      <c r="D29" s="434">
        <f ca="1">+'COMP Act to Prior'!D29</f>
        <v>25866.2</v>
      </c>
      <c r="E29" s="190"/>
      <c r="F29" s="303">
        <f ca="1">D29-B29</f>
        <v>1464.5410242925136</v>
      </c>
      <c r="G29" s="303"/>
      <c r="H29" s="325">
        <f ca="1">-ROUND((((D29/B15)-B20)/B23)-(((B29/B15)-B20)/B23),4)*10000</f>
        <v>-18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24401.658975707487</v>
      </c>
      <c r="C31" s="300"/>
      <c r="D31" s="191">
        <f ca="1">+'COMP Act to Prior'!D31</f>
        <v>25866.2</v>
      </c>
      <c r="E31" s="190"/>
      <c r="F31" s="303">
        <f ca="1">D31-B31</f>
        <v>1464.5410242925136</v>
      </c>
      <c r="G31" s="190"/>
      <c r="H31" s="325">
        <f ca="1">-ROUND((((D31/B15)-B20)/B23)-(((B31/B15)-B20)/B23),4)*10000</f>
        <v>-18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97621.662874292495</v>
      </c>
      <c r="C33" s="76"/>
      <c r="D33" s="191">
        <f ca="1">+'COMP Act to Prior'!D33</f>
        <v>114637.09999999996</v>
      </c>
      <c r="E33" s="190"/>
      <c r="F33" s="303">
        <f ca="1">D33-B33</f>
        <v>17015.437125707467</v>
      </c>
      <c r="G33" s="303"/>
      <c r="H33" s="325">
        <f ca="1">ROUND((((D33/B15)-B20)/B23)-(((B33/B15)-B20)/B23),4)*10000</f>
        <v>205</v>
      </c>
      <c r="I33" s="316">
        <f ca="1">H28+H29+H30</f>
        <v>205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-1661.6129040314804</v>
      </c>
      <c r="C36" s="978"/>
      <c r="D36" s="191">
        <f ca="1">+'COMP Act to Prior'!D36</f>
        <v>-2876.347380839572</v>
      </c>
      <c r="E36" s="190"/>
      <c r="F36" s="303">
        <f ca="1">D36-B36</f>
        <v>-1214.7344768080916</v>
      </c>
      <c r="G36" s="76"/>
      <c r="H36" s="325">
        <f ca="1">ROUND((((D36/B15)-B20)/B23)-(((B36/B15)-B20)/B23),4)*10000</f>
        <v>-15</v>
      </c>
      <c r="I36" s="316">
        <f ca="1">H36</f>
        <v>-15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7">
        <v>95960.04997026101</v>
      </c>
      <c r="D37" s="67">
        <f ca="1">+'COMP Act to Prior'!D37</f>
        <v>111760.7526191604</v>
      </c>
      <c r="E37" s="68"/>
      <c r="F37" s="50">
        <f ca="1">D37-B37</f>
        <v>15800.702648899387</v>
      </c>
      <c r="G37" s="63"/>
      <c r="H37" s="326">
        <f ca="1">ROUND((((D37/B15)-B20)/B23)-(((B37/B15)-B20)/B23),4)*10000</f>
        <v>191</v>
      </c>
      <c r="I37" s="53">
        <f ca="1">H33+H36</f>
        <v>190</v>
      </c>
      <c r="K37" s="53">
        <f ca="1">H37-I37</f>
        <v>1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32.426977221489281</v>
      </c>
      <c r="C42" s="76"/>
      <c r="D42" s="192">
        <f ca="1">+'COMP Act to Prior'!D42</f>
        <v>28.980152780785676</v>
      </c>
      <c r="E42" s="190"/>
      <c r="F42" s="303">
        <f ca="1">D42-B42</f>
        <v>-3.4468244407036046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-479.62749611440591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44.070598666036744</v>
      </c>
      <c r="G43" s="298"/>
      <c r="H43" s="325">
        <f t="shared" ref="H43:H58" ca="1" si="1">ROUND((((D43/$B$15)-$B$20)/$B$23)-(((B43/$B$15)-$B$20)/$B$23),4)*10000</f>
        <v>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13.974560080425</v>
      </c>
      <c r="C46" s="76"/>
      <c r="D46" s="192">
        <f ca="1">+'COMP Act to Prior'!D46</f>
        <v>13.437899999999999</v>
      </c>
      <c r="E46" s="190"/>
      <c r="F46" s="303">
        <f t="shared" ca="1" si="0"/>
        <v>-0.53666008042500124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58.879823656500008</v>
      </c>
      <c r="C47" s="76"/>
      <c r="D47" s="192">
        <f ca="1">+'COMP Act to Prior'!D47</f>
        <v>59.108476990500002</v>
      </c>
      <c r="E47" s="190"/>
      <c r="F47" s="303">
        <f t="shared" ca="1" si="0"/>
        <v>0.22865333399999344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-161.86052827350068</v>
      </c>
      <c r="C48" s="76"/>
      <c r="D48" s="192">
        <f ca="1">+'COMP Act to Prior'!D48</f>
        <v>0</v>
      </c>
      <c r="E48" s="190"/>
      <c r="F48" s="303">
        <f t="shared" ca="1" si="0"/>
        <v>161.86052827350068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3.4341299988227547E-4</v>
      </c>
      <c r="C55" s="76"/>
      <c r="D55" s="192">
        <f ca="1">+'COMP Act to Prior'!D55</f>
        <v>-3.3594749993426376E-4</v>
      </c>
      <c r="E55" s="190"/>
      <c r="F55" s="303">
        <f t="shared" ca="1" si="0"/>
        <v>-6.7936049981653923E-4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-3169.5967264499996</v>
      </c>
      <c r="C56" s="76"/>
      <c r="D56" s="192">
        <f ca="1">+'COMP Act to Prior'!D56</f>
        <v>-4586.5068196499997</v>
      </c>
      <c r="E56" s="190"/>
      <c r="F56" s="303">
        <f t="shared" ca="1" si="0"/>
        <v>-1416.9100932000001</v>
      </c>
      <c r="G56" s="298"/>
      <c r="H56" s="325">
        <f t="shared" ca="1" si="1"/>
        <v>-17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-1661.6129040314804</v>
      </c>
      <c r="C58" s="76"/>
      <c r="D58" s="190">
        <f ca="1">+'COMP Act to Prior'!D58</f>
        <v>-2876.347380839572</v>
      </c>
      <c r="E58" s="190"/>
      <c r="F58" s="303">
        <f t="shared" ca="1" si="0"/>
        <v>-1214.7344768080916</v>
      </c>
      <c r="G58" s="76"/>
      <c r="H58" s="325">
        <f t="shared" ca="1" si="1"/>
        <v>-15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7" priority="1" stopIfTrue="1" operator="equal">
      <formula>0</formula>
    </cfRule>
    <cfRule type="cellIs" dxfId="16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rgb="FF00B0F0"/>
    <pageSetUpPr fitToPage="1"/>
  </sheetPr>
  <dimension ref="A1:X62"/>
  <sheetViews>
    <sheetView zoomScale="85" zoomScaleNormal="85" workbookViewId="0">
      <selection activeCell="B9" sqref="B9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1174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1713442.4682801662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312084.91915923008</v>
      </c>
      <c r="G9" s="303"/>
      <c r="H9" s="316">
        <f ca="1">ROUND((((B17/(D9+D10+D11+D13))-B20)/B23)-(((B17/(B9+D10+D11+D13))-B20)/B23),4)*10000</f>
        <v>-189</v>
      </c>
      <c r="I9" s="316">
        <f ca="1">ROUND((((B17/(D9+D10+D11+D13))-B20)/B23)-(((B17/(B9+D10+D11+D13))-B20)/B23),4)*10000</f>
        <v>-189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71443.446271538502</v>
      </c>
      <c r="C10" s="76"/>
      <c r="D10" s="303">
        <f ca="1">+'COMP Act to Prior'!D10</f>
        <v>26412.458933076909</v>
      </c>
      <c r="E10" s="76"/>
      <c r="F10" s="303">
        <f ca="1">D10-B10</f>
        <v>-45030.987338461593</v>
      </c>
      <c r="G10" s="303"/>
      <c r="H10" s="316">
        <f ca="1">ROUND((((B17/(D9+D11+D13+D10))-B20)/B23)-(((B17/(B10+D9+D11+D13))-B20)/B23),4)*10000</f>
        <v>23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1978.1300323076925</v>
      </c>
      <c r="C12" s="76"/>
      <c r="D12" s="303">
        <f ca="1">+'COMP Act to Prior'!D12</f>
        <v>1184.5254784615386</v>
      </c>
      <c r="E12" s="76"/>
      <c r="F12" s="303">
        <f ca="1">D12-B12</f>
        <v>-793.60455384615398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315">
        <v>-28799.76815127756</v>
      </c>
      <c r="C13" s="76"/>
      <c r="D13" s="315">
        <f ca="1">+'COMP Act to Prior'!D13</f>
        <v>-28792.100266969584</v>
      </c>
      <c r="E13" s="76"/>
      <c r="F13" s="303">
        <f ca="1">D13-B13</f>
        <v>7.6678843079753278</v>
      </c>
      <c r="G13" s="190"/>
      <c r="H13" s="316">
        <f ca="1">ROUND((((B17/(D9+D10+D11+D12+D13))-B20)/B23)-(((B17/(B13+D9+D10+D11+D12))-B20)/B23),4)*10000</f>
        <v>0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1758064.2764000001</v>
      </c>
      <c r="C15" s="52"/>
      <c r="D15" s="61">
        <f ca="1">+'COMP Act to Prior'!D15</f>
        <v>2024332.2716000001</v>
      </c>
      <c r="E15" s="52"/>
      <c r="F15" s="50">
        <f ca="1">D15-B15</f>
        <v>266267.9952</v>
      </c>
      <c r="G15" s="50"/>
      <c r="H15" s="53">
        <f ca="1">ROUND((((B17/D15)-B20)/B23)-(((B17/B15)-B20)/B23),4)*10000</f>
        <v>-157</v>
      </c>
      <c r="I15" s="53">
        <f ca="1">SUM(H9:H13)</f>
        <v>-166</v>
      </c>
      <c r="J15" s="316"/>
      <c r="K15" s="53">
        <f ca="1">H15-I15</f>
        <v>9</v>
      </c>
      <c r="L15" s="76"/>
      <c r="M15" s="76"/>
      <c r="N15" s="76"/>
      <c r="O15" s="975">
        <f ca="1">-F15/H15</f>
        <v>1695.9744917197452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98678.666100000002</v>
      </c>
      <c r="D17" s="62">
        <f ca="1">+'COMP Act to Prior'!D17</f>
        <v>111760.75260000001</v>
      </c>
      <c r="F17" s="50">
        <f ca="1">D17-B17</f>
        <v>13082.086500000005</v>
      </c>
      <c r="G17" s="63"/>
      <c r="H17" s="64">
        <f ca="1">ROUND((((D17/B15)-B20)/B23)-(((B17/B15)-B20)/B23),4)*10000</f>
        <v>158.00000000000003</v>
      </c>
      <c r="I17" s="53"/>
      <c r="J17" s="53"/>
      <c r="K17" s="53"/>
      <c r="L17" s="64"/>
      <c r="O17" s="975">
        <f ca="1">-F17/H17</f>
        <v>-82.798015822784819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5.6099999999999997E-2</v>
      </c>
      <c r="C19" s="76"/>
      <c r="D19" s="298">
        <f ca="1">+'COMP Act to Prior'!D19</f>
        <v>5.5199999999999999E-2</v>
      </c>
      <c r="E19" s="76"/>
      <c r="F19" s="298">
        <f ca="1">D19-B19</f>
        <v>-8.9999999999999802E-4</v>
      </c>
      <c r="G19" s="298"/>
      <c r="H19" s="316">
        <f ca="1">ROUND((F19/$B$23)*10000,0)</f>
        <v>-19</v>
      </c>
      <c r="I19" s="53">
        <f ca="1">H15+H17</f>
        <v>1.0000000000000284</v>
      </c>
      <c r="J19" s="316"/>
      <c r="K19" s="53">
        <f ca="1">H19-I19</f>
        <v>-20.000000000000028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1.3299999999999999E-2</v>
      </c>
      <c r="C20" s="76"/>
      <c r="D20" s="299">
        <f ca="1">+'COMP Act to Prior'!D20</f>
        <v>1.7999999999999999E-2</v>
      </c>
      <c r="E20" s="76"/>
      <c r="F20" s="298">
        <f ca="1">D20-B20</f>
        <v>4.6999999999999993E-3</v>
      </c>
      <c r="G20" s="298"/>
      <c r="H20" s="316">
        <f ca="1">-ROUND((F20/$B$23)*10000,0)</f>
        <v>-100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4.2799999999999998E-2</v>
      </c>
      <c r="C22" s="76"/>
      <c r="D22" s="298">
        <f ca="1">+'COMP Act to Prior'!D22</f>
        <v>3.7199999999999997E-2</v>
      </c>
      <c r="E22" s="76"/>
      <c r="F22" s="298">
        <f ca="1">D22-B22</f>
        <v>-5.6000000000000008E-3</v>
      </c>
      <c r="G22" s="298"/>
      <c r="H22" s="316">
        <f ca="1">ROUND((F22/$B$23)*10000,0)</f>
        <v>-119</v>
      </c>
      <c r="I22" s="53">
        <f ca="1">H19+H20</f>
        <v>-119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0.47010000000000002</v>
      </c>
      <c r="C23" s="76"/>
      <c r="D23" s="299">
        <f ca="1">+'COMP Act to Prior'!D23</f>
        <v>0.47539999999999999</v>
      </c>
      <c r="E23" s="76"/>
      <c r="F23" s="298">
        <f ca="1">D23-B23</f>
        <v>5.2999999999999714E-3</v>
      </c>
      <c r="G23" s="298"/>
      <c r="H23" s="316">
        <f ca="1">ROUND((B22/D23)-(B22/B23),4)*10000</f>
        <v>-10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189">
        <v>9.11E-2</v>
      </c>
      <c r="D25" s="189">
        <f ca="1">+'COMP Act to Prior'!D25</f>
        <v>7.8100000000000003E-2</v>
      </c>
      <c r="F25" s="65">
        <f ca="1">D25-B25</f>
        <v>-1.2999999999999998E-2</v>
      </c>
      <c r="G25" s="65"/>
      <c r="H25" s="53">
        <f ca="1">(D25-B25)*10000</f>
        <v>-129.99999999999997</v>
      </c>
      <c r="I25" s="53">
        <f ca="1">H22+H23</f>
        <v>-129</v>
      </c>
      <c r="J25" s="53"/>
      <c r="K25" s="53">
        <f ca="1">H25-I25</f>
        <v>-0.99999999999997158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977">
        <v>125487.17368999988</v>
      </c>
      <c r="C28" s="76"/>
      <c r="D28" s="977">
        <f ca="1">+'COMP Act to Prior'!D28</f>
        <v>140503.29999999996</v>
      </c>
      <c r="E28" s="190"/>
      <c r="F28" s="303">
        <f ca="1">D28-B28</f>
        <v>15016.12631000008</v>
      </c>
      <c r="G28" s="303"/>
      <c r="H28" s="325">
        <f ca="1">ROUND((((D28/B15)-B20)/B23)-(((B28/B15)-B20)/B23),4)*10000</f>
        <v>182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25229.405132070417</v>
      </c>
      <c r="C29" s="76"/>
      <c r="D29" s="434">
        <f ca="1">+'COMP Act to Prior'!D29</f>
        <v>25866.2</v>
      </c>
      <c r="E29" s="190"/>
      <c r="F29" s="303">
        <f ca="1">D29-B29</f>
        <v>636.79486792958414</v>
      </c>
      <c r="G29" s="303"/>
      <c r="H29" s="325">
        <f ca="1">-ROUND((((D29/B15)-B20)/B23)-(((B29/B15)-B20)/B23),4)*10000</f>
        <v>-8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25229.405132070417</v>
      </c>
      <c r="C31" s="300"/>
      <c r="D31" s="191">
        <f ca="1">+'COMP Act to Prior'!D31</f>
        <v>25866.2</v>
      </c>
      <c r="E31" s="190"/>
      <c r="F31" s="303">
        <f ca="1">D31-B31</f>
        <v>636.79486792958414</v>
      </c>
      <c r="G31" s="190"/>
      <c r="H31" s="325">
        <f ca="1">-ROUND((((D31/B15)-B20)/B23)-(((B31/B15)-B20)/B23),4)*10000</f>
        <v>-8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100257.76855792946</v>
      </c>
      <c r="C33" s="76"/>
      <c r="D33" s="191">
        <f ca="1">+'COMP Act to Prior'!D33</f>
        <v>114637.09999999996</v>
      </c>
      <c r="E33" s="190"/>
      <c r="F33" s="303">
        <f ca="1">D33-B33</f>
        <v>14379.331442070499</v>
      </c>
      <c r="G33" s="303"/>
      <c r="H33" s="325">
        <f ca="1">ROUND((((D33/B15)-B20)/B23)-(((B33/B15)-B20)/B23),4)*10000</f>
        <v>174</v>
      </c>
      <c r="I33" s="316">
        <f ca="1">H28+H29+H30</f>
        <v>174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-1579.1024434278449</v>
      </c>
      <c r="C36" s="978"/>
      <c r="D36" s="191">
        <f ca="1">+'COMP Act to Prior'!D36</f>
        <v>-2876.347380839572</v>
      </c>
      <c r="E36" s="190"/>
      <c r="F36" s="303">
        <f ca="1">D36-B36</f>
        <v>-1297.2449374117271</v>
      </c>
      <c r="G36" s="76"/>
      <c r="H36" s="325">
        <f ca="1">ROUND((((D36/B15)-B20)/B23)-(((B36/B15)-B20)/B23),4)*10000</f>
        <v>-16</v>
      </c>
      <c r="I36" s="316">
        <f ca="1">H36</f>
        <v>-16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7">
        <v>98678.666114501611</v>
      </c>
      <c r="D37" s="67">
        <f ca="1">+'COMP Act to Prior'!D37</f>
        <v>111760.7526191604</v>
      </c>
      <c r="E37" s="68"/>
      <c r="F37" s="50">
        <f ca="1">D37-B37</f>
        <v>13082.086504658786</v>
      </c>
      <c r="G37" s="63"/>
      <c r="H37" s="326">
        <f ca="1">ROUND((((D37/B15)-B20)/B23)-(((B37/B15)-B20)/B23),4)*10000</f>
        <v>158.00000000000003</v>
      </c>
      <c r="I37" s="53">
        <f ca="1">H33+H36</f>
        <v>158</v>
      </c>
      <c r="K37" s="53">
        <f ca="1"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31.712574513590784</v>
      </c>
      <c r="C42" s="76"/>
      <c r="D42" s="192">
        <f ca="1">+'COMP Act to Prior'!D42</f>
        <v>28.980152780785676</v>
      </c>
      <c r="E42" s="190"/>
      <c r="F42" s="303">
        <f ca="1">D42-B42</f>
        <v>-2.7324217328051077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-414.75145516467154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-20.80544228369763</v>
      </c>
      <c r="G43" s="298"/>
      <c r="H43" s="325">
        <f t="shared" ref="H43:H58" ca="1" si="1">ROUND((((D43/$B$15)-$B$20)/$B$23)-(((B43/$B$15)-$B$20)/$B$23),4)*10000</f>
        <v>0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13.573174486724998</v>
      </c>
      <c r="C46" s="76"/>
      <c r="D46" s="192">
        <f ca="1">+'COMP Act to Prior'!D46</f>
        <v>13.437899999999999</v>
      </c>
      <c r="E46" s="190"/>
      <c r="F46" s="303">
        <f t="shared" ca="1" si="0"/>
        <v>-0.13527448672499887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60.573140900999988</v>
      </c>
      <c r="C47" s="76"/>
      <c r="D47" s="192">
        <f ca="1">+'COMP Act to Prior'!D47</f>
        <v>59.108476990500002</v>
      </c>
      <c r="E47" s="190"/>
      <c r="F47" s="303">
        <f t="shared" ca="1" si="0"/>
        <v>-1.4646639104999863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-171.39183664050142</v>
      </c>
      <c r="C48" s="76"/>
      <c r="D48" s="192">
        <f ca="1">+'COMP Act to Prior'!D48</f>
        <v>0</v>
      </c>
      <c r="E48" s="190"/>
      <c r="F48" s="303">
        <f t="shared" ca="1" si="0"/>
        <v>171.39183664050142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9.1079100093338639E-4</v>
      </c>
      <c r="C55" s="76"/>
      <c r="D55" s="192">
        <f ca="1">+'COMP Act to Prior'!D55</f>
        <v>-3.3594749993426376E-4</v>
      </c>
      <c r="E55" s="190"/>
      <c r="F55" s="303">
        <f t="shared" ca="1" si="0"/>
        <v>-1.2467385008676501E-3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-3143.0090947500003</v>
      </c>
      <c r="C56" s="76"/>
      <c r="D56" s="192">
        <f ca="1">+'COMP Act to Prior'!D56</f>
        <v>-4586.5068196499997</v>
      </c>
      <c r="E56" s="190"/>
      <c r="F56" s="303">
        <f t="shared" ca="1" si="0"/>
        <v>-1443.4977248999994</v>
      </c>
      <c r="G56" s="298"/>
      <c r="H56" s="325">
        <f t="shared" ca="1" si="1"/>
        <v>-17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-1579.1024434278449</v>
      </c>
      <c r="C58" s="76"/>
      <c r="D58" s="190">
        <f ca="1">+'COMP Act to Prior'!D58</f>
        <v>-2876.347380839572</v>
      </c>
      <c r="E58" s="190"/>
      <c r="F58" s="303">
        <f t="shared" ca="1" si="0"/>
        <v>-1297.2449374117271</v>
      </c>
      <c r="G58" s="76"/>
      <c r="H58" s="325">
        <f t="shared" ca="1" si="1"/>
        <v>-16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5" priority="1" stopIfTrue="1" operator="equal">
      <formula>0</formula>
    </cfRule>
    <cfRule type="cellIs" dxfId="14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rgb="FF00B0F0"/>
    <pageSetUpPr fitToPage="1"/>
  </sheetPr>
  <dimension ref="A1:X62"/>
  <sheetViews>
    <sheetView zoomScale="85" zoomScaleNormal="85" workbookViewId="0">
      <selection activeCell="D9" sqref="D9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342" t="s">
        <v>1187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1705572.5598238807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319954.82761551556</v>
      </c>
      <c r="G9" s="303"/>
      <c r="H9" s="316">
        <f ca="1">ROUND((((B17/(D9+D10+D11+D13))-B20)/B23)-(((B17/(B9+D10+D11+D13))-B20)/B23),4)*10000</f>
        <v>-195</v>
      </c>
      <c r="I9" s="316">
        <f ca="1">ROUND((((B17/(D9+D10+D11+D13))-B20)/B23)-(((B17/(B9+D10+D11+D13))-B20)/B23),4)*10000</f>
        <v>-195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70333.729166153847</v>
      </c>
      <c r="C10" s="76"/>
      <c r="D10" s="303">
        <f ca="1">+'COMP Act to Prior'!D10</f>
        <v>26412.458933076909</v>
      </c>
      <c r="E10" s="76"/>
      <c r="F10" s="303">
        <f ca="1">D10-B10</f>
        <v>-43921.270233076939</v>
      </c>
      <c r="G10" s="303"/>
      <c r="H10" s="316">
        <f ca="1">ROUND((((B17/(D9+D11+D13+D10))-B20)/B23)-(((B17/(B10+D9+D11+D13))-B20)/B23),4)*10000</f>
        <v>22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2172.483878461539</v>
      </c>
      <c r="C12" s="76"/>
      <c r="D12" s="303">
        <f ca="1">+'COMP Act to Prior'!D12</f>
        <v>1184.5254784615386</v>
      </c>
      <c r="E12" s="76"/>
      <c r="F12" s="303">
        <f ca="1">D12-B12</f>
        <v>-987.95840000000044</v>
      </c>
      <c r="G12" s="190"/>
      <c r="H12" s="316">
        <f ca="1">ROUND((((B17/(D9+D10+D11+D12+D13))-B20)/B23)-(((B17/(B12+D9+D10+D11+D13))-B20)/B23),4)*10000</f>
        <v>1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315">
        <v>-28171.068715939731</v>
      </c>
      <c r="C13" s="76"/>
      <c r="D13" s="315">
        <f ca="1">+'COMP Act to Prior'!D13</f>
        <v>-28792.100266969584</v>
      </c>
      <c r="E13" s="76"/>
      <c r="F13" s="303">
        <f ca="1">D13-B13</f>
        <v>-621.03155102985329</v>
      </c>
      <c r="G13" s="190"/>
      <c r="H13" s="316">
        <f ca="1">ROUND((((B17/(D9+D10+D11+D12+D13))-B20)/B23)-(((B17/(B13+D9+D10+D11+D12))-B20)/B23),4)*10000</f>
        <v>0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1749907.7042</v>
      </c>
      <c r="C15" s="52"/>
      <c r="D15" s="61">
        <f ca="1">+'COMP Act to Prior'!D15</f>
        <v>2024332.2716000001</v>
      </c>
      <c r="E15" s="52"/>
      <c r="F15" s="50">
        <f ca="1">D15-B15</f>
        <v>274424.56740000006</v>
      </c>
      <c r="G15" s="50"/>
      <c r="H15" s="53">
        <f ca="1">ROUND((((B17/D15)-B20)/B23)-(((B17/B15)-B20)/B23),4)*10000</f>
        <v>-162.99999999999997</v>
      </c>
      <c r="I15" s="53">
        <f ca="1">SUM(H9:H13)</f>
        <v>-172</v>
      </c>
      <c r="J15" s="316"/>
      <c r="K15" s="53">
        <f ca="1">H15-I15</f>
        <v>9.0000000000000284</v>
      </c>
      <c r="L15" s="76"/>
      <c r="M15" s="76"/>
      <c r="N15" s="76"/>
      <c r="O15" s="975">
        <f ca="1">-F15/H15</f>
        <v>1683.5863030674852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98738.767099999997</v>
      </c>
      <c r="D17" s="62">
        <f ca="1">+'COMP Act to Prior'!D17</f>
        <v>111760.75260000001</v>
      </c>
      <c r="F17" s="50">
        <f ca="1">D17-B17</f>
        <v>13021.98550000001</v>
      </c>
      <c r="G17" s="63"/>
      <c r="H17" s="64">
        <f ca="1">ROUND((((D17/B15)-B20)/B23)-(((B17/B15)-B20)/B23),4)*10000</f>
        <v>159</v>
      </c>
      <c r="I17" s="53"/>
      <c r="J17" s="53"/>
      <c r="K17" s="53"/>
      <c r="L17" s="64"/>
      <c r="O17" s="975">
        <f ca="1">-F17/H17</f>
        <v>-81.899279874213903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5.6399999999999999E-2</v>
      </c>
      <c r="C19" s="76"/>
      <c r="D19" s="298">
        <f ca="1">+'COMP Act to Prior'!D19</f>
        <v>5.5199999999999999E-2</v>
      </c>
      <c r="E19" s="76"/>
      <c r="F19" s="298">
        <f ca="1">D19-B19</f>
        <v>-1.1999999999999997E-3</v>
      </c>
      <c r="G19" s="298"/>
      <c r="H19" s="316">
        <f ca="1">ROUND((F19/$B$23)*10000,0)</f>
        <v>-26</v>
      </c>
      <c r="I19" s="53">
        <f ca="1">H15+H17</f>
        <v>-3.9999999999999716</v>
      </c>
      <c r="J19" s="316"/>
      <c r="K19" s="53">
        <f ca="1">H19-I19</f>
        <v>-22.000000000000028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1.43E-2</v>
      </c>
      <c r="C20" s="76"/>
      <c r="D20" s="299">
        <f ca="1">+'COMP Act to Prior'!D20</f>
        <v>1.7999999999999999E-2</v>
      </c>
      <c r="E20" s="76"/>
      <c r="F20" s="298">
        <f ca="1">D20-B20</f>
        <v>3.6999999999999984E-3</v>
      </c>
      <c r="G20" s="298"/>
      <c r="H20" s="316">
        <f ca="1">-ROUND((F20/$B$23)*10000,0)</f>
        <v>-79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4.2099999999999999E-2</v>
      </c>
      <c r="C22" s="76"/>
      <c r="D22" s="298">
        <f ca="1">+'COMP Act to Prior'!D22</f>
        <v>3.7199999999999997E-2</v>
      </c>
      <c r="E22" s="76"/>
      <c r="F22" s="298">
        <f ca="1">D22-B22</f>
        <v>-4.9000000000000016E-3</v>
      </c>
      <c r="G22" s="298"/>
      <c r="H22" s="316">
        <f ca="1">ROUND((F22/$B$23)*10000,0)</f>
        <v>-104</v>
      </c>
      <c r="I22" s="53">
        <f ca="1">H19+H20</f>
        <v>-105</v>
      </c>
      <c r="J22" s="316"/>
      <c r="K22" s="53">
        <f ca="1">H22-I22</f>
        <v>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0.46920000000000001</v>
      </c>
      <c r="C23" s="76"/>
      <c r="D23" s="299">
        <f ca="1">+'COMP Act to Prior'!D23</f>
        <v>0.47539999999999999</v>
      </c>
      <c r="E23" s="76"/>
      <c r="F23" s="298">
        <f ca="1">D23-B23</f>
        <v>6.1999999999999833E-3</v>
      </c>
      <c r="G23" s="298"/>
      <c r="H23" s="316">
        <f ca="1">ROUND((B22/D23)-(B22/B23),4)*10000</f>
        <v>-11.999999999999998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189">
        <v>8.9800000000000005E-2</v>
      </c>
      <c r="D25" s="189">
        <f ca="1">+'COMP Act to Prior'!D25</f>
        <v>7.8100000000000003E-2</v>
      </c>
      <c r="F25" s="65">
        <f ca="1">D25-B25</f>
        <v>-1.1700000000000002E-2</v>
      </c>
      <c r="G25" s="65"/>
      <c r="H25" s="53">
        <f ca="1">(D25-B25)*10000</f>
        <v>-117.00000000000001</v>
      </c>
      <c r="I25" s="53">
        <f ca="1">H22+H23</f>
        <v>-116</v>
      </c>
      <c r="J25" s="53"/>
      <c r="K25" s="53">
        <f ca="1">H25-I25</f>
        <v>-1.0000000000000142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977">
        <v>125150.97369000004</v>
      </c>
      <c r="C28" s="76"/>
      <c r="D28" s="977">
        <f ca="1">+'COMP Act to Prior'!D28</f>
        <v>140503.29999999996</v>
      </c>
      <c r="E28" s="190"/>
      <c r="F28" s="303">
        <f ca="1">D28-B28</f>
        <v>15352.326309999917</v>
      </c>
      <c r="G28" s="303"/>
      <c r="H28" s="325">
        <f ca="1">ROUND((((D28/B15)-B20)/B23)-(((B28/B15)-B20)/B23),4)*10000</f>
        <v>187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25080.437595004882</v>
      </c>
      <c r="C29" s="76"/>
      <c r="D29" s="434">
        <f ca="1">+'COMP Act to Prior'!D29</f>
        <v>25866.2</v>
      </c>
      <c r="E29" s="190"/>
      <c r="F29" s="303">
        <f ca="1">D29-B29</f>
        <v>785.76240499511914</v>
      </c>
      <c r="G29" s="303"/>
      <c r="H29" s="325">
        <f ca="1">-ROUND((((D29/B15)-B20)/B23)-(((B29/B15)-B20)/B23),4)*10000</f>
        <v>-10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25080.437595004882</v>
      </c>
      <c r="C31" s="300"/>
      <c r="D31" s="191">
        <f ca="1">+'COMP Act to Prior'!D31</f>
        <v>25866.2</v>
      </c>
      <c r="E31" s="190"/>
      <c r="F31" s="303">
        <f ca="1">D31-B31</f>
        <v>785.76240499511914</v>
      </c>
      <c r="G31" s="190"/>
      <c r="H31" s="325">
        <f ca="1">-ROUND((((D31/B15)-B20)/B23)-(((B31/B15)-B20)/B23),4)*10000</f>
        <v>-10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100070.53609499516</v>
      </c>
      <c r="C33" s="76"/>
      <c r="D33" s="191">
        <f ca="1">+'COMP Act to Prior'!D33</f>
        <v>114637.09999999996</v>
      </c>
      <c r="E33" s="190"/>
      <c r="F33" s="303">
        <f ca="1">D33-B33</f>
        <v>14566.563905004805</v>
      </c>
      <c r="G33" s="303"/>
      <c r="H33" s="325">
        <f ca="1">ROUND((((D33/B15)-B20)/B23)-(((B33/B15)-B20)/B23),4)*10000</f>
        <v>177</v>
      </c>
      <c r="I33" s="316">
        <f ca="1">H28+H29+H30</f>
        <v>177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-1331.7689722829086</v>
      </c>
      <c r="C36" s="978"/>
      <c r="D36" s="191">
        <f ca="1">+'COMP Act to Prior'!D36</f>
        <v>-2876.347380839572</v>
      </c>
      <c r="E36" s="190"/>
      <c r="F36" s="303">
        <f ca="1">D36-B36</f>
        <v>-1544.5784085566634</v>
      </c>
      <c r="G36" s="76"/>
      <c r="H36" s="325">
        <f ca="1">ROUND((((D36/B15)-B20)/B23)-(((B36/B15)-B20)/B23),4)*10000</f>
        <v>-19</v>
      </c>
      <c r="I36" s="316">
        <f ca="1">H36</f>
        <v>-19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7">
        <v>98738.767122712248</v>
      </c>
      <c r="D37" s="67">
        <f ca="1">+'COMP Act to Prior'!D37</f>
        <v>111760.7526191604</v>
      </c>
      <c r="E37" s="68"/>
      <c r="F37" s="50">
        <f ca="1">D37-B37</f>
        <v>13021.985496448149</v>
      </c>
      <c r="G37" s="63"/>
      <c r="H37" s="326">
        <f ca="1">ROUND((((D37/B15)-B20)/B23)-(((B37/B15)-B20)/B23),4)*10000</f>
        <v>159</v>
      </c>
      <c r="I37" s="53">
        <f ca="1">H33+H36</f>
        <v>158</v>
      </c>
      <c r="K37" s="53">
        <f ca="1">H37-I37</f>
        <v>1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31.56703269214713</v>
      </c>
      <c r="C42" s="76"/>
      <c r="D42" s="192">
        <f ca="1">+'COMP Act to Prior'!D42</f>
        <v>28.980152780785676</v>
      </c>
      <c r="E42" s="190"/>
      <c r="F42" s="303">
        <f ca="1">D42-B42</f>
        <v>-2.5868799113614536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-164.80357895179225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-270.75331849657692</v>
      </c>
      <c r="G43" s="298"/>
      <c r="H43" s="325">
        <f t="shared" ref="H43:H58" ca="1" si="1">ROUND((((D43/$B$15)-$B$20)/$B$23)-(((B43/$B$15)-$B$20)/$B$23),4)*10000</f>
        <v>-2.9999999999999996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13.476122986724999</v>
      </c>
      <c r="C46" s="76"/>
      <c r="D46" s="192">
        <f ca="1">+'COMP Act to Prior'!D46</f>
        <v>13.437899999999999</v>
      </c>
      <c r="E46" s="190"/>
      <c r="F46" s="303">
        <f t="shared" ca="1" si="0"/>
        <v>-3.8222986724999686E-2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56.572640743500003</v>
      </c>
      <c r="C47" s="76"/>
      <c r="D47" s="192">
        <f ca="1">+'COMP Act to Prior'!D47</f>
        <v>59.108476990500002</v>
      </c>
      <c r="E47" s="190"/>
      <c r="F47" s="303">
        <f t="shared" ca="1" si="0"/>
        <v>2.5358362469999989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-179.0813016405009</v>
      </c>
      <c r="C48" s="76"/>
      <c r="D48" s="192">
        <f ca="1">+'COMP Act to Prior'!D48</f>
        <v>0</v>
      </c>
      <c r="E48" s="190"/>
      <c r="F48" s="303">
        <f t="shared" ca="1" si="0"/>
        <v>179.0813016405009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1.3736520008933439E-3</v>
      </c>
      <c r="C55" s="76"/>
      <c r="D55" s="192">
        <f ca="1">+'COMP Act to Prior'!D55</f>
        <v>-3.3594749993426376E-4</v>
      </c>
      <c r="E55" s="190"/>
      <c r="F55" s="303">
        <f t="shared" ca="1" si="0"/>
        <v>-1.7095995008276077E-3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-3133.6914041999999</v>
      </c>
      <c r="C56" s="76"/>
      <c r="D56" s="192">
        <f ca="1">+'COMP Act to Prior'!D56</f>
        <v>-4586.5068196499997</v>
      </c>
      <c r="E56" s="190"/>
      <c r="F56" s="303">
        <f t="shared" ca="1" si="0"/>
        <v>-1452.8154154499998</v>
      </c>
      <c r="G56" s="298"/>
      <c r="H56" s="325">
        <f t="shared" ca="1" si="1"/>
        <v>-18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-1331.7689722829086</v>
      </c>
      <c r="C58" s="76"/>
      <c r="D58" s="190">
        <f ca="1">+'COMP Act to Prior'!D58</f>
        <v>-2876.347380839572</v>
      </c>
      <c r="E58" s="190"/>
      <c r="F58" s="303">
        <f t="shared" ca="1" si="0"/>
        <v>-1544.5784085566634</v>
      </c>
      <c r="G58" s="76"/>
      <c r="H58" s="325">
        <f t="shared" ca="1" si="1"/>
        <v>-19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3" priority="1" stopIfTrue="1" operator="equal">
      <formula>0</formula>
    </cfRule>
    <cfRule type="cellIs" dxfId="12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B0F0"/>
    <pageSetUpPr fitToPage="1"/>
  </sheetPr>
  <dimension ref="A1:X62"/>
  <sheetViews>
    <sheetView workbookViewId="0">
      <selection activeCell="O17" sqref="O17"/>
    </sheetView>
  </sheetViews>
  <sheetFormatPr defaultColWidth="9.140625" defaultRowHeight="15"/>
  <cols>
    <col min="1" max="1" width="44.28515625" style="43" bestFit="1" customWidth="1"/>
    <col min="2" max="2" width="18.28515625" style="43" customWidth="1"/>
    <col min="3" max="3" width="2.85546875" style="43" customWidth="1"/>
    <col min="4" max="4" width="18.285156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B6" s="430" t="s">
        <v>1050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1141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1706295.1874784261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319232.19996097009</v>
      </c>
      <c r="G9" s="303"/>
      <c r="H9" s="316">
        <f ca="1">ROUND((((B17/(D9+D10+D11+D13))-B20)/B23)-(((B17/(B9+D10+D11+D13))-B20)/B23),4)*10000</f>
        <v>-199</v>
      </c>
      <c r="I9" s="316">
        <f ca="1">ROUND((((B17/(D9+D10+D11+D13))-B20)/B23)-(((B17/(B9+D10+D11+D13))-B20)/B23),4)*10000</f>
        <v>-199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64349.886096923103</v>
      </c>
      <c r="C10" s="76"/>
      <c r="D10" s="303">
        <f ca="1">+'COMP Act to Prior'!D10</f>
        <v>26412.458933076909</v>
      </c>
      <c r="E10" s="76"/>
      <c r="F10" s="303">
        <f ca="1">D10-B10</f>
        <v>-37937.427163846194</v>
      </c>
      <c r="G10" s="303"/>
      <c r="H10" s="316">
        <f ca="1">ROUND((((B17/(D9+D11+D13+D10))-B20)/B23)-(((B17/(B10+D9+D11+D13))-B20)/B23),4)*10000</f>
        <v>20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2371.8454169230772</v>
      </c>
      <c r="C12" s="76"/>
      <c r="D12" s="303">
        <f ca="1">+'COMP Act to Prior'!D12</f>
        <v>1184.5254784615386</v>
      </c>
      <c r="E12" s="76"/>
      <c r="F12" s="303">
        <f ca="1">D12-B12</f>
        <v>-1187.3199384615386</v>
      </c>
      <c r="G12" s="190"/>
      <c r="H12" s="316">
        <f ca="1">ROUND((((B17/(D9+D10+D11+D12+D13))-B20)/B23)-(((B17/(B12+D9+D10+D11+D13))-B20)/B23),4)*10000</f>
        <v>1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-25465.576070769253</v>
      </c>
      <c r="C13" s="76"/>
      <c r="D13" s="315">
        <f ca="1">+'COMP Act to Prior'!D13</f>
        <v>-28792.100266969584</v>
      </c>
      <c r="E13" s="76"/>
      <c r="F13" s="303">
        <f ca="1">D13-B13</f>
        <v>-3326.5241962003311</v>
      </c>
      <c r="G13" s="190"/>
      <c r="H13" s="316">
        <f ca="1">ROUND((((B17/(D9+D10+D11+D12+D13))-B20)/B23)-(((B17/(B13+D9+D10+D11+D12))-B20)/B23),4)*10000</f>
        <v>2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1747551.3429</v>
      </c>
      <c r="C15" s="52"/>
      <c r="D15" s="61">
        <f ca="1">+'COMP Act to Prior'!D15</f>
        <v>2024332.2716000001</v>
      </c>
      <c r="E15" s="52"/>
      <c r="F15" s="50">
        <f ca="1">D15-B15</f>
        <v>276780.92870000005</v>
      </c>
      <c r="G15" s="50"/>
      <c r="H15" s="53">
        <f ca="1">ROUND((((B17/D15)-B20)/B23)-(((B17/B15)-B20)/B23),4)*10000</f>
        <v>-168</v>
      </c>
      <c r="I15" s="53">
        <f ca="1">SUM(H9:H13)</f>
        <v>-176</v>
      </c>
      <c r="J15" s="316"/>
      <c r="K15" s="53">
        <f ca="1">H15-I15</f>
        <v>8</v>
      </c>
      <c r="L15" s="76"/>
      <c r="M15" s="76"/>
      <c r="N15" s="76"/>
      <c r="O15" s="975">
        <f ca="1">-F15/H15</f>
        <v>1647.5055279761907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100988.303</v>
      </c>
      <c r="D17" s="62">
        <f ca="1">+'COMP Act to Prior'!D17</f>
        <v>111760.75260000001</v>
      </c>
      <c r="F17" s="50">
        <f ca="1">D17-B17</f>
        <v>10772.449600000007</v>
      </c>
      <c r="G17" s="63"/>
      <c r="H17" s="64">
        <f ca="1">ROUND((((D17/B15)-B20)/B23)-(((B17/B15)-B20)/B23),4)*10000</f>
        <v>131</v>
      </c>
      <c r="I17" s="53"/>
      <c r="J17" s="53"/>
      <c r="K17" s="53"/>
      <c r="L17" s="64"/>
      <c r="M17" s="76"/>
      <c r="O17" s="975">
        <f ca="1">-F17/H17</f>
        <v>-82.232439694656549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5.7799999999999997E-2</v>
      </c>
      <c r="C19" s="76"/>
      <c r="D19" s="298">
        <f ca="1">+'COMP Act to Prior'!D19</f>
        <v>5.5199999999999999E-2</v>
      </c>
      <c r="E19" s="76"/>
      <c r="F19" s="298">
        <f ca="1">D19-B19</f>
        <v>-2.5999999999999981E-3</v>
      </c>
      <c r="G19" s="298"/>
      <c r="H19" s="316">
        <f ca="1">ROUND((F19/$B$23)*10000,0)</f>
        <v>-55</v>
      </c>
      <c r="I19" s="53">
        <f ca="1">H15+H17</f>
        <v>-37</v>
      </c>
      <c r="J19" s="316"/>
      <c r="K19" s="53">
        <f ca="1">H19-I19</f>
        <v>-18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1.4E-2</v>
      </c>
      <c r="C20" s="76"/>
      <c r="D20" s="299">
        <f ca="1">+'COMP Act to Prior'!D20</f>
        <v>1.7999999999999999E-2</v>
      </c>
      <c r="E20" s="76"/>
      <c r="F20" s="298">
        <f ca="1">D20-B20</f>
        <v>3.9999999999999983E-3</v>
      </c>
      <c r="G20" s="298"/>
      <c r="H20" s="316">
        <f ca="1">-ROUND((F20/$B$23)*10000,0)</f>
        <v>-85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4.3799999999999999E-2</v>
      </c>
      <c r="C22" s="76"/>
      <c r="D22" s="298">
        <f ca="1">+'COMP Act to Prior'!D22</f>
        <v>3.7199999999999997E-2</v>
      </c>
      <c r="E22" s="76"/>
      <c r="F22" s="298">
        <f ca="1">D22-B22</f>
        <v>-6.6000000000000017E-3</v>
      </c>
      <c r="G22" s="298"/>
      <c r="H22" s="316">
        <f ca="1">ROUND((F22/$B$23)*10000,0)</f>
        <v>-141</v>
      </c>
      <c r="I22" s="53">
        <f ca="1">H19+H20</f>
        <v>-140</v>
      </c>
      <c r="J22" s="316"/>
      <c r="K22" s="53">
        <f ca="1">H22-I22</f>
        <v>-1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0.46939999999999998</v>
      </c>
      <c r="C23" s="76"/>
      <c r="D23" s="299">
        <f ca="1">+'COMP Act to Prior'!D23</f>
        <v>0.47539999999999999</v>
      </c>
      <c r="E23" s="76"/>
      <c r="F23" s="298">
        <f ca="1">D23-B23</f>
        <v>6.0000000000000053E-3</v>
      </c>
      <c r="G23" s="298"/>
      <c r="H23" s="316">
        <f ca="1">ROUND((B22/D23)-(B22/B23),4)*10000</f>
        <v>-11.999999999999998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v>9.3299999999999994E-2</v>
      </c>
      <c r="D25" s="189">
        <f ca="1">+'COMP Act to Prior'!D25</f>
        <v>7.8100000000000003E-2</v>
      </c>
      <c r="F25" s="65">
        <f ca="1">D25-B25</f>
        <v>-1.5199999999999991E-2</v>
      </c>
      <c r="G25" s="65"/>
      <c r="H25" s="53">
        <f ca="1">(D25-B25)*10000</f>
        <v>-151.99999999999991</v>
      </c>
      <c r="I25" s="53">
        <f ca="1">H22+H23</f>
        <v>-153</v>
      </c>
      <c r="J25" s="53"/>
      <c r="K25" s="53">
        <f ca="1">H25-I25</f>
        <v>1.0000000000000853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433">
        <v>128230.97368999996</v>
      </c>
      <c r="C28" s="76"/>
      <c r="D28" s="977">
        <f ca="1">+'COMP Act to Prior'!D28</f>
        <v>140503.29999999996</v>
      </c>
      <c r="E28" s="190"/>
      <c r="F28" s="303">
        <f ca="1">D28-B28</f>
        <v>12272.326310000004</v>
      </c>
      <c r="G28" s="303"/>
      <c r="H28" s="325">
        <f ca="1">ROUND((((D28/B15)-B20)/B23)-(((B28/B15)-B20)/B23),4)*10000</f>
        <v>150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25844.921720000002</v>
      </c>
      <c r="C29" s="76"/>
      <c r="D29" s="434">
        <f ca="1">+'COMP Act to Prior'!D29</f>
        <v>25866.2</v>
      </c>
      <c r="E29" s="190"/>
      <c r="F29" s="303">
        <f ca="1">D29-B29</f>
        <v>21.278279999998631</v>
      </c>
      <c r="G29" s="303"/>
      <c r="H29" s="325">
        <f ca="1">-ROUND((((D29/B15)-B20)/B23)-(((B29/B15)-B20)/B23),4)*10000</f>
        <v>0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25844.921720000002</v>
      </c>
      <c r="C31" s="300"/>
      <c r="D31" s="191">
        <f ca="1">+'COMP Act to Prior'!D31</f>
        <v>25866.2</v>
      </c>
      <c r="E31" s="190"/>
      <c r="F31" s="303">
        <f ca="1">D31-B31</f>
        <v>21.278279999998631</v>
      </c>
      <c r="G31" s="190"/>
      <c r="H31" s="325">
        <f ca="1">-ROUND((((D31/B15)-B20)/B23)-(((B31/B15)-B20)/B23),4)*10000</f>
        <v>0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102386.05196999996</v>
      </c>
      <c r="C33" s="76"/>
      <c r="D33" s="191">
        <f ca="1">+'COMP Act to Prior'!D33</f>
        <v>114637.09999999996</v>
      </c>
      <c r="E33" s="190"/>
      <c r="F33" s="303">
        <f ca="1">D33-B33</f>
        <v>12251.048030000005</v>
      </c>
      <c r="G33" s="303"/>
      <c r="H33" s="325">
        <f ca="1">ROUND((((D33/B15)-B20)/B23)-(((B33/B15)-B20)/B23),4)*10000</f>
        <v>149</v>
      </c>
      <c r="I33" s="316">
        <f ca="1">H28+H29+H30</f>
        <v>150</v>
      </c>
      <c r="J33" s="76"/>
      <c r="K33" s="53">
        <f ca="1">I33-H33</f>
        <v>1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-1397.7489822669866</v>
      </c>
      <c r="C36" s="978"/>
      <c r="D36" s="191">
        <f ca="1">+'COMP Act to Prior'!D36</f>
        <v>-2876.347380839572</v>
      </c>
      <c r="E36" s="190"/>
      <c r="F36" s="303">
        <f ca="1">D36-B36</f>
        <v>-1478.5983985725854</v>
      </c>
      <c r="G36" s="76"/>
      <c r="H36" s="325">
        <f ca="1">ROUND((((D36/B15)-B20)/B23)-(((B36/B15)-B20)/B23),4)*10000</f>
        <v>-18</v>
      </c>
      <c r="I36" s="316">
        <f ca="1">H36</f>
        <v>-18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2">
        <v>100988.30298773297</v>
      </c>
      <c r="D37" s="67">
        <f ca="1">+'COMP Act to Prior'!D37</f>
        <v>111760.7526191604</v>
      </c>
      <c r="E37" s="68"/>
      <c r="F37" s="50">
        <f ca="1">D37-B37</f>
        <v>10772.449631427429</v>
      </c>
      <c r="G37" s="63"/>
      <c r="H37" s="326">
        <f ca="1">ROUND((((D37/B15)-B20)/B23)-(((B37/B15)-B20)/B23),4)*10000</f>
        <v>131</v>
      </c>
      <c r="I37" s="53">
        <f ca="1">H33+H36</f>
        <v>131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31.322706306508167</v>
      </c>
      <c r="C42" s="76"/>
      <c r="D42" s="192">
        <f ca="1">+'COMP Act to Prior'!D42</f>
        <v>28.980152780785676</v>
      </c>
      <c r="E42" s="190"/>
      <c r="F42" s="303">
        <f ca="1">D42-B42</f>
        <v>-2.3425535257224901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-206.11933582673177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-229.4375616216374</v>
      </c>
      <c r="G43" s="298"/>
      <c r="H43" s="325">
        <f t="shared" ref="H43:H58" ca="1" si="1">ROUND((((D43/$B$15)-$B$20)/$B$23)-(((B43/$B$15)-$B$20)/$B$23),4)*10000</f>
        <v>-2.9999999999999996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13.853130736724999</v>
      </c>
      <c r="C46" s="76"/>
      <c r="D46" s="192">
        <f ca="1">+'COMP Act to Prior'!D46</f>
        <v>13.437899999999999</v>
      </c>
      <c r="E46" s="190"/>
      <c r="F46" s="303">
        <f t="shared" ca="1" si="0"/>
        <v>-0.41523073672500033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59.744836210500004</v>
      </c>
      <c r="C47" s="76"/>
      <c r="D47" s="192">
        <f ca="1">+'COMP Act to Prior'!D47</f>
        <v>59.108476990500002</v>
      </c>
      <c r="E47" s="190"/>
      <c r="F47" s="303">
        <f t="shared" ca="1" si="0"/>
        <v>-0.63635922000000278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-187.36800664049952</v>
      </c>
      <c r="C48" s="76"/>
      <c r="D48" s="192">
        <f ca="1">+'COMP Act to Prior'!D48</f>
        <v>0</v>
      </c>
      <c r="E48" s="190"/>
      <c r="F48" s="303">
        <f t="shared" ca="1" si="0"/>
        <v>187.36800664049952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-5.0018849970001611E-4</v>
      </c>
      <c r="C55" s="76"/>
      <c r="D55" s="192">
        <f ca="1">+'COMP Act to Prior'!D55</f>
        <v>-3.3594749993426376E-4</v>
      </c>
      <c r="E55" s="190"/>
      <c r="F55" s="303">
        <f t="shared" ca="1" si="0"/>
        <v>1.6424099976575235E-4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-3153.3719553000001</v>
      </c>
      <c r="C56" s="76"/>
      <c r="D56" s="192">
        <f ca="1">+'COMP Act to Prior'!D56</f>
        <v>-4586.5068196499997</v>
      </c>
      <c r="E56" s="190"/>
      <c r="F56" s="303">
        <f t="shared" ca="1" si="0"/>
        <v>-1433.1348643499996</v>
      </c>
      <c r="G56" s="298"/>
      <c r="H56" s="325">
        <f t="shared" ca="1" si="1"/>
        <v>-17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-1397.7489822669866</v>
      </c>
      <c r="C58" s="76"/>
      <c r="D58" s="190">
        <f ca="1">+'COMP Act to Prior'!D58</f>
        <v>-2876.347380839572</v>
      </c>
      <c r="E58" s="190"/>
      <c r="F58" s="303">
        <f t="shared" ca="1" si="0"/>
        <v>-1478.5983985725854</v>
      </c>
      <c r="G58" s="76"/>
      <c r="H58" s="325">
        <f t="shared" ca="1" si="1"/>
        <v>-18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1" priority="1" stopIfTrue="1" operator="equal">
      <formula>0</formula>
    </cfRule>
    <cfRule type="cellIs" dxfId="10" priority="2" stopIfTrue="1" operator="notEqual">
      <formula>0</formula>
    </cfRule>
  </conditionalFormatting>
  <printOptions horizontalCentered="1"/>
  <pageMargins left="0.5" right="0.5" top="0.5" bottom="0.5" header="0.5" footer="0.25"/>
  <pageSetup scale="83" orientation="portrait" r:id="rId1"/>
  <headerFooter>
    <oddFooter>&amp;Z&amp;F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rgb="FF00B0F0"/>
    <pageSetUpPr fitToPage="1"/>
  </sheetPr>
  <dimension ref="A1:X62"/>
  <sheetViews>
    <sheetView workbookViewId="0">
      <selection activeCell="M24" sqref="M24"/>
    </sheetView>
  </sheetViews>
  <sheetFormatPr defaultColWidth="9.140625" defaultRowHeight="15"/>
  <cols>
    <col min="1" max="1" width="44.28515625" style="43" bestFit="1" customWidth="1"/>
    <col min="2" max="2" width="18.28515625" style="43" customWidth="1"/>
    <col min="3" max="3" width="2.85546875" style="43" customWidth="1"/>
    <col min="4" max="4" width="18.285156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B6" s="430" t="s">
        <v>1206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1221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2024569.5878616774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957.79957771883346</v>
      </c>
      <c r="G9" s="303"/>
      <c r="H9" s="316">
        <f ca="1">ROUND((((B17/(D9+D10+D11+D13))-B20)/B23)-(((B17/(B9+D10+D11+D13))-B20)/B23),4)*10000</f>
        <v>-1</v>
      </c>
      <c r="I9" s="316">
        <f ca="1">ROUND((((B17/(D9+D10+D11+D13))-B20)/B23)-(((B17/(B9+D10+D11+D13))-B20)/B23),4)*10000</f>
        <v>-1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17286.934380000021</v>
      </c>
      <c r="C10" s="76"/>
      <c r="D10" s="303">
        <f ca="1">+'COMP Act to Prior'!D10</f>
        <v>26412.458933076909</v>
      </c>
      <c r="E10" s="76"/>
      <c r="F10" s="303">
        <f ca="1">D10-B10</f>
        <v>9125.524553076888</v>
      </c>
      <c r="G10" s="303"/>
      <c r="H10" s="316">
        <f ca="1">ROUND((((B17/(D9+D11+D13+D10))-B20)/B23)-(((B17/(B10+D9+D11+D13))-B20)/B23),4)*10000</f>
        <v>-5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1000</v>
      </c>
      <c r="C12" s="76"/>
      <c r="D12" s="303">
        <f ca="1">+'COMP Act to Prior'!D12</f>
        <v>1184.5254784615386</v>
      </c>
      <c r="E12" s="76"/>
      <c r="F12" s="303">
        <f ca="1">D12-B12</f>
        <v>184.52547846153857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-12278.534419277286</v>
      </c>
      <c r="C13" s="76"/>
      <c r="D13" s="315">
        <f ca="1">+'COMP Act to Prior'!D13</f>
        <v>-28792.100266969584</v>
      </c>
      <c r="E13" s="76"/>
      <c r="F13" s="303">
        <f ca="1">D13-B13</f>
        <v>-16513.565847692298</v>
      </c>
      <c r="G13" s="190"/>
      <c r="H13" s="316">
        <f ca="1">ROUND((((B17/(D9+D10+D11+D12+D13))-B20)/B23)-(((B17/(B13+D9+D10+D11+D12))-B20)/B23),4)*10000</f>
        <v>9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2030577.9878</v>
      </c>
      <c r="C15" s="52"/>
      <c r="D15" s="61">
        <f ca="1">+'COMP Act to Prior'!D15</f>
        <v>2024332.2716000001</v>
      </c>
      <c r="E15" s="52"/>
      <c r="F15" s="50">
        <f ca="1">D15-B15</f>
        <v>-6245.716199999908</v>
      </c>
      <c r="G15" s="50"/>
      <c r="H15" s="53">
        <f ca="1">ROUND((((B17/D15)-B20)/B23)-(((B17/B15)-B20)/B23),4)*10000</f>
        <v>2.9999999999999996</v>
      </c>
      <c r="I15" s="53">
        <f ca="1">SUM(H9:H13)</f>
        <v>3</v>
      </c>
      <c r="J15" s="316"/>
      <c r="K15" s="53">
        <f ca="1">H15-I15</f>
        <v>0</v>
      </c>
      <c r="L15" s="76"/>
      <c r="M15" s="76"/>
      <c r="N15" s="76"/>
      <c r="O15" s="975">
        <f ca="1">-F15/H15</f>
        <v>2081.9053999999696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104961.26609999999</v>
      </c>
      <c r="D17" s="62">
        <f ca="1">+'COMP Act to Prior'!D17</f>
        <v>111760.75260000001</v>
      </c>
      <c r="F17" s="50">
        <f ca="1">D17-B17</f>
        <v>6799.4865000000136</v>
      </c>
      <c r="G17" s="63"/>
      <c r="H17" s="64">
        <f ca="1">ROUND((((D17/B15)-B20)/B23)-(((B17/B15)-B20)/B23),4)*10000</f>
        <v>70</v>
      </c>
      <c r="I17" s="53"/>
      <c r="J17" s="53"/>
      <c r="K17" s="53"/>
      <c r="L17" s="64"/>
      <c r="M17" s="76"/>
      <c r="O17" s="975">
        <f ca="1">-F17/H17</f>
        <v>-97.135521428571622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5.1700000000000003E-2</v>
      </c>
      <c r="C19" s="76"/>
      <c r="D19" s="298">
        <f ca="1">+'COMP Act to Prior'!D19</f>
        <v>5.5199999999999999E-2</v>
      </c>
      <c r="E19" s="76"/>
      <c r="F19" s="298">
        <f ca="1">D19-B19</f>
        <v>3.4999999999999962E-3</v>
      </c>
      <c r="G19" s="298"/>
      <c r="H19" s="316">
        <f ca="1">ROUND((F19/$B$23)*10000,0)</f>
        <v>74</v>
      </c>
      <c r="I19" s="53">
        <f ca="1">H15+H17</f>
        <v>73</v>
      </c>
      <c r="J19" s="316"/>
      <c r="K19" s="53">
        <f ca="1">H19-I19</f>
        <v>1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1.7299999999999999E-2</v>
      </c>
      <c r="C20" s="76"/>
      <c r="D20" s="299">
        <f ca="1">+'COMP Act to Prior'!D20</f>
        <v>1.7999999999999999E-2</v>
      </c>
      <c r="E20" s="76"/>
      <c r="F20" s="298">
        <f ca="1">D20-B20</f>
        <v>6.9999999999999923E-4</v>
      </c>
      <c r="G20" s="298"/>
      <c r="H20" s="316">
        <f ca="1">-ROUND((F20/$B$23)*10000,0)</f>
        <v>-15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3.44E-2</v>
      </c>
      <c r="C22" s="76"/>
      <c r="D22" s="298">
        <f ca="1">+'COMP Act to Prior'!D22</f>
        <v>3.7199999999999997E-2</v>
      </c>
      <c r="E22" s="76"/>
      <c r="F22" s="298">
        <f ca="1">D22-B22</f>
        <v>2.7999999999999969E-3</v>
      </c>
      <c r="G22" s="298"/>
      <c r="H22" s="316">
        <f ca="1">ROUND((F22/$B$23)*10000,0)</f>
        <v>59</v>
      </c>
      <c r="I22" s="53">
        <f ca="1">H19+H20</f>
        <v>59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0.4753</v>
      </c>
      <c r="C23" s="76"/>
      <c r="D23" s="299">
        <f ca="1">+'COMP Act to Prior'!D23</f>
        <v>0.47539999999999999</v>
      </c>
      <c r="E23" s="76"/>
      <c r="F23" s="298">
        <f ca="1">D23-B23</f>
        <v>9.9999999999988987E-5</v>
      </c>
      <c r="G23" s="298"/>
      <c r="H23" s="316">
        <f ca="1">ROUND((B22/D23)-(B22/B23),4)*10000</f>
        <v>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v>7.2400000000000006E-2</v>
      </c>
      <c r="D25" s="189">
        <f ca="1">+'COMP Act to Prior'!D25</f>
        <v>7.8100000000000003E-2</v>
      </c>
      <c r="F25" s="65">
        <f ca="1">D25-B25</f>
        <v>5.6999999999999967E-3</v>
      </c>
      <c r="G25" s="65"/>
      <c r="H25" s="53">
        <f ca="1">(D25-B25)*10000</f>
        <v>56.999999999999964</v>
      </c>
      <c r="I25" s="53">
        <f ca="1">H22+H23</f>
        <v>59</v>
      </c>
      <c r="J25" s="53"/>
      <c r="K25" s="53">
        <f ca="1">H25-I25</f>
        <v>-2.0000000000000355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433">
        <v>131712.16215999992</v>
      </c>
      <c r="C28" s="76"/>
      <c r="D28" s="977">
        <f ca="1">+'COMP Act to Prior'!D28</f>
        <v>140503.29999999996</v>
      </c>
      <c r="E28" s="190"/>
      <c r="F28" s="303">
        <f ca="1">D28-B28</f>
        <v>8791.1378400000394</v>
      </c>
      <c r="G28" s="303"/>
      <c r="H28" s="325">
        <f ca="1">ROUND((((D28/B15)-B20)/B23)-(((B28/B15)-B20)/B23),4)*10000</f>
        <v>91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23931.4</v>
      </c>
      <c r="C29" s="76"/>
      <c r="D29" s="434">
        <f ca="1">+'COMP Act to Prior'!D29</f>
        <v>25866.2</v>
      </c>
      <c r="E29" s="190"/>
      <c r="F29" s="303">
        <f ca="1">D29-B29</f>
        <v>1934.7999999999993</v>
      </c>
      <c r="G29" s="303"/>
      <c r="H29" s="325">
        <f ca="1">-ROUND((((D29/B15)-B20)/B23)-(((B29/B15)-B20)/B23),4)*10000</f>
        <v>-20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23931.4</v>
      </c>
      <c r="C31" s="300"/>
      <c r="D31" s="191">
        <f ca="1">+'COMP Act to Prior'!D31</f>
        <v>25866.2</v>
      </c>
      <c r="E31" s="190"/>
      <c r="F31" s="303">
        <f ca="1">D31-B31</f>
        <v>1934.7999999999993</v>
      </c>
      <c r="G31" s="190"/>
      <c r="H31" s="325">
        <f ca="1">-ROUND((((D31/B15)-B20)/B23)-(((B31/B15)-B20)/B23),4)*10000</f>
        <v>-20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107780.76215999993</v>
      </c>
      <c r="C33" s="76"/>
      <c r="D33" s="191">
        <f ca="1">+'COMP Act to Prior'!D33</f>
        <v>114637.09999999996</v>
      </c>
      <c r="E33" s="190"/>
      <c r="F33" s="303">
        <f ca="1">D33-B33</f>
        <v>6856.3378400000365</v>
      </c>
      <c r="G33" s="303"/>
      <c r="H33" s="325">
        <f ca="1">ROUND((((D33/B15)-B20)/B23)-(((B33/B15)-B20)/B23),4)*10000</f>
        <v>71</v>
      </c>
      <c r="I33" s="316">
        <f ca="1">H28+H29+H30</f>
        <v>71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-2819.4960389463222</v>
      </c>
      <c r="C36" s="978"/>
      <c r="D36" s="191">
        <f ca="1">+'COMP Act to Prior'!D36</f>
        <v>-2876.347380839572</v>
      </c>
      <c r="E36" s="190"/>
      <c r="F36" s="303">
        <f ca="1">D36-B36</f>
        <v>-56.85134189324981</v>
      </c>
      <c r="G36" s="76"/>
      <c r="H36" s="325">
        <f ca="1">ROUND((((D36/B15)-B20)/B23)-(((B36/B15)-B20)/B23),4)*10000</f>
        <v>-1</v>
      </c>
      <c r="I36" s="316">
        <f ca="1">H36</f>
        <v>-1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2">
        <v>104961.2661210536</v>
      </c>
      <c r="D37" s="67">
        <f ca="1">+'COMP Act to Prior'!D37</f>
        <v>111760.7526191604</v>
      </c>
      <c r="E37" s="68"/>
      <c r="F37" s="50">
        <f ca="1">D37-B37</f>
        <v>6799.4864981067949</v>
      </c>
      <c r="G37" s="63"/>
      <c r="H37" s="326">
        <f ca="1">ROUND((((D37/B15)-B20)/B23)-(((B37/B15)-B20)/B23),4)*10000</f>
        <v>70</v>
      </c>
      <c r="I37" s="53">
        <f ca="1">H33+H36</f>
        <v>70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35.898645635905254</v>
      </c>
      <c r="C42" s="76"/>
      <c r="D42" s="192">
        <f ca="1">+'COMP Act to Prior'!D42</f>
        <v>28.980152780785676</v>
      </c>
      <c r="E42" s="190"/>
      <c r="F42" s="303">
        <f ca="1">D42-B42</f>
        <v>-6.9184928551195775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-397.22217298673559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-38.334724461633584</v>
      </c>
      <c r="G43" s="298"/>
      <c r="H43" s="325">
        <f t="shared" ref="H43:H58" ca="1" si="1">ROUND((((D43/$B$15)-$B$20)/$B$23)-(((B43/$B$15)-$B$20)/$B$23),4)*10000</f>
        <v>0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13.437899999999999</v>
      </c>
      <c r="C46" s="76"/>
      <c r="D46" s="192">
        <f ca="1">+'COMP Act to Prior'!D46</f>
        <v>13.437899999999999</v>
      </c>
      <c r="E46" s="190"/>
      <c r="F46" s="303">
        <f t="shared" ca="1" si="0"/>
        <v>0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59.744836210500004</v>
      </c>
      <c r="C47" s="76"/>
      <c r="D47" s="192">
        <f ca="1">+'COMP Act to Prior'!D47</f>
        <v>59.108476990500002</v>
      </c>
      <c r="E47" s="190"/>
      <c r="F47" s="303">
        <f t="shared" ca="1" si="0"/>
        <v>-0.63635922000000278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-89.06341500000417</v>
      </c>
      <c r="C48" s="76"/>
      <c r="D48" s="192">
        <f ca="1">+'COMP Act to Prior'!D48</f>
        <v>0</v>
      </c>
      <c r="E48" s="190"/>
      <c r="F48" s="303">
        <f t="shared" ca="1" si="0"/>
        <v>89.06341500000417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5.8230900094713434E-4</v>
      </c>
      <c r="C55" s="76"/>
      <c r="D55" s="192">
        <f ca="1">+'COMP Act to Prior'!D55</f>
        <v>-3.3594749993426376E-4</v>
      </c>
      <c r="E55" s="190"/>
      <c r="F55" s="303">
        <f t="shared" ca="1" si="0"/>
        <v>-9.182565008813981E-4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-4486.4825575499999</v>
      </c>
      <c r="C56" s="76"/>
      <c r="D56" s="192">
        <f ca="1">+'COMP Act to Prior'!D56</f>
        <v>-4586.5068196499997</v>
      </c>
      <c r="E56" s="190"/>
      <c r="F56" s="303">
        <f t="shared" ca="1" si="0"/>
        <v>-100.02426209999976</v>
      </c>
      <c r="G56" s="298"/>
      <c r="H56" s="325">
        <f t="shared" ca="1" si="1"/>
        <v>-1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-2819.4960389463222</v>
      </c>
      <c r="C58" s="76"/>
      <c r="D58" s="190">
        <f ca="1">+'COMP Act to Prior'!D58</f>
        <v>-2876.347380839572</v>
      </c>
      <c r="E58" s="190"/>
      <c r="F58" s="303">
        <f t="shared" ca="1" si="0"/>
        <v>-56.85134189324981</v>
      </c>
      <c r="G58" s="76"/>
      <c r="H58" s="325">
        <f t="shared" ca="1" si="1"/>
        <v>-1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9" priority="1" stopIfTrue="1" operator="equal">
      <formula>0</formula>
    </cfRule>
    <cfRule type="cellIs" dxfId="8" priority="2" stopIfTrue="1" operator="notEqual">
      <formula>0</formula>
    </cfRule>
  </conditionalFormatting>
  <printOptions horizontalCentered="1"/>
  <pageMargins left="0.5" right="0.5" top="0.5" bottom="0.5" header="0.5" footer="0.25"/>
  <pageSetup scale="83" orientation="portrait" r:id="rId1"/>
  <headerFooter>
    <oddFooter>&amp;Z&amp;F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  <pageSetUpPr fitToPage="1"/>
  </sheetPr>
  <dimension ref="A1:JB123"/>
  <sheetViews>
    <sheetView workbookViewId="0">
      <selection activeCell="T35" sqref="T35:T65"/>
    </sheetView>
  </sheetViews>
  <sheetFormatPr defaultColWidth="9.140625" defaultRowHeight="12.75"/>
  <cols>
    <col min="1" max="1" width="5.85546875" style="375" customWidth="1"/>
    <col min="2" max="2" width="42.85546875" style="375" customWidth="1"/>
    <col min="3" max="3" width="11.7109375" style="375" hidden="1" customWidth="1"/>
    <col min="4" max="7" width="14.85546875" style="375" hidden="1" customWidth="1"/>
    <col min="8" max="8" width="11.7109375" style="375" hidden="1" customWidth="1"/>
    <col min="9" max="12" width="14.85546875" style="375" hidden="1" customWidth="1"/>
    <col min="13" max="13" width="11.7109375" style="375" hidden="1" customWidth="1"/>
    <col min="14" max="14" width="14.85546875" style="375" hidden="1" customWidth="1"/>
    <col min="15" max="17" width="12.28515625" style="375" hidden="1" customWidth="1"/>
    <col min="18" max="18" width="14.7109375" style="375" bestFit="1" customWidth="1"/>
    <col min="19" max="19" width="15.5703125" style="375" bestFit="1" customWidth="1"/>
    <col min="20" max="20" width="17.5703125" style="375" bestFit="1" customWidth="1"/>
    <col min="21" max="22" width="12.28515625" style="375" customWidth="1"/>
    <col min="23" max="23" width="11" style="375" customWidth="1"/>
    <col min="24" max="24" width="9.140625" style="375"/>
    <col min="25" max="25" width="12.42578125" style="375" bestFit="1" customWidth="1"/>
    <col min="26" max="28" width="9.140625" style="375"/>
    <col min="29" max="29" width="21.85546875" style="375" customWidth="1"/>
    <col min="30" max="262" width="9.140625" style="375"/>
    <col min="263" max="263" width="4.7109375" style="375" customWidth="1"/>
    <col min="264" max="264" width="40.140625" style="375" bestFit="1" customWidth="1"/>
    <col min="265" max="265" width="11.28515625" style="375" customWidth="1"/>
    <col min="266" max="266" width="11.85546875" style="375" customWidth="1"/>
    <col min="267" max="267" width="5.42578125" style="375" customWidth="1"/>
    <col min="268" max="268" width="11.28515625" style="375" customWidth="1"/>
    <col min="269" max="269" width="11.85546875" style="375" customWidth="1"/>
    <col min="270" max="270" width="7.140625" style="375" customWidth="1"/>
    <col min="271" max="271" width="11.28515625" style="375" bestFit="1" customWidth="1"/>
    <col min="272" max="272" width="12.28515625" style="375" bestFit="1" customWidth="1"/>
    <col min="273" max="273" width="5.5703125" style="375" customWidth="1"/>
    <col min="274" max="274" width="11.28515625" style="375" bestFit="1" customWidth="1"/>
    <col min="275" max="275" width="14.85546875" style="375" bestFit="1" customWidth="1"/>
    <col min="276" max="276" width="12.85546875" style="375" bestFit="1" customWidth="1"/>
    <col min="277" max="277" width="11" style="375" customWidth="1"/>
    <col min="278" max="278" width="12.28515625" style="375" bestFit="1" customWidth="1"/>
    <col min="279" max="279" width="11" style="375" customWidth="1"/>
    <col min="280" max="284" width="9.140625" style="375"/>
    <col min="285" max="285" width="21.85546875" style="375" customWidth="1"/>
    <col min="286" max="518" width="9.140625" style="375"/>
    <col min="519" max="519" width="4.7109375" style="375" customWidth="1"/>
    <col min="520" max="520" width="40.140625" style="375" bestFit="1" customWidth="1"/>
    <col min="521" max="521" width="11.28515625" style="375" customWidth="1"/>
    <col min="522" max="522" width="11.85546875" style="375" customWidth="1"/>
    <col min="523" max="523" width="5.42578125" style="375" customWidth="1"/>
    <col min="524" max="524" width="11.28515625" style="375" customWidth="1"/>
    <col min="525" max="525" width="11.85546875" style="375" customWidth="1"/>
    <col min="526" max="526" width="7.140625" style="375" customWidth="1"/>
    <col min="527" max="527" width="11.28515625" style="375" bestFit="1" customWidth="1"/>
    <col min="528" max="528" width="12.28515625" style="375" bestFit="1" customWidth="1"/>
    <col min="529" max="529" width="5.5703125" style="375" customWidth="1"/>
    <col min="530" max="530" width="11.28515625" style="375" bestFit="1" customWidth="1"/>
    <col min="531" max="531" width="14.85546875" style="375" bestFit="1" customWidth="1"/>
    <col min="532" max="532" width="12.85546875" style="375" bestFit="1" customWidth="1"/>
    <col min="533" max="533" width="11" style="375" customWidth="1"/>
    <col min="534" max="534" width="12.28515625" style="375" bestFit="1" customWidth="1"/>
    <col min="535" max="535" width="11" style="375" customWidth="1"/>
    <col min="536" max="540" width="9.140625" style="375"/>
    <col min="541" max="541" width="21.85546875" style="375" customWidth="1"/>
    <col min="542" max="774" width="9.140625" style="375"/>
    <col min="775" max="775" width="4.7109375" style="375" customWidth="1"/>
    <col min="776" max="776" width="40.140625" style="375" bestFit="1" customWidth="1"/>
    <col min="777" max="777" width="11.28515625" style="375" customWidth="1"/>
    <col min="778" max="778" width="11.85546875" style="375" customWidth="1"/>
    <col min="779" max="779" width="5.42578125" style="375" customWidth="1"/>
    <col min="780" max="780" width="11.28515625" style="375" customWidth="1"/>
    <col min="781" max="781" width="11.85546875" style="375" customWidth="1"/>
    <col min="782" max="782" width="7.140625" style="375" customWidth="1"/>
    <col min="783" max="783" width="11.28515625" style="375" bestFit="1" customWidth="1"/>
    <col min="784" max="784" width="12.28515625" style="375" bestFit="1" customWidth="1"/>
    <col min="785" max="785" width="5.5703125" style="375" customWidth="1"/>
    <col min="786" max="786" width="11.28515625" style="375" bestFit="1" customWidth="1"/>
    <col min="787" max="787" width="14.85546875" style="375" bestFit="1" customWidth="1"/>
    <col min="788" max="788" width="12.85546875" style="375" bestFit="1" customWidth="1"/>
    <col min="789" max="789" width="11" style="375" customWidth="1"/>
    <col min="790" max="790" width="12.28515625" style="375" bestFit="1" customWidth="1"/>
    <col min="791" max="791" width="11" style="375" customWidth="1"/>
    <col min="792" max="796" width="9.140625" style="375"/>
    <col min="797" max="797" width="21.85546875" style="375" customWidth="1"/>
    <col min="798" max="1030" width="9.140625" style="375"/>
    <col min="1031" max="1031" width="4.7109375" style="375" customWidth="1"/>
    <col min="1032" max="1032" width="40.140625" style="375" bestFit="1" customWidth="1"/>
    <col min="1033" max="1033" width="11.28515625" style="375" customWidth="1"/>
    <col min="1034" max="1034" width="11.85546875" style="375" customWidth="1"/>
    <col min="1035" max="1035" width="5.42578125" style="375" customWidth="1"/>
    <col min="1036" max="1036" width="11.28515625" style="375" customWidth="1"/>
    <col min="1037" max="1037" width="11.85546875" style="375" customWidth="1"/>
    <col min="1038" max="1038" width="7.140625" style="375" customWidth="1"/>
    <col min="1039" max="1039" width="11.28515625" style="375" bestFit="1" customWidth="1"/>
    <col min="1040" max="1040" width="12.28515625" style="375" bestFit="1" customWidth="1"/>
    <col min="1041" max="1041" width="5.5703125" style="375" customWidth="1"/>
    <col min="1042" max="1042" width="11.28515625" style="375" bestFit="1" customWidth="1"/>
    <col min="1043" max="1043" width="14.85546875" style="375" bestFit="1" customWidth="1"/>
    <col min="1044" max="1044" width="12.85546875" style="375" bestFit="1" customWidth="1"/>
    <col min="1045" max="1045" width="11" style="375" customWidth="1"/>
    <col min="1046" max="1046" width="12.28515625" style="375" bestFit="1" customWidth="1"/>
    <col min="1047" max="1047" width="11" style="375" customWidth="1"/>
    <col min="1048" max="1052" width="9.140625" style="375"/>
    <col min="1053" max="1053" width="21.85546875" style="375" customWidth="1"/>
    <col min="1054" max="1286" width="9.140625" style="375"/>
    <col min="1287" max="1287" width="4.7109375" style="375" customWidth="1"/>
    <col min="1288" max="1288" width="40.140625" style="375" bestFit="1" customWidth="1"/>
    <col min="1289" max="1289" width="11.28515625" style="375" customWidth="1"/>
    <col min="1290" max="1290" width="11.85546875" style="375" customWidth="1"/>
    <col min="1291" max="1291" width="5.42578125" style="375" customWidth="1"/>
    <col min="1292" max="1292" width="11.28515625" style="375" customWidth="1"/>
    <col min="1293" max="1293" width="11.85546875" style="375" customWidth="1"/>
    <col min="1294" max="1294" width="7.140625" style="375" customWidth="1"/>
    <col min="1295" max="1295" width="11.28515625" style="375" bestFit="1" customWidth="1"/>
    <col min="1296" max="1296" width="12.28515625" style="375" bestFit="1" customWidth="1"/>
    <col min="1297" max="1297" width="5.5703125" style="375" customWidth="1"/>
    <col min="1298" max="1298" width="11.28515625" style="375" bestFit="1" customWidth="1"/>
    <col min="1299" max="1299" width="14.85546875" style="375" bestFit="1" customWidth="1"/>
    <col min="1300" max="1300" width="12.85546875" style="375" bestFit="1" customWidth="1"/>
    <col min="1301" max="1301" width="11" style="375" customWidth="1"/>
    <col min="1302" max="1302" width="12.28515625" style="375" bestFit="1" customWidth="1"/>
    <col min="1303" max="1303" width="11" style="375" customWidth="1"/>
    <col min="1304" max="1308" width="9.140625" style="375"/>
    <col min="1309" max="1309" width="21.85546875" style="375" customWidth="1"/>
    <col min="1310" max="1542" width="9.140625" style="375"/>
    <col min="1543" max="1543" width="4.7109375" style="375" customWidth="1"/>
    <col min="1544" max="1544" width="40.140625" style="375" bestFit="1" customWidth="1"/>
    <col min="1545" max="1545" width="11.28515625" style="375" customWidth="1"/>
    <col min="1546" max="1546" width="11.85546875" style="375" customWidth="1"/>
    <col min="1547" max="1547" width="5.42578125" style="375" customWidth="1"/>
    <col min="1548" max="1548" width="11.28515625" style="375" customWidth="1"/>
    <col min="1549" max="1549" width="11.85546875" style="375" customWidth="1"/>
    <col min="1550" max="1550" width="7.140625" style="375" customWidth="1"/>
    <col min="1551" max="1551" width="11.28515625" style="375" bestFit="1" customWidth="1"/>
    <col min="1552" max="1552" width="12.28515625" style="375" bestFit="1" customWidth="1"/>
    <col min="1553" max="1553" width="5.5703125" style="375" customWidth="1"/>
    <col min="1554" max="1554" width="11.28515625" style="375" bestFit="1" customWidth="1"/>
    <col min="1555" max="1555" width="14.85546875" style="375" bestFit="1" customWidth="1"/>
    <col min="1556" max="1556" width="12.85546875" style="375" bestFit="1" customWidth="1"/>
    <col min="1557" max="1557" width="11" style="375" customWidth="1"/>
    <col min="1558" max="1558" width="12.28515625" style="375" bestFit="1" customWidth="1"/>
    <col min="1559" max="1559" width="11" style="375" customWidth="1"/>
    <col min="1560" max="1564" width="9.140625" style="375"/>
    <col min="1565" max="1565" width="21.85546875" style="375" customWidth="1"/>
    <col min="1566" max="1798" width="9.140625" style="375"/>
    <col min="1799" max="1799" width="4.7109375" style="375" customWidth="1"/>
    <col min="1800" max="1800" width="40.140625" style="375" bestFit="1" customWidth="1"/>
    <col min="1801" max="1801" width="11.28515625" style="375" customWidth="1"/>
    <col min="1802" max="1802" width="11.85546875" style="375" customWidth="1"/>
    <col min="1803" max="1803" width="5.42578125" style="375" customWidth="1"/>
    <col min="1804" max="1804" width="11.28515625" style="375" customWidth="1"/>
    <col min="1805" max="1805" width="11.85546875" style="375" customWidth="1"/>
    <col min="1806" max="1806" width="7.140625" style="375" customWidth="1"/>
    <col min="1807" max="1807" width="11.28515625" style="375" bestFit="1" customWidth="1"/>
    <col min="1808" max="1808" width="12.28515625" style="375" bestFit="1" customWidth="1"/>
    <col min="1809" max="1809" width="5.5703125" style="375" customWidth="1"/>
    <col min="1810" max="1810" width="11.28515625" style="375" bestFit="1" customWidth="1"/>
    <col min="1811" max="1811" width="14.85546875" style="375" bestFit="1" customWidth="1"/>
    <col min="1812" max="1812" width="12.85546875" style="375" bestFit="1" customWidth="1"/>
    <col min="1813" max="1813" width="11" style="375" customWidth="1"/>
    <col min="1814" max="1814" width="12.28515625" style="375" bestFit="1" customWidth="1"/>
    <col min="1815" max="1815" width="11" style="375" customWidth="1"/>
    <col min="1816" max="1820" width="9.140625" style="375"/>
    <col min="1821" max="1821" width="21.85546875" style="375" customWidth="1"/>
    <col min="1822" max="2054" width="9.140625" style="375"/>
    <col min="2055" max="2055" width="4.7109375" style="375" customWidth="1"/>
    <col min="2056" max="2056" width="40.140625" style="375" bestFit="1" customWidth="1"/>
    <col min="2057" max="2057" width="11.28515625" style="375" customWidth="1"/>
    <col min="2058" max="2058" width="11.85546875" style="375" customWidth="1"/>
    <col min="2059" max="2059" width="5.42578125" style="375" customWidth="1"/>
    <col min="2060" max="2060" width="11.28515625" style="375" customWidth="1"/>
    <col min="2061" max="2061" width="11.85546875" style="375" customWidth="1"/>
    <col min="2062" max="2062" width="7.140625" style="375" customWidth="1"/>
    <col min="2063" max="2063" width="11.28515625" style="375" bestFit="1" customWidth="1"/>
    <col min="2064" max="2064" width="12.28515625" style="375" bestFit="1" customWidth="1"/>
    <col min="2065" max="2065" width="5.5703125" style="375" customWidth="1"/>
    <col min="2066" max="2066" width="11.28515625" style="375" bestFit="1" customWidth="1"/>
    <col min="2067" max="2067" width="14.85546875" style="375" bestFit="1" customWidth="1"/>
    <col min="2068" max="2068" width="12.85546875" style="375" bestFit="1" customWidth="1"/>
    <col min="2069" max="2069" width="11" style="375" customWidth="1"/>
    <col min="2070" max="2070" width="12.28515625" style="375" bestFit="1" customWidth="1"/>
    <col min="2071" max="2071" width="11" style="375" customWidth="1"/>
    <col min="2072" max="2076" width="9.140625" style="375"/>
    <col min="2077" max="2077" width="21.85546875" style="375" customWidth="1"/>
    <col min="2078" max="2310" width="9.140625" style="375"/>
    <col min="2311" max="2311" width="4.7109375" style="375" customWidth="1"/>
    <col min="2312" max="2312" width="40.140625" style="375" bestFit="1" customWidth="1"/>
    <col min="2313" max="2313" width="11.28515625" style="375" customWidth="1"/>
    <col min="2314" max="2314" width="11.85546875" style="375" customWidth="1"/>
    <col min="2315" max="2315" width="5.42578125" style="375" customWidth="1"/>
    <col min="2316" max="2316" width="11.28515625" style="375" customWidth="1"/>
    <col min="2317" max="2317" width="11.85546875" style="375" customWidth="1"/>
    <col min="2318" max="2318" width="7.140625" style="375" customWidth="1"/>
    <col min="2319" max="2319" width="11.28515625" style="375" bestFit="1" customWidth="1"/>
    <col min="2320" max="2320" width="12.28515625" style="375" bestFit="1" customWidth="1"/>
    <col min="2321" max="2321" width="5.5703125" style="375" customWidth="1"/>
    <col min="2322" max="2322" width="11.28515625" style="375" bestFit="1" customWidth="1"/>
    <col min="2323" max="2323" width="14.85546875" style="375" bestFit="1" customWidth="1"/>
    <col min="2324" max="2324" width="12.85546875" style="375" bestFit="1" customWidth="1"/>
    <col min="2325" max="2325" width="11" style="375" customWidth="1"/>
    <col min="2326" max="2326" width="12.28515625" style="375" bestFit="1" customWidth="1"/>
    <col min="2327" max="2327" width="11" style="375" customWidth="1"/>
    <col min="2328" max="2332" width="9.140625" style="375"/>
    <col min="2333" max="2333" width="21.85546875" style="375" customWidth="1"/>
    <col min="2334" max="2566" width="9.140625" style="375"/>
    <col min="2567" max="2567" width="4.7109375" style="375" customWidth="1"/>
    <col min="2568" max="2568" width="40.140625" style="375" bestFit="1" customWidth="1"/>
    <col min="2569" max="2569" width="11.28515625" style="375" customWidth="1"/>
    <col min="2570" max="2570" width="11.85546875" style="375" customWidth="1"/>
    <col min="2571" max="2571" width="5.42578125" style="375" customWidth="1"/>
    <col min="2572" max="2572" width="11.28515625" style="375" customWidth="1"/>
    <col min="2573" max="2573" width="11.85546875" style="375" customWidth="1"/>
    <col min="2574" max="2574" width="7.140625" style="375" customWidth="1"/>
    <col min="2575" max="2575" width="11.28515625" style="375" bestFit="1" customWidth="1"/>
    <col min="2576" max="2576" width="12.28515625" style="375" bestFit="1" customWidth="1"/>
    <col min="2577" max="2577" width="5.5703125" style="375" customWidth="1"/>
    <col min="2578" max="2578" width="11.28515625" style="375" bestFit="1" customWidth="1"/>
    <col min="2579" max="2579" width="14.85546875" style="375" bestFit="1" customWidth="1"/>
    <col min="2580" max="2580" width="12.85546875" style="375" bestFit="1" customWidth="1"/>
    <col min="2581" max="2581" width="11" style="375" customWidth="1"/>
    <col min="2582" max="2582" width="12.28515625" style="375" bestFit="1" customWidth="1"/>
    <col min="2583" max="2583" width="11" style="375" customWidth="1"/>
    <col min="2584" max="2588" width="9.140625" style="375"/>
    <col min="2589" max="2589" width="21.85546875" style="375" customWidth="1"/>
    <col min="2590" max="2822" width="9.140625" style="375"/>
    <col min="2823" max="2823" width="4.7109375" style="375" customWidth="1"/>
    <col min="2824" max="2824" width="40.140625" style="375" bestFit="1" customWidth="1"/>
    <col min="2825" max="2825" width="11.28515625" style="375" customWidth="1"/>
    <col min="2826" max="2826" width="11.85546875" style="375" customWidth="1"/>
    <col min="2827" max="2827" width="5.42578125" style="375" customWidth="1"/>
    <col min="2828" max="2828" width="11.28515625" style="375" customWidth="1"/>
    <col min="2829" max="2829" width="11.85546875" style="375" customWidth="1"/>
    <col min="2830" max="2830" width="7.140625" style="375" customWidth="1"/>
    <col min="2831" max="2831" width="11.28515625" style="375" bestFit="1" customWidth="1"/>
    <col min="2832" max="2832" width="12.28515625" style="375" bestFit="1" customWidth="1"/>
    <col min="2833" max="2833" width="5.5703125" style="375" customWidth="1"/>
    <col min="2834" max="2834" width="11.28515625" style="375" bestFit="1" customWidth="1"/>
    <col min="2835" max="2835" width="14.85546875" style="375" bestFit="1" customWidth="1"/>
    <col min="2836" max="2836" width="12.85546875" style="375" bestFit="1" customWidth="1"/>
    <col min="2837" max="2837" width="11" style="375" customWidth="1"/>
    <col min="2838" max="2838" width="12.28515625" style="375" bestFit="1" customWidth="1"/>
    <col min="2839" max="2839" width="11" style="375" customWidth="1"/>
    <col min="2840" max="2844" width="9.140625" style="375"/>
    <col min="2845" max="2845" width="21.85546875" style="375" customWidth="1"/>
    <col min="2846" max="3078" width="9.140625" style="375"/>
    <col min="3079" max="3079" width="4.7109375" style="375" customWidth="1"/>
    <col min="3080" max="3080" width="40.140625" style="375" bestFit="1" customWidth="1"/>
    <col min="3081" max="3081" width="11.28515625" style="375" customWidth="1"/>
    <col min="3082" max="3082" width="11.85546875" style="375" customWidth="1"/>
    <col min="3083" max="3083" width="5.42578125" style="375" customWidth="1"/>
    <col min="3084" max="3084" width="11.28515625" style="375" customWidth="1"/>
    <col min="3085" max="3085" width="11.85546875" style="375" customWidth="1"/>
    <col min="3086" max="3086" width="7.140625" style="375" customWidth="1"/>
    <col min="3087" max="3087" width="11.28515625" style="375" bestFit="1" customWidth="1"/>
    <col min="3088" max="3088" width="12.28515625" style="375" bestFit="1" customWidth="1"/>
    <col min="3089" max="3089" width="5.5703125" style="375" customWidth="1"/>
    <col min="3090" max="3090" width="11.28515625" style="375" bestFit="1" customWidth="1"/>
    <col min="3091" max="3091" width="14.85546875" style="375" bestFit="1" customWidth="1"/>
    <col min="3092" max="3092" width="12.85546875" style="375" bestFit="1" customWidth="1"/>
    <col min="3093" max="3093" width="11" style="375" customWidth="1"/>
    <col min="3094" max="3094" width="12.28515625" style="375" bestFit="1" customWidth="1"/>
    <col min="3095" max="3095" width="11" style="375" customWidth="1"/>
    <col min="3096" max="3100" width="9.140625" style="375"/>
    <col min="3101" max="3101" width="21.85546875" style="375" customWidth="1"/>
    <col min="3102" max="3334" width="9.140625" style="375"/>
    <col min="3335" max="3335" width="4.7109375" style="375" customWidth="1"/>
    <col min="3336" max="3336" width="40.140625" style="375" bestFit="1" customWidth="1"/>
    <col min="3337" max="3337" width="11.28515625" style="375" customWidth="1"/>
    <col min="3338" max="3338" width="11.85546875" style="375" customWidth="1"/>
    <col min="3339" max="3339" width="5.42578125" style="375" customWidth="1"/>
    <col min="3340" max="3340" width="11.28515625" style="375" customWidth="1"/>
    <col min="3341" max="3341" width="11.85546875" style="375" customWidth="1"/>
    <col min="3342" max="3342" width="7.140625" style="375" customWidth="1"/>
    <col min="3343" max="3343" width="11.28515625" style="375" bestFit="1" customWidth="1"/>
    <col min="3344" max="3344" width="12.28515625" style="375" bestFit="1" customWidth="1"/>
    <col min="3345" max="3345" width="5.5703125" style="375" customWidth="1"/>
    <col min="3346" max="3346" width="11.28515625" style="375" bestFit="1" customWidth="1"/>
    <col min="3347" max="3347" width="14.85546875" style="375" bestFit="1" customWidth="1"/>
    <col min="3348" max="3348" width="12.85546875" style="375" bestFit="1" customWidth="1"/>
    <col min="3349" max="3349" width="11" style="375" customWidth="1"/>
    <col min="3350" max="3350" width="12.28515625" style="375" bestFit="1" customWidth="1"/>
    <col min="3351" max="3351" width="11" style="375" customWidth="1"/>
    <col min="3352" max="3356" width="9.140625" style="375"/>
    <col min="3357" max="3357" width="21.85546875" style="375" customWidth="1"/>
    <col min="3358" max="3590" width="9.140625" style="375"/>
    <col min="3591" max="3591" width="4.7109375" style="375" customWidth="1"/>
    <col min="3592" max="3592" width="40.140625" style="375" bestFit="1" customWidth="1"/>
    <col min="3593" max="3593" width="11.28515625" style="375" customWidth="1"/>
    <col min="3594" max="3594" width="11.85546875" style="375" customWidth="1"/>
    <col min="3595" max="3595" width="5.42578125" style="375" customWidth="1"/>
    <col min="3596" max="3596" width="11.28515625" style="375" customWidth="1"/>
    <col min="3597" max="3597" width="11.85546875" style="375" customWidth="1"/>
    <col min="3598" max="3598" width="7.140625" style="375" customWidth="1"/>
    <col min="3599" max="3599" width="11.28515625" style="375" bestFit="1" customWidth="1"/>
    <col min="3600" max="3600" width="12.28515625" style="375" bestFit="1" customWidth="1"/>
    <col min="3601" max="3601" width="5.5703125" style="375" customWidth="1"/>
    <col min="3602" max="3602" width="11.28515625" style="375" bestFit="1" customWidth="1"/>
    <col min="3603" max="3603" width="14.85546875" style="375" bestFit="1" customWidth="1"/>
    <col min="3604" max="3604" width="12.85546875" style="375" bestFit="1" customWidth="1"/>
    <col min="3605" max="3605" width="11" style="375" customWidth="1"/>
    <col min="3606" max="3606" width="12.28515625" style="375" bestFit="1" customWidth="1"/>
    <col min="3607" max="3607" width="11" style="375" customWidth="1"/>
    <col min="3608" max="3612" width="9.140625" style="375"/>
    <col min="3613" max="3613" width="21.85546875" style="375" customWidth="1"/>
    <col min="3614" max="3846" width="9.140625" style="375"/>
    <col min="3847" max="3847" width="4.7109375" style="375" customWidth="1"/>
    <col min="3848" max="3848" width="40.140625" style="375" bestFit="1" customWidth="1"/>
    <col min="3849" max="3849" width="11.28515625" style="375" customWidth="1"/>
    <col min="3850" max="3850" width="11.85546875" style="375" customWidth="1"/>
    <col min="3851" max="3851" width="5.42578125" style="375" customWidth="1"/>
    <col min="3852" max="3852" width="11.28515625" style="375" customWidth="1"/>
    <col min="3853" max="3853" width="11.85546875" style="375" customWidth="1"/>
    <col min="3854" max="3854" width="7.140625" style="375" customWidth="1"/>
    <col min="3855" max="3855" width="11.28515625" style="375" bestFit="1" customWidth="1"/>
    <col min="3856" max="3856" width="12.28515625" style="375" bestFit="1" customWidth="1"/>
    <col min="3857" max="3857" width="5.5703125" style="375" customWidth="1"/>
    <col min="3858" max="3858" width="11.28515625" style="375" bestFit="1" customWidth="1"/>
    <col min="3859" max="3859" width="14.85546875" style="375" bestFit="1" customWidth="1"/>
    <col min="3860" max="3860" width="12.85546875" style="375" bestFit="1" customWidth="1"/>
    <col min="3861" max="3861" width="11" style="375" customWidth="1"/>
    <col min="3862" max="3862" width="12.28515625" style="375" bestFit="1" customWidth="1"/>
    <col min="3863" max="3863" width="11" style="375" customWidth="1"/>
    <col min="3864" max="3868" width="9.140625" style="375"/>
    <col min="3869" max="3869" width="21.85546875" style="375" customWidth="1"/>
    <col min="3870" max="4102" width="9.140625" style="375"/>
    <col min="4103" max="4103" width="4.7109375" style="375" customWidth="1"/>
    <col min="4104" max="4104" width="40.140625" style="375" bestFit="1" customWidth="1"/>
    <col min="4105" max="4105" width="11.28515625" style="375" customWidth="1"/>
    <col min="4106" max="4106" width="11.85546875" style="375" customWidth="1"/>
    <col min="4107" max="4107" width="5.42578125" style="375" customWidth="1"/>
    <col min="4108" max="4108" width="11.28515625" style="375" customWidth="1"/>
    <col min="4109" max="4109" width="11.85546875" style="375" customWidth="1"/>
    <col min="4110" max="4110" width="7.140625" style="375" customWidth="1"/>
    <col min="4111" max="4111" width="11.28515625" style="375" bestFit="1" customWidth="1"/>
    <col min="4112" max="4112" width="12.28515625" style="375" bestFit="1" customWidth="1"/>
    <col min="4113" max="4113" width="5.5703125" style="375" customWidth="1"/>
    <col min="4114" max="4114" width="11.28515625" style="375" bestFit="1" customWidth="1"/>
    <col min="4115" max="4115" width="14.85546875" style="375" bestFit="1" customWidth="1"/>
    <col min="4116" max="4116" width="12.85546875" style="375" bestFit="1" customWidth="1"/>
    <col min="4117" max="4117" width="11" style="375" customWidth="1"/>
    <col min="4118" max="4118" width="12.28515625" style="375" bestFit="1" customWidth="1"/>
    <col min="4119" max="4119" width="11" style="375" customWidth="1"/>
    <col min="4120" max="4124" width="9.140625" style="375"/>
    <col min="4125" max="4125" width="21.85546875" style="375" customWidth="1"/>
    <col min="4126" max="4358" width="9.140625" style="375"/>
    <col min="4359" max="4359" width="4.7109375" style="375" customWidth="1"/>
    <col min="4360" max="4360" width="40.140625" style="375" bestFit="1" customWidth="1"/>
    <col min="4361" max="4361" width="11.28515625" style="375" customWidth="1"/>
    <col min="4362" max="4362" width="11.85546875" style="375" customWidth="1"/>
    <col min="4363" max="4363" width="5.42578125" style="375" customWidth="1"/>
    <col min="4364" max="4364" width="11.28515625" style="375" customWidth="1"/>
    <col min="4365" max="4365" width="11.85546875" style="375" customWidth="1"/>
    <col min="4366" max="4366" width="7.140625" style="375" customWidth="1"/>
    <col min="4367" max="4367" width="11.28515625" style="375" bestFit="1" customWidth="1"/>
    <col min="4368" max="4368" width="12.28515625" style="375" bestFit="1" customWidth="1"/>
    <col min="4369" max="4369" width="5.5703125" style="375" customWidth="1"/>
    <col min="4370" max="4370" width="11.28515625" style="375" bestFit="1" customWidth="1"/>
    <col min="4371" max="4371" width="14.85546875" style="375" bestFit="1" customWidth="1"/>
    <col min="4372" max="4372" width="12.85546875" style="375" bestFit="1" customWidth="1"/>
    <col min="4373" max="4373" width="11" style="375" customWidth="1"/>
    <col min="4374" max="4374" width="12.28515625" style="375" bestFit="1" customWidth="1"/>
    <col min="4375" max="4375" width="11" style="375" customWidth="1"/>
    <col min="4376" max="4380" width="9.140625" style="375"/>
    <col min="4381" max="4381" width="21.85546875" style="375" customWidth="1"/>
    <col min="4382" max="4614" width="9.140625" style="375"/>
    <col min="4615" max="4615" width="4.7109375" style="375" customWidth="1"/>
    <col min="4616" max="4616" width="40.140625" style="375" bestFit="1" customWidth="1"/>
    <col min="4617" max="4617" width="11.28515625" style="375" customWidth="1"/>
    <col min="4618" max="4618" width="11.85546875" style="375" customWidth="1"/>
    <col min="4619" max="4619" width="5.42578125" style="375" customWidth="1"/>
    <col min="4620" max="4620" width="11.28515625" style="375" customWidth="1"/>
    <col min="4621" max="4621" width="11.85546875" style="375" customWidth="1"/>
    <col min="4622" max="4622" width="7.140625" style="375" customWidth="1"/>
    <col min="4623" max="4623" width="11.28515625" style="375" bestFit="1" customWidth="1"/>
    <col min="4624" max="4624" width="12.28515625" style="375" bestFit="1" customWidth="1"/>
    <col min="4625" max="4625" width="5.5703125" style="375" customWidth="1"/>
    <col min="4626" max="4626" width="11.28515625" style="375" bestFit="1" customWidth="1"/>
    <col min="4627" max="4627" width="14.85546875" style="375" bestFit="1" customWidth="1"/>
    <col min="4628" max="4628" width="12.85546875" style="375" bestFit="1" customWidth="1"/>
    <col min="4629" max="4629" width="11" style="375" customWidth="1"/>
    <col min="4630" max="4630" width="12.28515625" style="375" bestFit="1" customWidth="1"/>
    <col min="4631" max="4631" width="11" style="375" customWidth="1"/>
    <col min="4632" max="4636" width="9.140625" style="375"/>
    <col min="4637" max="4637" width="21.85546875" style="375" customWidth="1"/>
    <col min="4638" max="4870" width="9.140625" style="375"/>
    <col min="4871" max="4871" width="4.7109375" style="375" customWidth="1"/>
    <col min="4872" max="4872" width="40.140625" style="375" bestFit="1" customWidth="1"/>
    <col min="4873" max="4873" width="11.28515625" style="375" customWidth="1"/>
    <col min="4874" max="4874" width="11.85546875" style="375" customWidth="1"/>
    <col min="4875" max="4875" width="5.42578125" style="375" customWidth="1"/>
    <col min="4876" max="4876" width="11.28515625" style="375" customWidth="1"/>
    <col min="4877" max="4877" width="11.85546875" style="375" customWidth="1"/>
    <col min="4878" max="4878" width="7.140625" style="375" customWidth="1"/>
    <col min="4879" max="4879" width="11.28515625" style="375" bestFit="1" customWidth="1"/>
    <col min="4880" max="4880" width="12.28515625" style="375" bestFit="1" customWidth="1"/>
    <col min="4881" max="4881" width="5.5703125" style="375" customWidth="1"/>
    <col min="4882" max="4882" width="11.28515625" style="375" bestFit="1" customWidth="1"/>
    <col min="4883" max="4883" width="14.85546875" style="375" bestFit="1" customWidth="1"/>
    <col min="4884" max="4884" width="12.85546875" style="375" bestFit="1" customWidth="1"/>
    <col min="4885" max="4885" width="11" style="375" customWidth="1"/>
    <col min="4886" max="4886" width="12.28515625" style="375" bestFit="1" customWidth="1"/>
    <col min="4887" max="4887" width="11" style="375" customWidth="1"/>
    <col min="4888" max="4892" width="9.140625" style="375"/>
    <col min="4893" max="4893" width="21.85546875" style="375" customWidth="1"/>
    <col min="4894" max="5126" width="9.140625" style="375"/>
    <col min="5127" max="5127" width="4.7109375" style="375" customWidth="1"/>
    <col min="5128" max="5128" width="40.140625" style="375" bestFit="1" customWidth="1"/>
    <col min="5129" max="5129" width="11.28515625" style="375" customWidth="1"/>
    <col min="5130" max="5130" width="11.85546875" style="375" customWidth="1"/>
    <col min="5131" max="5131" width="5.42578125" style="375" customWidth="1"/>
    <col min="5132" max="5132" width="11.28515625" style="375" customWidth="1"/>
    <col min="5133" max="5133" width="11.85546875" style="375" customWidth="1"/>
    <col min="5134" max="5134" width="7.140625" style="375" customWidth="1"/>
    <col min="5135" max="5135" width="11.28515625" style="375" bestFit="1" customWidth="1"/>
    <col min="5136" max="5136" width="12.28515625" style="375" bestFit="1" customWidth="1"/>
    <col min="5137" max="5137" width="5.5703125" style="375" customWidth="1"/>
    <col min="5138" max="5138" width="11.28515625" style="375" bestFit="1" customWidth="1"/>
    <col min="5139" max="5139" width="14.85546875" style="375" bestFit="1" customWidth="1"/>
    <col min="5140" max="5140" width="12.85546875" style="375" bestFit="1" customWidth="1"/>
    <col min="5141" max="5141" width="11" style="375" customWidth="1"/>
    <col min="5142" max="5142" width="12.28515625" style="375" bestFit="1" customWidth="1"/>
    <col min="5143" max="5143" width="11" style="375" customWidth="1"/>
    <col min="5144" max="5148" width="9.140625" style="375"/>
    <col min="5149" max="5149" width="21.85546875" style="375" customWidth="1"/>
    <col min="5150" max="5382" width="9.140625" style="375"/>
    <col min="5383" max="5383" width="4.7109375" style="375" customWidth="1"/>
    <col min="5384" max="5384" width="40.140625" style="375" bestFit="1" customWidth="1"/>
    <col min="5385" max="5385" width="11.28515625" style="375" customWidth="1"/>
    <col min="5386" max="5386" width="11.85546875" style="375" customWidth="1"/>
    <col min="5387" max="5387" width="5.42578125" style="375" customWidth="1"/>
    <col min="5388" max="5388" width="11.28515625" style="375" customWidth="1"/>
    <col min="5389" max="5389" width="11.85546875" style="375" customWidth="1"/>
    <col min="5390" max="5390" width="7.140625" style="375" customWidth="1"/>
    <col min="5391" max="5391" width="11.28515625" style="375" bestFit="1" customWidth="1"/>
    <col min="5392" max="5392" width="12.28515625" style="375" bestFit="1" customWidth="1"/>
    <col min="5393" max="5393" width="5.5703125" style="375" customWidth="1"/>
    <col min="5394" max="5394" width="11.28515625" style="375" bestFit="1" customWidth="1"/>
    <col min="5395" max="5395" width="14.85546875" style="375" bestFit="1" customWidth="1"/>
    <col min="5396" max="5396" width="12.85546875" style="375" bestFit="1" customWidth="1"/>
    <col min="5397" max="5397" width="11" style="375" customWidth="1"/>
    <col min="5398" max="5398" width="12.28515625" style="375" bestFit="1" customWidth="1"/>
    <col min="5399" max="5399" width="11" style="375" customWidth="1"/>
    <col min="5400" max="5404" width="9.140625" style="375"/>
    <col min="5405" max="5405" width="21.85546875" style="375" customWidth="1"/>
    <col min="5406" max="5638" width="9.140625" style="375"/>
    <col min="5639" max="5639" width="4.7109375" style="375" customWidth="1"/>
    <col min="5640" max="5640" width="40.140625" style="375" bestFit="1" customWidth="1"/>
    <col min="5641" max="5641" width="11.28515625" style="375" customWidth="1"/>
    <col min="5642" max="5642" width="11.85546875" style="375" customWidth="1"/>
    <col min="5643" max="5643" width="5.42578125" style="375" customWidth="1"/>
    <col min="5644" max="5644" width="11.28515625" style="375" customWidth="1"/>
    <col min="5645" max="5645" width="11.85546875" style="375" customWidth="1"/>
    <col min="5646" max="5646" width="7.140625" style="375" customWidth="1"/>
    <col min="5647" max="5647" width="11.28515625" style="375" bestFit="1" customWidth="1"/>
    <col min="5648" max="5648" width="12.28515625" style="375" bestFit="1" customWidth="1"/>
    <col min="5649" max="5649" width="5.5703125" style="375" customWidth="1"/>
    <col min="5650" max="5650" width="11.28515625" style="375" bestFit="1" customWidth="1"/>
    <col min="5651" max="5651" width="14.85546875" style="375" bestFit="1" customWidth="1"/>
    <col min="5652" max="5652" width="12.85546875" style="375" bestFit="1" customWidth="1"/>
    <col min="5653" max="5653" width="11" style="375" customWidth="1"/>
    <col min="5654" max="5654" width="12.28515625" style="375" bestFit="1" customWidth="1"/>
    <col min="5655" max="5655" width="11" style="375" customWidth="1"/>
    <col min="5656" max="5660" width="9.140625" style="375"/>
    <col min="5661" max="5661" width="21.85546875" style="375" customWidth="1"/>
    <col min="5662" max="5894" width="9.140625" style="375"/>
    <col min="5895" max="5895" width="4.7109375" style="375" customWidth="1"/>
    <col min="5896" max="5896" width="40.140625" style="375" bestFit="1" customWidth="1"/>
    <col min="5897" max="5897" width="11.28515625" style="375" customWidth="1"/>
    <col min="5898" max="5898" width="11.85546875" style="375" customWidth="1"/>
    <col min="5899" max="5899" width="5.42578125" style="375" customWidth="1"/>
    <col min="5900" max="5900" width="11.28515625" style="375" customWidth="1"/>
    <col min="5901" max="5901" width="11.85546875" style="375" customWidth="1"/>
    <col min="5902" max="5902" width="7.140625" style="375" customWidth="1"/>
    <col min="5903" max="5903" width="11.28515625" style="375" bestFit="1" customWidth="1"/>
    <col min="5904" max="5904" width="12.28515625" style="375" bestFit="1" customWidth="1"/>
    <col min="5905" max="5905" width="5.5703125" style="375" customWidth="1"/>
    <col min="5906" max="5906" width="11.28515625" style="375" bestFit="1" customWidth="1"/>
    <col min="5907" max="5907" width="14.85546875" style="375" bestFit="1" customWidth="1"/>
    <col min="5908" max="5908" width="12.85546875" style="375" bestFit="1" customWidth="1"/>
    <col min="5909" max="5909" width="11" style="375" customWidth="1"/>
    <col min="5910" max="5910" width="12.28515625" style="375" bestFit="1" customWidth="1"/>
    <col min="5911" max="5911" width="11" style="375" customWidth="1"/>
    <col min="5912" max="5916" width="9.140625" style="375"/>
    <col min="5917" max="5917" width="21.85546875" style="375" customWidth="1"/>
    <col min="5918" max="6150" width="9.140625" style="375"/>
    <col min="6151" max="6151" width="4.7109375" style="375" customWidth="1"/>
    <col min="6152" max="6152" width="40.140625" style="375" bestFit="1" customWidth="1"/>
    <col min="6153" max="6153" width="11.28515625" style="375" customWidth="1"/>
    <col min="6154" max="6154" width="11.85546875" style="375" customWidth="1"/>
    <col min="6155" max="6155" width="5.42578125" style="375" customWidth="1"/>
    <col min="6156" max="6156" width="11.28515625" style="375" customWidth="1"/>
    <col min="6157" max="6157" width="11.85546875" style="375" customWidth="1"/>
    <col min="6158" max="6158" width="7.140625" style="375" customWidth="1"/>
    <col min="6159" max="6159" width="11.28515625" style="375" bestFit="1" customWidth="1"/>
    <col min="6160" max="6160" width="12.28515625" style="375" bestFit="1" customWidth="1"/>
    <col min="6161" max="6161" width="5.5703125" style="375" customWidth="1"/>
    <col min="6162" max="6162" width="11.28515625" style="375" bestFit="1" customWidth="1"/>
    <col min="6163" max="6163" width="14.85546875" style="375" bestFit="1" customWidth="1"/>
    <col min="6164" max="6164" width="12.85546875" style="375" bestFit="1" customWidth="1"/>
    <col min="6165" max="6165" width="11" style="375" customWidth="1"/>
    <col min="6166" max="6166" width="12.28515625" style="375" bestFit="1" customWidth="1"/>
    <col min="6167" max="6167" width="11" style="375" customWidth="1"/>
    <col min="6168" max="6172" width="9.140625" style="375"/>
    <col min="6173" max="6173" width="21.85546875" style="375" customWidth="1"/>
    <col min="6174" max="6406" width="9.140625" style="375"/>
    <col min="6407" max="6407" width="4.7109375" style="375" customWidth="1"/>
    <col min="6408" max="6408" width="40.140625" style="375" bestFit="1" customWidth="1"/>
    <col min="6409" max="6409" width="11.28515625" style="375" customWidth="1"/>
    <col min="6410" max="6410" width="11.85546875" style="375" customWidth="1"/>
    <col min="6411" max="6411" width="5.42578125" style="375" customWidth="1"/>
    <col min="6412" max="6412" width="11.28515625" style="375" customWidth="1"/>
    <col min="6413" max="6413" width="11.85546875" style="375" customWidth="1"/>
    <col min="6414" max="6414" width="7.140625" style="375" customWidth="1"/>
    <col min="6415" max="6415" width="11.28515625" style="375" bestFit="1" customWidth="1"/>
    <col min="6416" max="6416" width="12.28515625" style="375" bestFit="1" customWidth="1"/>
    <col min="6417" max="6417" width="5.5703125" style="375" customWidth="1"/>
    <col min="6418" max="6418" width="11.28515625" style="375" bestFit="1" customWidth="1"/>
    <col min="6419" max="6419" width="14.85546875" style="375" bestFit="1" customWidth="1"/>
    <col min="6420" max="6420" width="12.85546875" style="375" bestFit="1" customWidth="1"/>
    <col min="6421" max="6421" width="11" style="375" customWidth="1"/>
    <col min="6422" max="6422" width="12.28515625" style="375" bestFit="1" customWidth="1"/>
    <col min="6423" max="6423" width="11" style="375" customWidth="1"/>
    <col min="6424" max="6428" width="9.140625" style="375"/>
    <col min="6429" max="6429" width="21.85546875" style="375" customWidth="1"/>
    <col min="6430" max="6662" width="9.140625" style="375"/>
    <col min="6663" max="6663" width="4.7109375" style="375" customWidth="1"/>
    <col min="6664" max="6664" width="40.140625" style="375" bestFit="1" customWidth="1"/>
    <col min="6665" max="6665" width="11.28515625" style="375" customWidth="1"/>
    <col min="6666" max="6666" width="11.85546875" style="375" customWidth="1"/>
    <col min="6667" max="6667" width="5.42578125" style="375" customWidth="1"/>
    <col min="6668" max="6668" width="11.28515625" style="375" customWidth="1"/>
    <col min="6669" max="6669" width="11.85546875" style="375" customWidth="1"/>
    <col min="6670" max="6670" width="7.140625" style="375" customWidth="1"/>
    <col min="6671" max="6671" width="11.28515625" style="375" bestFit="1" customWidth="1"/>
    <col min="6672" max="6672" width="12.28515625" style="375" bestFit="1" customWidth="1"/>
    <col min="6673" max="6673" width="5.5703125" style="375" customWidth="1"/>
    <col min="6674" max="6674" width="11.28515625" style="375" bestFit="1" customWidth="1"/>
    <col min="6675" max="6675" width="14.85546875" style="375" bestFit="1" customWidth="1"/>
    <col min="6676" max="6676" width="12.85546875" style="375" bestFit="1" customWidth="1"/>
    <col min="6677" max="6677" width="11" style="375" customWidth="1"/>
    <col min="6678" max="6678" width="12.28515625" style="375" bestFit="1" customWidth="1"/>
    <col min="6679" max="6679" width="11" style="375" customWidth="1"/>
    <col min="6680" max="6684" width="9.140625" style="375"/>
    <col min="6685" max="6685" width="21.85546875" style="375" customWidth="1"/>
    <col min="6686" max="6918" width="9.140625" style="375"/>
    <col min="6919" max="6919" width="4.7109375" style="375" customWidth="1"/>
    <col min="6920" max="6920" width="40.140625" style="375" bestFit="1" customWidth="1"/>
    <col min="6921" max="6921" width="11.28515625" style="375" customWidth="1"/>
    <col min="6922" max="6922" width="11.85546875" style="375" customWidth="1"/>
    <col min="6923" max="6923" width="5.42578125" style="375" customWidth="1"/>
    <col min="6924" max="6924" width="11.28515625" style="375" customWidth="1"/>
    <col min="6925" max="6925" width="11.85546875" style="375" customWidth="1"/>
    <col min="6926" max="6926" width="7.140625" style="375" customWidth="1"/>
    <col min="6927" max="6927" width="11.28515625" style="375" bestFit="1" customWidth="1"/>
    <col min="6928" max="6928" width="12.28515625" style="375" bestFit="1" customWidth="1"/>
    <col min="6929" max="6929" width="5.5703125" style="375" customWidth="1"/>
    <col min="6930" max="6930" width="11.28515625" style="375" bestFit="1" customWidth="1"/>
    <col min="6931" max="6931" width="14.85546875" style="375" bestFit="1" customWidth="1"/>
    <col min="6932" max="6932" width="12.85546875" style="375" bestFit="1" customWidth="1"/>
    <col min="6933" max="6933" width="11" style="375" customWidth="1"/>
    <col min="6934" max="6934" width="12.28515625" style="375" bestFit="1" customWidth="1"/>
    <col min="6935" max="6935" width="11" style="375" customWidth="1"/>
    <col min="6936" max="6940" width="9.140625" style="375"/>
    <col min="6941" max="6941" width="21.85546875" style="375" customWidth="1"/>
    <col min="6942" max="7174" width="9.140625" style="375"/>
    <col min="7175" max="7175" width="4.7109375" style="375" customWidth="1"/>
    <col min="7176" max="7176" width="40.140625" style="375" bestFit="1" customWidth="1"/>
    <col min="7177" max="7177" width="11.28515625" style="375" customWidth="1"/>
    <col min="7178" max="7178" width="11.85546875" style="375" customWidth="1"/>
    <col min="7179" max="7179" width="5.42578125" style="375" customWidth="1"/>
    <col min="7180" max="7180" width="11.28515625" style="375" customWidth="1"/>
    <col min="7181" max="7181" width="11.85546875" style="375" customWidth="1"/>
    <col min="7182" max="7182" width="7.140625" style="375" customWidth="1"/>
    <col min="7183" max="7183" width="11.28515625" style="375" bestFit="1" customWidth="1"/>
    <col min="7184" max="7184" width="12.28515625" style="375" bestFit="1" customWidth="1"/>
    <col min="7185" max="7185" width="5.5703125" style="375" customWidth="1"/>
    <col min="7186" max="7186" width="11.28515625" style="375" bestFit="1" customWidth="1"/>
    <col min="7187" max="7187" width="14.85546875" style="375" bestFit="1" customWidth="1"/>
    <col min="7188" max="7188" width="12.85546875" style="375" bestFit="1" customWidth="1"/>
    <col min="7189" max="7189" width="11" style="375" customWidth="1"/>
    <col min="7190" max="7190" width="12.28515625" style="375" bestFit="1" customWidth="1"/>
    <col min="7191" max="7191" width="11" style="375" customWidth="1"/>
    <col min="7192" max="7196" width="9.140625" style="375"/>
    <col min="7197" max="7197" width="21.85546875" style="375" customWidth="1"/>
    <col min="7198" max="7430" width="9.140625" style="375"/>
    <col min="7431" max="7431" width="4.7109375" style="375" customWidth="1"/>
    <col min="7432" max="7432" width="40.140625" style="375" bestFit="1" customWidth="1"/>
    <col min="7433" max="7433" width="11.28515625" style="375" customWidth="1"/>
    <col min="7434" max="7434" width="11.85546875" style="375" customWidth="1"/>
    <col min="7435" max="7435" width="5.42578125" style="375" customWidth="1"/>
    <col min="7436" max="7436" width="11.28515625" style="375" customWidth="1"/>
    <col min="7437" max="7437" width="11.85546875" style="375" customWidth="1"/>
    <col min="7438" max="7438" width="7.140625" style="375" customWidth="1"/>
    <col min="7439" max="7439" width="11.28515625" style="375" bestFit="1" customWidth="1"/>
    <col min="7440" max="7440" width="12.28515625" style="375" bestFit="1" customWidth="1"/>
    <col min="7441" max="7441" width="5.5703125" style="375" customWidth="1"/>
    <col min="7442" max="7442" width="11.28515625" style="375" bestFit="1" customWidth="1"/>
    <col min="7443" max="7443" width="14.85546875" style="375" bestFit="1" customWidth="1"/>
    <col min="7444" max="7444" width="12.85546875" style="375" bestFit="1" customWidth="1"/>
    <col min="7445" max="7445" width="11" style="375" customWidth="1"/>
    <col min="7446" max="7446" width="12.28515625" style="375" bestFit="1" customWidth="1"/>
    <col min="7447" max="7447" width="11" style="375" customWidth="1"/>
    <col min="7448" max="7452" width="9.140625" style="375"/>
    <col min="7453" max="7453" width="21.85546875" style="375" customWidth="1"/>
    <col min="7454" max="7686" width="9.140625" style="375"/>
    <col min="7687" max="7687" width="4.7109375" style="375" customWidth="1"/>
    <col min="7688" max="7688" width="40.140625" style="375" bestFit="1" customWidth="1"/>
    <col min="7689" max="7689" width="11.28515625" style="375" customWidth="1"/>
    <col min="7690" max="7690" width="11.85546875" style="375" customWidth="1"/>
    <col min="7691" max="7691" width="5.42578125" style="375" customWidth="1"/>
    <col min="7692" max="7692" width="11.28515625" style="375" customWidth="1"/>
    <col min="7693" max="7693" width="11.85546875" style="375" customWidth="1"/>
    <col min="7694" max="7694" width="7.140625" style="375" customWidth="1"/>
    <col min="7695" max="7695" width="11.28515625" style="375" bestFit="1" customWidth="1"/>
    <col min="7696" max="7696" width="12.28515625" style="375" bestFit="1" customWidth="1"/>
    <col min="7697" max="7697" width="5.5703125" style="375" customWidth="1"/>
    <col min="7698" max="7698" width="11.28515625" style="375" bestFit="1" customWidth="1"/>
    <col min="7699" max="7699" width="14.85546875" style="375" bestFit="1" customWidth="1"/>
    <col min="7700" max="7700" width="12.85546875" style="375" bestFit="1" customWidth="1"/>
    <col min="7701" max="7701" width="11" style="375" customWidth="1"/>
    <col min="7702" max="7702" width="12.28515625" style="375" bestFit="1" customWidth="1"/>
    <col min="7703" max="7703" width="11" style="375" customWidth="1"/>
    <col min="7704" max="7708" width="9.140625" style="375"/>
    <col min="7709" max="7709" width="21.85546875" style="375" customWidth="1"/>
    <col min="7710" max="7942" width="9.140625" style="375"/>
    <col min="7943" max="7943" width="4.7109375" style="375" customWidth="1"/>
    <col min="7944" max="7944" width="40.140625" style="375" bestFit="1" customWidth="1"/>
    <col min="7945" max="7945" width="11.28515625" style="375" customWidth="1"/>
    <col min="7946" max="7946" width="11.85546875" style="375" customWidth="1"/>
    <col min="7947" max="7947" width="5.42578125" style="375" customWidth="1"/>
    <col min="7948" max="7948" width="11.28515625" style="375" customWidth="1"/>
    <col min="7949" max="7949" width="11.85546875" style="375" customWidth="1"/>
    <col min="7950" max="7950" width="7.140625" style="375" customWidth="1"/>
    <col min="7951" max="7951" width="11.28515625" style="375" bestFit="1" customWidth="1"/>
    <col min="7952" max="7952" width="12.28515625" style="375" bestFit="1" customWidth="1"/>
    <col min="7953" max="7953" width="5.5703125" style="375" customWidth="1"/>
    <col min="7954" max="7954" width="11.28515625" style="375" bestFit="1" customWidth="1"/>
    <col min="7955" max="7955" width="14.85546875" style="375" bestFit="1" customWidth="1"/>
    <col min="7956" max="7956" width="12.85546875" style="375" bestFit="1" customWidth="1"/>
    <col min="7957" max="7957" width="11" style="375" customWidth="1"/>
    <col min="7958" max="7958" width="12.28515625" style="375" bestFit="1" customWidth="1"/>
    <col min="7959" max="7959" width="11" style="375" customWidth="1"/>
    <col min="7960" max="7964" width="9.140625" style="375"/>
    <col min="7965" max="7965" width="21.85546875" style="375" customWidth="1"/>
    <col min="7966" max="8198" width="9.140625" style="375"/>
    <col min="8199" max="8199" width="4.7109375" style="375" customWidth="1"/>
    <col min="8200" max="8200" width="40.140625" style="375" bestFit="1" customWidth="1"/>
    <col min="8201" max="8201" width="11.28515625" style="375" customWidth="1"/>
    <col min="8202" max="8202" width="11.85546875" style="375" customWidth="1"/>
    <col min="8203" max="8203" width="5.42578125" style="375" customWidth="1"/>
    <col min="8204" max="8204" width="11.28515625" style="375" customWidth="1"/>
    <col min="8205" max="8205" width="11.85546875" style="375" customWidth="1"/>
    <col min="8206" max="8206" width="7.140625" style="375" customWidth="1"/>
    <col min="8207" max="8207" width="11.28515625" style="375" bestFit="1" customWidth="1"/>
    <col min="8208" max="8208" width="12.28515625" style="375" bestFit="1" customWidth="1"/>
    <col min="8209" max="8209" width="5.5703125" style="375" customWidth="1"/>
    <col min="8210" max="8210" width="11.28515625" style="375" bestFit="1" customWidth="1"/>
    <col min="8211" max="8211" width="14.85546875" style="375" bestFit="1" customWidth="1"/>
    <col min="8212" max="8212" width="12.85546875" style="375" bestFit="1" customWidth="1"/>
    <col min="8213" max="8213" width="11" style="375" customWidth="1"/>
    <col min="8214" max="8214" width="12.28515625" style="375" bestFit="1" customWidth="1"/>
    <col min="8215" max="8215" width="11" style="375" customWidth="1"/>
    <col min="8216" max="8220" width="9.140625" style="375"/>
    <col min="8221" max="8221" width="21.85546875" style="375" customWidth="1"/>
    <col min="8222" max="8454" width="9.140625" style="375"/>
    <col min="8455" max="8455" width="4.7109375" style="375" customWidth="1"/>
    <col min="8456" max="8456" width="40.140625" style="375" bestFit="1" customWidth="1"/>
    <col min="8457" max="8457" width="11.28515625" style="375" customWidth="1"/>
    <col min="8458" max="8458" width="11.85546875" style="375" customWidth="1"/>
    <col min="8459" max="8459" width="5.42578125" style="375" customWidth="1"/>
    <col min="8460" max="8460" width="11.28515625" style="375" customWidth="1"/>
    <col min="8461" max="8461" width="11.85546875" style="375" customWidth="1"/>
    <col min="8462" max="8462" width="7.140625" style="375" customWidth="1"/>
    <col min="8463" max="8463" width="11.28515625" style="375" bestFit="1" customWidth="1"/>
    <col min="8464" max="8464" width="12.28515625" style="375" bestFit="1" customWidth="1"/>
    <col min="8465" max="8465" width="5.5703125" style="375" customWidth="1"/>
    <col min="8466" max="8466" width="11.28515625" style="375" bestFit="1" customWidth="1"/>
    <col min="8467" max="8467" width="14.85546875" style="375" bestFit="1" customWidth="1"/>
    <col min="8468" max="8468" width="12.85546875" style="375" bestFit="1" customWidth="1"/>
    <col min="8469" max="8469" width="11" style="375" customWidth="1"/>
    <col min="8470" max="8470" width="12.28515625" style="375" bestFit="1" customWidth="1"/>
    <col min="8471" max="8471" width="11" style="375" customWidth="1"/>
    <col min="8472" max="8476" width="9.140625" style="375"/>
    <col min="8477" max="8477" width="21.85546875" style="375" customWidth="1"/>
    <col min="8478" max="8710" width="9.140625" style="375"/>
    <col min="8711" max="8711" width="4.7109375" style="375" customWidth="1"/>
    <col min="8712" max="8712" width="40.140625" style="375" bestFit="1" customWidth="1"/>
    <col min="8713" max="8713" width="11.28515625" style="375" customWidth="1"/>
    <col min="8714" max="8714" width="11.85546875" style="375" customWidth="1"/>
    <col min="8715" max="8715" width="5.42578125" style="375" customWidth="1"/>
    <col min="8716" max="8716" width="11.28515625" style="375" customWidth="1"/>
    <col min="8717" max="8717" width="11.85546875" style="375" customWidth="1"/>
    <col min="8718" max="8718" width="7.140625" style="375" customWidth="1"/>
    <col min="8719" max="8719" width="11.28515625" style="375" bestFit="1" customWidth="1"/>
    <col min="8720" max="8720" width="12.28515625" style="375" bestFit="1" customWidth="1"/>
    <col min="8721" max="8721" width="5.5703125" style="375" customWidth="1"/>
    <col min="8722" max="8722" width="11.28515625" style="375" bestFit="1" customWidth="1"/>
    <col min="8723" max="8723" width="14.85546875" style="375" bestFit="1" customWidth="1"/>
    <col min="8724" max="8724" width="12.85546875" style="375" bestFit="1" customWidth="1"/>
    <col min="8725" max="8725" width="11" style="375" customWidth="1"/>
    <col min="8726" max="8726" width="12.28515625" style="375" bestFit="1" customWidth="1"/>
    <col min="8727" max="8727" width="11" style="375" customWidth="1"/>
    <col min="8728" max="8732" width="9.140625" style="375"/>
    <col min="8733" max="8733" width="21.85546875" style="375" customWidth="1"/>
    <col min="8734" max="8966" width="9.140625" style="375"/>
    <col min="8967" max="8967" width="4.7109375" style="375" customWidth="1"/>
    <col min="8968" max="8968" width="40.140625" style="375" bestFit="1" customWidth="1"/>
    <col min="8969" max="8969" width="11.28515625" style="375" customWidth="1"/>
    <col min="8970" max="8970" width="11.85546875" style="375" customWidth="1"/>
    <col min="8971" max="8971" width="5.42578125" style="375" customWidth="1"/>
    <col min="8972" max="8972" width="11.28515625" style="375" customWidth="1"/>
    <col min="8973" max="8973" width="11.85546875" style="375" customWidth="1"/>
    <col min="8974" max="8974" width="7.140625" style="375" customWidth="1"/>
    <col min="8975" max="8975" width="11.28515625" style="375" bestFit="1" customWidth="1"/>
    <col min="8976" max="8976" width="12.28515625" style="375" bestFit="1" customWidth="1"/>
    <col min="8977" max="8977" width="5.5703125" style="375" customWidth="1"/>
    <col min="8978" max="8978" width="11.28515625" style="375" bestFit="1" customWidth="1"/>
    <col min="8979" max="8979" width="14.85546875" style="375" bestFit="1" customWidth="1"/>
    <col min="8980" max="8980" width="12.85546875" style="375" bestFit="1" customWidth="1"/>
    <col min="8981" max="8981" width="11" style="375" customWidth="1"/>
    <col min="8982" max="8982" width="12.28515625" style="375" bestFit="1" customWidth="1"/>
    <col min="8983" max="8983" width="11" style="375" customWidth="1"/>
    <col min="8984" max="8988" width="9.140625" style="375"/>
    <col min="8989" max="8989" width="21.85546875" style="375" customWidth="1"/>
    <col min="8990" max="9222" width="9.140625" style="375"/>
    <col min="9223" max="9223" width="4.7109375" style="375" customWidth="1"/>
    <col min="9224" max="9224" width="40.140625" style="375" bestFit="1" customWidth="1"/>
    <col min="9225" max="9225" width="11.28515625" style="375" customWidth="1"/>
    <col min="9226" max="9226" width="11.85546875" style="375" customWidth="1"/>
    <col min="9227" max="9227" width="5.42578125" style="375" customWidth="1"/>
    <col min="9228" max="9228" width="11.28515625" style="375" customWidth="1"/>
    <col min="9229" max="9229" width="11.85546875" style="375" customWidth="1"/>
    <col min="9230" max="9230" width="7.140625" style="375" customWidth="1"/>
    <col min="9231" max="9231" width="11.28515625" style="375" bestFit="1" customWidth="1"/>
    <col min="9232" max="9232" width="12.28515625" style="375" bestFit="1" customWidth="1"/>
    <col min="9233" max="9233" width="5.5703125" style="375" customWidth="1"/>
    <col min="9234" max="9234" width="11.28515625" style="375" bestFit="1" customWidth="1"/>
    <col min="9235" max="9235" width="14.85546875" style="375" bestFit="1" customWidth="1"/>
    <col min="9236" max="9236" width="12.85546875" style="375" bestFit="1" customWidth="1"/>
    <col min="9237" max="9237" width="11" style="375" customWidth="1"/>
    <col min="9238" max="9238" width="12.28515625" style="375" bestFit="1" customWidth="1"/>
    <col min="9239" max="9239" width="11" style="375" customWidth="1"/>
    <col min="9240" max="9244" width="9.140625" style="375"/>
    <col min="9245" max="9245" width="21.85546875" style="375" customWidth="1"/>
    <col min="9246" max="9478" width="9.140625" style="375"/>
    <col min="9479" max="9479" width="4.7109375" style="375" customWidth="1"/>
    <col min="9480" max="9480" width="40.140625" style="375" bestFit="1" customWidth="1"/>
    <col min="9481" max="9481" width="11.28515625" style="375" customWidth="1"/>
    <col min="9482" max="9482" width="11.85546875" style="375" customWidth="1"/>
    <col min="9483" max="9483" width="5.42578125" style="375" customWidth="1"/>
    <col min="9484" max="9484" width="11.28515625" style="375" customWidth="1"/>
    <col min="9485" max="9485" width="11.85546875" style="375" customWidth="1"/>
    <col min="9486" max="9486" width="7.140625" style="375" customWidth="1"/>
    <col min="9487" max="9487" width="11.28515625" style="375" bestFit="1" customWidth="1"/>
    <col min="9488" max="9488" width="12.28515625" style="375" bestFit="1" customWidth="1"/>
    <col min="9489" max="9489" width="5.5703125" style="375" customWidth="1"/>
    <col min="9490" max="9490" width="11.28515625" style="375" bestFit="1" customWidth="1"/>
    <col min="9491" max="9491" width="14.85546875" style="375" bestFit="1" customWidth="1"/>
    <col min="9492" max="9492" width="12.85546875" style="375" bestFit="1" customWidth="1"/>
    <col min="9493" max="9493" width="11" style="375" customWidth="1"/>
    <col min="9494" max="9494" width="12.28515625" style="375" bestFit="1" customWidth="1"/>
    <col min="9495" max="9495" width="11" style="375" customWidth="1"/>
    <col min="9496" max="9500" width="9.140625" style="375"/>
    <col min="9501" max="9501" width="21.85546875" style="375" customWidth="1"/>
    <col min="9502" max="9734" width="9.140625" style="375"/>
    <col min="9735" max="9735" width="4.7109375" style="375" customWidth="1"/>
    <col min="9736" max="9736" width="40.140625" style="375" bestFit="1" customWidth="1"/>
    <col min="9737" max="9737" width="11.28515625" style="375" customWidth="1"/>
    <col min="9738" max="9738" width="11.85546875" style="375" customWidth="1"/>
    <col min="9739" max="9739" width="5.42578125" style="375" customWidth="1"/>
    <col min="9740" max="9740" width="11.28515625" style="375" customWidth="1"/>
    <col min="9741" max="9741" width="11.85546875" style="375" customWidth="1"/>
    <col min="9742" max="9742" width="7.140625" style="375" customWidth="1"/>
    <col min="9743" max="9743" width="11.28515625" style="375" bestFit="1" customWidth="1"/>
    <col min="9744" max="9744" width="12.28515625" style="375" bestFit="1" customWidth="1"/>
    <col min="9745" max="9745" width="5.5703125" style="375" customWidth="1"/>
    <col min="9746" max="9746" width="11.28515625" style="375" bestFit="1" customWidth="1"/>
    <col min="9747" max="9747" width="14.85546875" style="375" bestFit="1" customWidth="1"/>
    <col min="9748" max="9748" width="12.85546875" style="375" bestFit="1" customWidth="1"/>
    <col min="9749" max="9749" width="11" style="375" customWidth="1"/>
    <col min="9750" max="9750" width="12.28515625" style="375" bestFit="1" customWidth="1"/>
    <col min="9751" max="9751" width="11" style="375" customWidth="1"/>
    <col min="9752" max="9756" width="9.140625" style="375"/>
    <col min="9757" max="9757" width="21.85546875" style="375" customWidth="1"/>
    <col min="9758" max="9990" width="9.140625" style="375"/>
    <col min="9991" max="9991" width="4.7109375" style="375" customWidth="1"/>
    <col min="9992" max="9992" width="40.140625" style="375" bestFit="1" customWidth="1"/>
    <col min="9993" max="9993" width="11.28515625" style="375" customWidth="1"/>
    <col min="9994" max="9994" width="11.85546875" style="375" customWidth="1"/>
    <col min="9995" max="9995" width="5.42578125" style="375" customWidth="1"/>
    <col min="9996" max="9996" width="11.28515625" style="375" customWidth="1"/>
    <col min="9997" max="9997" width="11.85546875" style="375" customWidth="1"/>
    <col min="9998" max="9998" width="7.140625" style="375" customWidth="1"/>
    <col min="9999" max="9999" width="11.28515625" style="375" bestFit="1" customWidth="1"/>
    <col min="10000" max="10000" width="12.28515625" style="375" bestFit="1" customWidth="1"/>
    <col min="10001" max="10001" width="5.5703125" style="375" customWidth="1"/>
    <col min="10002" max="10002" width="11.28515625" style="375" bestFit="1" customWidth="1"/>
    <col min="10003" max="10003" width="14.85546875" style="375" bestFit="1" customWidth="1"/>
    <col min="10004" max="10004" width="12.85546875" style="375" bestFit="1" customWidth="1"/>
    <col min="10005" max="10005" width="11" style="375" customWidth="1"/>
    <col min="10006" max="10006" width="12.28515625" style="375" bestFit="1" customWidth="1"/>
    <col min="10007" max="10007" width="11" style="375" customWidth="1"/>
    <col min="10008" max="10012" width="9.140625" style="375"/>
    <col min="10013" max="10013" width="21.85546875" style="375" customWidth="1"/>
    <col min="10014" max="10246" width="9.140625" style="375"/>
    <col min="10247" max="10247" width="4.7109375" style="375" customWidth="1"/>
    <col min="10248" max="10248" width="40.140625" style="375" bestFit="1" customWidth="1"/>
    <col min="10249" max="10249" width="11.28515625" style="375" customWidth="1"/>
    <col min="10250" max="10250" width="11.85546875" style="375" customWidth="1"/>
    <col min="10251" max="10251" width="5.42578125" style="375" customWidth="1"/>
    <col min="10252" max="10252" width="11.28515625" style="375" customWidth="1"/>
    <col min="10253" max="10253" width="11.85546875" style="375" customWidth="1"/>
    <col min="10254" max="10254" width="7.140625" style="375" customWidth="1"/>
    <col min="10255" max="10255" width="11.28515625" style="375" bestFit="1" customWidth="1"/>
    <col min="10256" max="10256" width="12.28515625" style="375" bestFit="1" customWidth="1"/>
    <col min="10257" max="10257" width="5.5703125" style="375" customWidth="1"/>
    <col min="10258" max="10258" width="11.28515625" style="375" bestFit="1" customWidth="1"/>
    <col min="10259" max="10259" width="14.85546875" style="375" bestFit="1" customWidth="1"/>
    <col min="10260" max="10260" width="12.85546875" style="375" bestFit="1" customWidth="1"/>
    <col min="10261" max="10261" width="11" style="375" customWidth="1"/>
    <col min="10262" max="10262" width="12.28515625" style="375" bestFit="1" customWidth="1"/>
    <col min="10263" max="10263" width="11" style="375" customWidth="1"/>
    <col min="10264" max="10268" width="9.140625" style="375"/>
    <col min="10269" max="10269" width="21.85546875" style="375" customWidth="1"/>
    <col min="10270" max="10502" width="9.140625" style="375"/>
    <col min="10503" max="10503" width="4.7109375" style="375" customWidth="1"/>
    <col min="10504" max="10504" width="40.140625" style="375" bestFit="1" customWidth="1"/>
    <col min="10505" max="10505" width="11.28515625" style="375" customWidth="1"/>
    <col min="10506" max="10506" width="11.85546875" style="375" customWidth="1"/>
    <col min="10507" max="10507" width="5.42578125" style="375" customWidth="1"/>
    <col min="10508" max="10508" width="11.28515625" style="375" customWidth="1"/>
    <col min="10509" max="10509" width="11.85546875" style="375" customWidth="1"/>
    <col min="10510" max="10510" width="7.140625" style="375" customWidth="1"/>
    <col min="10511" max="10511" width="11.28515625" style="375" bestFit="1" customWidth="1"/>
    <col min="10512" max="10512" width="12.28515625" style="375" bestFit="1" customWidth="1"/>
    <col min="10513" max="10513" width="5.5703125" style="375" customWidth="1"/>
    <col min="10514" max="10514" width="11.28515625" style="375" bestFit="1" customWidth="1"/>
    <col min="10515" max="10515" width="14.85546875" style="375" bestFit="1" customWidth="1"/>
    <col min="10516" max="10516" width="12.85546875" style="375" bestFit="1" customWidth="1"/>
    <col min="10517" max="10517" width="11" style="375" customWidth="1"/>
    <col min="10518" max="10518" width="12.28515625" style="375" bestFit="1" customWidth="1"/>
    <col min="10519" max="10519" width="11" style="375" customWidth="1"/>
    <col min="10520" max="10524" width="9.140625" style="375"/>
    <col min="10525" max="10525" width="21.85546875" style="375" customWidth="1"/>
    <col min="10526" max="10758" width="9.140625" style="375"/>
    <col min="10759" max="10759" width="4.7109375" style="375" customWidth="1"/>
    <col min="10760" max="10760" width="40.140625" style="375" bestFit="1" customWidth="1"/>
    <col min="10761" max="10761" width="11.28515625" style="375" customWidth="1"/>
    <col min="10762" max="10762" width="11.85546875" style="375" customWidth="1"/>
    <col min="10763" max="10763" width="5.42578125" style="375" customWidth="1"/>
    <col min="10764" max="10764" width="11.28515625" style="375" customWidth="1"/>
    <col min="10765" max="10765" width="11.85546875" style="375" customWidth="1"/>
    <col min="10766" max="10766" width="7.140625" style="375" customWidth="1"/>
    <col min="10767" max="10767" width="11.28515625" style="375" bestFit="1" customWidth="1"/>
    <col min="10768" max="10768" width="12.28515625" style="375" bestFit="1" customWidth="1"/>
    <col min="10769" max="10769" width="5.5703125" style="375" customWidth="1"/>
    <col min="10770" max="10770" width="11.28515625" style="375" bestFit="1" customWidth="1"/>
    <col min="10771" max="10771" width="14.85546875" style="375" bestFit="1" customWidth="1"/>
    <col min="10772" max="10772" width="12.85546875" style="375" bestFit="1" customWidth="1"/>
    <col min="10773" max="10773" width="11" style="375" customWidth="1"/>
    <col min="10774" max="10774" width="12.28515625" style="375" bestFit="1" customWidth="1"/>
    <col min="10775" max="10775" width="11" style="375" customWidth="1"/>
    <col min="10776" max="10780" width="9.140625" style="375"/>
    <col min="10781" max="10781" width="21.85546875" style="375" customWidth="1"/>
    <col min="10782" max="11014" width="9.140625" style="375"/>
    <col min="11015" max="11015" width="4.7109375" style="375" customWidth="1"/>
    <col min="11016" max="11016" width="40.140625" style="375" bestFit="1" customWidth="1"/>
    <col min="11017" max="11017" width="11.28515625" style="375" customWidth="1"/>
    <col min="11018" max="11018" width="11.85546875" style="375" customWidth="1"/>
    <col min="11019" max="11019" width="5.42578125" style="375" customWidth="1"/>
    <col min="11020" max="11020" width="11.28515625" style="375" customWidth="1"/>
    <col min="11021" max="11021" width="11.85546875" style="375" customWidth="1"/>
    <col min="11022" max="11022" width="7.140625" style="375" customWidth="1"/>
    <col min="11023" max="11023" width="11.28515625" style="375" bestFit="1" customWidth="1"/>
    <col min="11024" max="11024" width="12.28515625" style="375" bestFit="1" customWidth="1"/>
    <col min="11025" max="11025" width="5.5703125" style="375" customWidth="1"/>
    <col min="11026" max="11026" width="11.28515625" style="375" bestFit="1" customWidth="1"/>
    <col min="11027" max="11027" width="14.85546875" style="375" bestFit="1" customWidth="1"/>
    <col min="11028" max="11028" width="12.85546875" style="375" bestFit="1" customWidth="1"/>
    <col min="11029" max="11029" width="11" style="375" customWidth="1"/>
    <col min="11030" max="11030" width="12.28515625" style="375" bestFit="1" customWidth="1"/>
    <col min="11031" max="11031" width="11" style="375" customWidth="1"/>
    <col min="11032" max="11036" width="9.140625" style="375"/>
    <col min="11037" max="11037" width="21.85546875" style="375" customWidth="1"/>
    <col min="11038" max="11270" width="9.140625" style="375"/>
    <col min="11271" max="11271" width="4.7109375" style="375" customWidth="1"/>
    <col min="11272" max="11272" width="40.140625" style="375" bestFit="1" customWidth="1"/>
    <col min="11273" max="11273" width="11.28515625" style="375" customWidth="1"/>
    <col min="11274" max="11274" width="11.85546875" style="375" customWidth="1"/>
    <col min="11275" max="11275" width="5.42578125" style="375" customWidth="1"/>
    <col min="11276" max="11276" width="11.28515625" style="375" customWidth="1"/>
    <col min="11277" max="11277" width="11.85546875" style="375" customWidth="1"/>
    <col min="11278" max="11278" width="7.140625" style="375" customWidth="1"/>
    <col min="11279" max="11279" width="11.28515625" style="375" bestFit="1" customWidth="1"/>
    <col min="11280" max="11280" width="12.28515625" style="375" bestFit="1" customWidth="1"/>
    <col min="11281" max="11281" width="5.5703125" style="375" customWidth="1"/>
    <col min="11282" max="11282" width="11.28515625" style="375" bestFit="1" customWidth="1"/>
    <col min="11283" max="11283" width="14.85546875" style="375" bestFit="1" customWidth="1"/>
    <col min="11284" max="11284" width="12.85546875" style="375" bestFit="1" customWidth="1"/>
    <col min="11285" max="11285" width="11" style="375" customWidth="1"/>
    <col min="11286" max="11286" width="12.28515625" style="375" bestFit="1" customWidth="1"/>
    <col min="11287" max="11287" width="11" style="375" customWidth="1"/>
    <col min="11288" max="11292" width="9.140625" style="375"/>
    <col min="11293" max="11293" width="21.85546875" style="375" customWidth="1"/>
    <col min="11294" max="11526" width="9.140625" style="375"/>
    <col min="11527" max="11527" width="4.7109375" style="375" customWidth="1"/>
    <col min="11528" max="11528" width="40.140625" style="375" bestFit="1" customWidth="1"/>
    <col min="11529" max="11529" width="11.28515625" style="375" customWidth="1"/>
    <col min="11530" max="11530" width="11.85546875" style="375" customWidth="1"/>
    <col min="11531" max="11531" width="5.42578125" style="375" customWidth="1"/>
    <col min="11532" max="11532" width="11.28515625" style="375" customWidth="1"/>
    <col min="11533" max="11533" width="11.85546875" style="375" customWidth="1"/>
    <col min="11534" max="11534" width="7.140625" style="375" customWidth="1"/>
    <col min="11535" max="11535" width="11.28515625" style="375" bestFit="1" customWidth="1"/>
    <col min="11536" max="11536" width="12.28515625" style="375" bestFit="1" customWidth="1"/>
    <col min="11537" max="11537" width="5.5703125" style="375" customWidth="1"/>
    <col min="11538" max="11538" width="11.28515625" style="375" bestFit="1" customWidth="1"/>
    <col min="11539" max="11539" width="14.85546875" style="375" bestFit="1" customWidth="1"/>
    <col min="11540" max="11540" width="12.85546875" style="375" bestFit="1" customWidth="1"/>
    <col min="11541" max="11541" width="11" style="375" customWidth="1"/>
    <col min="11542" max="11542" width="12.28515625" style="375" bestFit="1" customWidth="1"/>
    <col min="11543" max="11543" width="11" style="375" customWidth="1"/>
    <col min="11544" max="11548" width="9.140625" style="375"/>
    <col min="11549" max="11549" width="21.85546875" style="375" customWidth="1"/>
    <col min="11550" max="11782" width="9.140625" style="375"/>
    <col min="11783" max="11783" width="4.7109375" style="375" customWidth="1"/>
    <col min="11784" max="11784" width="40.140625" style="375" bestFit="1" customWidth="1"/>
    <col min="11785" max="11785" width="11.28515625" style="375" customWidth="1"/>
    <col min="11786" max="11786" width="11.85546875" style="375" customWidth="1"/>
    <col min="11787" max="11787" width="5.42578125" style="375" customWidth="1"/>
    <col min="11788" max="11788" width="11.28515625" style="375" customWidth="1"/>
    <col min="11789" max="11789" width="11.85546875" style="375" customWidth="1"/>
    <col min="11790" max="11790" width="7.140625" style="375" customWidth="1"/>
    <col min="11791" max="11791" width="11.28515625" style="375" bestFit="1" customWidth="1"/>
    <col min="11792" max="11792" width="12.28515625" style="375" bestFit="1" customWidth="1"/>
    <col min="11793" max="11793" width="5.5703125" style="375" customWidth="1"/>
    <col min="11794" max="11794" width="11.28515625" style="375" bestFit="1" customWidth="1"/>
    <col min="11795" max="11795" width="14.85546875" style="375" bestFit="1" customWidth="1"/>
    <col min="11796" max="11796" width="12.85546875" style="375" bestFit="1" customWidth="1"/>
    <col min="11797" max="11797" width="11" style="375" customWidth="1"/>
    <col min="11798" max="11798" width="12.28515625" style="375" bestFit="1" customWidth="1"/>
    <col min="11799" max="11799" width="11" style="375" customWidth="1"/>
    <col min="11800" max="11804" width="9.140625" style="375"/>
    <col min="11805" max="11805" width="21.85546875" style="375" customWidth="1"/>
    <col min="11806" max="12038" width="9.140625" style="375"/>
    <col min="12039" max="12039" width="4.7109375" style="375" customWidth="1"/>
    <col min="12040" max="12040" width="40.140625" style="375" bestFit="1" customWidth="1"/>
    <col min="12041" max="12041" width="11.28515625" style="375" customWidth="1"/>
    <col min="12042" max="12042" width="11.85546875" style="375" customWidth="1"/>
    <col min="12043" max="12043" width="5.42578125" style="375" customWidth="1"/>
    <col min="12044" max="12044" width="11.28515625" style="375" customWidth="1"/>
    <col min="12045" max="12045" width="11.85546875" style="375" customWidth="1"/>
    <col min="12046" max="12046" width="7.140625" style="375" customWidth="1"/>
    <col min="12047" max="12047" width="11.28515625" style="375" bestFit="1" customWidth="1"/>
    <col min="12048" max="12048" width="12.28515625" style="375" bestFit="1" customWidth="1"/>
    <col min="12049" max="12049" width="5.5703125" style="375" customWidth="1"/>
    <col min="12050" max="12050" width="11.28515625" style="375" bestFit="1" customWidth="1"/>
    <col min="12051" max="12051" width="14.85546875" style="375" bestFit="1" customWidth="1"/>
    <col min="12052" max="12052" width="12.85546875" style="375" bestFit="1" customWidth="1"/>
    <col min="12053" max="12053" width="11" style="375" customWidth="1"/>
    <col min="12054" max="12054" width="12.28515625" style="375" bestFit="1" customWidth="1"/>
    <col min="12055" max="12055" width="11" style="375" customWidth="1"/>
    <col min="12056" max="12060" width="9.140625" style="375"/>
    <col min="12061" max="12061" width="21.85546875" style="375" customWidth="1"/>
    <col min="12062" max="12294" width="9.140625" style="375"/>
    <col min="12295" max="12295" width="4.7109375" style="375" customWidth="1"/>
    <col min="12296" max="12296" width="40.140625" style="375" bestFit="1" customWidth="1"/>
    <col min="12297" max="12297" width="11.28515625" style="375" customWidth="1"/>
    <col min="12298" max="12298" width="11.85546875" style="375" customWidth="1"/>
    <col min="12299" max="12299" width="5.42578125" style="375" customWidth="1"/>
    <col min="12300" max="12300" width="11.28515625" style="375" customWidth="1"/>
    <col min="12301" max="12301" width="11.85546875" style="375" customWidth="1"/>
    <col min="12302" max="12302" width="7.140625" style="375" customWidth="1"/>
    <col min="12303" max="12303" width="11.28515625" style="375" bestFit="1" customWidth="1"/>
    <col min="12304" max="12304" width="12.28515625" style="375" bestFit="1" customWidth="1"/>
    <col min="12305" max="12305" width="5.5703125" style="375" customWidth="1"/>
    <col min="12306" max="12306" width="11.28515625" style="375" bestFit="1" customWidth="1"/>
    <col min="12307" max="12307" width="14.85546875" style="375" bestFit="1" customWidth="1"/>
    <col min="12308" max="12308" width="12.85546875" style="375" bestFit="1" customWidth="1"/>
    <col min="12309" max="12309" width="11" style="375" customWidth="1"/>
    <col min="12310" max="12310" width="12.28515625" style="375" bestFit="1" customWidth="1"/>
    <col min="12311" max="12311" width="11" style="375" customWidth="1"/>
    <col min="12312" max="12316" width="9.140625" style="375"/>
    <col min="12317" max="12317" width="21.85546875" style="375" customWidth="1"/>
    <col min="12318" max="12550" width="9.140625" style="375"/>
    <col min="12551" max="12551" width="4.7109375" style="375" customWidth="1"/>
    <col min="12552" max="12552" width="40.140625" style="375" bestFit="1" customWidth="1"/>
    <col min="12553" max="12553" width="11.28515625" style="375" customWidth="1"/>
    <col min="12554" max="12554" width="11.85546875" style="375" customWidth="1"/>
    <col min="12555" max="12555" width="5.42578125" style="375" customWidth="1"/>
    <col min="12556" max="12556" width="11.28515625" style="375" customWidth="1"/>
    <col min="12557" max="12557" width="11.85546875" style="375" customWidth="1"/>
    <col min="12558" max="12558" width="7.140625" style="375" customWidth="1"/>
    <col min="12559" max="12559" width="11.28515625" style="375" bestFit="1" customWidth="1"/>
    <col min="12560" max="12560" width="12.28515625" style="375" bestFit="1" customWidth="1"/>
    <col min="12561" max="12561" width="5.5703125" style="375" customWidth="1"/>
    <col min="12562" max="12562" width="11.28515625" style="375" bestFit="1" customWidth="1"/>
    <col min="12563" max="12563" width="14.85546875" style="375" bestFit="1" customWidth="1"/>
    <col min="12564" max="12564" width="12.85546875" style="375" bestFit="1" customWidth="1"/>
    <col min="12565" max="12565" width="11" style="375" customWidth="1"/>
    <col min="12566" max="12566" width="12.28515625" style="375" bestFit="1" customWidth="1"/>
    <col min="12567" max="12567" width="11" style="375" customWidth="1"/>
    <col min="12568" max="12572" width="9.140625" style="375"/>
    <col min="12573" max="12573" width="21.85546875" style="375" customWidth="1"/>
    <col min="12574" max="12806" width="9.140625" style="375"/>
    <col min="12807" max="12807" width="4.7109375" style="375" customWidth="1"/>
    <col min="12808" max="12808" width="40.140625" style="375" bestFit="1" customWidth="1"/>
    <col min="12809" max="12809" width="11.28515625" style="375" customWidth="1"/>
    <col min="12810" max="12810" width="11.85546875" style="375" customWidth="1"/>
    <col min="12811" max="12811" width="5.42578125" style="375" customWidth="1"/>
    <col min="12812" max="12812" width="11.28515625" style="375" customWidth="1"/>
    <col min="12813" max="12813" width="11.85546875" style="375" customWidth="1"/>
    <col min="12814" max="12814" width="7.140625" style="375" customWidth="1"/>
    <col min="12815" max="12815" width="11.28515625" style="375" bestFit="1" customWidth="1"/>
    <col min="12816" max="12816" width="12.28515625" style="375" bestFit="1" customWidth="1"/>
    <col min="12817" max="12817" width="5.5703125" style="375" customWidth="1"/>
    <col min="12818" max="12818" width="11.28515625" style="375" bestFit="1" customWidth="1"/>
    <col min="12819" max="12819" width="14.85546875" style="375" bestFit="1" customWidth="1"/>
    <col min="12820" max="12820" width="12.85546875" style="375" bestFit="1" customWidth="1"/>
    <col min="12821" max="12821" width="11" style="375" customWidth="1"/>
    <col min="12822" max="12822" width="12.28515625" style="375" bestFit="1" customWidth="1"/>
    <col min="12823" max="12823" width="11" style="375" customWidth="1"/>
    <col min="12824" max="12828" width="9.140625" style="375"/>
    <col min="12829" max="12829" width="21.85546875" style="375" customWidth="1"/>
    <col min="12830" max="13062" width="9.140625" style="375"/>
    <col min="13063" max="13063" width="4.7109375" style="375" customWidth="1"/>
    <col min="13064" max="13064" width="40.140625" style="375" bestFit="1" customWidth="1"/>
    <col min="13065" max="13065" width="11.28515625" style="375" customWidth="1"/>
    <col min="13066" max="13066" width="11.85546875" style="375" customWidth="1"/>
    <col min="13067" max="13067" width="5.42578125" style="375" customWidth="1"/>
    <col min="13068" max="13068" width="11.28515625" style="375" customWidth="1"/>
    <col min="13069" max="13069" width="11.85546875" style="375" customWidth="1"/>
    <col min="13070" max="13070" width="7.140625" style="375" customWidth="1"/>
    <col min="13071" max="13071" width="11.28515625" style="375" bestFit="1" customWidth="1"/>
    <col min="13072" max="13072" width="12.28515625" style="375" bestFit="1" customWidth="1"/>
    <col min="13073" max="13073" width="5.5703125" style="375" customWidth="1"/>
    <col min="13074" max="13074" width="11.28515625" style="375" bestFit="1" customWidth="1"/>
    <col min="13075" max="13075" width="14.85546875" style="375" bestFit="1" customWidth="1"/>
    <col min="13076" max="13076" width="12.85546875" style="375" bestFit="1" customWidth="1"/>
    <col min="13077" max="13077" width="11" style="375" customWidth="1"/>
    <col min="13078" max="13078" width="12.28515625" style="375" bestFit="1" customWidth="1"/>
    <col min="13079" max="13079" width="11" style="375" customWidth="1"/>
    <col min="13080" max="13084" width="9.140625" style="375"/>
    <col min="13085" max="13085" width="21.85546875" style="375" customWidth="1"/>
    <col min="13086" max="13318" width="9.140625" style="375"/>
    <col min="13319" max="13319" width="4.7109375" style="375" customWidth="1"/>
    <col min="13320" max="13320" width="40.140625" style="375" bestFit="1" customWidth="1"/>
    <col min="13321" max="13321" width="11.28515625" style="375" customWidth="1"/>
    <col min="13322" max="13322" width="11.85546875" style="375" customWidth="1"/>
    <col min="13323" max="13323" width="5.42578125" style="375" customWidth="1"/>
    <col min="13324" max="13324" width="11.28515625" style="375" customWidth="1"/>
    <col min="13325" max="13325" width="11.85546875" style="375" customWidth="1"/>
    <col min="13326" max="13326" width="7.140625" style="375" customWidth="1"/>
    <col min="13327" max="13327" width="11.28515625" style="375" bestFit="1" customWidth="1"/>
    <col min="13328" max="13328" width="12.28515625" style="375" bestFit="1" customWidth="1"/>
    <col min="13329" max="13329" width="5.5703125" style="375" customWidth="1"/>
    <col min="13330" max="13330" width="11.28515625" style="375" bestFit="1" customWidth="1"/>
    <col min="13331" max="13331" width="14.85546875" style="375" bestFit="1" customWidth="1"/>
    <col min="13332" max="13332" width="12.85546875" style="375" bestFit="1" customWidth="1"/>
    <col min="13333" max="13333" width="11" style="375" customWidth="1"/>
    <col min="13334" max="13334" width="12.28515625" style="375" bestFit="1" customWidth="1"/>
    <col min="13335" max="13335" width="11" style="375" customWidth="1"/>
    <col min="13336" max="13340" width="9.140625" style="375"/>
    <col min="13341" max="13341" width="21.85546875" style="375" customWidth="1"/>
    <col min="13342" max="13574" width="9.140625" style="375"/>
    <col min="13575" max="13575" width="4.7109375" style="375" customWidth="1"/>
    <col min="13576" max="13576" width="40.140625" style="375" bestFit="1" customWidth="1"/>
    <col min="13577" max="13577" width="11.28515625" style="375" customWidth="1"/>
    <col min="13578" max="13578" width="11.85546875" style="375" customWidth="1"/>
    <col min="13579" max="13579" width="5.42578125" style="375" customWidth="1"/>
    <col min="13580" max="13580" width="11.28515625" style="375" customWidth="1"/>
    <col min="13581" max="13581" width="11.85546875" style="375" customWidth="1"/>
    <col min="13582" max="13582" width="7.140625" style="375" customWidth="1"/>
    <col min="13583" max="13583" width="11.28515625" style="375" bestFit="1" customWidth="1"/>
    <col min="13584" max="13584" width="12.28515625" style="375" bestFit="1" customWidth="1"/>
    <col min="13585" max="13585" width="5.5703125" style="375" customWidth="1"/>
    <col min="13586" max="13586" width="11.28515625" style="375" bestFit="1" customWidth="1"/>
    <col min="13587" max="13587" width="14.85546875" style="375" bestFit="1" customWidth="1"/>
    <col min="13588" max="13588" width="12.85546875" style="375" bestFit="1" customWidth="1"/>
    <col min="13589" max="13589" width="11" style="375" customWidth="1"/>
    <col min="13590" max="13590" width="12.28515625" style="375" bestFit="1" customWidth="1"/>
    <col min="13591" max="13591" width="11" style="375" customWidth="1"/>
    <col min="13592" max="13596" width="9.140625" style="375"/>
    <col min="13597" max="13597" width="21.85546875" style="375" customWidth="1"/>
    <col min="13598" max="13830" width="9.140625" style="375"/>
    <col min="13831" max="13831" width="4.7109375" style="375" customWidth="1"/>
    <col min="13832" max="13832" width="40.140625" style="375" bestFit="1" customWidth="1"/>
    <col min="13833" max="13833" width="11.28515625" style="375" customWidth="1"/>
    <col min="13834" max="13834" width="11.85546875" style="375" customWidth="1"/>
    <col min="13835" max="13835" width="5.42578125" style="375" customWidth="1"/>
    <col min="13836" max="13836" width="11.28515625" style="375" customWidth="1"/>
    <col min="13837" max="13837" width="11.85546875" style="375" customWidth="1"/>
    <col min="13838" max="13838" width="7.140625" style="375" customWidth="1"/>
    <col min="13839" max="13839" width="11.28515625" style="375" bestFit="1" customWidth="1"/>
    <col min="13840" max="13840" width="12.28515625" style="375" bestFit="1" customWidth="1"/>
    <col min="13841" max="13841" width="5.5703125" style="375" customWidth="1"/>
    <col min="13842" max="13842" width="11.28515625" style="375" bestFit="1" customWidth="1"/>
    <col min="13843" max="13843" width="14.85546875" style="375" bestFit="1" customWidth="1"/>
    <col min="13844" max="13844" width="12.85546875" style="375" bestFit="1" customWidth="1"/>
    <col min="13845" max="13845" width="11" style="375" customWidth="1"/>
    <col min="13846" max="13846" width="12.28515625" style="375" bestFit="1" customWidth="1"/>
    <col min="13847" max="13847" width="11" style="375" customWidth="1"/>
    <col min="13848" max="13852" width="9.140625" style="375"/>
    <col min="13853" max="13853" width="21.85546875" style="375" customWidth="1"/>
    <col min="13854" max="14086" width="9.140625" style="375"/>
    <col min="14087" max="14087" width="4.7109375" style="375" customWidth="1"/>
    <col min="14088" max="14088" width="40.140625" style="375" bestFit="1" customWidth="1"/>
    <col min="14089" max="14089" width="11.28515625" style="375" customWidth="1"/>
    <col min="14090" max="14090" width="11.85546875" style="375" customWidth="1"/>
    <col min="14091" max="14091" width="5.42578125" style="375" customWidth="1"/>
    <col min="14092" max="14092" width="11.28515625" style="375" customWidth="1"/>
    <col min="14093" max="14093" width="11.85546875" style="375" customWidth="1"/>
    <col min="14094" max="14094" width="7.140625" style="375" customWidth="1"/>
    <col min="14095" max="14095" width="11.28515625" style="375" bestFit="1" customWidth="1"/>
    <col min="14096" max="14096" width="12.28515625" style="375" bestFit="1" customWidth="1"/>
    <col min="14097" max="14097" width="5.5703125" style="375" customWidth="1"/>
    <col min="14098" max="14098" width="11.28515625" style="375" bestFit="1" customWidth="1"/>
    <col min="14099" max="14099" width="14.85546875" style="375" bestFit="1" customWidth="1"/>
    <col min="14100" max="14100" width="12.85546875" style="375" bestFit="1" customWidth="1"/>
    <col min="14101" max="14101" width="11" style="375" customWidth="1"/>
    <col min="14102" max="14102" width="12.28515625" style="375" bestFit="1" customWidth="1"/>
    <col min="14103" max="14103" width="11" style="375" customWidth="1"/>
    <col min="14104" max="14108" width="9.140625" style="375"/>
    <col min="14109" max="14109" width="21.85546875" style="375" customWidth="1"/>
    <col min="14110" max="14342" width="9.140625" style="375"/>
    <col min="14343" max="14343" width="4.7109375" style="375" customWidth="1"/>
    <col min="14344" max="14344" width="40.140625" style="375" bestFit="1" customWidth="1"/>
    <col min="14345" max="14345" width="11.28515625" style="375" customWidth="1"/>
    <col min="14346" max="14346" width="11.85546875" style="375" customWidth="1"/>
    <col min="14347" max="14347" width="5.42578125" style="375" customWidth="1"/>
    <col min="14348" max="14348" width="11.28515625" style="375" customWidth="1"/>
    <col min="14349" max="14349" width="11.85546875" style="375" customWidth="1"/>
    <col min="14350" max="14350" width="7.140625" style="375" customWidth="1"/>
    <col min="14351" max="14351" width="11.28515625" style="375" bestFit="1" customWidth="1"/>
    <col min="14352" max="14352" width="12.28515625" style="375" bestFit="1" customWidth="1"/>
    <col min="14353" max="14353" width="5.5703125" style="375" customWidth="1"/>
    <col min="14354" max="14354" width="11.28515625" style="375" bestFit="1" customWidth="1"/>
    <col min="14355" max="14355" width="14.85546875" style="375" bestFit="1" customWidth="1"/>
    <col min="14356" max="14356" width="12.85546875" style="375" bestFit="1" customWidth="1"/>
    <col min="14357" max="14357" width="11" style="375" customWidth="1"/>
    <col min="14358" max="14358" width="12.28515625" style="375" bestFit="1" customWidth="1"/>
    <col min="14359" max="14359" width="11" style="375" customWidth="1"/>
    <col min="14360" max="14364" width="9.140625" style="375"/>
    <col min="14365" max="14365" width="21.85546875" style="375" customWidth="1"/>
    <col min="14366" max="14598" width="9.140625" style="375"/>
    <col min="14599" max="14599" width="4.7109375" style="375" customWidth="1"/>
    <col min="14600" max="14600" width="40.140625" style="375" bestFit="1" customWidth="1"/>
    <col min="14601" max="14601" width="11.28515625" style="375" customWidth="1"/>
    <col min="14602" max="14602" width="11.85546875" style="375" customWidth="1"/>
    <col min="14603" max="14603" width="5.42578125" style="375" customWidth="1"/>
    <col min="14604" max="14604" width="11.28515625" style="375" customWidth="1"/>
    <col min="14605" max="14605" width="11.85546875" style="375" customWidth="1"/>
    <col min="14606" max="14606" width="7.140625" style="375" customWidth="1"/>
    <col min="14607" max="14607" width="11.28515625" style="375" bestFit="1" customWidth="1"/>
    <col min="14608" max="14608" width="12.28515625" style="375" bestFit="1" customWidth="1"/>
    <col min="14609" max="14609" width="5.5703125" style="375" customWidth="1"/>
    <col min="14610" max="14610" width="11.28515625" style="375" bestFit="1" customWidth="1"/>
    <col min="14611" max="14611" width="14.85546875" style="375" bestFit="1" customWidth="1"/>
    <col min="14612" max="14612" width="12.85546875" style="375" bestFit="1" customWidth="1"/>
    <col min="14613" max="14613" width="11" style="375" customWidth="1"/>
    <col min="14614" max="14614" width="12.28515625" style="375" bestFit="1" customWidth="1"/>
    <col min="14615" max="14615" width="11" style="375" customWidth="1"/>
    <col min="14616" max="14620" width="9.140625" style="375"/>
    <col min="14621" max="14621" width="21.85546875" style="375" customWidth="1"/>
    <col min="14622" max="14854" width="9.140625" style="375"/>
    <col min="14855" max="14855" width="4.7109375" style="375" customWidth="1"/>
    <col min="14856" max="14856" width="40.140625" style="375" bestFit="1" customWidth="1"/>
    <col min="14857" max="14857" width="11.28515625" style="375" customWidth="1"/>
    <col min="14858" max="14858" width="11.85546875" style="375" customWidth="1"/>
    <col min="14859" max="14859" width="5.42578125" style="375" customWidth="1"/>
    <col min="14860" max="14860" width="11.28515625" style="375" customWidth="1"/>
    <col min="14861" max="14861" width="11.85546875" style="375" customWidth="1"/>
    <col min="14862" max="14862" width="7.140625" style="375" customWidth="1"/>
    <col min="14863" max="14863" width="11.28515625" style="375" bestFit="1" customWidth="1"/>
    <col min="14864" max="14864" width="12.28515625" style="375" bestFit="1" customWidth="1"/>
    <col min="14865" max="14865" width="5.5703125" style="375" customWidth="1"/>
    <col min="14866" max="14866" width="11.28515625" style="375" bestFit="1" customWidth="1"/>
    <col min="14867" max="14867" width="14.85546875" style="375" bestFit="1" customWidth="1"/>
    <col min="14868" max="14868" width="12.85546875" style="375" bestFit="1" customWidth="1"/>
    <col min="14869" max="14869" width="11" style="375" customWidth="1"/>
    <col min="14870" max="14870" width="12.28515625" style="375" bestFit="1" customWidth="1"/>
    <col min="14871" max="14871" width="11" style="375" customWidth="1"/>
    <col min="14872" max="14876" width="9.140625" style="375"/>
    <col min="14877" max="14877" width="21.85546875" style="375" customWidth="1"/>
    <col min="14878" max="15110" width="9.140625" style="375"/>
    <col min="15111" max="15111" width="4.7109375" style="375" customWidth="1"/>
    <col min="15112" max="15112" width="40.140625" style="375" bestFit="1" customWidth="1"/>
    <col min="15113" max="15113" width="11.28515625" style="375" customWidth="1"/>
    <col min="15114" max="15114" width="11.85546875" style="375" customWidth="1"/>
    <col min="15115" max="15115" width="5.42578125" style="375" customWidth="1"/>
    <col min="15116" max="15116" width="11.28515625" style="375" customWidth="1"/>
    <col min="15117" max="15117" width="11.85546875" style="375" customWidth="1"/>
    <col min="15118" max="15118" width="7.140625" style="375" customWidth="1"/>
    <col min="15119" max="15119" width="11.28515625" style="375" bestFit="1" customWidth="1"/>
    <col min="15120" max="15120" width="12.28515625" style="375" bestFit="1" customWidth="1"/>
    <col min="15121" max="15121" width="5.5703125" style="375" customWidth="1"/>
    <col min="15122" max="15122" width="11.28515625" style="375" bestFit="1" customWidth="1"/>
    <col min="15123" max="15123" width="14.85546875" style="375" bestFit="1" customWidth="1"/>
    <col min="15124" max="15124" width="12.85546875" style="375" bestFit="1" customWidth="1"/>
    <col min="15125" max="15125" width="11" style="375" customWidth="1"/>
    <col min="15126" max="15126" width="12.28515625" style="375" bestFit="1" customWidth="1"/>
    <col min="15127" max="15127" width="11" style="375" customWidth="1"/>
    <col min="15128" max="15132" width="9.140625" style="375"/>
    <col min="15133" max="15133" width="21.85546875" style="375" customWidth="1"/>
    <col min="15134" max="15366" width="9.140625" style="375"/>
    <col min="15367" max="15367" width="4.7109375" style="375" customWidth="1"/>
    <col min="15368" max="15368" width="40.140625" style="375" bestFit="1" customWidth="1"/>
    <col min="15369" max="15369" width="11.28515625" style="375" customWidth="1"/>
    <col min="15370" max="15370" width="11.85546875" style="375" customWidth="1"/>
    <col min="15371" max="15371" width="5.42578125" style="375" customWidth="1"/>
    <col min="15372" max="15372" width="11.28515625" style="375" customWidth="1"/>
    <col min="15373" max="15373" width="11.85546875" style="375" customWidth="1"/>
    <col min="15374" max="15374" width="7.140625" style="375" customWidth="1"/>
    <col min="15375" max="15375" width="11.28515625" style="375" bestFit="1" customWidth="1"/>
    <col min="15376" max="15376" width="12.28515625" style="375" bestFit="1" customWidth="1"/>
    <col min="15377" max="15377" width="5.5703125" style="375" customWidth="1"/>
    <col min="15378" max="15378" width="11.28515625" style="375" bestFit="1" customWidth="1"/>
    <col min="15379" max="15379" width="14.85546875" style="375" bestFit="1" customWidth="1"/>
    <col min="15380" max="15380" width="12.85546875" style="375" bestFit="1" customWidth="1"/>
    <col min="15381" max="15381" width="11" style="375" customWidth="1"/>
    <col min="15382" max="15382" width="12.28515625" style="375" bestFit="1" customWidth="1"/>
    <col min="15383" max="15383" width="11" style="375" customWidth="1"/>
    <col min="15384" max="15388" width="9.140625" style="375"/>
    <col min="15389" max="15389" width="21.85546875" style="375" customWidth="1"/>
    <col min="15390" max="15622" width="9.140625" style="375"/>
    <col min="15623" max="15623" width="4.7109375" style="375" customWidth="1"/>
    <col min="15624" max="15624" width="40.140625" style="375" bestFit="1" customWidth="1"/>
    <col min="15625" max="15625" width="11.28515625" style="375" customWidth="1"/>
    <col min="15626" max="15626" width="11.85546875" style="375" customWidth="1"/>
    <col min="15627" max="15627" width="5.42578125" style="375" customWidth="1"/>
    <col min="15628" max="15628" width="11.28515625" style="375" customWidth="1"/>
    <col min="15629" max="15629" width="11.85546875" style="375" customWidth="1"/>
    <col min="15630" max="15630" width="7.140625" style="375" customWidth="1"/>
    <col min="15631" max="15631" width="11.28515625" style="375" bestFit="1" customWidth="1"/>
    <col min="15632" max="15632" width="12.28515625" style="375" bestFit="1" customWidth="1"/>
    <col min="15633" max="15633" width="5.5703125" style="375" customWidth="1"/>
    <col min="15634" max="15634" width="11.28515625" style="375" bestFit="1" customWidth="1"/>
    <col min="15635" max="15635" width="14.85546875" style="375" bestFit="1" customWidth="1"/>
    <col min="15636" max="15636" width="12.85546875" style="375" bestFit="1" customWidth="1"/>
    <col min="15637" max="15637" width="11" style="375" customWidth="1"/>
    <col min="15638" max="15638" width="12.28515625" style="375" bestFit="1" customWidth="1"/>
    <col min="15639" max="15639" width="11" style="375" customWidth="1"/>
    <col min="15640" max="15644" width="9.140625" style="375"/>
    <col min="15645" max="15645" width="21.85546875" style="375" customWidth="1"/>
    <col min="15646" max="15878" width="9.140625" style="375"/>
    <col min="15879" max="15879" width="4.7109375" style="375" customWidth="1"/>
    <col min="15880" max="15880" width="40.140625" style="375" bestFit="1" customWidth="1"/>
    <col min="15881" max="15881" width="11.28515625" style="375" customWidth="1"/>
    <col min="15882" max="15882" width="11.85546875" style="375" customWidth="1"/>
    <col min="15883" max="15883" width="5.42578125" style="375" customWidth="1"/>
    <col min="15884" max="15884" width="11.28515625" style="375" customWidth="1"/>
    <col min="15885" max="15885" width="11.85546875" style="375" customWidth="1"/>
    <col min="15886" max="15886" width="7.140625" style="375" customWidth="1"/>
    <col min="15887" max="15887" width="11.28515625" style="375" bestFit="1" customWidth="1"/>
    <col min="15888" max="15888" width="12.28515625" style="375" bestFit="1" customWidth="1"/>
    <col min="15889" max="15889" width="5.5703125" style="375" customWidth="1"/>
    <col min="15890" max="15890" width="11.28515625" style="375" bestFit="1" customWidth="1"/>
    <col min="15891" max="15891" width="14.85546875" style="375" bestFit="1" customWidth="1"/>
    <col min="15892" max="15892" width="12.85546875" style="375" bestFit="1" customWidth="1"/>
    <col min="15893" max="15893" width="11" style="375" customWidth="1"/>
    <col min="15894" max="15894" width="12.28515625" style="375" bestFit="1" customWidth="1"/>
    <col min="15895" max="15895" width="11" style="375" customWidth="1"/>
    <col min="15896" max="15900" width="9.140625" style="375"/>
    <col min="15901" max="15901" width="21.85546875" style="375" customWidth="1"/>
    <col min="15902" max="16134" width="9.140625" style="375"/>
    <col min="16135" max="16135" width="4.7109375" style="375" customWidth="1"/>
    <col min="16136" max="16136" width="40.140625" style="375" bestFit="1" customWidth="1"/>
    <col min="16137" max="16137" width="11.28515625" style="375" customWidth="1"/>
    <col min="16138" max="16138" width="11.85546875" style="375" customWidth="1"/>
    <col min="16139" max="16139" width="5.42578125" style="375" customWidth="1"/>
    <col min="16140" max="16140" width="11.28515625" style="375" customWidth="1"/>
    <col min="16141" max="16141" width="11.85546875" style="375" customWidth="1"/>
    <col min="16142" max="16142" width="7.140625" style="375" customWidth="1"/>
    <col min="16143" max="16143" width="11.28515625" style="375" bestFit="1" customWidth="1"/>
    <col min="16144" max="16144" width="12.28515625" style="375" bestFit="1" customWidth="1"/>
    <col min="16145" max="16145" width="5.5703125" style="375" customWidth="1"/>
    <col min="16146" max="16146" width="11.28515625" style="375" bestFit="1" customWidth="1"/>
    <col min="16147" max="16147" width="14.85546875" style="375" bestFit="1" customWidth="1"/>
    <col min="16148" max="16148" width="12.85546875" style="375" bestFit="1" customWidth="1"/>
    <col min="16149" max="16149" width="11" style="375" customWidth="1"/>
    <col min="16150" max="16150" width="12.28515625" style="375" bestFit="1" customWidth="1"/>
    <col min="16151" max="16151" width="11" style="375" customWidth="1"/>
    <col min="16152" max="16156" width="9.140625" style="375"/>
    <col min="16157" max="16157" width="21.85546875" style="375" customWidth="1"/>
    <col min="16158" max="16384" width="9.140625" style="375"/>
  </cols>
  <sheetData>
    <row r="1" spans="1:22" ht="18">
      <c r="A1" s="1134" t="s">
        <v>1110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  <c r="O1" s="1134"/>
      <c r="P1" s="1134"/>
      <c r="Q1" s="1134"/>
      <c r="R1" s="1134"/>
      <c r="S1" s="1134"/>
    </row>
    <row r="2" spans="1:22" ht="15.75">
      <c r="A2" s="1135" t="s">
        <v>1111</v>
      </c>
      <c r="B2" s="1135"/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</row>
    <row r="3" spans="1:22" ht="15.75">
      <c r="A3" s="29"/>
      <c r="B3" s="826"/>
    </row>
    <row r="4" spans="1:22" ht="15.75">
      <c r="A4" s="29"/>
      <c r="B4" s="826"/>
    </row>
    <row r="5" spans="1:22" ht="15.75">
      <c r="A5" s="29"/>
      <c r="B5" s="826"/>
      <c r="D5" s="376"/>
      <c r="E5" s="376"/>
      <c r="F5" s="376"/>
      <c r="G5" s="376"/>
      <c r="I5" s="376"/>
      <c r="J5" s="376"/>
      <c r="K5" s="376"/>
      <c r="L5" s="376"/>
      <c r="N5" s="376"/>
      <c r="O5" s="376"/>
      <c r="P5" s="376"/>
      <c r="Q5" s="376"/>
      <c r="S5" s="376"/>
    </row>
    <row r="6" spans="1:22" ht="15.75">
      <c r="A6" s="29"/>
      <c r="B6" s="826"/>
      <c r="C6" s="828"/>
      <c r="D6" s="827" t="s">
        <v>210</v>
      </c>
      <c r="E6" s="827"/>
      <c r="F6" s="827"/>
      <c r="G6" s="827"/>
      <c r="H6" s="828"/>
      <c r="I6" s="827" t="s">
        <v>210</v>
      </c>
      <c r="J6" s="827"/>
      <c r="K6" s="827"/>
      <c r="L6" s="827"/>
      <c r="M6" s="828"/>
      <c r="N6" s="827" t="s">
        <v>210</v>
      </c>
      <c r="O6" s="827"/>
      <c r="P6" s="827"/>
      <c r="Q6" s="827"/>
      <c r="R6" s="828"/>
      <c r="S6" s="827" t="s">
        <v>210</v>
      </c>
    </row>
    <row r="7" spans="1:22" ht="15.75">
      <c r="A7" s="76"/>
      <c r="B7" s="76"/>
      <c r="C7" s="828"/>
      <c r="D7" s="827" t="s">
        <v>1112</v>
      </c>
      <c r="E7" s="827"/>
      <c r="F7" s="827"/>
      <c r="G7" s="827"/>
      <c r="H7" s="828"/>
      <c r="I7" s="827" t="s">
        <v>1112</v>
      </c>
      <c r="J7" s="827"/>
      <c r="K7" s="827"/>
      <c r="L7" s="827"/>
      <c r="M7" s="828"/>
      <c r="N7" s="827" t="s">
        <v>1113</v>
      </c>
      <c r="O7" s="827"/>
      <c r="P7" s="827"/>
      <c r="Q7" s="827"/>
      <c r="R7" s="828"/>
      <c r="S7" s="827" t="s">
        <v>3</v>
      </c>
      <c r="T7" s="76"/>
    </row>
    <row r="8" spans="1:22" ht="15.75">
      <c r="A8" s="829" t="s">
        <v>1114</v>
      </c>
      <c r="B8" s="76"/>
      <c r="C8" s="831"/>
      <c r="D8" s="830">
        <v>2019</v>
      </c>
      <c r="E8" s="22" t="s">
        <v>1115</v>
      </c>
      <c r="F8" s="28" t="s">
        <v>1116</v>
      </c>
      <c r="G8" s="28" t="s">
        <v>1063</v>
      </c>
      <c r="H8" s="831"/>
      <c r="I8" s="830">
        <v>2020</v>
      </c>
      <c r="J8" s="22" t="s">
        <v>1115</v>
      </c>
      <c r="K8" s="28" t="s">
        <v>1116</v>
      </c>
      <c r="L8" s="28" t="s">
        <v>1063</v>
      </c>
      <c r="M8" s="831"/>
      <c r="N8" s="830">
        <v>2021</v>
      </c>
      <c r="O8" s="22" t="s">
        <v>1115</v>
      </c>
      <c r="P8" s="28" t="s">
        <v>1116</v>
      </c>
      <c r="Q8" s="28" t="s">
        <v>1063</v>
      </c>
      <c r="S8" s="830">
        <v>2023</v>
      </c>
      <c r="T8" s="22" t="s">
        <v>1115</v>
      </c>
      <c r="U8" s="28" t="s">
        <v>1116</v>
      </c>
      <c r="V8" s="28" t="s">
        <v>1063</v>
      </c>
    </row>
    <row r="9" spans="1:22" ht="14.25">
      <c r="C9" s="828"/>
      <c r="D9" s="828"/>
      <c r="E9" s="856">
        <v>6.2605999999999995E-2</v>
      </c>
      <c r="F9" s="857">
        <v>1.6299999999999999E-2</v>
      </c>
      <c r="G9" s="857">
        <v>0.46310000000000001</v>
      </c>
      <c r="H9" s="828"/>
      <c r="I9" s="828"/>
      <c r="J9" s="856">
        <v>4.8982999999999999E-2</v>
      </c>
      <c r="K9" s="857">
        <v>1.4000000000000002E-2</v>
      </c>
      <c r="L9" s="857">
        <v>0.47460000000000002</v>
      </c>
      <c r="M9" s="828"/>
      <c r="N9" s="828"/>
      <c r="O9" s="856">
        <v>5.9667999999999999E-2</v>
      </c>
      <c r="P9" s="857">
        <v>1.3300000000000001E-2</v>
      </c>
      <c r="Q9" s="857">
        <v>0.4587</v>
      </c>
      <c r="R9" s="828"/>
      <c r="S9" s="828"/>
      <c r="T9" s="856">
        <f ca="1">+Report!H188/100</f>
        <v>5.5209000000000001E-2</v>
      </c>
      <c r="U9" s="857">
        <f ca="1">+-Report!H196/100</f>
        <v>1.8000000000000002E-2</v>
      </c>
      <c r="V9" s="857">
        <f ca="1">+Report!H200/100</f>
        <v>0.47539999999999999</v>
      </c>
    </row>
    <row r="10" spans="1:22" ht="15">
      <c r="B10" s="828" t="s">
        <v>1117</v>
      </c>
      <c r="C10" s="858">
        <v>1101760.6834007693</v>
      </c>
      <c r="D10" s="828"/>
      <c r="E10" s="828"/>
      <c r="F10" s="828"/>
      <c r="G10" s="828"/>
      <c r="H10" s="858">
        <v>1314032.4536923077</v>
      </c>
      <c r="I10" s="828"/>
      <c r="J10" s="828"/>
      <c r="K10" s="828"/>
      <c r="L10" s="828"/>
      <c r="M10" s="858">
        <v>1607778.6104498494</v>
      </c>
      <c r="N10" s="828"/>
      <c r="O10" s="828"/>
      <c r="P10" s="828"/>
      <c r="Q10" s="828"/>
      <c r="R10" s="858">
        <f ca="1">+Report!T55</f>
        <v>2221907.0579799535</v>
      </c>
      <c r="S10" s="828"/>
      <c r="T10" s="832"/>
      <c r="U10" s="832"/>
      <c r="V10" s="28"/>
    </row>
    <row r="11" spans="1:22" ht="15"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  <c r="O11" s="828"/>
      <c r="P11" s="828"/>
      <c r="Q11" s="828"/>
      <c r="R11" s="858"/>
      <c r="S11" s="1014" t="s">
        <v>1118</v>
      </c>
      <c r="T11" s="1015" t="s">
        <v>1119</v>
      </c>
      <c r="U11" s="832"/>
      <c r="V11" s="28"/>
    </row>
    <row r="12" spans="1:22" ht="14.25">
      <c r="A12" s="828" t="s">
        <v>1120</v>
      </c>
      <c r="C12" s="828"/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  <c r="O12" s="828"/>
      <c r="P12" s="828"/>
      <c r="Q12" s="828"/>
      <c r="R12" s="828"/>
      <c r="S12" s="1014" t="s">
        <v>1121</v>
      </c>
      <c r="T12" s="1015" t="s">
        <v>1121</v>
      </c>
      <c r="U12" s="832"/>
      <c r="V12" s="28"/>
    </row>
    <row r="13" spans="1:22">
      <c r="B13" s="375" t="s">
        <v>1122</v>
      </c>
      <c r="D13" s="546">
        <v>54029.133070000011</v>
      </c>
      <c r="E13" s="546">
        <f>+D13</f>
        <v>54029.133070000011</v>
      </c>
      <c r="F13" s="546"/>
      <c r="G13" s="546"/>
      <c r="I13" s="546">
        <v>51915.389260000069</v>
      </c>
      <c r="J13" s="546">
        <f>+I13</f>
        <v>51915.389260000069</v>
      </c>
      <c r="K13" s="546"/>
      <c r="L13" s="546"/>
      <c r="N13" s="546">
        <v>74104.479928044238</v>
      </c>
      <c r="O13" s="546">
        <f>+N13</f>
        <v>74104.479928044238</v>
      </c>
      <c r="P13" s="546"/>
      <c r="Q13" s="546"/>
      <c r="S13" s="546">
        <f ca="1">+IncomeStmt!F43</f>
        <v>84703.250428644693</v>
      </c>
      <c r="T13" s="546">
        <f ca="1">+S13</f>
        <v>84703.250428644693</v>
      </c>
    </row>
    <row r="14" spans="1:22">
      <c r="B14" s="375" t="s">
        <v>1123</v>
      </c>
      <c r="D14" s="833">
        <v>483757.39837999997</v>
      </c>
      <c r="E14" s="833">
        <v>496723.71431769221</v>
      </c>
      <c r="F14" s="546"/>
      <c r="G14" s="546"/>
      <c r="I14" s="833">
        <v>596700.94915500004</v>
      </c>
      <c r="J14" s="833">
        <v>604290.52994769218</v>
      </c>
      <c r="K14" s="546"/>
      <c r="L14" s="546"/>
      <c r="N14" s="833">
        <v>722652.33422646637</v>
      </c>
      <c r="O14" s="833">
        <v>729018.95693082653</v>
      </c>
      <c r="P14" s="546"/>
      <c r="Q14" s="546"/>
      <c r="S14" s="833">
        <f>+('Bal Sheet'!BV63+'Bal Sheet'!CH63)/2</f>
        <v>1061339.2444393225</v>
      </c>
      <c r="T14" s="833">
        <f ca="1">+'Bal Sheet'!B63</f>
        <v>1049081.1314387342</v>
      </c>
      <c r="U14" s="22"/>
    </row>
    <row r="15" spans="1:22" ht="14.25">
      <c r="A15" s="828" t="s">
        <v>230</v>
      </c>
      <c r="B15" s="828"/>
      <c r="C15" s="834"/>
      <c r="D15" s="851">
        <f>+D13/D14</f>
        <v>0.11168642226647493</v>
      </c>
      <c r="E15" s="851">
        <f>+E13/E14</f>
        <v>0.1087709958527253</v>
      </c>
      <c r="F15" s="861"/>
      <c r="G15" s="861"/>
      <c r="H15" s="834"/>
      <c r="I15" s="851">
        <f>+I13/I14</f>
        <v>8.7004033316049639E-2</v>
      </c>
      <c r="J15" s="851">
        <f>+J13/J14</f>
        <v>8.5911307040495738E-2</v>
      </c>
      <c r="K15" s="861"/>
      <c r="L15" s="861"/>
      <c r="M15" s="834"/>
      <c r="N15" s="851">
        <f>+N13/N14</f>
        <v>0.10254513327956845</v>
      </c>
      <c r="O15" s="851">
        <f>+O13/O14</f>
        <v>0.10164959254286675</v>
      </c>
      <c r="P15" s="861"/>
      <c r="Q15" s="861"/>
      <c r="R15" s="834"/>
      <c r="S15" s="883">
        <f ca="1">+S13/S14</f>
        <v>7.980789448089351E-2</v>
      </c>
      <c r="T15" s="883">
        <f ca="1">+T13/T14</f>
        <v>8.0740419296723681E-2</v>
      </c>
      <c r="U15" s="837"/>
    </row>
    <row r="16" spans="1:22" ht="14.25">
      <c r="B16" s="828"/>
      <c r="C16" s="834"/>
      <c r="D16" s="835"/>
      <c r="E16" s="835"/>
      <c r="F16" s="835"/>
      <c r="G16" s="835"/>
      <c r="H16" s="834"/>
      <c r="I16" s="835"/>
      <c r="J16" s="835"/>
      <c r="K16" s="835"/>
      <c r="L16" s="835"/>
      <c r="M16" s="834"/>
      <c r="N16" s="835"/>
      <c r="O16" s="835"/>
      <c r="P16" s="835"/>
      <c r="Q16" s="835"/>
      <c r="R16" s="834"/>
      <c r="S16" s="835"/>
      <c r="T16" s="828"/>
    </row>
    <row r="17" spans="2:25" ht="14.25">
      <c r="B17" s="871" t="s">
        <v>1124</v>
      </c>
      <c r="C17" s="872"/>
      <c r="D17" s="873">
        <f>ROUND(+((((C18/C19)-E9+F9)/G9)*(C19/C10))*(0-100),2)</f>
        <v>0.01</v>
      </c>
      <c r="E17" s="874"/>
      <c r="F17" s="874"/>
      <c r="G17" s="874"/>
      <c r="H17" s="872"/>
      <c r="I17" s="873">
        <f>ROUND(+((((H18/H19)-J9+K9)/L9)*(H19/H10))*(0-100),2)</f>
        <v>-0.11</v>
      </c>
      <c r="J17" s="874"/>
      <c r="K17" s="874"/>
      <c r="L17" s="874"/>
      <c r="M17" s="872"/>
      <c r="N17" s="873">
        <f>ROUND(+((((M18/M19)-O9+P9)/Q9)*(M19/M10))*(0-100),2)</f>
        <v>0.02</v>
      </c>
      <c r="O17" s="874"/>
      <c r="P17" s="874"/>
      <c r="Q17" s="874"/>
      <c r="R17" s="872"/>
      <c r="S17" s="873">
        <f ca="1">ROUND(+((((R18/R19)-T9+U9)/V9)*(R19/R10))*(0-100),2)</f>
        <v>-0.09</v>
      </c>
      <c r="T17" s="828"/>
      <c r="U17" s="706">
        <f ca="1">+R18/R19</f>
        <v>4.77009224111219E-2</v>
      </c>
    </row>
    <row r="18" spans="2:25" ht="14.25">
      <c r="B18" s="855" t="s">
        <v>1125</v>
      </c>
      <c r="C18" s="834">
        <v>470.41395</v>
      </c>
      <c r="D18" s="838"/>
      <c r="E18" s="846"/>
      <c r="F18" s="846"/>
      <c r="G18" s="846"/>
      <c r="H18" s="834">
        <v>3121.6035899999997</v>
      </c>
      <c r="I18" s="838"/>
      <c r="J18" s="846"/>
      <c r="K18" s="846"/>
      <c r="L18" s="846"/>
      <c r="M18" s="834">
        <v>3256.3816200000001</v>
      </c>
      <c r="N18" s="838"/>
      <c r="O18" s="846"/>
      <c r="P18" s="846"/>
      <c r="Q18" s="846"/>
      <c r="R18" s="834">
        <f ca="1">+IncomeStmt!F30</f>
        <v>4547</v>
      </c>
      <c r="S18" s="838"/>
      <c r="T18" s="828"/>
      <c r="U18" s="870">
        <f ca="1">+T9</f>
        <v>5.5209000000000001E-2</v>
      </c>
    </row>
    <row r="19" spans="2:25" ht="14.25">
      <c r="B19" s="855" t="s">
        <v>1126</v>
      </c>
      <c r="C19" s="834">
        <v>10812.21263582509</v>
      </c>
      <c r="D19" s="838"/>
      <c r="E19" s="846"/>
      <c r="F19" s="846"/>
      <c r="G19" s="846"/>
      <c r="H19" s="834">
        <v>69773.335063846142</v>
      </c>
      <c r="I19" s="838"/>
      <c r="J19" s="846"/>
      <c r="K19" s="846"/>
      <c r="L19" s="846"/>
      <c r="M19" s="834">
        <v>73643.177210769209</v>
      </c>
      <c r="N19" s="838"/>
      <c r="O19" s="846"/>
      <c r="P19" s="846"/>
      <c r="Q19" s="846"/>
      <c r="R19" s="834">
        <f ca="1">+-Report!T75</f>
        <v>95323.104253846162</v>
      </c>
      <c r="S19" s="838"/>
      <c r="T19" s="828"/>
      <c r="U19" s="547">
        <f ca="1">+U17-U18</f>
        <v>-7.5080775888781009E-3</v>
      </c>
    </row>
    <row r="20" spans="2:25" ht="14.25">
      <c r="B20" s="828"/>
      <c r="C20" s="834"/>
      <c r="D20" s="838"/>
      <c r="E20" s="835"/>
      <c r="F20" s="835"/>
      <c r="G20" s="835"/>
      <c r="H20" s="834"/>
      <c r="I20" s="838"/>
      <c r="J20" s="835"/>
      <c r="K20" s="835"/>
      <c r="L20" s="835"/>
      <c r="M20" s="834"/>
      <c r="N20" s="838"/>
      <c r="O20" s="835"/>
      <c r="P20" s="835"/>
      <c r="Q20" s="835"/>
      <c r="R20" s="834"/>
      <c r="S20" s="838"/>
      <c r="T20" s="828"/>
      <c r="U20" s="870">
        <f ca="1">+U9</f>
        <v>1.8000000000000002E-2</v>
      </c>
    </row>
    <row r="21" spans="2:25" ht="14.25">
      <c r="B21" s="892" t="s">
        <v>1127</v>
      </c>
      <c r="C21" s="891"/>
      <c r="D21" s="890">
        <f>ROUND(+((((C22/C23)-E9)/G9)*(C23/C10))*(0-100),2)</f>
        <v>0.06</v>
      </c>
      <c r="E21" s="893"/>
      <c r="F21" s="893"/>
      <c r="G21" s="893"/>
      <c r="H21" s="891"/>
      <c r="I21" s="890">
        <f>ROUND(+((((H22/H23)-J9)/L9)*(H23/H10))*(0-100),2)</f>
        <v>-0.33</v>
      </c>
      <c r="J21" s="893"/>
      <c r="K21" s="893"/>
      <c r="L21" s="893"/>
      <c r="M21" s="891"/>
      <c r="N21" s="890">
        <f>ROUND(+((((M22/M23)-O9)/Q9)*(M23/M10))*(0-100),2)</f>
        <v>0</v>
      </c>
      <c r="O21" s="893"/>
      <c r="P21" s="893"/>
      <c r="Q21" s="893"/>
      <c r="R21" s="891"/>
      <c r="S21" s="890">
        <f ca="1">ROUND(+((((R22/R23)-T9)/V9)*(R23/R10))*(0-100),2)</f>
        <v>0</v>
      </c>
      <c r="T21" s="828"/>
      <c r="U21" s="547">
        <f ca="1">+U20+U19</f>
        <v>1.0491922411121901E-2</v>
      </c>
      <c r="V21" s="876">
        <f ca="1">+V9</f>
        <v>0.47539999999999999</v>
      </c>
      <c r="W21" s="876">
        <f ca="1">+U21/V21</f>
        <v>2.206967272007131E-2</v>
      </c>
      <c r="X21" s="876">
        <f ca="1">+R19/R10</f>
        <v>4.2901481370021456E-2</v>
      </c>
      <c r="Y21" s="547">
        <f ca="1">-(+W21*X21)</f>
        <v>-9.4682165304261004E-4</v>
      </c>
    </row>
    <row r="22" spans="2:25" ht="14.25">
      <c r="B22" s="855" t="s">
        <v>1128</v>
      </c>
      <c r="C22" s="834">
        <v>7800.5030962222008</v>
      </c>
      <c r="D22" s="838"/>
      <c r="E22" s="846"/>
      <c r="F22" s="846"/>
      <c r="G22" s="846"/>
      <c r="H22" s="834">
        <v>10664.6411370648</v>
      </c>
      <c r="I22" s="838"/>
      <c r="J22" s="846"/>
      <c r="K22" s="846"/>
      <c r="L22" s="846"/>
      <c r="M22" s="834">
        <v>928.96128642240001</v>
      </c>
      <c r="N22" s="838"/>
      <c r="O22" s="846"/>
      <c r="P22" s="846"/>
      <c r="Q22" s="846"/>
      <c r="R22" s="834">
        <f ca="1">+-Report!V124</f>
        <v>4586.5068196499997</v>
      </c>
      <c r="S22" s="838"/>
      <c r="T22" s="828"/>
      <c r="V22" s="877"/>
      <c r="W22" s="877"/>
      <c r="X22" s="877"/>
      <c r="Y22" s="877"/>
    </row>
    <row r="23" spans="2:25" ht="14.25">
      <c r="B23" s="855" t="s">
        <v>1126</v>
      </c>
      <c r="C23" s="834">
        <v>129571.12699999999</v>
      </c>
      <c r="E23" s="835"/>
      <c r="F23" s="846"/>
      <c r="G23" s="846"/>
      <c r="H23" s="834">
        <v>176018.60003999999</v>
      </c>
      <c r="J23" s="835"/>
      <c r="K23" s="846"/>
      <c r="L23" s="846"/>
      <c r="M23" s="834">
        <v>15884.766186923081</v>
      </c>
      <c r="O23" s="835"/>
      <c r="P23" s="846"/>
      <c r="Q23" s="846"/>
      <c r="R23" s="854">
        <f ca="1">+-Report!T74</f>
        <v>82489.75537538463</v>
      </c>
      <c r="T23" s="835">
        <f ca="1">+R23*0.547</f>
        <v>45121.896190335399</v>
      </c>
      <c r="U23" s="706">
        <f ca="1">+R22/R23</f>
        <v>5.5600926427509287E-2</v>
      </c>
      <c r="V23" s="877"/>
      <c r="W23" s="877"/>
      <c r="X23" s="877"/>
      <c r="Y23" s="877"/>
    </row>
    <row r="24" spans="2:25" ht="14.25">
      <c r="B24" s="828"/>
      <c r="C24" s="867">
        <f>(((C22/C23)-F9)/G9)/100</f>
        <v>9.4801294190389172E-4</v>
      </c>
      <c r="E24" s="835"/>
      <c r="F24" s="835"/>
      <c r="G24" s="835"/>
      <c r="H24" s="867">
        <f>(((H22/H23)-K9)/L9)/100</f>
        <v>9.8162976897685759E-4</v>
      </c>
      <c r="J24" s="835"/>
      <c r="K24" s="835"/>
      <c r="L24" s="835"/>
      <c r="M24" s="867">
        <f>(((M22/M23)-P9)/Q9)/100</f>
        <v>9.8498515649889161E-4</v>
      </c>
      <c r="O24" s="835"/>
      <c r="P24" s="835"/>
      <c r="Q24" s="835"/>
      <c r="R24" s="867">
        <f ca="1">(((R22/R23)-U9)/V9)</f>
        <v>7.9093240276628701E-2</v>
      </c>
      <c r="T24" s="835">
        <f ca="1">+T23*0.099</f>
        <v>4467.067722843205</v>
      </c>
      <c r="U24" s="870">
        <f ca="1">+T9</f>
        <v>5.5209000000000001E-2</v>
      </c>
      <c r="V24" s="877"/>
      <c r="W24" s="877"/>
      <c r="X24" s="877"/>
      <c r="Y24" s="877"/>
    </row>
    <row r="25" spans="2:25" ht="14.25">
      <c r="B25" s="828"/>
      <c r="C25" s="834"/>
      <c r="D25" s="835"/>
      <c r="E25" s="835"/>
      <c r="F25" s="835"/>
      <c r="G25" s="835"/>
      <c r="H25" s="834"/>
      <c r="I25" s="835"/>
      <c r="J25" s="835"/>
      <c r="K25" s="835"/>
      <c r="L25" s="835"/>
      <c r="M25" s="834"/>
      <c r="N25" s="835"/>
      <c r="O25" s="835"/>
      <c r="P25" s="835"/>
      <c r="Q25" s="835"/>
      <c r="R25" s="834"/>
      <c r="S25" s="835"/>
      <c r="T25" s="828"/>
      <c r="U25" s="547">
        <f ca="1">+U23-U24</f>
        <v>3.9192642750928569E-4</v>
      </c>
      <c r="V25" s="876">
        <f ca="1">+V9</f>
        <v>0.47539999999999999</v>
      </c>
      <c r="W25" s="876">
        <f ca="1">+U25/V25</f>
        <v>8.2441402505108478E-4</v>
      </c>
      <c r="X25" s="876">
        <f ca="1">+R23/R10</f>
        <v>3.7125655224471983E-2</v>
      </c>
      <c r="Y25" s="547">
        <f ca="1">-(+W25*X25)</f>
        <v>-3.0606910856265783E-5</v>
      </c>
    </row>
    <row r="26" spans="2:25" ht="14.25">
      <c r="B26" s="885" t="s">
        <v>1129</v>
      </c>
      <c r="C26" s="886">
        <v>3616.8904299999999</v>
      </c>
      <c r="D26" s="888">
        <f>ROUND((-C26)/43/100,2)</f>
        <v>-0.84</v>
      </c>
      <c r="E26" s="887"/>
      <c r="F26" s="887"/>
      <c r="G26" s="887"/>
      <c r="H26" s="886">
        <v>3280.0813499999995</v>
      </c>
      <c r="I26" s="888">
        <f>ROUND((-H26)/50/100,2)</f>
        <v>-0.66</v>
      </c>
      <c r="J26" s="887"/>
      <c r="K26" s="887"/>
      <c r="L26" s="887"/>
      <c r="M26" s="886">
        <v>3731.5337100000002</v>
      </c>
      <c r="N26" s="888">
        <f>ROUND((-M26)/65/100,2)</f>
        <v>-0.56999999999999995</v>
      </c>
      <c r="O26" s="887"/>
      <c r="P26" s="887"/>
      <c r="Q26" s="887"/>
      <c r="R26" s="886">
        <f ca="1">+IncomeStmt!F28</f>
        <v>3864.7</v>
      </c>
      <c r="S26" s="888">
        <f ca="1">ROUND((-R26)/$X$34/100,2)</f>
        <v>-0.46</v>
      </c>
      <c r="T26" s="828">
        <v>83</v>
      </c>
    </row>
    <row r="27" spans="2:25" ht="14.25">
      <c r="B27" s="828"/>
      <c r="C27" s="834"/>
      <c r="D27" s="838"/>
      <c r="E27" s="835"/>
      <c r="F27" s="835"/>
      <c r="G27" s="835"/>
      <c r="H27" s="834"/>
      <c r="I27" s="838"/>
      <c r="J27" s="835"/>
      <c r="K27" s="835"/>
      <c r="L27" s="835"/>
      <c r="M27" s="834"/>
      <c r="N27" s="838"/>
      <c r="O27" s="835"/>
      <c r="P27" s="835"/>
      <c r="Q27" s="835"/>
      <c r="R27" s="834"/>
      <c r="S27" s="838"/>
      <c r="T27" s="828"/>
    </row>
    <row r="28" spans="2:25" ht="14.25" hidden="1">
      <c r="B28" s="828"/>
      <c r="C28" s="834"/>
      <c r="D28" s="835"/>
      <c r="E28" s="835"/>
      <c r="F28" s="835"/>
      <c r="G28" s="835"/>
      <c r="H28" s="834"/>
      <c r="I28" s="835"/>
      <c r="J28" s="835"/>
      <c r="K28" s="835"/>
      <c r="L28" s="835"/>
      <c r="M28" s="834"/>
      <c r="N28" s="835"/>
      <c r="O28" s="835"/>
      <c r="P28" s="835"/>
      <c r="Q28" s="835"/>
      <c r="R28" s="834"/>
      <c r="S28" s="838"/>
      <c r="T28" s="828"/>
      <c r="U28" s="547">
        <f ca="1">+U23</f>
        <v>5.5600926427509287E-2</v>
      </c>
    </row>
    <row r="29" spans="2:25" ht="14.25" hidden="1">
      <c r="B29" s="875" t="s">
        <v>1130</v>
      </c>
      <c r="C29" s="872"/>
      <c r="D29" s="874"/>
      <c r="E29" s="874"/>
      <c r="F29" s="874"/>
      <c r="G29" s="874"/>
      <c r="H29" s="872"/>
      <c r="I29" s="874"/>
      <c r="J29" s="874"/>
      <c r="K29" s="874"/>
      <c r="L29" s="874"/>
      <c r="M29" s="872"/>
      <c r="N29" s="874"/>
      <c r="O29" s="874"/>
      <c r="P29" s="874"/>
      <c r="Q29" s="874"/>
      <c r="R29" s="872">
        <f ca="1">+-(IncomeStmt!F40*'Input Tax Rate'!B37)+IncomeStmt!F30</f>
        <v>5629.4228450000001</v>
      </c>
      <c r="S29" s="873">
        <f ca="1">ROUND((-R29)/83/100,2)*0</f>
        <v>0</v>
      </c>
      <c r="T29" s="828"/>
      <c r="U29" s="884">
        <v>-1.4041E-2</v>
      </c>
    </row>
    <row r="30" spans="2:25" ht="14.25" hidden="1">
      <c r="B30" s="828"/>
      <c r="C30" s="834"/>
      <c r="D30" s="835"/>
      <c r="E30" s="835"/>
      <c r="F30" s="835"/>
      <c r="G30" s="835"/>
      <c r="H30" s="834"/>
      <c r="I30" s="835"/>
      <c r="J30" s="835"/>
      <c r="K30" s="835"/>
      <c r="L30" s="835"/>
      <c r="M30" s="834"/>
      <c r="N30" s="835"/>
      <c r="O30" s="835"/>
      <c r="P30" s="835"/>
      <c r="Q30" s="835"/>
      <c r="R30" s="834"/>
      <c r="S30" s="838"/>
      <c r="T30" s="828"/>
      <c r="U30" s="547">
        <f ca="1">+U28+U29</f>
        <v>4.1559926427509289E-2</v>
      </c>
      <c r="V30" s="745">
        <f ca="1">+U30/V9</f>
        <v>8.742096429850503E-2</v>
      </c>
    </row>
    <row r="31" spans="2:25" ht="14.25">
      <c r="B31" s="879" t="s">
        <v>1131</v>
      </c>
      <c r="C31" s="880"/>
      <c r="D31" s="882">
        <f>(+E15-D15)*100</f>
        <v>-0.29154264137496305</v>
      </c>
      <c r="E31" s="881"/>
      <c r="F31" s="881"/>
      <c r="G31" s="881"/>
      <c r="H31" s="880"/>
      <c r="I31" s="882">
        <f>(+J15-I15)*100</f>
        <v>-0.10927262755539013</v>
      </c>
      <c r="J31" s="881"/>
      <c r="K31" s="881"/>
      <c r="L31" s="881"/>
      <c r="M31" s="880"/>
      <c r="N31" s="882">
        <f>(+O15-N15)*100</f>
        <v>-8.9554073670169987E-2</v>
      </c>
      <c r="O31" s="881"/>
      <c r="P31" s="881"/>
      <c r="Q31" s="881"/>
      <c r="R31" s="880"/>
      <c r="S31" s="882">
        <f ca="1">(+T15-S15)*100</f>
        <v>9.3252481583017133E-2</v>
      </c>
      <c r="T31" s="828"/>
    </row>
    <row r="32" spans="2:25" ht="14.25">
      <c r="B32" s="828"/>
      <c r="C32" s="834"/>
      <c r="D32" s="835"/>
      <c r="E32" s="835"/>
      <c r="F32" s="835"/>
      <c r="G32" s="835"/>
      <c r="H32" s="834"/>
      <c r="I32" s="835"/>
      <c r="J32" s="835"/>
      <c r="K32" s="835"/>
      <c r="L32" s="835"/>
      <c r="M32" s="834"/>
      <c r="N32" s="835"/>
      <c r="O32" s="835"/>
      <c r="P32" s="835"/>
      <c r="Q32" s="835"/>
      <c r="R32" s="834"/>
      <c r="S32" s="838"/>
      <c r="T32" s="828"/>
    </row>
    <row r="33" spans="1:24" ht="12.75" customHeight="1">
      <c r="A33" s="828"/>
      <c r="B33" s="828"/>
      <c r="C33" s="834"/>
      <c r="D33" s="838"/>
      <c r="E33" s="838"/>
      <c r="F33" s="838"/>
      <c r="G33" s="838"/>
      <c r="H33" s="834"/>
      <c r="I33" s="838"/>
      <c r="J33" s="838"/>
      <c r="K33" s="838"/>
      <c r="L33" s="838"/>
      <c r="M33" s="834"/>
      <c r="N33" s="838"/>
      <c r="O33" s="838"/>
      <c r="P33" s="838"/>
      <c r="Q33" s="838"/>
      <c r="R33" s="834"/>
      <c r="S33" s="838"/>
      <c r="T33" s="828"/>
      <c r="W33" s="541" t="s">
        <v>1256</v>
      </c>
      <c r="X33" s="837">
        <f ca="1">AVERAGE('COMP to Final Bud'!O15,'COMP to 2+10F'!O15,'COMP to 5+7F'!O15,'COMP to 6+6F'!O15,'COMP to 7+5F'!O15,'COMP to Prior 8+4F'!O15,'COMP to Orig Bud'!O15)</f>
        <v>1742.4895596430745</v>
      </c>
    </row>
    <row r="34" spans="1:24" ht="15.2" customHeight="1">
      <c r="A34" s="828"/>
      <c r="B34" s="831" t="s">
        <v>1132</v>
      </c>
      <c r="C34" s="834"/>
      <c r="D34" s="838"/>
      <c r="E34" s="838"/>
      <c r="F34" s="838"/>
      <c r="G34" s="838"/>
      <c r="H34" s="834"/>
      <c r="I34" s="838"/>
      <c r="J34" s="838"/>
      <c r="K34" s="838"/>
      <c r="L34" s="838"/>
      <c r="M34" s="834"/>
      <c r="N34" s="838"/>
      <c r="O34" s="838"/>
      <c r="P34" s="838"/>
      <c r="Q34" s="838"/>
      <c r="R34" s="834"/>
      <c r="S34" s="838"/>
      <c r="T34" s="828"/>
      <c r="W34" s="541" t="s">
        <v>1257</v>
      </c>
      <c r="X34" s="837">
        <f ca="1">-AVERAGE('COMP to Final Bud'!O17,'COMP to 2+10F'!O17,'COMP to 5+7F'!O17,'COMP to 6+6F'!O17,'COMP to 7+5F'!O17,'COMP to Prior 8+4F'!O17,'COMP to Orig Bud'!O17)</f>
        <v>84.598091195607211</v>
      </c>
    </row>
    <row r="35" spans="1:24" ht="15.2" customHeight="1">
      <c r="B35" s="828" t="s">
        <v>38</v>
      </c>
      <c r="C35" s="834">
        <v>1939.5515500000001</v>
      </c>
      <c r="D35" s="838">
        <f t="shared" ref="D35:D46" si="0">ROUND((C35)/650/100,2)</f>
        <v>0.03</v>
      </c>
      <c r="E35" s="838"/>
      <c r="F35" s="838"/>
      <c r="G35" s="838"/>
      <c r="H35" s="834">
        <v>1939.5515500000001</v>
      </c>
      <c r="I35" s="838">
        <f t="shared" ref="I35:I49" si="1">ROUND((H35)/1000/100,2)</f>
        <v>0.02</v>
      </c>
      <c r="J35" s="838"/>
      <c r="K35" s="838"/>
      <c r="L35" s="838"/>
      <c r="M35" s="834">
        <v>1939.5739115384613</v>
      </c>
      <c r="N35" s="838">
        <f>ROUND((M35)/1200/100,2)</f>
        <v>0.02</v>
      </c>
      <c r="O35" s="838"/>
      <c r="P35" s="838"/>
      <c r="Q35" s="838"/>
      <c r="R35" s="834">
        <f ca="1">+-Report!T58</f>
        <v>1939.5962730769227</v>
      </c>
      <c r="S35" s="838">
        <f ca="1">ROUND((R35)/$X$33/100,2)</f>
        <v>0.01</v>
      </c>
      <c r="T35" s="834"/>
      <c r="U35" s="838"/>
    </row>
    <row r="36" spans="1:24" ht="15.2" customHeight="1">
      <c r="B36" s="828" t="s">
        <v>47</v>
      </c>
      <c r="C36" s="834">
        <v>2.95</v>
      </c>
      <c r="D36" s="838">
        <f t="shared" si="0"/>
        <v>0</v>
      </c>
      <c r="E36" s="838"/>
      <c r="F36" s="838"/>
      <c r="G36" s="838"/>
      <c r="H36" s="834">
        <v>2.95</v>
      </c>
      <c r="I36" s="838">
        <f t="shared" si="1"/>
        <v>0</v>
      </c>
      <c r="J36" s="838"/>
      <c r="K36" s="838"/>
      <c r="L36" s="838"/>
      <c r="M36" s="834">
        <v>1.5884615384615384</v>
      </c>
      <c r="N36" s="838">
        <f t="shared" ref="N36:N49" si="2">ROUND((M36)/1200/100,2)</f>
        <v>0</v>
      </c>
      <c r="O36" s="838"/>
      <c r="P36" s="838"/>
      <c r="Q36" s="838"/>
      <c r="R36" s="834">
        <v>0</v>
      </c>
      <c r="S36" s="838">
        <f t="shared" ref="S36:S49" ca="1" si="3">ROUND((R36)/$X$33/100,2)</f>
        <v>0</v>
      </c>
      <c r="T36" s="834"/>
      <c r="U36" s="838"/>
    </row>
    <row r="37" spans="1:24" ht="15.2" customHeight="1">
      <c r="B37" s="828" t="s">
        <v>48</v>
      </c>
      <c r="C37" s="834">
        <v>0</v>
      </c>
      <c r="D37" s="838">
        <f t="shared" si="0"/>
        <v>0</v>
      </c>
      <c r="E37" s="838"/>
      <c r="F37" s="838"/>
      <c r="G37" s="838"/>
      <c r="H37" s="834">
        <v>1497.4164084615384</v>
      </c>
      <c r="I37" s="838">
        <f t="shared" si="1"/>
        <v>0.01</v>
      </c>
      <c r="J37" s="838"/>
      <c r="K37" s="838"/>
      <c r="L37" s="838"/>
      <c r="M37" s="834">
        <v>9892.5656038461548</v>
      </c>
      <c r="N37" s="838">
        <f t="shared" si="2"/>
        <v>0.08</v>
      </c>
      <c r="O37" s="838"/>
      <c r="P37" s="838"/>
      <c r="Q37" s="838"/>
      <c r="R37" s="834">
        <f ca="1">+-Report!T61</f>
        <v>10078.251204615386</v>
      </c>
      <c r="S37" s="838">
        <f t="shared" ca="1" si="3"/>
        <v>0.06</v>
      </c>
      <c r="T37" s="834"/>
      <c r="U37" s="838"/>
      <c r="V37" s="834"/>
    </row>
    <row r="38" spans="1:24" ht="15.2" customHeight="1">
      <c r="B38" s="828" t="s">
        <v>49</v>
      </c>
      <c r="C38" s="834">
        <v>1729.0450830769228</v>
      </c>
      <c r="D38" s="838">
        <f t="shared" si="0"/>
        <v>0.03</v>
      </c>
      <c r="E38" s="838"/>
      <c r="F38" s="838"/>
      <c r="G38" s="838"/>
      <c r="H38" s="834">
        <v>1254.8316684615384</v>
      </c>
      <c r="I38" s="838">
        <f t="shared" si="1"/>
        <v>0.01</v>
      </c>
      <c r="J38" s="838"/>
      <c r="K38" s="838"/>
      <c r="L38" s="838"/>
      <c r="M38" s="834">
        <v>333.55803769230766</v>
      </c>
      <c r="N38" s="838">
        <f t="shared" si="2"/>
        <v>0</v>
      </c>
      <c r="O38" s="838"/>
      <c r="P38" s="838"/>
      <c r="Q38" s="838"/>
      <c r="R38" s="834">
        <f ca="1">+-Report!T62</f>
        <v>821.61441384615364</v>
      </c>
      <c r="S38" s="838">
        <f t="shared" ca="1" si="3"/>
        <v>0</v>
      </c>
      <c r="T38" s="834"/>
      <c r="U38" s="839"/>
      <c r="W38" s="834"/>
    </row>
    <row r="39" spans="1:24" ht="15.2" customHeight="1">
      <c r="B39" s="828" t="s">
        <v>27</v>
      </c>
      <c r="C39" s="834">
        <v>833.73576730000036</v>
      </c>
      <c r="D39" s="838">
        <f t="shared" si="0"/>
        <v>0.01</v>
      </c>
      <c r="E39" s="838"/>
      <c r="F39" s="838"/>
      <c r="G39" s="838"/>
      <c r="H39" s="834">
        <v>836.91173436282634</v>
      </c>
      <c r="I39" s="838">
        <f t="shared" si="1"/>
        <v>0.01</v>
      </c>
      <c r="J39" s="838"/>
      <c r="K39" s="838"/>
      <c r="L39" s="838"/>
      <c r="M39" s="834">
        <v>896.68184759603946</v>
      </c>
      <c r="N39" s="838">
        <f t="shared" si="2"/>
        <v>0.01</v>
      </c>
      <c r="O39" s="838"/>
      <c r="P39" s="838"/>
      <c r="Q39" s="838"/>
      <c r="R39" s="834">
        <f ca="1">+-Report!T63</f>
        <v>950.04631906513714</v>
      </c>
      <c r="S39" s="838">
        <f t="shared" ca="1" si="3"/>
        <v>0.01</v>
      </c>
      <c r="T39" s="834"/>
      <c r="U39" s="839"/>
      <c r="W39" s="834"/>
    </row>
    <row r="40" spans="1:24" ht="15.2" customHeight="1">
      <c r="B40" s="828" t="s">
        <v>50</v>
      </c>
      <c r="C40" s="834">
        <v>2113.2950315384614</v>
      </c>
      <c r="D40" s="838">
        <f t="shared" si="0"/>
        <v>0.03</v>
      </c>
      <c r="E40" s="838"/>
      <c r="F40" s="838"/>
      <c r="G40" s="838"/>
      <c r="H40" s="834">
        <v>2188.1319815384613</v>
      </c>
      <c r="I40" s="838">
        <f t="shared" si="1"/>
        <v>0.02</v>
      </c>
      <c r="J40" s="838"/>
      <c r="K40" s="838"/>
      <c r="L40" s="838"/>
      <c r="M40" s="834">
        <v>3900.5374723076925</v>
      </c>
      <c r="N40" s="838">
        <f t="shared" si="2"/>
        <v>0.03</v>
      </c>
      <c r="O40" s="838"/>
      <c r="P40" s="838"/>
      <c r="Q40" s="838"/>
      <c r="R40" s="834">
        <f ca="1">+-Report!T64</f>
        <v>349.48033615384617</v>
      </c>
      <c r="S40" s="838">
        <f t="shared" ca="1" si="3"/>
        <v>0</v>
      </c>
      <c r="T40" s="834"/>
      <c r="U40" s="839"/>
      <c r="W40" s="834"/>
    </row>
    <row r="41" spans="1:24" ht="15.2" customHeight="1">
      <c r="B41" s="828" t="s">
        <v>51</v>
      </c>
      <c r="C41" s="834">
        <v>0</v>
      </c>
      <c r="D41" s="838">
        <f t="shared" si="0"/>
        <v>0</v>
      </c>
      <c r="E41" s="838"/>
      <c r="F41" s="838"/>
      <c r="G41" s="838"/>
      <c r="H41" s="834">
        <v>0</v>
      </c>
      <c r="I41" s="838">
        <f t="shared" si="1"/>
        <v>0</v>
      </c>
      <c r="J41" s="838"/>
      <c r="K41" s="838"/>
      <c r="L41" s="838"/>
      <c r="M41" s="834">
        <v>0</v>
      </c>
      <c r="N41" s="838">
        <f t="shared" si="2"/>
        <v>0</v>
      </c>
      <c r="O41" s="838"/>
      <c r="P41" s="838"/>
      <c r="Q41" s="838"/>
      <c r="R41" s="834">
        <f ca="1">+-Report!T65</f>
        <v>656.67635230768735</v>
      </c>
      <c r="S41" s="838">
        <f t="shared" ca="1" si="3"/>
        <v>0</v>
      </c>
      <c r="T41" s="834"/>
      <c r="U41" s="839"/>
      <c r="W41" s="834"/>
    </row>
    <row r="42" spans="1:24" ht="15.2" customHeight="1">
      <c r="B42" s="828" t="s">
        <v>52</v>
      </c>
      <c r="C42" s="834">
        <v>0</v>
      </c>
      <c r="D42" s="838">
        <f t="shared" si="0"/>
        <v>0</v>
      </c>
      <c r="E42" s="838"/>
      <c r="F42" s="838"/>
      <c r="G42" s="838"/>
      <c r="H42" s="834">
        <v>0</v>
      </c>
      <c r="I42" s="838">
        <f t="shared" si="1"/>
        <v>0</v>
      </c>
      <c r="J42" s="838"/>
      <c r="K42" s="838"/>
      <c r="L42" s="838"/>
      <c r="M42" s="834">
        <v>-2084.3020000000001</v>
      </c>
      <c r="N42" s="838">
        <f t="shared" si="2"/>
        <v>-0.02</v>
      </c>
      <c r="O42" s="838"/>
      <c r="P42" s="838"/>
      <c r="Q42" s="838"/>
      <c r="R42" s="834">
        <v>0</v>
      </c>
      <c r="S42" s="838">
        <f t="shared" ca="1" si="3"/>
        <v>0</v>
      </c>
      <c r="T42" s="834"/>
      <c r="U42" s="839"/>
      <c r="W42" s="834"/>
    </row>
    <row r="43" spans="1:24" ht="15.2" customHeight="1">
      <c r="B43" s="828" t="s">
        <v>53</v>
      </c>
      <c r="C43" s="834">
        <v>2808.9638461538457</v>
      </c>
      <c r="D43" s="838">
        <f t="shared" si="0"/>
        <v>0.04</v>
      </c>
      <c r="E43" s="838"/>
      <c r="F43" s="838"/>
      <c r="G43" s="838"/>
      <c r="H43" s="834">
        <v>1585.1291538461539</v>
      </c>
      <c r="I43" s="838">
        <f t="shared" si="1"/>
        <v>0.02</v>
      </c>
      <c r="J43" s="838"/>
      <c r="K43" s="838"/>
      <c r="L43" s="838"/>
      <c r="M43" s="834">
        <v>480.01299999999992</v>
      </c>
      <c r="N43" s="838">
        <f t="shared" si="2"/>
        <v>0</v>
      </c>
      <c r="O43" s="838"/>
      <c r="P43" s="838"/>
      <c r="Q43" s="838"/>
      <c r="R43" s="834">
        <v>0</v>
      </c>
      <c r="S43" s="838">
        <f t="shared" ca="1" si="3"/>
        <v>0</v>
      </c>
      <c r="T43" s="834"/>
      <c r="U43" s="839"/>
      <c r="W43" s="834"/>
    </row>
    <row r="44" spans="1:24" ht="15.2" customHeight="1">
      <c r="B44" s="828" t="s">
        <v>54</v>
      </c>
      <c r="C44" s="834">
        <v>827.94361538461544</v>
      </c>
      <c r="D44" s="838">
        <f t="shared" si="0"/>
        <v>0.01</v>
      </c>
      <c r="E44" s="838"/>
      <c r="F44" s="838"/>
      <c r="G44" s="838"/>
      <c r="H44" s="834">
        <v>3107.3801538461535</v>
      </c>
      <c r="I44" s="838">
        <f t="shared" si="1"/>
        <v>0.03</v>
      </c>
      <c r="J44" s="838"/>
      <c r="K44" s="838"/>
      <c r="L44" s="838"/>
      <c r="M44" s="834">
        <v>2096.7083846153846</v>
      </c>
      <c r="N44" s="838">
        <f t="shared" si="2"/>
        <v>0.02</v>
      </c>
      <c r="O44" s="838"/>
      <c r="P44" s="838"/>
      <c r="Q44" s="838"/>
      <c r="R44" s="834">
        <v>0</v>
      </c>
      <c r="S44" s="838">
        <f t="shared" ca="1" si="3"/>
        <v>0</v>
      </c>
      <c r="T44" s="834"/>
      <c r="U44" s="839"/>
      <c r="W44" s="834"/>
    </row>
    <row r="45" spans="1:24" ht="15.2" customHeight="1">
      <c r="B45" s="828" t="s">
        <v>55</v>
      </c>
      <c r="C45" s="834">
        <v>2931.2225930769227</v>
      </c>
      <c r="D45" s="838">
        <f t="shared" si="0"/>
        <v>0.05</v>
      </c>
      <c r="E45" s="838"/>
      <c r="F45" s="838"/>
      <c r="G45" s="838"/>
      <c r="H45" s="834">
        <v>3060.7063846153846</v>
      </c>
      <c r="I45" s="838">
        <f t="shared" si="1"/>
        <v>0.03</v>
      </c>
      <c r="J45" s="838"/>
      <c r="K45" s="838"/>
      <c r="L45" s="838"/>
      <c r="M45" s="834">
        <v>3275.3941753846157</v>
      </c>
      <c r="N45" s="838">
        <f t="shared" si="2"/>
        <v>0.03</v>
      </c>
      <c r="O45" s="838"/>
      <c r="P45" s="838"/>
      <c r="Q45" s="838"/>
      <c r="R45" s="834">
        <f ca="1">+-Report!T69</f>
        <v>3434.0594876923083</v>
      </c>
      <c r="S45" s="838">
        <f t="shared" ca="1" si="3"/>
        <v>0.02</v>
      </c>
      <c r="T45" s="834"/>
      <c r="U45" s="839"/>
      <c r="W45" s="834"/>
    </row>
    <row r="46" spans="1:24" ht="15.2" customHeight="1">
      <c r="B46" s="828" t="s">
        <v>56</v>
      </c>
      <c r="C46" s="834">
        <v>0</v>
      </c>
      <c r="D46" s="838">
        <f t="shared" si="0"/>
        <v>0</v>
      </c>
      <c r="E46" s="838"/>
      <c r="F46" s="838"/>
      <c r="G46" s="838"/>
      <c r="H46" s="834">
        <v>31.549970769230768</v>
      </c>
      <c r="I46" s="838">
        <f t="shared" si="1"/>
        <v>0</v>
      </c>
      <c r="J46" s="838"/>
      <c r="K46" s="838"/>
      <c r="L46" s="838"/>
      <c r="M46" s="834">
        <v>1052.9981476923076</v>
      </c>
      <c r="N46" s="838">
        <f t="shared" si="2"/>
        <v>0.01</v>
      </c>
      <c r="O46" s="838"/>
      <c r="P46" s="838"/>
      <c r="Q46" s="838"/>
      <c r="R46" s="834">
        <f ca="1">+-Report!T70</f>
        <v>332.51357076923074</v>
      </c>
      <c r="S46" s="838">
        <f t="shared" ca="1" si="3"/>
        <v>0</v>
      </c>
      <c r="T46" s="834"/>
      <c r="U46" s="839"/>
      <c r="W46" s="834"/>
    </row>
    <row r="47" spans="1:24" ht="15.2" hidden="1" customHeight="1">
      <c r="B47" s="889" t="s">
        <v>28</v>
      </c>
      <c r="C47" s="891">
        <v>129571.12699999999</v>
      </c>
      <c r="D47" s="890">
        <f>ROUND((C47)/650/100,2)*0</f>
        <v>0</v>
      </c>
      <c r="E47" s="890"/>
      <c r="F47" s="890"/>
      <c r="G47" s="890"/>
      <c r="H47" s="891">
        <v>176018.60003999999</v>
      </c>
      <c r="I47" s="890">
        <f>ROUND((H47)/1000/100,2)*0</f>
        <v>0</v>
      </c>
      <c r="J47" s="890"/>
      <c r="K47" s="890"/>
      <c r="L47" s="890"/>
      <c r="M47" s="891">
        <v>15884.766186923081</v>
      </c>
      <c r="N47" s="890">
        <f>ROUND((M47)/1200/100,2)*0</f>
        <v>0</v>
      </c>
      <c r="O47" s="890"/>
      <c r="P47" s="890"/>
      <c r="Q47" s="890"/>
      <c r="R47" s="891">
        <f ca="1">+-Report!T74</f>
        <v>82489.75537538463</v>
      </c>
      <c r="S47" s="890"/>
      <c r="T47" s="834"/>
      <c r="U47" s="839"/>
      <c r="W47" s="834"/>
    </row>
    <row r="48" spans="1:24" ht="15.2" hidden="1" customHeight="1">
      <c r="B48" s="894" t="s">
        <v>733</v>
      </c>
      <c r="C48" s="895">
        <v>10812.21263582509</v>
      </c>
      <c r="D48" s="896">
        <f>ROUND((C48)/650/100,2)*0</f>
        <v>0</v>
      </c>
      <c r="E48" s="896"/>
      <c r="F48" s="896"/>
      <c r="G48" s="896"/>
      <c r="H48" s="895">
        <v>69773.335063846142</v>
      </c>
      <c r="I48" s="896">
        <f>ROUND((H48)/1000/100,2)*0</f>
        <v>0</v>
      </c>
      <c r="J48" s="896"/>
      <c r="K48" s="896"/>
      <c r="L48" s="896"/>
      <c r="M48" s="895">
        <v>73643.177210769209</v>
      </c>
      <c r="N48" s="896">
        <f>ROUND((M48)/1200/100,2)*0</f>
        <v>0</v>
      </c>
      <c r="O48" s="896"/>
      <c r="P48" s="896"/>
      <c r="Q48" s="896"/>
      <c r="R48" s="895">
        <f ca="1">+-Report!T75</f>
        <v>95323.104253846162</v>
      </c>
      <c r="S48" s="896"/>
      <c r="T48" s="834"/>
      <c r="U48" s="839"/>
      <c r="W48" s="834"/>
    </row>
    <row r="49" spans="1:262" ht="15.2" customHeight="1">
      <c r="B49" s="828" t="s">
        <v>57</v>
      </c>
      <c r="C49" s="854">
        <v>1214.1061353846153</v>
      </c>
      <c r="D49" s="838">
        <f>ROUND((C49)/650/100,2)</f>
        <v>0.02</v>
      </c>
      <c r="E49" s="838"/>
      <c r="F49" s="838"/>
      <c r="G49" s="838"/>
      <c r="H49" s="854">
        <v>1068.3906500000003</v>
      </c>
      <c r="I49" s="838">
        <f t="shared" si="1"/>
        <v>0.01</v>
      </c>
      <c r="J49" s="838"/>
      <c r="K49" s="838"/>
      <c r="L49" s="838"/>
      <c r="M49" s="854">
        <v>1155.7747838461537</v>
      </c>
      <c r="N49" s="838">
        <f t="shared" si="2"/>
        <v>0.01</v>
      </c>
      <c r="O49" s="838"/>
      <c r="P49" s="838"/>
      <c r="Q49" s="838"/>
      <c r="R49" s="854">
        <f ca="1">+-Report!T76</f>
        <v>1196.6926553846154</v>
      </c>
      <c r="S49" s="838">
        <f t="shared" ca="1" si="3"/>
        <v>0.01</v>
      </c>
      <c r="T49" s="834"/>
      <c r="U49" s="839"/>
      <c r="W49" s="834"/>
    </row>
    <row r="50" spans="1:262" ht="15.2" customHeight="1">
      <c r="B50" s="1"/>
      <c r="C50" s="834">
        <f>SUM(C35:C49)</f>
        <v>154784.15325774049</v>
      </c>
      <c r="D50" s="838"/>
      <c r="E50" s="838"/>
      <c r="F50" s="838"/>
      <c r="G50" s="838"/>
      <c r="H50" s="834">
        <f>SUM(H35:H49)</f>
        <v>262364.88475974742</v>
      </c>
      <c r="I50" s="838"/>
      <c r="J50" s="838"/>
      <c r="K50" s="838"/>
      <c r="L50" s="838"/>
      <c r="M50" s="834">
        <f>SUM(M35:M49)</f>
        <v>112469.03522374986</v>
      </c>
      <c r="N50" s="838"/>
      <c r="O50" s="838"/>
      <c r="P50" s="838"/>
      <c r="Q50" s="838"/>
      <c r="R50" s="834">
        <f ca="1">SUM(R35:R49)</f>
        <v>197571.7902421421</v>
      </c>
      <c r="S50" s="838"/>
      <c r="T50" s="834"/>
      <c r="U50" s="839"/>
      <c r="W50" s="834"/>
    </row>
    <row r="51" spans="1:262" ht="15.2" customHeight="1">
      <c r="B51" s="828"/>
      <c r="C51" s="834"/>
      <c r="D51" s="838"/>
      <c r="E51" s="838"/>
      <c r="F51" s="838"/>
      <c r="G51" s="838"/>
      <c r="H51" s="834"/>
      <c r="I51" s="838"/>
      <c r="J51" s="838"/>
      <c r="K51" s="838"/>
      <c r="L51" s="838"/>
      <c r="M51" s="834"/>
      <c r="N51" s="838"/>
      <c r="O51" s="838"/>
      <c r="P51" s="838"/>
      <c r="Q51" s="838"/>
      <c r="R51" s="834"/>
      <c r="S51" s="838"/>
      <c r="T51" s="834"/>
      <c r="U51" s="839"/>
      <c r="W51" s="834"/>
    </row>
    <row r="52" spans="1:262" ht="15.2" customHeight="1">
      <c r="A52" s="828"/>
      <c r="B52" s="840"/>
      <c r="C52" s="834"/>
      <c r="D52" s="838"/>
      <c r="E52" s="838"/>
      <c r="F52" s="838"/>
      <c r="G52" s="838"/>
      <c r="H52" s="834"/>
      <c r="I52" s="838"/>
      <c r="J52" s="838"/>
      <c r="K52" s="838"/>
      <c r="L52" s="838"/>
      <c r="M52" s="834"/>
      <c r="N52" s="838"/>
      <c r="O52" s="838"/>
      <c r="P52" s="838"/>
      <c r="Q52" s="838"/>
      <c r="R52" s="834"/>
      <c r="S52" s="838"/>
      <c r="T52" s="834"/>
      <c r="U52" s="839"/>
      <c r="W52" s="834"/>
    </row>
    <row r="53" spans="1:262" ht="15.2" customHeight="1">
      <c r="A53" s="828"/>
      <c r="B53" s="831" t="s">
        <v>1133</v>
      </c>
      <c r="C53" s="834"/>
      <c r="D53" s="838"/>
      <c r="E53" s="838"/>
      <c r="F53" s="838"/>
      <c r="G53" s="838"/>
      <c r="H53" s="834"/>
      <c r="I53" s="838"/>
      <c r="J53" s="838"/>
      <c r="K53" s="838"/>
      <c r="L53" s="838"/>
      <c r="M53" s="834"/>
      <c r="N53" s="838"/>
      <c r="O53" s="838"/>
      <c r="P53" s="838"/>
      <c r="Q53" s="838"/>
      <c r="R53" s="834"/>
      <c r="S53" s="838"/>
      <c r="T53" s="834"/>
      <c r="U53" s="838"/>
      <c r="V53" s="834"/>
    </row>
    <row r="54" spans="1:262" ht="15.2" customHeight="1">
      <c r="A54" s="828"/>
      <c r="B54" s="828" t="s">
        <v>80</v>
      </c>
      <c r="C54" s="834">
        <v>-28.937878391509397</v>
      </c>
      <c r="D54" s="838">
        <f t="shared" ref="D54:D62" si="4">ROUND((-C54)/43/100,2)</f>
        <v>0.01</v>
      </c>
      <c r="E54" s="838"/>
      <c r="F54" s="838"/>
      <c r="G54" s="838"/>
      <c r="H54" s="834">
        <v>-33.47171611050873</v>
      </c>
      <c r="I54" s="838">
        <f t="shared" ref="I54:I62" si="5">ROUND((-H54)/50/100,2)</f>
        <v>0.01</v>
      </c>
      <c r="J54" s="838"/>
      <c r="K54" s="838"/>
      <c r="L54" s="838"/>
      <c r="M54" s="834">
        <v>-31.254105707519564</v>
      </c>
      <c r="N54" s="838">
        <f>ROUND((-M54)/65/100,2)</f>
        <v>0</v>
      </c>
      <c r="O54" s="838"/>
      <c r="P54" s="838"/>
      <c r="Q54" s="838"/>
      <c r="R54" s="834">
        <f ca="1">+-Report!V110</f>
        <v>-28.980152780785676</v>
      </c>
      <c r="S54" s="838">
        <f ca="1">ROUND((-R54)/$X$34/100,2)</f>
        <v>0</v>
      </c>
      <c r="T54" s="834"/>
      <c r="U54" s="838"/>
      <c r="V54" s="834"/>
    </row>
    <row r="55" spans="1:262" ht="15.2" customHeight="1">
      <c r="A55" s="1"/>
      <c r="B55" s="828" t="s">
        <v>86</v>
      </c>
      <c r="C55" s="834">
        <v>429.53015525091564</v>
      </c>
      <c r="D55" s="838">
        <f t="shared" si="4"/>
        <v>-0.1</v>
      </c>
      <c r="E55" s="838"/>
      <c r="F55" s="838"/>
      <c r="G55" s="838"/>
      <c r="H55" s="834">
        <v>502.80144703905319</v>
      </c>
      <c r="I55" s="838">
        <f t="shared" si="5"/>
        <v>-0.1</v>
      </c>
      <c r="J55" s="838"/>
      <c r="K55" s="838"/>
      <c r="L55" s="838"/>
      <c r="M55" s="834">
        <v>158.29872548497175</v>
      </c>
      <c r="N55" s="838">
        <f t="shared" ref="N55:N62" si="6">ROUND((-M55)/65/100,2)</f>
        <v>-0.02</v>
      </c>
      <c r="O55" s="838"/>
      <c r="P55" s="838"/>
      <c r="Q55" s="838"/>
      <c r="R55" s="834">
        <f ca="1">+-Report!V111</f>
        <v>435.55689744836917</v>
      </c>
      <c r="S55" s="838">
        <f t="shared" ref="S55:S64" ca="1" si="7">ROUND((-R55)/$X$34/100,2)</f>
        <v>-0.05</v>
      </c>
      <c r="T55" s="834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ht="15.2" customHeight="1">
      <c r="A56" s="828"/>
      <c r="B56" s="863" t="s">
        <v>87</v>
      </c>
      <c r="C56" s="859">
        <v>0</v>
      </c>
      <c r="D56" s="864">
        <f t="shared" si="4"/>
        <v>0</v>
      </c>
      <c r="E56" s="864"/>
      <c r="F56" s="864"/>
      <c r="G56" s="864"/>
      <c r="H56" s="859">
        <v>0</v>
      </c>
      <c r="I56" s="864">
        <f t="shared" si="5"/>
        <v>0</v>
      </c>
      <c r="J56" s="864"/>
      <c r="K56" s="864"/>
      <c r="L56" s="864"/>
      <c r="M56" s="859">
        <v>-2099</v>
      </c>
      <c r="N56" s="864">
        <f t="shared" si="6"/>
        <v>0.32</v>
      </c>
      <c r="O56" s="864"/>
      <c r="P56" s="864"/>
      <c r="Q56" s="864"/>
      <c r="R56" s="859">
        <f>+-Report!V112</f>
        <v>-2099</v>
      </c>
      <c r="S56" s="864">
        <f t="shared" ca="1" si="7"/>
        <v>0.25</v>
      </c>
      <c r="T56" s="834"/>
      <c r="U56" s="838"/>
    </row>
    <row r="57" spans="1:262" ht="15.2" customHeight="1">
      <c r="A57" s="828"/>
      <c r="B57" s="828" t="s">
        <v>72</v>
      </c>
      <c r="C57" s="834">
        <v>-11.2162820955855</v>
      </c>
      <c r="D57" s="838">
        <f t="shared" si="4"/>
        <v>0</v>
      </c>
      <c r="E57" s="838"/>
      <c r="F57" s="838"/>
      <c r="G57" s="838"/>
      <c r="H57" s="834">
        <v>-13.145924412457202</v>
      </c>
      <c r="I57" s="838">
        <f t="shared" si="5"/>
        <v>0</v>
      </c>
      <c r="J57" s="838"/>
      <c r="K57" s="838"/>
      <c r="L57" s="838"/>
      <c r="M57" s="834">
        <v>-12.244006580537901</v>
      </c>
      <c r="N57" s="838">
        <f t="shared" si="6"/>
        <v>0</v>
      </c>
      <c r="O57" s="838"/>
      <c r="P57" s="838"/>
      <c r="Q57" s="838"/>
      <c r="R57" s="834">
        <f ca="1">+-Report!V114</f>
        <v>-13.437899999999999</v>
      </c>
      <c r="S57" s="838">
        <f t="shared" ca="1" si="7"/>
        <v>0</v>
      </c>
      <c r="T57" s="834"/>
      <c r="U57" s="838"/>
    </row>
    <row r="58" spans="1:262" ht="15.2" customHeight="1">
      <c r="A58" s="828"/>
      <c r="B58" s="828" t="s">
        <v>73</v>
      </c>
      <c r="C58" s="834">
        <v>-65.121056592581994</v>
      </c>
      <c r="D58" s="838">
        <f t="shared" si="4"/>
        <v>0.02</v>
      </c>
      <c r="E58" s="838"/>
      <c r="F58" s="838"/>
      <c r="G58" s="838"/>
      <c r="H58" s="834">
        <v>-53.025617865037987</v>
      </c>
      <c r="I58" s="838">
        <f t="shared" si="5"/>
        <v>0.01</v>
      </c>
      <c r="J58" s="838"/>
      <c r="K58" s="838"/>
      <c r="L58" s="838"/>
      <c r="M58" s="834">
        <v>-51.972319863137997</v>
      </c>
      <c r="N58" s="838">
        <f t="shared" si="6"/>
        <v>0.01</v>
      </c>
      <c r="O58" s="838"/>
      <c r="P58" s="838"/>
      <c r="Q58" s="838"/>
      <c r="R58" s="834">
        <f ca="1">+-Report!V115</f>
        <v>-59.108476990500002</v>
      </c>
      <c r="S58" s="838">
        <f t="shared" ca="1" si="7"/>
        <v>0.01</v>
      </c>
      <c r="T58" s="834"/>
      <c r="U58" s="838"/>
    </row>
    <row r="59" spans="1:262" ht="15.2" customHeight="1">
      <c r="A59" s="828"/>
      <c r="B59" s="828" t="s">
        <v>64</v>
      </c>
      <c r="C59" s="834">
        <v>143.98942207328219</v>
      </c>
      <c r="D59" s="838">
        <f t="shared" si="4"/>
        <v>-0.03</v>
      </c>
      <c r="E59" s="838"/>
      <c r="F59" s="838"/>
      <c r="G59" s="838"/>
      <c r="H59" s="834">
        <v>133.56389279133145</v>
      </c>
      <c r="I59" s="838">
        <f t="shared" si="5"/>
        <v>-0.03</v>
      </c>
      <c r="J59" s="838"/>
      <c r="K59" s="838"/>
      <c r="L59" s="838"/>
      <c r="M59" s="834">
        <v>86.180714202553645</v>
      </c>
      <c r="N59" s="838">
        <f t="shared" si="6"/>
        <v>-0.01</v>
      </c>
      <c r="O59" s="838"/>
      <c r="P59" s="838"/>
      <c r="Q59" s="838"/>
      <c r="R59" s="834">
        <v>0</v>
      </c>
      <c r="S59" s="838">
        <f t="shared" ca="1" si="7"/>
        <v>0</v>
      </c>
      <c r="T59" s="834"/>
      <c r="U59" s="838"/>
    </row>
    <row r="60" spans="1:262" ht="15.2" customHeight="1">
      <c r="A60" s="828"/>
      <c r="B60" s="828" t="s">
        <v>75</v>
      </c>
      <c r="C60" s="834">
        <v>-39.985551914020022</v>
      </c>
      <c r="D60" s="838">
        <f t="shared" si="4"/>
        <v>0.01</v>
      </c>
      <c r="E60" s="838"/>
      <c r="F60" s="838"/>
      <c r="G60" s="838"/>
      <c r="H60" s="834">
        <v>-25.327401659350883</v>
      </c>
      <c r="I60" s="838">
        <f t="shared" si="5"/>
        <v>0.01</v>
      </c>
      <c r="J60" s="838"/>
      <c r="K60" s="838"/>
      <c r="L60" s="838"/>
      <c r="M60" s="834">
        <v>-29.218590406528659</v>
      </c>
      <c r="N60" s="838">
        <f t="shared" si="6"/>
        <v>0</v>
      </c>
      <c r="O60" s="838"/>
      <c r="P60" s="838"/>
      <c r="Q60" s="838"/>
      <c r="R60" s="834">
        <f ca="1">+-Report!V117</f>
        <v>-28.703727937785594</v>
      </c>
      <c r="S60" s="838">
        <f t="shared" ca="1" si="7"/>
        <v>0</v>
      </c>
      <c r="T60" s="834"/>
      <c r="U60" s="838"/>
    </row>
    <row r="61" spans="1:262" ht="15.2" customHeight="1">
      <c r="A61" s="828"/>
      <c r="B61" s="828" t="s">
        <v>76</v>
      </c>
      <c r="C61" s="834">
        <v>-4.8771226545754081</v>
      </c>
      <c r="D61" s="838">
        <f t="shared" si="4"/>
        <v>0</v>
      </c>
      <c r="E61" s="838"/>
      <c r="F61" s="838"/>
      <c r="G61" s="838"/>
      <c r="H61" s="834">
        <v>-3.7075384398766085</v>
      </c>
      <c r="I61" s="838">
        <f t="shared" si="5"/>
        <v>0</v>
      </c>
      <c r="J61" s="838"/>
      <c r="K61" s="838"/>
      <c r="L61" s="838"/>
      <c r="M61" s="834">
        <v>-4.1375112064257902</v>
      </c>
      <c r="N61" s="838">
        <f t="shared" si="6"/>
        <v>0</v>
      </c>
      <c r="O61" s="838"/>
      <c r="P61" s="838"/>
      <c r="Q61" s="838"/>
      <c r="R61" s="834">
        <f ca="1">+-Report!V118</f>
        <v>-4.4270182972260006</v>
      </c>
      <c r="S61" s="838">
        <f t="shared" ca="1" si="7"/>
        <v>0</v>
      </c>
      <c r="T61" s="834"/>
      <c r="U61" s="838"/>
    </row>
    <row r="62" spans="1:262" ht="15.2" customHeight="1">
      <c r="A62" s="828"/>
      <c r="B62" s="828" t="s">
        <v>65</v>
      </c>
      <c r="C62" s="834">
        <v>77.900848430367986</v>
      </c>
      <c r="D62" s="838">
        <f t="shared" si="4"/>
        <v>-0.02</v>
      </c>
      <c r="E62" s="838"/>
      <c r="F62" s="838"/>
      <c r="G62" s="838"/>
      <c r="H62" s="834">
        <v>80.415622883790007</v>
      </c>
      <c r="I62" s="838">
        <f t="shared" si="5"/>
        <v>-0.02</v>
      </c>
      <c r="J62" s="838"/>
      <c r="K62" s="838"/>
      <c r="L62" s="838"/>
      <c r="M62" s="834">
        <v>81.917834909058001</v>
      </c>
      <c r="N62" s="838">
        <f t="shared" si="6"/>
        <v>-0.01</v>
      </c>
      <c r="O62" s="838"/>
      <c r="P62" s="838"/>
      <c r="Q62" s="838"/>
      <c r="R62" s="897">
        <f ca="1">+-Report!V121</f>
        <v>87.940603800000005</v>
      </c>
      <c r="S62" s="838">
        <f t="shared" ca="1" si="7"/>
        <v>-0.01</v>
      </c>
      <c r="T62" s="834"/>
      <c r="U62" s="838"/>
    </row>
    <row r="63" spans="1:262" ht="15.2" hidden="1" customHeight="1">
      <c r="A63" s="828"/>
      <c r="B63" s="889" t="s">
        <v>67</v>
      </c>
      <c r="C63" s="898">
        <v>7800.5030962222008</v>
      </c>
      <c r="D63" s="890">
        <f>ROUND((-C63)/43/100,2)*0</f>
        <v>0</v>
      </c>
      <c r="E63" s="890"/>
      <c r="F63" s="890"/>
      <c r="G63" s="890"/>
      <c r="H63" s="898">
        <v>10664.6411370648</v>
      </c>
      <c r="I63" s="890">
        <f>ROUND((-H63)/50/100,2)*0</f>
        <v>0</v>
      </c>
      <c r="J63" s="890"/>
      <c r="K63" s="890"/>
      <c r="L63" s="890"/>
      <c r="M63" s="898">
        <v>928.96128642240001</v>
      </c>
      <c r="N63" s="890">
        <f>ROUND((-M63)/65/100,2)*0</f>
        <v>0</v>
      </c>
      <c r="O63" s="890"/>
      <c r="P63" s="890"/>
      <c r="Q63" s="890"/>
      <c r="R63" s="898">
        <f ca="1">+-Report!V124</f>
        <v>4586.5068196499997</v>
      </c>
      <c r="S63" s="890"/>
      <c r="T63" s="834"/>
      <c r="U63" s="838"/>
    </row>
    <row r="64" spans="1:262" ht="15.2" customHeight="1">
      <c r="A64" s="828"/>
      <c r="B64" s="828" t="s">
        <v>1134</v>
      </c>
      <c r="C64" s="854">
        <v>2140.5855599999995</v>
      </c>
      <c r="D64" s="838">
        <f>ROUND((-C64)/43/100,2)</f>
        <v>-0.5</v>
      </c>
      <c r="E64" s="838"/>
      <c r="F64" s="838"/>
      <c r="G64" s="838"/>
      <c r="H64" s="854">
        <v>1025.53253</v>
      </c>
      <c r="I64" s="838">
        <f>ROUND((-H64)/50/100,2)</f>
        <v>-0.21</v>
      </c>
      <c r="J64" s="838"/>
      <c r="K64" s="838"/>
      <c r="L64" s="838"/>
      <c r="M64" s="854">
        <v>-67.600000000000009</v>
      </c>
      <c r="N64" s="838">
        <f>ROUND((-M64)/65/100,2)</f>
        <v>0.01</v>
      </c>
      <c r="O64" s="838"/>
      <c r="P64" s="838"/>
      <c r="Q64" s="838"/>
      <c r="R64" s="854">
        <f>+-Report!R106</f>
        <v>495.59999999999997</v>
      </c>
      <c r="S64" s="838">
        <f t="shared" ca="1" si="7"/>
        <v>-0.06</v>
      </c>
      <c r="T64" s="834"/>
      <c r="U64" s="838"/>
    </row>
    <row r="65" spans="1:21" ht="15.2" customHeight="1">
      <c r="A65" s="828"/>
      <c r="B65" s="828"/>
      <c r="C65" s="834">
        <f>SUM(C54:C64)</f>
        <v>10442.371190328495</v>
      </c>
      <c r="D65" s="838"/>
      <c r="E65" s="838"/>
      <c r="F65" s="838"/>
      <c r="G65" s="838"/>
      <c r="H65" s="834">
        <f>SUM(H54:H64)</f>
        <v>12278.276431291744</v>
      </c>
      <c r="I65" s="838"/>
      <c r="J65" s="838"/>
      <c r="K65" s="838"/>
      <c r="L65" s="838"/>
      <c r="M65" s="834">
        <f>SUM(M54:M64)</f>
        <v>-1040.0679727451663</v>
      </c>
      <c r="N65" s="838"/>
      <c r="O65" s="838"/>
      <c r="P65" s="838"/>
      <c r="Q65" s="838"/>
      <c r="R65" s="834">
        <f ca="1">SUM(R54:R64)</f>
        <v>3371.9470448920715</v>
      </c>
      <c r="S65" s="838"/>
      <c r="T65" s="834"/>
      <c r="U65" s="838"/>
    </row>
    <row r="66" spans="1:21" ht="15.6" customHeight="1">
      <c r="A66" s="828"/>
      <c r="B66" s="828"/>
      <c r="C66" s="834"/>
      <c r="D66" s="838"/>
      <c r="E66" s="838"/>
      <c r="F66" s="838"/>
      <c r="G66" s="838"/>
      <c r="H66" s="834"/>
      <c r="I66" s="838"/>
      <c r="J66" s="838"/>
      <c r="K66" s="838"/>
      <c r="L66" s="838"/>
      <c r="M66" s="834"/>
      <c r="N66" s="838"/>
      <c r="O66" s="838"/>
      <c r="P66" s="838"/>
      <c r="Q66" s="838"/>
      <c r="R66" s="834"/>
      <c r="S66" s="838"/>
    </row>
    <row r="67" spans="1:21" ht="15.2" customHeight="1">
      <c r="A67" s="828"/>
      <c r="B67" s="828"/>
      <c r="C67" s="834"/>
      <c r="D67" s="838"/>
      <c r="E67" s="838"/>
      <c r="F67" s="838"/>
      <c r="G67" s="838"/>
      <c r="H67" s="834"/>
      <c r="I67" s="838"/>
      <c r="J67" s="838"/>
      <c r="K67" s="838"/>
      <c r="L67" s="838"/>
      <c r="M67" s="834"/>
      <c r="N67" s="838"/>
      <c r="O67" s="838"/>
      <c r="P67" s="838"/>
      <c r="Q67" s="838"/>
      <c r="R67" s="834"/>
      <c r="S67" s="838"/>
      <c r="T67" s="828"/>
    </row>
    <row r="68" spans="1:21" ht="15.2" customHeight="1">
      <c r="A68" s="828"/>
      <c r="B68" s="841" t="s">
        <v>1135</v>
      </c>
      <c r="C68" s="834"/>
      <c r="D68" s="838">
        <f>D70*100-SUM(D17:D64)</f>
        <v>0.28290041472747007</v>
      </c>
      <c r="E68" s="838"/>
      <c r="F68" s="838"/>
      <c r="G68" s="838"/>
      <c r="H68" s="834"/>
      <c r="I68" s="838">
        <f>I70*100-SUM(I17:I64)</f>
        <v>4.8869295950426439E-2</v>
      </c>
      <c r="J68" s="838"/>
      <c r="K68" s="838"/>
      <c r="L68" s="838"/>
      <c r="M68" s="834"/>
      <c r="N68" s="838">
        <f>N70*100-SUM(N17:N64)</f>
        <v>5.0407457133245792E-3</v>
      </c>
      <c r="O68" s="838"/>
      <c r="P68" s="838"/>
      <c r="Q68" s="838"/>
      <c r="R68" s="834"/>
      <c r="S68" s="838">
        <f ca="1">S70*100-SUM(S17:S64)</f>
        <v>3.5958070327632152E-2</v>
      </c>
      <c r="T68" s="842"/>
      <c r="U68" s="837"/>
    </row>
    <row r="69" spans="1:21" ht="14.25">
      <c r="A69" s="828"/>
      <c r="B69" s="828"/>
      <c r="T69" s="828"/>
    </row>
    <row r="70" spans="1:21" ht="14.25">
      <c r="A70" s="828" t="s">
        <v>1136</v>
      </c>
      <c r="B70" s="828"/>
      <c r="D70" s="853">
        <f>+D74-D15</f>
        <v>-1.1686422266474927E-2</v>
      </c>
      <c r="E70" s="862"/>
      <c r="F70" s="862"/>
      <c r="G70" s="862"/>
      <c r="I70" s="853">
        <f>+I74-I15</f>
        <v>-1.3304033316049638E-2</v>
      </c>
      <c r="J70" s="862"/>
      <c r="K70" s="862"/>
      <c r="L70" s="862"/>
      <c r="N70" s="853">
        <f>+N74-N15</f>
        <v>-1.4451332795684529E-3</v>
      </c>
      <c r="O70" s="862"/>
      <c r="P70" s="862"/>
      <c r="Q70" s="862"/>
      <c r="S70" s="853">
        <f ca="1">+S74-S15</f>
        <v>-1.707894480893507E-3</v>
      </c>
      <c r="T70" s="842"/>
    </row>
    <row r="71" spans="1:21" ht="14.25">
      <c r="A71" s="828"/>
      <c r="B71" s="828"/>
      <c r="D71" s="838"/>
      <c r="E71" s="838"/>
      <c r="F71" s="838"/>
      <c r="G71" s="838"/>
      <c r="I71" s="838"/>
      <c r="J71" s="838"/>
      <c r="K71" s="838"/>
      <c r="L71" s="838"/>
      <c r="N71" s="838"/>
      <c r="O71" s="838"/>
      <c r="P71" s="838"/>
      <c r="Q71" s="838"/>
      <c r="S71" s="838"/>
      <c r="T71" s="828"/>
    </row>
    <row r="72" spans="1:21" ht="14.25">
      <c r="A72" s="828"/>
      <c r="B72" s="828"/>
      <c r="C72" s="834"/>
      <c r="H72" s="834"/>
      <c r="M72" s="834"/>
      <c r="N72" s="547"/>
      <c r="R72" s="834"/>
      <c r="T72" s="828"/>
    </row>
    <row r="73" spans="1:21" ht="14.25">
      <c r="A73" s="828"/>
      <c r="B73" s="828"/>
      <c r="C73" s="834"/>
      <c r="H73" s="834"/>
      <c r="M73" s="834"/>
      <c r="R73" s="834"/>
      <c r="T73" s="828"/>
    </row>
    <row r="74" spans="1:21" ht="15">
      <c r="A74" s="841" t="s">
        <v>1137</v>
      </c>
      <c r="B74" s="841"/>
      <c r="C74" s="28"/>
      <c r="D74" s="851">
        <v>0.1</v>
      </c>
      <c r="E74" s="861"/>
      <c r="F74" s="861"/>
      <c r="G74" s="861"/>
      <c r="H74" s="28"/>
      <c r="I74" s="851">
        <v>7.3700000000000002E-2</v>
      </c>
      <c r="J74" s="861"/>
      <c r="K74" s="861"/>
      <c r="L74" s="861"/>
      <c r="M74" s="28"/>
      <c r="N74" s="851">
        <v>0.1011</v>
      </c>
      <c r="O74" s="861"/>
      <c r="P74" s="861"/>
      <c r="Q74" s="861"/>
      <c r="R74" s="28"/>
      <c r="S74" s="852">
        <f ca="1">+'COMP Act to Prior'!D25</f>
        <v>7.8100000000000003E-2</v>
      </c>
      <c r="T74" s="869"/>
      <c r="U74" s="843"/>
    </row>
    <row r="75" spans="1:21" s="828" customFormat="1" ht="14.25">
      <c r="C75" s="375"/>
      <c r="D75" s="844" t="s">
        <v>745</v>
      </c>
      <c r="E75" s="844"/>
      <c r="F75" s="844"/>
      <c r="G75" s="844"/>
      <c r="H75" s="375"/>
      <c r="I75" s="844" t="s">
        <v>745</v>
      </c>
      <c r="J75" s="844"/>
      <c r="K75" s="844"/>
      <c r="L75" s="844"/>
      <c r="M75" s="375"/>
      <c r="N75" s="844" t="s">
        <v>745</v>
      </c>
      <c r="O75" s="844"/>
      <c r="P75" s="844"/>
      <c r="Q75" s="844"/>
      <c r="R75" s="375"/>
      <c r="S75" s="844" t="s">
        <v>745</v>
      </c>
    </row>
    <row r="76" spans="1:21" s="828" customFormat="1" ht="14.25">
      <c r="A76" s="845"/>
      <c r="C76" s="834"/>
      <c r="D76" s="868"/>
      <c r="E76" s="838"/>
      <c r="F76" s="838"/>
      <c r="G76" s="838"/>
      <c r="H76" s="834"/>
      <c r="I76" s="868"/>
      <c r="J76" s="838"/>
      <c r="K76" s="838"/>
      <c r="L76" s="838"/>
      <c r="M76" s="834"/>
      <c r="N76" s="868"/>
      <c r="O76" s="838"/>
      <c r="P76" s="838"/>
      <c r="Q76" s="838"/>
      <c r="R76" s="834"/>
      <c r="S76" s="868"/>
      <c r="T76" s="846"/>
    </row>
    <row r="77" spans="1:21" s="828" customFormat="1" ht="14.25">
      <c r="A77" s="845"/>
      <c r="C77" s="834"/>
      <c r="D77" s="838"/>
      <c r="E77" s="838"/>
      <c r="F77" s="838"/>
      <c r="G77" s="838"/>
      <c r="H77" s="834"/>
      <c r="I77" s="838"/>
      <c r="J77" s="838"/>
      <c r="K77" s="838"/>
      <c r="L77" s="838"/>
      <c r="M77" s="834"/>
      <c r="N77" s="838"/>
      <c r="O77" s="838"/>
      <c r="P77" s="838"/>
      <c r="Q77" s="838"/>
      <c r="R77" s="834"/>
      <c r="S77" s="838"/>
      <c r="T77" s="846"/>
    </row>
    <row r="78" spans="1:21" s="828" customFormat="1" ht="14.25">
      <c r="A78" s="845"/>
      <c r="C78" s="834"/>
      <c r="D78" s="838"/>
      <c r="E78" s="838"/>
      <c r="F78" s="838"/>
      <c r="G78" s="838"/>
      <c r="H78" s="834"/>
      <c r="I78" s="838"/>
      <c r="J78" s="838"/>
      <c r="K78" s="838"/>
      <c r="L78" s="838"/>
      <c r="M78" s="834"/>
      <c r="N78" s="838"/>
      <c r="O78" s="838"/>
      <c r="P78" s="838"/>
      <c r="Q78" s="838"/>
      <c r="R78" s="834"/>
      <c r="S78" s="838"/>
      <c r="T78" s="846"/>
    </row>
    <row r="79" spans="1:21">
      <c r="C79" s="847"/>
      <c r="D79" s="848"/>
      <c r="E79" s="848"/>
      <c r="F79" s="848"/>
      <c r="G79" s="848"/>
      <c r="H79" s="847"/>
      <c r="I79" s="848"/>
      <c r="J79" s="848"/>
      <c r="K79" s="848"/>
      <c r="L79" s="848"/>
      <c r="M79" s="847"/>
      <c r="N79" s="848"/>
      <c r="O79" s="848"/>
      <c r="P79" s="848"/>
      <c r="Q79" s="848"/>
      <c r="R79" s="847"/>
      <c r="S79" s="848"/>
    </row>
    <row r="80" spans="1:21" ht="14.25">
      <c r="A80" s="828" t="s">
        <v>1138</v>
      </c>
      <c r="C80" s="849"/>
      <c r="D80" s="849"/>
      <c r="E80" s="849"/>
      <c r="F80" s="849"/>
      <c r="G80" s="849"/>
      <c r="H80" s="849"/>
      <c r="I80" s="849"/>
      <c r="J80" s="849"/>
      <c r="K80" s="849"/>
      <c r="L80" s="849"/>
      <c r="M80" s="849"/>
      <c r="N80" s="849"/>
      <c r="O80" s="849"/>
      <c r="P80" s="849"/>
      <c r="Q80" s="849"/>
      <c r="R80" s="849"/>
      <c r="S80" s="849"/>
      <c r="T80" s="838"/>
    </row>
    <row r="81" spans="1:20" ht="14.25">
      <c r="A81" s="828" t="s">
        <v>1139</v>
      </c>
      <c r="B81" s="828"/>
      <c r="C81" s="849"/>
      <c r="D81" s="849"/>
      <c r="E81" s="849"/>
      <c r="F81" s="849"/>
      <c r="G81" s="849"/>
      <c r="H81" s="849"/>
      <c r="I81" s="849"/>
      <c r="J81" s="849"/>
      <c r="K81" s="849"/>
      <c r="L81" s="849"/>
      <c r="M81" s="849"/>
      <c r="N81" s="849"/>
      <c r="O81" s="849"/>
      <c r="P81" s="849"/>
      <c r="Q81" s="849"/>
      <c r="R81" s="849"/>
      <c r="S81" s="849"/>
      <c r="T81" s="838"/>
    </row>
    <row r="82" spans="1:20" ht="15">
      <c r="A82" s="828" t="s">
        <v>1140</v>
      </c>
      <c r="B82" s="831"/>
      <c r="C82" s="849"/>
      <c r="D82" s="849"/>
      <c r="E82" s="849"/>
      <c r="F82" s="849"/>
      <c r="G82" s="849"/>
      <c r="H82" s="849"/>
      <c r="I82" s="849"/>
      <c r="J82" s="849"/>
      <c r="K82" s="849"/>
      <c r="L82" s="849"/>
      <c r="M82" s="849"/>
      <c r="N82" s="849"/>
      <c r="O82" s="849"/>
      <c r="P82" s="849"/>
      <c r="Q82" s="849"/>
      <c r="R82" s="849"/>
      <c r="S82" s="849"/>
      <c r="T82" s="838"/>
    </row>
    <row r="83" spans="1:20" ht="14.25">
      <c r="B83" s="828"/>
      <c r="C83" s="847"/>
      <c r="D83" s="848"/>
      <c r="E83" s="848"/>
      <c r="F83" s="848"/>
      <c r="G83" s="848"/>
      <c r="H83" s="847"/>
      <c r="I83" s="848"/>
      <c r="J83" s="848"/>
      <c r="K83" s="848"/>
      <c r="L83" s="848"/>
      <c r="M83" s="847"/>
      <c r="N83" s="848"/>
      <c r="O83" s="848"/>
      <c r="P83" s="848"/>
      <c r="Q83" s="848"/>
      <c r="R83" s="847"/>
      <c r="S83" s="848"/>
    </row>
    <row r="85" spans="1:20" ht="14.25">
      <c r="B85" s="828"/>
    </row>
    <row r="90" spans="1:20" ht="14.25">
      <c r="A90" s="828"/>
      <c r="B90" s="828"/>
      <c r="C90" s="849"/>
      <c r="H90" s="849"/>
      <c r="M90" s="849"/>
      <c r="R90" s="849"/>
    </row>
    <row r="91" spans="1:20" ht="15">
      <c r="A91" s="828"/>
      <c r="B91" s="831"/>
      <c r="C91" s="849"/>
      <c r="H91" s="849"/>
      <c r="M91" s="849"/>
      <c r="R91" s="849"/>
    </row>
    <row r="111" spans="3:18">
      <c r="C111" s="850"/>
      <c r="H111" s="850"/>
      <c r="M111" s="850"/>
      <c r="R111" s="850"/>
    </row>
    <row r="118" spans="1:1">
      <c r="A118" s="599"/>
    </row>
    <row r="119" spans="1:1">
      <c r="A119" s="599"/>
    </row>
    <row r="121" spans="1:1">
      <c r="A121" s="599"/>
    </row>
    <row r="123" spans="1:1">
      <c r="A123" s="599"/>
    </row>
  </sheetData>
  <mergeCells count="2">
    <mergeCell ref="A1:S1"/>
    <mergeCell ref="A2:S2"/>
  </mergeCells>
  <hyperlinks>
    <hyperlink ref="IY65514" location="'SURV REPORT'!GV33" display="'SURV REPORT'!GV33"/>
    <hyperlink ref="IY65513" location="'SURV REPORT'!GV33" display="'SURV REPORT'!GV33"/>
    <hyperlink ref="IY65512" location="WC!c333" display="WC!c333"/>
    <hyperlink ref="IV65514:JB65514" location="'SURV REPORT'!GV33" display="'SURV REPORT'!GV33"/>
    <hyperlink ref="IV65513:JB65513" location="'SURV REPORT'!GV33" display="'SURV REPORT'!GV33"/>
    <hyperlink ref="IV65512:JB65512" location="WC!c333" display="WC!c333"/>
    <hyperlink ref="IY65515" location="'SURV REPORT'!GV33" display="'SURV REPORT'!GV33"/>
    <hyperlink ref="IV65514" location="'SURV REPORT'!GV33" display="'SURV REPORT'!GV33"/>
    <hyperlink ref="IV65513" location="'SURV REPORT'!GV33" display="'SURV REPORT'!GV33"/>
    <hyperlink ref="B65515" location="WC!c333" display="WC!c333"/>
    <hyperlink ref="B65514" location="'SURV REPORT'!GV33" display="'SURV REPORT'!GV33"/>
    <hyperlink ref="IV65512" location="WC!c333" display="WC!c333"/>
    <hyperlink ref="B65513" location="WC!c333" display="WC!c333"/>
    <hyperlink ref="IS65514:IV65514" location="'SURV REPORT'!GV33" display="'SURV REPORT'!GV33"/>
    <hyperlink ref="IS65513:IV65513" location="'SURV REPORT'!GV33" display="'SURV REPORT'!GV33"/>
    <hyperlink ref="IS65512:IV65512" location="WC!c333" display="WC!c333"/>
    <hyperlink ref="B65516" location="'SURV REPORT'!GV33" display="'SURV REPORT'!GV33"/>
    <hyperlink ref="IS65514" location="'SURV REPORT'!GV33" display="'SURV REPORT'!GV33"/>
    <hyperlink ref="IS65513" location="'SURV REPORT'!GV33" display="'SURV REPORT'!GV33"/>
    <hyperlink ref="IS65512" location="WC!c333" display="WC!c333"/>
    <hyperlink ref="IP65514:IS65514" location="'SURV REPORT'!GV33" display="'SURV REPORT'!GV33"/>
    <hyperlink ref="IP65513:IS65513" location="'SURV REPORT'!GV33" display="'SURV REPORT'!GV33"/>
    <hyperlink ref="IP65512:IS65512" location="WC!c333" display="WC!c333"/>
  </hyperlinks>
  <printOptions horizontalCentered="1"/>
  <pageMargins left="0.5" right="0.5" top="0.5" bottom="0.5" header="0.5" footer="0.25"/>
  <pageSetup scale="65" orientation="portrait" r:id="rId1"/>
  <headerFooter>
    <oddFooter>&amp;Z&amp;F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rgb="FFFF0000"/>
    <pageSetUpPr fitToPage="1"/>
  </sheetPr>
  <dimension ref="A1:X34"/>
  <sheetViews>
    <sheetView topLeftCell="A6" workbookViewId="0">
      <selection activeCell="D25" sqref="D25"/>
    </sheetView>
  </sheetViews>
  <sheetFormatPr defaultColWidth="9.140625" defaultRowHeight="15"/>
  <cols>
    <col min="1" max="1" width="42" style="43" customWidth="1"/>
    <col min="2" max="2" width="16.5703125" style="43" customWidth="1"/>
    <col min="3" max="3" width="2.85546875" style="43" customWidth="1"/>
    <col min="4" max="4" width="16.57031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 t="s">
        <v>1209</v>
      </c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B6" s="430" t="s">
        <v>1206</v>
      </c>
      <c r="C6" s="51"/>
      <c r="D6" s="257" t="str">
        <f>'COMP Act to Prior'!D6</f>
        <v>2023</v>
      </c>
      <c r="H6" s="53" t="s">
        <v>1051</v>
      </c>
      <c r="S6" s="76"/>
      <c r="T6" s="76"/>
      <c r="U6" s="76"/>
      <c r="V6" s="76"/>
      <c r="X6" s="54"/>
    </row>
    <row r="7" spans="1:24" s="52" customFormat="1" ht="15.75">
      <c r="A7" s="55" t="s">
        <v>1052</v>
      </c>
      <c r="B7" s="431" t="s">
        <v>1210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S7" s="76"/>
      <c r="T7" s="76"/>
      <c r="U7" s="76"/>
      <c r="V7" s="76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1084">
        <f>3054595+5032-897611-16984</f>
        <v>2145032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-119504.61256060377</v>
      </c>
      <c r="G9" s="303"/>
      <c r="H9" s="316">
        <f ca="1">ROUND((((B17/(D9+D10+D11+D13))-B20)/B23)-(((B17/(B9+D10+D11+D13))-B20)/B23),4)*10000</f>
        <v>62</v>
      </c>
      <c r="I9" s="316">
        <f ca="1">ROUND((((B17/(D9+D10+D11+D13))-B20)/B23)-(((B17/(B9+D10+D11+D13))-B20)/B23),4)*10000</f>
        <v>62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1078">
        <v>10584</v>
      </c>
      <c r="C10" s="76"/>
      <c r="D10" s="303">
        <f ca="1">+'COMP Act to Prior'!D10</f>
        <v>26412.458933076909</v>
      </c>
      <c r="E10" s="76"/>
      <c r="F10" s="303">
        <f ca="1">D10-B10</f>
        <v>15828.458933076909</v>
      </c>
      <c r="G10" s="303"/>
      <c r="H10" s="316">
        <f ca="1">ROUND((((B17/(D9+D11+D13+D10))-B20)/B23)-(((B17/(B10+D9+D11+D13))-B20)/B23),4)*10000</f>
        <v>-9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1078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0</v>
      </c>
      <c r="C12" s="76"/>
      <c r="D12" s="303">
        <f ca="1">+'COMP Act to Prior'!D12</f>
        <v>1184.5254784615386</v>
      </c>
      <c r="E12" s="76"/>
      <c r="F12" s="303">
        <f ca="1">D12-B12</f>
        <v>1184.5254784615386</v>
      </c>
      <c r="G12" s="190"/>
      <c r="H12" s="316">
        <f ca="1">ROUND((((B17/(D9+D10+D11+D12+D13))-B20)/B23)-(((B17/(B12+D9+D10+D11+D13))-B20)/B23),4)*10000</f>
        <v>-1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079">
        <v>-39992</v>
      </c>
      <c r="C13" s="76"/>
      <c r="D13" s="315">
        <f ca="1">+'COMP Act to Prior'!D13</f>
        <v>-28792.100266969584</v>
      </c>
      <c r="E13" s="76"/>
      <c r="F13" s="303">
        <f ca="1">D13-B13</f>
        <v>11199.899733030416</v>
      </c>
      <c r="G13" s="190"/>
      <c r="H13" s="316">
        <f ca="1">ROUND((((B17/(D9+D10+D11+D12+D13))-B20)/B23)-(((B17/(B13+D9+D10+D11+D12))-B20)/B23),4)*10000</f>
        <v>-5.9999999999999991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1083">
        <f>SUM(B9:B13)</f>
        <v>2115624</v>
      </c>
      <c r="C15" s="52"/>
      <c r="D15" s="61">
        <f ca="1">+'COMP Act to Prior'!D15</f>
        <v>2024332.2716000001</v>
      </c>
      <c r="E15" s="52"/>
      <c r="F15" s="50">
        <f ca="1">D15-B15</f>
        <v>-91291.728399999905</v>
      </c>
      <c r="G15" s="50"/>
      <c r="H15" s="53">
        <f ca="1">ROUND((((B17/D15)-B20)/B23)-(((B17/B15)-B20)/B23),4)*10000</f>
        <v>47.999999999999993</v>
      </c>
      <c r="I15" s="53">
        <f ca="1">SUM(H9:H13)</f>
        <v>46</v>
      </c>
      <c r="J15" s="316"/>
      <c r="K15" s="53">
        <f ca="1">H15-I15</f>
        <v>1.9999999999999929</v>
      </c>
      <c r="L15" s="76"/>
      <c r="M15" s="76"/>
      <c r="N15" s="76"/>
      <c r="O15" s="975">
        <f ca="1">-F15/H15</f>
        <v>1901.9110083333317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1086">
        <v>106763.54247167421</v>
      </c>
      <c r="D17" s="62">
        <f ca="1">+'COMP Act to Prior'!D17</f>
        <v>111760.75260000001</v>
      </c>
      <c r="F17" s="50">
        <f ca="1">D17-B17</f>
        <v>4997.2101283257944</v>
      </c>
      <c r="G17" s="63"/>
      <c r="H17" s="64">
        <f ca="1">ROUND((((D17/B15)-B20)/B23)-(((B17/B15)-B20)/B23),4)*10000</f>
        <v>50</v>
      </c>
      <c r="I17" s="53"/>
      <c r="J17" s="53"/>
      <c r="K17" s="53"/>
      <c r="L17" s="64"/>
      <c r="M17" s="76"/>
      <c r="O17" s="975">
        <f ca="1">-F17/H17</f>
        <v>-99.944202566515884</v>
      </c>
      <c r="S17" s="76"/>
      <c r="T17" s="76"/>
      <c r="U17" s="76"/>
      <c r="V17" s="76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1085">
        <v>5.3966745592425591E-2</v>
      </c>
      <c r="C19" s="76"/>
      <c r="D19" s="298">
        <f ca="1">+'COMP Act to Prior'!D19</f>
        <v>5.5199999999999999E-2</v>
      </c>
      <c r="E19" s="76"/>
      <c r="F19" s="298">
        <f ca="1">D19-B19</f>
        <v>1.2332544075744079E-3</v>
      </c>
      <c r="G19" s="298"/>
      <c r="H19" s="316">
        <f ca="1">ROUND((F19/$B$23)*10000,0)</f>
        <v>26</v>
      </c>
      <c r="I19" s="53">
        <f ca="1">H15+H17</f>
        <v>98</v>
      </c>
      <c r="J19" s="316"/>
      <c r="K19" s="53">
        <f ca="1">H19-I19</f>
        <v>-72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1.46E-2</v>
      </c>
      <c r="C20" s="76"/>
      <c r="D20" s="299">
        <f ca="1">+'COMP Act to Prior'!D20</f>
        <v>1.7999999999999999E-2</v>
      </c>
      <c r="E20" s="76"/>
      <c r="F20" s="298">
        <f ca="1">D20-B20</f>
        <v>3.3999999999999985E-3</v>
      </c>
      <c r="G20" s="298"/>
      <c r="H20" s="316">
        <f ca="1">-ROUND((F20/$B$23)*10000,0)</f>
        <v>-71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f>B19-B20</f>
        <v>3.9366745592425589E-2</v>
      </c>
      <c r="C22" s="76"/>
      <c r="D22" s="298">
        <f ca="1">+'COMP Act to Prior'!D22</f>
        <v>3.7199999999999997E-2</v>
      </c>
      <c r="E22" s="76"/>
      <c r="F22" s="298">
        <f ca="1">D22-B22</f>
        <v>-2.1667455924255924E-3</v>
      </c>
      <c r="G22" s="298"/>
      <c r="H22" s="316">
        <f ca="1">ROUND((F22/$B$23)*10000,0)</f>
        <v>-45</v>
      </c>
      <c r="I22" s="53">
        <f ca="1">H19+H20</f>
        <v>-45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1087">
        <v>0.47673514588465571</v>
      </c>
      <c r="C23" s="76"/>
      <c r="D23" s="299">
        <f ca="1">+'COMP Act to Prior'!D23</f>
        <v>0.47539999999999999</v>
      </c>
      <c r="E23" s="76"/>
      <c r="F23" s="298">
        <f ca="1">D23-B23</f>
        <v>-1.3351458846557196E-3</v>
      </c>
      <c r="G23" s="298"/>
      <c r="H23" s="316">
        <f ca="1">ROUND((B22/D23)-(B22/B23),4)*10000</f>
        <v>2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>
        <f>118*83</f>
        <v>9794</v>
      </c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f>ROUND((B22/B23),4)</f>
        <v>8.2600000000000007E-2</v>
      </c>
      <c r="D25" s="189">
        <f ca="1">+'COMP Act to Prior'!D25</f>
        <v>7.8100000000000003E-2</v>
      </c>
      <c r="F25" s="65">
        <f ca="1">D25-B25</f>
        <v>-4.500000000000004E-3</v>
      </c>
      <c r="G25" s="65"/>
      <c r="H25" s="53">
        <f ca="1">(D25-B25)*10000</f>
        <v>-45.000000000000043</v>
      </c>
      <c r="I25" s="53">
        <f ca="1">H22+H23</f>
        <v>-43</v>
      </c>
      <c r="J25" s="53"/>
      <c r="K25" s="53">
        <f ca="1">H25-I25</f>
        <v>-2.0000000000000426</v>
      </c>
      <c r="L25" s="65"/>
      <c r="O25" s="52">
        <f>+O24/0.75</f>
        <v>13058.666666666666</v>
      </c>
      <c r="S25" s="76"/>
      <c r="T25" s="76"/>
      <c r="U25" s="76"/>
      <c r="V25" s="76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76"/>
      <c r="T26" s="76"/>
      <c r="U26" s="76"/>
      <c r="V26" s="76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31" spans="1:24">
      <c r="B31" s="1082"/>
    </row>
    <row r="32" spans="1:24">
      <c r="B32" s="1080"/>
    </row>
    <row r="34" spans="1:2">
      <c r="A34" s="1088" t="s">
        <v>1208</v>
      </c>
      <c r="B34" s="1081"/>
    </row>
  </sheetData>
  <conditionalFormatting sqref="K15:K25">
    <cfRule type="cellIs" dxfId="7" priority="1" stopIfTrue="1" operator="equal">
      <formula>0</formula>
    </cfRule>
    <cfRule type="cellIs" dxfId="6" priority="2" stopIfTrue="1" operator="notEqual">
      <formula>0</formula>
    </cfRule>
  </conditionalFormatting>
  <printOptions horizontalCentered="1"/>
  <pageMargins left="0.5" right="0.5" top="0.5" bottom="0.5" header="0.5" footer="0.25"/>
  <pageSetup scale="92" orientation="portrait" r:id="rId1"/>
  <headerFooter>
    <oddFooter>&amp;Z&amp;F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tabColor rgb="FF00B0F0"/>
    <pageSetUpPr fitToPage="1"/>
  </sheetPr>
  <dimension ref="A1:X62"/>
  <sheetViews>
    <sheetView workbookViewId="0">
      <selection activeCell="D25" sqref="D25"/>
    </sheetView>
  </sheetViews>
  <sheetFormatPr defaultColWidth="9.140625" defaultRowHeight="15"/>
  <cols>
    <col min="1" max="1" width="44.28515625" style="43" bestFit="1" customWidth="1"/>
    <col min="2" max="2" width="18.28515625" style="43" customWidth="1"/>
    <col min="3" max="3" width="2.85546875" style="43" customWidth="1"/>
    <col min="4" max="4" width="18.285156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B6" s="430" t="s">
        <v>1206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1222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2024569.5878616774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957.79957771883346</v>
      </c>
      <c r="G9" s="303"/>
      <c r="H9" s="316">
        <f ca="1">ROUND((((B17/(D9+D10+D11+D13))-B20)/B23)-(((B17/(B9+D10+D11+D13))-B20)/B23),4)*10000</f>
        <v>-1</v>
      </c>
      <c r="I9" s="316">
        <f ca="1">ROUND((((B17/(D9+D10+D11+D13))-B20)/B23)-(((B17/(B9+D10+D11+D13))-B20)/B23),4)*10000</f>
        <v>-1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17286.934380000021</v>
      </c>
      <c r="C10" s="76"/>
      <c r="D10" s="303">
        <f ca="1">+'COMP Act to Prior'!D10</f>
        <v>26412.458933076909</v>
      </c>
      <c r="E10" s="76"/>
      <c r="F10" s="303">
        <f ca="1">D10-B10</f>
        <v>9125.524553076888</v>
      </c>
      <c r="G10" s="303"/>
      <c r="H10" s="316">
        <f ca="1">ROUND((((B17/(D9+D11+D13+D10))-B20)/B23)-(((B17/(B10+D9+D11+D13))-B20)/B23),4)*10000</f>
        <v>-5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1000</v>
      </c>
      <c r="C12" s="76"/>
      <c r="D12" s="303">
        <f ca="1">+'COMP Act to Prior'!D12</f>
        <v>1184.5254784615386</v>
      </c>
      <c r="E12" s="76"/>
      <c r="F12" s="303">
        <f ca="1">D12-B12</f>
        <v>184.52547846153857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-12278.534419277286</v>
      </c>
      <c r="C13" s="76"/>
      <c r="D13" s="315">
        <f ca="1">+'COMP Act to Prior'!D13</f>
        <v>-28792.100266969584</v>
      </c>
      <c r="E13" s="76"/>
      <c r="F13" s="303">
        <f ca="1">D13-B13</f>
        <v>-16513.565847692298</v>
      </c>
      <c r="G13" s="190"/>
      <c r="H13" s="316">
        <f ca="1">ROUND((((B17/(D9+D10+D11+D12+D13))-B20)/B23)-(((B17/(B13+D9+D10+D11+D12))-B20)/B23),4)*10000</f>
        <v>9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2030577.9878</v>
      </c>
      <c r="C15" s="52"/>
      <c r="D15" s="61">
        <f ca="1">+'COMP Act to Prior'!D15</f>
        <v>2024332.2716000001</v>
      </c>
      <c r="E15" s="52"/>
      <c r="F15" s="50">
        <f ca="1">D15-B15</f>
        <v>-6245.716199999908</v>
      </c>
      <c r="G15" s="50"/>
      <c r="H15" s="53">
        <f ca="1">ROUND((((B17/D15)-B20)/B23)-(((B17/B15)-B20)/B23),4)*10000</f>
        <v>4</v>
      </c>
      <c r="I15" s="53">
        <f ca="1">SUM(H9:H13)</f>
        <v>3</v>
      </c>
      <c r="J15" s="316"/>
      <c r="K15" s="53">
        <f ca="1">H15-I15</f>
        <v>1</v>
      </c>
      <c r="L15" s="76"/>
      <c r="M15" s="76"/>
      <c r="N15" s="76"/>
      <c r="O15" s="975">
        <f ca="1">-F15/H15</f>
        <v>1561.429049999977</v>
      </c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111196.103</v>
      </c>
      <c r="D17" s="62">
        <f ca="1">+'COMP Act to Prior'!D17</f>
        <v>111760.75260000001</v>
      </c>
      <c r="F17" s="50">
        <f ca="1">D17-B17</f>
        <v>564.64960000000428</v>
      </c>
      <c r="G17" s="63"/>
      <c r="H17" s="64">
        <f ca="1">ROUND((((D17/B15)-B20)/B23)-(((B17/B15)-B20)/B23),4)*10000</f>
        <v>5.9999999999999991</v>
      </c>
      <c r="I17" s="53"/>
      <c r="J17" s="53"/>
      <c r="K17" s="53"/>
      <c r="L17" s="64"/>
      <c r="M17" s="76"/>
      <c r="O17" s="975">
        <f ca="1">-F17/H17</f>
        <v>-94.10826666666739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5.4800000000000001E-2</v>
      </c>
      <c r="C19" s="76"/>
      <c r="D19" s="298">
        <f ca="1">+'COMP Act to Prior'!D19</f>
        <v>5.5199999999999999E-2</v>
      </c>
      <c r="E19" s="76"/>
      <c r="F19" s="298">
        <f ca="1">D19-B19</f>
        <v>3.9999999999999758E-4</v>
      </c>
      <c r="G19" s="298"/>
      <c r="H19" s="316">
        <f ca="1">ROUND((F19/$B$23)*10000,0)</f>
        <v>8</v>
      </c>
      <c r="I19" s="53">
        <f ca="1">H15+H17</f>
        <v>10</v>
      </c>
      <c r="J19" s="316"/>
      <c r="K19" s="53">
        <f ca="1">H19-I19</f>
        <v>-2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1.72E-2</v>
      </c>
      <c r="C20" s="76"/>
      <c r="D20" s="299">
        <f ca="1">+'COMP Act to Prior'!D20</f>
        <v>1.7999999999999999E-2</v>
      </c>
      <c r="E20" s="76"/>
      <c r="F20" s="298">
        <f ca="1">D20-B20</f>
        <v>7.9999999999999863E-4</v>
      </c>
      <c r="G20" s="298"/>
      <c r="H20" s="316">
        <f ca="1">-ROUND((F20/$B$23)*10000,0)</f>
        <v>-17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3.7600000000000001E-2</v>
      </c>
      <c r="C22" s="76"/>
      <c r="D22" s="298">
        <f ca="1">+'COMP Act to Prior'!D22</f>
        <v>3.7199999999999997E-2</v>
      </c>
      <c r="E22" s="76"/>
      <c r="F22" s="298">
        <f ca="1">D22-B22</f>
        <v>-4.0000000000000452E-4</v>
      </c>
      <c r="G22" s="298"/>
      <c r="H22" s="316">
        <f ca="1">ROUND((F22/$B$23)*10000,0)</f>
        <v>-8</v>
      </c>
      <c r="I22" s="53">
        <f ca="1">H19+H20</f>
        <v>-9</v>
      </c>
      <c r="J22" s="316"/>
      <c r="K22" s="53">
        <f ca="1">H22-I22</f>
        <v>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0.4753</v>
      </c>
      <c r="C23" s="76"/>
      <c r="D23" s="299">
        <f ca="1">+'COMP Act to Prior'!D23</f>
        <v>0.47539999999999999</v>
      </c>
      <c r="E23" s="76"/>
      <c r="F23" s="298">
        <f ca="1">D23-B23</f>
        <v>9.9999999999988987E-5</v>
      </c>
      <c r="G23" s="298"/>
      <c r="H23" s="316">
        <f ca="1">ROUND((B22/D23)-(B22/B23),4)*10000</f>
        <v>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v>7.9000000000000001E-2</v>
      </c>
      <c r="D25" s="189">
        <f ca="1">+'COMP Act to Prior'!D25</f>
        <v>7.8100000000000003E-2</v>
      </c>
      <c r="F25" s="65">
        <f ca="1">D25-B25</f>
        <v>-8.9999999999999802E-4</v>
      </c>
      <c r="G25" s="65"/>
      <c r="H25" s="53">
        <f ca="1">(D25-B25)*10000</f>
        <v>-8.9999999999999805</v>
      </c>
      <c r="I25" s="53">
        <f ca="1">H22+H23</f>
        <v>-8</v>
      </c>
      <c r="J25" s="53"/>
      <c r="K25" s="53">
        <f ca="1">H25-I25</f>
        <v>-0.99999999999998046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433">
        <v>140064.16215999992</v>
      </c>
      <c r="C28" s="76"/>
      <c r="D28" s="977">
        <f ca="1">+'COMP Act to Prior'!D28</f>
        <v>140503.29999999996</v>
      </c>
      <c r="E28" s="190"/>
      <c r="F28" s="303">
        <f ca="1">D28-B28</f>
        <v>439.13784000003943</v>
      </c>
      <c r="G28" s="303"/>
      <c r="H28" s="325">
        <f ca="1">ROUND((((D28/B15)-B20)/B23)-(((B28/B15)-B20)/B23),4)*10000</f>
        <v>5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26053.514030524002</v>
      </c>
      <c r="C29" s="76"/>
      <c r="D29" s="434">
        <f ca="1">+'COMP Act to Prior'!D29</f>
        <v>25866.2</v>
      </c>
      <c r="E29" s="190"/>
      <c r="F29" s="303">
        <f ca="1">D29-B29</f>
        <v>-187.31403052400128</v>
      </c>
      <c r="G29" s="303"/>
      <c r="H29" s="325">
        <f ca="1">-ROUND((((D29/B15)-B20)/B23)-(((B29/B15)-B20)/B23),4)*10000</f>
        <v>2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26053.514030524002</v>
      </c>
      <c r="C31" s="300"/>
      <c r="D31" s="191">
        <f ca="1">+'COMP Act to Prior'!D31</f>
        <v>25866.2</v>
      </c>
      <c r="E31" s="190"/>
      <c r="F31" s="303">
        <f ca="1">D31-B31</f>
        <v>-187.31403052400128</v>
      </c>
      <c r="G31" s="190"/>
      <c r="H31" s="325">
        <f ca="1">-ROUND((((D31/B15)-B20)/B23)-(((B31/B15)-B20)/B23),4)*10000</f>
        <v>2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114010.64812947591</v>
      </c>
      <c r="C33" s="76"/>
      <c r="D33" s="191">
        <f ca="1">+'COMP Act to Prior'!D33</f>
        <v>114637.09999999996</v>
      </c>
      <c r="E33" s="190"/>
      <c r="F33" s="303">
        <f ca="1">D33-B33</f>
        <v>626.45187052404799</v>
      </c>
      <c r="G33" s="303"/>
      <c r="H33" s="325">
        <f ca="1">ROUND((((D33/B15)-B20)/B23)-(((B33/B15)-B20)/B23),4)*10000</f>
        <v>5.9999999999999991</v>
      </c>
      <c r="I33" s="316">
        <f ca="1">H28+H29+H30</f>
        <v>7</v>
      </c>
      <c r="J33" s="76"/>
      <c r="K33" s="53">
        <f ca="1">I33-H33</f>
        <v>1.0000000000000009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-2814.5450987047816</v>
      </c>
      <c r="C36" s="978"/>
      <c r="D36" s="191">
        <f ca="1">+'COMP Act to Prior'!D36</f>
        <v>-2876.347380839572</v>
      </c>
      <c r="E36" s="190"/>
      <c r="F36" s="303">
        <f ca="1">D36-B36</f>
        <v>-61.802282134790403</v>
      </c>
      <c r="G36" s="76"/>
      <c r="H36" s="325">
        <f ca="1">ROUND((((D36/B15)-B20)/B23)-(((B36/B15)-B20)/B23),4)*10000</f>
        <v>-1</v>
      </c>
      <c r="I36" s="316">
        <f ca="1">H36</f>
        <v>-1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2">
        <v>111196.10303077113</v>
      </c>
      <c r="D37" s="67">
        <f ca="1">+'COMP Act to Prior'!D37</f>
        <v>111760.7526191604</v>
      </c>
      <c r="E37" s="68"/>
      <c r="F37" s="50">
        <f ca="1">D37-B37</f>
        <v>564.64958838926395</v>
      </c>
      <c r="G37" s="63"/>
      <c r="H37" s="326">
        <f ca="1">ROUND((((D37/B15)-B20)/B23)-(((B37/B15)-B20)/B23),4)*10000</f>
        <v>5.9999999999999991</v>
      </c>
      <c r="I37" s="53">
        <f ca="1">H33+H36</f>
        <v>4.9999999999999991</v>
      </c>
      <c r="K37" s="53">
        <f ca="1">H37-I37</f>
        <v>1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35.898645635905254</v>
      </c>
      <c r="C42" s="76"/>
      <c r="D42" s="192">
        <f ca="1">+'COMP Act to Prior'!D42</f>
        <v>28.980152780785676</v>
      </c>
      <c r="E42" s="190"/>
      <c r="F42" s="303">
        <f ca="1">D42-B42</f>
        <v>-6.9184928551195775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-392.27123274519482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-43.285664703174348</v>
      </c>
      <c r="G43" s="298"/>
      <c r="H43" s="325">
        <f t="shared" ref="H43:H58" ca="1" si="1">ROUND((((D43/$B$15)-$B$20)/$B$23)-(((B43/$B$15)-$B$20)/$B$23),4)*10000</f>
        <v>0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2099</v>
      </c>
      <c r="C44" s="76"/>
      <c r="D44" s="192">
        <f>+'COMP Act to Prior'!D44</f>
        <v>2099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13.437899999999999</v>
      </c>
      <c r="C46" s="76"/>
      <c r="D46" s="192">
        <f ca="1">+'COMP Act to Prior'!D46</f>
        <v>13.437899999999999</v>
      </c>
      <c r="E46" s="190"/>
      <c r="F46" s="303">
        <f t="shared" ca="1" si="0"/>
        <v>0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59.744836210500004</v>
      </c>
      <c r="C47" s="76"/>
      <c r="D47" s="192">
        <f ca="1">+'COMP Act to Prior'!D47</f>
        <v>59.108476990500002</v>
      </c>
      <c r="E47" s="190"/>
      <c r="F47" s="303">
        <f t="shared" ca="1" si="0"/>
        <v>-0.63635922000000278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-89.06341500000417</v>
      </c>
      <c r="C48" s="76"/>
      <c r="D48" s="192">
        <f ca="1">+'COMP Act to Prior'!D48</f>
        <v>0</v>
      </c>
      <c r="E48" s="190"/>
      <c r="F48" s="303">
        <f t="shared" ca="1" si="0"/>
        <v>89.06341500000417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5.8230900094713434E-4</v>
      </c>
      <c r="C55" s="76"/>
      <c r="D55" s="192">
        <f ca="1">+'COMP Act to Prior'!D55</f>
        <v>-3.3594749993426376E-4</v>
      </c>
      <c r="E55" s="190"/>
      <c r="F55" s="303">
        <f t="shared" ca="1" si="0"/>
        <v>-9.182565008813981E-4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-4486.4825575499999</v>
      </c>
      <c r="C56" s="76"/>
      <c r="D56" s="192">
        <f ca="1">+'COMP Act to Prior'!D56</f>
        <v>-4586.5068196499997</v>
      </c>
      <c r="E56" s="190"/>
      <c r="F56" s="303">
        <f t="shared" ca="1" si="0"/>
        <v>-100.02426209999976</v>
      </c>
      <c r="G56" s="298"/>
      <c r="H56" s="325">
        <f t="shared" ca="1" si="1"/>
        <v>-1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-2814.5450987047816</v>
      </c>
      <c r="C58" s="76"/>
      <c r="D58" s="190">
        <f ca="1">+'COMP Act to Prior'!D58</f>
        <v>-2876.347380839572</v>
      </c>
      <c r="E58" s="190"/>
      <c r="F58" s="303">
        <f t="shared" ca="1" si="0"/>
        <v>-61.802282134790403</v>
      </c>
      <c r="G58" s="76"/>
      <c r="H58" s="325">
        <f t="shared" ca="1" si="1"/>
        <v>-1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5" priority="1" stopIfTrue="1" operator="equal">
      <formula>0</formula>
    </cfRule>
    <cfRule type="cellIs" dxfId="4" priority="2" stopIfTrue="1" operator="notEqual">
      <formula>0</formula>
    </cfRule>
  </conditionalFormatting>
  <printOptions horizontalCentered="1"/>
  <pageMargins left="0.5" right="0.5" top="0.5" bottom="0.5" header="0.5" footer="0.25"/>
  <pageSetup scale="83" orientation="portrait" r:id="rId1"/>
  <headerFooter>
    <oddFooter>&amp;Z&amp;F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"/>
  <sheetViews>
    <sheetView workbookViewId="0"/>
  </sheetViews>
  <sheetFormatPr defaultRowHeight="12.75"/>
  <sheetData/>
  <pageMargins left="0.7" right="0.7" top="0.75" bottom="0.75" header="0.3" footer="0.3"/>
  <pageSetup orientation="portrait" horizontalDpi="4294967293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0070C0"/>
    <pageSetUpPr fitToPage="1"/>
  </sheetPr>
  <dimension ref="A1:S7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X38" sqref="X38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0.7109375" style="43" customWidth="1"/>
    <col min="5" max="5" width="1.7109375" style="43" customWidth="1"/>
    <col min="6" max="6" width="20.7109375" style="43" customWidth="1"/>
    <col min="7" max="7" width="1.7109375" style="43" customWidth="1"/>
    <col min="8" max="8" width="20.7109375" style="43" customWidth="1"/>
    <col min="9" max="10" width="9.140625" style="43" hidden="1" customWidth="1"/>
    <col min="11" max="11" width="20.7109375" style="43" hidden="1" customWidth="1"/>
    <col min="12" max="12" width="1.7109375" style="43" hidden="1" customWidth="1"/>
    <col min="13" max="13" width="20.7109375" style="43" hidden="1" customWidth="1"/>
    <col min="14" max="14" width="1.7109375" style="43" hidden="1" customWidth="1"/>
    <col min="15" max="15" width="20.7109375" style="43" hidden="1" customWidth="1"/>
    <col min="16" max="16" width="1.7109375" style="43" hidden="1" customWidth="1"/>
    <col min="17" max="17" width="20.85546875" style="43" hidden="1" customWidth="1"/>
    <col min="18" max="19" width="9.140625" style="43" hidden="1" customWidth="1"/>
    <col min="20" max="20" width="0" style="43" hidden="1" customWidth="1"/>
    <col min="21" max="16384" width="9.140625" style="43"/>
  </cols>
  <sheetData>
    <row r="1" spans="1:17" ht="18">
      <c r="A1" s="45" t="s">
        <v>1046</v>
      </c>
      <c r="B1" s="45"/>
      <c r="C1" s="45"/>
      <c r="D1" s="45"/>
      <c r="E1" s="76"/>
      <c r="F1" s="45"/>
      <c r="G1" s="76"/>
      <c r="H1" s="45"/>
      <c r="L1" s="76"/>
      <c r="N1" s="76"/>
      <c r="P1" s="76"/>
    </row>
    <row r="2" spans="1:17" ht="18">
      <c r="A2" s="45" t="s">
        <v>1096</v>
      </c>
      <c r="B2" s="45"/>
      <c r="C2" s="45"/>
      <c r="D2" s="45"/>
      <c r="E2" s="76"/>
      <c r="F2" s="45"/>
      <c r="G2" s="76"/>
      <c r="H2" s="45"/>
      <c r="L2" s="76"/>
      <c r="N2" s="76"/>
      <c r="P2" s="76"/>
    </row>
    <row r="3" spans="1:17" ht="18">
      <c r="A3" s="48" t="s">
        <v>1048</v>
      </c>
      <c r="B3" s="48"/>
      <c r="C3" s="48"/>
      <c r="D3" s="48"/>
      <c r="E3" s="76"/>
      <c r="F3" s="48"/>
      <c r="G3" s="76"/>
      <c r="H3" s="48"/>
      <c r="L3" s="76"/>
      <c r="N3" s="76"/>
      <c r="P3" s="76"/>
    </row>
    <row r="4" spans="1:17" ht="15.75" customHeight="1">
      <c r="A4" s="48"/>
      <c r="B4" s="48"/>
      <c r="C4" s="48"/>
      <c r="D4" s="48"/>
      <c r="E4" s="76"/>
      <c r="F4" s="48"/>
      <c r="G4" s="76"/>
      <c r="H4" s="48"/>
      <c r="L4" s="76"/>
      <c r="N4" s="76"/>
      <c r="P4" s="76"/>
    </row>
    <row r="5" spans="1:17" ht="15.75" customHeight="1">
      <c r="A5" s="375"/>
      <c r="B5" s="257"/>
      <c r="C5" s="375"/>
      <c r="D5" s="257"/>
      <c r="E5" s="76"/>
      <c r="F5" s="257"/>
      <c r="G5" s="76"/>
      <c r="H5" s="257"/>
      <c r="L5" s="76"/>
      <c r="N5" s="76"/>
      <c r="P5" s="76"/>
    </row>
    <row r="6" spans="1:17" s="52" customFormat="1" ht="15.75">
      <c r="A6" s="51" t="s">
        <v>1049</v>
      </c>
      <c r="B6" s="257" t="s">
        <v>3</v>
      </c>
      <c r="C6" s="51"/>
      <c r="D6" s="257" t="s">
        <v>3</v>
      </c>
      <c r="F6" s="257" t="s">
        <v>3</v>
      </c>
      <c r="H6" s="257" t="s">
        <v>3</v>
      </c>
      <c r="K6" s="257" t="s">
        <v>3</v>
      </c>
      <c r="M6" s="257" t="s">
        <v>3</v>
      </c>
      <c r="O6" s="257" t="s">
        <v>3</v>
      </c>
      <c r="Q6" s="257" t="s">
        <v>3</v>
      </c>
    </row>
    <row r="7" spans="1:17" s="52" customFormat="1" ht="15.75">
      <c r="A7" s="55" t="s">
        <v>1052</v>
      </c>
      <c r="B7" s="187" t="s">
        <v>1220</v>
      </c>
      <c r="C7" s="55"/>
      <c r="D7" s="187" t="s">
        <v>1217</v>
      </c>
      <c r="F7" s="187" t="s">
        <v>1218</v>
      </c>
      <c r="G7" s="55"/>
      <c r="H7" s="187" t="s">
        <v>1219</v>
      </c>
      <c r="K7" s="187" t="s">
        <v>1220</v>
      </c>
      <c r="L7" s="55"/>
      <c r="M7" s="187" t="s">
        <v>1217</v>
      </c>
      <c r="N7" s="55"/>
      <c r="O7" s="187" t="s">
        <v>1218</v>
      </c>
      <c r="P7" s="55"/>
      <c r="Q7" s="187" t="s">
        <v>1219</v>
      </c>
    </row>
    <row r="8" spans="1:17" ht="15.75">
      <c r="A8" s="52" t="s">
        <v>1056</v>
      </c>
      <c r="B8" s="76"/>
      <c r="C8" s="52"/>
      <c r="D8" s="76"/>
      <c r="E8" s="76"/>
      <c r="F8" s="76"/>
      <c r="G8" s="76"/>
      <c r="H8" s="76"/>
      <c r="K8" s="76"/>
      <c r="L8" s="76"/>
      <c r="M8" s="76"/>
      <c r="N8" s="76"/>
      <c r="O8" s="76"/>
      <c r="P8" s="76"/>
      <c r="Q8" s="76"/>
    </row>
    <row r="9" spans="1:17">
      <c r="A9" s="76" t="s">
        <v>472</v>
      </c>
      <c r="B9" s="432">
        <v>1785890.9104191966</v>
      </c>
      <c r="C9" s="76"/>
      <c r="D9" s="432">
        <v>1870735.7130179643</v>
      </c>
      <c r="E9" s="76"/>
      <c r="F9" s="432">
        <v>1960061.5063344715</v>
      </c>
      <c r="G9" s="303"/>
      <c r="H9" s="432">
        <f ca="1">+'COMP Act to Prior'!D9</f>
        <v>2025527.3874393962</v>
      </c>
      <c r="K9" s="432">
        <v>1785890.9104191966</v>
      </c>
      <c r="L9" s="303"/>
      <c r="M9" s="432">
        <v>1870735.7130179643</v>
      </c>
      <c r="N9" s="303"/>
      <c r="O9" s="432">
        <v>1960061.5063344715</v>
      </c>
      <c r="P9" s="303"/>
      <c r="Q9" s="432">
        <v>2024569.5878616774</v>
      </c>
    </row>
    <row r="10" spans="1:17">
      <c r="A10" s="76" t="s">
        <v>190</v>
      </c>
      <c r="B10" s="303">
        <v>46373.210476923094</v>
      </c>
      <c r="C10" s="76"/>
      <c r="D10" s="303">
        <v>29593.656555384645</v>
      </c>
      <c r="E10" s="76"/>
      <c r="F10" s="303">
        <v>13040.350106923055</v>
      </c>
      <c r="G10" s="303"/>
      <c r="H10" s="303">
        <f ca="1">+'COMP Act to Prior'!D10</f>
        <v>26412.458933076909</v>
      </c>
      <c r="K10" s="303">
        <v>46373.210476923094</v>
      </c>
      <c r="L10" s="303"/>
      <c r="M10" s="303">
        <v>29593.656555384645</v>
      </c>
      <c r="N10" s="303"/>
      <c r="O10" s="303">
        <v>13040.350106923055</v>
      </c>
      <c r="P10" s="303"/>
      <c r="Q10" s="303">
        <v>17286.934380000021</v>
      </c>
    </row>
    <row r="11" spans="1:17">
      <c r="A11" s="76" t="s">
        <v>1057</v>
      </c>
      <c r="B11" s="303">
        <v>0</v>
      </c>
      <c r="C11" s="76"/>
      <c r="D11" s="303">
        <v>0</v>
      </c>
      <c r="E11" s="76"/>
      <c r="F11" s="303">
        <v>0</v>
      </c>
      <c r="G11" s="190"/>
      <c r="H11" s="303">
        <f ca="1">+'COMP Act to Prior'!D11</f>
        <v>0</v>
      </c>
      <c r="K11" s="303">
        <v>0</v>
      </c>
      <c r="L11" s="190"/>
      <c r="M11" s="303">
        <v>0</v>
      </c>
      <c r="N11" s="190"/>
      <c r="O11" s="303">
        <v>0</v>
      </c>
      <c r="P11" s="190"/>
      <c r="Q11" s="303">
        <v>0</v>
      </c>
    </row>
    <row r="12" spans="1:17">
      <c r="A12" s="76" t="s">
        <v>478</v>
      </c>
      <c r="B12" s="303">
        <v>2030.3262692307692</v>
      </c>
      <c r="C12" s="76"/>
      <c r="D12" s="303">
        <v>1561.2880053846154</v>
      </c>
      <c r="E12" s="76"/>
      <c r="F12" s="303">
        <v>1000</v>
      </c>
      <c r="G12" s="190"/>
      <c r="H12" s="303">
        <f ca="1">+'COMP Act to Prior'!D12</f>
        <v>1184.5254784615386</v>
      </c>
      <c r="K12" s="303">
        <v>2030.3262692307692</v>
      </c>
      <c r="L12" s="190"/>
      <c r="M12" s="303">
        <v>1561.2880053846154</v>
      </c>
      <c r="N12" s="190"/>
      <c r="O12" s="303">
        <v>1000</v>
      </c>
      <c r="P12" s="190"/>
      <c r="Q12" s="303">
        <v>1000</v>
      </c>
    </row>
    <row r="13" spans="1:17">
      <c r="A13" s="76" t="s">
        <v>1058</v>
      </c>
      <c r="B13" s="191">
        <v>-20932.047970797128</v>
      </c>
      <c r="C13" s="76"/>
      <c r="D13" s="191">
        <v>-18947.117027738874</v>
      </c>
      <c r="E13" s="76"/>
      <c r="F13" s="191">
        <v>-16602.634419277274</v>
      </c>
      <c r="G13" s="190"/>
      <c r="H13" s="191">
        <f ca="1">+'COMP Act to Prior'!D13</f>
        <v>-28792.100266969584</v>
      </c>
      <c r="K13" s="191">
        <v>-20932.047970797128</v>
      </c>
      <c r="L13" s="190"/>
      <c r="M13" s="191">
        <v>-18947.117027738874</v>
      </c>
      <c r="N13" s="190"/>
      <c r="O13" s="191">
        <v>-16602.634419277274</v>
      </c>
      <c r="P13" s="190"/>
      <c r="Q13" s="191">
        <v>-12278.534419277286</v>
      </c>
    </row>
    <row r="14" spans="1:17" ht="8.1" customHeight="1">
      <c r="A14" s="76"/>
      <c r="B14" s="300"/>
      <c r="C14" s="76"/>
      <c r="D14" s="300"/>
      <c r="E14" s="76"/>
      <c r="F14" s="300"/>
      <c r="G14" s="76"/>
      <c r="H14" s="300"/>
      <c r="K14" s="300"/>
      <c r="L14" s="76"/>
      <c r="M14" s="300"/>
      <c r="N14" s="76"/>
      <c r="O14" s="300"/>
      <c r="P14" s="76"/>
      <c r="Q14" s="300"/>
    </row>
    <row r="15" spans="1:17" ht="15.75">
      <c r="A15" s="475" t="s">
        <v>727</v>
      </c>
      <c r="B15" s="61">
        <v>1813362.3992000001</v>
      </c>
      <c r="C15" s="52"/>
      <c r="D15" s="61">
        <v>1882943.5405999999</v>
      </c>
      <c r="E15" s="52"/>
      <c r="F15" s="61">
        <v>1957499.2220000001</v>
      </c>
      <c r="G15" s="50"/>
      <c r="H15" s="61">
        <f ca="1">+'COMP Act to Prior'!D15</f>
        <v>2024332.2716000001</v>
      </c>
      <c r="K15" s="61">
        <v>1813362.3992000001</v>
      </c>
      <c r="L15" s="50"/>
      <c r="M15" s="61">
        <v>1882943.5405999999</v>
      </c>
      <c r="N15" s="50"/>
      <c r="O15" s="61">
        <v>1957499.2220000001</v>
      </c>
      <c r="P15" s="50"/>
      <c r="Q15" s="61">
        <v>2030577.9878</v>
      </c>
    </row>
    <row r="16" spans="1:17" ht="8.1" customHeight="1">
      <c r="A16" s="76"/>
      <c r="B16" s="76"/>
      <c r="C16" s="76"/>
      <c r="D16" s="76"/>
      <c r="E16" s="76"/>
      <c r="F16" s="76"/>
      <c r="G16" s="76"/>
      <c r="H16" s="76"/>
      <c r="K16" s="76"/>
      <c r="L16" s="76"/>
      <c r="M16" s="76"/>
      <c r="N16" s="76"/>
      <c r="O16" s="76"/>
      <c r="P16" s="76"/>
      <c r="Q16" s="76"/>
    </row>
    <row r="17" spans="1:17" s="52" customFormat="1" ht="15.75">
      <c r="A17" s="475" t="s">
        <v>1059</v>
      </c>
      <c r="B17" s="62">
        <v>100144.9038</v>
      </c>
      <c r="D17" s="62">
        <v>100530.30560000001</v>
      </c>
      <c r="F17" s="62">
        <v>101397.5085</v>
      </c>
      <c r="G17" s="63"/>
      <c r="H17" s="62">
        <f ca="1">+'COMP Act to Prior'!D17</f>
        <v>111760.75260000001</v>
      </c>
      <c r="K17" s="62">
        <v>100141.6911</v>
      </c>
      <c r="L17" s="63"/>
      <c r="M17" s="62">
        <v>100529.8174</v>
      </c>
      <c r="N17" s="63"/>
      <c r="O17" s="62">
        <v>101398.1635</v>
      </c>
      <c r="P17" s="63"/>
      <c r="Q17" s="62">
        <v>104961.26609999999</v>
      </c>
    </row>
    <row r="18" spans="1:17" ht="8.1" customHeight="1">
      <c r="A18" s="76"/>
      <c r="B18" s="76"/>
      <c r="C18" s="76"/>
      <c r="D18" s="76"/>
      <c r="E18" s="76"/>
      <c r="F18" s="76"/>
      <c r="G18" s="76"/>
      <c r="H18" s="76"/>
      <c r="K18" s="76"/>
      <c r="L18" s="76"/>
      <c r="M18" s="76"/>
      <c r="N18" s="76"/>
      <c r="O18" s="76"/>
      <c r="P18" s="76"/>
      <c r="Q18" s="76"/>
    </row>
    <row r="19" spans="1:17">
      <c r="A19" s="76" t="s">
        <v>1060</v>
      </c>
      <c r="B19" s="298">
        <v>5.5199999999999999E-2</v>
      </c>
      <c r="C19" s="76"/>
      <c r="D19" s="298">
        <v>5.3400000000000003E-2</v>
      </c>
      <c r="E19" s="76"/>
      <c r="F19" s="298">
        <v>5.1799999999999999E-2</v>
      </c>
      <c r="G19" s="298"/>
      <c r="H19" s="298">
        <f ca="1">+'COMP Act to Prior'!D19</f>
        <v>5.5199999999999999E-2</v>
      </c>
      <c r="K19" s="298">
        <v>5.5199999999999999E-2</v>
      </c>
      <c r="L19" s="298"/>
      <c r="M19" s="298">
        <v>5.3400000000000003E-2</v>
      </c>
      <c r="N19" s="298"/>
      <c r="O19" s="298">
        <v>5.1799999999999999E-2</v>
      </c>
      <c r="P19" s="298"/>
      <c r="Q19" s="298">
        <v>5.1700000000000003E-2</v>
      </c>
    </row>
    <row r="20" spans="1:17">
      <c r="A20" s="76" t="s">
        <v>1061</v>
      </c>
      <c r="B20" s="299">
        <v>1.5100000000000001E-2</v>
      </c>
      <c r="C20" s="76"/>
      <c r="D20" s="299">
        <v>1.5800000000000002E-2</v>
      </c>
      <c r="E20" s="76"/>
      <c r="F20" s="299">
        <v>1.66E-2</v>
      </c>
      <c r="G20" s="298"/>
      <c r="H20" s="299">
        <f ca="1">+'COMP Act to Prior'!D20</f>
        <v>1.7999999999999999E-2</v>
      </c>
      <c r="K20" s="299">
        <v>1.5100000000000001E-2</v>
      </c>
      <c r="L20" s="298"/>
      <c r="M20" s="299">
        <v>1.5800000000000002E-2</v>
      </c>
      <c r="N20" s="298"/>
      <c r="O20" s="299">
        <v>1.66E-2</v>
      </c>
      <c r="P20" s="298"/>
      <c r="Q20" s="299">
        <v>1.7299999999999999E-2</v>
      </c>
    </row>
    <row r="21" spans="1:17" ht="8.1" customHeight="1">
      <c r="A21" s="76"/>
      <c r="B21" s="300"/>
      <c r="C21" s="76"/>
      <c r="D21" s="300"/>
      <c r="E21" s="76"/>
      <c r="F21" s="300"/>
      <c r="G21" s="298"/>
      <c r="H21" s="300"/>
      <c r="K21" s="300"/>
      <c r="L21" s="298"/>
      <c r="M21" s="300"/>
      <c r="N21" s="298"/>
      <c r="O21" s="300"/>
      <c r="P21" s="298"/>
      <c r="Q21" s="300"/>
    </row>
    <row r="22" spans="1:17">
      <c r="A22" s="76" t="s">
        <v>1062</v>
      </c>
      <c r="B22" s="298">
        <v>4.0099999999999997E-2</v>
      </c>
      <c r="C22" s="76"/>
      <c r="D22" s="298">
        <v>3.7600000000000001E-2</v>
      </c>
      <c r="E22" s="76"/>
      <c r="F22" s="298">
        <v>3.5200000000000002E-2</v>
      </c>
      <c r="G22" s="298"/>
      <c r="H22" s="298">
        <f ca="1">+'COMP Act to Prior'!D22</f>
        <v>3.7199999999999997E-2</v>
      </c>
      <c r="K22" s="298">
        <v>4.0099999999999997E-2</v>
      </c>
      <c r="L22" s="298"/>
      <c r="M22" s="298">
        <v>3.7600000000000001E-2</v>
      </c>
      <c r="N22" s="298"/>
      <c r="O22" s="298">
        <v>3.5200000000000002E-2</v>
      </c>
      <c r="P22" s="298"/>
      <c r="Q22" s="298">
        <v>3.44E-2</v>
      </c>
    </row>
    <row r="23" spans="1:17">
      <c r="A23" s="983" t="s">
        <v>1063</v>
      </c>
      <c r="B23" s="299">
        <v>0.47120000000000001</v>
      </c>
      <c r="C23" s="76"/>
      <c r="D23" s="299">
        <v>0.47270000000000001</v>
      </c>
      <c r="E23" s="76"/>
      <c r="F23" s="299">
        <v>0.47410000000000002</v>
      </c>
      <c r="G23" s="298"/>
      <c r="H23" s="299">
        <f ca="1">+'COMP Act to Prior'!D23</f>
        <v>0.47539999999999999</v>
      </c>
      <c r="K23" s="299">
        <v>0.47120000000000001</v>
      </c>
      <c r="L23" s="298"/>
      <c r="M23" s="299">
        <v>0.47270000000000001</v>
      </c>
      <c r="N23" s="298"/>
      <c r="O23" s="299">
        <v>0.47410000000000002</v>
      </c>
      <c r="P23" s="298"/>
      <c r="Q23" s="299">
        <v>0.4753</v>
      </c>
    </row>
    <row r="24" spans="1:17">
      <c r="A24" s="76"/>
      <c r="B24" s="300"/>
      <c r="C24" s="76"/>
      <c r="D24" s="300"/>
      <c r="E24" s="76"/>
      <c r="F24" s="300"/>
      <c r="G24" s="298"/>
      <c r="H24" s="300"/>
      <c r="K24" s="300"/>
      <c r="L24" s="298"/>
      <c r="M24" s="300"/>
      <c r="N24" s="298"/>
      <c r="O24" s="300"/>
      <c r="P24" s="298"/>
      <c r="Q24" s="300"/>
    </row>
    <row r="25" spans="1:17" s="52" customFormat="1" ht="15.75">
      <c r="A25" s="475" t="s">
        <v>1064</v>
      </c>
      <c r="B25" s="65">
        <v>8.5199999999999998E-2</v>
      </c>
      <c r="D25" s="65">
        <v>7.9500000000000001E-2</v>
      </c>
      <c r="F25" s="65">
        <v>7.4200000000000002E-2</v>
      </c>
      <c r="G25" s="65"/>
      <c r="H25" s="65">
        <f ca="1">+'COMP Act to Prior'!D25</f>
        <v>7.8100000000000003E-2</v>
      </c>
      <c r="K25" s="65">
        <v>8.5099999999999995E-2</v>
      </c>
      <c r="L25" s="65"/>
      <c r="M25" s="65">
        <v>7.9500000000000001E-2</v>
      </c>
      <c r="N25" s="65"/>
      <c r="O25" s="65">
        <v>7.4200000000000002E-2</v>
      </c>
      <c r="P25" s="65"/>
      <c r="Q25" s="65">
        <v>7.2400000000000006E-2</v>
      </c>
    </row>
    <row r="26" spans="1:17" s="66" customFormat="1" ht="4.5" customHeight="1">
      <c r="A26" s="322"/>
      <c r="B26" s="301"/>
      <c r="C26" s="322"/>
      <c r="D26" s="301"/>
      <c r="E26" s="322"/>
      <c r="F26" s="301"/>
      <c r="G26" s="322"/>
      <c r="H26" s="301"/>
      <c r="K26" s="301"/>
      <c r="L26" s="322"/>
      <c r="M26" s="301"/>
      <c r="N26" s="322"/>
      <c r="O26" s="301"/>
      <c r="P26" s="322"/>
      <c r="Q26" s="301"/>
    </row>
    <row r="27" spans="1:17" ht="4.5" customHeight="1">
      <c r="A27" s="76"/>
      <c r="B27" s="76"/>
      <c r="C27" s="76"/>
      <c r="D27" s="76"/>
      <c r="E27" s="76"/>
      <c r="F27" s="76"/>
      <c r="G27" s="76"/>
      <c r="H27" s="76"/>
      <c r="K27" s="76"/>
      <c r="L27" s="76"/>
      <c r="M27" s="76"/>
      <c r="N27" s="76"/>
      <c r="O27" s="76"/>
      <c r="P27" s="76"/>
      <c r="Q27" s="76"/>
    </row>
    <row r="28" spans="1:17">
      <c r="A28" s="76" t="s">
        <v>1065</v>
      </c>
      <c r="B28" s="433">
        <v>126496.92737999995</v>
      </c>
      <c r="C28" s="76"/>
      <c r="D28" s="433">
        <v>126960.53380000003</v>
      </c>
      <c r="E28" s="190"/>
      <c r="F28" s="433">
        <v>127522.93514999999</v>
      </c>
      <c r="G28" s="303"/>
      <c r="H28" s="433">
        <f ca="1">+'COMP Act to Prior'!D28</f>
        <v>140503.29999999996</v>
      </c>
      <c r="K28" s="433">
        <v>126496.92737999995</v>
      </c>
      <c r="L28" s="303"/>
      <c r="M28" s="433">
        <v>126960.53380000003</v>
      </c>
      <c r="N28" s="303"/>
      <c r="O28" s="433">
        <v>127522.93514999999</v>
      </c>
      <c r="P28" s="303"/>
      <c r="Q28" s="433">
        <v>131712.16215999992</v>
      </c>
    </row>
    <row r="29" spans="1:17">
      <c r="A29" s="76" t="s">
        <v>1066</v>
      </c>
      <c r="B29" s="984">
        <v>24694.894260000001</v>
      </c>
      <c r="C29" s="76"/>
      <c r="D29" s="984">
        <v>24366.5</v>
      </c>
      <c r="E29" s="190"/>
      <c r="F29" s="434">
        <v>23665.399999999998</v>
      </c>
      <c r="G29" s="303"/>
      <c r="H29" s="434">
        <f ca="1">+'COMP Act to Prior'!D29</f>
        <v>25866.2</v>
      </c>
      <c r="K29" s="1031">
        <v>24694.894260000001</v>
      </c>
      <c r="L29" s="303"/>
      <c r="M29" s="1031">
        <v>24366.5</v>
      </c>
      <c r="N29" s="303"/>
      <c r="O29" s="1032">
        <v>23665.399999999998</v>
      </c>
      <c r="P29" s="303"/>
      <c r="Q29" s="1032">
        <v>23931.4</v>
      </c>
    </row>
    <row r="30" spans="1:17">
      <c r="A30" s="978" t="s">
        <v>1067</v>
      </c>
      <c r="B30" s="191">
        <v>0</v>
      </c>
      <c r="C30" s="978"/>
      <c r="D30" s="191">
        <v>0</v>
      </c>
      <c r="E30" s="190"/>
      <c r="F30" s="191">
        <v>0</v>
      </c>
      <c r="G30" s="190"/>
      <c r="H30" s="191">
        <f>+'COMP Act to Prior'!D30</f>
        <v>0</v>
      </c>
      <c r="K30" s="191">
        <v>0</v>
      </c>
      <c r="L30" s="190"/>
      <c r="M30" s="191">
        <v>0</v>
      </c>
      <c r="N30" s="190"/>
      <c r="O30" s="191">
        <v>0</v>
      </c>
      <c r="P30" s="190"/>
      <c r="Q30" s="191">
        <v>0</v>
      </c>
    </row>
    <row r="31" spans="1:17">
      <c r="A31" s="300" t="s">
        <v>1068</v>
      </c>
      <c r="B31" s="191">
        <v>24694.894260000001</v>
      </c>
      <c r="C31" s="300"/>
      <c r="D31" s="191">
        <v>24366.5</v>
      </c>
      <c r="E31" s="190"/>
      <c r="F31" s="191">
        <v>23665.399999999998</v>
      </c>
      <c r="G31" s="190"/>
      <c r="H31" s="191">
        <f ca="1">+'COMP Act to Prior'!D31</f>
        <v>25866.2</v>
      </c>
      <c r="K31" s="191">
        <v>24694.894260000001</v>
      </c>
      <c r="L31" s="190"/>
      <c r="M31" s="191">
        <v>24366.5</v>
      </c>
      <c r="N31" s="190"/>
      <c r="O31" s="191">
        <v>23665.399999999998</v>
      </c>
      <c r="P31" s="190"/>
      <c r="Q31" s="191">
        <v>23931.4</v>
      </c>
    </row>
    <row r="32" spans="1:17" ht="8.1" customHeight="1">
      <c r="A32" s="76"/>
      <c r="B32" s="302"/>
      <c r="C32" s="76"/>
      <c r="D32" s="302"/>
      <c r="E32" s="190"/>
      <c r="F32" s="302"/>
      <c r="G32" s="76"/>
      <c r="H32" s="302"/>
      <c r="K32" s="302"/>
      <c r="L32" s="76"/>
      <c r="M32" s="302"/>
      <c r="N32" s="76"/>
      <c r="O32" s="302"/>
      <c r="P32" s="76"/>
      <c r="Q32" s="302"/>
    </row>
    <row r="33" spans="1:17">
      <c r="A33" s="76" t="s">
        <v>1069</v>
      </c>
      <c r="B33" s="191">
        <v>101802.03311999995</v>
      </c>
      <c r="C33" s="76"/>
      <c r="D33" s="191">
        <v>102594.03380000003</v>
      </c>
      <c r="E33" s="190"/>
      <c r="F33" s="191">
        <v>103857.53515</v>
      </c>
      <c r="G33" s="303"/>
      <c r="H33" s="191">
        <f ca="1">+'COMP Act to Prior'!D33</f>
        <v>114637.09999999996</v>
      </c>
      <c r="K33" s="191">
        <v>101802.03311999995</v>
      </c>
      <c r="L33" s="303"/>
      <c r="M33" s="191">
        <v>102594.03380000003</v>
      </c>
      <c r="N33" s="303"/>
      <c r="O33" s="191">
        <v>103857.53515</v>
      </c>
      <c r="P33" s="303"/>
      <c r="Q33" s="191">
        <v>107780.76215999993</v>
      </c>
    </row>
    <row r="34" spans="1:17">
      <c r="A34" s="76"/>
      <c r="B34" s="190"/>
      <c r="C34" s="76"/>
      <c r="D34" s="190"/>
      <c r="E34" s="190"/>
      <c r="F34" s="190"/>
      <c r="G34" s="303"/>
      <c r="H34" s="190"/>
      <c r="K34" s="190"/>
      <c r="L34" s="303"/>
      <c r="M34" s="190"/>
      <c r="N34" s="303"/>
      <c r="O34" s="190"/>
      <c r="P34" s="303"/>
      <c r="Q34" s="190"/>
    </row>
    <row r="35" spans="1:17">
      <c r="A35" s="76" t="s">
        <v>1070</v>
      </c>
      <c r="B35" s="190">
        <v>0</v>
      </c>
      <c r="C35" s="76"/>
      <c r="D35" s="190">
        <v>0</v>
      </c>
      <c r="E35" s="190"/>
      <c r="F35" s="190">
        <v>0</v>
      </c>
      <c r="G35" s="303"/>
      <c r="H35" s="190">
        <f>+'COMP Act to Prior'!D35</f>
        <v>0</v>
      </c>
      <c r="K35" s="190">
        <v>0</v>
      </c>
      <c r="L35" s="303"/>
      <c r="M35" s="190">
        <v>0</v>
      </c>
      <c r="N35" s="303"/>
      <c r="O35" s="190">
        <v>0</v>
      </c>
      <c r="P35" s="303"/>
      <c r="Q35" s="190">
        <v>0</v>
      </c>
    </row>
    <row r="36" spans="1:17">
      <c r="A36" s="978" t="s">
        <v>1071</v>
      </c>
      <c r="B36" s="191">
        <v>-1657.1293136723011</v>
      </c>
      <c r="C36" s="978"/>
      <c r="D36" s="191">
        <v>-2063.7282056358313</v>
      </c>
      <c r="E36" s="190"/>
      <c r="F36" s="191">
        <v>-2460.0266491654147</v>
      </c>
      <c r="G36" s="76"/>
      <c r="H36" s="191">
        <f ca="1">+'COMP Act to Prior'!D36</f>
        <v>-2876.347380839572</v>
      </c>
      <c r="K36" s="191">
        <v>-1660.3419710473886</v>
      </c>
      <c r="L36" s="76"/>
      <c r="M36" s="191">
        <v>-2064.2163914423672</v>
      </c>
      <c r="N36" s="76"/>
      <c r="O36" s="191">
        <v>-2459.3716859134374</v>
      </c>
      <c r="P36" s="76"/>
      <c r="Q36" s="191">
        <v>-2819.4960389463222</v>
      </c>
    </row>
    <row r="37" spans="1:17" s="52" customFormat="1" ht="15.75">
      <c r="A37" s="52" t="s">
        <v>1059</v>
      </c>
      <c r="B37" s="62">
        <v>100144.90380632765</v>
      </c>
      <c r="D37" s="62">
        <v>100530.3055943642</v>
      </c>
      <c r="E37" s="68"/>
      <c r="F37" s="62">
        <v>101397.50850083458</v>
      </c>
      <c r="G37" s="63"/>
      <c r="H37" s="62">
        <f ca="1">+'COMP Act to Prior'!D37</f>
        <v>111760.7526191604</v>
      </c>
      <c r="K37" s="62">
        <v>100141.69114895257</v>
      </c>
      <c r="L37" s="63"/>
      <c r="M37" s="62">
        <v>100529.81740855766</v>
      </c>
      <c r="N37" s="63"/>
      <c r="O37" s="62">
        <v>101398.16346408655</v>
      </c>
      <c r="P37" s="63"/>
      <c r="Q37" s="62">
        <v>104961.2661210536</v>
      </c>
    </row>
    <row r="38" spans="1:17" s="66" customFormat="1" ht="14.1" customHeight="1">
      <c r="A38" s="322"/>
      <c r="B38" s="69"/>
      <c r="C38" s="322"/>
      <c r="D38" s="69"/>
      <c r="E38" s="191"/>
      <c r="F38" s="69"/>
      <c r="G38" s="327"/>
      <c r="H38" s="69"/>
      <c r="K38" s="69"/>
      <c r="L38" s="327"/>
      <c r="M38" s="69"/>
      <c r="N38" s="327"/>
      <c r="O38" s="69"/>
      <c r="P38" s="327"/>
      <c r="Q38" s="69"/>
    </row>
    <row r="39" spans="1:17" ht="4.5" customHeight="1">
      <c r="A39" s="76"/>
      <c r="B39" s="71"/>
      <c r="C39" s="76"/>
      <c r="D39" s="71"/>
      <c r="E39" s="190"/>
      <c r="F39" s="71"/>
      <c r="G39" s="328"/>
      <c r="H39" s="71"/>
      <c r="K39" s="71"/>
      <c r="L39" s="328"/>
      <c r="M39" s="71"/>
      <c r="N39" s="328"/>
      <c r="O39" s="71"/>
      <c r="P39" s="328"/>
      <c r="Q39" s="71"/>
    </row>
    <row r="40" spans="1:17" ht="15.75">
      <c r="A40" s="55" t="s">
        <v>1073</v>
      </c>
      <c r="B40" s="302"/>
      <c r="C40" s="55"/>
      <c r="D40" s="302"/>
      <c r="E40" s="190"/>
      <c r="F40" s="302"/>
      <c r="G40" s="190"/>
      <c r="H40" s="302"/>
      <c r="K40" s="302"/>
      <c r="L40" s="190"/>
      <c r="M40" s="302"/>
      <c r="N40" s="190"/>
      <c r="O40" s="302"/>
      <c r="P40" s="190"/>
      <c r="Q40" s="302"/>
    </row>
    <row r="41" spans="1:17">
      <c r="A41" s="76" t="s">
        <v>1074</v>
      </c>
      <c r="B41" s="192">
        <v>0</v>
      </c>
      <c r="C41" s="76"/>
      <c r="D41" s="192">
        <v>0</v>
      </c>
      <c r="E41" s="190"/>
      <c r="F41" s="192">
        <v>0</v>
      </c>
      <c r="G41" s="298"/>
      <c r="H41" s="192">
        <f ca="1">+'COMP Act to Prior'!D41</f>
        <v>0</v>
      </c>
      <c r="K41" s="192">
        <v>0</v>
      </c>
      <c r="L41" s="298"/>
      <c r="M41" s="192">
        <v>0</v>
      </c>
      <c r="N41" s="298"/>
      <c r="O41" s="192">
        <v>0</v>
      </c>
      <c r="P41" s="298"/>
      <c r="Q41" s="192">
        <v>0</v>
      </c>
    </row>
    <row r="42" spans="1:17">
      <c r="A42" s="76" t="s">
        <v>1075</v>
      </c>
      <c r="B42" s="192">
        <v>32.215670683224126</v>
      </c>
      <c r="C42" s="76"/>
      <c r="D42" s="192">
        <v>33.396343508819058</v>
      </c>
      <c r="E42" s="190"/>
      <c r="F42" s="192">
        <v>34.856977137684652</v>
      </c>
      <c r="G42" s="298"/>
      <c r="H42" s="192">
        <f ca="1">+'COMP Act to Prior'!D42</f>
        <v>28.980152780785676</v>
      </c>
      <c r="K42" s="192">
        <v>32.215670683224126</v>
      </c>
      <c r="L42" s="298"/>
      <c r="M42" s="192">
        <v>33.396343508819058</v>
      </c>
      <c r="N42" s="298"/>
      <c r="O42" s="192">
        <v>34.856977137684652</v>
      </c>
      <c r="P42" s="298"/>
      <c r="Q42" s="192">
        <v>35.898645635905254</v>
      </c>
    </row>
    <row r="43" spans="1:17">
      <c r="A43" s="76" t="s">
        <v>1076</v>
      </c>
      <c r="B43" s="192">
        <v>-239.28374569103431</v>
      </c>
      <c r="C43" s="76"/>
      <c r="D43" s="192">
        <v>-322.76923201515973</v>
      </c>
      <c r="E43" s="190"/>
      <c r="F43" s="192">
        <v>-376.66864830860902</v>
      </c>
      <c r="G43" s="298"/>
      <c r="H43" s="192">
        <f ca="1">+'COMP Act to Prior'!D43</f>
        <v>-435.55689744836917</v>
      </c>
      <c r="K43" s="192">
        <v>-239.28374569103431</v>
      </c>
      <c r="L43" s="298"/>
      <c r="M43" s="192">
        <v>-322.76923201515973</v>
      </c>
      <c r="N43" s="298"/>
      <c r="O43" s="192">
        <v>-376.66864830860902</v>
      </c>
      <c r="P43" s="298"/>
      <c r="Q43" s="192">
        <v>-397.22217298673559</v>
      </c>
    </row>
    <row r="44" spans="1:17">
      <c r="A44" s="76" t="s">
        <v>1077</v>
      </c>
      <c r="B44" s="192">
        <v>2099</v>
      </c>
      <c r="C44" s="76"/>
      <c r="D44" s="192">
        <v>2099</v>
      </c>
      <c r="E44" s="190"/>
      <c r="F44" s="192">
        <v>2099</v>
      </c>
      <c r="G44" s="298"/>
      <c r="H44" s="192">
        <f>+'COMP Act to Prior'!D44</f>
        <v>2099</v>
      </c>
      <c r="K44" s="192">
        <v>2099</v>
      </c>
      <c r="L44" s="298"/>
      <c r="M44" s="192">
        <v>2099</v>
      </c>
      <c r="N44" s="298"/>
      <c r="O44" s="192">
        <v>2099</v>
      </c>
      <c r="P44" s="298"/>
      <c r="Q44" s="192">
        <v>2099</v>
      </c>
    </row>
    <row r="45" spans="1:17">
      <c r="A45" s="76" t="s">
        <v>1078</v>
      </c>
      <c r="B45" s="192">
        <v>0</v>
      </c>
      <c r="C45" s="76"/>
      <c r="D45" s="192">
        <v>0</v>
      </c>
      <c r="E45" s="190"/>
      <c r="F45" s="192">
        <v>0</v>
      </c>
      <c r="G45" s="298"/>
      <c r="H45" s="192">
        <f ca="1">+'COMP Act to Prior'!D45</f>
        <v>0</v>
      </c>
      <c r="K45" s="192">
        <v>0</v>
      </c>
      <c r="L45" s="298"/>
      <c r="M45" s="192">
        <v>0</v>
      </c>
      <c r="N45" s="298"/>
      <c r="O45" s="192">
        <v>0</v>
      </c>
      <c r="P45" s="298"/>
      <c r="Q45" s="192">
        <v>0</v>
      </c>
    </row>
    <row r="46" spans="1:17">
      <c r="A46" s="76" t="s">
        <v>1079</v>
      </c>
      <c r="B46" s="192">
        <v>1.3736520000000001</v>
      </c>
      <c r="C46" s="76"/>
      <c r="D46" s="192">
        <v>4.7331269999999996</v>
      </c>
      <c r="E46" s="190"/>
      <c r="F46" s="192">
        <v>7.4655000000000005</v>
      </c>
      <c r="G46" s="298"/>
      <c r="H46" s="192">
        <f ca="1">+'COMP Act to Prior'!D46</f>
        <v>13.437899999999999</v>
      </c>
      <c r="K46" s="192">
        <v>2.4934769999999999</v>
      </c>
      <c r="L46" s="298"/>
      <c r="M46" s="192">
        <v>5.8529520000000002</v>
      </c>
      <c r="N46" s="298"/>
      <c r="O46" s="192">
        <v>8.585325000000001</v>
      </c>
      <c r="P46" s="298"/>
      <c r="Q46" s="192">
        <v>13.437899999999999</v>
      </c>
    </row>
    <row r="47" spans="1:17">
      <c r="A47" s="76" t="s">
        <v>1080</v>
      </c>
      <c r="B47" s="192">
        <v>59.744836210500004</v>
      </c>
      <c r="C47" s="76"/>
      <c r="D47" s="192">
        <v>59.744836210500004</v>
      </c>
      <c r="E47" s="190"/>
      <c r="F47" s="192">
        <v>59.744836210499997</v>
      </c>
      <c r="G47" s="298"/>
      <c r="H47" s="192">
        <f ca="1">+'COMP Act to Prior'!D47</f>
        <v>59.108476990500002</v>
      </c>
      <c r="K47" s="192">
        <v>61.249365891000004</v>
      </c>
      <c r="L47" s="298"/>
      <c r="M47" s="192">
        <v>61.523954446499999</v>
      </c>
      <c r="N47" s="298"/>
      <c r="O47" s="192">
        <v>64.134841364999986</v>
      </c>
      <c r="P47" s="298"/>
      <c r="Q47" s="192">
        <v>59.744836210500004</v>
      </c>
    </row>
    <row r="48" spans="1:17">
      <c r="A48" s="76" t="s">
        <v>1081</v>
      </c>
      <c r="B48" s="192">
        <v>-67.612898367002344</v>
      </c>
      <c r="C48" s="76"/>
      <c r="D48" s="192">
        <v>-63.456750000001193</v>
      </c>
      <c r="E48" s="190"/>
      <c r="F48" s="192">
        <v>-65.995020000002114</v>
      </c>
      <c r="G48" s="298"/>
      <c r="H48" s="192">
        <f ca="1">+'COMP Act to Prior'!D48</f>
        <v>0</v>
      </c>
      <c r="K48" s="192">
        <v>-75.227708366997831</v>
      </c>
      <c r="L48" s="298"/>
      <c r="M48" s="192">
        <v>-69.578459999996994</v>
      </c>
      <c r="N48" s="298"/>
      <c r="O48" s="192">
        <v>-72.863279999997758</v>
      </c>
      <c r="P48" s="298"/>
      <c r="Q48" s="192">
        <v>-89.06341500000417</v>
      </c>
    </row>
    <row r="49" spans="1:17">
      <c r="A49" s="76" t="s">
        <v>1082</v>
      </c>
      <c r="B49" s="192">
        <v>28.703727937785601</v>
      </c>
      <c r="C49" s="76"/>
      <c r="D49" s="192">
        <v>28.703727937785601</v>
      </c>
      <c r="E49" s="190"/>
      <c r="F49" s="192">
        <v>28.703727937785594</v>
      </c>
      <c r="G49" s="298"/>
      <c r="H49" s="192">
        <f ca="1">+'COMP Act to Prior'!D49</f>
        <v>28.703727937785594</v>
      </c>
      <c r="K49" s="192">
        <v>30.2200894921464</v>
      </c>
      <c r="L49" s="298"/>
      <c r="M49" s="192">
        <v>31.092630877476005</v>
      </c>
      <c r="N49" s="298"/>
      <c r="O49" s="192">
        <v>30.333432409307996</v>
      </c>
      <c r="P49" s="298"/>
      <c r="Q49" s="192">
        <v>28.703727937785594</v>
      </c>
    </row>
    <row r="50" spans="1:17">
      <c r="A50" s="76" t="s">
        <v>1083</v>
      </c>
      <c r="B50" s="192">
        <v>4.4270182972260006</v>
      </c>
      <c r="C50" s="76"/>
      <c r="D50" s="192">
        <v>4.4270182972260006</v>
      </c>
      <c r="E50" s="190"/>
      <c r="F50" s="192">
        <v>4.4270182972260006</v>
      </c>
      <c r="G50" s="298"/>
      <c r="H50" s="192">
        <f ca="1">+'COMP Act to Prior'!D50</f>
        <v>4.4270182972260006</v>
      </c>
      <c r="K50" s="192">
        <v>4.6884546872730004</v>
      </c>
      <c r="L50" s="298"/>
      <c r="M50" s="192">
        <v>4.7726963149949997</v>
      </c>
      <c r="N50" s="298"/>
      <c r="O50" s="192">
        <v>4.8107069231760002</v>
      </c>
      <c r="P50" s="298"/>
      <c r="Q50" s="192">
        <v>4.4270182972260006</v>
      </c>
    </row>
    <row r="51" spans="1:17">
      <c r="A51" s="76" t="s">
        <v>1084</v>
      </c>
      <c r="B51" s="192">
        <v>0</v>
      </c>
      <c r="C51" s="76"/>
      <c r="D51" s="192">
        <v>0</v>
      </c>
      <c r="E51" s="190"/>
      <c r="F51" s="192">
        <v>0</v>
      </c>
      <c r="G51" s="298"/>
      <c r="H51" s="192">
        <f>+'COMP Act to Prior'!D51</f>
        <v>0</v>
      </c>
      <c r="K51" s="192">
        <v>0</v>
      </c>
      <c r="L51" s="298"/>
      <c r="M51" s="192">
        <v>0</v>
      </c>
      <c r="N51" s="298"/>
      <c r="O51" s="192">
        <v>0</v>
      </c>
      <c r="P51" s="298"/>
      <c r="Q51" s="192">
        <v>0</v>
      </c>
    </row>
    <row r="52" spans="1:17">
      <c r="A52" s="76" t="s">
        <v>1085</v>
      </c>
      <c r="B52" s="192">
        <v>0</v>
      </c>
      <c r="C52" s="76"/>
      <c r="D52" s="192">
        <v>0</v>
      </c>
      <c r="E52" s="76"/>
      <c r="F52" s="192">
        <v>0</v>
      </c>
      <c r="G52" s="298"/>
      <c r="H52" s="192">
        <f>+'COMP Act to Prior'!D52</f>
        <v>0</v>
      </c>
      <c r="K52" s="192">
        <v>0</v>
      </c>
      <c r="L52" s="298"/>
      <c r="M52" s="192">
        <v>0</v>
      </c>
      <c r="N52" s="298"/>
      <c r="O52" s="192">
        <v>0</v>
      </c>
      <c r="P52" s="298"/>
      <c r="Q52" s="192">
        <v>0</v>
      </c>
    </row>
    <row r="53" spans="1:17">
      <c r="A53" s="200" t="s">
        <v>65</v>
      </c>
      <c r="B53" s="192">
        <v>-87.940603800000005</v>
      </c>
      <c r="C53" s="200"/>
      <c r="D53" s="192">
        <v>-87.940603800000005</v>
      </c>
      <c r="E53" s="76"/>
      <c r="F53" s="192">
        <v>-87.940603800000005</v>
      </c>
      <c r="G53" s="298"/>
      <c r="H53" s="192">
        <f ca="1">+'COMP Act to Prior'!D53</f>
        <v>-87.940603800000005</v>
      </c>
      <c r="K53" s="192">
        <v>-87.940603800000005</v>
      </c>
      <c r="L53" s="298"/>
      <c r="M53" s="192">
        <v>-87.940603800000005</v>
      </c>
      <c r="N53" s="298"/>
      <c r="O53" s="192">
        <v>-87.940603800000005</v>
      </c>
      <c r="P53" s="298"/>
      <c r="Q53" s="192">
        <v>-87.940603800000005</v>
      </c>
    </row>
    <row r="54" spans="1:17">
      <c r="A54" s="76" t="s">
        <v>1086</v>
      </c>
      <c r="B54" s="192">
        <v>0</v>
      </c>
      <c r="C54" s="76"/>
      <c r="D54" s="192">
        <v>0</v>
      </c>
      <c r="E54" s="76"/>
      <c r="F54" s="192">
        <v>0</v>
      </c>
      <c r="G54" s="298"/>
      <c r="H54" s="192">
        <f>+'COMP Act to Prior'!D54</f>
        <v>0</v>
      </c>
      <c r="K54" s="192">
        <v>0</v>
      </c>
      <c r="L54" s="298"/>
      <c r="M54" s="192">
        <v>0</v>
      </c>
      <c r="N54" s="298"/>
      <c r="O54" s="192">
        <v>0</v>
      </c>
      <c r="P54" s="298"/>
      <c r="Q54" s="192">
        <v>0</v>
      </c>
    </row>
    <row r="55" spans="1:17">
      <c r="A55" s="76" t="s">
        <v>66</v>
      </c>
      <c r="B55" s="192">
        <v>-7.913429999462096E-4</v>
      </c>
      <c r="C55" s="76"/>
      <c r="D55" s="192">
        <v>-3.7327500058381702E-4</v>
      </c>
      <c r="E55" s="190"/>
      <c r="F55" s="192">
        <v>8.9586000058261561E-4</v>
      </c>
      <c r="G55" s="298"/>
      <c r="H55" s="192">
        <f ca="1">+'COMP Act to Prior'!D55</f>
        <v>-3.3594749993426376E-4</v>
      </c>
      <c r="K55" s="192">
        <v>-7.913429999462096E-4</v>
      </c>
      <c r="L55" s="298"/>
      <c r="M55" s="192">
        <v>-3.7327500058381702E-4</v>
      </c>
      <c r="N55" s="298"/>
      <c r="O55" s="192">
        <v>8.9586000058261561E-4</v>
      </c>
      <c r="P55" s="298"/>
      <c r="Q55" s="192">
        <v>5.8230900094713434E-4</v>
      </c>
    </row>
    <row r="56" spans="1:17">
      <c r="A56" s="76" t="s">
        <v>67</v>
      </c>
      <c r="B56" s="192">
        <v>-3487.7561796</v>
      </c>
      <c r="C56" s="76"/>
      <c r="D56" s="192">
        <v>-3819.5662995000002</v>
      </c>
      <c r="E56" s="190"/>
      <c r="F56" s="192">
        <v>-4163.6213324999999</v>
      </c>
      <c r="G56" s="298"/>
      <c r="H56" s="192">
        <f ca="1">+'COMP Act to Prior'!D56</f>
        <v>-4586.5068196499997</v>
      </c>
      <c r="K56" s="192">
        <v>-3487.7561796</v>
      </c>
      <c r="L56" s="298"/>
      <c r="M56" s="192">
        <v>-3819.5662995000002</v>
      </c>
      <c r="N56" s="298"/>
      <c r="O56" s="192">
        <v>-4163.6213324999999</v>
      </c>
      <c r="P56" s="298"/>
      <c r="Q56" s="192">
        <v>-4486.4825575499999</v>
      </c>
    </row>
    <row r="57" spans="1:17" ht="15.2" customHeight="1">
      <c r="A57" s="76" t="s">
        <v>1087</v>
      </c>
      <c r="B57" s="191">
        <v>0</v>
      </c>
      <c r="C57" s="76"/>
      <c r="D57" s="191">
        <v>0</v>
      </c>
      <c r="E57" s="190"/>
      <c r="F57" s="191">
        <v>0</v>
      </c>
      <c r="G57" s="76"/>
      <c r="H57" s="191">
        <f>+'COMP Act to Prior'!D57</f>
        <v>0</v>
      </c>
      <c r="K57" s="191">
        <v>0</v>
      </c>
      <c r="L57" s="76"/>
      <c r="M57" s="191">
        <v>0</v>
      </c>
      <c r="N57" s="76"/>
      <c r="O57" s="191">
        <v>0</v>
      </c>
      <c r="P57" s="76"/>
      <c r="Q57" s="191">
        <v>0</v>
      </c>
    </row>
    <row r="58" spans="1:17" ht="15.2" customHeight="1">
      <c r="A58" s="76" t="s">
        <v>1088</v>
      </c>
      <c r="B58" s="190">
        <v>-1657.1293136723011</v>
      </c>
      <c r="C58" s="76"/>
      <c r="D58" s="190">
        <v>-2063.7282056358313</v>
      </c>
      <c r="E58" s="190"/>
      <c r="F58" s="190">
        <v>-2460.0266491654147</v>
      </c>
      <c r="G58" s="76"/>
      <c r="H58" s="190">
        <f ca="1">+'COMP Act to Prior'!D58</f>
        <v>-2876.347380839572</v>
      </c>
      <c r="K58" s="190">
        <v>-1660.3419710473886</v>
      </c>
      <c r="L58" s="76"/>
      <c r="M58" s="190">
        <v>-2064.2163914423672</v>
      </c>
      <c r="N58" s="76"/>
      <c r="O58" s="190">
        <v>-2459.3716859134374</v>
      </c>
      <c r="P58" s="76"/>
      <c r="Q58" s="190">
        <v>-2819.4960389463222</v>
      </c>
    </row>
    <row r="59" spans="1:17" ht="15.75">
      <c r="A59" s="52"/>
      <c r="B59" s="52"/>
      <c r="C59" s="52"/>
      <c r="D59" s="52"/>
      <c r="E59" s="76"/>
      <c r="F59" s="52"/>
      <c r="G59" s="76"/>
      <c r="H59" s="52"/>
      <c r="L59" s="76"/>
      <c r="N59" s="76"/>
      <c r="P59" s="76"/>
    </row>
    <row r="60" spans="1:17" hidden="1">
      <c r="A60" s="76" t="s">
        <v>1094</v>
      </c>
      <c r="B60" s="76">
        <v>-6485.9649200932026</v>
      </c>
      <c r="C60" s="76"/>
      <c r="D60" s="76"/>
      <c r="E60" s="76"/>
      <c r="F60" s="76"/>
      <c r="G60" s="76"/>
      <c r="H60" s="76"/>
      <c r="L60" s="76"/>
      <c r="N60" s="76"/>
      <c r="P60" s="76"/>
    </row>
    <row r="61" spans="1:17" hidden="1">
      <c r="A61" s="76" t="s">
        <v>1095</v>
      </c>
      <c r="B61" s="76"/>
      <c r="C61" s="76"/>
      <c r="D61" s="76"/>
      <c r="E61" s="76"/>
      <c r="F61" s="76"/>
      <c r="G61" s="76"/>
      <c r="H61" s="76"/>
      <c r="L61" s="76"/>
      <c r="N61" s="76"/>
      <c r="P61" s="76"/>
    </row>
    <row r="62" spans="1:17" hidden="1">
      <c r="A62" s="300" t="s">
        <v>1098</v>
      </c>
      <c r="B62" s="192">
        <v>77636.11856458275</v>
      </c>
      <c r="C62" s="192"/>
      <c r="D62" s="192">
        <v>77627.897216492187</v>
      </c>
      <c r="E62" s="192"/>
      <c r="F62" s="192">
        <v>77782.430253523271</v>
      </c>
      <c r="G62" s="192"/>
      <c r="H62" s="192">
        <v>82941.836892171545</v>
      </c>
      <c r="L62" s="192"/>
      <c r="N62" s="192"/>
      <c r="P62" s="192"/>
    </row>
    <row r="63" spans="1:17" hidden="1">
      <c r="A63" s="76" t="s">
        <v>1099</v>
      </c>
      <c r="B63" s="1016">
        <f>('Bal Sheet'!BA63+'Bal Sheet'!BM63)/2</f>
        <v>795278.70818500011</v>
      </c>
      <c r="C63" s="192"/>
      <c r="D63" s="1016">
        <f>+('Bal Sheet'!BD63+'Bal Sheet'!BP63)/2</f>
        <v>811106.81570000004</v>
      </c>
      <c r="E63" s="192"/>
      <c r="F63" s="1016">
        <f>+('Bal Sheet'!BG63+'Bal Sheet'!BS63)/2</f>
        <v>844964.27536999993</v>
      </c>
      <c r="G63" s="192"/>
      <c r="H63" s="1016">
        <f>+('Bal Sheet'!BJ63+'Bal Sheet'!BV63)/2</f>
        <v>888784.40915000008</v>
      </c>
      <c r="L63" s="192"/>
      <c r="N63" s="192"/>
      <c r="P63" s="192"/>
    </row>
    <row r="64" spans="1:17" ht="15.75" hidden="1">
      <c r="A64" s="52" t="s">
        <v>1100</v>
      </c>
      <c r="B64" s="1017">
        <f>+B62/B63</f>
        <v>9.7621271342427041E-2</v>
      </c>
      <c r="C64" s="1018"/>
      <c r="D64" s="1017">
        <f>+D62/D63</f>
        <v>9.5706133537415652E-2</v>
      </c>
      <c r="E64" s="1018"/>
      <c r="F64" s="1017">
        <f>+F62/F63</f>
        <v>9.2054105150733451E-2</v>
      </c>
      <c r="G64" s="1018"/>
      <c r="H64" s="1017">
        <f>+H62/H63</f>
        <v>9.3320535372007699E-2</v>
      </c>
      <c r="L64" s="1018"/>
      <c r="N64" s="1018"/>
      <c r="P64" s="1018"/>
    </row>
    <row r="65" spans="1:16" hidden="1">
      <c r="A65" s="76"/>
      <c r="B65" s="192"/>
      <c r="C65" s="192"/>
      <c r="D65" s="192"/>
      <c r="E65" s="192"/>
      <c r="F65" s="192"/>
      <c r="G65" s="192"/>
      <c r="H65" s="192"/>
      <c r="L65" s="192"/>
      <c r="N65" s="192"/>
      <c r="P65" s="192"/>
    </row>
    <row r="66" spans="1:16" hidden="1">
      <c r="A66" s="76" t="s">
        <v>1101</v>
      </c>
      <c r="B66" s="298">
        <f>+B25-B64</f>
        <v>-1.2421271342427043E-2</v>
      </c>
      <c r="C66" s="76"/>
      <c r="D66" s="298">
        <f>+D25-D64</f>
        <v>-1.6206133537415651E-2</v>
      </c>
      <c r="E66" s="76"/>
      <c r="F66" s="298">
        <f>+F25-F64</f>
        <v>-1.7854105150733449E-2</v>
      </c>
      <c r="G66" s="76"/>
      <c r="H66" s="298">
        <f ca="1">+H25-H64</f>
        <v>-1.5220535372007696E-2</v>
      </c>
      <c r="L66" s="76"/>
      <c r="N66" s="76"/>
      <c r="P66" s="76"/>
    </row>
    <row r="67" spans="1:16" hidden="1">
      <c r="A67" s="76"/>
      <c r="B67" s="192"/>
      <c r="C67" s="192"/>
      <c r="D67" s="192"/>
      <c r="E67" s="192"/>
      <c r="F67" s="192"/>
      <c r="G67" s="192"/>
      <c r="H67" s="192"/>
      <c r="L67" s="192"/>
      <c r="N67" s="192"/>
      <c r="P67" s="192"/>
    </row>
    <row r="68" spans="1:16" hidden="1">
      <c r="A68" s="76" t="s">
        <v>1102</v>
      </c>
      <c r="B68" s="303">
        <f>+B15-'COMP Act to Prior'!B15</f>
        <v>325232.55830000015</v>
      </c>
      <c r="C68" s="76"/>
      <c r="D68" s="303">
        <f>+D15-B15</f>
        <v>69581.141399999848</v>
      </c>
      <c r="E68" s="76"/>
      <c r="F68" s="303">
        <f>+F15-D15</f>
        <v>74555.681400000118</v>
      </c>
      <c r="G68" s="76"/>
      <c r="H68" s="303">
        <f ca="1">+H15-F15</f>
        <v>66833.049600000028</v>
      </c>
      <c r="L68" s="76"/>
      <c r="N68" s="76"/>
      <c r="P68" s="76"/>
    </row>
    <row r="69" spans="1:16" hidden="1">
      <c r="A69" s="76" t="s">
        <v>1103</v>
      </c>
      <c r="B69" s="191">
        <v>69896.73968729144</v>
      </c>
      <c r="C69" s="76"/>
      <c r="D69" s="191">
        <f>+D63-B63</f>
        <v>15828.107514999923</v>
      </c>
      <c r="E69" s="76"/>
      <c r="F69" s="191">
        <f>+F63-D63</f>
        <v>33857.459669999895</v>
      </c>
      <c r="G69" s="76"/>
      <c r="H69" s="191">
        <f>+H63-F63</f>
        <v>43820.133780000149</v>
      </c>
      <c r="L69" s="76"/>
      <c r="N69" s="76"/>
      <c r="P69" s="76"/>
    </row>
    <row r="70" spans="1:16" hidden="1">
      <c r="A70" s="76"/>
      <c r="B70" s="190">
        <f>+B68-B69</f>
        <v>255335.81861270871</v>
      </c>
      <c r="C70" s="76"/>
      <c r="D70" s="190">
        <f>+D68-D69</f>
        <v>53753.033884999924</v>
      </c>
      <c r="E70" s="76"/>
      <c r="F70" s="190">
        <f>+F68-F69</f>
        <v>40698.221730000223</v>
      </c>
      <c r="G70" s="76"/>
      <c r="H70" s="190">
        <f ca="1">+H68-H69</f>
        <v>23012.915819999878</v>
      </c>
      <c r="L70" s="76"/>
      <c r="N70" s="76"/>
      <c r="P70" s="76"/>
    </row>
    <row r="71" spans="1:16" hidden="1"/>
    <row r="72" spans="1:16" hidden="1">
      <c r="A72" s="76" t="s">
        <v>1104</v>
      </c>
      <c r="B72" s="303">
        <f>+B17-'COMP Act to Prior'!B17</f>
        <v>8311.3747000000003</v>
      </c>
      <c r="C72" s="76"/>
      <c r="D72" s="432">
        <f>+D17-B17</f>
        <v>385.40180000000692</v>
      </c>
      <c r="E72" s="76"/>
      <c r="F72" s="432">
        <f>+F17-D17</f>
        <v>867.20289999998931</v>
      </c>
      <c r="G72" s="76"/>
      <c r="H72" s="432">
        <f ca="1">+H17-F17</f>
        <v>10363.244100000011</v>
      </c>
      <c r="L72" s="76"/>
      <c r="N72" s="76"/>
      <c r="P72" s="76"/>
    </row>
    <row r="73" spans="1:16" hidden="1">
      <c r="A73" s="76" t="s">
        <v>1105</v>
      </c>
      <c r="B73" s="191">
        <v>353.18976458287216</v>
      </c>
      <c r="C73" s="76"/>
      <c r="D73" s="191">
        <f>+D62-B62</f>
        <v>-8.2213480905629694</v>
      </c>
      <c r="E73" s="76"/>
      <c r="F73" s="191">
        <f>+F62-D62</f>
        <v>154.53303703108395</v>
      </c>
      <c r="G73" s="76"/>
      <c r="H73" s="191">
        <f>+H62-F62</f>
        <v>5159.4066386482737</v>
      </c>
      <c r="L73" s="76"/>
      <c r="N73" s="76"/>
      <c r="P73" s="76"/>
    </row>
    <row r="74" spans="1:16" hidden="1">
      <c r="A74" s="76"/>
      <c r="B74" s="190">
        <f>+B72-B73</f>
        <v>7958.1849354171281</v>
      </c>
      <c r="C74" s="76"/>
      <c r="D74" s="190">
        <f>+D72-D73</f>
        <v>393.62314809056988</v>
      </c>
      <c r="E74" s="76"/>
      <c r="F74" s="190">
        <f>+F72-F73</f>
        <v>712.66986296890536</v>
      </c>
      <c r="G74" s="76"/>
      <c r="H74" s="190">
        <f ca="1">+H72-H73</f>
        <v>5203.8374613517371</v>
      </c>
      <c r="L74" s="76"/>
      <c r="N74" s="76"/>
      <c r="P74" s="76"/>
    </row>
    <row r="75" spans="1:16" hidden="1"/>
  </sheetData>
  <printOptions horizontalCentered="1"/>
  <pageMargins left="0.5" right="0.5" top="0.5" bottom="0.5" header="0.5" footer="0.25"/>
  <pageSetup scale="71" orientation="portrait" r:id="rId1"/>
  <headerFooter>
    <oddFooter>&amp;Z&amp;F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2060"/>
    <pageSetUpPr fitToPage="1"/>
  </sheetPr>
  <dimension ref="A1:CA100"/>
  <sheetViews>
    <sheetView zoomScale="85" zoomScaleNormal="85" workbookViewId="0">
      <pane xSplit="58" ySplit="12" topLeftCell="BL38" activePane="bottomRight" state="frozen"/>
      <selection pane="topRight" activeCell="BG1" sqref="BG1"/>
      <selection pane="bottomLeft" activeCell="A13" sqref="A13"/>
      <selection pane="bottomRight" activeCell="BM60" sqref="BM60:BW69"/>
    </sheetView>
  </sheetViews>
  <sheetFormatPr defaultRowHeight="12.75" outlineLevelCol="1"/>
  <cols>
    <col min="1" max="1" width="52.7109375" style="375" customWidth="1"/>
    <col min="2" max="2" width="15.140625" style="375" bestFit="1" customWidth="1"/>
    <col min="3" max="3" width="12.140625" style="375" customWidth="1"/>
    <col min="4" max="15" width="12.140625" style="375" hidden="1" customWidth="1"/>
    <col min="16" max="34" width="13.28515625" style="375" hidden="1" customWidth="1"/>
    <col min="35" max="39" width="12.42578125" style="375" hidden="1" customWidth="1"/>
    <col min="40" max="47" width="11.28515625" style="375" hidden="1" customWidth="1"/>
    <col min="48" max="52" width="11.5703125" style="375" hidden="1" customWidth="1"/>
    <col min="53" max="63" width="11.5703125" style="375" hidden="1" customWidth="1" outlineLevel="1"/>
    <col min="64" max="64" width="13" style="375" customWidth="1" collapsed="1"/>
    <col min="65" max="65" width="11.5703125" bestFit="1" customWidth="1"/>
    <col min="66" max="75" width="11.140625" bestFit="1" customWidth="1"/>
    <col min="76" max="76" width="11.7109375" bestFit="1" customWidth="1"/>
    <col min="77" max="77" width="13" style="375" bestFit="1" customWidth="1"/>
  </cols>
  <sheetData>
    <row r="1" spans="1:77">
      <c r="A1" s="576" t="s">
        <v>144</v>
      </c>
      <c r="B1" s="571"/>
      <c r="C1" s="571"/>
    </row>
    <row r="2" spans="1:77" ht="12.75" customHeight="1">
      <c r="A2" s="573">
        <f>+'Bal Sheet'!A1</f>
        <v>12</v>
      </c>
      <c r="B2" s="572"/>
      <c r="C2" s="572"/>
    </row>
    <row r="3" spans="1:77" ht="12.75" customHeight="1">
      <c r="A3" s="577" t="s">
        <v>145</v>
      </c>
      <c r="B3" s="572"/>
      <c r="C3" s="572"/>
    </row>
    <row r="4" spans="1:77" ht="12.75" customHeight="1">
      <c r="A4" s="574" t="s">
        <v>1191</v>
      </c>
      <c r="B4" s="572"/>
      <c r="C4" s="572"/>
    </row>
    <row r="5" spans="1:77" ht="12.75" customHeight="1">
      <c r="A5" s="577" t="s">
        <v>146</v>
      </c>
      <c r="B5" s="572"/>
      <c r="C5" s="572"/>
    </row>
    <row r="6" spans="1:77" ht="12.75" customHeight="1">
      <c r="A6" s="573" t="s">
        <v>1192</v>
      </c>
      <c r="B6" s="572"/>
      <c r="C6" s="572"/>
    </row>
    <row r="7" spans="1:77" ht="12.75" customHeight="1">
      <c r="A7" s="577" t="s">
        <v>147</v>
      </c>
      <c r="B7" s="572"/>
      <c r="C7" s="572"/>
    </row>
    <row r="8" spans="1:77" ht="12.75" customHeight="1">
      <c r="A8" s="575" t="s">
        <v>1193</v>
      </c>
      <c r="B8" s="572"/>
      <c r="C8" s="572"/>
    </row>
    <row r="9" spans="1:77" ht="12.75" customHeight="1"/>
    <row r="10" spans="1:77" ht="12.75" customHeight="1">
      <c r="A10" s="609" t="s">
        <v>148</v>
      </c>
      <c r="B10" s="579" t="s">
        <v>149</v>
      </c>
      <c r="C10" s="579" t="s">
        <v>149</v>
      </c>
      <c r="D10" s="578"/>
      <c r="E10" s="578"/>
      <c r="F10" s="578"/>
      <c r="G10" s="578"/>
      <c r="H10" s="578"/>
      <c r="I10" s="578"/>
      <c r="J10" s="578"/>
      <c r="K10" s="578"/>
      <c r="L10" s="578"/>
      <c r="M10" s="578"/>
      <c r="N10" s="578"/>
      <c r="O10" s="578"/>
      <c r="P10" s="578"/>
      <c r="Q10" s="578"/>
      <c r="R10" s="578"/>
      <c r="S10" s="578"/>
      <c r="T10" s="578"/>
      <c r="U10" s="578"/>
      <c r="V10" s="578"/>
      <c r="W10" s="578"/>
      <c r="X10" s="578"/>
      <c r="Y10" s="578"/>
      <c r="Z10" s="578"/>
      <c r="AA10" s="578"/>
      <c r="AB10" s="578"/>
      <c r="AC10" s="578"/>
      <c r="AD10" s="578"/>
      <c r="AE10" s="578"/>
      <c r="AF10" s="578"/>
      <c r="AG10" s="578"/>
      <c r="AH10" s="578"/>
      <c r="AI10" s="578"/>
      <c r="AJ10" s="578"/>
      <c r="AK10" s="578"/>
      <c r="AL10" s="578"/>
      <c r="AM10" s="578"/>
      <c r="AN10" s="578"/>
      <c r="AO10" s="578"/>
      <c r="AP10" s="578"/>
      <c r="AQ10" s="578"/>
      <c r="AR10" s="578"/>
      <c r="AS10" s="578"/>
      <c r="AT10" s="578"/>
      <c r="AU10" s="578"/>
      <c r="AV10" s="578"/>
      <c r="AW10" s="578"/>
      <c r="AX10" s="578"/>
      <c r="AY10" s="578"/>
      <c r="AZ10" s="578"/>
      <c r="BA10" s="578"/>
      <c r="BB10" s="578"/>
      <c r="BC10" s="578"/>
      <c r="BD10" s="578"/>
      <c r="BE10" s="578"/>
      <c r="BF10" s="578"/>
      <c r="BG10" s="578"/>
      <c r="BH10" s="578"/>
      <c r="BI10" s="578"/>
      <c r="BJ10" s="578"/>
      <c r="BK10" s="578"/>
      <c r="BL10" s="578"/>
      <c r="BM10" s="578"/>
      <c r="BN10" s="578"/>
      <c r="BO10" s="578"/>
      <c r="BP10" s="578"/>
      <c r="BQ10" s="578"/>
      <c r="BR10" s="578"/>
      <c r="BS10" s="578"/>
      <c r="BT10" s="578"/>
      <c r="BU10" s="578"/>
      <c r="BV10" s="578"/>
      <c r="BW10" s="578"/>
      <c r="BX10" s="578"/>
      <c r="BY10" s="578"/>
    </row>
    <row r="11" spans="1:77">
      <c r="A11" s="632" t="s">
        <v>150</v>
      </c>
      <c r="B11" s="581" t="s">
        <v>151</v>
      </c>
      <c r="C11" s="581" t="s">
        <v>152</v>
      </c>
      <c r="D11" s="581" t="str">
        <f>'Bal Sheet'!N5</f>
        <v>Actual</v>
      </c>
      <c r="E11" s="581" t="str">
        <f>'Bal Sheet'!O5</f>
        <v>Actual</v>
      </c>
      <c r="F11" s="581" t="str">
        <f>'Bal Sheet'!P5</f>
        <v>Actual</v>
      </c>
      <c r="G11" s="581" t="str">
        <f>'Bal Sheet'!Q5</f>
        <v>Actual</v>
      </c>
      <c r="H11" s="581" t="str">
        <f>'Bal Sheet'!R5</f>
        <v>Actual</v>
      </c>
      <c r="I11" s="581" t="str">
        <f>'Bal Sheet'!S5</f>
        <v>Actual</v>
      </c>
      <c r="J11" s="581" t="str">
        <f>'Bal Sheet'!T5</f>
        <v>Actual</v>
      </c>
      <c r="K11" s="581" t="str">
        <f>'Bal Sheet'!U5</f>
        <v>Actual</v>
      </c>
      <c r="L11" s="581" t="str">
        <f>'Bal Sheet'!V5</f>
        <v>Actual</v>
      </c>
      <c r="M11" s="581" t="str">
        <f>'Bal Sheet'!W5</f>
        <v>Actual</v>
      </c>
      <c r="N11" s="581" t="str">
        <f>'Bal Sheet'!X5</f>
        <v>Actual</v>
      </c>
      <c r="O11" s="581" t="str">
        <f>'Bal Sheet'!Y5</f>
        <v>Actual</v>
      </c>
      <c r="P11" s="581" t="str">
        <f>'Bal Sheet'!Z5</f>
        <v>Actual</v>
      </c>
      <c r="Q11" s="581" t="str">
        <f>'Bal Sheet'!AA5</f>
        <v>Actual</v>
      </c>
      <c r="R11" s="581" t="str">
        <f>'Bal Sheet'!AB5</f>
        <v>Actual</v>
      </c>
      <c r="S11" s="581" t="str">
        <f>'Bal Sheet'!AC5</f>
        <v>Actual</v>
      </c>
      <c r="T11" s="581" t="str">
        <f>'Bal Sheet'!AD5</f>
        <v>Actual</v>
      </c>
      <c r="U11" s="581" t="str">
        <f>'Bal Sheet'!AE5</f>
        <v>Actual</v>
      </c>
      <c r="V11" s="581" t="str">
        <f>'Bal Sheet'!AF5</f>
        <v>Actual</v>
      </c>
      <c r="W11" s="581" t="str">
        <f>'Bal Sheet'!AG5</f>
        <v>Actual</v>
      </c>
      <c r="X11" s="581" t="str">
        <f>'Bal Sheet'!AH5</f>
        <v>Actual</v>
      </c>
      <c r="Y11" s="581" t="str">
        <f>'Bal Sheet'!AI5</f>
        <v>Actual</v>
      </c>
      <c r="Z11" s="581" t="str">
        <f>'Bal Sheet'!AJ5</f>
        <v>Actual</v>
      </c>
      <c r="AA11" s="581" t="str">
        <f>'Bal Sheet'!AK5</f>
        <v>Actual</v>
      </c>
      <c r="AB11" s="581" t="str">
        <f>'Bal Sheet'!AL5</f>
        <v>Actual</v>
      </c>
      <c r="AC11" s="581" t="str">
        <f>'Bal Sheet'!AM5</f>
        <v>Actual</v>
      </c>
      <c r="AD11" s="581" t="str">
        <f>'Bal Sheet'!AN5</f>
        <v>Actual</v>
      </c>
      <c r="AE11" s="581" t="str">
        <f>'Bal Sheet'!AO5</f>
        <v>Actual</v>
      </c>
      <c r="AF11" s="581" t="str">
        <f>'Bal Sheet'!AP5</f>
        <v>Actual</v>
      </c>
      <c r="AG11" s="581" t="str">
        <f>'Bal Sheet'!AQ5</f>
        <v>Actual</v>
      </c>
      <c r="AH11" s="581" t="str">
        <f>'Bal Sheet'!AR5</f>
        <v>Actual</v>
      </c>
      <c r="AI11" s="581" t="str">
        <f>'Bal Sheet'!AS5</f>
        <v>Actual</v>
      </c>
      <c r="AJ11" s="581" t="str">
        <f>'Bal Sheet'!AT5</f>
        <v>Actual</v>
      </c>
      <c r="AK11" s="581" t="str">
        <f>'Bal Sheet'!AU5</f>
        <v>Actual</v>
      </c>
      <c r="AL11" s="581" t="str">
        <f>'Bal Sheet'!AV5</f>
        <v>Actual</v>
      </c>
      <c r="AM11" s="581" t="str">
        <f>'Bal Sheet'!AW5</f>
        <v>Actual</v>
      </c>
      <c r="AN11" s="581" t="str">
        <f>'Bal Sheet'!AX5</f>
        <v>Actual</v>
      </c>
      <c r="AO11" s="581" t="str">
        <f>'Bal Sheet'!AY5</f>
        <v>Actual</v>
      </c>
      <c r="AP11" s="581" t="str">
        <f>'Bal Sheet'!AZ5</f>
        <v>Actual</v>
      </c>
      <c r="AQ11" s="581" t="str">
        <f>'Bal Sheet'!BA5</f>
        <v>Actual</v>
      </c>
      <c r="AR11" s="581" t="str">
        <f>'Bal Sheet'!BB5</f>
        <v>Actual</v>
      </c>
      <c r="AS11" s="581" t="str">
        <f>'Bal Sheet'!BC5</f>
        <v>Actual</v>
      </c>
      <c r="AT11" s="581" t="str">
        <f>'Bal Sheet'!BD5</f>
        <v>Actual</v>
      </c>
      <c r="AU11" s="581" t="str">
        <f>'Bal Sheet'!BE5</f>
        <v>Actual</v>
      </c>
      <c r="AV11" s="581" t="str">
        <f>'Bal Sheet'!BF5</f>
        <v>Actual</v>
      </c>
      <c r="AW11" s="581" t="str">
        <f>'Bal Sheet'!BG5</f>
        <v>Actual</v>
      </c>
      <c r="AX11" s="581" t="str">
        <f>'Bal Sheet'!BH5</f>
        <v>Actual</v>
      </c>
      <c r="AY11" s="581" t="str">
        <f>'Bal Sheet'!BI5</f>
        <v>Actual</v>
      </c>
      <c r="AZ11" s="581" t="str">
        <f>'Bal Sheet'!BJ5</f>
        <v>Actual</v>
      </c>
      <c r="BA11" s="581" t="str">
        <f>'Bal Sheet'!BK5</f>
        <v>Actual</v>
      </c>
      <c r="BB11" s="581" t="str">
        <f>'Bal Sheet'!BL5</f>
        <v>Actual</v>
      </c>
      <c r="BC11" s="581" t="str">
        <f>'Bal Sheet'!BM5</f>
        <v>Actual</v>
      </c>
      <c r="BD11" s="581" t="str">
        <f>'Bal Sheet'!BN5</f>
        <v>Actual</v>
      </c>
      <c r="BE11" s="581" t="str">
        <f>'Bal Sheet'!BO5</f>
        <v>Actual</v>
      </c>
      <c r="BF11" s="581" t="str">
        <f>'Bal Sheet'!BP5</f>
        <v>Actual</v>
      </c>
      <c r="BG11" s="581" t="str">
        <f>'Bal Sheet'!BQ5</f>
        <v>Actual</v>
      </c>
      <c r="BH11" s="581" t="str">
        <f>'Bal Sheet'!BR5</f>
        <v>Actual</v>
      </c>
      <c r="BI11" s="581" t="str">
        <f>'Bal Sheet'!BS5</f>
        <v>Actual</v>
      </c>
      <c r="BJ11" s="581" t="str">
        <f>'Bal Sheet'!BT5</f>
        <v>Actual</v>
      </c>
      <c r="BK11" s="581" t="str">
        <f>'Bal Sheet'!BU5</f>
        <v>Actual</v>
      </c>
      <c r="BL11" s="581" t="str">
        <f>'Bal Sheet'!BV5</f>
        <v>Actual</v>
      </c>
      <c r="BM11" s="581" t="str">
        <f>'Bal Sheet'!BW5</f>
        <v>Budget</v>
      </c>
      <c r="BN11" s="581" t="str">
        <f>'Bal Sheet'!BX5</f>
        <v>Budget</v>
      </c>
      <c r="BO11" s="581" t="str">
        <f>'Bal Sheet'!BY5</f>
        <v>Budget</v>
      </c>
      <c r="BP11" s="581" t="str">
        <f>'Bal Sheet'!BZ5</f>
        <v>Budget</v>
      </c>
      <c r="BQ11" s="581" t="str">
        <f>'Bal Sheet'!CA5</f>
        <v>Budget</v>
      </c>
      <c r="BR11" s="581" t="str">
        <f>'Bal Sheet'!CB5</f>
        <v>Budget</v>
      </c>
      <c r="BS11" s="581" t="str">
        <f>'Bal Sheet'!CC5</f>
        <v>Budget</v>
      </c>
      <c r="BT11" s="581" t="str">
        <f>'Bal Sheet'!CD5</f>
        <v>Budget</v>
      </c>
      <c r="BU11" s="581" t="str">
        <f>'Bal Sheet'!CE5</f>
        <v>Budget</v>
      </c>
      <c r="BV11" s="581" t="str">
        <f>'Bal Sheet'!CF5</f>
        <v>Budget</v>
      </c>
      <c r="BW11" s="581" t="str">
        <f>'Bal Sheet'!CG5</f>
        <v>Budget</v>
      </c>
      <c r="BX11" s="581" t="str">
        <f>'Bal Sheet'!CH5</f>
        <v>Budget</v>
      </c>
      <c r="BY11" s="581" t="str">
        <f>'Bal Sheet'!CI5</f>
        <v>13 Month</v>
      </c>
    </row>
    <row r="12" spans="1:77">
      <c r="A12" s="610"/>
      <c r="B12" s="580" t="s">
        <v>153</v>
      </c>
      <c r="C12" s="580" t="s">
        <v>154</v>
      </c>
      <c r="D12" s="275">
        <f>'Bal Sheet'!N6</f>
        <v>43077</v>
      </c>
      <c r="E12" s="275">
        <f>'Bal Sheet'!O6</f>
        <v>43108</v>
      </c>
      <c r="F12" s="275">
        <f>'Bal Sheet'!P6</f>
        <v>43139</v>
      </c>
      <c r="G12" s="275">
        <f>'Bal Sheet'!Q6</f>
        <v>43170</v>
      </c>
      <c r="H12" s="275">
        <f>'Bal Sheet'!R6</f>
        <v>43201</v>
      </c>
      <c r="I12" s="275">
        <f>'Bal Sheet'!S6</f>
        <v>43232</v>
      </c>
      <c r="J12" s="275">
        <f>'Bal Sheet'!T6</f>
        <v>43263</v>
      </c>
      <c r="K12" s="275">
        <f>'Bal Sheet'!U6</f>
        <v>43294</v>
      </c>
      <c r="L12" s="275">
        <f>'Bal Sheet'!V6</f>
        <v>43325</v>
      </c>
      <c r="M12" s="275">
        <f>'Bal Sheet'!W6</f>
        <v>43356</v>
      </c>
      <c r="N12" s="275">
        <f>'Bal Sheet'!X6</f>
        <v>43387</v>
      </c>
      <c r="O12" s="275">
        <f>'Bal Sheet'!Y6</f>
        <v>43418</v>
      </c>
      <c r="P12" s="275">
        <f>'Bal Sheet'!Z6</f>
        <v>43449</v>
      </c>
      <c r="Q12" s="275">
        <f>'Bal Sheet'!AA6</f>
        <v>43480</v>
      </c>
      <c r="R12" s="275">
        <f>'Bal Sheet'!AB6</f>
        <v>43511</v>
      </c>
      <c r="S12" s="275">
        <f>'Bal Sheet'!AC6</f>
        <v>43542</v>
      </c>
      <c r="T12" s="275">
        <f>'Bal Sheet'!AD6</f>
        <v>43573</v>
      </c>
      <c r="U12" s="275">
        <f>'Bal Sheet'!AE6</f>
        <v>43604</v>
      </c>
      <c r="V12" s="275">
        <f>'Bal Sheet'!AF6</f>
        <v>43635</v>
      </c>
      <c r="W12" s="275">
        <f>'Bal Sheet'!AG6</f>
        <v>43666</v>
      </c>
      <c r="X12" s="275">
        <f>'Bal Sheet'!AH6</f>
        <v>43697</v>
      </c>
      <c r="Y12" s="275">
        <f>'Bal Sheet'!AI6</f>
        <v>43728</v>
      </c>
      <c r="Z12" s="275">
        <f>'Bal Sheet'!AJ6</f>
        <v>43759</v>
      </c>
      <c r="AA12" s="275">
        <f>'Bal Sheet'!AK6</f>
        <v>43790</v>
      </c>
      <c r="AB12" s="275">
        <f>'Bal Sheet'!AL6</f>
        <v>43821</v>
      </c>
      <c r="AC12" s="275">
        <f>'Bal Sheet'!AM6</f>
        <v>43852</v>
      </c>
      <c r="AD12" s="275">
        <f>'Bal Sheet'!AN6</f>
        <v>43883</v>
      </c>
      <c r="AE12" s="275">
        <f>'Bal Sheet'!AO6</f>
        <v>43914</v>
      </c>
      <c r="AF12" s="275">
        <f>'Bal Sheet'!AP6</f>
        <v>43945</v>
      </c>
      <c r="AG12" s="275">
        <f>'Bal Sheet'!AQ6</f>
        <v>43976</v>
      </c>
      <c r="AH12" s="275">
        <f>'Bal Sheet'!AR6</f>
        <v>44007</v>
      </c>
      <c r="AI12" s="275">
        <f>'Bal Sheet'!AS6</f>
        <v>44038</v>
      </c>
      <c r="AJ12" s="275">
        <f>'Bal Sheet'!AT6</f>
        <v>44069</v>
      </c>
      <c r="AK12" s="275">
        <f>'Bal Sheet'!AU6</f>
        <v>44100</v>
      </c>
      <c r="AL12" s="275">
        <f>'Bal Sheet'!AV6</f>
        <v>44131</v>
      </c>
      <c r="AM12" s="275">
        <f>'Bal Sheet'!AW6</f>
        <v>44162</v>
      </c>
      <c r="AN12" s="275">
        <f>'Bal Sheet'!AX6</f>
        <v>44193</v>
      </c>
      <c r="AO12" s="275">
        <f>'Bal Sheet'!AY6</f>
        <v>44224</v>
      </c>
      <c r="AP12" s="275">
        <f>'Bal Sheet'!AZ6</f>
        <v>44255</v>
      </c>
      <c r="AQ12" s="275">
        <f>'Bal Sheet'!BA6</f>
        <v>44285</v>
      </c>
      <c r="AR12" s="275">
        <f>'Bal Sheet'!BB6</f>
        <v>44316</v>
      </c>
      <c r="AS12" s="275">
        <f>'Bal Sheet'!BC6</f>
        <v>44347</v>
      </c>
      <c r="AT12" s="275">
        <f>'Bal Sheet'!BD6</f>
        <v>44377</v>
      </c>
      <c r="AU12" s="275">
        <f>'Bal Sheet'!BE6</f>
        <v>44408</v>
      </c>
      <c r="AV12" s="275">
        <f>'Bal Sheet'!BF6</f>
        <v>44439</v>
      </c>
      <c r="AW12" s="275">
        <f>'Bal Sheet'!BG6</f>
        <v>44469</v>
      </c>
      <c r="AX12" s="275">
        <f>'Bal Sheet'!BH6</f>
        <v>44500</v>
      </c>
      <c r="AY12" s="275">
        <f>'Bal Sheet'!BI6</f>
        <v>44530</v>
      </c>
      <c r="AZ12" s="275">
        <f>'Bal Sheet'!BJ6</f>
        <v>44561</v>
      </c>
      <c r="BA12" s="275">
        <f>'Bal Sheet'!BK6</f>
        <v>44592</v>
      </c>
      <c r="BB12" s="275">
        <f>'Bal Sheet'!BL6</f>
        <v>44620</v>
      </c>
      <c r="BC12" s="275">
        <f>'Bal Sheet'!BM6</f>
        <v>44651</v>
      </c>
      <c r="BD12" s="275">
        <f>'Bal Sheet'!BN6</f>
        <v>44681</v>
      </c>
      <c r="BE12" s="275">
        <f>'Bal Sheet'!BO6</f>
        <v>44712</v>
      </c>
      <c r="BF12" s="275">
        <f>'Bal Sheet'!BP6</f>
        <v>44742</v>
      </c>
      <c r="BG12" s="275">
        <f>'Bal Sheet'!BQ6</f>
        <v>44773</v>
      </c>
      <c r="BH12" s="275">
        <f>'Bal Sheet'!BR6</f>
        <v>44804</v>
      </c>
      <c r="BI12" s="275">
        <f>'Bal Sheet'!BS6</f>
        <v>44834</v>
      </c>
      <c r="BJ12" s="275">
        <f>'Bal Sheet'!BT6</f>
        <v>44865</v>
      </c>
      <c r="BK12" s="275">
        <f>'Bal Sheet'!BU6</f>
        <v>44895</v>
      </c>
      <c r="BL12" s="275">
        <f>'Bal Sheet'!BV6</f>
        <v>44926</v>
      </c>
      <c r="BM12" s="275">
        <f>'Bal Sheet'!BW6</f>
        <v>44957</v>
      </c>
      <c r="BN12" s="275">
        <f>'Bal Sheet'!BX6</f>
        <v>44985</v>
      </c>
      <c r="BO12" s="275">
        <f>'Bal Sheet'!BY6</f>
        <v>45016</v>
      </c>
      <c r="BP12" s="275">
        <f>'Bal Sheet'!BZ6</f>
        <v>45046</v>
      </c>
      <c r="BQ12" s="275">
        <f>'Bal Sheet'!CA6</f>
        <v>45077</v>
      </c>
      <c r="BR12" s="275">
        <f>'Bal Sheet'!CB6</f>
        <v>45107</v>
      </c>
      <c r="BS12" s="275">
        <f>'Bal Sheet'!CC6</f>
        <v>45138</v>
      </c>
      <c r="BT12" s="275">
        <f>'Bal Sheet'!CD6</f>
        <v>45169</v>
      </c>
      <c r="BU12" s="275">
        <f>'Bal Sheet'!CE6</f>
        <v>45199</v>
      </c>
      <c r="BV12" s="275">
        <f>'Bal Sheet'!CF6</f>
        <v>45230</v>
      </c>
      <c r="BW12" s="275">
        <f>'Bal Sheet'!CG6</f>
        <v>45260</v>
      </c>
      <c r="BX12" s="275">
        <f>'Bal Sheet'!CH6</f>
        <v>45291</v>
      </c>
      <c r="BY12" s="275" t="str">
        <f>'Bal Sheet'!CI6</f>
        <v>Averages</v>
      </c>
    </row>
    <row r="13" spans="1:77">
      <c r="A13" s="611"/>
    </row>
    <row r="14" spans="1:77">
      <c r="A14" s="617" t="s">
        <v>155</v>
      </c>
      <c r="B14" s="760">
        <f ca="1">SUM(OFFSET(BA14:BM14,0,'Bal Sheet'!$A$1-1))/13</f>
        <v>3434059.4876923081</v>
      </c>
      <c r="C14" s="760">
        <f t="shared" ref="C14" si="0">+BX14</f>
        <v>3550000</v>
      </c>
      <c r="D14" s="600">
        <v>2885477.71</v>
      </c>
      <c r="E14" s="600">
        <v>2806305.95</v>
      </c>
      <c r="F14" s="600">
        <v>2706387.5</v>
      </c>
      <c r="G14" s="600">
        <v>2727131.46</v>
      </c>
      <c r="H14" s="600">
        <v>2707613.49</v>
      </c>
      <c r="I14" s="600">
        <v>2709115.34</v>
      </c>
      <c r="J14" s="600">
        <v>2702704.39</v>
      </c>
      <c r="K14" s="600">
        <v>2704507.73</v>
      </c>
      <c r="L14" s="600">
        <v>2702358.66</v>
      </c>
      <c r="M14" s="600">
        <v>2685662.23</v>
      </c>
      <c r="N14" s="600">
        <v>2884730.31</v>
      </c>
      <c r="O14" s="600">
        <v>2871545.31</v>
      </c>
      <c r="P14" s="600">
        <v>3047398.14</v>
      </c>
      <c r="Q14" s="600">
        <v>2968833.26</v>
      </c>
      <c r="R14" s="600">
        <v>2931366.27</v>
      </c>
      <c r="S14" s="600">
        <v>2907963.42</v>
      </c>
      <c r="T14" s="600">
        <v>2863286.67</v>
      </c>
      <c r="U14" s="600">
        <v>2868711.93</v>
      </c>
      <c r="V14" s="600">
        <v>2846804.47</v>
      </c>
      <c r="W14" s="600">
        <v>2853585.55</v>
      </c>
      <c r="X14" s="600">
        <v>2785230.28</v>
      </c>
      <c r="Y14" s="600">
        <v>2856522.46</v>
      </c>
      <c r="Z14" s="600">
        <v>3074698.81</v>
      </c>
      <c r="AA14" s="600">
        <v>3065884.64</v>
      </c>
      <c r="AB14" s="600">
        <v>3035607.81</v>
      </c>
      <c r="AC14" s="600">
        <v>2981636.98</v>
      </c>
      <c r="AD14" s="600">
        <v>2949472.71</v>
      </c>
      <c r="AE14" s="600">
        <v>2914420.77</v>
      </c>
      <c r="AF14" s="600">
        <v>2955122.67</v>
      </c>
      <c r="AG14" s="600">
        <v>3017050.97</v>
      </c>
      <c r="AH14" s="600">
        <v>3017741.43</v>
      </c>
      <c r="AI14" s="600">
        <v>3007112.01</v>
      </c>
      <c r="AJ14" s="600">
        <v>3039422.32</v>
      </c>
      <c r="AK14" s="600">
        <v>3065669.68</v>
      </c>
      <c r="AL14" s="600">
        <v>3290228.97</v>
      </c>
      <c r="AM14" s="600">
        <v>3277817.81</v>
      </c>
      <c r="AN14" s="600">
        <v>3237878.87</v>
      </c>
      <c r="AO14" s="600">
        <v>3208927.07</v>
      </c>
      <c r="AP14" s="600">
        <v>3177923.51</v>
      </c>
      <c r="AQ14" s="600">
        <v>3265234.2</v>
      </c>
      <c r="AR14" s="600">
        <v>3289735.79</v>
      </c>
      <c r="AS14" s="600">
        <v>3370157.54</v>
      </c>
      <c r="AT14" s="600">
        <v>3449867.3</v>
      </c>
      <c r="AU14" s="906">
        <v>3507792.7</v>
      </c>
      <c r="AV14" s="906">
        <v>3572579</v>
      </c>
      <c r="AW14" s="906">
        <v>3613025.2</v>
      </c>
      <c r="AX14" s="906">
        <v>3939284.26</v>
      </c>
      <c r="AY14" s="906">
        <v>3921548.21</v>
      </c>
      <c r="AZ14" s="906">
        <v>3752772.99</v>
      </c>
      <c r="BA14" s="584">
        <v>3769639.75</v>
      </c>
      <c r="BB14" s="584">
        <v>3708831.04</v>
      </c>
      <c r="BC14" s="584">
        <v>3657458.81</v>
      </c>
      <c r="BD14" s="584">
        <v>3633399.35</v>
      </c>
      <c r="BE14" s="584">
        <v>3480527.59</v>
      </c>
      <c r="BF14" s="584">
        <v>3438173.9</v>
      </c>
      <c r="BG14" s="584">
        <v>3436599.49</v>
      </c>
      <c r="BH14" s="584">
        <v>3485938.45</v>
      </c>
      <c r="BI14" s="584">
        <v>3445167.11</v>
      </c>
      <c r="BJ14" s="584">
        <v>3873964.36</v>
      </c>
      <c r="BK14" s="584">
        <v>3845173.79</v>
      </c>
      <c r="BL14" s="584">
        <v>3792773.34</v>
      </c>
      <c r="BM14" s="584">
        <f>VLOOKUP("1823070",'[8]BS ACCTS'!$D$6:$ZZ$999,113,FALSE)*1000</f>
        <v>3500000</v>
      </c>
      <c r="BN14" s="584">
        <f>VLOOKUP("1823070",'[8]BS ACCTS'!$D$6:$ZZ$999,114,FALSE)*1000</f>
        <v>3300000</v>
      </c>
      <c r="BO14" s="584">
        <f>VLOOKUP("1823070",'[8]BS ACCTS'!$D$6:$ZZ$999,115,FALSE)*1000</f>
        <v>3200000</v>
      </c>
      <c r="BP14" s="584">
        <f>VLOOKUP("1823070",'[8]BS ACCTS'!$D$6:$ZZ$999,116,FALSE)*1000</f>
        <v>3250000</v>
      </c>
      <c r="BQ14" s="584">
        <f>VLOOKUP("1823070",'[8]BS ACCTS'!$D$6:$ZZ$999,117,FALSE)*1000</f>
        <v>3300000</v>
      </c>
      <c r="BR14" s="584">
        <f>VLOOKUP("1823070",'[8]BS ACCTS'!$D$6:$ZZ$999,118,FALSE)*1000</f>
        <v>3350000</v>
      </c>
      <c r="BS14" s="584">
        <f>VLOOKUP("1823070",'[8]BS ACCTS'!$D$6:$ZZ$999,119,FALSE)*1000</f>
        <v>3375000</v>
      </c>
      <c r="BT14" s="584">
        <f>VLOOKUP("1823070",'[8]BS ACCTS'!$D$6:$ZZ$999,120,FALSE)*1000</f>
        <v>3375000</v>
      </c>
      <c r="BU14" s="584">
        <f>VLOOKUP("1823070",'[8]BS ACCTS'!$D$6:$ZZ$999,121,FALSE)*1000</f>
        <v>3375000</v>
      </c>
      <c r="BV14" s="584">
        <f>VLOOKUP("1823070",'[8]BS ACCTS'!$D$6:$ZZ$999,122,FALSE)*1000</f>
        <v>3675000</v>
      </c>
      <c r="BW14" s="584">
        <f>VLOOKUP("1823070",'[8]BS ACCTS'!$D$6:$ZZ$999,123,FALSE)*1000</f>
        <v>3600000</v>
      </c>
      <c r="BX14" s="584">
        <f>VLOOKUP("1823070",'[8]BS ACCTS'!$D$6:$ZZ$999,124,FALSE)*1000</f>
        <v>3550000</v>
      </c>
      <c r="BY14" s="584"/>
    </row>
    <row r="15" spans="1:77">
      <c r="A15" s="617" t="s">
        <v>156</v>
      </c>
      <c r="B15" s="1090">
        <f ca="1">SUM(OFFSET(BA15:BL15,0,'Bal Sheet'!$A$1))</f>
        <v>21880800</v>
      </c>
      <c r="C15" s="1091">
        <f>SUM(BM15:BX15)</f>
        <v>21880800</v>
      </c>
      <c r="D15" s="601">
        <v>1052411</v>
      </c>
      <c r="E15" s="601">
        <v>1319793</v>
      </c>
      <c r="F15" s="601">
        <v>1576852</v>
      </c>
      <c r="G15" s="601">
        <v>1847295</v>
      </c>
      <c r="H15" s="601">
        <v>2612466</v>
      </c>
      <c r="I15" s="601">
        <v>1025022</v>
      </c>
      <c r="J15" s="601">
        <v>1135987</v>
      </c>
      <c r="K15" s="601">
        <v>2161695</v>
      </c>
      <c r="L15" s="601">
        <v>1557022</v>
      </c>
      <c r="M15" s="601">
        <v>894741</v>
      </c>
      <c r="N15" s="601">
        <v>2074720</v>
      </c>
      <c r="O15" s="601">
        <v>1027197</v>
      </c>
      <c r="P15" s="601">
        <v>1372741</v>
      </c>
      <c r="Q15" s="601">
        <v>1682827</v>
      </c>
      <c r="R15" s="601">
        <v>783426</v>
      </c>
      <c r="S15" s="601">
        <v>1059598</v>
      </c>
      <c r="T15" s="601">
        <v>1363500</v>
      </c>
      <c r="U15" s="601">
        <v>1061024</v>
      </c>
      <c r="V15" s="601">
        <v>1772348</v>
      </c>
      <c r="W15" s="601">
        <v>2123810</v>
      </c>
      <c r="X15" s="601">
        <v>1362601</v>
      </c>
      <c r="Y15" s="601">
        <v>955467.08</v>
      </c>
      <c r="Z15" s="601">
        <v>1600939.1399999994</v>
      </c>
      <c r="AA15" s="601">
        <v>1400855.94</v>
      </c>
      <c r="AB15" s="601">
        <v>1452939.19</v>
      </c>
      <c r="AC15" s="601">
        <v>1632643.1199999999</v>
      </c>
      <c r="AD15" s="601">
        <v>1153259.31</v>
      </c>
      <c r="AE15" s="601">
        <v>1086342.77</v>
      </c>
      <c r="AF15" s="601">
        <v>1506872.45</v>
      </c>
      <c r="AG15" s="601">
        <v>1344235.79</v>
      </c>
      <c r="AH15" s="601">
        <v>1376350.9399999997</v>
      </c>
      <c r="AI15" s="601">
        <v>1194803.3200000003</v>
      </c>
      <c r="AJ15" s="601">
        <v>1406390.63</v>
      </c>
      <c r="AK15" s="601">
        <v>1689304.23</v>
      </c>
      <c r="AL15" s="601">
        <v>1880673.2599999998</v>
      </c>
      <c r="AM15" s="601">
        <v>1307303.49</v>
      </c>
      <c r="AN15" s="601">
        <v>1455001.1300000001</v>
      </c>
      <c r="AO15" s="601">
        <v>1275601.9199999999</v>
      </c>
      <c r="AP15" s="601">
        <v>1798487.29</v>
      </c>
      <c r="AQ15" s="601">
        <v>1567765.76</v>
      </c>
      <c r="AR15" s="601">
        <v>1440542.38</v>
      </c>
      <c r="AS15" s="601">
        <v>1283729.7</v>
      </c>
      <c r="AT15" s="601">
        <v>1193760.08</v>
      </c>
      <c r="AU15" s="462">
        <v>1424335.41</v>
      </c>
      <c r="AV15" s="462">
        <v>967095.3</v>
      </c>
      <c r="AW15" s="462">
        <v>1590477.13</v>
      </c>
      <c r="AX15" s="462">
        <v>1454114.59</v>
      </c>
      <c r="AY15" s="462">
        <v>1401498.8</v>
      </c>
      <c r="AZ15" s="462">
        <v>1600464.1099999999</v>
      </c>
      <c r="BA15" s="180">
        <v>1635820.37</v>
      </c>
      <c r="BB15" s="180">
        <v>1422113.53</v>
      </c>
      <c r="BC15" s="180">
        <v>2925968.56</v>
      </c>
      <c r="BD15" s="180">
        <v>1473046.76</v>
      </c>
      <c r="BE15" s="180">
        <v>1309274.25</v>
      </c>
      <c r="BF15" s="180">
        <v>797127.32000000007</v>
      </c>
      <c r="BG15" s="180">
        <v>2951000.42</v>
      </c>
      <c r="BH15" s="180">
        <v>1799327.99</v>
      </c>
      <c r="BI15" s="180">
        <v>2223285.83</v>
      </c>
      <c r="BJ15" s="180">
        <v>2016065.3599999999</v>
      </c>
      <c r="BK15" s="180">
        <v>2117702.81</v>
      </c>
      <c r="BL15" s="180">
        <v>2153916.08</v>
      </c>
      <c r="BM15" s="180">
        <f>(VLOOKUP("ER_RECV_CON_BEN_1",'[8]IS ACCTS'!$G$5:$ZZ$999,112,FALSE))*1000</f>
        <v>1823400</v>
      </c>
      <c r="BN15" s="180">
        <f>(VLOOKUP("ER_RECV_CON_BEN_1",'[8]IS ACCTS'!$G$5:$ZZ$999,113,FALSE))*1000</f>
        <v>1823400</v>
      </c>
      <c r="BO15" s="180">
        <f>(VLOOKUP("ER_RECV_CON_BEN_1",'[8]IS ACCTS'!$G$5:$ZZ$999,114,FALSE))*1000</f>
        <v>1823400</v>
      </c>
      <c r="BP15" s="180">
        <f>(VLOOKUP("ER_RECV_CON_BEN_1",'[8]IS ACCTS'!$G$5:$ZZ$999,115,FALSE))*1000</f>
        <v>1823400</v>
      </c>
      <c r="BQ15" s="180">
        <f>(VLOOKUP("ER_RECV_CON_BEN_1",'[8]IS ACCTS'!$G$5:$ZZ$999,116,FALSE))*1000</f>
        <v>1823400</v>
      </c>
      <c r="BR15" s="180">
        <f>(VLOOKUP("ER_RECV_CON_BEN_1",'[8]IS ACCTS'!$G$5:$ZZ$999,117,FALSE))*1000</f>
        <v>1823400</v>
      </c>
      <c r="BS15" s="180">
        <f>(VLOOKUP("ER_RECV_CON_BEN_1",'[8]IS ACCTS'!$G$5:$ZZ$999,118,FALSE))*1000</f>
        <v>1823400</v>
      </c>
      <c r="BT15" s="180">
        <f>(VLOOKUP("ER_RECV_CON_BEN_1",'[8]IS ACCTS'!$G$5:$ZZ$999,119,FALSE))*1000</f>
        <v>1823400</v>
      </c>
      <c r="BU15" s="180">
        <f>(VLOOKUP("ER_RECV_CON_BEN_1",'[8]IS ACCTS'!$G$5:$ZZ$999,120,FALSE))*1000</f>
        <v>1823400</v>
      </c>
      <c r="BV15" s="180">
        <f>(VLOOKUP("ER_RECV_CON_BEN_1",'[8]IS ACCTS'!$G$5:$ZZ$999,121,FALSE))*1000</f>
        <v>1823400</v>
      </c>
      <c r="BW15" s="180">
        <f>(VLOOKUP("ER_RECV_CON_BEN_1",'[8]IS ACCTS'!$G$5:$ZZ$999,122,FALSE))*1000</f>
        <v>1823400</v>
      </c>
      <c r="BX15" s="180">
        <f>(VLOOKUP("ER_RECV_CON_BEN_1",'[8]IS ACCTS'!$G$5:$ZZ$999,123,FALSE))*1000</f>
        <v>1823400</v>
      </c>
      <c r="BY15" s="180"/>
    </row>
    <row r="16" spans="1:77">
      <c r="A16" s="617" t="s">
        <v>157</v>
      </c>
      <c r="B16" s="1090">
        <f ca="1">SUM(OFFSET(BA16:BL16,0,'Bal Sheet'!$A$1))</f>
        <v>1969300</v>
      </c>
      <c r="C16" s="1091">
        <f>SUM(BM16:BX16)</f>
        <v>1969300</v>
      </c>
      <c r="D16" s="467">
        <v>126390</v>
      </c>
      <c r="E16" s="467">
        <v>720522</v>
      </c>
      <c r="F16" s="467">
        <v>187450</v>
      </c>
      <c r="G16" s="467">
        <v>0</v>
      </c>
      <c r="H16" s="467">
        <v>0</v>
      </c>
      <c r="I16" s="467">
        <v>73123</v>
      </c>
      <c r="J16" s="467">
        <v>181164</v>
      </c>
      <c r="K16" s="467">
        <v>181164</v>
      </c>
      <c r="L16" s="467">
        <v>181164</v>
      </c>
      <c r="M16" s="467">
        <v>229744</v>
      </c>
      <c r="N16" s="467">
        <v>181164</v>
      </c>
      <c r="O16" s="467">
        <v>181164</v>
      </c>
      <c r="P16" s="467">
        <v>220034</v>
      </c>
      <c r="Q16" s="467">
        <v>406812</v>
      </c>
      <c r="R16" s="467">
        <v>1331316</v>
      </c>
      <c r="S16" s="467">
        <v>667481</v>
      </c>
      <c r="T16" s="467">
        <v>249491</v>
      </c>
      <c r="U16" s="467">
        <v>365876</v>
      </c>
      <c r="V16" s="467">
        <v>119556</v>
      </c>
      <c r="W16" s="467">
        <v>119556</v>
      </c>
      <c r="X16" s="467">
        <v>119556</v>
      </c>
      <c r="Y16" s="467">
        <v>201614</v>
      </c>
      <c r="Z16" s="467">
        <v>119556</v>
      </c>
      <c r="AA16" s="467">
        <v>119556</v>
      </c>
      <c r="AB16" s="467">
        <v>368404</v>
      </c>
      <c r="AC16" s="467">
        <v>472182</v>
      </c>
      <c r="AD16" s="467">
        <v>920964</v>
      </c>
      <c r="AE16" s="467">
        <v>839526</v>
      </c>
      <c r="AF16" s="467">
        <v>229896</v>
      </c>
      <c r="AG16" s="467">
        <v>229896</v>
      </c>
      <c r="AH16" s="467">
        <v>229896</v>
      </c>
      <c r="AI16" s="467">
        <v>229896</v>
      </c>
      <c r="AJ16" s="467">
        <v>229896</v>
      </c>
      <c r="AK16" s="467">
        <v>229896</v>
      </c>
      <c r="AL16" s="467">
        <v>229896</v>
      </c>
      <c r="AM16" s="467">
        <v>229896</v>
      </c>
      <c r="AN16" s="467">
        <v>387771</v>
      </c>
      <c r="AO16" s="467">
        <v>995543</v>
      </c>
      <c r="AP16" s="467">
        <v>239233</v>
      </c>
      <c r="AQ16" s="467">
        <v>167487</v>
      </c>
      <c r="AR16" s="467">
        <v>286530</v>
      </c>
      <c r="AS16" s="467">
        <v>105895</v>
      </c>
      <c r="AT16" s="467">
        <v>95892</v>
      </c>
      <c r="AU16" s="907">
        <v>95892</v>
      </c>
      <c r="AV16" s="907">
        <v>149500</v>
      </c>
      <c r="AW16" s="907">
        <v>95892</v>
      </c>
      <c r="AX16" s="907">
        <v>95892</v>
      </c>
      <c r="AY16" s="907">
        <v>95892</v>
      </c>
      <c r="AZ16" s="907">
        <v>207131</v>
      </c>
      <c r="BA16" s="593">
        <v>1113113</v>
      </c>
      <c r="BB16" s="593">
        <v>1637970</v>
      </c>
      <c r="BC16" s="593">
        <v>234232</v>
      </c>
      <c r="BD16" s="593">
        <v>775798</v>
      </c>
      <c r="BE16" s="593">
        <v>719781</v>
      </c>
      <c r="BF16" s="593">
        <v>938269</v>
      </c>
      <c r="BG16" s="593">
        <v>234232</v>
      </c>
      <c r="BH16" s="593">
        <v>234232</v>
      </c>
      <c r="BI16" s="593">
        <v>234232</v>
      </c>
      <c r="BJ16" s="593">
        <v>234232</v>
      </c>
      <c r="BK16" s="593">
        <v>234232</v>
      </c>
      <c r="BL16" s="593">
        <v>234226</v>
      </c>
      <c r="BM16" s="593">
        <f>(VLOOKUP("4073140",'[8]IS ACCTS'!$F$6:$ZZ$999,113,FALSE)*1000)+(VLOOKUP("4073141",'[8]IS ACCTS'!$F$6:$ZZ$999,113,FALSE))*1000</f>
        <v>750000</v>
      </c>
      <c r="BN16" s="593">
        <f>(VLOOKUP("4073140",'[8]IS ACCTS'!$F$6:$ZZ$999,114,FALSE)*1000)+(VLOOKUP("4073141",'[8]IS ACCTS'!$F$6:$ZZ$999,114,FALSE))*1000</f>
        <v>515799.99999999994</v>
      </c>
      <c r="BO16" s="593">
        <f>(VLOOKUP("4073140",'[8]IS ACCTS'!$F$6:$ZZ$999,115,FALSE)*1000)+(VLOOKUP("4073141",'[8]IS ACCTS'!$F$6:$ZZ$999,115,FALSE))*1000</f>
        <v>212400</v>
      </c>
      <c r="BP16" s="593">
        <f>(VLOOKUP("4073140",'[8]IS ACCTS'!$F$6:$ZZ$999,116,FALSE)*1000)+(VLOOKUP("4073141",'[8]IS ACCTS'!$F$6:$ZZ$999,116,FALSE))*1000</f>
        <v>206100</v>
      </c>
      <c r="BQ16" s="593">
        <f>(VLOOKUP("4073140",'[8]IS ACCTS'!$F$6:$ZZ$999,117,FALSE)*1000)+(VLOOKUP("4073141",'[8]IS ACCTS'!$F$6:$ZZ$999,117,FALSE))*1000</f>
        <v>0</v>
      </c>
      <c r="BR16" s="593">
        <f>(VLOOKUP("4073140",'[8]IS ACCTS'!$F$6:$ZZ$999,118,FALSE)*1000)+(VLOOKUP("4073141",'[8]IS ACCTS'!$F$6:$ZZ$999,118,FALSE))*1000</f>
        <v>0</v>
      </c>
      <c r="BS16" s="593">
        <f>(VLOOKUP("4073140",'[8]IS ACCTS'!$F$6:$ZZ$999,119,FALSE)*1000)+(VLOOKUP("4073141",'[8]IS ACCTS'!$F$6:$ZZ$999,119,FALSE))*1000</f>
        <v>0</v>
      </c>
      <c r="BT16" s="593">
        <f>(VLOOKUP("4073140",'[8]IS ACCTS'!$F$6:$ZZ$999,120,FALSE)*1000)+(VLOOKUP("4073141",'[8]IS ACCTS'!$F$6:$ZZ$999,120,FALSE))*1000</f>
        <v>0</v>
      </c>
      <c r="BU16" s="593">
        <f>(VLOOKUP("4073140",'[8]IS ACCTS'!$F$6:$ZZ$999,121,FALSE)*1000)+(VLOOKUP("4073141",'[8]IS ACCTS'!$F$6:$ZZ$999,121,FALSE))*1000</f>
        <v>0</v>
      </c>
      <c r="BV16" s="593">
        <f>(VLOOKUP("4073140",'[8]IS ACCTS'!$F$6:$ZZ$999,122,FALSE)*1000)+(VLOOKUP("4073141",'[8]IS ACCTS'!$F$6:$ZZ$999,122,FALSE))*1000</f>
        <v>0</v>
      </c>
      <c r="BW16" s="593">
        <f>(VLOOKUP("4073140",'[8]IS ACCTS'!$F$6:$ZZ$999,123,FALSE)*1000)+(VLOOKUP("4073141",'[8]IS ACCTS'!$F$6:$ZZ$999,123,FALSE))*1000</f>
        <v>0</v>
      </c>
      <c r="BX16" s="593">
        <f>(VLOOKUP("4073140",'[8]IS ACCTS'!$F$6:$ZZ$999,124,FALSE)*1000)+(VLOOKUP("4073141",'[8]IS ACCTS'!$F$6:$ZZ$999,124,FALSE))*1000</f>
        <v>285000</v>
      </c>
      <c r="BY16" s="593"/>
    </row>
    <row r="17" spans="1:79">
      <c r="A17" s="616" t="s">
        <v>158</v>
      </c>
      <c r="B17" s="1090">
        <f ca="1">SUM(OFFSET(BA17:BL17,0,'Bal Sheet'!$A$1))</f>
        <v>1043800</v>
      </c>
      <c r="C17" s="1091">
        <f>SUM(BM17:BX17)</f>
        <v>1043800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2">
        <v>53800</v>
      </c>
      <c r="T17" s="462">
        <v>53000</v>
      </c>
      <c r="U17" s="462">
        <v>39100</v>
      </c>
      <c r="V17" s="462">
        <v>30200</v>
      </c>
      <c r="W17" s="462">
        <v>31300</v>
      </c>
      <c r="X17" s="462">
        <v>24500</v>
      </c>
      <c r="Y17" s="462">
        <v>30000</v>
      </c>
      <c r="Z17" s="462">
        <v>26000</v>
      </c>
      <c r="AA17" s="462">
        <v>41000</v>
      </c>
      <c r="AB17" s="462">
        <v>58600</v>
      </c>
      <c r="AC17" s="462">
        <v>64900.000000000007</v>
      </c>
      <c r="AD17" s="462">
        <v>56100</v>
      </c>
      <c r="AE17" s="462">
        <v>45600</v>
      </c>
      <c r="AF17" s="462">
        <v>37000</v>
      </c>
      <c r="AG17" s="462">
        <v>32200.000000000004</v>
      </c>
      <c r="AH17" s="462">
        <v>30700</v>
      </c>
      <c r="AI17" s="462">
        <v>24500</v>
      </c>
      <c r="AJ17" s="462">
        <v>26500</v>
      </c>
      <c r="AK17" s="462">
        <v>26400</v>
      </c>
      <c r="AL17" s="462">
        <v>31700</v>
      </c>
      <c r="AM17" s="462">
        <v>43200</v>
      </c>
      <c r="AN17" s="462">
        <v>71700</v>
      </c>
      <c r="AO17" s="462">
        <v>93100</v>
      </c>
      <c r="AP17" s="462">
        <v>65400.000000000007</v>
      </c>
      <c r="AQ17" s="462">
        <v>73600</v>
      </c>
      <c r="AR17" s="462">
        <v>67500</v>
      </c>
      <c r="AS17" s="462">
        <v>44400</v>
      </c>
      <c r="AT17" s="462">
        <f>(VLOOKUP("ER_FUEL_REGASMTFEE_2",'[8]IS ACCTS'!$G$5:$ZZ$700,93,FALSE))*1000</f>
        <v>43300</v>
      </c>
      <c r="AU17" s="462">
        <v>41300</v>
      </c>
      <c r="AV17" s="462">
        <v>37600</v>
      </c>
      <c r="AW17" s="462">
        <v>45200</v>
      </c>
      <c r="AX17" s="462">
        <v>40900</v>
      </c>
      <c r="AY17" s="462">
        <v>57500</v>
      </c>
      <c r="AZ17" s="462">
        <v>84700</v>
      </c>
      <c r="BA17" s="180">
        <v>112000</v>
      </c>
      <c r="BB17" s="180">
        <v>102200</v>
      </c>
      <c r="BC17" s="180">
        <v>69500</v>
      </c>
      <c r="BD17" s="180">
        <v>67200</v>
      </c>
      <c r="BE17" s="180">
        <v>57900</v>
      </c>
      <c r="BF17" s="180">
        <v>46000</v>
      </c>
      <c r="BG17" s="180">
        <v>37300</v>
      </c>
      <c r="BH17" s="180">
        <v>67200</v>
      </c>
      <c r="BI17" s="180">
        <v>59300</v>
      </c>
      <c r="BJ17" s="180">
        <v>82400</v>
      </c>
      <c r="BK17" s="180">
        <v>37700</v>
      </c>
      <c r="BL17" s="180">
        <v>68300</v>
      </c>
      <c r="BM17" s="180">
        <f>(VLOOKUP("ER_FUEL_REGASMTFEE_2",'[8]IS ACCTS'!$G$5:$ZZ$999,112,FALSE))*1000</f>
        <v>152100</v>
      </c>
      <c r="BN17" s="180">
        <f>(VLOOKUP("ER_FUEL_REGASMTFEE_2",'[8]IS ACCTS'!$G$5:$ZZ$999,113,FALSE))*1000</f>
        <v>142100</v>
      </c>
      <c r="BO17" s="180">
        <f>(VLOOKUP("ER_FUEL_REGASMTFEE_2",'[8]IS ACCTS'!$G$5:$ZZ$999,114,FALSE))*1000</f>
        <v>117300</v>
      </c>
      <c r="BP17" s="180">
        <f>(VLOOKUP("ER_FUEL_REGASMTFEE_2",'[8]IS ACCTS'!$G$5:$ZZ$999,115,FALSE))*1000</f>
        <v>84300</v>
      </c>
      <c r="BQ17" s="180">
        <f>(VLOOKUP("ER_FUEL_REGASMTFEE_2",'[8]IS ACCTS'!$G$5:$ZZ$999,116,FALSE))*1000</f>
        <v>68500</v>
      </c>
      <c r="BR17" s="180">
        <f>(VLOOKUP("ER_FUEL_REGASMTFEE_2",'[8]IS ACCTS'!$G$5:$ZZ$999,117,FALSE))*1000</f>
        <v>60500</v>
      </c>
      <c r="BS17" s="180">
        <f>(VLOOKUP("ER_FUEL_REGASMTFEE_2",'[8]IS ACCTS'!$G$5:$ZZ$999,118,FALSE))*1000</f>
        <v>57700</v>
      </c>
      <c r="BT17" s="180">
        <f>(VLOOKUP("ER_FUEL_REGASMTFEE_2",'[8]IS ACCTS'!$G$5:$ZZ$999,119,FALSE))*1000</f>
        <v>55600</v>
      </c>
      <c r="BU17" s="180">
        <f>(VLOOKUP("ER_FUEL_REGASMTFEE_2",'[8]IS ACCTS'!$G$5:$ZZ$999,120,FALSE))*1000</f>
        <v>58000</v>
      </c>
      <c r="BV17" s="180">
        <f>(VLOOKUP("ER_FUEL_REGASMTFEE_2",'[8]IS ACCTS'!$G$5:$ZZ$999,121,FALSE))*1000</f>
        <v>65400.000000000007</v>
      </c>
      <c r="BW17" s="180">
        <f>(VLOOKUP("ER_FUEL_REGASMTFEE_2",'[8]IS ACCTS'!$G$5:$ZZ$999,122,FALSE))*1000</f>
        <v>81400</v>
      </c>
      <c r="BX17" s="180">
        <f>(VLOOKUP("ER_FUEL_REGASMTFEE_2",'[8]IS ACCTS'!$G$5:$ZZ$999,123,FALSE))*1000</f>
        <v>100900</v>
      </c>
      <c r="BY17" s="180"/>
    </row>
    <row r="18" spans="1:79">
      <c r="A18" s="615" t="s">
        <v>159</v>
      </c>
      <c r="B18" s="1090">
        <f ca="1">SUM(OFFSET(BA18:BL18,0,'Bal Sheet'!$A$1))</f>
        <v>0</v>
      </c>
      <c r="C18" s="1091">
        <f>SUM(BM18:BX18)</f>
        <v>0</v>
      </c>
      <c r="D18" s="467">
        <v>84295</v>
      </c>
      <c r="E18" s="467">
        <v>47998</v>
      </c>
      <c r="F18" s="467">
        <v>15045</v>
      </c>
      <c r="G18" s="467">
        <v>39596.61</v>
      </c>
      <c r="H18" s="467">
        <v>2853</v>
      </c>
      <c r="I18" s="467">
        <v>25705</v>
      </c>
      <c r="J18" s="467">
        <v>68320</v>
      </c>
      <c r="K18" s="467">
        <v>39133.199999999997</v>
      </c>
      <c r="L18" s="467">
        <v>2100</v>
      </c>
      <c r="M18" s="467">
        <v>5925</v>
      </c>
      <c r="N18" s="467">
        <v>18600</v>
      </c>
      <c r="O18" s="467">
        <v>12745</v>
      </c>
      <c r="P18" s="467">
        <v>35405</v>
      </c>
      <c r="Q18" s="467">
        <v>54941</v>
      </c>
      <c r="R18" s="467">
        <v>50736.07</v>
      </c>
      <c r="S18" s="467">
        <v>7845</v>
      </c>
      <c r="T18" s="467">
        <v>52038.16</v>
      </c>
      <c r="U18" s="467">
        <v>26405</v>
      </c>
      <c r="V18" s="467">
        <v>64332.46</v>
      </c>
      <c r="W18" s="467">
        <v>2014.94</v>
      </c>
      <c r="X18" s="467">
        <v>-23445</v>
      </c>
      <c r="Y18" s="467">
        <v>5750</v>
      </c>
      <c r="Z18" s="467">
        <v>14545</v>
      </c>
      <c r="AA18" s="467">
        <v>8120</v>
      </c>
      <c r="AB18" s="467">
        <v>33923.32</v>
      </c>
      <c r="AC18" s="467">
        <v>65982.100000000006</v>
      </c>
      <c r="AD18" s="467">
        <v>64297.68</v>
      </c>
      <c r="AE18" s="467">
        <v>1057.3</v>
      </c>
      <c r="AF18" s="467">
        <v>6570.68</v>
      </c>
      <c r="AG18" s="467">
        <v>39700</v>
      </c>
      <c r="AH18" s="467">
        <v>4205</v>
      </c>
      <c r="AI18" s="467">
        <v>16900</v>
      </c>
      <c r="AJ18" s="467">
        <v>25000</v>
      </c>
      <c r="AK18" s="467">
        <v>5955</v>
      </c>
      <c r="AL18" s="467">
        <v>6125</v>
      </c>
      <c r="AM18" s="467">
        <v>14500</v>
      </c>
      <c r="AN18" s="467">
        <v>98044.32</v>
      </c>
      <c r="AO18" s="467">
        <v>0</v>
      </c>
      <c r="AP18" s="467">
        <v>109190.5</v>
      </c>
      <c r="AQ18" s="467">
        <v>43795</v>
      </c>
      <c r="AR18" s="467">
        <v>28675</v>
      </c>
      <c r="AS18" s="467">
        <v>2320.5300000000002</v>
      </c>
      <c r="AT18" s="467">
        <v>15057.28</v>
      </c>
      <c r="AU18" s="907">
        <v>2600</v>
      </c>
      <c r="AV18" s="907">
        <v>24545.33</v>
      </c>
      <c r="AW18" s="907">
        <v>12388.44</v>
      </c>
      <c r="AX18" s="907">
        <v>38080.9</v>
      </c>
      <c r="AY18" s="907">
        <v>8239.1</v>
      </c>
      <c r="AZ18" s="907">
        <v>87525</v>
      </c>
      <c r="BA18" s="593">
        <v>85195</v>
      </c>
      <c r="BB18" s="593">
        <v>4091.15</v>
      </c>
      <c r="BC18" s="593">
        <v>16190.92</v>
      </c>
      <c r="BD18" s="593">
        <v>10080</v>
      </c>
      <c r="BE18" s="593">
        <v>58857.96</v>
      </c>
      <c r="BF18" s="593">
        <v>10108.959999999999</v>
      </c>
      <c r="BG18" s="593">
        <v>21943</v>
      </c>
      <c r="BH18" s="593">
        <v>34084.959999999999</v>
      </c>
      <c r="BI18" s="593">
        <v>13450</v>
      </c>
      <c r="BJ18" s="593">
        <v>5275</v>
      </c>
      <c r="BK18" s="593">
        <v>19250</v>
      </c>
      <c r="BL18" s="593">
        <v>43085</v>
      </c>
      <c r="BM18" s="593">
        <f>(VLOOKUP("6790055",'[8]IS ACCTS'!$F$6:$ZZ$999,113,FALSE))*1000</f>
        <v>0</v>
      </c>
      <c r="BN18" s="593">
        <f>(VLOOKUP("6790055",'[8]IS ACCTS'!$F$6:$ZZ$999,114,FALSE))*1000</f>
        <v>0</v>
      </c>
      <c r="BO18" s="593">
        <f>(VLOOKUP("6790055",'[8]IS ACCTS'!$F$6:$ZZ$999,115,FALSE))*1000</f>
        <v>0</v>
      </c>
      <c r="BP18" s="593">
        <f>(VLOOKUP("6790055",'[8]IS ACCTS'!$F$6:$ZZ$999,116,FALSE))*1000</f>
        <v>0</v>
      </c>
      <c r="BQ18" s="593">
        <f>(VLOOKUP("6790055",'[8]IS ACCTS'!$F$6:$ZZ$999,117,FALSE))*1000</f>
        <v>0</v>
      </c>
      <c r="BR18" s="593">
        <f>(VLOOKUP("6790055",'[8]IS ACCTS'!$F$6:$ZZ$999,118,FALSE))*1000</f>
        <v>0</v>
      </c>
      <c r="BS18" s="593">
        <f>(VLOOKUP("6790055",'[8]IS ACCTS'!$F$6:$ZZ$999,119,FALSE))*1000</f>
        <v>0</v>
      </c>
      <c r="BT18" s="593">
        <f>(VLOOKUP("6790055",'[8]IS ACCTS'!$F$6:$ZZ$999,120,FALSE))*1000</f>
        <v>0</v>
      </c>
      <c r="BU18" s="593">
        <f>(VLOOKUP("6790055",'[8]IS ACCTS'!$F$6:$ZZ$999,121,FALSE))*1000</f>
        <v>0</v>
      </c>
      <c r="BV18" s="593">
        <f>(VLOOKUP("6790055",'[8]IS ACCTS'!$F$6:$ZZ$999,122,FALSE))*1000</f>
        <v>0</v>
      </c>
      <c r="BW18" s="593">
        <f>(VLOOKUP("6790055",'[8]IS ACCTS'!$F$6:$ZZ$999,123,FALSE))*1000</f>
        <v>0</v>
      </c>
      <c r="BX18" s="593">
        <f>(VLOOKUP("6790055",'[8]IS ACCTS'!$F$6:$ZZ$999,124,FALSE))*1000</f>
        <v>0</v>
      </c>
      <c r="BY18" s="593"/>
    </row>
    <row r="19" spans="1:79">
      <c r="A19" s="615" t="s">
        <v>159</v>
      </c>
      <c r="B19" s="1090">
        <f ca="1">SUM(OFFSET(BA19:BL19,0,'Bal Sheet'!$A$1))</f>
        <v>360000</v>
      </c>
      <c r="C19" s="1091">
        <f>SUM(BM19:BX19)</f>
        <v>360000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7"/>
      <c r="Y19" s="467"/>
      <c r="Z19" s="467"/>
      <c r="AA19" s="467"/>
      <c r="AB19" s="467"/>
      <c r="AC19" s="467"/>
      <c r="AD19" s="467"/>
      <c r="AE19" s="467"/>
      <c r="AF19" s="467"/>
      <c r="AG19" s="467"/>
      <c r="AH19" s="467"/>
      <c r="AI19" s="467"/>
      <c r="AJ19" s="467"/>
      <c r="AK19" s="467"/>
      <c r="AL19" s="467"/>
      <c r="AM19" s="467"/>
      <c r="AN19" s="467"/>
      <c r="AO19" s="467"/>
      <c r="AP19" s="467"/>
      <c r="AQ19" s="467"/>
      <c r="AR19" s="467"/>
      <c r="AS19" s="467"/>
      <c r="AT19" s="467"/>
      <c r="AU19" s="907"/>
      <c r="AV19" s="907"/>
      <c r="AW19" s="907"/>
      <c r="AX19" s="907"/>
      <c r="AY19" s="907"/>
      <c r="AZ19" s="907"/>
      <c r="BA19" s="593"/>
      <c r="BB19" s="593"/>
      <c r="BC19" s="593"/>
      <c r="BD19" s="593"/>
      <c r="BE19" s="593"/>
      <c r="BF19" s="593"/>
      <c r="BG19" s="593">
        <f>(VLOOKUP("A_S6790055",'[8]IS ACCTS'!$G$6:$ZZ$999,106,FALSE))*1000</f>
        <v>0</v>
      </c>
      <c r="BH19" s="593">
        <f>(VLOOKUP("A_S6790055",'[8]IS ACCTS'!$G$6:$ZZ$999,107,FALSE))*1000</f>
        <v>0</v>
      </c>
      <c r="BI19" s="593">
        <f>(VLOOKUP("A_S6790055",'[8]IS ACCTS'!$G$6:$ZZ$999,108,FALSE))*1000</f>
        <v>0</v>
      </c>
      <c r="BJ19" s="593">
        <f>(VLOOKUP("A_S6790055",'[8]IS ACCTS'!$G$6:$ZZ$999,109,FALSE))*1000</f>
        <v>0</v>
      </c>
      <c r="BK19" s="593">
        <f>(VLOOKUP("A_S6790055",'[8]IS ACCTS'!$G$6:$ZZ$999,110,FALSE))*1000</f>
        <v>0</v>
      </c>
      <c r="BL19" s="593">
        <f>(VLOOKUP("A_S6790055",'[8]IS ACCTS'!$G$6:$ZZ$999,111,FALSE))*1000</f>
        <v>0</v>
      </c>
      <c r="BM19" s="593">
        <f>(VLOOKUP("A_S6790055",'[8]IS ACCTS'!$G$6:$ZZ$999,112,FALSE))*1000</f>
        <v>30000</v>
      </c>
      <c r="BN19" s="593">
        <f>(VLOOKUP("A_S6790055",'[8]IS ACCTS'!$G$6:$ZZ$999,113,FALSE))*1000</f>
        <v>30000</v>
      </c>
      <c r="BO19" s="593">
        <f>(VLOOKUP("A_S6790055",'[8]IS ACCTS'!$G$6:$ZZ$999,114,FALSE))*1000</f>
        <v>30000</v>
      </c>
      <c r="BP19" s="593">
        <f>(VLOOKUP("A_S6790055",'[8]IS ACCTS'!$G$6:$ZZ$999,115,FALSE))*1000</f>
        <v>30000</v>
      </c>
      <c r="BQ19" s="593">
        <f>(VLOOKUP("A_S6790055",'[8]IS ACCTS'!$G$6:$ZZ$999,116,FALSE))*1000</f>
        <v>30000</v>
      </c>
      <c r="BR19" s="593">
        <f>(VLOOKUP("A_S6790055",'[8]IS ACCTS'!$G$6:$ZZ$999,117,FALSE))*1000</f>
        <v>30000</v>
      </c>
      <c r="BS19" s="593">
        <f>(VLOOKUP("A_S6790055",'[8]IS ACCTS'!$G$6:$ZZ$999,118,FALSE))*1000</f>
        <v>30000</v>
      </c>
      <c r="BT19" s="593">
        <f>(VLOOKUP("A_S6790055",'[8]IS ACCTS'!$G$6:$ZZ$999,119,FALSE))*1000</f>
        <v>30000</v>
      </c>
      <c r="BU19" s="593">
        <f>(VLOOKUP("A_S6790055",'[8]IS ACCTS'!$G$6:$ZZ$999,120,FALSE))*1000</f>
        <v>30000</v>
      </c>
      <c r="BV19" s="593">
        <f>(VLOOKUP("A_S6790055",'[8]IS ACCTS'!$G$6:$ZZ$999,121,FALSE))*1000</f>
        <v>30000</v>
      </c>
      <c r="BW19" s="593">
        <f>(VLOOKUP("A_S6790055",'[8]IS ACCTS'!$G$6:$ZZ$999,122,FALSE))*1000</f>
        <v>30000</v>
      </c>
      <c r="BX19" s="593">
        <f>(VLOOKUP("A_S6790055",'[8]IS ACCTS'!$G$6:$ZZ$999,123,FALSE))*1000</f>
        <v>30000</v>
      </c>
      <c r="BY19" s="593"/>
      <c r="CA19" s="375" t="s">
        <v>1216</v>
      </c>
    </row>
    <row r="20" spans="1:79">
      <c r="A20" s="614" t="s">
        <v>160</v>
      </c>
      <c r="B20" s="761">
        <f ca="1">B19*0.05</f>
        <v>18000</v>
      </c>
      <c r="C20" s="761">
        <f>C19*0.05</f>
        <v>18000</v>
      </c>
      <c r="D20" s="606"/>
      <c r="E20" s="606"/>
      <c r="F20" s="606"/>
      <c r="G20" s="606"/>
      <c r="H20" s="606"/>
      <c r="I20" s="606"/>
      <c r="J20" s="606"/>
      <c r="K20" s="606"/>
      <c r="L20" s="606"/>
      <c r="M20" s="606"/>
      <c r="N20" s="606"/>
      <c r="O20" s="606"/>
      <c r="P20" s="606"/>
      <c r="Q20" s="606"/>
      <c r="R20" s="606"/>
      <c r="S20" s="606"/>
      <c r="T20" s="606"/>
      <c r="U20" s="606"/>
      <c r="V20" s="606"/>
      <c r="W20" s="606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606"/>
      <c r="AJ20" s="606"/>
      <c r="AK20" s="606"/>
      <c r="AL20" s="606"/>
      <c r="AM20" s="606"/>
      <c r="AN20" s="606"/>
      <c r="AO20" s="606"/>
      <c r="AP20" s="606"/>
      <c r="AQ20" s="606"/>
      <c r="AR20" s="606"/>
      <c r="AS20" s="606"/>
      <c r="AT20" s="606"/>
      <c r="AU20" s="606"/>
      <c r="AV20" s="606"/>
      <c r="AW20" s="606"/>
      <c r="AX20" s="606"/>
      <c r="AY20" s="606"/>
      <c r="AZ20" s="606"/>
      <c r="BA20" s="606"/>
      <c r="BB20" s="606"/>
      <c r="BC20" s="606"/>
      <c r="BD20" s="606"/>
      <c r="BE20" s="606"/>
      <c r="BF20" s="606"/>
      <c r="BG20" s="606"/>
      <c r="BH20" s="606"/>
      <c r="BI20" s="606"/>
      <c r="BJ20" s="606"/>
      <c r="BK20" s="606"/>
      <c r="BL20" s="606"/>
      <c r="BM20" s="606"/>
      <c r="BN20" s="606"/>
      <c r="BO20" s="606"/>
      <c r="BP20" s="606"/>
      <c r="BQ20" s="606"/>
      <c r="BR20" s="606"/>
      <c r="BS20" s="606"/>
      <c r="BT20" s="606"/>
      <c r="BU20" s="606"/>
      <c r="BV20" s="606"/>
      <c r="BW20" s="606"/>
      <c r="BX20" s="606"/>
      <c r="BY20" s="606"/>
    </row>
    <row r="21" spans="1:79">
      <c r="A21" s="614"/>
      <c r="B21" s="607"/>
      <c r="C21" s="607"/>
      <c r="D21" s="606"/>
      <c r="E21" s="606"/>
      <c r="F21" s="606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606"/>
      <c r="AJ21" s="606"/>
      <c r="AK21" s="606"/>
      <c r="AL21" s="606"/>
      <c r="AM21" s="606"/>
      <c r="AN21" s="606"/>
      <c r="AO21" s="606"/>
      <c r="AP21" s="606"/>
      <c r="AQ21" s="606"/>
      <c r="AR21" s="606"/>
      <c r="AS21" s="606"/>
      <c r="AT21" s="606"/>
      <c r="AU21" s="606"/>
      <c r="AV21" s="606"/>
      <c r="AW21" s="606"/>
      <c r="AX21" s="606"/>
      <c r="AY21" s="606"/>
      <c r="AZ21" s="606"/>
      <c r="BA21" s="606"/>
      <c r="BB21" s="606"/>
      <c r="BC21" s="606"/>
      <c r="BD21" s="606"/>
      <c r="BE21" s="606"/>
      <c r="BF21" s="606"/>
      <c r="BG21" s="606"/>
      <c r="BH21" s="606"/>
      <c r="BI21" s="606"/>
      <c r="BJ21" s="606"/>
      <c r="BK21" s="606"/>
      <c r="BL21" s="606"/>
      <c r="BM21" s="606"/>
      <c r="BN21" s="606"/>
      <c r="BO21" s="606"/>
      <c r="BP21" s="606"/>
      <c r="BQ21" s="606"/>
      <c r="BR21" s="606"/>
      <c r="BS21" s="606"/>
      <c r="BT21" s="606"/>
      <c r="BU21" s="606"/>
      <c r="BV21" s="606"/>
      <c r="BW21" s="606"/>
      <c r="BX21" s="606"/>
      <c r="BY21" s="606"/>
    </row>
    <row r="22" spans="1:79">
      <c r="A22" s="616" t="s">
        <v>161</v>
      </c>
      <c r="B22" s="1090">
        <f ca="1">SUM(OFFSET(BA22:BL22,0,'Bal Sheet'!$A$1))</f>
        <v>15562400</v>
      </c>
      <c r="C22" s="1090">
        <f t="shared" ref="C22:C24" si="1">SUM(BM22:BX22)</f>
        <v>15562400</v>
      </c>
      <c r="Q22" s="458">
        <v>1066822.57</v>
      </c>
      <c r="R22" s="458">
        <v>1041144.7</v>
      </c>
      <c r="S22" s="458">
        <v>965206.94</v>
      </c>
      <c r="T22" s="458">
        <v>930781.64</v>
      </c>
      <c r="U22" s="458">
        <v>806809.96</v>
      </c>
      <c r="V22" s="458">
        <v>775019.29</v>
      </c>
      <c r="W22" s="458">
        <v>753787.61</v>
      </c>
      <c r="X22" s="458">
        <v>720129.45</v>
      </c>
      <c r="Y22" s="458">
        <v>756683.05</v>
      </c>
      <c r="Z22" s="458">
        <v>740014.74</v>
      </c>
      <c r="AA22" s="458">
        <v>823134.47</v>
      </c>
      <c r="AB22" s="458">
        <v>993293.22</v>
      </c>
      <c r="AC22" s="458">
        <v>1099027.43</v>
      </c>
      <c r="AD22" s="458">
        <v>1057497.58</v>
      </c>
      <c r="AE22" s="458">
        <v>995565.97</v>
      </c>
      <c r="AF22" s="458">
        <v>858234.19</v>
      </c>
      <c r="AG22" s="458">
        <v>757404.7</v>
      </c>
      <c r="AH22" s="458">
        <v>703815.08</v>
      </c>
      <c r="AI22" s="458">
        <v>735672.65</v>
      </c>
      <c r="AJ22" s="458">
        <v>728815.39</v>
      </c>
      <c r="AK22" s="458">
        <v>712266.38</v>
      </c>
      <c r="AL22" s="458">
        <v>741461.7</v>
      </c>
      <c r="AM22" s="458">
        <v>845673.32</v>
      </c>
      <c r="AN22" s="458">
        <v>974505.53</v>
      </c>
      <c r="AO22" s="458">
        <v>1339279.8</v>
      </c>
      <c r="AP22" s="458">
        <v>1246435.1200000001</v>
      </c>
      <c r="AQ22" s="458">
        <v>1168468.74</v>
      </c>
      <c r="AR22" s="458">
        <v>1172223.43</v>
      </c>
      <c r="AS22" s="458">
        <v>1047174.69</v>
      </c>
      <c r="AT22" s="458">
        <v>984453.81</v>
      </c>
      <c r="AU22" s="458">
        <v>986918.97</v>
      </c>
      <c r="AV22" s="458">
        <v>919524.78</v>
      </c>
      <c r="AW22" s="458">
        <v>971650.93</v>
      </c>
      <c r="AX22" s="458">
        <v>923528.5</v>
      </c>
      <c r="AY22" s="458">
        <v>1044670.42</v>
      </c>
      <c r="AZ22" s="458">
        <v>1264591.1000000001</v>
      </c>
      <c r="BA22" s="594">
        <v>1438551.14</v>
      </c>
      <c r="BB22" s="594">
        <v>1520736.87</v>
      </c>
      <c r="BC22" s="594">
        <v>1360442.37</v>
      </c>
      <c r="BD22" s="594">
        <v>1250057.25</v>
      </c>
      <c r="BE22" s="594">
        <v>1182465.3400000001</v>
      </c>
      <c r="BF22" s="594">
        <v>1080663.08</v>
      </c>
      <c r="BG22" s="594">
        <v>1009625.02</v>
      </c>
      <c r="BH22" s="594">
        <v>1121007.94</v>
      </c>
      <c r="BI22" s="594">
        <v>1157497.69</v>
      </c>
      <c r="BJ22" s="594">
        <v>1217081</v>
      </c>
      <c r="BK22" s="594">
        <v>1117482.67</v>
      </c>
      <c r="BL22" s="594">
        <v>1244950.2</v>
      </c>
      <c r="BM22" s="594">
        <f>(VLOOKUP("6900010",'[8]IS ACCTS'!$F$6:$ZZ$999,113,FALSE))*1000</f>
        <v>1521400</v>
      </c>
      <c r="BN22" s="594">
        <f>(VLOOKUP("6900010",'[8]IS ACCTS'!$F$6:$ZZ$999,114,FALSE))*1000</f>
        <v>1606000</v>
      </c>
      <c r="BO22" s="594">
        <f>(VLOOKUP("6900010",'[8]IS ACCTS'!$F$6:$ZZ$999,115,FALSE))*1000</f>
        <v>1438900</v>
      </c>
      <c r="BP22" s="594">
        <f>(VLOOKUP("6900010",'[8]IS ACCTS'!$F$6:$ZZ$999,116,FALSE))*1000</f>
        <v>1322500</v>
      </c>
      <c r="BQ22" s="594">
        <f>(VLOOKUP("6900010",'[8]IS ACCTS'!$F$6:$ZZ$999,117,FALSE))*1000</f>
        <v>1251200</v>
      </c>
      <c r="BR22" s="594">
        <f>(VLOOKUP("6900010",'[8]IS ACCTS'!$F$6:$ZZ$999,118,FALSE))*1000</f>
        <v>1146000</v>
      </c>
      <c r="BS22" s="594">
        <f>(VLOOKUP("6900010",'[8]IS ACCTS'!$F$6:$ZZ$999,119,FALSE))*1000</f>
        <v>1069100</v>
      </c>
      <c r="BT22" s="594">
        <f>(VLOOKUP("6900010",'[8]IS ACCTS'!$F$6:$ZZ$999,120,FALSE))*1000</f>
        <v>1079800</v>
      </c>
      <c r="BU22" s="594">
        <f>(VLOOKUP("6900010",'[8]IS ACCTS'!$F$6:$ZZ$999,121,FALSE))*1000</f>
        <v>1090600</v>
      </c>
      <c r="BV22" s="594">
        <f>(VLOOKUP("6900010",'[8]IS ACCTS'!$F$6:$ZZ$999,122,FALSE))*1000</f>
        <v>1199700</v>
      </c>
      <c r="BW22" s="594">
        <f>(VLOOKUP("6900010",'[8]IS ACCTS'!$F$6:$ZZ$999,123,FALSE))*1000</f>
        <v>1319600</v>
      </c>
      <c r="BX22" s="594">
        <f>(VLOOKUP("6900010",'[8]IS ACCTS'!$F$6:$ZZ$999,124,FALSE))*1000</f>
        <v>1517600</v>
      </c>
      <c r="BY22" s="594"/>
    </row>
    <row r="23" spans="1:79">
      <c r="A23" s="616" t="s">
        <v>162</v>
      </c>
      <c r="B23" s="1090">
        <f ca="1">SUM(OFFSET(BA23:BL23,0,'Bal Sheet'!$A$1))</f>
        <v>17727400</v>
      </c>
      <c r="C23" s="1090">
        <f t="shared" si="1"/>
        <v>17727400</v>
      </c>
      <c r="Q23" s="459">
        <v>1655787.55</v>
      </c>
      <c r="R23" s="459">
        <v>1640421.41</v>
      </c>
      <c r="S23" s="459">
        <v>1424624.07</v>
      </c>
      <c r="T23" s="459">
        <v>1125549.97</v>
      </c>
      <c r="U23" s="459">
        <v>1177922.3799999999</v>
      </c>
      <c r="V23" s="459">
        <v>1016378.54</v>
      </c>
      <c r="W23" s="459">
        <v>984361.68</v>
      </c>
      <c r="X23" s="459">
        <v>932359.53</v>
      </c>
      <c r="Y23" s="459">
        <v>949375.97</v>
      </c>
      <c r="Z23" s="459">
        <v>936155.2</v>
      </c>
      <c r="AA23" s="459">
        <v>1112587.07</v>
      </c>
      <c r="AB23" s="459">
        <v>1504303.85</v>
      </c>
      <c r="AC23" s="459">
        <v>1618178.97</v>
      </c>
      <c r="AD23" s="459">
        <v>1572436.88</v>
      </c>
      <c r="AE23" s="459">
        <v>1352878.21</v>
      </c>
      <c r="AF23" s="459">
        <v>1062025.6200000001</v>
      </c>
      <c r="AG23" s="459">
        <v>953525.89</v>
      </c>
      <c r="AH23" s="459">
        <v>967309.63</v>
      </c>
      <c r="AI23" s="459">
        <v>851851.75</v>
      </c>
      <c r="AJ23" s="459">
        <v>911904.78</v>
      </c>
      <c r="AK23" s="459">
        <v>870947.67</v>
      </c>
      <c r="AL23" s="459">
        <v>954992.39</v>
      </c>
      <c r="AM23" s="459">
        <v>1095394.1499999999</v>
      </c>
      <c r="AN23" s="459">
        <v>1396326.38</v>
      </c>
      <c r="AO23" s="459">
        <v>1837558.54</v>
      </c>
      <c r="AP23" s="459">
        <v>1655338.08</v>
      </c>
      <c r="AQ23" s="459">
        <v>1457150.65</v>
      </c>
      <c r="AR23" s="459">
        <v>1426996.58</v>
      </c>
      <c r="AS23" s="459">
        <v>1201056.29</v>
      </c>
      <c r="AT23" s="459">
        <v>1108542.6499999999</v>
      </c>
      <c r="AU23" s="459">
        <v>1134501.22</v>
      </c>
      <c r="AV23" s="459">
        <v>1011208.09</v>
      </c>
      <c r="AW23" s="459">
        <v>1071922.69</v>
      </c>
      <c r="AX23" s="459">
        <v>1072270.76</v>
      </c>
      <c r="AY23" s="459">
        <v>1236232.4099999999</v>
      </c>
      <c r="AZ23" s="459">
        <v>1610219.3</v>
      </c>
      <c r="BA23" s="595">
        <v>1747412.92</v>
      </c>
      <c r="BB23" s="595">
        <v>1727920.15</v>
      </c>
      <c r="BC23" s="595">
        <v>1638802.23</v>
      </c>
      <c r="BD23" s="595">
        <v>1466977.23</v>
      </c>
      <c r="BE23" s="595">
        <v>1329404.5900000001</v>
      </c>
      <c r="BF23" s="595">
        <v>1171609.3500000001</v>
      </c>
      <c r="BG23" s="595">
        <v>1070368.31</v>
      </c>
      <c r="BH23" s="595">
        <v>1017536.8</v>
      </c>
      <c r="BI23" s="595">
        <v>1080019.73</v>
      </c>
      <c r="BJ23" s="595">
        <v>1183729.3700000001</v>
      </c>
      <c r="BK23" s="595">
        <v>1255346.49</v>
      </c>
      <c r="BL23" s="595">
        <v>1563688.22</v>
      </c>
      <c r="BM23" s="595">
        <f>(VLOOKUP("6900030",'[8]IS ACCTS'!$F$6:$ZZ$999,113,FALSE))*1000</f>
        <v>1869700</v>
      </c>
      <c r="BN23" s="595">
        <f>(VLOOKUP("6900030",'[8]IS ACCTS'!$F$6:$ZZ$999,114,FALSE))*1000</f>
        <v>2025500</v>
      </c>
      <c r="BO23" s="595">
        <f>(VLOOKUP("6900030",'[8]IS ACCTS'!$F$6:$ZZ$999,115,FALSE))*1000</f>
        <v>1754800</v>
      </c>
      <c r="BP23" s="595">
        <f>(VLOOKUP("6900030",'[8]IS ACCTS'!$F$6:$ZZ$999,116,FALSE))*1000</f>
        <v>1571100</v>
      </c>
      <c r="BQ23" s="595">
        <f>(VLOOKUP("6900030",'[8]IS ACCTS'!$F$6:$ZZ$999,117,FALSE))*1000</f>
        <v>1424200</v>
      </c>
      <c r="BR23" s="595">
        <f>(VLOOKUP("6900030",'[8]IS ACCTS'!$F$6:$ZZ$999,118,FALSE))*1000</f>
        <v>1255600</v>
      </c>
      <c r="BS23" s="595">
        <f>(VLOOKUP("6900030",'[8]IS ACCTS'!$F$6:$ZZ$999,119,FALSE))*1000</f>
        <v>1125800</v>
      </c>
      <c r="BT23" s="595">
        <f>(VLOOKUP("6900030",'[8]IS ACCTS'!$F$6:$ZZ$999,120,FALSE))*1000</f>
        <v>1131400</v>
      </c>
      <c r="BU23" s="595">
        <f>(VLOOKUP("6900030",'[8]IS ACCTS'!$F$6:$ZZ$999,121,FALSE))*1000</f>
        <v>1187900</v>
      </c>
      <c r="BV23" s="595">
        <f>(VLOOKUP("6900030",'[8]IS ACCTS'!$F$6:$ZZ$999,122,FALSE))*1000</f>
        <v>1283000</v>
      </c>
      <c r="BW23" s="595">
        <f>(VLOOKUP("6900030",'[8]IS ACCTS'!$F$6:$ZZ$999,123,FALSE))*1000</f>
        <v>1475400</v>
      </c>
      <c r="BX23" s="595">
        <f>(VLOOKUP("6900030",'[8]IS ACCTS'!$F$6:$ZZ$999,124,FALSE))*1000</f>
        <v>1623000</v>
      </c>
      <c r="BY23" s="595"/>
    </row>
    <row r="24" spans="1:79">
      <c r="A24" s="616" t="s">
        <v>163</v>
      </c>
      <c r="B24" s="1090">
        <f ca="1">SUM(OFFSET(BA24:BL24,0,'Bal Sheet'!$A$1))</f>
        <v>33289800</v>
      </c>
      <c r="C24" s="1090">
        <f t="shared" si="1"/>
        <v>33289800</v>
      </c>
      <c r="Q24" s="460">
        <v>2722610.12</v>
      </c>
      <c r="R24" s="460">
        <v>2681566.11</v>
      </c>
      <c r="S24" s="460">
        <v>2389831.0099999998</v>
      </c>
      <c r="T24" s="460">
        <v>2056331.6099999999</v>
      </c>
      <c r="U24" s="460">
        <v>1984732.3399999999</v>
      </c>
      <c r="V24" s="460">
        <v>1791397.83</v>
      </c>
      <c r="W24" s="460">
        <v>1738149.29</v>
      </c>
      <c r="X24" s="460">
        <v>1652488.98</v>
      </c>
      <c r="Y24" s="460">
        <v>1706059.02</v>
      </c>
      <c r="Z24" s="460">
        <v>1676169.94</v>
      </c>
      <c r="AA24" s="460">
        <v>1935721.54</v>
      </c>
      <c r="AB24" s="460">
        <v>2497597.0700000003</v>
      </c>
      <c r="AC24" s="460">
        <f>+AC23+AC22</f>
        <v>2717206.4</v>
      </c>
      <c r="AD24" s="460">
        <f t="shared" ref="AD24:AN24" si="2">+AD23+AD22</f>
        <v>2629934.46</v>
      </c>
      <c r="AE24" s="460">
        <f t="shared" si="2"/>
        <v>2348444.1799999997</v>
      </c>
      <c r="AF24" s="460">
        <f t="shared" si="2"/>
        <v>1920259.81</v>
      </c>
      <c r="AG24" s="460">
        <f t="shared" si="2"/>
        <v>1710930.5899999999</v>
      </c>
      <c r="AH24" s="460">
        <f t="shared" si="2"/>
        <v>1671124.71</v>
      </c>
      <c r="AI24" s="460">
        <f t="shared" si="2"/>
        <v>1587524.4</v>
      </c>
      <c r="AJ24" s="460">
        <f t="shared" si="2"/>
        <v>1640720.17</v>
      </c>
      <c r="AK24" s="460">
        <f t="shared" si="2"/>
        <v>1583214.05</v>
      </c>
      <c r="AL24" s="460">
        <f t="shared" si="2"/>
        <v>1696454.0899999999</v>
      </c>
      <c r="AM24" s="460">
        <f t="shared" si="2"/>
        <v>1941067.4699999997</v>
      </c>
      <c r="AN24" s="460">
        <f t="shared" si="2"/>
        <v>2370831.91</v>
      </c>
      <c r="AO24" s="460">
        <f t="shared" ref="AO24:AZ24" si="3">+AO23+AO22</f>
        <v>3176838.34</v>
      </c>
      <c r="AP24" s="460">
        <f t="shared" si="3"/>
        <v>2901773.2</v>
      </c>
      <c r="AQ24" s="460">
        <f t="shared" si="3"/>
        <v>2625619.3899999997</v>
      </c>
      <c r="AR24" s="460">
        <f t="shared" si="3"/>
        <v>2599220.0099999998</v>
      </c>
      <c r="AS24" s="460">
        <f t="shared" si="3"/>
        <v>2248230.98</v>
      </c>
      <c r="AT24" s="460">
        <f t="shared" si="3"/>
        <v>2092996.46</v>
      </c>
      <c r="AU24" s="460">
        <f t="shared" si="3"/>
        <v>2121420.19</v>
      </c>
      <c r="AV24" s="460">
        <f t="shared" si="3"/>
        <v>1930732.87</v>
      </c>
      <c r="AW24" s="460">
        <f t="shared" si="3"/>
        <v>2043573.62</v>
      </c>
      <c r="AX24" s="460">
        <f t="shared" si="3"/>
        <v>1995799.26</v>
      </c>
      <c r="AY24" s="460">
        <f t="shared" si="3"/>
        <v>2280902.83</v>
      </c>
      <c r="AZ24" s="460">
        <f t="shared" si="3"/>
        <v>2874810.4000000004</v>
      </c>
      <c r="BA24" s="450">
        <f t="shared" ref="BA24:BL24" si="4">+BA23+BA22</f>
        <v>3185964.0599999996</v>
      </c>
      <c r="BB24" s="450">
        <f t="shared" si="4"/>
        <v>3248657.02</v>
      </c>
      <c r="BC24" s="450">
        <f t="shared" si="4"/>
        <v>2999244.6</v>
      </c>
      <c r="BD24" s="450">
        <f t="shared" si="4"/>
        <v>2717034.48</v>
      </c>
      <c r="BE24" s="450">
        <f t="shared" si="4"/>
        <v>2511869.9300000002</v>
      </c>
      <c r="BF24" s="450">
        <f t="shared" si="4"/>
        <v>2252272.4300000002</v>
      </c>
      <c r="BG24" s="450">
        <f t="shared" si="4"/>
        <v>2079993.33</v>
      </c>
      <c r="BH24" s="450">
        <f t="shared" si="4"/>
        <v>2138544.7400000002</v>
      </c>
      <c r="BI24" s="450">
        <f t="shared" si="4"/>
        <v>2237517.42</v>
      </c>
      <c r="BJ24" s="450">
        <f t="shared" si="4"/>
        <v>2400810.37</v>
      </c>
      <c r="BK24" s="450">
        <f t="shared" si="4"/>
        <v>2372829.16</v>
      </c>
      <c r="BL24" s="450">
        <f t="shared" si="4"/>
        <v>2808638.42</v>
      </c>
      <c r="BM24" s="450">
        <f t="shared" ref="BM24:BX24" si="5">+BM23+BM22</f>
        <v>3391100</v>
      </c>
      <c r="BN24" s="450">
        <f t="shared" si="5"/>
        <v>3631500</v>
      </c>
      <c r="BO24" s="450">
        <f t="shared" si="5"/>
        <v>3193700</v>
      </c>
      <c r="BP24" s="450">
        <f t="shared" si="5"/>
        <v>2893600</v>
      </c>
      <c r="BQ24" s="450">
        <f t="shared" si="5"/>
        <v>2675400</v>
      </c>
      <c r="BR24" s="450">
        <f t="shared" si="5"/>
        <v>2401600</v>
      </c>
      <c r="BS24" s="450">
        <f t="shared" si="5"/>
        <v>2194900</v>
      </c>
      <c r="BT24" s="450">
        <f t="shared" si="5"/>
        <v>2211200</v>
      </c>
      <c r="BU24" s="450">
        <f t="shared" si="5"/>
        <v>2278500</v>
      </c>
      <c r="BV24" s="450">
        <f t="shared" si="5"/>
        <v>2482700</v>
      </c>
      <c r="BW24" s="450">
        <f t="shared" si="5"/>
        <v>2795000</v>
      </c>
      <c r="BX24" s="450">
        <f t="shared" si="5"/>
        <v>3140600</v>
      </c>
      <c r="BY24" s="450"/>
    </row>
    <row r="25" spans="1:79">
      <c r="A25" s="614"/>
      <c r="BM25" s="375"/>
      <c r="BN25" s="375"/>
      <c r="BO25" s="375"/>
      <c r="BP25" s="375"/>
      <c r="BQ25" s="375"/>
      <c r="BR25" s="375"/>
      <c r="BS25" s="375"/>
      <c r="BT25" s="375"/>
      <c r="BU25" s="375"/>
      <c r="BV25" s="375"/>
      <c r="BW25" s="375"/>
      <c r="BX25" s="375"/>
    </row>
    <row r="26" spans="1:79">
      <c r="A26" s="616" t="s">
        <v>164</v>
      </c>
      <c r="B26" s="1090">
        <f ca="1">SUM(OFFSET(BA26:BL26,0,'Bal Sheet'!$A$1))</f>
        <v>-15562400</v>
      </c>
      <c r="C26" s="1090">
        <f t="shared" ref="C26:C28" si="6">SUM(BM26:BX26)</f>
        <v>-15562400</v>
      </c>
      <c r="Q26" s="458">
        <v>-1077455.75</v>
      </c>
      <c r="R26" s="458">
        <v>-1049655.22</v>
      </c>
      <c r="S26" s="458">
        <v>-976425.94</v>
      </c>
      <c r="T26" s="458">
        <v>-944434.86</v>
      </c>
      <c r="U26" s="458">
        <v>-814908.7</v>
      </c>
      <c r="V26" s="458">
        <v>-782183.36</v>
      </c>
      <c r="W26" s="458">
        <v>-760420.2</v>
      </c>
      <c r="X26" s="458">
        <v>-726605.6</v>
      </c>
      <c r="Y26" s="458">
        <v>-766395.44</v>
      </c>
      <c r="Z26" s="458">
        <v>-746665.18</v>
      </c>
      <c r="AA26" s="458">
        <v>-829620.68</v>
      </c>
      <c r="AB26" s="458">
        <v>-1001016.06</v>
      </c>
      <c r="AC26" s="458">
        <v>-1107892.52</v>
      </c>
      <c r="AD26" s="458">
        <v>-1064792.08</v>
      </c>
      <c r="AE26" s="458">
        <v>-1000768.77</v>
      </c>
      <c r="AF26" s="458">
        <v>-861987.17</v>
      </c>
      <c r="AG26" s="458">
        <v>-761201.88</v>
      </c>
      <c r="AH26" s="458">
        <v>-707180.78</v>
      </c>
      <c r="AI26" s="458">
        <v>-739814.08</v>
      </c>
      <c r="AJ26" s="458">
        <v>-732428.55</v>
      </c>
      <c r="AK26" s="458">
        <v>-719516.08</v>
      </c>
      <c r="AL26" s="458">
        <v>-759171.86</v>
      </c>
      <c r="AM26" s="458">
        <v>-852819.9</v>
      </c>
      <c r="AN26" s="458">
        <v>-986412.7</v>
      </c>
      <c r="AO26" s="458">
        <v>-1347921.56</v>
      </c>
      <c r="AP26" s="458">
        <v>-1255574.45</v>
      </c>
      <c r="AQ26" s="458">
        <v>-1176632.71</v>
      </c>
      <c r="AR26" s="458">
        <v>-1182701.1299999999</v>
      </c>
      <c r="AS26" s="458">
        <v>-1055107.24</v>
      </c>
      <c r="AT26" s="458">
        <v>-994597.45</v>
      </c>
      <c r="AU26" s="458">
        <v>-997341.73</v>
      </c>
      <c r="AV26" s="458">
        <v>-928115.15</v>
      </c>
      <c r="AW26" s="458">
        <v>-980203.27</v>
      </c>
      <c r="AX26" s="458">
        <v>-931959.41</v>
      </c>
      <c r="AY26" s="458">
        <v>-1052791.18</v>
      </c>
      <c r="AZ26" s="458">
        <v>-1274558.2</v>
      </c>
      <c r="BA26" s="594">
        <v>-1448910.88</v>
      </c>
      <c r="BB26" s="594">
        <v>-1529552.96</v>
      </c>
      <c r="BC26" s="594">
        <v>-1370392.34</v>
      </c>
      <c r="BD26" s="594">
        <v>-1259490.8799999999</v>
      </c>
      <c r="BE26" s="594">
        <v>-1191620.17</v>
      </c>
      <c r="BF26" s="594">
        <v>-1091400.44</v>
      </c>
      <c r="BG26" s="594">
        <v>-1018216.2</v>
      </c>
      <c r="BH26" s="594">
        <v>-1130553.42</v>
      </c>
      <c r="BI26" s="594">
        <v>-1166932</v>
      </c>
      <c r="BJ26" s="594">
        <v>-1226121.8</v>
      </c>
      <c r="BK26" s="594">
        <v>-1127298.28</v>
      </c>
      <c r="BL26" s="594">
        <v>-1254323.27</v>
      </c>
      <c r="BM26" s="594">
        <f>-(VLOOKUP("4950205",'[8]IS ACCTS'!$F$6:$ZZ$999,113,FALSE))*1000</f>
        <v>-1521400</v>
      </c>
      <c r="BN26" s="594">
        <f>-(VLOOKUP("4950205",'[8]IS ACCTS'!$F$6:$ZZ$999,114,FALSE))*1000</f>
        <v>-1606000</v>
      </c>
      <c r="BO26" s="594">
        <f>-(VLOOKUP("4950205",'[8]IS ACCTS'!$F$6:$ZZ$999,115,FALSE))*1000</f>
        <v>-1438900</v>
      </c>
      <c r="BP26" s="594">
        <f>-(VLOOKUP("4950205",'[8]IS ACCTS'!$F$6:$ZZ$999,116,FALSE))*1000</f>
        <v>-1322500</v>
      </c>
      <c r="BQ26" s="594">
        <f>-(VLOOKUP("4950205",'[8]IS ACCTS'!$F$6:$ZZ$999,117,FALSE))*1000</f>
        <v>-1251200</v>
      </c>
      <c r="BR26" s="594">
        <f>-(VLOOKUP("4950205",'[8]IS ACCTS'!$F$6:$ZZ$999,118,FALSE))*1000</f>
        <v>-1146000</v>
      </c>
      <c r="BS26" s="594">
        <f>-(VLOOKUP("4950205",'[8]IS ACCTS'!$F$6:$ZZ$999,119,FALSE))*1000</f>
        <v>-1069100</v>
      </c>
      <c r="BT26" s="594">
        <f>-(VLOOKUP("4950205",'[8]IS ACCTS'!$F$6:$ZZ$999,120,FALSE))*1000</f>
        <v>-1079800</v>
      </c>
      <c r="BU26" s="594">
        <f>-(VLOOKUP("4950205",'[8]IS ACCTS'!$F$6:$ZZ$999,121,FALSE))*1000</f>
        <v>-1090600</v>
      </c>
      <c r="BV26" s="594">
        <f>-(VLOOKUP("4950205",'[8]IS ACCTS'!$F$6:$ZZ$999,122,FALSE))*1000</f>
        <v>-1199700</v>
      </c>
      <c r="BW26" s="594">
        <f>-(VLOOKUP("4950205",'[8]IS ACCTS'!$F$6:$ZZ$999,123,FALSE))*1000</f>
        <v>-1319600</v>
      </c>
      <c r="BX26" s="594">
        <f>-(VLOOKUP("4950205",'[8]IS ACCTS'!$F$6:$ZZ$999,124,FALSE))*1000</f>
        <v>-1517600</v>
      </c>
      <c r="BY26" s="594"/>
    </row>
    <row r="27" spans="1:79">
      <c r="A27" s="616" t="s">
        <v>165</v>
      </c>
      <c r="B27" s="1090">
        <f ca="1">SUM(OFFSET(BA27:BL27,0,'Bal Sheet'!$A$1))</f>
        <v>-17727400</v>
      </c>
      <c r="C27" s="1090">
        <f t="shared" si="6"/>
        <v>-17727400</v>
      </c>
      <c r="Q27" s="459">
        <v>-1665864.94</v>
      </c>
      <c r="R27" s="459">
        <v>-1640421.41</v>
      </c>
      <c r="S27" s="459">
        <v>-1434294.15</v>
      </c>
      <c r="T27" s="459">
        <v>-1134539.23</v>
      </c>
      <c r="U27" s="459">
        <v>-1185315.3999999999</v>
      </c>
      <c r="V27" s="459">
        <v>-1023382.27</v>
      </c>
      <c r="W27" s="459">
        <v>-990882.96</v>
      </c>
      <c r="X27" s="459">
        <v>-938493.94</v>
      </c>
      <c r="Y27" s="459">
        <v>-959936.59</v>
      </c>
      <c r="Z27" s="459">
        <v>-942398.3</v>
      </c>
      <c r="AA27" s="459">
        <v>-1118971.45</v>
      </c>
      <c r="AB27" s="459">
        <v>-1513136.83</v>
      </c>
      <c r="AC27" s="459">
        <v>-1628543.84</v>
      </c>
      <c r="AD27" s="459">
        <v>-1581269.81</v>
      </c>
      <c r="AE27" s="459">
        <v>-1360686.35</v>
      </c>
      <c r="AF27" s="459">
        <v>-1067229.21</v>
      </c>
      <c r="AG27" s="459">
        <v>-959002.58</v>
      </c>
      <c r="AH27" s="459">
        <v>-972001.62</v>
      </c>
      <c r="AI27" s="459">
        <v>-857883.31</v>
      </c>
      <c r="AJ27" s="459">
        <v>-916574.94</v>
      </c>
      <c r="AK27" s="459">
        <v>-877380.33</v>
      </c>
      <c r="AL27" s="459">
        <v>-967926.02</v>
      </c>
      <c r="AM27" s="459">
        <v>-1102359.0900000001</v>
      </c>
      <c r="AN27" s="459">
        <v>-1409825.73</v>
      </c>
      <c r="AO27" s="459">
        <v>-1837558.54</v>
      </c>
      <c r="AP27" s="459">
        <v>-1657676.57</v>
      </c>
      <c r="AQ27" s="459">
        <v>-1456490.32</v>
      </c>
      <c r="AR27" s="459">
        <v>-1436211.98</v>
      </c>
      <c r="AS27" s="459">
        <v>-1208611.94</v>
      </c>
      <c r="AT27" s="459">
        <v>-1116474.1299999999</v>
      </c>
      <c r="AU27" s="459">
        <v>-1142086.17</v>
      </c>
      <c r="AV27" s="459">
        <v>-1017929.49</v>
      </c>
      <c r="AW27" s="459">
        <v>-1078486.3799999999</v>
      </c>
      <c r="AX27" s="459">
        <v>-1080685.17</v>
      </c>
      <c r="AY27" s="459">
        <v>-1242017.5900000001</v>
      </c>
      <c r="AZ27" s="459">
        <v>-1619789.26</v>
      </c>
      <c r="BA27" s="595">
        <v>-1747412.92</v>
      </c>
      <c r="BB27" s="595">
        <v>-1892978.9</v>
      </c>
      <c r="BC27" s="595">
        <v>-1640029.05</v>
      </c>
      <c r="BD27" s="595">
        <v>-1468301.53</v>
      </c>
      <c r="BE27" s="595">
        <v>-1331047.67</v>
      </c>
      <c r="BF27" s="595">
        <v>-1173483.29</v>
      </c>
      <c r="BG27" s="595">
        <v>-1072143.94</v>
      </c>
      <c r="BH27" s="595">
        <v>-1019030.03</v>
      </c>
      <c r="BI27" s="595">
        <v>-1081406.97</v>
      </c>
      <c r="BJ27" s="595">
        <v>-1184872.05</v>
      </c>
      <c r="BK27" s="595">
        <v>-1256626.96</v>
      </c>
      <c r="BL27" s="595">
        <v>-1564803.32</v>
      </c>
      <c r="BM27" s="595">
        <f>-(VLOOKUP("4950206",'[8]IS ACCTS'!$F$6:$ZZ$999,113,FALSE))*1000</f>
        <v>-1869700</v>
      </c>
      <c r="BN27" s="595">
        <f>-(VLOOKUP("4950206",'[8]IS ACCTS'!$F$6:$ZZ$999,114,FALSE))*1000</f>
        <v>-2025500</v>
      </c>
      <c r="BO27" s="595">
        <f>-(VLOOKUP("4950206",'[8]IS ACCTS'!$F$6:$ZZ$999,115,FALSE))*1000</f>
        <v>-1754800</v>
      </c>
      <c r="BP27" s="595">
        <f>-(VLOOKUP("4950206",'[8]IS ACCTS'!$F$6:$ZZ$999,116,FALSE))*1000</f>
        <v>-1571100</v>
      </c>
      <c r="BQ27" s="595">
        <f>-(VLOOKUP("4950206",'[8]IS ACCTS'!$F$6:$ZZ$999,117,FALSE))*1000</f>
        <v>-1424200</v>
      </c>
      <c r="BR27" s="595">
        <f>-(VLOOKUP("4950206",'[8]IS ACCTS'!$F$6:$ZZ$999,118,FALSE))*1000</f>
        <v>-1255600</v>
      </c>
      <c r="BS27" s="595">
        <f>-(VLOOKUP("4950206",'[8]IS ACCTS'!$F$6:$ZZ$999,119,FALSE))*1000</f>
        <v>-1125800</v>
      </c>
      <c r="BT27" s="595">
        <f>-(VLOOKUP("4950206",'[8]IS ACCTS'!$F$6:$ZZ$999,120,FALSE))*1000</f>
        <v>-1131400</v>
      </c>
      <c r="BU27" s="595">
        <f>-(VLOOKUP("4950206",'[8]IS ACCTS'!$F$6:$ZZ$999,121,FALSE))*1000</f>
        <v>-1187900</v>
      </c>
      <c r="BV27" s="595">
        <f>-(VLOOKUP("4950206",'[8]IS ACCTS'!$F$6:$ZZ$999,122,FALSE))*1000</f>
        <v>-1283000</v>
      </c>
      <c r="BW27" s="595">
        <f>-(VLOOKUP("4950206",'[8]IS ACCTS'!$F$6:$ZZ$999,123,FALSE))*1000</f>
        <v>-1475400</v>
      </c>
      <c r="BX27" s="595">
        <f>-(VLOOKUP("4950206",'[8]IS ACCTS'!$F$6:$ZZ$999,124,FALSE))*1000</f>
        <v>-1623000</v>
      </c>
      <c r="BY27" s="595"/>
    </row>
    <row r="28" spans="1:79">
      <c r="A28" s="616" t="s">
        <v>166</v>
      </c>
      <c r="B28" s="1090">
        <f ca="1">SUM(OFFSET(BA28:BL28,0,'Bal Sheet'!$A$1))</f>
        <v>-33289800</v>
      </c>
      <c r="C28" s="1090">
        <f t="shared" si="6"/>
        <v>-33289800</v>
      </c>
      <c r="Q28" s="460">
        <v>-2743320.69</v>
      </c>
      <c r="R28" s="460">
        <v>-2690076.63</v>
      </c>
      <c r="S28" s="460">
        <v>-2410720.09</v>
      </c>
      <c r="T28" s="460">
        <v>-2078974.0899999999</v>
      </c>
      <c r="U28" s="460">
        <v>-2000224.0999999999</v>
      </c>
      <c r="V28" s="460">
        <v>-1805565.63</v>
      </c>
      <c r="W28" s="460">
        <v>-1751303.16</v>
      </c>
      <c r="X28" s="460">
        <v>-1665099.54</v>
      </c>
      <c r="Y28" s="460">
        <v>-1726332.0299999998</v>
      </c>
      <c r="Z28" s="460">
        <v>-1689063.48</v>
      </c>
      <c r="AA28" s="460">
        <v>-1948592.13</v>
      </c>
      <c r="AB28" s="460">
        <v>-2514152.89</v>
      </c>
      <c r="AC28" s="460">
        <f>+AC27+AC26</f>
        <v>-2736436.3600000003</v>
      </c>
      <c r="AD28" s="460">
        <f t="shared" ref="AD28:AN28" si="7">+AD27+AD26</f>
        <v>-2646061.89</v>
      </c>
      <c r="AE28" s="460">
        <f t="shared" si="7"/>
        <v>-2361455.12</v>
      </c>
      <c r="AF28" s="460">
        <f t="shared" si="7"/>
        <v>-1929216.38</v>
      </c>
      <c r="AG28" s="460">
        <f t="shared" si="7"/>
        <v>-1720204.46</v>
      </c>
      <c r="AH28" s="460">
        <f t="shared" si="7"/>
        <v>-1679182.4</v>
      </c>
      <c r="AI28" s="460">
        <f t="shared" si="7"/>
        <v>-1597697.3900000001</v>
      </c>
      <c r="AJ28" s="460">
        <f t="shared" si="7"/>
        <v>-1649003.49</v>
      </c>
      <c r="AK28" s="460">
        <f t="shared" si="7"/>
        <v>-1596896.41</v>
      </c>
      <c r="AL28" s="460">
        <f t="shared" si="7"/>
        <v>-1727097.88</v>
      </c>
      <c r="AM28" s="460">
        <f t="shared" si="7"/>
        <v>-1955178.9900000002</v>
      </c>
      <c r="AN28" s="460">
        <f t="shared" si="7"/>
        <v>-2396238.4299999997</v>
      </c>
      <c r="AO28" s="460">
        <f t="shared" ref="AO28:AZ28" si="8">+AO27+AO26</f>
        <v>-3185480.1</v>
      </c>
      <c r="AP28" s="460">
        <f t="shared" si="8"/>
        <v>-2913251.02</v>
      </c>
      <c r="AQ28" s="460">
        <f t="shared" si="8"/>
        <v>-2633123.0300000003</v>
      </c>
      <c r="AR28" s="460">
        <f t="shared" si="8"/>
        <v>-2618913.11</v>
      </c>
      <c r="AS28" s="460">
        <f t="shared" si="8"/>
        <v>-2263719.1799999997</v>
      </c>
      <c r="AT28" s="460">
        <f t="shared" si="8"/>
        <v>-2111071.58</v>
      </c>
      <c r="AU28" s="460">
        <f t="shared" si="8"/>
        <v>-2139427.9</v>
      </c>
      <c r="AV28" s="460">
        <f t="shared" si="8"/>
        <v>-1946044.6400000001</v>
      </c>
      <c r="AW28" s="460">
        <f t="shared" si="8"/>
        <v>-2058689.65</v>
      </c>
      <c r="AX28" s="460">
        <f t="shared" si="8"/>
        <v>-2012644.58</v>
      </c>
      <c r="AY28" s="460">
        <f t="shared" si="8"/>
        <v>-2294808.77</v>
      </c>
      <c r="AZ28" s="460">
        <f t="shared" si="8"/>
        <v>-2894347.46</v>
      </c>
      <c r="BA28" s="450">
        <f t="shared" ref="BA28:BL28" si="9">+BA27+BA26</f>
        <v>-3196323.8</v>
      </c>
      <c r="BB28" s="450">
        <f t="shared" si="9"/>
        <v>-3422531.86</v>
      </c>
      <c r="BC28" s="450">
        <f t="shared" si="9"/>
        <v>-3010421.39</v>
      </c>
      <c r="BD28" s="450">
        <f t="shared" si="9"/>
        <v>-2727792.41</v>
      </c>
      <c r="BE28" s="450">
        <f t="shared" si="9"/>
        <v>-2522667.84</v>
      </c>
      <c r="BF28" s="450">
        <f t="shared" si="9"/>
        <v>-2264883.73</v>
      </c>
      <c r="BG28" s="450">
        <f t="shared" si="9"/>
        <v>-2090360.14</v>
      </c>
      <c r="BH28" s="450">
        <f t="shared" si="9"/>
        <v>-2149583.4500000002</v>
      </c>
      <c r="BI28" s="450">
        <f t="shared" si="9"/>
        <v>-2248338.9699999997</v>
      </c>
      <c r="BJ28" s="450">
        <f t="shared" si="9"/>
        <v>-2410993.85</v>
      </c>
      <c r="BK28" s="450">
        <f t="shared" si="9"/>
        <v>-2383925.2400000002</v>
      </c>
      <c r="BL28" s="450">
        <f t="shared" si="9"/>
        <v>-2819126.59</v>
      </c>
      <c r="BM28" s="450">
        <f t="shared" ref="BM28:BX28" si="10">+BM27+BM26</f>
        <v>-3391100</v>
      </c>
      <c r="BN28" s="450">
        <f t="shared" si="10"/>
        <v>-3631500</v>
      </c>
      <c r="BO28" s="450">
        <f t="shared" si="10"/>
        <v>-3193700</v>
      </c>
      <c r="BP28" s="450">
        <f t="shared" si="10"/>
        <v>-2893600</v>
      </c>
      <c r="BQ28" s="450">
        <f t="shared" si="10"/>
        <v>-2675400</v>
      </c>
      <c r="BR28" s="450">
        <f t="shared" si="10"/>
        <v>-2401600</v>
      </c>
      <c r="BS28" s="450">
        <f t="shared" si="10"/>
        <v>-2194900</v>
      </c>
      <c r="BT28" s="450">
        <f t="shared" si="10"/>
        <v>-2211200</v>
      </c>
      <c r="BU28" s="450">
        <f t="shared" si="10"/>
        <v>-2278500</v>
      </c>
      <c r="BV28" s="450">
        <f t="shared" si="10"/>
        <v>-2482700</v>
      </c>
      <c r="BW28" s="450">
        <f t="shared" si="10"/>
        <v>-2795000</v>
      </c>
      <c r="BX28" s="450">
        <f t="shared" si="10"/>
        <v>-3140600</v>
      </c>
      <c r="BY28" s="450"/>
    </row>
    <row r="29" spans="1:79">
      <c r="A29" s="616"/>
      <c r="BM29" s="375"/>
      <c r="BN29" s="375"/>
      <c r="BO29" s="375"/>
      <c r="BP29" s="375"/>
      <c r="BQ29" s="375"/>
      <c r="BR29" s="375"/>
      <c r="BS29" s="375"/>
      <c r="BT29" s="375"/>
      <c r="BU29" s="375"/>
      <c r="BV29" s="375"/>
      <c r="BW29" s="375"/>
      <c r="BX29" s="375"/>
    </row>
    <row r="30" spans="1:79" ht="12.75" customHeight="1">
      <c r="A30" s="616" t="s">
        <v>167</v>
      </c>
      <c r="B30" s="450">
        <f ca="1">SUM(OFFSET(BA30:BM30,0,'Bal Sheet'!$A$1-1))/13</f>
        <v>-806.78230769230197</v>
      </c>
      <c r="C30" s="450">
        <f>+BX30</f>
        <v>0</v>
      </c>
      <c r="Q30" s="450">
        <f>+Q28+Q24</f>
        <v>-20710.569999999832</v>
      </c>
      <c r="R30" s="450">
        <f t="shared" ref="R30:AN30" si="11">+R28+R24</f>
        <v>-8510.5200000000186</v>
      </c>
      <c r="S30" s="450">
        <f t="shared" si="11"/>
        <v>-20889.080000000075</v>
      </c>
      <c r="T30" s="450">
        <f t="shared" si="11"/>
        <v>-22642.479999999981</v>
      </c>
      <c r="U30" s="450">
        <f t="shared" si="11"/>
        <v>-15491.760000000009</v>
      </c>
      <c r="V30" s="450">
        <f t="shared" si="11"/>
        <v>-14167.799999999814</v>
      </c>
      <c r="W30" s="450">
        <f t="shared" si="11"/>
        <v>-13153.869999999879</v>
      </c>
      <c r="X30" s="450">
        <f t="shared" si="11"/>
        <v>-12610.560000000056</v>
      </c>
      <c r="Y30" s="450">
        <f t="shared" si="11"/>
        <v>-20273.009999999776</v>
      </c>
      <c r="Z30" s="450">
        <f t="shared" si="11"/>
        <v>-12893.540000000037</v>
      </c>
      <c r="AA30" s="450">
        <f t="shared" si="11"/>
        <v>-12870.589999999851</v>
      </c>
      <c r="AB30" s="450">
        <f t="shared" si="11"/>
        <v>-16555.819999999832</v>
      </c>
      <c r="AC30" s="450">
        <f>+AC28+AC24</f>
        <v>-19229.960000000428</v>
      </c>
      <c r="AD30" s="450">
        <f t="shared" si="11"/>
        <v>-16127.430000000168</v>
      </c>
      <c r="AE30" s="450">
        <f t="shared" si="11"/>
        <v>-13010.94000000041</v>
      </c>
      <c r="AF30" s="450">
        <f t="shared" si="11"/>
        <v>-8956.5699999998324</v>
      </c>
      <c r="AG30" s="450">
        <f t="shared" si="11"/>
        <v>-9273.8700000001118</v>
      </c>
      <c r="AH30" s="450">
        <f t="shared" si="11"/>
        <v>-8057.6899999999441</v>
      </c>
      <c r="AI30" s="450">
        <f t="shared" si="11"/>
        <v>-10172.990000000224</v>
      </c>
      <c r="AJ30" s="450">
        <f t="shared" si="11"/>
        <v>-8283.3200000000652</v>
      </c>
      <c r="AK30" s="450">
        <f t="shared" si="11"/>
        <v>-13682.35999999987</v>
      </c>
      <c r="AL30" s="450">
        <f t="shared" si="11"/>
        <v>-30643.790000000037</v>
      </c>
      <c r="AM30" s="450">
        <f t="shared" si="11"/>
        <v>-14111.520000000484</v>
      </c>
      <c r="AN30" s="450">
        <f t="shared" si="11"/>
        <v>-25406.519999999553</v>
      </c>
      <c r="AO30" s="450">
        <f t="shared" ref="AO30:AZ30" si="12">+AO28+AO24</f>
        <v>-8641.7600000002421</v>
      </c>
      <c r="AP30" s="450">
        <f t="shared" si="12"/>
        <v>-11477.819999999832</v>
      </c>
      <c r="AQ30" s="450">
        <f t="shared" si="12"/>
        <v>-7503.640000000596</v>
      </c>
      <c r="AR30" s="450">
        <f t="shared" si="12"/>
        <v>-19693.100000000093</v>
      </c>
      <c r="AS30" s="450">
        <f t="shared" si="12"/>
        <v>-15488.199999999721</v>
      </c>
      <c r="AT30" s="450">
        <f t="shared" si="12"/>
        <v>-18075.120000000112</v>
      </c>
      <c r="AU30" s="450">
        <f t="shared" si="12"/>
        <v>-18007.709999999963</v>
      </c>
      <c r="AV30" s="450">
        <f t="shared" si="12"/>
        <v>-15311.770000000019</v>
      </c>
      <c r="AW30" s="450">
        <f t="shared" si="12"/>
        <v>-15116.029999999795</v>
      </c>
      <c r="AX30" s="450">
        <f t="shared" si="12"/>
        <v>-16845.320000000065</v>
      </c>
      <c r="AY30" s="450">
        <f t="shared" si="12"/>
        <v>-13905.939999999944</v>
      </c>
      <c r="AZ30" s="450">
        <f t="shared" si="12"/>
        <v>-19537.05999999959</v>
      </c>
      <c r="BA30" s="450">
        <f t="shared" ref="BA30:BL30" si="13">+BA28+BA24</f>
        <v>-10359.740000000224</v>
      </c>
      <c r="BB30" s="450">
        <f t="shared" si="13"/>
        <v>-173874.83999999985</v>
      </c>
      <c r="BC30" s="450">
        <f t="shared" si="13"/>
        <v>-11176.790000000037</v>
      </c>
      <c r="BD30" s="450">
        <f t="shared" si="13"/>
        <v>-10757.930000000168</v>
      </c>
      <c r="BE30" s="450">
        <f t="shared" si="13"/>
        <v>-10797.909999999683</v>
      </c>
      <c r="BF30" s="450">
        <f t="shared" si="13"/>
        <v>-12611.299999999814</v>
      </c>
      <c r="BG30" s="450">
        <f t="shared" si="13"/>
        <v>-10366.809999999823</v>
      </c>
      <c r="BH30" s="450">
        <f t="shared" si="13"/>
        <v>-11038.709999999963</v>
      </c>
      <c r="BI30" s="450">
        <f t="shared" si="13"/>
        <v>-10821.549999999814</v>
      </c>
      <c r="BJ30" s="450">
        <f t="shared" si="13"/>
        <v>-10183.479999999981</v>
      </c>
      <c r="BK30" s="450">
        <f t="shared" si="13"/>
        <v>-11096.080000000075</v>
      </c>
      <c r="BL30" s="450">
        <f t="shared" si="13"/>
        <v>-10488.169999999925</v>
      </c>
      <c r="BM30" s="450">
        <f t="shared" ref="BM30:BX30" si="14">+BM28+BM24</f>
        <v>0</v>
      </c>
      <c r="BN30" s="450">
        <f t="shared" si="14"/>
        <v>0</v>
      </c>
      <c r="BO30" s="450">
        <f t="shared" si="14"/>
        <v>0</v>
      </c>
      <c r="BP30" s="450">
        <f t="shared" si="14"/>
        <v>0</v>
      </c>
      <c r="BQ30" s="450">
        <f t="shared" si="14"/>
        <v>0</v>
      </c>
      <c r="BR30" s="450">
        <f t="shared" si="14"/>
        <v>0</v>
      </c>
      <c r="BS30" s="450">
        <f t="shared" si="14"/>
        <v>0</v>
      </c>
      <c r="BT30" s="450">
        <f t="shared" si="14"/>
        <v>0</v>
      </c>
      <c r="BU30" s="450">
        <f t="shared" si="14"/>
        <v>0</v>
      </c>
      <c r="BV30" s="450">
        <f t="shared" si="14"/>
        <v>0</v>
      </c>
      <c r="BW30" s="450">
        <f t="shared" si="14"/>
        <v>0</v>
      </c>
      <c r="BX30" s="450">
        <f t="shared" si="14"/>
        <v>0</v>
      </c>
      <c r="BY30" s="450"/>
    </row>
    <row r="31" spans="1:79" ht="12.75" customHeight="1">
      <c r="A31" s="616" t="s">
        <v>168</v>
      </c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60">
        <f t="shared" ref="AC31:AZ31" si="15">SUM(R30:AC30)</f>
        <v>-189288.98999999976</v>
      </c>
      <c r="AD31" s="460">
        <f t="shared" si="15"/>
        <v>-196905.89999999991</v>
      </c>
      <c r="AE31" s="460">
        <f t="shared" si="15"/>
        <v>-189027.76000000024</v>
      </c>
      <c r="AF31" s="460">
        <f t="shared" si="15"/>
        <v>-175341.85000000009</v>
      </c>
      <c r="AG31" s="460">
        <f t="shared" si="15"/>
        <v>-169123.9600000002</v>
      </c>
      <c r="AH31" s="460">
        <f t="shared" si="15"/>
        <v>-163013.85000000033</v>
      </c>
      <c r="AI31" s="460">
        <f t="shared" si="15"/>
        <v>-160032.97000000067</v>
      </c>
      <c r="AJ31" s="460">
        <f t="shared" si="15"/>
        <v>-155705.73000000068</v>
      </c>
      <c r="AK31" s="460">
        <f t="shared" si="15"/>
        <v>-149115.08000000077</v>
      </c>
      <c r="AL31" s="460">
        <f t="shared" si="15"/>
        <v>-166865.33000000077</v>
      </c>
      <c r="AM31" s="460">
        <f t="shared" si="15"/>
        <v>-168106.26000000141</v>
      </c>
      <c r="AN31" s="460">
        <f t="shared" si="15"/>
        <v>-176956.96000000113</v>
      </c>
      <c r="AO31" s="460">
        <f t="shared" si="15"/>
        <v>-166368.76000000094</v>
      </c>
      <c r="AP31" s="460">
        <f t="shared" si="15"/>
        <v>-161719.15000000061</v>
      </c>
      <c r="AQ31" s="460">
        <f t="shared" si="15"/>
        <v>-156211.85000000079</v>
      </c>
      <c r="AR31" s="460">
        <f t="shared" si="15"/>
        <v>-166948.38000000105</v>
      </c>
      <c r="AS31" s="460">
        <f t="shared" si="15"/>
        <v>-173162.71000000066</v>
      </c>
      <c r="AT31" s="460">
        <f t="shared" si="15"/>
        <v>-183180.14000000083</v>
      </c>
      <c r="AU31" s="460">
        <f t="shared" si="15"/>
        <v>-191014.86000000057</v>
      </c>
      <c r="AV31" s="460">
        <f t="shared" si="15"/>
        <v>-198043.31000000052</v>
      </c>
      <c r="AW31" s="460">
        <f t="shared" si="15"/>
        <v>-199476.98000000045</v>
      </c>
      <c r="AX31" s="460">
        <f t="shared" si="15"/>
        <v>-185678.51000000047</v>
      </c>
      <c r="AY31" s="460">
        <f t="shared" si="15"/>
        <v>-185472.92999999993</v>
      </c>
      <c r="AZ31" s="460">
        <f t="shared" si="15"/>
        <v>-179603.46999999997</v>
      </c>
      <c r="BA31" s="474">
        <f t="shared" ref="BA31" si="16">SUM(AP30:BA30)</f>
        <v>-181321.44999999995</v>
      </c>
      <c r="BB31" s="474">
        <f t="shared" ref="BB31" si="17">SUM(AQ30:BB30)</f>
        <v>-343718.47</v>
      </c>
      <c r="BC31" s="474">
        <f t="shared" ref="BC31" si="18">SUM(AR30:BC30)</f>
        <v>-347391.61999999941</v>
      </c>
      <c r="BD31" s="474">
        <f t="shared" ref="BD31" si="19">SUM(AS30:BD30)</f>
        <v>-338456.44999999949</v>
      </c>
      <c r="BE31" s="474">
        <f t="shared" ref="BE31" si="20">SUM(AT30:BE30)</f>
        <v>-333766.15999999945</v>
      </c>
      <c r="BF31" s="474">
        <f t="shared" ref="BF31" si="21">SUM(AU30:BF30)</f>
        <v>-328302.33999999915</v>
      </c>
      <c r="BG31" s="474">
        <f t="shared" ref="BG31" si="22">SUM(AV30:BG30)</f>
        <v>-320661.43999999901</v>
      </c>
      <c r="BH31" s="474">
        <f t="shared" ref="BH31" si="23">SUM(AW30:BH30)</f>
        <v>-316388.37999999896</v>
      </c>
      <c r="BI31" s="474">
        <f t="shared" ref="BI31" si="24">SUM(AX30:BI30)</f>
        <v>-312093.89999999898</v>
      </c>
      <c r="BJ31" s="474">
        <f t="shared" ref="BJ31" si="25">SUM(AY30:BJ30)</f>
        <v>-305432.05999999889</v>
      </c>
      <c r="BK31" s="474">
        <f t="shared" ref="BK31" si="26">SUM(AZ30:BK30)</f>
        <v>-302622.19999999902</v>
      </c>
      <c r="BL31" s="474">
        <f t="shared" ref="BL31" si="27">SUM(BA30:BL30)</f>
        <v>-293573.30999999936</v>
      </c>
      <c r="BM31" s="474">
        <f t="shared" ref="BM31" si="28">SUM(BB30:BM30)</f>
        <v>-283213.56999999913</v>
      </c>
      <c r="BN31" s="474">
        <f t="shared" ref="BN31" si="29">SUM(BC30:BN30)</f>
        <v>-109338.72999999928</v>
      </c>
      <c r="BO31" s="474">
        <f t="shared" ref="BO31" si="30">SUM(BD30:BO30)</f>
        <v>-98161.939999999246</v>
      </c>
      <c r="BP31" s="474">
        <f t="shared" ref="BP31" si="31">SUM(BE30:BP30)</f>
        <v>-87404.009999999078</v>
      </c>
      <c r="BQ31" s="474">
        <f t="shared" ref="BQ31" si="32">SUM(BF30:BQ30)</f>
        <v>-76606.099999999395</v>
      </c>
      <c r="BR31" s="474">
        <f t="shared" ref="BR31" si="33">SUM(BG30:BR30)</f>
        <v>-63994.799999999581</v>
      </c>
      <c r="BS31" s="474">
        <f t="shared" ref="BS31" si="34">SUM(BH30:BS30)</f>
        <v>-53627.989999999758</v>
      </c>
      <c r="BT31" s="474">
        <f t="shared" ref="BT31" si="35">SUM(BI30:BT30)</f>
        <v>-42589.279999999795</v>
      </c>
      <c r="BU31" s="474">
        <f t="shared" ref="BU31" si="36">SUM(BJ30:BU30)</f>
        <v>-31767.729999999981</v>
      </c>
      <c r="BV31" s="474">
        <f t="shared" ref="BV31" si="37">SUM(BK30:BV30)</f>
        <v>-21584.25</v>
      </c>
      <c r="BW31" s="474">
        <f t="shared" ref="BW31" si="38">SUM(BL30:BW30)</f>
        <v>-10488.169999999925</v>
      </c>
      <c r="BX31" s="474">
        <f t="shared" ref="BX31" si="39">SUM(BM30:BX30)</f>
        <v>0</v>
      </c>
      <c r="BY31" s="474"/>
    </row>
    <row r="32" spans="1:79" ht="12.75" customHeight="1">
      <c r="A32" s="616"/>
      <c r="B32" s="450"/>
      <c r="C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0"/>
      <c r="AE32" s="450"/>
      <c r="AF32" s="450"/>
      <c r="AG32" s="450"/>
      <c r="AH32" s="450"/>
      <c r="AI32" s="450"/>
      <c r="AJ32" s="450"/>
      <c r="AK32" s="450"/>
      <c r="AL32" s="450"/>
      <c r="AM32" s="450"/>
      <c r="AN32" s="450"/>
      <c r="AO32" s="450"/>
      <c r="AP32" s="450"/>
      <c r="AQ32" s="450"/>
      <c r="AR32" s="450"/>
      <c r="AS32" s="450"/>
      <c r="AT32" s="450"/>
      <c r="AU32" s="450"/>
      <c r="AV32" s="450"/>
      <c r="AW32" s="450"/>
      <c r="AX32" s="450"/>
      <c r="AY32" s="450"/>
      <c r="AZ32" s="450"/>
      <c r="BA32" s="450"/>
      <c r="BB32" s="450"/>
      <c r="BC32" s="450"/>
      <c r="BD32" s="450"/>
      <c r="BE32" s="450"/>
      <c r="BF32" s="450"/>
      <c r="BG32" s="450"/>
      <c r="BH32" s="450"/>
      <c r="BI32" s="450"/>
      <c r="BJ32" s="450"/>
      <c r="BK32" s="450"/>
      <c r="BL32" s="450"/>
      <c r="BM32" s="450"/>
      <c r="BN32" s="450"/>
      <c r="BO32" s="450"/>
      <c r="BP32" s="450"/>
      <c r="BQ32" s="450"/>
      <c r="BR32" s="450"/>
      <c r="BS32" s="450"/>
      <c r="BT32" s="450"/>
      <c r="BU32" s="450"/>
      <c r="BV32" s="450"/>
      <c r="BW32" s="450"/>
      <c r="BX32" s="450"/>
      <c r="BY32" s="450"/>
    </row>
    <row r="33" spans="1:77" ht="12.75" customHeight="1">
      <c r="A33" s="614" t="s">
        <v>169</v>
      </c>
      <c r="B33" s="760">
        <f ca="1">SUM(OFFSET(BA33:BM33,0,'Bal Sheet'!$A$1-1))/13</f>
        <v>-21133.196923076928</v>
      </c>
      <c r="C33" s="760">
        <f>+BX33</f>
        <v>0</v>
      </c>
      <c r="D33" s="467">
        <v>-508.06083999999998</v>
      </c>
      <c r="E33" s="467">
        <v>-481.52343999999999</v>
      </c>
      <c r="F33" s="467">
        <v>-454.98603000000003</v>
      </c>
      <c r="G33" s="467">
        <v>-428.44862999999992</v>
      </c>
      <c r="H33" s="467">
        <v>-401.91121999999996</v>
      </c>
      <c r="I33" s="467">
        <v>-387.61651000000001</v>
      </c>
      <c r="J33" s="467">
        <v>-385.56428999999997</v>
      </c>
      <c r="K33" s="467">
        <v>-383.51208000000003</v>
      </c>
      <c r="L33" s="467">
        <v>-381.45983999999999</v>
      </c>
      <c r="M33" s="467">
        <v>-379.40762000000001</v>
      </c>
      <c r="N33" s="467">
        <v>-377.35539999999997</v>
      </c>
      <c r="O33" s="467">
        <v>-375.30318</v>
      </c>
      <c r="P33" s="602">
        <v>-373250.94999999995</v>
      </c>
      <c r="Q33" s="602">
        <v>-371198.73</v>
      </c>
      <c r="R33" s="602">
        <v>-369146.50000000006</v>
      </c>
      <c r="S33" s="602">
        <v>-367094.29</v>
      </c>
      <c r="T33" s="602">
        <v>-365042.07000000007</v>
      </c>
      <c r="U33" s="602">
        <v>-362989.85</v>
      </c>
      <c r="V33" s="602">
        <v>-360937.62000000005</v>
      </c>
      <c r="W33" s="602">
        <v>-358885.39999999997</v>
      </c>
      <c r="X33" s="602">
        <v>-356833.18000000005</v>
      </c>
      <c r="Y33" s="602">
        <v>-354780.97</v>
      </c>
      <c r="Z33" s="602">
        <v>-352728.74000000005</v>
      </c>
      <c r="AA33" s="602">
        <v>-350676.51999999996</v>
      </c>
      <c r="AB33" s="602">
        <v>-348624.30000000005</v>
      </c>
      <c r="AC33" s="602">
        <v>-346572.07999999996</v>
      </c>
      <c r="AD33" s="602">
        <v>-344519.85000000003</v>
      </c>
      <c r="AE33" s="602">
        <v>-342467.63999999996</v>
      </c>
      <c r="AF33" s="602">
        <v>-340415.42000000004</v>
      </c>
      <c r="AG33" s="602">
        <v>-338363.19999999995</v>
      </c>
      <c r="AH33" s="602">
        <v>-336310.97000000003</v>
      </c>
      <c r="AI33" s="602">
        <v>-334258.74999999994</v>
      </c>
      <c r="AJ33" s="602">
        <v>-332206.53000000003</v>
      </c>
      <c r="AK33" s="602">
        <v>-330154.31999999995</v>
      </c>
      <c r="AL33" s="602">
        <v>-328102.09000000003</v>
      </c>
      <c r="AM33" s="602">
        <v>-326049.86999999994</v>
      </c>
      <c r="AN33" s="602">
        <v>-323997.65000000002</v>
      </c>
      <c r="AO33" s="602">
        <v>-321945.42999999993</v>
      </c>
      <c r="AP33" s="602">
        <v>-319893.2</v>
      </c>
      <c r="AQ33" s="602">
        <v>-317840.99000000005</v>
      </c>
      <c r="AR33" s="602">
        <v>-315775.98</v>
      </c>
      <c r="AS33" s="602">
        <v>-313723.76</v>
      </c>
      <c r="AT33" s="602">
        <v>-311671.52999999997</v>
      </c>
      <c r="AU33" s="602">
        <v>-309619.31</v>
      </c>
      <c r="AV33" s="602">
        <v>-307567.08999999997</v>
      </c>
      <c r="AW33" s="602">
        <v>-305514.88</v>
      </c>
      <c r="AX33" s="602">
        <v>-303462.64999999997</v>
      </c>
      <c r="AY33" s="602">
        <v>-301410.43</v>
      </c>
      <c r="AZ33" s="602">
        <v>-299358.21000000008</v>
      </c>
      <c r="BA33" s="596">
        <v>-297305.99</v>
      </c>
      <c r="BB33" s="596">
        <v>-295253.76000000007</v>
      </c>
      <c r="BC33" s="596">
        <v>-293201.55</v>
      </c>
      <c r="BD33" s="596">
        <v>-291149.33000000007</v>
      </c>
      <c r="BE33" s="596">
        <v>-289097.11</v>
      </c>
      <c r="BF33" s="596">
        <v>-287044.88000000006</v>
      </c>
      <c r="BG33" s="596">
        <v>-284992.65999999997</v>
      </c>
      <c r="BH33" s="596">
        <v>-282940.44000000006</v>
      </c>
      <c r="BI33" s="596">
        <v>-280888.23</v>
      </c>
      <c r="BJ33" s="596">
        <v>-278836.00000000006</v>
      </c>
      <c r="BK33" s="596">
        <v>-276783.77999999997</v>
      </c>
      <c r="BL33" s="596">
        <v>-274731.56000000006</v>
      </c>
      <c r="BM33" s="596">
        <f>(VLOOKUP("2190040",'[8]BS ACCTS'!$D$6:$ZZ$999,113,FALSE)+VLOOKUP("2190041",'[8]BS ACCTS'!$D$6:$ZZ$999,113,FALSE))*1000</f>
        <v>0</v>
      </c>
      <c r="BN33" s="596">
        <f>(VLOOKUP("2190040",'[8]BS ACCTS'!$D$6:$ZZ$999,114,FALSE)+VLOOKUP("2190041",'[8]BS ACCTS'!$D$6:$ZZ$999,114,FALSE))*1000</f>
        <v>0</v>
      </c>
      <c r="BO33" s="596">
        <f>(VLOOKUP("2190040",'[8]BS ACCTS'!$D$6:$ZZ$999,115,FALSE)+VLOOKUP("2190041",'[8]BS ACCTS'!$D$6:$ZZ$999,115,FALSE))*1000</f>
        <v>0</v>
      </c>
      <c r="BP33" s="596">
        <f>(VLOOKUP("2190040",'[8]BS ACCTS'!$D$6:$ZZ$999,116,FALSE)+VLOOKUP("2190041",'[8]BS ACCTS'!$D$6:$ZZ$999,116,FALSE))*1000</f>
        <v>0</v>
      </c>
      <c r="BQ33" s="596">
        <f>(VLOOKUP("2190040",'[8]BS ACCTS'!$D$6:$ZZ$999,117,FALSE)+VLOOKUP("2190041",'[8]BS ACCTS'!$D$6:$ZZ$999,117,FALSE))*1000</f>
        <v>0</v>
      </c>
      <c r="BR33" s="596">
        <f>(VLOOKUP("2190040",'[8]BS ACCTS'!$D$6:$ZZ$999,118,FALSE)+VLOOKUP("2190041",'[8]BS ACCTS'!$D$6:$ZZ$999,118,FALSE))*1000</f>
        <v>0</v>
      </c>
      <c r="BS33" s="596">
        <f>(VLOOKUP("2190040",'[8]BS ACCTS'!$D$6:$ZZ$999,119,FALSE)+VLOOKUP("2190041",'[8]BS ACCTS'!$D$6:$ZZ$999,119,FALSE))*1000</f>
        <v>0</v>
      </c>
      <c r="BT33" s="596">
        <f>(VLOOKUP("2190040",'[8]BS ACCTS'!$D$6:$ZZ$999,120,FALSE)+VLOOKUP("2190041",'[8]BS ACCTS'!$D$6:$ZZ$999,120,FALSE))*1000</f>
        <v>0</v>
      </c>
      <c r="BU33" s="596">
        <f>(VLOOKUP("2190040",'[8]BS ACCTS'!$D$6:$ZZ$999,121,FALSE)+VLOOKUP("2190041",'[8]BS ACCTS'!$D$6:$ZZ$999,121,FALSE))*1000</f>
        <v>0</v>
      </c>
      <c r="BV33" s="596">
        <f>(VLOOKUP("2190040",'[8]BS ACCTS'!$D$6:$ZZ$999,122,FALSE)+VLOOKUP("2190041",'[8]BS ACCTS'!$D$6:$ZZ$999,122,FALSE))*1000</f>
        <v>0</v>
      </c>
      <c r="BW33" s="596">
        <f>(VLOOKUP("2190040",'[8]BS ACCTS'!$D$6:$ZZ$999,123,FALSE)+VLOOKUP("2190041",'[8]BS ACCTS'!$D$6:$ZZ$999,123,FALSE))*1000</f>
        <v>0</v>
      </c>
      <c r="BX33" s="596">
        <f>(VLOOKUP("2190040",'[8]BS ACCTS'!$D$6:$ZZ$999,124,FALSE)+VLOOKUP("2190041",'[8]BS ACCTS'!$D$6:$ZZ$999,124,FALSE))*1000</f>
        <v>0</v>
      </c>
      <c r="BY33" s="596"/>
    </row>
    <row r="34" spans="1:77" ht="12.75" customHeight="1">
      <c r="A34" s="614" t="s">
        <v>170</v>
      </c>
      <c r="B34" s="760">
        <f ca="1">SUM(OFFSET(BA34:BM34,0,'Bal Sheet'!$A$1-1))/13</f>
        <v>-7174.614908785541</v>
      </c>
      <c r="C34" s="760">
        <f>+BX34</f>
        <v>0</v>
      </c>
      <c r="D34" s="467">
        <v>-319063.03464387462</v>
      </c>
      <c r="E34" s="467">
        <v>-288581.3787183137</v>
      </c>
      <c r="F34" s="467">
        <v>-260063.52209806687</v>
      </c>
      <c r="G34" s="467">
        <v>-233426.98116904165</v>
      </c>
      <c r="H34" s="467">
        <v>-208571.38044049521</v>
      </c>
      <c r="I34" s="467">
        <v>-191455.77384687203</v>
      </c>
      <c r="J34" s="467">
        <v>-181108.68178130506</v>
      </c>
      <c r="K34" s="467">
        <v>-171157.01643128326</v>
      </c>
      <c r="L34" s="467">
        <v>-161582.14163570362</v>
      </c>
      <c r="M34" s="467">
        <v>-152366.61175303964</v>
      </c>
      <c r="N34" s="467">
        <v>-143494.0133885438</v>
      </c>
      <c r="O34" s="467">
        <v>-134948.92563882942</v>
      </c>
      <c r="P34" s="467">
        <v>-126716.83514500031</v>
      </c>
      <c r="Q34" s="467">
        <v>-120597.3493437256</v>
      </c>
      <c r="R34" s="467">
        <v>-119930.60811256978</v>
      </c>
      <c r="S34" s="467">
        <v>-119263.87337913818</v>
      </c>
      <c r="T34" s="467">
        <v>-118597.13539684453</v>
      </c>
      <c r="U34" s="467">
        <v>-117930.39741455083</v>
      </c>
      <c r="V34" s="467">
        <v>-117263.65618339501</v>
      </c>
      <c r="W34" s="467">
        <v>-116596.9182011013</v>
      </c>
      <c r="X34" s="467">
        <v>-115930.18021880765</v>
      </c>
      <c r="Y34" s="467">
        <v>-115263.44548537605</v>
      </c>
      <c r="Z34" s="467">
        <v>-114596.7042542203</v>
      </c>
      <c r="AA34" s="467">
        <v>-113929.96627192653</v>
      </c>
      <c r="AB34" s="467">
        <v>-113263.22828963288</v>
      </c>
      <c r="AC34" s="467">
        <v>-112596.49030733918</v>
      </c>
      <c r="AD34" s="467">
        <v>-111929.74907618336</v>
      </c>
      <c r="AE34" s="467">
        <v>-111263.01434275176</v>
      </c>
      <c r="AF34" s="467">
        <v>-352728.74153846159</v>
      </c>
      <c r="AG34" s="467">
        <f>(+AG33/'Input Tax Rate'!$B37)-AG33</f>
        <v>-114872.61809657753</v>
      </c>
      <c r="AH34" s="467">
        <f>(+AH33/'Input Tax Rate'!$B37)-AH33</f>
        <v>-114175.89625142317</v>
      </c>
      <c r="AI34" s="467">
        <f>(+AI33/'Input Tax Rate'!$B37)-AI33</f>
        <v>-113479.17780121887</v>
      </c>
      <c r="AJ34" s="467">
        <f>(+AJ33/'Input Tax Rate'!$B37)-AJ33</f>
        <v>-112782.45935101464</v>
      </c>
      <c r="AK34" s="467">
        <f>(+AK33/'Input Tax Rate'!$B37)-AK33</f>
        <v>-112085.74429576047</v>
      </c>
      <c r="AL34" s="467">
        <f>(+AL33/'Input Tax Rate'!$B37)-AL33</f>
        <v>-111389.02245060611</v>
      </c>
      <c r="AM34" s="467">
        <v>-105945.39378135512</v>
      </c>
      <c r="AN34" s="467">
        <v>-105263.13273584499</v>
      </c>
      <c r="AO34" s="467">
        <v>-104580.87169033493</v>
      </c>
      <c r="AP34" s="467">
        <f>(+AP33/'Input Tax Rate'!$B37)-AP33</f>
        <v>-108602.14525483892</v>
      </c>
      <c r="AQ34" s="467">
        <f>(+AQ33/'Input Tax Rate'!$B37)-AQ33</f>
        <v>-107905.43019958475</v>
      </c>
      <c r="AR34" s="467">
        <f>(+AR33/'Input Tax Rate'!$B37)-AR33</f>
        <v>-107204.36960819765</v>
      </c>
      <c r="AS34" s="467">
        <f>(+AS33/'Input Tax Rate'!$B37)-AS33</f>
        <v>-106507.65115799342</v>
      </c>
      <c r="AT34" s="467">
        <f>(+AT33/'Input Tax Rate'!$B37)-AT33</f>
        <v>-105810.929312839</v>
      </c>
      <c r="AU34" s="467">
        <f>(+AU33/'Input Tax Rate'!$B37)-AU33</f>
        <v>-105114.21086263476</v>
      </c>
      <c r="AV34" s="467">
        <f>(+AV33/'Input Tax Rate'!$B37)-AV33</f>
        <v>-104417.49241243047</v>
      </c>
      <c r="AW34" s="467">
        <f>(+AW33/'Input Tax Rate'!$B37)-AW33</f>
        <v>-103720.7773571763</v>
      </c>
      <c r="AX34" s="467">
        <f>(+AX33/'Input Tax Rate'!$B37)-AX33</f>
        <v>-103024.05551202194</v>
      </c>
      <c r="AY34" s="467">
        <f>(+AY33/'Input Tax Rate'!$B37)-AY33</f>
        <v>-102327.33706181764</v>
      </c>
      <c r="AZ34" s="467">
        <f>(+AZ33/'Input Tax Rate'!$B37)-AZ33</f>
        <v>-101630.6186116134</v>
      </c>
      <c r="BA34" s="474">
        <f>(+BA33/'Input Tax Rate'!$B37)-BA33</f>
        <v>-100933.90016140911</v>
      </c>
      <c r="BB34" s="474">
        <f>(+BB33/'Input Tax Rate'!$B37)-BB33</f>
        <v>-100237.17831625475</v>
      </c>
      <c r="BC34" s="474">
        <f>(+BC33/'Input Tax Rate'!$B37)-BC33</f>
        <v>-99540.463261000579</v>
      </c>
      <c r="BD34" s="474">
        <f>(+BD33/'Input Tax Rate'!$B37)-BD33</f>
        <v>-98843.744810796343</v>
      </c>
      <c r="BE34" s="474">
        <f>(+BE33/'Input Tax Rate'!$B37)-BE33</f>
        <v>-98147.026360592048</v>
      </c>
      <c r="BF34" s="474">
        <f>(+BF33/'Input Tax Rate'!$B37)-BF33</f>
        <v>-97450.304515437689</v>
      </c>
      <c r="BG34" s="474">
        <f>(+BG33/'Input Tax Rate'!$B37)-BG33</f>
        <v>-96753.586065233394</v>
      </c>
      <c r="BH34" s="474">
        <f>(+BH33/'Input Tax Rate'!$B37)-BH33</f>
        <v>-96056.867615029158</v>
      </c>
      <c r="BI34" s="474">
        <f>(+BI33/'Input Tax Rate'!$B37)-BI33</f>
        <v>-95360.152559774928</v>
      </c>
      <c r="BJ34" s="474">
        <f>(+BJ33/'Input Tax Rate'!$B37)-BJ33</f>
        <v>-94663.430714620568</v>
      </c>
      <c r="BK34" s="474">
        <f>(+BK33/'Input Tax Rate'!$B37)-BK33</f>
        <v>-93966.712264416274</v>
      </c>
      <c r="BL34" s="474">
        <f>(+BL33/'Input Tax Rate'!$B37)-BL33</f>
        <v>-93269.993814212037</v>
      </c>
      <c r="BM34" s="474">
        <f>(+BM33/'Input Tax Rate'!$B37)-BM33</f>
        <v>0</v>
      </c>
      <c r="BN34" s="474">
        <f>(+BN33/'Input Tax Rate'!$B37)-BN33</f>
        <v>0</v>
      </c>
      <c r="BO34" s="474">
        <f>(+BO33/'Input Tax Rate'!$B37)-BO33</f>
        <v>0</v>
      </c>
      <c r="BP34" s="474">
        <f>(+BP33/'Input Tax Rate'!$B37)-BP33</f>
        <v>0</v>
      </c>
      <c r="BQ34" s="474">
        <f>(+BQ33/'Input Tax Rate'!$B37)-BQ33</f>
        <v>0</v>
      </c>
      <c r="BR34" s="474">
        <f>(+BR33/'Input Tax Rate'!$B37)-BR33</f>
        <v>0</v>
      </c>
      <c r="BS34" s="474">
        <f>(+BS33/'Input Tax Rate'!$B37)-BS33</f>
        <v>0</v>
      </c>
      <c r="BT34" s="474">
        <f>(+BT33/'Input Tax Rate'!$B37)-BT33</f>
        <v>0</v>
      </c>
      <c r="BU34" s="474">
        <f>(+BU33/'Input Tax Rate'!$B37)-BU33</f>
        <v>0</v>
      </c>
      <c r="BV34" s="474">
        <f>(+BV33/'Input Tax Rate'!$B37)-BV33</f>
        <v>0</v>
      </c>
      <c r="BW34" s="474">
        <f>(+BW33/'Input Tax Rate'!$B37)-BW33</f>
        <v>0</v>
      </c>
      <c r="BX34" s="474">
        <f>(+BX33/'Input Tax Rate'!$B37)-BX33</f>
        <v>0</v>
      </c>
      <c r="BY34" s="474"/>
    </row>
    <row r="35" spans="1:77" ht="12.75" customHeight="1">
      <c r="A35" s="618"/>
      <c r="B35"/>
      <c r="C35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  <c r="Z35" s="467"/>
      <c r="AA35" s="467"/>
      <c r="AB35" s="467"/>
      <c r="AC35" s="467"/>
      <c r="AD35" s="467"/>
      <c r="AE35" s="467"/>
      <c r="AF35" s="467"/>
      <c r="AG35" s="467"/>
      <c r="AH35" s="467"/>
      <c r="AI35" s="467"/>
      <c r="AJ35" s="467"/>
      <c r="AK35" s="467"/>
      <c r="AL35" s="467"/>
      <c r="AM35" s="467"/>
      <c r="AN35" s="467"/>
      <c r="AO35" s="467"/>
      <c r="AP35" s="467"/>
      <c r="AQ35" s="467"/>
      <c r="AR35" s="467"/>
      <c r="AS35" s="467"/>
      <c r="AT35" s="467"/>
      <c r="AU35" s="467"/>
      <c r="AV35" s="467"/>
      <c r="AW35" s="467"/>
      <c r="AX35" s="467"/>
      <c r="AY35" s="467"/>
      <c r="AZ35" s="467"/>
      <c r="BA35" s="474"/>
      <c r="BB35" s="474"/>
      <c r="BC35" s="474"/>
      <c r="BD35" s="474"/>
      <c r="BE35" s="474"/>
      <c r="BF35" s="474"/>
      <c r="BG35" s="474"/>
      <c r="BH35" s="474"/>
      <c r="BI35" s="474"/>
      <c r="BJ35" s="474"/>
      <c r="BK35" s="474"/>
      <c r="BL35" s="474"/>
      <c r="BM35" s="474"/>
      <c r="BN35" s="474"/>
      <c r="BO35" s="474"/>
      <c r="BP35" s="474"/>
      <c r="BQ35" s="474"/>
      <c r="BR35" s="474"/>
      <c r="BS35" s="474"/>
      <c r="BT35" s="474"/>
      <c r="BU35" s="474"/>
      <c r="BV35" s="474"/>
      <c r="BW35" s="474"/>
      <c r="BX35" s="474"/>
      <c r="BY35" s="474"/>
    </row>
    <row r="36" spans="1:77" ht="12.75" customHeight="1">
      <c r="A36" s="614" t="s">
        <v>171</v>
      </c>
      <c r="B36" s="590">
        <f ca="1">SUM(OFFSET(BA36:BM36,0,'Bal Sheet'!$A$1-1))/13</f>
        <v>0</v>
      </c>
      <c r="C36" s="590">
        <f>+BX36</f>
        <v>0</v>
      </c>
      <c r="Q36" s="467">
        <v>-350000</v>
      </c>
      <c r="R36" s="467">
        <v>-350000</v>
      </c>
      <c r="S36" s="467">
        <v>-350000</v>
      </c>
      <c r="T36" s="467">
        <v>-350000</v>
      </c>
      <c r="U36" s="467">
        <v>-350000</v>
      </c>
      <c r="V36" s="467">
        <v>-350000</v>
      </c>
      <c r="W36" s="467">
        <v>-175000</v>
      </c>
      <c r="X36" s="467">
        <v>-175000</v>
      </c>
      <c r="Y36" s="467">
        <v>-175000</v>
      </c>
      <c r="Z36" s="467">
        <v>-204508.87</v>
      </c>
      <c r="AA36" s="467">
        <v>-204508.87</v>
      </c>
      <c r="AB36" s="467">
        <v>-204508.87</v>
      </c>
      <c r="AC36" s="452">
        <f>VLOOKUP("1440020",'[8]BS ACCTS'!$D$6:$ZZ$599,77,FALSE)*1000</f>
        <v>-204500</v>
      </c>
      <c r="AD36" s="452">
        <f>VLOOKUP("1440020",'[8]BS ACCTS'!$D$6:$ZZ$599,78,FALSE)*1000</f>
        <v>-204500</v>
      </c>
      <c r="AE36" s="452">
        <f>VLOOKUP("1440020",'[8]BS ACCTS'!$D$6:$ZZ$599,79,FALSE)*1000</f>
        <v>-204500</v>
      </c>
      <c r="AF36" s="452">
        <f>VLOOKUP("1440020",'[8]BS ACCTS'!$D$6:$ZZ$599,80,FALSE)*1000</f>
        <v>-204500</v>
      </c>
      <c r="AG36" s="452">
        <f>VLOOKUP("1440020",'[8]BS ACCTS'!$D$6:$ZZ$599,81,FALSE)*1000</f>
        <v>-204500</v>
      </c>
      <c r="AH36" s="452">
        <f>VLOOKUP("1440020",'[8]BS ACCTS'!$D$6:$ZZ$599,82,FALSE)*1000</f>
        <v>-204500</v>
      </c>
      <c r="AI36" s="584">
        <v>-204500</v>
      </c>
      <c r="AJ36" s="584">
        <v>-204500</v>
      </c>
      <c r="AK36" s="584">
        <v>-204500</v>
      </c>
      <c r="AL36" s="584">
        <v>-204500</v>
      </c>
      <c r="AM36" s="584">
        <v>-204500</v>
      </c>
      <c r="AN36" s="584">
        <v>-204500</v>
      </c>
      <c r="AO36" s="584">
        <v>-204500</v>
      </c>
      <c r="AP36" s="584">
        <v>-204500</v>
      </c>
      <c r="AQ36" s="584">
        <v>-204500</v>
      </c>
      <c r="AR36" s="584">
        <v>-204500</v>
      </c>
      <c r="AS36" s="584">
        <v>-204500</v>
      </c>
      <c r="AT36" s="584">
        <v>-204500</v>
      </c>
      <c r="AU36" s="584">
        <f>VLOOKUP("1440020",'[8]BS ACCTS'!$D$6:$ZZ$999,95,FALSE)*1000</f>
        <v>-204500</v>
      </c>
      <c r="AV36" s="584">
        <f>VLOOKUP("1440020",'[8]BS ACCTS'!$D$6:$ZZ$999,96,FALSE)*1000</f>
        <v>-204500</v>
      </c>
      <c r="AW36" s="584">
        <f>VLOOKUP("1440020",'[8]BS ACCTS'!$D$6:$ZZ$999,97,FALSE)*1000</f>
        <v>-204500</v>
      </c>
      <c r="AX36" s="584">
        <f>VLOOKUP("1440020",'[8]BS ACCTS'!$D$6:$ZZ$999,98,FALSE)*1000</f>
        <v>-204500</v>
      </c>
      <c r="AY36" s="584">
        <f>VLOOKUP("1440020",'[8]BS ACCTS'!$D$6:$ZZ$999,99,FALSE)*1000</f>
        <v>-204500</v>
      </c>
      <c r="AZ36" s="584">
        <f>VLOOKUP("1440020",'[8]BS ACCTS'!$D$6:$ZZ$999,100,FALSE)*1000</f>
        <v>-204500</v>
      </c>
      <c r="BA36" s="765">
        <f>VLOOKUP("1440020",'[8]BS ACCTS'!$D$6:$ZZ$999,101,FALSE)*1000</f>
        <v>-204500</v>
      </c>
      <c r="BB36" s="765">
        <f>VLOOKUP("1440020",'[8]BS ACCTS'!$D$6:$ZZ$999,102,FALSE)*1000</f>
        <v>-204500</v>
      </c>
      <c r="BC36" s="765">
        <f>VLOOKUP("1440020",'[8]BS ACCTS'!$D$6:$ZZ$999,103,FALSE)*1000</f>
        <v>-204500</v>
      </c>
      <c r="BD36" s="765">
        <f>VLOOKUP("1440020",'[8]BS ACCTS'!$D$6:$ZZ$999,104,FALSE)*1000</f>
        <v>-204500</v>
      </c>
      <c r="BE36" s="765">
        <f>VLOOKUP("1440020",'[8]BS ACCTS'!$D$6:$ZZ$999,105,FALSE)*1000</f>
        <v>-204500</v>
      </c>
      <c r="BF36" s="765">
        <f>VLOOKUP("1440020",'[8]BS ACCTS'!$D$6:$ZZ$999,106,FALSE)*1000</f>
        <v>-204500</v>
      </c>
      <c r="BG36" s="765">
        <f>VLOOKUP("1440020",'[8]BS ACCTS'!$D$6:$ZZ$999,107,FALSE)*1000</f>
        <v>-204500</v>
      </c>
      <c r="BH36" s="765">
        <f>VLOOKUP("1440020",'[8]BS ACCTS'!$D$6:$ZZ$999,108,FALSE)*1000</f>
        <v>-204500</v>
      </c>
      <c r="BI36" s="765">
        <f>VLOOKUP("1440020",'[8]BS ACCTS'!$D$6:$ZZ$999,109,FALSE)*1000</f>
        <v>-204500</v>
      </c>
      <c r="BJ36" s="765">
        <f>VLOOKUP("1440020",'[8]BS ACCTS'!$D$6:$ZZ$999,110,FALSE)*1000</f>
        <v>-204500</v>
      </c>
      <c r="BK36" s="765">
        <f>VLOOKUP("1440020",'[8]BS ACCTS'!$D$6:$ZZ$999,111,FALSE)*1000</f>
        <v>0</v>
      </c>
      <c r="BL36" s="765">
        <f>VLOOKUP("1440020",'[8]BS ACCTS'!$D$6:$ZZ$999,112,FALSE)*1000</f>
        <v>0</v>
      </c>
      <c r="BM36" s="765">
        <f>VLOOKUP("1440020",'[8]BS ACCTS'!$D$6:$ZZ$999,113,FALSE)*1000</f>
        <v>0</v>
      </c>
      <c r="BN36" s="765">
        <f>VLOOKUP("1440020",'[8]BS ACCTS'!$D$6:$ZZ$999,114,FALSE)*1000</f>
        <v>0</v>
      </c>
      <c r="BO36" s="765">
        <f>VLOOKUP("1440020",'[8]BS ACCTS'!$D$6:$ZZ$999,115,FALSE)*1000</f>
        <v>0</v>
      </c>
      <c r="BP36" s="765">
        <f>VLOOKUP("1440020",'[8]BS ACCTS'!$D$6:$ZZ$999,116,FALSE)*1000</f>
        <v>0</v>
      </c>
      <c r="BQ36" s="765">
        <f>VLOOKUP("1440020",'[8]BS ACCTS'!$D$6:$ZZ$999,117,FALSE)*1000</f>
        <v>0</v>
      </c>
      <c r="BR36" s="765">
        <f>VLOOKUP("1440020",'[8]BS ACCTS'!$D$6:$ZZ$999,118,FALSE)*1000</f>
        <v>0</v>
      </c>
      <c r="BS36" s="765">
        <f>VLOOKUP("1440020",'[8]BS ACCTS'!$D$6:$ZZ$999,119,FALSE)*1000</f>
        <v>0</v>
      </c>
      <c r="BT36" s="765">
        <f>VLOOKUP("1440020",'[8]BS ACCTS'!$D$6:$ZZ$999,120,FALSE)*1000</f>
        <v>0</v>
      </c>
      <c r="BU36" s="765">
        <f>VLOOKUP("1440020",'[8]BS ACCTS'!$D$6:$ZZ$999,121,FALSE)*1000</f>
        <v>0</v>
      </c>
      <c r="BV36" s="765">
        <f>VLOOKUP("1440020",'[8]BS ACCTS'!$D$6:$ZZ$999,122,FALSE)*1000</f>
        <v>0</v>
      </c>
      <c r="BW36" s="765">
        <f>VLOOKUP("1440020",'[8]BS ACCTS'!$D$6:$ZZ$999,123,FALSE)*1000</f>
        <v>0</v>
      </c>
      <c r="BX36" s="765">
        <f>VLOOKUP("1440020",'[8]BS ACCTS'!$D$6:$ZZ$999,124,FALSE)*1000</f>
        <v>0</v>
      </c>
      <c r="BY36" s="765"/>
    </row>
    <row r="37" spans="1:77" ht="12.75" customHeight="1">
      <c r="A37" s="612"/>
      <c r="B37" s="607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0"/>
      <c r="AS37" s="450"/>
      <c r="AT37" s="450"/>
      <c r="AU37" s="450"/>
      <c r="AV37" s="450"/>
      <c r="AW37" s="450"/>
      <c r="AX37" s="450"/>
      <c r="AY37" s="450"/>
      <c r="AZ37" s="450"/>
      <c r="BA37" s="450"/>
      <c r="BB37" s="450"/>
      <c r="BC37" s="450"/>
      <c r="BD37" s="450"/>
      <c r="BE37" s="450"/>
      <c r="BF37" s="450"/>
      <c r="BG37" s="450"/>
      <c r="BH37" s="450"/>
      <c r="BI37" s="450"/>
      <c r="BJ37" s="450"/>
      <c r="BK37" s="450"/>
      <c r="BL37" s="450"/>
      <c r="BM37" s="450"/>
      <c r="BN37" s="450"/>
      <c r="BO37" s="450"/>
      <c r="BP37" s="450"/>
      <c r="BQ37" s="450"/>
      <c r="BR37" s="450"/>
      <c r="BS37" s="450"/>
      <c r="BT37" s="450"/>
      <c r="BU37" s="450"/>
      <c r="BV37" s="450"/>
      <c r="BW37" s="450"/>
      <c r="BX37" s="450"/>
      <c r="BY37" s="450"/>
    </row>
    <row r="38" spans="1:77" ht="12.75" customHeight="1">
      <c r="A38" s="609" t="s">
        <v>172</v>
      </c>
      <c r="B38" s="579" t="s">
        <v>149</v>
      </c>
      <c r="C38" s="579" t="s">
        <v>149</v>
      </c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8"/>
      <c r="AZ38" s="578"/>
      <c r="BA38" s="578"/>
      <c r="BB38" s="578"/>
      <c r="BC38" s="578"/>
      <c r="BD38" s="578"/>
      <c r="BE38" s="578"/>
      <c r="BF38" s="578"/>
      <c r="BG38" s="578"/>
      <c r="BH38" s="578"/>
      <c r="BI38" s="578"/>
      <c r="BJ38" s="578"/>
      <c r="BK38" s="578"/>
      <c r="BL38" s="578"/>
      <c r="BM38" s="578"/>
      <c r="BN38" s="578"/>
      <c r="BO38" s="578"/>
      <c r="BP38" s="578"/>
      <c r="BQ38" s="578"/>
      <c r="BR38" s="578"/>
      <c r="BS38" s="578"/>
      <c r="BT38" s="578"/>
      <c r="BU38" s="578"/>
      <c r="BV38" s="578"/>
      <c r="BW38" s="578"/>
      <c r="BX38" s="578"/>
      <c r="BY38" s="578"/>
    </row>
    <row r="39" spans="1:77">
      <c r="A39" s="632" t="s">
        <v>173</v>
      </c>
      <c r="B39" s="581" t="s">
        <v>151</v>
      </c>
      <c r="C39" s="581" t="s">
        <v>152</v>
      </c>
      <c r="D39" s="581" t="str">
        <f t="shared" ref="D39:AI39" si="40">+D11</f>
        <v>Actual</v>
      </c>
      <c r="E39" s="581" t="str">
        <f t="shared" si="40"/>
        <v>Actual</v>
      </c>
      <c r="F39" s="581" t="str">
        <f t="shared" si="40"/>
        <v>Actual</v>
      </c>
      <c r="G39" s="581" t="str">
        <f t="shared" si="40"/>
        <v>Actual</v>
      </c>
      <c r="H39" s="581" t="str">
        <f t="shared" si="40"/>
        <v>Actual</v>
      </c>
      <c r="I39" s="581" t="str">
        <f t="shared" si="40"/>
        <v>Actual</v>
      </c>
      <c r="J39" s="581" t="str">
        <f t="shared" si="40"/>
        <v>Actual</v>
      </c>
      <c r="K39" s="581" t="str">
        <f t="shared" si="40"/>
        <v>Actual</v>
      </c>
      <c r="L39" s="581" t="str">
        <f t="shared" si="40"/>
        <v>Actual</v>
      </c>
      <c r="M39" s="581" t="str">
        <f t="shared" si="40"/>
        <v>Actual</v>
      </c>
      <c r="N39" s="581" t="str">
        <f t="shared" si="40"/>
        <v>Actual</v>
      </c>
      <c r="O39" s="581" t="str">
        <f t="shared" si="40"/>
        <v>Actual</v>
      </c>
      <c r="P39" s="581" t="str">
        <f t="shared" si="40"/>
        <v>Actual</v>
      </c>
      <c r="Q39" s="581" t="str">
        <f t="shared" si="40"/>
        <v>Actual</v>
      </c>
      <c r="R39" s="581" t="str">
        <f t="shared" si="40"/>
        <v>Actual</v>
      </c>
      <c r="S39" s="581" t="str">
        <f t="shared" si="40"/>
        <v>Actual</v>
      </c>
      <c r="T39" s="581" t="str">
        <f t="shared" si="40"/>
        <v>Actual</v>
      </c>
      <c r="U39" s="581" t="str">
        <f t="shared" si="40"/>
        <v>Actual</v>
      </c>
      <c r="V39" s="581" t="str">
        <f t="shared" si="40"/>
        <v>Actual</v>
      </c>
      <c r="W39" s="581" t="str">
        <f t="shared" si="40"/>
        <v>Actual</v>
      </c>
      <c r="X39" s="581" t="str">
        <f t="shared" si="40"/>
        <v>Actual</v>
      </c>
      <c r="Y39" s="581" t="str">
        <f t="shared" si="40"/>
        <v>Actual</v>
      </c>
      <c r="Z39" s="581" t="str">
        <f t="shared" si="40"/>
        <v>Actual</v>
      </c>
      <c r="AA39" s="581" t="str">
        <f t="shared" si="40"/>
        <v>Actual</v>
      </c>
      <c r="AB39" s="581" t="str">
        <f t="shared" si="40"/>
        <v>Actual</v>
      </c>
      <c r="AC39" s="581" t="str">
        <f t="shared" si="40"/>
        <v>Actual</v>
      </c>
      <c r="AD39" s="581" t="str">
        <f t="shared" si="40"/>
        <v>Actual</v>
      </c>
      <c r="AE39" s="581" t="str">
        <f t="shared" si="40"/>
        <v>Actual</v>
      </c>
      <c r="AF39" s="581" t="str">
        <f t="shared" si="40"/>
        <v>Actual</v>
      </c>
      <c r="AG39" s="581" t="str">
        <f t="shared" si="40"/>
        <v>Actual</v>
      </c>
      <c r="AH39" s="581" t="str">
        <f t="shared" si="40"/>
        <v>Actual</v>
      </c>
      <c r="AI39" s="581" t="str">
        <f t="shared" si="40"/>
        <v>Actual</v>
      </c>
      <c r="AJ39" s="581" t="str">
        <f t="shared" ref="AJ39:BO39" si="41">+AJ11</f>
        <v>Actual</v>
      </c>
      <c r="AK39" s="581" t="str">
        <f t="shared" si="41"/>
        <v>Actual</v>
      </c>
      <c r="AL39" s="581" t="str">
        <f t="shared" si="41"/>
        <v>Actual</v>
      </c>
      <c r="AM39" s="581" t="str">
        <f t="shared" si="41"/>
        <v>Actual</v>
      </c>
      <c r="AN39" s="581" t="str">
        <f t="shared" si="41"/>
        <v>Actual</v>
      </c>
      <c r="AO39" s="581" t="str">
        <f t="shared" si="41"/>
        <v>Actual</v>
      </c>
      <c r="AP39" s="581" t="str">
        <f t="shared" si="41"/>
        <v>Actual</v>
      </c>
      <c r="AQ39" s="581" t="str">
        <f t="shared" si="41"/>
        <v>Actual</v>
      </c>
      <c r="AR39" s="581" t="str">
        <f t="shared" si="41"/>
        <v>Actual</v>
      </c>
      <c r="AS39" s="581" t="str">
        <f t="shared" si="41"/>
        <v>Actual</v>
      </c>
      <c r="AT39" s="581" t="str">
        <f t="shared" si="41"/>
        <v>Actual</v>
      </c>
      <c r="AU39" s="581" t="str">
        <f t="shared" si="41"/>
        <v>Actual</v>
      </c>
      <c r="AV39" s="581" t="str">
        <f t="shared" si="41"/>
        <v>Actual</v>
      </c>
      <c r="AW39" s="581" t="str">
        <f t="shared" si="41"/>
        <v>Actual</v>
      </c>
      <c r="AX39" s="581" t="str">
        <f t="shared" si="41"/>
        <v>Actual</v>
      </c>
      <c r="AY39" s="581" t="str">
        <f t="shared" si="41"/>
        <v>Actual</v>
      </c>
      <c r="AZ39" s="581" t="str">
        <f t="shared" si="41"/>
        <v>Actual</v>
      </c>
      <c r="BA39" s="581" t="str">
        <f t="shared" si="41"/>
        <v>Actual</v>
      </c>
      <c r="BB39" s="581" t="str">
        <f t="shared" si="41"/>
        <v>Actual</v>
      </c>
      <c r="BC39" s="581" t="str">
        <f t="shared" si="41"/>
        <v>Actual</v>
      </c>
      <c r="BD39" s="581" t="str">
        <f t="shared" si="41"/>
        <v>Actual</v>
      </c>
      <c r="BE39" s="581" t="str">
        <f t="shared" si="41"/>
        <v>Actual</v>
      </c>
      <c r="BF39" s="581" t="str">
        <f t="shared" si="41"/>
        <v>Actual</v>
      </c>
      <c r="BG39" s="581" t="str">
        <f t="shared" si="41"/>
        <v>Actual</v>
      </c>
      <c r="BH39" s="581" t="str">
        <f t="shared" si="41"/>
        <v>Actual</v>
      </c>
      <c r="BI39" s="581" t="str">
        <f t="shared" si="41"/>
        <v>Actual</v>
      </c>
      <c r="BJ39" s="581" t="str">
        <f t="shared" si="41"/>
        <v>Actual</v>
      </c>
      <c r="BK39" s="581" t="str">
        <f t="shared" si="41"/>
        <v>Actual</v>
      </c>
      <c r="BL39" s="581" t="str">
        <f t="shared" si="41"/>
        <v>Actual</v>
      </c>
      <c r="BM39" s="581" t="str">
        <f t="shared" si="41"/>
        <v>Budget</v>
      </c>
      <c r="BN39" s="581" t="str">
        <f t="shared" si="41"/>
        <v>Budget</v>
      </c>
      <c r="BO39" s="581" t="str">
        <f t="shared" si="41"/>
        <v>Budget</v>
      </c>
      <c r="BP39" s="581" t="str">
        <f t="shared" ref="BP39:BX39" si="42">+BP11</f>
        <v>Budget</v>
      </c>
      <c r="BQ39" s="581" t="str">
        <f t="shared" si="42"/>
        <v>Budget</v>
      </c>
      <c r="BR39" s="581" t="str">
        <f t="shared" si="42"/>
        <v>Budget</v>
      </c>
      <c r="BS39" s="581" t="str">
        <f t="shared" si="42"/>
        <v>Budget</v>
      </c>
      <c r="BT39" s="581" t="str">
        <f t="shared" si="42"/>
        <v>Budget</v>
      </c>
      <c r="BU39" s="581" t="str">
        <f t="shared" si="42"/>
        <v>Budget</v>
      </c>
      <c r="BV39" s="581" t="str">
        <f t="shared" si="42"/>
        <v>Budget</v>
      </c>
      <c r="BW39" s="581" t="str">
        <f t="shared" si="42"/>
        <v>Budget</v>
      </c>
      <c r="BX39" s="581" t="str">
        <f t="shared" si="42"/>
        <v>Budget</v>
      </c>
      <c r="BY39" s="581"/>
    </row>
    <row r="40" spans="1:77">
      <c r="A40" s="610"/>
      <c r="B40" s="580" t="s">
        <v>153</v>
      </c>
      <c r="C40" s="580" t="s">
        <v>154</v>
      </c>
      <c r="D40" s="275">
        <f t="shared" ref="D40:AI40" si="43">+D12</f>
        <v>43077</v>
      </c>
      <c r="E40" s="275">
        <f t="shared" si="43"/>
        <v>43108</v>
      </c>
      <c r="F40" s="275">
        <f t="shared" si="43"/>
        <v>43139</v>
      </c>
      <c r="G40" s="275">
        <f t="shared" si="43"/>
        <v>43170</v>
      </c>
      <c r="H40" s="275">
        <f t="shared" si="43"/>
        <v>43201</v>
      </c>
      <c r="I40" s="275">
        <f t="shared" si="43"/>
        <v>43232</v>
      </c>
      <c r="J40" s="275">
        <f t="shared" si="43"/>
        <v>43263</v>
      </c>
      <c r="K40" s="275">
        <f t="shared" si="43"/>
        <v>43294</v>
      </c>
      <c r="L40" s="275">
        <f t="shared" si="43"/>
        <v>43325</v>
      </c>
      <c r="M40" s="275">
        <f t="shared" si="43"/>
        <v>43356</v>
      </c>
      <c r="N40" s="275">
        <f t="shared" si="43"/>
        <v>43387</v>
      </c>
      <c r="O40" s="275">
        <f t="shared" si="43"/>
        <v>43418</v>
      </c>
      <c r="P40" s="275">
        <f t="shared" si="43"/>
        <v>43449</v>
      </c>
      <c r="Q40" s="275">
        <f t="shared" si="43"/>
        <v>43480</v>
      </c>
      <c r="R40" s="275">
        <f t="shared" si="43"/>
        <v>43511</v>
      </c>
      <c r="S40" s="275">
        <f t="shared" si="43"/>
        <v>43542</v>
      </c>
      <c r="T40" s="275">
        <f t="shared" si="43"/>
        <v>43573</v>
      </c>
      <c r="U40" s="275">
        <f t="shared" si="43"/>
        <v>43604</v>
      </c>
      <c r="V40" s="275">
        <f t="shared" si="43"/>
        <v>43635</v>
      </c>
      <c r="W40" s="275">
        <f t="shared" si="43"/>
        <v>43666</v>
      </c>
      <c r="X40" s="275">
        <f t="shared" si="43"/>
        <v>43697</v>
      </c>
      <c r="Y40" s="275">
        <f t="shared" si="43"/>
        <v>43728</v>
      </c>
      <c r="Z40" s="275">
        <f t="shared" si="43"/>
        <v>43759</v>
      </c>
      <c r="AA40" s="275">
        <f t="shared" si="43"/>
        <v>43790</v>
      </c>
      <c r="AB40" s="275">
        <f t="shared" si="43"/>
        <v>43821</v>
      </c>
      <c r="AC40" s="275">
        <f t="shared" si="43"/>
        <v>43852</v>
      </c>
      <c r="AD40" s="275">
        <f t="shared" si="43"/>
        <v>43883</v>
      </c>
      <c r="AE40" s="275">
        <f t="shared" si="43"/>
        <v>43914</v>
      </c>
      <c r="AF40" s="275">
        <f t="shared" si="43"/>
        <v>43945</v>
      </c>
      <c r="AG40" s="275">
        <f t="shared" si="43"/>
        <v>43976</v>
      </c>
      <c r="AH40" s="275">
        <f t="shared" si="43"/>
        <v>44007</v>
      </c>
      <c r="AI40" s="275">
        <f t="shared" si="43"/>
        <v>44038</v>
      </c>
      <c r="AJ40" s="275">
        <f t="shared" ref="AJ40:BO40" si="44">+AJ12</f>
        <v>44069</v>
      </c>
      <c r="AK40" s="275">
        <f t="shared" si="44"/>
        <v>44100</v>
      </c>
      <c r="AL40" s="275">
        <f t="shared" si="44"/>
        <v>44131</v>
      </c>
      <c r="AM40" s="275">
        <f t="shared" si="44"/>
        <v>44162</v>
      </c>
      <c r="AN40" s="275">
        <f t="shared" si="44"/>
        <v>44193</v>
      </c>
      <c r="AO40" s="275">
        <f t="shared" si="44"/>
        <v>44224</v>
      </c>
      <c r="AP40" s="275">
        <f t="shared" si="44"/>
        <v>44255</v>
      </c>
      <c r="AQ40" s="275">
        <f t="shared" si="44"/>
        <v>44285</v>
      </c>
      <c r="AR40" s="275">
        <f t="shared" si="44"/>
        <v>44316</v>
      </c>
      <c r="AS40" s="275">
        <f t="shared" si="44"/>
        <v>44347</v>
      </c>
      <c r="AT40" s="275">
        <f t="shared" si="44"/>
        <v>44377</v>
      </c>
      <c r="AU40" s="275">
        <f t="shared" si="44"/>
        <v>44408</v>
      </c>
      <c r="AV40" s="275">
        <f t="shared" si="44"/>
        <v>44439</v>
      </c>
      <c r="AW40" s="275">
        <f t="shared" si="44"/>
        <v>44469</v>
      </c>
      <c r="AX40" s="275">
        <f t="shared" si="44"/>
        <v>44500</v>
      </c>
      <c r="AY40" s="275">
        <f t="shared" si="44"/>
        <v>44530</v>
      </c>
      <c r="AZ40" s="275">
        <f t="shared" si="44"/>
        <v>44561</v>
      </c>
      <c r="BA40" s="275">
        <f t="shared" si="44"/>
        <v>44592</v>
      </c>
      <c r="BB40" s="275">
        <f t="shared" si="44"/>
        <v>44620</v>
      </c>
      <c r="BC40" s="275">
        <f t="shared" si="44"/>
        <v>44651</v>
      </c>
      <c r="BD40" s="275">
        <f t="shared" si="44"/>
        <v>44681</v>
      </c>
      <c r="BE40" s="275">
        <f t="shared" si="44"/>
        <v>44712</v>
      </c>
      <c r="BF40" s="275">
        <f t="shared" si="44"/>
        <v>44742</v>
      </c>
      <c r="BG40" s="275">
        <f t="shared" si="44"/>
        <v>44773</v>
      </c>
      <c r="BH40" s="275">
        <f t="shared" si="44"/>
        <v>44804</v>
      </c>
      <c r="BI40" s="275">
        <f t="shared" si="44"/>
        <v>44834</v>
      </c>
      <c r="BJ40" s="275">
        <f t="shared" si="44"/>
        <v>44865</v>
      </c>
      <c r="BK40" s="275">
        <f t="shared" si="44"/>
        <v>44895</v>
      </c>
      <c r="BL40" s="275">
        <f t="shared" si="44"/>
        <v>44926</v>
      </c>
      <c r="BM40" s="275">
        <f t="shared" si="44"/>
        <v>44957</v>
      </c>
      <c r="BN40" s="275">
        <f t="shared" si="44"/>
        <v>44985</v>
      </c>
      <c r="BO40" s="275">
        <f t="shared" si="44"/>
        <v>45016</v>
      </c>
      <c r="BP40" s="275">
        <f t="shared" ref="BP40:BX40" si="45">+BP12</f>
        <v>45046</v>
      </c>
      <c r="BQ40" s="275">
        <f t="shared" si="45"/>
        <v>45077</v>
      </c>
      <c r="BR40" s="275">
        <f t="shared" si="45"/>
        <v>45107</v>
      </c>
      <c r="BS40" s="275">
        <f t="shared" si="45"/>
        <v>45138</v>
      </c>
      <c r="BT40" s="275">
        <f t="shared" si="45"/>
        <v>45169</v>
      </c>
      <c r="BU40" s="275">
        <f t="shared" si="45"/>
        <v>45199</v>
      </c>
      <c r="BV40" s="275">
        <f t="shared" si="45"/>
        <v>45230</v>
      </c>
      <c r="BW40" s="275">
        <f t="shared" si="45"/>
        <v>45260</v>
      </c>
      <c r="BX40" s="275">
        <f t="shared" si="45"/>
        <v>45291</v>
      </c>
      <c r="BY40" s="275"/>
    </row>
    <row r="41" spans="1:7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Y41"/>
    </row>
    <row r="42" spans="1:77">
      <c r="A42" s="613" t="s">
        <v>174</v>
      </c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</row>
    <row r="43" spans="1:77" s="176" customFormat="1">
      <c r="A43" s="614" t="s">
        <v>175</v>
      </c>
      <c r="B43" s="1090">
        <f ca="1">SUM(OFFSET(BA43:BL43,0,'Bal Sheet'!$A$1))</f>
        <v>289521.83999999997</v>
      </c>
      <c r="C43" s="1090">
        <f t="shared" ref="C43:C45" si="46">SUM(BM43:BX43)</f>
        <v>289521.83999999997</v>
      </c>
      <c r="D43" s="603">
        <v>38763.06</v>
      </c>
      <c r="E43" s="603">
        <v>13304.53</v>
      </c>
      <c r="F43" s="603">
        <v>8643.64</v>
      </c>
      <c r="G43" s="603">
        <v>19607.3</v>
      </c>
      <c r="H43" s="603">
        <v>26500.16</v>
      </c>
      <c r="I43" s="603">
        <v>33678.42</v>
      </c>
      <c r="J43" s="603">
        <v>28056.43</v>
      </c>
      <c r="K43" s="603">
        <v>22128.3</v>
      </c>
      <c r="L43" s="603">
        <v>18469.169999999998</v>
      </c>
      <c r="M43" s="603">
        <v>22052.32</v>
      </c>
      <c r="N43" s="603">
        <v>30914.19</v>
      </c>
      <c r="O43" s="603">
        <v>17188.57</v>
      </c>
      <c r="P43" s="603">
        <v>36010.93</v>
      </c>
      <c r="Q43" s="603">
        <v>17929.009999999998</v>
      </c>
      <c r="R43" s="603">
        <v>71137.02</v>
      </c>
      <c r="S43" s="603">
        <v>32496.05</v>
      </c>
      <c r="T43" s="603">
        <v>31495.95</v>
      </c>
      <c r="U43" s="603">
        <v>31101.34</v>
      </c>
      <c r="V43" s="603">
        <v>22979.43</v>
      </c>
      <c r="W43" s="603">
        <v>26157.07</v>
      </c>
      <c r="X43" s="603">
        <v>28349.97</v>
      </c>
      <c r="Y43" s="603">
        <v>23588.69</v>
      </c>
      <c r="Z43" s="603">
        <v>30503.23</v>
      </c>
      <c r="AA43" s="603">
        <v>25546.67</v>
      </c>
      <c r="AB43" s="603">
        <v>57633.54</v>
      </c>
      <c r="AC43" s="603">
        <v>115964.94</v>
      </c>
      <c r="AD43" s="603">
        <v>-75096.86</v>
      </c>
      <c r="AE43" s="603">
        <v>-79480.11</v>
      </c>
      <c r="AF43" s="603">
        <v>119034.59</v>
      </c>
      <c r="AG43" s="603">
        <v>19682.37</v>
      </c>
      <c r="AH43" s="603">
        <v>16281.21</v>
      </c>
      <c r="AI43" s="603">
        <v>18553.990000000002</v>
      </c>
      <c r="AJ43" s="603">
        <v>24012.31</v>
      </c>
      <c r="AK43" s="603">
        <v>19621.900000000001</v>
      </c>
      <c r="AL43" s="603">
        <v>21597.02</v>
      </c>
      <c r="AM43" s="603">
        <v>18895.580000000002</v>
      </c>
      <c r="AN43" s="603">
        <v>33613.22</v>
      </c>
      <c r="AO43" s="603">
        <v>15207.32</v>
      </c>
      <c r="AP43" s="603">
        <v>9676.35</v>
      </c>
      <c r="AQ43" s="603">
        <v>44974.8</v>
      </c>
      <c r="AR43" s="603">
        <v>15294.87</v>
      </c>
      <c r="AS43" s="603">
        <v>43224.49</v>
      </c>
      <c r="AT43" s="603">
        <v>26828.959999999999</v>
      </c>
      <c r="AU43" s="603">
        <v>24095.81</v>
      </c>
      <c r="AV43" s="603">
        <v>29908.32</v>
      </c>
      <c r="AW43" s="603">
        <v>19365.62</v>
      </c>
      <c r="AX43" s="603">
        <v>16438.11</v>
      </c>
      <c r="AY43" s="603">
        <v>24229.91</v>
      </c>
      <c r="AZ43" s="603">
        <v>20277.28</v>
      </c>
      <c r="BA43" s="546">
        <f t="shared" ref="BA43:BA44" si="47">+AO43</f>
        <v>15207.32</v>
      </c>
      <c r="BB43" s="546">
        <f t="shared" ref="BB43:BB44" si="48">+AP43</f>
        <v>9676.35</v>
      </c>
      <c r="BC43" s="546">
        <f t="shared" ref="BC43:BC44" si="49">+AQ43</f>
        <v>44974.8</v>
      </c>
      <c r="BD43" s="546">
        <f t="shared" ref="BD43:BD44" si="50">+AR43</f>
        <v>15294.87</v>
      </c>
      <c r="BE43" s="546">
        <f t="shared" ref="BE43:BE44" si="51">+AS43</f>
        <v>43224.49</v>
      </c>
      <c r="BF43" s="546">
        <f t="shared" ref="BF43:BF44" si="52">+AT43</f>
        <v>26828.959999999999</v>
      </c>
      <c r="BG43" s="546">
        <f t="shared" ref="BG43:BG44" si="53">+AU43</f>
        <v>24095.81</v>
      </c>
      <c r="BH43" s="546">
        <f t="shared" ref="BH43:BH44" si="54">+AV43</f>
        <v>29908.32</v>
      </c>
      <c r="BI43" s="546">
        <f t="shared" ref="BI43:BI44" si="55">+AW43</f>
        <v>19365.62</v>
      </c>
      <c r="BJ43" s="546">
        <f t="shared" ref="BJ43:BJ44" si="56">+AX43</f>
        <v>16438.11</v>
      </c>
      <c r="BK43" s="546">
        <f t="shared" ref="BK43:BK44" si="57">+AY43</f>
        <v>24229.91</v>
      </c>
      <c r="BL43" s="546">
        <f t="shared" ref="BL43:BL44" si="58">+AZ43</f>
        <v>20277.28</v>
      </c>
      <c r="BM43" s="546">
        <f t="shared" ref="BM43:BM44" si="59">+BA43</f>
        <v>15207.32</v>
      </c>
      <c r="BN43" s="546">
        <f t="shared" ref="BN43:BN44" si="60">+BB43</f>
        <v>9676.35</v>
      </c>
      <c r="BO43" s="546">
        <f t="shared" ref="BO43:BO44" si="61">+BC43</f>
        <v>44974.8</v>
      </c>
      <c r="BP43" s="546">
        <f t="shared" ref="BP43:BP44" si="62">+BD43</f>
        <v>15294.87</v>
      </c>
      <c r="BQ43" s="546">
        <f t="shared" ref="BQ43:BQ44" si="63">+BE43</f>
        <v>43224.49</v>
      </c>
      <c r="BR43" s="546">
        <f t="shared" ref="BR43:BR44" si="64">+BF43</f>
        <v>26828.959999999999</v>
      </c>
      <c r="BS43" s="546">
        <f t="shared" ref="BS43:BS44" si="65">+BG43</f>
        <v>24095.81</v>
      </c>
      <c r="BT43" s="546">
        <f t="shared" ref="BT43:BT44" si="66">+BH43</f>
        <v>29908.32</v>
      </c>
      <c r="BU43" s="546">
        <f t="shared" ref="BU43:BU44" si="67">+BI43</f>
        <v>19365.62</v>
      </c>
      <c r="BV43" s="546">
        <f t="shared" ref="BV43:BV44" si="68">+BJ43</f>
        <v>16438.11</v>
      </c>
      <c r="BW43" s="546">
        <f t="shared" ref="BW43:BW44" si="69">+BK43</f>
        <v>24229.91</v>
      </c>
      <c r="BX43" s="546">
        <f t="shared" ref="BX43:BX44" si="70">+BL43</f>
        <v>20277.28</v>
      </c>
      <c r="BY43" s="546"/>
    </row>
    <row r="44" spans="1:77" s="176" customFormat="1">
      <c r="A44" s="614" t="s">
        <v>176</v>
      </c>
      <c r="B44" s="1090">
        <f ca="1">SUM(OFFSET(BA44:BL44,0,'Bal Sheet'!$A$1))</f>
        <v>191289.32</v>
      </c>
      <c r="C44" s="1090">
        <f t="shared" si="46"/>
        <v>191289.32</v>
      </c>
      <c r="D44" s="603">
        <v>44602.69</v>
      </c>
      <c r="E44" s="603">
        <v>10994.37</v>
      </c>
      <c r="F44" s="603">
        <v>20284.87</v>
      </c>
      <c r="G44" s="603">
        <v>8850.84</v>
      </c>
      <c r="H44" s="603">
        <v>11312.13</v>
      </c>
      <c r="I44" s="603">
        <v>16253.83</v>
      </c>
      <c r="J44" s="603">
        <v>6331.45</v>
      </c>
      <c r="K44" s="603">
        <v>10609.09</v>
      </c>
      <c r="L44" s="603">
        <v>21739.3</v>
      </c>
      <c r="M44" s="603">
        <v>16557</v>
      </c>
      <c r="N44" s="603">
        <v>25342.76</v>
      </c>
      <c r="O44" s="603">
        <v>12067.24</v>
      </c>
      <c r="P44" s="603">
        <v>21927.3</v>
      </c>
      <c r="Q44" s="603">
        <v>9052.69</v>
      </c>
      <c r="R44" s="603">
        <v>21183.54</v>
      </c>
      <c r="S44" s="603">
        <v>11180.08</v>
      </c>
      <c r="T44" s="603">
        <v>13790.55</v>
      </c>
      <c r="U44" s="603">
        <v>12464.75</v>
      </c>
      <c r="V44" s="603">
        <v>11156.08</v>
      </c>
      <c r="W44" s="603">
        <v>12138.87</v>
      </c>
      <c r="X44" s="603">
        <v>14685.41</v>
      </c>
      <c r="Y44" s="603">
        <v>18072.36</v>
      </c>
      <c r="Z44" s="603">
        <v>19222.39</v>
      </c>
      <c r="AA44" s="603">
        <v>20330.59</v>
      </c>
      <c r="AB44" s="603">
        <v>45162.45</v>
      </c>
      <c r="AC44" s="603">
        <v>12992.1</v>
      </c>
      <c r="AD44" s="603">
        <v>17254.810000000001</v>
      </c>
      <c r="AE44" s="603">
        <v>15418.78</v>
      </c>
      <c r="AF44" s="603">
        <v>7180.16</v>
      </c>
      <c r="AG44" s="603">
        <v>8855.36</v>
      </c>
      <c r="AH44" s="603">
        <v>10393.41</v>
      </c>
      <c r="AI44" s="603">
        <v>16993.349999999999</v>
      </c>
      <c r="AJ44" s="603">
        <v>15601.84</v>
      </c>
      <c r="AK44" s="603">
        <v>8181.59</v>
      </c>
      <c r="AL44" s="603">
        <v>14464.81</v>
      </c>
      <c r="AM44" s="603">
        <v>11553.69</v>
      </c>
      <c r="AN44" s="603">
        <v>19563.86</v>
      </c>
      <c r="AO44" s="603">
        <v>12307.03</v>
      </c>
      <c r="AP44" s="603">
        <v>24138.69</v>
      </c>
      <c r="AQ44" s="603">
        <v>15904.53</v>
      </c>
      <c r="AR44" s="603">
        <v>11296.54</v>
      </c>
      <c r="AS44" s="603">
        <v>11551.61</v>
      </c>
      <c r="AT44" s="603">
        <v>15272.51</v>
      </c>
      <c r="AU44" s="603">
        <v>14936.58</v>
      </c>
      <c r="AV44" s="603">
        <v>8015.89</v>
      </c>
      <c r="AW44" s="603">
        <v>26149.81</v>
      </c>
      <c r="AX44" s="603">
        <v>16579</v>
      </c>
      <c r="AY44" s="603">
        <v>17135.54</v>
      </c>
      <c r="AZ44" s="603">
        <v>18001.59</v>
      </c>
      <c r="BA44" s="546">
        <f t="shared" si="47"/>
        <v>12307.03</v>
      </c>
      <c r="BB44" s="546">
        <f t="shared" si="48"/>
        <v>24138.69</v>
      </c>
      <c r="BC44" s="546">
        <f t="shared" si="49"/>
        <v>15904.53</v>
      </c>
      <c r="BD44" s="546">
        <f t="shared" si="50"/>
        <v>11296.54</v>
      </c>
      <c r="BE44" s="546">
        <f t="shared" si="51"/>
        <v>11551.61</v>
      </c>
      <c r="BF44" s="546">
        <f t="shared" si="52"/>
        <v>15272.51</v>
      </c>
      <c r="BG44" s="546">
        <f t="shared" si="53"/>
        <v>14936.58</v>
      </c>
      <c r="BH44" s="546">
        <f t="shared" si="54"/>
        <v>8015.89</v>
      </c>
      <c r="BI44" s="546">
        <f t="shared" si="55"/>
        <v>26149.81</v>
      </c>
      <c r="BJ44" s="546">
        <f t="shared" si="56"/>
        <v>16579</v>
      </c>
      <c r="BK44" s="546">
        <f t="shared" si="57"/>
        <v>17135.54</v>
      </c>
      <c r="BL44" s="546">
        <f t="shared" si="58"/>
        <v>18001.59</v>
      </c>
      <c r="BM44" s="546">
        <f t="shared" si="59"/>
        <v>12307.03</v>
      </c>
      <c r="BN44" s="546">
        <f t="shared" si="60"/>
        <v>24138.69</v>
      </c>
      <c r="BO44" s="546">
        <f t="shared" si="61"/>
        <v>15904.53</v>
      </c>
      <c r="BP44" s="546">
        <f t="shared" si="62"/>
        <v>11296.54</v>
      </c>
      <c r="BQ44" s="546">
        <f t="shared" si="63"/>
        <v>11551.61</v>
      </c>
      <c r="BR44" s="546">
        <f t="shared" si="64"/>
        <v>15272.51</v>
      </c>
      <c r="BS44" s="546">
        <f t="shared" si="65"/>
        <v>14936.58</v>
      </c>
      <c r="BT44" s="546">
        <f t="shared" si="66"/>
        <v>8015.89</v>
      </c>
      <c r="BU44" s="546">
        <f t="shared" si="67"/>
        <v>26149.81</v>
      </c>
      <c r="BV44" s="546">
        <f t="shared" si="68"/>
        <v>16579</v>
      </c>
      <c r="BW44" s="546">
        <f t="shared" si="69"/>
        <v>17135.54</v>
      </c>
      <c r="BX44" s="546">
        <f t="shared" si="70"/>
        <v>18001.59</v>
      </c>
      <c r="BY44" s="546"/>
    </row>
    <row r="45" spans="1:77" ht="12.75" customHeight="1">
      <c r="A45" s="614" t="s">
        <v>177</v>
      </c>
      <c r="B45" s="1090">
        <f ca="1">SUM(OFFSET(BA45:BL45,0,'Bal Sheet'!$A$1))</f>
        <v>117796</v>
      </c>
      <c r="C45" s="1092">
        <f t="shared" si="46"/>
        <v>117796</v>
      </c>
      <c r="D45" s="600"/>
      <c r="E45" s="600"/>
      <c r="F45" s="600"/>
      <c r="G45" s="600"/>
      <c r="H45" s="600"/>
      <c r="I45" s="600"/>
      <c r="J45" s="600"/>
      <c r="K45" s="600"/>
      <c r="L45" s="600"/>
      <c r="M45" s="600"/>
      <c r="N45" s="600"/>
      <c r="O45" s="600"/>
      <c r="P45" s="600"/>
      <c r="Q45" s="600"/>
      <c r="R45" s="600"/>
      <c r="S45" s="600"/>
      <c r="T45" s="600"/>
      <c r="U45" s="600"/>
      <c r="V45" s="600"/>
      <c r="W45" s="600"/>
      <c r="X45" s="600"/>
      <c r="Y45" s="600"/>
      <c r="Z45" s="600"/>
      <c r="AA45" s="600"/>
      <c r="AB45" s="600"/>
      <c r="AC45" s="600"/>
      <c r="AD45" s="600"/>
      <c r="AE45" s="600"/>
      <c r="AF45" s="600"/>
      <c r="AG45" s="600"/>
      <c r="AH45" s="600">
        <v>106541.55</v>
      </c>
      <c r="AI45" s="600"/>
      <c r="AJ45" s="600"/>
      <c r="AK45" s="600"/>
      <c r="AL45" s="600"/>
      <c r="AM45" s="600"/>
      <c r="AN45" s="600"/>
      <c r="AO45" s="210"/>
      <c r="AP45" s="210"/>
      <c r="AQ45" s="210"/>
      <c r="AR45" s="210"/>
      <c r="AS45" s="210">
        <v>108531.81</v>
      </c>
      <c r="AU45" s="210"/>
      <c r="AV45" s="210"/>
      <c r="AW45" s="210"/>
      <c r="AX45" s="210"/>
      <c r="AY45" s="210"/>
      <c r="AZ45" s="210"/>
      <c r="BA45" s="210">
        <v>108531.81</v>
      </c>
      <c r="BB45" s="210">
        <v>108531.81</v>
      </c>
      <c r="BC45" s="210">
        <v>108531.81</v>
      </c>
      <c r="BD45" s="210">
        <v>108531.81</v>
      </c>
      <c r="BE45" s="210">
        <v>117796</v>
      </c>
      <c r="BF45" s="210">
        <v>117796</v>
      </c>
      <c r="BG45" s="210">
        <v>117796</v>
      </c>
      <c r="BH45" s="210">
        <v>117796</v>
      </c>
      <c r="BI45" s="210">
        <v>117796</v>
      </c>
      <c r="BJ45" s="210">
        <v>117796</v>
      </c>
      <c r="BK45" s="210">
        <v>117796</v>
      </c>
      <c r="BL45" s="210">
        <v>117796</v>
      </c>
      <c r="BM45" s="210">
        <v>0</v>
      </c>
      <c r="BN45" s="210">
        <v>0</v>
      </c>
      <c r="BO45" s="210">
        <v>0</v>
      </c>
      <c r="BP45" s="210">
        <v>0</v>
      </c>
      <c r="BQ45" s="210">
        <v>117796</v>
      </c>
      <c r="BR45" s="210">
        <v>0</v>
      </c>
      <c r="BS45" s="210">
        <v>0</v>
      </c>
      <c r="BT45" s="210">
        <v>0</v>
      </c>
      <c r="BU45" s="210">
        <v>0</v>
      </c>
      <c r="BV45" s="210">
        <v>0</v>
      </c>
      <c r="BW45" s="210">
        <v>0</v>
      </c>
      <c r="BX45" s="210">
        <v>0</v>
      </c>
      <c r="BY45" s="210"/>
    </row>
    <row r="46" spans="1:77" ht="12.75" customHeight="1">
      <c r="A46" s="611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</row>
    <row r="47" spans="1:77" ht="12.75" customHeight="1">
      <c r="A47" s="613" t="s">
        <v>178</v>
      </c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</row>
    <row r="48" spans="1:77" ht="12.75" customHeight="1">
      <c r="A48" s="614" t="s">
        <v>179</v>
      </c>
      <c r="B48" s="1090">
        <f ca="1">SUM(OFFSET(BA48:BL48,0,'Bal Sheet'!$A$1))</f>
        <v>18791.3</v>
      </c>
      <c r="C48" s="1092">
        <f t="shared" ref="C48:C50" si="71">SUM(BM48:BX48)</f>
        <v>18791.3</v>
      </c>
      <c r="D48" s="600"/>
      <c r="E48" s="600">
        <v>687.37</v>
      </c>
      <c r="F48" s="600">
        <v>440.6</v>
      </c>
      <c r="G48" s="600">
        <v>233.61</v>
      </c>
      <c r="H48" s="600">
        <v>2440.25</v>
      </c>
      <c r="I48" s="600">
        <v>152.72999999999999</v>
      </c>
      <c r="J48" s="600">
        <v>-135.87</v>
      </c>
      <c r="K48" s="600">
        <v>844.29</v>
      </c>
      <c r="L48" s="600">
        <v>256.33999999999997</v>
      </c>
      <c r="M48" s="600">
        <v>268.31</v>
      </c>
      <c r="N48" s="600">
        <v>452.08</v>
      </c>
      <c r="O48" s="600">
        <v>299.56</v>
      </c>
      <c r="P48" s="600">
        <v>4375.58</v>
      </c>
      <c r="Q48" s="600">
        <v>155.68</v>
      </c>
      <c r="R48" s="600">
        <v>25.74</v>
      </c>
      <c r="S48" s="600">
        <v>555.08000000000004</v>
      </c>
      <c r="T48" s="600">
        <v>647.94000000000005</v>
      </c>
      <c r="U48" s="600">
        <v>-238.94</v>
      </c>
      <c r="V48" s="600">
        <v>570.05999999999995</v>
      </c>
      <c r="W48" s="600">
        <v>400.12</v>
      </c>
      <c r="X48" s="600">
        <v>164.95</v>
      </c>
      <c r="Y48" s="600">
        <v>-230.67</v>
      </c>
      <c r="Z48" s="600">
        <v>-194.98</v>
      </c>
      <c r="AA48" s="600">
        <v>2201.27</v>
      </c>
      <c r="AB48" s="600">
        <v>-334.73</v>
      </c>
      <c r="AC48" s="600">
        <v>451.61</v>
      </c>
      <c r="AD48" s="600">
        <v>-178.66</v>
      </c>
      <c r="AE48" s="600">
        <v>312.8</v>
      </c>
      <c r="AF48" s="600">
        <v>-6.48</v>
      </c>
      <c r="AG48" s="600">
        <v>352.15</v>
      </c>
      <c r="AH48" s="600">
        <v>558.20000000000005</v>
      </c>
      <c r="AI48" s="600">
        <v>727.53</v>
      </c>
      <c r="AJ48" s="600">
        <v>870.18</v>
      </c>
      <c r="AK48" s="600">
        <v>516.51</v>
      </c>
      <c r="AL48" s="600">
        <v>485.3</v>
      </c>
      <c r="AM48" s="600">
        <v>454.36</v>
      </c>
      <c r="AN48" s="600">
        <v>368.1</v>
      </c>
      <c r="AO48" s="600">
        <v>771.01</v>
      </c>
      <c r="AP48" s="600">
        <v>-588.51</v>
      </c>
      <c r="AQ48" s="600">
        <v>593.38</v>
      </c>
      <c r="AR48" s="600">
        <v>585.64</v>
      </c>
      <c r="AS48" s="600">
        <v>942.88</v>
      </c>
      <c r="AT48" s="600">
        <v>1026.1400000000001</v>
      </c>
      <c r="AU48" s="600">
        <v>582</v>
      </c>
      <c r="AV48" s="600">
        <v>442.27</v>
      </c>
      <c r="AW48" s="600">
        <v>175.61</v>
      </c>
      <c r="AX48" s="600">
        <v>593.36</v>
      </c>
      <c r="AY48" s="600">
        <v>1007.29</v>
      </c>
      <c r="AZ48" s="600">
        <v>293.60000000000002</v>
      </c>
      <c r="BA48" s="600">
        <v>410.76</v>
      </c>
      <c r="BB48" s="600">
        <v>60.5</v>
      </c>
      <c r="BC48" s="600">
        <v>710.89</v>
      </c>
      <c r="BD48" s="600">
        <v>541.72</v>
      </c>
      <c r="BE48" s="600">
        <v>750.44</v>
      </c>
      <c r="BF48" s="600">
        <v>411.92</v>
      </c>
      <c r="BG48" s="600">
        <v>418.19</v>
      </c>
      <c r="BH48" s="600">
        <v>1162.1600000000001</v>
      </c>
      <c r="BI48" s="474">
        <v>1322.23</v>
      </c>
      <c r="BJ48" s="474">
        <v>8232.6200000000008</v>
      </c>
      <c r="BK48" s="474">
        <v>2764.52</v>
      </c>
      <c r="BL48" s="474">
        <v>2005.35</v>
      </c>
      <c r="BM48" s="474">
        <f t="shared" ref="BM48:BM50" si="72">+BA48</f>
        <v>410.76</v>
      </c>
      <c r="BN48" s="474">
        <f t="shared" ref="BN48:BN50" si="73">+BB48</f>
        <v>60.5</v>
      </c>
      <c r="BO48" s="474">
        <f t="shared" ref="BO48:BO50" si="74">+BC48</f>
        <v>710.89</v>
      </c>
      <c r="BP48" s="474">
        <f t="shared" ref="BP48:BP50" si="75">+BD48</f>
        <v>541.72</v>
      </c>
      <c r="BQ48" s="474">
        <f t="shared" ref="BQ48:BQ50" si="76">+BE48</f>
        <v>750.44</v>
      </c>
      <c r="BR48" s="474">
        <f t="shared" ref="BR48:BR50" si="77">+BF48</f>
        <v>411.92</v>
      </c>
      <c r="BS48" s="474">
        <f t="shared" ref="BS48:BS50" si="78">+BG48</f>
        <v>418.19</v>
      </c>
      <c r="BT48" s="474">
        <f t="shared" ref="BT48:BT50" si="79">+BH48</f>
        <v>1162.1600000000001</v>
      </c>
      <c r="BU48" s="474">
        <f t="shared" ref="BU48:BU50" si="80">+BI48</f>
        <v>1322.23</v>
      </c>
      <c r="BV48" s="474">
        <f t="shared" ref="BV48:BV50" si="81">+BJ48</f>
        <v>8232.6200000000008</v>
      </c>
      <c r="BW48" s="474">
        <f t="shared" ref="BW48:BW50" si="82">+BK48</f>
        <v>2764.52</v>
      </c>
      <c r="BX48" s="474">
        <f t="shared" ref="BX48:BX50" si="83">+BL48</f>
        <v>2005.35</v>
      </c>
      <c r="BY48" s="600"/>
    </row>
    <row r="49" spans="1:78" ht="12.75" customHeight="1">
      <c r="A49" s="614" t="s">
        <v>180</v>
      </c>
      <c r="B49" s="1090">
        <f ca="1">SUM(OFFSET(BA49:BL49,0,'Bal Sheet'!$A$1))</f>
        <v>40473.08</v>
      </c>
      <c r="C49" s="1092">
        <f t="shared" si="71"/>
        <v>40473.08</v>
      </c>
      <c r="D49" s="600"/>
      <c r="E49" s="600">
        <v>6937.99</v>
      </c>
      <c r="F49" s="600">
        <v>87.85</v>
      </c>
      <c r="G49" s="600">
        <v>1889.04</v>
      </c>
      <c r="H49" s="600">
        <v>289.04000000000002</v>
      </c>
      <c r="I49" s="600">
        <v>3482.11</v>
      </c>
      <c r="J49" s="600">
        <v>1013.52</v>
      </c>
      <c r="K49" s="600">
        <v>2883.78</v>
      </c>
      <c r="L49" s="600">
        <v>4570.05</v>
      </c>
      <c r="M49" s="600">
        <v>8189.4</v>
      </c>
      <c r="N49" s="600">
        <v>4017.81</v>
      </c>
      <c r="O49" s="600">
        <v>1114.31</v>
      </c>
      <c r="P49" s="600">
        <v>5155.66</v>
      </c>
      <c r="Q49" s="600">
        <v>1244.1500000000001</v>
      </c>
      <c r="R49" s="600">
        <v>111.47</v>
      </c>
      <c r="S49" s="600">
        <v>4626.6099999999997</v>
      </c>
      <c r="T49" s="600">
        <v>206.65</v>
      </c>
      <c r="U49" s="600">
        <v>8721.06</v>
      </c>
      <c r="V49" s="600">
        <v>2257.9699999999998</v>
      </c>
      <c r="W49" s="600">
        <v>923.72</v>
      </c>
      <c r="X49" s="600">
        <v>8058.34</v>
      </c>
      <c r="Y49" s="600">
        <v>5669.46</v>
      </c>
      <c r="Z49" s="600">
        <v>11073.47</v>
      </c>
      <c r="AA49" s="600">
        <v>2457.4699999999998</v>
      </c>
      <c r="AB49" s="600">
        <v>8800.61</v>
      </c>
      <c r="AC49" s="600">
        <v>4131.28</v>
      </c>
      <c r="AD49" s="600">
        <v>165.71</v>
      </c>
      <c r="AE49" s="600">
        <v>4035.25</v>
      </c>
      <c r="AF49" s="600">
        <v>530.32000000000005</v>
      </c>
      <c r="AG49" s="600">
        <v>6997.33</v>
      </c>
      <c r="AH49" s="600">
        <v>1499.79</v>
      </c>
      <c r="AI49" s="600">
        <v>7157.37</v>
      </c>
      <c r="AJ49" s="600">
        <v>169.2</v>
      </c>
      <c r="AK49" s="600">
        <v>5616.61</v>
      </c>
      <c r="AL49" s="600">
        <v>7022.11</v>
      </c>
      <c r="AM49" s="600">
        <v>106.45</v>
      </c>
      <c r="AN49" s="600">
        <v>2751.8</v>
      </c>
      <c r="AO49" s="600">
        <v>-19.95</v>
      </c>
      <c r="AP49" s="600">
        <v>2546.84</v>
      </c>
      <c r="AQ49" s="600">
        <v>2683.44</v>
      </c>
      <c r="AR49" s="600">
        <v>105.76</v>
      </c>
      <c r="AS49" s="600">
        <v>11626.28</v>
      </c>
      <c r="AT49" s="600">
        <v>2692.45</v>
      </c>
      <c r="AU49" s="600">
        <v>5992.18</v>
      </c>
      <c r="AV49" s="600">
        <v>1878.62</v>
      </c>
      <c r="AW49" s="600">
        <v>1976.46</v>
      </c>
      <c r="AX49" s="600">
        <v>2852.88</v>
      </c>
      <c r="AY49" s="600">
        <v>584.04999999999995</v>
      </c>
      <c r="AZ49" s="600">
        <v>7449.9</v>
      </c>
      <c r="BA49" s="600">
        <v>5577.96</v>
      </c>
      <c r="BB49" s="600">
        <v>3177.73</v>
      </c>
      <c r="BC49" s="600">
        <v>3094.71</v>
      </c>
      <c r="BD49" s="600">
        <v>1473.59</v>
      </c>
      <c r="BE49" s="600">
        <v>6011.71</v>
      </c>
      <c r="BF49" s="600">
        <v>5950.96</v>
      </c>
      <c r="BG49" s="600">
        <v>1964.93</v>
      </c>
      <c r="BH49" s="600">
        <v>3167.45</v>
      </c>
      <c r="BI49" s="474">
        <v>7091.26</v>
      </c>
      <c r="BJ49" s="474">
        <v>1143.33</v>
      </c>
      <c r="BK49" s="474">
        <v>1003.99</v>
      </c>
      <c r="BL49" s="474">
        <v>815.46</v>
      </c>
      <c r="BM49" s="474">
        <f t="shared" si="72"/>
        <v>5577.96</v>
      </c>
      <c r="BN49" s="474">
        <f t="shared" si="73"/>
        <v>3177.73</v>
      </c>
      <c r="BO49" s="474">
        <f t="shared" si="74"/>
        <v>3094.71</v>
      </c>
      <c r="BP49" s="474">
        <f t="shared" si="75"/>
        <v>1473.59</v>
      </c>
      <c r="BQ49" s="474">
        <f t="shared" si="76"/>
        <v>6011.71</v>
      </c>
      <c r="BR49" s="474">
        <f t="shared" si="77"/>
        <v>5950.96</v>
      </c>
      <c r="BS49" s="474">
        <f t="shared" si="78"/>
        <v>1964.93</v>
      </c>
      <c r="BT49" s="474">
        <f t="shared" si="79"/>
        <v>3167.45</v>
      </c>
      <c r="BU49" s="474">
        <f t="shared" si="80"/>
        <v>7091.26</v>
      </c>
      <c r="BV49" s="474">
        <f t="shared" si="81"/>
        <v>1143.33</v>
      </c>
      <c r="BW49" s="474">
        <f t="shared" si="82"/>
        <v>1003.99</v>
      </c>
      <c r="BX49" s="474">
        <f t="shared" si="83"/>
        <v>815.46</v>
      </c>
      <c r="BY49" s="600"/>
    </row>
    <row r="50" spans="1:78" ht="12.75" customHeight="1">
      <c r="A50" s="614" t="s">
        <v>181</v>
      </c>
      <c r="B50" s="1090">
        <f ca="1">SUM(OFFSET(BA50:BL50,0,'Bal Sheet'!$A$1))</f>
        <v>19911.13</v>
      </c>
      <c r="C50" s="1092">
        <f t="shared" si="71"/>
        <v>19911.13</v>
      </c>
      <c r="D50" s="600"/>
      <c r="E50" s="600">
        <v>0</v>
      </c>
      <c r="F50" s="600">
        <v>147.43</v>
      </c>
      <c r="G50" s="600">
        <v>1186.3399999999999</v>
      </c>
      <c r="H50" s="600">
        <v>8943.82</v>
      </c>
      <c r="I50" s="600">
        <v>700.7</v>
      </c>
      <c r="J50" s="600">
        <v>649.14</v>
      </c>
      <c r="K50" s="600">
        <v>2005.31</v>
      </c>
      <c r="L50" s="600">
        <v>165.55</v>
      </c>
      <c r="M50" s="600">
        <v>3103.85</v>
      </c>
      <c r="N50" s="600">
        <v>195</v>
      </c>
      <c r="O50" s="600">
        <v>68.16</v>
      </c>
      <c r="P50" s="600">
        <v>3773.84</v>
      </c>
      <c r="Q50" s="600">
        <v>-138.79</v>
      </c>
      <c r="R50" s="600">
        <v>5999.3</v>
      </c>
      <c r="S50" s="600">
        <v>107.25</v>
      </c>
      <c r="T50" s="600">
        <v>2548.44</v>
      </c>
      <c r="U50" s="600">
        <v>2919.77</v>
      </c>
      <c r="V50" s="600">
        <v>105.02</v>
      </c>
      <c r="W50" s="600">
        <v>4795.3500000000004</v>
      </c>
      <c r="X50" s="600">
        <v>67.89</v>
      </c>
      <c r="Y50" s="600">
        <v>12.91</v>
      </c>
      <c r="Z50" s="600">
        <v>5124.66</v>
      </c>
      <c r="AA50" s="600">
        <v>1240.4100000000001</v>
      </c>
      <c r="AB50" s="600">
        <v>5623.28</v>
      </c>
      <c r="AC50" s="600">
        <v>161.44</v>
      </c>
      <c r="AD50" s="600">
        <v>4301.0600000000004</v>
      </c>
      <c r="AE50" s="600">
        <v>2227.19</v>
      </c>
      <c r="AF50" s="600">
        <v>255.99</v>
      </c>
      <c r="AG50" s="600">
        <v>0</v>
      </c>
      <c r="AH50" s="600">
        <v>4571.95</v>
      </c>
      <c r="AI50" s="600">
        <v>6622.6</v>
      </c>
      <c r="AJ50" s="600">
        <v>62.38</v>
      </c>
      <c r="AK50" s="600">
        <v>3199.87</v>
      </c>
      <c r="AL50" s="600">
        <v>0</v>
      </c>
      <c r="AM50" s="600">
        <v>3755.61</v>
      </c>
      <c r="AN50" s="600">
        <v>0</v>
      </c>
      <c r="AO50" s="600">
        <v>300</v>
      </c>
      <c r="AP50" s="600">
        <v>1250.67</v>
      </c>
      <c r="AQ50" s="600">
        <v>5739.95</v>
      </c>
      <c r="AR50" s="600">
        <v>158.61000000000001</v>
      </c>
      <c r="AS50" s="600">
        <v>240.5</v>
      </c>
      <c r="AT50" s="600">
        <v>2592.35</v>
      </c>
      <c r="AU50" s="600">
        <v>1167.5899999999999</v>
      </c>
      <c r="AV50" s="600">
        <v>1270.5899999999999</v>
      </c>
      <c r="AW50" s="600">
        <v>4872.62</v>
      </c>
      <c r="AX50" s="600">
        <v>2434.15</v>
      </c>
      <c r="AY50" s="600">
        <v>2137.46</v>
      </c>
      <c r="AZ50" s="600">
        <v>898.78</v>
      </c>
      <c r="BA50" s="600">
        <v>2257.7199999999998</v>
      </c>
      <c r="BB50" s="600">
        <v>440.64</v>
      </c>
      <c r="BC50" s="600">
        <v>2812.15</v>
      </c>
      <c r="BD50" s="600">
        <v>0</v>
      </c>
      <c r="BE50" s="600">
        <v>8628.36</v>
      </c>
      <c r="BF50" s="600">
        <v>2216.25</v>
      </c>
      <c r="BG50" s="600">
        <v>0</v>
      </c>
      <c r="BH50" s="600">
        <v>3511.01</v>
      </c>
      <c r="BI50" s="474">
        <v>25</v>
      </c>
      <c r="BJ50" s="474">
        <v>0</v>
      </c>
      <c r="BK50" s="474">
        <v>20</v>
      </c>
      <c r="BL50" s="474">
        <v>0</v>
      </c>
      <c r="BM50" s="474">
        <f t="shared" si="72"/>
        <v>2257.7199999999998</v>
      </c>
      <c r="BN50" s="474">
        <f t="shared" si="73"/>
        <v>440.64</v>
      </c>
      <c r="BO50" s="474">
        <f t="shared" si="74"/>
        <v>2812.15</v>
      </c>
      <c r="BP50" s="474">
        <f t="shared" si="75"/>
        <v>0</v>
      </c>
      <c r="BQ50" s="474">
        <f t="shared" si="76"/>
        <v>8628.36</v>
      </c>
      <c r="BR50" s="474">
        <f t="shared" si="77"/>
        <v>2216.25</v>
      </c>
      <c r="BS50" s="474">
        <f t="shared" si="78"/>
        <v>0</v>
      </c>
      <c r="BT50" s="474">
        <f t="shared" si="79"/>
        <v>3511.01</v>
      </c>
      <c r="BU50" s="474">
        <f t="shared" si="80"/>
        <v>25</v>
      </c>
      <c r="BV50" s="474">
        <f t="shared" si="81"/>
        <v>0</v>
      </c>
      <c r="BW50" s="474">
        <f t="shared" si="82"/>
        <v>20</v>
      </c>
      <c r="BX50" s="474">
        <f t="shared" si="83"/>
        <v>0</v>
      </c>
      <c r="BY50" s="600"/>
    </row>
    <row r="51" spans="1:78" ht="12.75" customHeight="1">
      <c r="A51" s="614" t="s">
        <v>182</v>
      </c>
      <c r="B51" s="762">
        <f ca="1">SUM(B48:B50)</f>
        <v>79175.510000000009</v>
      </c>
      <c r="C51" s="762">
        <f>SUM(C48:C50)</f>
        <v>79175.510000000009</v>
      </c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W51" s="604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604"/>
      <c r="AJ51" s="604"/>
      <c r="AK51" s="604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>
        <v>77052.23</v>
      </c>
      <c r="BB51" s="176">
        <v>77522.099999999991</v>
      </c>
      <c r="BC51" s="176">
        <v>75123.08</v>
      </c>
      <c r="BD51" s="176">
        <v>76288.37999999999</v>
      </c>
      <c r="BE51" s="176">
        <v>78869.229999999981</v>
      </c>
      <c r="BF51" s="176">
        <v>81137.419999999984</v>
      </c>
      <c r="BG51" s="762">
        <v>75778.76999999999</v>
      </c>
      <c r="BH51" s="762">
        <v>80027.909999999989</v>
      </c>
      <c r="BI51" s="762">
        <v>81441.709999999992</v>
      </c>
      <c r="BJ51" s="762">
        <v>84937.269999999975</v>
      </c>
      <c r="BK51" s="762">
        <v>84996.979999999981</v>
      </c>
      <c r="BL51" s="762">
        <v>79175.509999999995</v>
      </c>
      <c r="BM51" s="762">
        <f t="shared" ref="BM51:BX51" si="84">SUM(BM48:BM50)</f>
        <v>8246.44</v>
      </c>
      <c r="BN51" s="762">
        <f t="shared" si="84"/>
        <v>3678.87</v>
      </c>
      <c r="BO51" s="762">
        <f t="shared" si="84"/>
        <v>6617.75</v>
      </c>
      <c r="BP51" s="762">
        <f t="shared" si="84"/>
        <v>2015.31</v>
      </c>
      <c r="BQ51" s="762">
        <f t="shared" si="84"/>
        <v>15390.51</v>
      </c>
      <c r="BR51" s="762">
        <f t="shared" si="84"/>
        <v>8579.130000000001</v>
      </c>
      <c r="BS51" s="762">
        <f t="shared" si="84"/>
        <v>2383.12</v>
      </c>
      <c r="BT51" s="762">
        <f t="shared" si="84"/>
        <v>7840.62</v>
      </c>
      <c r="BU51" s="762">
        <f t="shared" si="84"/>
        <v>8438.49</v>
      </c>
      <c r="BV51" s="762">
        <f t="shared" si="84"/>
        <v>9375.9500000000007</v>
      </c>
      <c r="BW51" s="762">
        <f t="shared" si="84"/>
        <v>3788.51</v>
      </c>
      <c r="BX51" s="762">
        <f t="shared" si="84"/>
        <v>2820.81</v>
      </c>
      <c r="BY51" s="176"/>
    </row>
    <row r="52" spans="1:78" ht="12.75" customHeight="1">
      <c r="A52" s="611"/>
      <c r="B52" s="450"/>
      <c r="C52" s="450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</row>
    <row r="53" spans="1:78" hidden="1">
      <c r="A53" s="613" t="s">
        <v>183</v>
      </c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</row>
    <row r="54" spans="1:78" hidden="1">
      <c r="A54" s="614" t="s">
        <v>184</v>
      </c>
      <c r="B54" s="773">
        <f ca="1">SUM(OFFSET(BA54:BM54,0,'Bal Sheet'!$A$1))</f>
        <v>67497</v>
      </c>
      <c r="C54" s="589">
        <f>+BX54</f>
        <v>5624.75</v>
      </c>
      <c r="D54" s="608">
        <v>1089</v>
      </c>
      <c r="E54" s="608">
        <v>0</v>
      </c>
      <c r="F54" s="608">
        <v>61450.93</v>
      </c>
      <c r="G54" s="608">
        <v>0</v>
      </c>
      <c r="H54" s="608">
        <v>10000</v>
      </c>
      <c r="I54" s="608">
        <v>1579.13</v>
      </c>
      <c r="J54" s="608">
        <v>0</v>
      </c>
      <c r="K54" s="608">
        <v>1579.13</v>
      </c>
      <c r="L54" s="608">
        <v>0</v>
      </c>
      <c r="M54" s="608">
        <v>0</v>
      </c>
      <c r="N54" s="608">
        <v>1579.13</v>
      </c>
      <c r="O54" s="608">
        <v>0</v>
      </c>
      <c r="P54" s="608">
        <v>0</v>
      </c>
      <c r="Q54" s="608">
        <v>0</v>
      </c>
      <c r="R54" s="608">
        <v>4626.24</v>
      </c>
      <c r="S54" s="608">
        <v>59783.8</v>
      </c>
      <c r="T54" s="608">
        <v>12012.64</v>
      </c>
      <c r="U54" s="608">
        <v>0</v>
      </c>
      <c r="V54" s="608">
        <v>0</v>
      </c>
      <c r="W54" s="608">
        <v>2012.64</v>
      </c>
      <c r="X54" s="608">
        <v>0</v>
      </c>
      <c r="Y54" s="608">
        <v>0</v>
      </c>
      <c r="Z54" s="608">
        <v>2012.64</v>
      </c>
      <c r="AA54" s="608">
        <v>0</v>
      </c>
      <c r="AB54" s="608">
        <v>0</v>
      </c>
      <c r="AC54" s="608">
        <v>0</v>
      </c>
      <c r="AD54" s="608">
        <v>38414.83</v>
      </c>
      <c r="AE54" s="608">
        <v>1612.6</v>
      </c>
      <c r="AF54" s="608">
        <v>3631.03</v>
      </c>
      <c r="AG54" s="608">
        <v>0</v>
      </c>
      <c r="AH54" s="608">
        <v>0</v>
      </c>
      <c r="AI54" s="608">
        <v>3631.03</v>
      </c>
      <c r="AJ54" s="608">
        <v>10000</v>
      </c>
      <c r="AK54" s="608">
        <v>0</v>
      </c>
      <c r="AL54" s="608">
        <v>3631.03</v>
      </c>
      <c r="AM54" s="608">
        <v>0</v>
      </c>
      <c r="AN54" s="780">
        <v>0</v>
      </c>
      <c r="AO54" s="780">
        <v>34871.800000000003</v>
      </c>
      <c r="AP54" s="780">
        <v>2141.14</v>
      </c>
      <c r="AQ54" s="780">
        <v>1524.6</v>
      </c>
      <c r="AR54" s="780">
        <v>2141.14</v>
      </c>
      <c r="AS54" s="780">
        <v>0</v>
      </c>
      <c r="AT54" s="780">
        <v>25000</v>
      </c>
      <c r="AU54" s="780">
        <v>14141.14</v>
      </c>
      <c r="AV54" s="625">
        <v>9987.66</v>
      </c>
      <c r="AW54" s="625">
        <v>1040</v>
      </c>
      <c r="AX54" s="625">
        <v>5818.9</v>
      </c>
      <c r="AY54" s="625">
        <v>1856</v>
      </c>
      <c r="AZ54" s="625">
        <v>1856</v>
      </c>
      <c r="BA54" s="783">
        <v>1856</v>
      </c>
      <c r="BB54" s="783">
        <v>1856</v>
      </c>
      <c r="BC54" s="783">
        <v>1856</v>
      </c>
      <c r="BD54" s="783">
        <v>1856</v>
      </c>
      <c r="BE54" s="783">
        <v>1856</v>
      </c>
      <c r="BF54" s="783">
        <v>1856</v>
      </c>
      <c r="BG54" s="783">
        <v>1856</v>
      </c>
      <c r="BH54" s="780">
        <v>0</v>
      </c>
      <c r="BI54" s="780">
        <v>0</v>
      </c>
      <c r="BJ54" s="780">
        <v>4400</v>
      </c>
      <c r="BK54" s="780">
        <v>0</v>
      </c>
      <c r="BL54" s="780">
        <v>2520</v>
      </c>
      <c r="BM54" s="780">
        <v>5624.75</v>
      </c>
      <c r="BN54" s="780">
        <v>5624.75</v>
      </c>
      <c r="BO54" s="780">
        <v>5624.75</v>
      </c>
      <c r="BP54" s="780">
        <v>5624.75</v>
      </c>
      <c r="BQ54" s="780">
        <v>5624.75</v>
      </c>
      <c r="BR54" s="780">
        <v>5624.75</v>
      </c>
      <c r="BS54" s="780">
        <v>5624.75</v>
      </c>
      <c r="BT54" s="780">
        <v>5624.75</v>
      </c>
      <c r="BU54" s="780">
        <v>5624.75</v>
      </c>
      <c r="BV54" s="780">
        <v>5624.75</v>
      </c>
      <c r="BW54" s="780">
        <v>5624.75</v>
      </c>
      <c r="BX54" s="780">
        <v>5624.75</v>
      </c>
      <c r="BY54" s="783"/>
      <c r="BZ54" t="s">
        <v>1205</v>
      </c>
    </row>
    <row r="55" spans="1:78">
      <c r="A55" s="614"/>
      <c r="B55" s="58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450"/>
      <c r="AT55" s="450"/>
      <c r="AU55" s="450"/>
      <c r="AV55" s="450"/>
      <c r="AW55" s="450"/>
      <c r="AX55" s="450"/>
      <c r="AY55" s="450"/>
      <c r="AZ55" s="450"/>
      <c r="BA55" s="450"/>
      <c r="BB55" s="450"/>
      <c r="BC55" s="450"/>
      <c r="BD55" s="450"/>
      <c r="BE55" s="450"/>
      <c r="BF55" s="450"/>
      <c r="BG55" s="450"/>
      <c r="BH55" s="450"/>
      <c r="BI55" s="450"/>
      <c r="BJ55" s="450"/>
      <c r="BK55" s="450"/>
      <c r="BL55" s="450"/>
      <c r="BM55" s="450"/>
      <c r="BN55" s="450"/>
      <c r="BO55" s="450"/>
      <c r="BP55" s="450"/>
      <c r="BQ55" s="450"/>
      <c r="BR55" s="450"/>
      <c r="BS55" s="450"/>
      <c r="BT55" s="450"/>
      <c r="BU55" s="450"/>
      <c r="BV55" s="450"/>
      <c r="BW55" s="450"/>
      <c r="BX55" s="450"/>
      <c r="BY55" s="450"/>
    </row>
    <row r="56" spans="1:78" ht="12.75" customHeight="1">
      <c r="A56" s="613" t="s">
        <v>185</v>
      </c>
      <c r="BM56" s="375"/>
      <c r="BN56" s="375"/>
      <c r="BO56" s="375"/>
      <c r="BP56" s="375"/>
      <c r="BQ56" s="375"/>
      <c r="BR56" s="375"/>
      <c r="BS56" s="375"/>
      <c r="BT56" s="375"/>
      <c r="BU56" s="375"/>
      <c r="BV56" s="375"/>
      <c r="BW56" s="375"/>
      <c r="BX56" s="375"/>
    </row>
    <row r="57" spans="1:78" ht="12.75" customHeight="1">
      <c r="A57" s="615" t="s">
        <v>186</v>
      </c>
      <c r="B57" s="1090">
        <f ca="1">SUM(OFFSET(BA57:BL57,0,'Bal Sheet'!$A$1))</f>
        <v>3709795.93</v>
      </c>
      <c r="C57" s="1090">
        <f t="shared" ref="C57" si="85">SUM(BM57:BX57)</f>
        <v>3709795.93</v>
      </c>
      <c r="D57" s="345">
        <v>220760.74</v>
      </c>
      <c r="E57" s="345">
        <v>193562.16</v>
      </c>
      <c r="F57" s="345">
        <v>145888.32999999999</v>
      </c>
      <c r="G57" s="345">
        <v>243752.23</v>
      </c>
      <c r="H57" s="345">
        <v>207654.83</v>
      </c>
      <c r="I57" s="345">
        <v>195218.07</v>
      </c>
      <c r="J57" s="345">
        <v>185158.7</v>
      </c>
      <c r="K57" s="345">
        <v>178746.68</v>
      </c>
      <c r="L57" s="345">
        <v>170443.61</v>
      </c>
      <c r="M57" s="345">
        <v>165170.10999999999</v>
      </c>
      <c r="N57" s="345">
        <v>194745.15</v>
      </c>
      <c r="O57" s="345">
        <v>175347.68</v>
      </c>
      <c r="P57" s="345">
        <v>209402.12</v>
      </c>
      <c r="Q57" s="345">
        <v>193433.75</v>
      </c>
      <c r="R57" s="345">
        <v>223430.42</v>
      </c>
      <c r="S57" s="345">
        <v>221766.35</v>
      </c>
      <c r="T57" s="345">
        <v>223157.08000000002</v>
      </c>
      <c r="U57" s="345">
        <v>219438.92</v>
      </c>
      <c r="V57" s="345">
        <v>170421.74</v>
      </c>
      <c r="W57" s="345">
        <v>197031.4</v>
      </c>
      <c r="X57" s="345">
        <v>121725.21</v>
      </c>
      <c r="Y57" s="345">
        <v>262355.59000000003</v>
      </c>
      <c r="Z57" s="345">
        <v>215257.95</v>
      </c>
      <c r="AA57" s="345">
        <v>220538.86</v>
      </c>
      <c r="AB57" s="345">
        <v>248710.81</v>
      </c>
      <c r="AC57" s="345">
        <v>243438.2</v>
      </c>
      <c r="AD57" s="345">
        <v>253342.13</v>
      </c>
      <c r="AE57" s="345">
        <v>236660.91999999998</v>
      </c>
      <c r="AF57" s="345">
        <v>255398.73</v>
      </c>
      <c r="AG57" s="345">
        <v>265764.46999999997</v>
      </c>
      <c r="AH57" s="345">
        <v>202462.96</v>
      </c>
      <c r="AI57" s="345">
        <v>194724.54</v>
      </c>
      <c r="AJ57" s="345">
        <v>233233.75</v>
      </c>
      <c r="AK57" s="345">
        <v>226376.2</v>
      </c>
      <c r="AL57" s="345">
        <v>225311.28</v>
      </c>
      <c r="AM57" s="345">
        <v>236659.63</v>
      </c>
      <c r="AN57" s="345">
        <v>246249.31</v>
      </c>
      <c r="AO57" s="345">
        <v>316457.21000000002</v>
      </c>
      <c r="AP57" s="345">
        <v>287321.58999999997</v>
      </c>
      <c r="AQ57" s="345">
        <v>383853.63</v>
      </c>
      <c r="AR57" s="345">
        <v>337014.58999999997</v>
      </c>
      <c r="AS57" s="345">
        <v>348106.38</v>
      </c>
      <c r="AT57" s="345">
        <v>328750.28999999998</v>
      </c>
      <c r="AU57" s="474">
        <v>315461.46000000002</v>
      </c>
      <c r="AV57" s="474">
        <v>301708.82</v>
      </c>
      <c r="AW57" s="474">
        <v>286308.73000000004</v>
      </c>
      <c r="AX57" s="474">
        <v>326001.3</v>
      </c>
      <c r="AY57" s="474">
        <v>294425.11</v>
      </c>
      <c r="AZ57" s="474">
        <v>201172.55</v>
      </c>
      <c r="BA57" s="474">
        <v>433965.86</v>
      </c>
      <c r="BB57" s="474">
        <v>349623.98</v>
      </c>
      <c r="BC57" s="474">
        <v>338447.32</v>
      </c>
      <c r="BD57" s="474">
        <v>334679.53999999998</v>
      </c>
      <c r="BE57" s="474">
        <v>191239.55</v>
      </c>
      <c r="BF57" s="474">
        <v>265927.05</v>
      </c>
      <c r="BG57" s="474">
        <v>288281.3</v>
      </c>
      <c r="BH57" s="474">
        <v>328771.62</v>
      </c>
      <c r="BI57" s="474">
        <v>243663.88</v>
      </c>
      <c r="BJ57" s="474">
        <v>410007.51</v>
      </c>
      <c r="BK57" s="474">
        <v>247781.65</v>
      </c>
      <c r="BL57" s="474">
        <v>277406.67</v>
      </c>
      <c r="BM57" s="474">
        <f t="shared" ref="BM57" si="86">+BA57</f>
        <v>433965.86</v>
      </c>
      <c r="BN57" s="474">
        <f t="shared" ref="BN57" si="87">+BB57</f>
        <v>349623.98</v>
      </c>
      <c r="BO57" s="474">
        <f t="shared" ref="BO57" si="88">+BC57</f>
        <v>338447.32</v>
      </c>
      <c r="BP57" s="474">
        <f t="shared" ref="BP57" si="89">+BD57</f>
        <v>334679.53999999998</v>
      </c>
      <c r="BQ57" s="474">
        <f t="shared" ref="BQ57" si="90">+BE57</f>
        <v>191239.55</v>
      </c>
      <c r="BR57" s="474">
        <f t="shared" ref="BR57" si="91">+BF57</f>
        <v>265927.05</v>
      </c>
      <c r="BS57" s="474">
        <f t="shared" ref="BS57" si="92">+BG57</f>
        <v>288281.3</v>
      </c>
      <c r="BT57" s="474">
        <f t="shared" ref="BT57" si="93">+BH57</f>
        <v>328771.62</v>
      </c>
      <c r="BU57" s="474">
        <f t="shared" ref="BU57" si="94">+BI57</f>
        <v>243663.88</v>
      </c>
      <c r="BV57" s="474">
        <f t="shared" ref="BV57" si="95">+BJ57</f>
        <v>410007.51</v>
      </c>
      <c r="BW57" s="474">
        <f t="shared" ref="BW57" si="96">+BK57</f>
        <v>247781.65</v>
      </c>
      <c r="BX57" s="474">
        <f t="shared" ref="BX57" si="97">+BL57</f>
        <v>277406.67</v>
      </c>
      <c r="BY57" s="474"/>
    </row>
    <row r="58" spans="1:78" ht="12.75" customHeight="1">
      <c r="A58" s="611"/>
      <c r="BM58" s="375"/>
      <c r="BN58" s="375"/>
      <c r="BO58" s="375"/>
      <c r="BP58" s="375"/>
      <c r="BQ58" s="375"/>
      <c r="BR58" s="375"/>
      <c r="BS58" s="375"/>
      <c r="BT58" s="375"/>
      <c r="BU58" s="375"/>
      <c r="BV58" s="375"/>
      <c r="BW58" s="375"/>
      <c r="BX58" s="375"/>
    </row>
    <row r="59" spans="1:78" ht="12.75" customHeight="1">
      <c r="A59" s="613" t="s">
        <v>187</v>
      </c>
      <c r="BM59" s="375"/>
      <c r="BN59" s="375"/>
      <c r="BO59" s="375"/>
      <c r="BP59" s="375"/>
      <c r="BQ59" s="375"/>
      <c r="BR59" s="375"/>
      <c r="BS59" s="375"/>
      <c r="BT59" s="375"/>
      <c r="BU59" s="375"/>
      <c r="BV59" s="375"/>
      <c r="BW59" s="375"/>
      <c r="BX59" s="375"/>
    </row>
    <row r="60" spans="1:78" ht="12.75" customHeight="1">
      <c r="A60" s="616" t="s">
        <v>188</v>
      </c>
      <c r="B60" s="760">
        <f ca="1">SUM(OFFSET(BA60:BM60,0,'Bal Sheet'!$A$1-1))/13</f>
        <v>71287725.111538485</v>
      </c>
      <c r="C60" s="760">
        <f t="shared" ref="C60:C62" si="98">+BX60</f>
        <v>91733660.180000007</v>
      </c>
      <c r="D60" s="605">
        <v>63186365.040000021</v>
      </c>
      <c r="E60" s="605">
        <v>63299749.460000023</v>
      </c>
      <c r="F60" s="605">
        <v>64013190.300000019</v>
      </c>
      <c r="G60" s="605">
        <v>65037885.810000017</v>
      </c>
      <c r="H60" s="605">
        <v>66057458.430000015</v>
      </c>
      <c r="I60" s="605">
        <v>74688194.770000026</v>
      </c>
      <c r="J60" s="605">
        <v>75720809.480000019</v>
      </c>
      <c r="K60" s="605">
        <v>76402269.26000002</v>
      </c>
      <c r="L60" s="605">
        <v>77636036.670000032</v>
      </c>
      <c r="M60" s="605">
        <v>78268987.610000014</v>
      </c>
      <c r="N60" s="605">
        <v>78729882.570000023</v>
      </c>
      <c r="O60" s="605">
        <v>90975396.570000008</v>
      </c>
      <c r="P60" s="605">
        <v>102328472.39</v>
      </c>
      <c r="Q60" s="605">
        <v>104842647.75</v>
      </c>
      <c r="R60" s="605">
        <v>113558871.94</v>
      </c>
      <c r="S60" s="605">
        <v>117780961.27</v>
      </c>
      <c r="T60" s="605">
        <v>119663024.64</v>
      </c>
      <c r="U60" s="605">
        <v>124113902.31999999</v>
      </c>
      <c r="V60" s="605">
        <v>126676821.84999998</v>
      </c>
      <c r="W60" s="605">
        <v>132156394.92999999</v>
      </c>
      <c r="X60" s="605">
        <v>133412201.91999999</v>
      </c>
      <c r="Y60" s="605">
        <v>137648354.22999999</v>
      </c>
      <c r="Z60" s="605">
        <v>139306414.04999998</v>
      </c>
      <c r="AA60" s="605">
        <v>149696554.75999996</v>
      </c>
      <c r="AB60" s="605">
        <v>153357726.59999999</v>
      </c>
      <c r="AC60" s="605">
        <v>154506678.88</v>
      </c>
      <c r="AD60" s="605">
        <v>158092939.60999998</v>
      </c>
      <c r="AE60" s="605">
        <v>167983523.79999998</v>
      </c>
      <c r="AF60" s="605">
        <v>170148074.82999998</v>
      </c>
      <c r="AG60" s="605">
        <v>172538906.02999997</v>
      </c>
      <c r="AH60" s="605">
        <v>173309583.75999999</v>
      </c>
      <c r="AI60" s="605">
        <v>174995999.49999997</v>
      </c>
      <c r="AJ60" s="605">
        <v>180111096.35999998</v>
      </c>
      <c r="AK60" s="605">
        <v>180951537.91</v>
      </c>
      <c r="AL60" s="605">
        <v>183659739.06999999</v>
      </c>
      <c r="AM60" s="605">
        <v>188947164.52999997</v>
      </c>
      <c r="AN60" s="345">
        <v>-7287591.3399999887</v>
      </c>
      <c r="AO60" s="345">
        <v>-2189034.8299999959</v>
      </c>
      <c r="AP60" s="345">
        <v>515477.82000000373</v>
      </c>
      <c r="AQ60" s="345">
        <v>3388862.0200000051</v>
      </c>
      <c r="AR60" s="345">
        <v>4968066.8700000048</v>
      </c>
      <c r="AS60" s="345">
        <v>5596371.4000000041</v>
      </c>
      <c r="AT60" s="345">
        <v>6821206.4200000027</v>
      </c>
      <c r="AU60" s="345">
        <v>8229844.8100000052</v>
      </c>
      <c r="AV60" s="345">
        <v>9026223.9400000032</v>
      </c>
      <c r="AW60" s="345">
        <v>10812683</v>
      </c>
      <c r="AX60" s="345">
        <v>11678453</v>
      </c>
      <c r="AY60" s="345">
        <v>13270799</v>
      </c>
      <c r="AZ60" s="345">
        <v>23549936</v>
      </c>
      <c r="BA60" s="345">
        <v>24162828.690000013</v>
      </c>
      <c r="BB60" s="345">
        <v>25796659.430000007</v>
      </c>
      <c r="BC60" s="345">
        <v>26473105.260000009</v>
      </c>
      <c r="BD60" s="345">
        <v>26799696.290000007</v>
      </c>
      <c r="BE60" s="345">
        <v>28198596.610000011</v>
      </c>
      <c r="BF60" s="345">
        <v>31923830.230000012</v>
      </c>
      <c r="BG60" s="345">
        <v>32201041.250000011</v>
      </c>
      <c r="BH60" s="588">
        <v>33102142.800000016</v>
      </c>
      <c r="BI60" s="588">
        <v>33137383.81000001</v>
      </c>
      <c r="BJ60" s="588">
        <v>33493313.760000013</v>
      </c>
      <c r="BK60" s="588">
        <v>34074019.640000015</v>
      </c>
      <c r="BL60" s="588">
        <v>35006918.610000014</v>
      </c>
      <c r="BM60" s="588">
        <v>45168308.820000015</v>
      </c>
      <c r="BN60" s="588">
        <v>53875040.730000019</v>
      </c>
      <c r="BO60" s="588">
        <v>61078307.160000011</v>
      </c>
      <c r="BP60" s="588">
        <v>66971672.980000004</v>
      </c>
      <c r="BQ60" s="588">
        <v>71815084.600000009</v>
      </c>
      <c r="BR60" s="588">
        <v>76002407.069999993</v>
      </c>
      <c r="BS60" s="588">
        <v>79697662.670000002</v>
      </c>
      <c r="BT60" s="588">
        <v>82745394.620000005</v>
      </c>
      <c r="BU60" s="588">
        <v>85297820.080000013</v>
      </c>
      <c r="BV60" s="588">
        <v>87608974.180000007</v>
      </c>
      <c r="BW60" s="588">
        <v>89739174.75</v>
      </c>
      <c r="BX60" s="588">
        <v>91733660.180000007</v>
      </c>
      <c r="BY60" s="345"/>
    </row>
    <row r="61" spans="1:78" ht="12.75" customHeight="1">
      <c r="A61" s="616" t="s">
        <v>189</v>
      </c>
      <c r="B61" s="760">
        <f ca="1">SUM(OFFSET(BA61:BM61,0,'Bal Sheet'!$A$1-1))/13</f>
        <v>741225.91076923115</v>
      </c>
      <c r="C61" s="760">
        <f t="shared" si="98"/>
        <v>1273989.8100000005</v>
      </c>
      <c r="D61" s="605">
        <v>3099828.4200000004</v>
      </c>
      <c r="E61" s="605">
        <v>3223490.72</v>
      </c>
      <c r="F61" s="605">
        <v>3347450.3000000003</v>
      </c>
      <c r="G61" s="605">
        <v>3472857</v>
      </c>
      <c r="H61" s="605">
        <v>3600324.73</v>
      </c>
      <c r="I61" s="605">
        <v>3730271.69</v>
      </c>
      <c r="J61" s="605">
        <v>3877946.6599999997</v>
      </c>
      <c r="K61" s="605">
        <v>4027397.27</v>
      </c>
      <c r="L61" s="605">
        <v>4178286</v>
      </c>
      <c r="M61" s="605">
        <v>4331479.07</v>
      </c>
      <c r="N61" s="605">
        <v>4485834.16</v>
      </c>
      <c r="O61" s="605">
        <v>4641027.87</v>
      </c>
      <c r="P61" s="605">
        <v>4820764.72</v>
      </c>
      <c r="Q61" s="605">
        <v>4943899.68</v>
      </c>
      <c r="R61" s="605">
        <v>5068884.25</v>
      </c>
      <c r="S61" s="605">
        <v>5204203.25</v>
      </c>
      <c r="T61" s="605">
        <v>5344590.01</v>
      </c>
      <c r="U61" s="605">
        <v>5487218.8199999994</v>
      </c>
      <c r="V61" s="605">
        <v>5635187.2699999996</v>
      </c>
      <c r="W61" s="605">
        <v>5785690.3099999996</v>
      </c>
      <c r="X61" s="605">
        <v>5942733.959999999</v>
      </c>
      <c r="Y61" s="605">
        <v>6101292.5299999993</v>
      </c>
      <c r="Z61" s="605">
        <v>6264815.6199999992</v>
      </c>
      <c r="AA61" s="605">
        <v>6429857.0799999991</v>
      </c>
      <c r="AB61" s="605">
        <v>6607342.209999999</v>
      </c>
      <c r="AC61" s="605">
        <v>6788909.2800000012</v>
      </c>
      <c r="AD61" s="605">
        <v>6971313.2600000007</v>
      </c>
      <c r="AE61" s="605">
        <v>7157519.5500000007</v>
      </c>
      <c r="AF61" s="605">
        <v>7355088</v>
      </c>
      <c r="AG61" s="605">
        <v>7555168.2599999998</v>
      </c>
      <c r="AH61" s="605">
        <v>7757791.1900000004</v>
      </c>
      <c r="AI61" s="605">
        <v>7961268.1300000008</v>
      </c>
      <c r="AJ61" s="605">
        <v>8166504.9300000006</v>
      </c>
      <c r="AK61" s="605">
        <v>8377747.9000000013</v>
      </c>
      <c r="AL61" s="605">
        <v>8589931.9500000011</v>
      </c>
      <c r="AM61" s="605">
        <v>8805381.6300000008</v>
      </c>
      <c r="AN61" s="345">
        <v>-153215.52999999945</v>
      </c>
      <c r="AO61" s="345">
        <v>-163187.38999999943</v>
      </c>
      <c r="AP61" s="345">
        <v>-165092.52999999945</v>
      </c>
      <c r="AQ61" s="345">
        <v>-164690.59999999945</v>
      </c>
      <c r="AR61" s="345">
        <v>-160656.20999999944</v>
      </c>
      <c r="AS61" s="345">
        <v>-154971.62999999942</v>
      </c>
      <c r="AT61" s="345">
        <v>-148462.67999999941</v>
      </c>
      <c r="AU61" s="345">
        <v>-140661.74999999942</v>
      </c>
      <c r="AV61" s="345">
        <v>-131347.2299999994</v>
      </c>
      <c r="AW61" s="345">
        <v>-121173</v>
      </c>
      <c r="AX61" s="345">
        <v>-109142</v>
      </c>
      <c r="AY61" s="345">
        <v>-96396</v>
      </c>
      <c r="AZ61" s="345">
        <v>-82003</v>
      </c>
      <c r="BA61" s="345">
        <v>-54312.42999999944</v>
      </c>
      <c r="BB61" s="345">
        <v>-25961.709999999439</v>
      </c>
      <c r="BC61" s="345">
        <v>4385.0000000005548</v>
      </c>
      <c r="BD61" s="345">
        <v>35735.630000000543</v>
      </c>
      <c r="BE61" s="345">
        <v>67474.550000000541</v>
      </c>
      <c r="BF61" s="345">
        <v>101054.02000000053</v>
      </c>
      <c r="BG61" s="345">
        <v>138467.14000000051</v>
      </c>
      <c r="BH61" s="588">
        <v>176162.55000000051</v>
      </c>
      <c r="BI61" s="588">
        <v>215045.81000000052</v>
      </c>
      <c r="BJ61" s="588">
        <v>254014.39000000054</v>
      </c>
      <c r="BK61" s="588">
        <v>293460.51000000053</v>
      </c>
      <c r="BL61" s="588">
        <v>333356.14000000054</v>
      </c>
      <c r="BM61" s="588">
        <v>369435.70000000059</v>
      </c>
      <c r="BN61" s="588">
        <v>418244.43000000058</v>
      </c>
      <c r="BO61" s="588">
        <v>477891.28000000061</v>
      </c>
      <c r="BP61" s="588">
        <v>546421.74000000057</v>
      </c>
      <c r="BQ61" s="588">
        <v>622132.94000000064</v>
      </c>
      <c r="BR61" s="588">
        <v>703659.94000000064</v>
      </c>
      <c r="BS61" s="588">
        <v>790149.83000000054</v>
      </c>
      <c r="BT61" s="588">
        <v>880962.9100000005</v>
      </c>
      <c r="BU61" s="588">
        <v>975257.40000000061</v>
      </c>
      <c r="BV61" s="588">
        <v>1072389.4200000004</v>
      </c>
      <c r="BW61" s="588">
        <v>1172045.3000000005</v>
      </c>
      <c r="BX61" s="588">
        <v>1273989.8100000005</v>
      </c>
      <c r="BY61" s="345"/>
    </row>
    <row r="62" spans="1:78" ht="12.75" customHeight="1">
      <c r="A62" s="616" t="s">
        <v>190</v>
      </c>
      <c r="B62" s="760">
        <f ca="1">SUM(OFFSET(BA62:BM62,0,'Bal Sheet'!$A$1-1))/13</f>
        <v>11943256.174615381</v>
      </c>
      <c r="C62" s="760">
        <f t="shared" si="98"/>
        <v>2808776.2599999974</v>
      </c>
      <c r="D62" s="605">
        <v>4694833.6099999966</v>
      </c>
      <c r="E62" s="605">
        <v>5356792.7499999991</v>
      </c>
      <c r="F62" s="605">
        <v>7332819.4900000002</v>
      </c>
      <c r="G62" s="605">
        <v>8411296.9399999995</v>
      </c>
      <c r="H62" s="605">
        <v>9905674.5899999999</v>
      </c>
      <c r="I62" s="605">
        <v>4861328.6099999994</v>
      </c>
      <c r="J62" s="605">
        <v>7096031.9500000002</v>
      </c>
      <c r="K62" s="605">
        <v>9430503.7700000014</v>
      </c>
      <c r="L62" s="605">
        <v>12817846.270000001</v>
      </c>
      <c r="M62" s="605">
        <v>16754000.42</v>
      </c>
      <c r="N62" s="605">
        <v>23977105.809999999</v>
      </c>
      <c r="O62" s="605">
        <v>16212582.159999996</v>
      </c>
      <c r="P62" s="605">
        <v>8478828.1999999955</v>
      </c>
      <c r="Q62" s="605">
        <v>9729900.1500000004</v>
      </c>
      <c r="R62" s="605">
        <v>3006468.8600000013</v>
      </c>
      <c r="S62" s="605">
        <v>3472281.3000000007</v>
      </c>
      <c r="T62" s="605">
        <v>4438564.4000000013</v>
      </c>
      <c r="U62" s="605">
        <v>4865942.200000003</v>
      </c>
      <c r="V62" s="605">
        <v>8557835.070000004</v>
      </c>
      <c r="W62" s="605">
        <v>7084136.2200000044</v>
      </c>
      <c r="X62" s="605">
        <v>11515318.260000004</v>
      </c>
      <c r="Y62" s="605">
        <v>9839324.7300000023</v>
      </c>
      <c r="Z62" s="605">
        <v>13615076.670000002</v>
      </c>
      <c r="AA62" s="605">
        <v>8218583.2500000093</v>
      </c>
      <c r="AB62" s="605">
        <v>10696533.930000005</v>
      </c>
      <c r="AC62" s="605">
        <v>12490816.810000006</v>
      </c>
      <c r="AD62" s="605">
        <v>11355400.310000006</v>
      </c>
      <c r="AE62" s="605">
        <v>5601978.620000002</v>
      </c>
      <c r="AF62" s="605">
        <v>5754830.4700000072</v>
      </c>
      <c r="AG62" s="605">
        <v>6938960.4900000077</v>
      </c>
      <c r="AH62" s="605">
        <v>8967751.6100000031</v>
      </c>
      <c r="AI62" s="605">
        <v>12024238.880000001</v>
      </c>
      <c r="AJ62" s="605">
        <v>10102598.510000009</v>
      </c>
      <c r="AK62" s="605">
        <v>12309243.790000007</v>
      </c>
      <c r="AL62" s="605">
        <v>14357560.670000006</v>
      </c>
      <c r="AM62" s="605">
        <v>12700799.160000008</v>
      </c>
      <c r="AN62" s="345">
        <v>4907302.0199999986</v>
      </c>
      <c r="AO62" s="345">
        <v>2319854.9499999983</v>
      </c>
      <c r="AP62" s="345">
        <v>3524153.8599999985</v>
      </c>
      <c r="AQ62" s="345">
        <v>4408930.5799999982</v>
      </c>
      <c r="AR62" s="345">
        <v>5911920.629999998</v>
      </c>
      <c r="AS62" s="345">
        <v>6669148.5099999988</v>
      </c>
      <c r="AT62" s="345">
        <v>8995091.5600000005</v>
      </c>
      <c r="AU62" s="345">
        <v>9683800.120000001</v>
      </c>
      <c r="AV62" s="345">
        <v>10904281.079999998</v>
      </c>
      <c r="AW62" s="345">
        <v>13613276</v>
      </c>
      <c r="AX62" s="345">
        <v>16499703</v>
      </c>
      <c r="AY62" s="345">
        <v>18104785</v>
      </c>
      <c r="AZ62" s="345">
        <v>17609019</v>
      </c>
      <c r="BA62" s="345">
        <v>19063994.659999989</v>
      </c>
      <c r="BB62" s="345">
        <v>21502720.589999989</v>
      </c>
      <c r="BC62" s="345">
        <v>21532547.269999988</v>
      </c>
      <c r="BD62" s="345">
        <v>25338716.019999988</v>
      </c>
      <c r="BE62" s="345">
        <v>25088444.069999989</v>
      </c>
      <c r="BF62" s="345">
        <v>23154816.789999988</v>
      </c>
      <c r="BG62" s="345">
        <v>24265890.989999987</v>
      </c>
      <c r="BH62" s="588">
        <v>25424090.25999999</v>
      </c>
      <c r="BI62" s="588">
        <v>27187158.869999994</v>
      </c>
      <c r="BJ62" s="588">
        <v>29366428.499999996</v>
      </c>
      <c r="BK62" s="588">
        <v>30732956.279999997</v>
      </c>
      <c r="BL62" s="588">
        <v>34717713.829999998</v>
      </c>
      <c r="BM62" s="588">
        <v>26532272.619999997</v>
      </c>
      <c r="BN62" s="588">
        <v>20590425.709999997</v>
      </c>
      <c r="BO62" s="588">
        <v>16128039.279999997</v>
      </c>
      <c r="BP62" s="588">
        <v>12716481.459999997</v>
      </c>
      <c r="BQ62" s="588">
        <v>10092124.839999998</v>
      </c>
      <c r="BR62" s="588">
        <v>8123857.3699999973</v>
      </c>
      <c r="BS62" s="588">
        <v>6647656.7699999977</v>
      </c>
      <c r="BT62" s="588">
        <v>5447681.8199999975</v>
      </c>
      <c r="BU62" s="588">
        <v>4482596.3599999975</v>
      </c>
      <c r="BV62" s="588">
        <v>3758782.259999997</v>
      </c>
      <c r="BW62" s="588">
        <v>3215921.6899999976</v>
      </c>
      <c r="BX62" s="588">
        <v>2808776.2599999974</v>
      </c>
      <c r="BY62" s="345"/>
    </row>
    <row r="63" spans="1:78" ht="12.75" customHeight="1">
      <c r="A63" s="614" t="s">
        <v>61</v>
      </c>
      <c r="B63" s="1090">
        <f ca="1">SUM(OFFSET(BA63:BL63,0,'Bal Sheet'!$A$1))</f>
        <v>8799090.5599999987</v>
      </c>
      <c r="C63" s="1038">
        <f t="shared" ref="C63:C69" si="99">SUM(BM63:BX63)</f>
        <v>8799090.5599999987</v>
      </c>
      <c r="D63" s="605">
        <v>415205.38</v>
      </c>
      <c r="E63" s="605">
        <v>1340328.96</v>
      </c>
      <c r="F63" s="605">
        <v>1171912.9099999999</v>
      </c>
      <c r="G63" s="605">
        <v>957492.44</v>
      </c>
      <c r="H63" s="605">
        <v>989123.93</v>
      </c>
      <c r="I63" s="605">
        <v>795287.36</v>
      </c>
      <c r="J63" s="605">
        <v>753841.36</v>
      </c>
      <c r="K63" s="605">
        <v>672017.25</v>
      </c>
      <c r="L63" s="605">
        <v>647836.43055000005</v>
      </c>
      <c r="M63" s="605">
        <v>711619.44290000002</v>
      </c>
      <c r="N63" s="605">
        <v>653539.17355000007</v>
      </c>
      <c r="O63" s="605">
        <v>723845.91334999993</v>
      </c>
      <c r="P63" s="605">
        <v>982508.73</v>
      </c>
      <c r="Q63" s="605">
        <v>1192927.77</v>
      </c>
      <c r="R63" s="605">
        <v>1200026.3999999999</v>
      </c>
      <c r="S63" s="605">
        <v>1002030.98</v>
      </c>
      <c r="T63" s="605">
        <v>928291.85</v>
      </c>
      <c r="U63" s="605">
        <v>834210.52</v>
      </c>
      <c r="V63" s="605">
        <v>715446.95</v>
      </c>
      <c r="W63" s="605">
        <v>678948.45</v>
      </c>
      <c r="X63" s="605">
        <v>672993.03</v>
      </c>
      <c r="Y63" s="605">
        <v>690986.28</v>
      </c>
      <c r="Z63" s="605">
        <v>689084.13</v>
      </c>
      <c r="AA63" s="605">
        <v>775406.97</v>
      </c>
      <c r="AB63" s="605">
        <v>1058406.8500000001</v>
      </c>
      <c r="AC63" s="605">
        <v>2113054.27</v>
      </c>
      <c r="AD63" s="605">
        <v>2057696.28</v>
      </c>
      <c r="AE63" s="605">
        <v>1918402.13</v>
      </c>
      <c r="AF63" s="605">
        <v>1444361.54</v>
      </c>
      <c r="AG63" s="605">
        <v>1285441.3799999999</v>
      </c>
      <c r="AH63" s="605">
        <v>1282825.82</v>
      </c>
      <c r="AI63" s="605">
        <v>1174816.1299999999</v>
      </c>
      <c r="AJ63" s="605">
        <v>1166827.98</v>
      </c>
      <c r="AK63" s="605">
        <v>1155548.96</v>
      </c>
      <c r="AL63" s="605">
        <v>1233487.53</v>
      </c>
      <c r="AM63" s="605">
        <v>1427128.08</v>
      </c>
      <c r="AN63" s="345">
        <v>1874326.41</v>
      </c>
      <c r="AO63" s="345">
        <v>629572.49</v>
      </c>
      <c r="AP63" s="345">
        <v>575422.13</v>
      </c>
      <c r="AQ63" s="345">
        <v>493924.82</v>
      </c>
      <c r="AR63" s="345">
        <v>482308.89</v>
      </c>
      <c r="AS63" s="345">
        <v>400065.18</v>
      </c>
      <c r="AT63" s="345">
        <v>371791.02</v>
      </c>
      <c r="AU63" s="345">
        <v>360971.6</v>
      </c>
      <c r="AV63" s="345">
        <v>325641.36</v>
      </c>
      <c r="AW63" s="345">
        <v>347568</v>
      </c>
      <c r="AX63" s="345">
        <v>339857</v>
      </c>
      <c r="AY63" s="345">
        <v>392180</v>
      </c>
      <c r="AZ63" s="345">
        <v>512979</v>
      </c>
      <c r="BA63" s="345">
        <v>543375.56000000006</v>
      </c>
      <c r="BB63" s="345">
        <v>586569.39</v>
      </c>
      <c r="BC63" s="345">
        <v>503055.91</v>
      </c>
      <c r="BD63" s="345">
        <v>451733.47</v>
      </c>
      <c r="BE63" s="345">
        <v>418513.73</v>
      </c>
      <c r="BF63" s="345">
        <v>363653.61</v>
      </c>
      <c r="BG63" s="345">
        <v>333372.26</v>
      </c>
      <c r="BH63" s="588">
        <v>321373.3</v>
      </c>
      <c r="BI63" s="588">
        <v>334171.40999999997</v>
      </c>
      <c r="BJ63" s="588">
        <v>365533.63</v>
      </c>
      <c r="BK63" s="588">
        <v>389867.52000000002</v>
      </c>
      <c r="BL63" s="588">
        <v>467477.58</v>
      </c>
      <c r="BM63" s="588">
        <v>1007521.19</v>
      </c>
      <c r="BN63" s="588">
        <v>973264.47</v>
      </c>
      <c r="BO63" s="588">
        <v>858066.57</v>
      </c>
      <c r="BP63" s="588">
        <v>762543.54</v>
      </c>
      <c r="BQ63" s="588">
        <v>672354.91</v>
      </c>
      <c r="BR63" s="588">
        <v>626836.01</v>
      </c>
      <c r="BS63" s="588">
        <v>595794.52</v>
      </c>
      <c r="BT63" s="588">
        <v>574898.30000000005</v>
      </c>
      <c r="BU63" s="588">
        <v>589132.39</v>
      </c>
      <c r="BV63" s="588">
        <v>596276.51</v>
      </c>
      <c r="BW63" s="588">
        <v>674243.8</v>
      </c>
      <c r="BX63" s="588">
        <v>868158.35</v>
      </c>
      <c r="BY63" s="345"/>
    </row>
    <row r="64" spans="1:78" ht="12.75" customHeight="1">
      <c r="A64" s="616" t="s">
        <v>191</v>
      </c>
      <c r="B64" s="1090">
        <f ca="1">SUM(OFFSET(BA64:BL64,0,'Bal Sheet'!$A$1))</f>
        <v>43995.44</v>
      </c>
      <c r="C64" s="1038">
        <f t="shared" si="99"/>
        <v>43995.44</v>
      </c>
      <c r="D64" s="605"/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5"/>
      <c r="R64" s="605"/>
      <c r="S64" s="605">
        <v>5010.1499999999996</v>
      </c>
      <c r="T64" s="605">
        <v>4641.46</v>
      </c>
      <c r="U64" s="605">
        <v>4171.05</v>
      </c>
      <c r="V64" s="605">
        <v>3577.23</v>
      </c>
      <c r="W64" s="605">
        <v>3394.74</v>
      </c>
      <c r="X64" s="605">
        <v>3364.97</v>
      </c>
      <c r="Y64" s="605">
        <v>3454.93</v>
      </c>
      <c r="Z64" s="605">
        <v>3445.42</v>
      </c>
      <c r="AA64" s="605">
        <v>3877.03</v>
      </c>
      <c r="AB64" s="605">
        <v>5292.03</v>
      </c>
      <c r="AC64" s="440">
        <v>10565.27</v>
      </c>
      <c r="AD64" s="440">
        <v>10288.48</v>
      </c>
      <c r="AE64" s="440">
        <v>9592.01</v>
      </c>
      <c r="AF64" s="440">
        <v>7221.81</v>
      </c>
      <c r="AG64" s="440">
        <v>6427.21</v>
      </c>
      <c r="AH64" s="440">
        <v>6414.13</v>
      </c>
      <c r="AI64" s="440">
        <v>5874.08</v>
      </c>
      <c r="AJ64" s="440">
        <v>5834.14</v>
      </c>
      <c r="AK64" s="440">
        <v>5777.74</v>
      </c>
      <c r="AL64" s="440">
        <v>6167.44</v>
      </c>
      <c r="AM64" s="440">
        <v>7135.64</v>
      </c>
      <c r="AN64" s="440">
        <v>9371.6299999999992</v>
      </c>
      <c r="AO64" s="440">
        <v>3147.86</v>
      </c>
      <c r="AP64" s="440">
        <v>2877.11</v>
      </c>
      <c r="AQ64" s="440">
        <v>2469.62</v>
      </c>
      <c r="AR64" s="440">
        <v>2411.54</v>
      </c>
      <c r="AS64" s="440">
        <v>2000.33</v>
      </c>
      <c r="AT64" s="440">
        <v>1858.96</v>
      </c>
      <c r="AU64" s="440">
        <v>1804.86</v>
      </c>
      <c r="AV64" s="805">
        <v>1628.21</v>
      </c>
      <c r="AW64" s="805">
        <v>1738</v>
      </c>
      <c r="AX64" s="805">
        <v>1699</v>
      </c>
      <c r="AY64" s="805">
        <v>1961</v>
      </c>
      <c r="AZ64" s="805">
        <v>2567</v>
      </c>
      <c r="BA64" s="805">
        <v>2716.88</v>
      </c>
      <c r="BB64" s="805">
        <v>2932.85</v>
      </c>
      <c r="BC64" s="805">
        <v>2515.2800000000002</v>
      </c>
      <c r="BD64" s="805">
        <v>2258.67</v>
      </c>
      <c r="BE64" s="805">
        <v>2092.5700000000002</v>
      </c>
      <c r="BF64" s="805">
        <v>1818.27</v>
      </c>
      <c r="BG64" s="805">
        <v>1666.86</v>
      </c>
      <c r="BH64" s="587">
        <v>1606.08</v>
      </c>
      <c r="BI64" s="587">
        <v>1670.09</v>
      </c>
      <c r="BJ64" s="587">
        <v>1827.75</v>
      </c>
      <c r="BK64" s="587">
        <v>1948.94</v>
      </c>
      <c r="BL64" s="587">
        <v>2335.8000000000002</v>
      </c>
      <c r="BM64" s="587">
        <v>5037.6099999999997</v>
      </c>
      <c r="BN64" s="587">
        <v>4866.32</v>
      </c>
      <c r="BO64" s="587">
        <v>4290.33</v>
      </c>
      <c r="BP64" s="587">
        <v>3812.72</v>
      </c>
      <c r="BQ64" s="587">
        <v>3361.77</v>
      </c>
      <c r="BR64" s="587">
        <v>3134.18</v>
      </c>
      <c r="BS64" s="587">
        <v>2978.97</v>
      </c>
      <c r="BT64" s="587">
        <v>2874.49</v>
      </c>
      <c r="BU64" s="587">
        <v>2945.66</v>
      </c>
      <c r="BV64" s="587">
        <v>2981.38</v>
      </c>
      <c r="BW64" s="587">
        <v>3371.22</v>
      </c>
      <c r="BX64" s="587">
        <v>4340.79</v>
      </c>
      <c r="BY64" s="805"/>
    </row>
    <row r="65" spans="1:78" ht="12.75" customHeight="1">
      <c r="A65" s="614" t="s">
        <v>192</v>
      </c>
      <c r="B65" s="1090">
        <f ca="1">SUM(OFFSET(BA65:BL65,0,'Bal Sheet'!$A$1))</f>
        <v>-784878</v>
      </c>
      <c r="C65" s="1038">
        <f t="shared" si="99"/>
        <v>-784878</v>
      </c>
      <c r="D65" s="605">
        <v>-262279</v>
      </c>
      <c r="E65" s="605">
        <v>0</v>
      </c>
      <c r="F65" s="605">
        <v>0</v>
      </c>
      <c r="G65" s="605">
        <v>0</v>
      </c>
      <c r="H65" s="605">
        <v>0</v>
      </c>
      <c r="I65" s="605">
        <v>0</v>
      </c>
      <c r="J65" s="605">
        <v>-30851</v>
      </c>
      <c r="K65" s="605">
        <v>-136031</v>
      </c>
      <c r="L65" s="605">
        <v>-178782</v>
      </c>
      <c r="M65" s="605">
        <v>-148132</v>
      </c>
      <c r="N65" s="605">
        <v>-259413</v>
      </c>
      <c r="O65" s="605">
        <v>-216793</v>
      </c>
      <c r="P65" s="605">
        <v>-7586</v>
      </c>
      <c r="Q65" s="605">
        <v>-119764</v>
      </c>
      <c r="R65" s="605">
        <v>-174835</v>
      </c>
      <c r="S65" s="605">
        <v>-119764</v>
      </c>
      <c r="T65" s="605">
        <v>-119764</v>
      </c>
      <c r="U65" s="605">
        <v>-237165</v>
      </c>
      <c r="V65" s="605">
        <v>-395217</v>
      </c>
      <c r="W65" s="605">
        <v>-466508</v>
      </c>
      <c r="X65" s="605">
        <v>-508998</v>
      </c>
      <c r="Y65" s="605">
        <v>-517878</v>
      </c>
      <c r="Z65" s="605">
        <v>-505985</v>
      </c>
      <c r="AA65" s="605">
        <v>-489780</v>
      </c>
      <c r="AB65" s="605">
        <v>-519278</v>
      </c>
      <c r="AC65" s="605">
        <v>0</v>
      </c>
      <c r="AD65" s="605">
        <v>0</v>
      </c>
      <c r="AE65" s="605">
        <v>0</v>
      </c>
      <c r="AF65" s="605">
        <v>-280180</v>
      </c>
      <c r="AG65" s="605">
        <v>-459211</v>
      </c>
      <c r="AH65" s="605">
        <v>-484349</v>
      </c>
      <c r="AI65" s="605">
        <v>-616565</v>
      </c>
      <c r="AJ65" s="605">
        <v>-651473</v>
      </c>
      <c r="AK65" s="605">
        <v>-688199</v>
      </c>
      <c r="AL65" s="605">
        <v>-636298</v>
      </c>
      <c r="AM65" s="605">
        <v>-473631</v>
      </c>
      <c r="AN65" s="605">
        <v>-65713</v>
      </c>
      <c r="AO65" s="345">
        <v>0</v>
      </c>
      <c r="AP65" s="345">
        <v>0</v>
      </c>
      <c r="AQ65" s="345">
        <v>0</v>
      </c>
      <c r="AR65" s="345">
        <v>0</v>
      </c>
      <c r="AS65" s="345">
        <v>-8166</v>
      </c>
      <c r="AT65" s="345">
        <v>-53038</v>
      </c>
      <c r="AU65" s="345">
        <v>-83304</v>
      </c>
      <c r="AV65" s="345">
        <v>-133213</v>
      </c>
      <c r="AW65" s="345">
        <v>-129123</v>
      </c>
      <c r="AX65" s="345">
        <v>-168064</v>
      </c>
      <c r="AY65" s="345">
        <v>-138930</v>
      </c>
      <c r="AZ65" s="345">
        <v>-61927</v>
      </c>
      <c r="BA65" s="345">
        <v>0</v>
      </c>
      <c r="BB65" s="345">
        <v>0</v>
      </c>
      <c r="BC65" s="345">
        <v>0</v>
      </c>
      <c r="BD65" s="345">
        <v>0</v>
      </c>
      <c r="BE65" s="345">
        <v>-19463</v>
      </c>
      <c r="BF65" s="345">
        <v>-85175</v>
      </c>
      <c r="BG65" s="345">
        <v>-129179</v>
      </c>
      <c r="BH65" s="588">
        <v>-152449</v>
      </c>
      <c r="BI65" s="588">
        <v>-153110</v>
      </c>
      <c r="BJ65" s="588">
        <v>-135564</v>
      </c>
      <c r="BK65" s="588">
        <v>-126151</v>
      </c>
      <c r="BL65" s="588">
        <v>-71532</v>
      </c>
      <c r="BM65" s="588">
        <v>0</v>
      </c>
      <c r="BN65" s="588">
        <v>0</v>
      </c>
      <c r="BO65" s="588">
        <v>0</v>
      </c>
      <c r="BP65" s="588">
        <v>0</v>
      </c>
      <c r="BQ65" s="588">
        <v>-8887</v>
      </c>
      <c r="BR65" s="588">
        <v>-73264</v>
      </c>
      <c r="BS65" s="588">
        <v>-122348</v>
      </c>
      <c r="BT65" s="588">
        <v>-159519</v>
      </c>
      <c r="BU65" s="588">
        <v>-158910</v>
      </c>
      <c r="BV65" s="588">
        <v>-163887</v>
      </c>
      <c r="BW65" s="588">
        <v>-98063</v>
      </c>
      <c r="BX65" s="588">
        <v>0</v>
      </c>
      <c r="BY65" s="345"/>
    </row>
    <row r="66" spans="1:78" ht="12.75" customHeight="1">
      <c r="A66" s="614" t="s">
        <v>193</v>
      </c>
      <c r="B66" s="1090">
        <f ca="1">SUM(OFFSET(BA66:BL66,0,'Bal Sheet'!$A$1))</f>
        <v>1917949</v>
      </c>
      <c r="C66" s="1038">
        <f t="shared" si="99"/>
        <v>1917949</v>
      </c>
      <c r="D66" s="605">
        <v>0</v>
      </c>
      <c r="E66" s="605">
        <v>621987</v>
      </c>
      <c r="F66" s="605">
        <v>458612</v>
      </c>
      <c r="G66" s="605">
        <v>216691</v>
      </c>
      <c r="H66" s="605">
        <v>229671</v>
      </c>
      <c r="I66" s="605">
        <v>373952</v>
      </c>
      <c r="J66" s="605">
        <v>-41991</v>
      </c>
      <c r="K66" s="605">
        <v>39660</v>
      </c>
      <c r="L66" s="605">
        <v>39660</v>
      </c>
      <c r="M66" s="605">
        <v>39660</v>
      </c>
      <c r="N66" s="605">
        <v>39660</v>
      </c>
      <c r="O66" s="605">
        <v>39660</v>
      </c>
      <c r="P66" s="605">
        <v>46049</v>
      </c>
      <c r="Q66" s="605">
        <v>367155</v>
      </c>
      <c r="R66" s="605">
        <v>291525</v>
      </c>
      <c r="S66" s="605">
        <v>104259</v>
      </c>
      <c r="T66" s="605">
        <v>2319</v>
      </c>
      <c r="U66" s="605">
        <v>153</v>
      </c>
      <c r="V66" s="605">
        <v>0</v>
      </c>
      <c r="W66" s="605">
        <v>0</v>
      </c>
      <c r="X66" s="605">
        <v>0</v>
      </c>
      <c r="Y66" s="605">
        <v>0</v>
      </c>
      <c r="Z66" s="605">
        <v>24577</v>
      </c>
      <c r="AA66" s="605">
        <v>0</v>
      </c>
      <c r="AB66" s="605">
        <v>-83264</v>
      </c>
      <c r="AC66" s="605">
        <v>638589</v>
      </c>
      <c r="AD66" s="605">
        <v>565830</v>
      </c>
      <c r="AE66" s="605">
        <v>402609</v>
      </c>
      <c r="AF66" s="605">
        <v>179433</v>
      </c>
      <c r="AG66" s="605">
        <v>179433</v>
      </c>
      <c r="AH66" s="605">
        <v>179433</v>
      </c>
      <c r="AI66" s="605">
        <v>179433</v>
      </c>
      <c r="AJ66" s="605">
        <v>179433</v>
      </c>
      <c r="AK66" s="605">
        <v>179433</v>
      </c>
      <c r="AL66" s="605">
        <v>179433</v>
      </c>
      <c r="AM66" s="605">
        <v>179433</v>
      </c>
      <c r="AN66" s="605">
        <v>179433</v>
      </c>
      <c r="AO66" s="345">
        <v>653716</v>
      </c>
      <c r="AP66" s="345">
        <v>570127</v>
      </c>
      <c r="AQ66" s="345">
        <v>462370</v>
      </c>
      <c r="AR66" s="345">
        <v>425087</v>
      </c>
      <c r="AS66" s="345">
        <v>335362</v>
      </c>
      <c r="AT66" s="345">
        <v>335362</v>
      </c>
      <c r="AU66" s="345">
        <v>335362</v>
      </c>
      <c r="AV66" s="345">
        <v>335362</v>
      </c>
      <c r="AW66" s="345">
        <v>336185</v>
      </c>
      <c r="AX66" s="345">
        <v>335362</v>
      </c>
      <c r="AY66" s="345">
        <v>335362</v>
      </c>
      <c r="AZ66" s="345">
        <v>335359</v>
      </c>
      <c r="BA66" s="345">
        <v>204741</v>
      </c>
      <c r="BB66" s="345">
        <v>227406</v>
      </c>
      <c r="BC66" s="345">
        <v>127070</v>
      </c>
      <c r="BD66" s="345">
        <v>59571</v>
      </c>
      <c r="BE66" s="345">
        <v>28739</v>
      </c>
      <c r="BF66" s="345">
        <v>28739</v>
      </c>
      <c r="BG66" s="345">
        <v>28739</v>
      </c>
      <c r="BH66" s="588">
        <v>28739</v>
      </c>
      <c r="BI66" s="588">
        <v>28739</v>
      </c>
      <c r="BJ66" s="588">
        <v>28739</v>
      </c>
      <c r="BK66" s="588">
        <v>28739</v>
      </c>
      <c r="BL66" s="588">
        <v>28741</v>
      </c>
      <c r="BM66" s="588">
        <v>485407</v>
      </c>
      <c r="BN66" s="588">
        <v>424161</v>
      </c>
      <c r="BO66" s="588">
        <v>281971</v>
      </c>
      <c r="BP66" s="588">
        <v>162252</v>
      </c>
      <c r="BQ66" s="588">
        <v>60097</v>
      </c>
      <c r="BR66" s="588">
        <v>60097</v>
      </c>
      <c r="BS66" s="588">
        <v>60097</v>
      </c>
      <c r="BT66" s="588">
        <v>60097</v>
      </c>
      <c r="BU66" s="588">
        <v>60097</v>
      </c>
      <c r="BV66" s="588">
        <v>60097</v>
      </c>
      <c r="BW66" s="588">
        <v>60097</v>
      </c>
      <c r="BX66" s="588">
        <v>143479</v>
      </c>
      <c r="BY66" s="345"/>
    </row>
    <row r="67" spans="1:78" ht="12.75" customHeight="1">
      <c r="A67" s="614" t="s">
        <v>194</v>
      </c>
      <c r="B67" s="1090">
        <f ca="1">SUM(OFFSET(BA67:BL67,0,'Bal Sheet'!$A$1))</f>
        <v>6143603</v>
      </c>
      <c r="C67" s="1038">
        <f t="shared" si="99"/>
        <v>6143603</v>
      </c>
      <c r="D67" s="605">
        <v>492398</v>
      </c>
      <c r="E67" s="605">
        <v>503773</v>
      </c>
      <c r="F67" s="605">
        <v>498434</v>
      </c>
      <c r="G67" s="605">
        <v>524488</v>
      </c>
      <c r="H67" s="605">
        <v>541078</v>
      </c>
      <c r="I67" s="605">
        <v>200481</v>
      </c>
      <c r="J67" s="605">
        <v>588101</v>
      </c>
      <c r="K67" s="605">
        <v>528031</v>
      </c>
      <c r="L67" s="605">
        <v>545163</v>
      </c>
      <c r="M67" s="605">
        <v>575991</v>
      </c>
      <c r="N67" s="605">
        <v>628030</v>
      </c>
      <c r="O67" s="605">
        <v>654878</v>
      </c>
      <c r="P67" s="605">
        <v>688737</v>
      </c>
      <c r="Q67" s="605">
        <v>676953</v>
      </c>
      <c r="R67" s="605">
        <v>812903</v>
      </c>
      <c r="S67" s="605">
        <v>731758</v>
      </c>
      <c r="T67" s="605">
        <v>755260</v>
      </c>
      <c r="U67" s="605">
        <v>778974</v>
      </c>
      <c r="V67" s="605">
        <v>813669</v>
      </c>
      <c r="W67" s="605">
        <v>846110</v>
      </c>
      <c r="X67" s="605">
        <v>876133</v>
      </c>
      <c r="Y67" s="605">
        <v>901402</v>
      </c>
      <c r="Z67" s="605">
        <v>858075</v>
      </c>
      <c r="AA67" s="605">
        <v>950819</v>
      </c>
      <c r="AB67" s="605">
        <v>1332723</v>
      </c>
      <c r="AC67" s="605">
        <v>1063430</v>
      </c>
      <c r="AD67" s="605">
        <v>1080271</v>
      </c>
      <c r="AE67" s="605">
        <v>1101092</v>
      </c>
      <c r="AF67" s="605">
        <v>1121415</v>
      </c>
      <c r="AG67" s="605">
        <v>1139809</v>
      </c>
      <c r="AH67" s="605">
        <v>1159802</v>
      </c>
      <c r="AI67" s="605">
        <v>1183694</v>
      </c>
      <c r="AJ67" s="605">
        <v>1208894</v>
      </c>
      <c r="AK67" s="605">
        <v>1228391</v>
      </c>
      <c r="AL67" s="605">
        <v>1253098</v>
      </c>
      <c r="AM67" s="605">
        <v>1279838</v>
      </c>
      <c r="AN67" s="605">
        <v>1311439</v>
      </c>
      <c r="AO67" s="345">
        <v>-6678</v>
      </c>
      <c r="AP67" s="345">
        <v>14965</v>
      </c>
      <c r="AQ67" s="345">
        <v>39325</v>
      </c>
      <c r="AR67" s="345">
        <v>61418</v>
      </c>
      <c r="AS67" s="345">
        <v>75826</v>
      </c>
      <c r="AT67" s="345">
        <v>91741</v>
      </c>
      <c r="AU67" s="345">
        <v>109950</v>
      </c>
      <c r="AV67" s="345">
        <v>123192</v>
      </c>
      <c r="AW67" s="345">
        <v>139236</v>
      </c>
      <c r="AX67" s="345">
        <v>169470</v>
      </c>
      <c r="AY67" s="345">
        <v>191683</v>
      </c>
      <c r="AZ67" s="345">
        <v>233233</v>
      </c>
      <c r="BA67" s="345">
        <v>272977</v>
      </c>
      <c r="BB67" s="345">
        <v>292629</v>
      </c>
      <c r="BC67" s="345">
        <v>307873</v>
      </c>
      <c r="BD67" s="345">
        <v>323302</v>
      </c>
      <c r="BE67" s="345">
        <v>340155</v>
      </c>
      <c r="BF67" s="345">
        <v>349441</v>
      </c>
      <c r="BG67" s="345">
        <v>359481</v>
      </c>
      <c r="BH67" s="588">
        <v>370374</v>
      </c>
      <c r="BI67" s="588">
        <v>382585</v>
      </c>
      <c r="BJ67" s="588">
        <v>396328</v>
      </c>
      <c r="BK67" s="588">
        <v>410553</v>
      </c>
      <c r="BL67" s="588">
        <v>432468</v>
      </c>
      <c r="BM67" s="588">
        <v>436181</v>
      </c>
      <c r="BN67" s="588">
        <v>450612</v>
      </c>
      <c r="BO67" s="588">
        <v>467342</v>
      </c>
      <c r="BP67" s="588">
        <v>483132</v>
      </c>
      <c r="BQ67" s="588">
        <v>497256</v>
      </c>
      <c r="BR67" s="588">
        <v>510526</v>
      </c>
      <c r="BS67" s="588">
        <v>523761</v>
      </c>
      <c r="BT67" s="588">
        <v>535817</v>
      </c>
      <c r="BU67" s="588">
        <v>545889</v>
      </c>
      <c r="BV67" s="588">
        <v>555137</v>
      </c>
      <c r="BW67" s="588">
        <v>564367</v>
      </c>
      <c r="BX67" s="588">
        <v>573583</v>
      </c>
      <c r="BY67" s="345"/>
    </row>
    <row r="68" spans="1:78" ht="12.75" customHeight="1">
      <c r="A68" s="614" t="s">
        <v>195</v>
      </c>
      <c r="B68" s="1090">
        <f ca="1">SUM(OFFSET(BA68:BL68,0,'Bal Sheet'!$A$1))</f>
        <v>940633.66999999993</v>
      </c>
      <c r="C68" s="1038">
        <f t="shared" si="99"/>
        <v>940633.66999999993</v>
      </c>
      <c r="D68" s="605">
        <v>120916.8</v>
      </c>
      <c r="E68" s="605">
        <v>123662.29999999999</v>
      </c>
      <c r="F68" s="605">
        <v>123959.58</v>
      </c>
      <c r="G68" s="605">
        <v>125406.69999999998</v>
      </c>
      <c r="H68" s="605">
        <v>127467.73</v>
      </c>
      <c r="I68" s="605">
        <v>129946.96</v>
      </c>
      <c r="J68" s="605">
        <v>147674.97</v>
      </c>
      <c r="K68" s="605">
        <v>149450.60999999999</v>
      </c>
      <c r="L68" s="605">
        <v>150888.72999999998</v>
      </c>
      <c r="M68" s="605">
        <v>153193.06999999998</v>
      </c>
      <c r="N68" s="605">
        <v>154355.09</v>
      </c>
      <c r="O68" s="605">
        <v>155193.71000000002</v>
      </c>
      <c r="P68" s="605">
        <v>179736.85</v>
      </c>
      <c r="Q68" s="605">
        <v>123134.96</v>
      </c>
      <c r="R68" s="605">
        <v>124984.57</v>
      </c>
      <c r="S68" s="605">
        <v>135319</v>
      </c>
      <c r="T68" s="605">
        <v>140386.76</v>
      </c>
      <c r="U68" s="605">
        <v>142628.81</v>
      </c>
      <c r="V68" s="605">
        <v>147968.45000000001</v>
      </c>
      <c r="W68" s="605">
        <v>150503.04000000001</v>
      </c>
      <c r="X68" s="605">
        <v>157043.65000000002</v>
      </c>
      <c r="Y68" s="605">
        <v>158558.57</v>
      </c>
      <c r="Z68" s="605">
        <v>163523.09</v>
      </c>
      <c r="AA68" s="605">
        <v>165041.46</v>
      </c>
      <c r="AB68" s="605">
        <v>177485.12999999998</v>
      </c>
      <c r="AC68" s="605">
        <v>181567.07</v>
      </c>
      <c r="AD68" s="605">
        <v>182403.98</v>
      </c>
      <c r="AE68" s="605">
        <v>186206.28999999998</v>
      </c>
      <c r="AF68" s="605">
        <v>197568.44999999998</v>
      </c>
      <c r="AG68" s="605">
        <v>200080.26</v>
      </c>
      <c r="AH68" s="605">
        <v>202622.93</v>
      </c>
      <c r="AI68" s="605">
        <v>203476.94</v>
      </c>
      <c r="AJ68" s="605">
        <v>205236.80000000002</v>
      </c>
      <c r="AK68" s="605">
        <v>211242.97</v>
      </c>
      <c r="AL68" s="605">
        <v>212184.05</v>
      </c>
      <c r="AM68" s="605">
        <v>215449.68000000002</v>
      </c>
      <c r="AN68" s="605">
        <v>220897.02000000002</v>
      </c>
      <c r="AO68" s="345">
        <v>-9971.86</v>
      </c>
      <c r="AP68" s="345">
        <v>-1905.1400000000012</v>
      </c>
      <c r="AQ68" s="345">
        <v>401.92999999999995</v>
      </c>
      <c r="AR68" s="345">
        <v>4034.3900000000003</v>
      </c>
      <c r="AS68" s="345">
        <v>5684.58</v>
      </c>
      <c r="AT68" s="345">
        <v>6508.9500000000007</v>
      </c>
      <c r="AU68" s="345">
        <v>7800.93</v>
      </c>
      <c r="AV68" s="345">
        <v>9314.52</v>
      </c>
      <c r="AW68" s="345">
        <f>12134+-1960</f>
        <v>10174</v>
      </c>
      <c r="AX68" s="345">
        <v>12031</v>
      </c>
      <c r="AY68" s="345">
        <v>12746</v>
      </c>
      <c r="AZ68" s="345">
        <v>14393</v>
      </c>
      <c r="BA68" s="345">
        <v>27690.1</v>
      </c>
      <c r="BB68" s="345">
        <v>28350.720000000001</v>
      </c>
      <c r="BC68" s="345">
        <v>30346.71</v>
      </c>
      <c r="BD68" s="345">
        <v>31350.63</v>
      </c>
      <c r="BE68" s="345">
        <v>31738.92</v>
      </c>
      <c r="BF68" s="345">
        <v>33579.47</v>
      </c>
      <c r="BG68" s="345">
        <v>37413.119999999995</v>
      </c>
      <c r="BH68" s="588">
        <v>37695.409999999996</v>
      </c>
      <c r="BI68" s="588">
        <v>38883.259999999995</v>
      </c>
      <c r="BJ68" s="588">
        <v>38968.58</v>
      </c>
      <c r="BK68" s="588">
        <v>39446.120000000003</v>
      </c>
      <c r="BL68" s="588">
        <v>39895.629999999997</v>
      </c>
      <c r="BM68" s="588">
        <v>36079.56</v>
      </c>
      <c r="BN68" s="588">
        <v>48808.729999999996</v>
      </c>
      <c r="BO68" s="588">
        <v>59646.849999999991</v>
      </c>
      <c r="BP68" s="588">
        <v>68530.459999999992</v>
      </c>
      <c r="BQ68" s="588">
        <v>75711.199999999983</v>
      </c>
      <c r="BR68" s="588">
        <v>81527</v>
      </c>
      <c r="BS68" s="588">
        <v>86489.890000000014</v>
      </c>
      <c r="BT68" s="588">
        <v>90813.08</v>
      </c>
      <c r="BU68" s="588">
        <v>94294.489999999991</v>
      </c>
      <c r="BV68" s="588">
        <v>97132.02</v>
      </c>
      <c r="BW68" s="588">
        <v>99655.88</v>
      </c>
      <c r="BX68" s="588">
        <v>101944.51</v>
      </c>
      <c r="BY68" s="345"/>
    </row>
    <row r="69" spans="1:78" ht="12.75" customHeight="1">
      <c r="A69" s="614" t="s">
        <v>196</v>
      </c>
      <c r="B69" s="1090">
        <f ca="1">SUM(OFFSET(BA69:BL69,0,'Bal Sheet'!$A$1))</f>
        <v>537787</v>
      </c>
      <c r="C69" s="1038">
        <f t="shared" si="99"/>
        <v>537787</v>
      </c>
      <c r="D69" s="605">
        <v>64170</v>
      </c>
      <c r="E69" s="605">
        <v>90907</v>
      </c>
      <c r="F69" s="605">
        <v>90907</v>
      </c>
      <c r="G69" s="605">
        <v>90907</v>
      </c>
      <c r="H69" s="605">
        <v>90907</v>
      </c>
      <c r="I69" s="605">
        <v>90907</v>
      </c>
      <c r="J69" s="605">
        <v>90907</v>
      </c>
      <c r="K69" s="605">
        <v>90907</v>
      </c>
      <c r="L69" s="605">
        <v>90907</v>
      </c>
      <c r="M69" s="605">
        <v>90907</v>
      </c>
      <c r="N69" s="605">
        <v>90907</v>
      </c>
      <c r="O69" s="605">
        <v>90907</v>
      </c>
      <c r="P69" s="605">
        <v>75572</v>
      </c>
      <c r="Q69" s="605">
        <v>145449</v>
      </c>
      <c r="R69" s="605">
        <v>145449</v>
      </c>
      <c r="S69" s="605">
        <v>145449</v>
      </c>
      <c r="T69" s="605">
        <v>145449</v>
      </c>
      <c r="U69" s="605">
        <v>145449</v>
      </c>
      <c r="V69" s="605">
        <v>145449</v>
      </c>
      <c r="W69" s="605">
        <v>145449</v>
      </c>
      <c r="X69" s="605">
        <v>145449</v>
      </c>
      <c r="Y69" s="605">
        <v>145449</v>
      </c>
      <c r="Z69" s="605">
        <v>145449</v>
      </c>
      <c r="AA69" s="605">
        <v>145449</v>
      </c>
      <c r="AB69" s="605">
        <v>145449</v>
      </c>
      <c r="AC69" s="605">
        <v>218903</v>
      </c>
      <c r="AD69" s="605">
        <v>218903</v>
      </c>
      <c r="AE69" s="605">
        <v>218903</v>
      </c>
      <c r="AF69" s="605">
        <v>218903</v>
      </c>
      <c r="AG69" s="605">
        <v>218903</v>
      </c>
      <c r="AH69" s="605">
        <v>218903</v>
      </c>
      <c r="AI69" s="605">
        <v>218903</v>
      </c>
      <c r="AJ69" s="605">
        <v>218903</v>
      </c>
      <c r="AK69" s="605">
        <v>218903</v>
      </c>
      <c r="AL69" s="605">
        <v>218903</v>
      </c>
      <c r="AM69" s="605">
        <v>218903</v>
      </c>
      <c r="AN69" s="605">
        <v>218899</v>
      </c>
      <c r="AO69" s="345">
        <v>-10642</v>
      </c>
      <c r="AP69" s="345">
        <v>-10642</v>
      </c>
      <c r="AQ69" s="345">
        <v>-10642</v>
      </c>
      <c r="AR69" s="345">
        <v>-10642</v>
      </c>
      <c r="AS69" s="345">
        <v>-10642</v>
      </c>
      <c r="AT69" s="345">
        <v>-10642</v>
      </c>
      <c r="AU69" s="345">
        <v>-10642</v>
      </c>
      <c r="AV69" s="345">
        <v>-10642</v>
      </c>
      <c r="AW69" s="345">
        <v>-10642</v>
      </c>
      <c r="AX69" s="345">
        <v>-10642</v>
      </c>
      <c r="AY69" s="345">
        <v>-10642</v>
      </c>
      <c r="AZ69" s="345">
        <v>-10644</v>
      </c>
      <c r="BA69" s="345">
        <v>35251</v>
      </c>
      <c r="BB69" s="345">
        <v>35251</v>
      </c>
      <c r="BC69" s="345">
        <v>35251</v>
      </c>
      <c r="BD69" s="345">
        <v>35251</v>
      </c>
      <c r="BE69" s="345">
        <v>35251</v>
      </c>
      <c r="BF69" s="345">
        <v>35251</v>
      </c>
      <c r="BG69" s="345">
        <v>35251</v>
      </c>
      <c r="BH69" s="588">
        <v>35251</v>
      </c>
      <c r="BI69" s="588">
        <v>35251</v>
      </c>
      <c r="BJ69" s="588">
        <v>35251</v>
      </c>
      <c r="BK69" s="588">
        <v>35251</v>
      </c>
      <c r="BL69" s="588">
        <v>35251</v>
      </c>
      <c r="BM69" s="588">
        <v>44816</v>
      </c>
      <c r="BN69" s="588">
        <v>44816</v>
      </c>
      <c r="BO69" s="588">
        <v>44816</v>
      </c>
      <c r="BP69" s="588">
        <v>44816</v>
      </c>
      <c r="BQ69" s="588">
        <v>44816</v>
      </c>
      <c r="BR69" s="588">
        <v>44816</v>
      </c>
      <c r="BS69" s="588">
        <v>44816</v>
      </c>
      <c r="BT69" s="588">
        <v>44816</v>
      </c>
      <c r="BU69" s="588">
        <v>44816</v>
      </c>
      <c r="BV69" s="588">
        <v>44816</v>
      </c>
      <c r="BW69" s="588">
        <v>44816</v>
      </c>
      <c r="BX69" s="588">
        <v>44811</v>
      </c>
      <c r="BY69" s="345"/>
    </row>
    <row r="70" spans="1:78" ht="12.75" customHeight="1">
      <c r="A70" s="611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</row>
    <row r="71" spans="1:78" ht="12.75" customHeight="1">
      <c r="A71" s="609" t="s">
        <v>197</v>
      </c>
      <c r="B71" s="579"/>
      <c r="C71" s="579"/>
      <c r="D71" s="578"/>
      <c r="E71" s="578"/>
      <c r="F71" s="578"/>
      <c r="G71" s="578"/>
      <c r="H71" s="578"/>
      <c r="I71" s="578"/>
      <c r="J71" s="578"/>
      <c r="K71" s="578"/>
      <c r="L71" s="578"/>
      <c r="M71" s="578"/>
      <c r="N71" s="578"/>
      <c r="O71" s="578"/>
      <c r="P71" s="578"/>
      <c r="Q71" s="578"/>
      <c r="R71" s="578"/>
      <c r="S71" s="578"/>
      <c r="T71" s="578"/>
      <c r="U71" s="578"/>
      <c r="V71" s="578"/>
      <c r="W71" s="578"/>
      <c r="X71" s="578"/>
      <c r="Y71" s="578"/>
      <c r="Z71" s="578"/>
      <c r="AA71" s="578"/>
      <c r="AB71" s="578"/>
      <c r="AC71" s="578"/>
      <c r="AD71" s="578"/>
      <c r="AE71" s="578"/>
      <c r="AF71" s="578"/>
      <c r="AG71" s="578"/>
      <c r="AH71" s="578"/>
      <c r="AI71" s="578"/>
      <c r="AJ71" s="578"/>
      <c r="AK71" s="578"/>
      <c r="AL71" s="578"/>
      <c r="AM71" s="578"/>
      <c r="AN71" s="578"/>
      <c r="AO71" s="578"/>
      <c r="AP71" s="578"/>
      <c r="AQ71" s="578"/>
      <c r="AR71" s="578"/>
      <c r="AS71" s="578"/>
      <c r="AT71" s="578"/>
      <c r="AU71" s="578"/>
      <c r="AV71" s="578"/>
      <c r="AW71" s="578"/>
      <c r="AX71" s="578"/>
      <c r="AY71" s="578"/>
      <c r="AZ71" s="578"/>
      <c r="BA71" s="578"/>
      <c r="BB71" s="578"/>
      <c r="BC71" s="578"/>
      <c r="BD71" s="578"/>
      <c r="BE71" s="578"/>
      <c r="BF71" s="578"/>
      <c r="BG71" s="578"/>
      <c r="BH71" s="578"/>
      <c r="BI71" s="578"/>
      <c r="BJ71" s="578"/>
      <c r="BK71" s="578"/>
      <c r="BL71" s="578"/>
      <c r="BM71" s="578"/>
      <c r="BN71" s="578"/>
      <c r="BO71" s="578"/>
      <c r="BP71" s="578"/>
      <c r="BQ71" s="578"/>
      <c r="BR71" s="578"/>
      <c r="BS71" s="578"/>
      <c r="BT71" s="578"/>
      <c r="BU71" s="578"/>
      <c r="BV71" s="578"/>
      <c r="BW71" s="578"/>
      <c r="BX71" s="578"/>
      <c r="BY71" s="578"/>
    </row>
    <row r="72" spans="1:78" ht="12.75" customHeight="1">
      <c r="A72" s="611" t="s">
        <v>198</v>
      </c>
      <c r="B72" s="619">
        <f ca="1">+B63-B65-B67</f>
        <v>3440365.5599999987</v>
      </c>
      <c r="C72" s="619"/>
      <c r="D72" s="620"/>
      <c r="E72" s="620"/>
      <c r="F72" s="620"/>
      <c r="G72" s="620"/>
      <c r="H72" s="620"/>
      <c r="I72" s="620"/>
      <c r="J72" s="620"/>
      <c r="K72" s="620"/>
      <c r="L72" s="620"/>
      <c r="M72" s="620"/>
      <c r="N72" s="620"/>
      <c r="O72" s="620"/>
      <c r="P72" s="620"/>
      <c r="Q72" s="620"/>
      <c r="R72" s="620"/>
      <c r="S72" s="620"/>
      <c r="T72" s="620"/>
      <c r="U72" s="620"/>
      <c r="V72" s="620"/>
      <c r="W72" s="620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</row>
    <row r="73" spans="1:78" ht="12.75" customHeight="1">
      <c r="A73" s="611"/>
      <c r="B73" s="619"/>
      <c r="C73" s="619"/>
      <c r="D73" s="620"/>
      <c r="E73" s="620"/>
      <c r="F73" s="620"/>
      <c r="G73" s="620"/>
      <c r="H73" s="620"/>
      <c r="I73" s="620"/>
      <c r="J73" s="620"/>
      <c r="K73" s="620"/>
      <c r="L73" s="620"/>
      <c r="M73" s="620"/>
      <c r="N73" s="620"/>
      <c r="O73" s="620"/>
      <c r="P73" s="620"/>
      <c r="Q73" s="620"/>
      <c r="R73" s="620"/>
      <c r="S73" s="620"/>
      <c r="T73" s="620"/>
      <c r="U73" s="620"/>
      <c r="V73" s="620"/>
      <c r="W73" s="620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</row>
    <row r="74" spans="1:78" ht="12.75" customHeight="1">
      <c r="A74" s="767" t="s">
        <v>199</v>
      </c>
      <c r="B74" s="619">
        <f ca="1">+B63-B64-B65-B66-B67-B68-B69</f>
        <v>0.44999999925494194</v>
      </c>
      <c r="C74" s="619">
        <f>+C63-C64-C65-C66-C67-C68-C69</f>
        <v>0.44999999925494194</v>
      </c>
      <c r="D74" s="619">
        <f t="shared" ref="D74:R74" si="100">+D63-D65-D66-D67-D68-D69</f>
        <v>-0.41999999999825377</v>
      </c>
      <c r="E74" s="619">
        <f t="shared" si="100"/>
        <v>-0.34000000002561137</v>
      </c>
      <c r="F74" s="619">
        <f t="shared" si="100"/>
        <v>0.32999999991443474</v>
      </c>
      <c r="G74" s="619">
        <f t="shared" si="100"/>
        <v>-0.26000000003841706</v>
      </c>
      <c r="H74" s="619">
        <f t="shared" si="100"/>
        <v>0.20000000005529728</v>
      </c>
      <c r="I74" s="619">
        <f t="shared" si="100"/>
        <v>0.39999999997962732</v>
      </c>
      <c r="J74" s="619">
        <f t="shared" si="100"/>
        <v>0.38999999998486601</v>
      </c>
      <c r="K74" s="619">
        <f t="shared" si="100"/>
        <v>-0.35999999998603016</v>
      </c>
      <c r="L74" s="619">
        <f t="shared" si="100"/>
        <v>-0.29944999993313104</v>
      </c>
      <c r="M74" s="619">
        <f t="shared" si="100"/>
        <v>0.3729000000457745</v>
      </c>
      <c r="N74" s="619">
        <f t="shared" si="100"/>
        <v>8.3550000068498775E-2</v>
      </c>
      <c r="O74" s="619">
        <f t="shared" si="100"/>
        <v>0.20334999990882352</v>
      </c>
      <c r="P74" s="619">
        <f t="shared" si="100"/>
        <v>-0.12000000002444722</v>
      </c>
      <c r="Q74" s="619">
        <f t="shared" si="100"/>
        <v>-0.19000000000232831</v>
      </c>
      <c r="R74" s="619">
        <f t="shared" si="100"/>
        <v>-0.17000000010011718</v>
      </c>
      <c r="S74" s="619">
        <f t="shared" ref="S74:AH74" si="101">+S63-S64-S65-S66-S67-S68-S69</f>
        <v>-0.16999999992549419</v>
      </c>
      <c r="T74" s="619">
        <f t="shared" si="101"/>
        <v>-0.36999999999534339</v>
      </c>
      <c r="U74" s="619">
        <f t="shared" si="101"/>
        <v>-0.34000000002561137</v>
      </c>
      <c r="V74" s="619">
        <f t="shared" si="101"/>
        <v>0.26999999996041879</v>
      </c>
      <c r="W74" s="619">
        <f t="shared" si="101"/>
        <v>-0.33000000004540198</v>
      </c>
      <c r="X74" s="619">
        <f t="shared" ref="X74:AA74" si="102">+X63-X64-X65-X66-X67-X68-X69</f>
        <v>0.41000000003259629</v>
      </c>
      <c r="Y74" s="619">
        <f t="shared" si="102"/>
        <v>-0.21999999991385266</v>
      </c>
      <c r="Z74" s="619">
        <f t="shared" si="102"/>
        <v>-0.38000000003376044</v>
      </c>
      <c r="AA74" s="619">
        <f t="shared" si="102"/>
        <v>0.47999999995226972</v>
      </c>
      <c r="AB74" s="619">
        <f t="shared" si="101"/>
        <v>-0.3099999999103602</v>
      </c>
      <c r="AC74" s="619">
        <f t="shared" si="101"/>
        <v>-7.0000000006984919E-2</v>
      </c>
      <c r="AD74" s="619">
        <f t="shared" si="101"/>
        <v>-0.17999999996391125</v>
      </c>
      <c r="AE74" s="619">
        <f t="shared" si="101"/>
        <v>-0.17000000010011718</v>
      </c>
      <c r="AF74" s="619">
        <f t="shared" si="101"/>
        <v>0.27999999999883585</v>
      </c>
      <c r="AG74" s="619">
        <f t="shared" si="101"/>
        <v>-9.0000000083819032E-2</v>
      </c>
      <c r="AH74" s="619">
        <f t="shared" si="101"/>
        <v>-0.23999999981606379</v>
      </c>
      <c r="AI74" s="619">
        <f t="shared" ref="AI74" si="103">+AI63-AI64-AI65-AI66-AI67-AI68-AI69</f>
        <v>0.10999999981140718</v>
      </c>
      <c r="AJ74" s="619">
        <f t="shared" ref="AJ74:AN74" si="104">+AJ63-AJ64-AJ65-AJ66-AJ67-AJ68-AJ69</f>
        <v>4.0000000066356733E-2</v>
      </c>
      <c r="AK74" s="619">
        <f t="shared" si="104"/>
        <v>0.24999999997089617</v>
      </c>
      <c r="AL74" s="619">
        <f t="shared" si="104"/>
        <v>4.0000000095460564E-2</v>
      </c>
      <c r="AM74" s="619">
        <f t="shared" si="104"/>
        <v>-0.23999999984516762</v>
      </c>
      <c r="AN74" s="619">
        <f t="shared" si="104"/>
        <v>-0.23999999999068677</v>
      </c>
      <c r="AO74" s="619">
        <f>+AO63-AO64-AO65-AO66-AO67-AO68-AO69</f>
        <v>0.49000000000523869</v>
      </c>
      <c r="AP74" s="619">
        <f t="shared" ref="AP74:AZ74" si="105">+AP63-AP64-AP65-AP66-AP67-AP68-AP69</f>
        <v>0.16000000001986336</v>
      </c>
      <c r="AQ74" s="619">
        <f t="shared" si="105"/>
        <v>0.27000000001135049</v>
      </c>
      <c r="AR74" s="619">
        <f t="shared" si="105"/>
        <v>-3.9999999964493327E-2</v>
      </c>
      <c r="AS74" s="619">
        <f t="shared" si="105"/>
        <v>0.2699999999767897</v>
      </c>
      <c r="AT74" s="619">
        <f t="shared" si="105"/>
        <v>0.1099999999969441</v>
      </c>
      <c r="AU74" s="619">
        <f t="shared" si="105"/>
        <v>-0.19000000000960426</v>
      </c>
      <c r="AV74" s="619">
        <f t="shared" si="105"/>
        <v>-0.37000000003536115</v>
      </c>
      <c r="AW74" s="619">
        <f t="shared" si="105"/>
        <v>0</v>
      </c>
      <c r="AX74" s="619">
        <f t="shared" si="105"/>
        <v>1</v>
      </c>
      <c r="AY74" s="619">
        <f t="shared" si="105"/>
        <v>0</v>
      </c>
      <c r="AZ74" s="619">
        <f t="shared" si="105"/>
        <v>-2</v>
      </c>
      <c r="BA74" s="909">
        <f t="shared" ref="BA74:BL74" si="106">+BA63-BA64-BA65-BA66-BA67-BA68-BA69</f>
        <v>-0.41999999994732207</v>
      </c>
      <c r="BB74" s="909">
        <f t="shared" si="106"/>
        <v>-0.17999999996391125</v>
      </c>
      <c r="BC74" s="909">
        <f t="shared" si="106"/>
        <v>-8.0000000052677933E-2</v>
      </c>
      <c r="BD74" s="909">
        <f t="shared" si="106"/>
        <v>0.16999999998370185</v>
      </c>
      <c r="BE74" s="909">
        <f t="shared" si="106"/>
        <v>0.23999999997613486</v>
      </c>
      <c r="BF74" s="909">
        <f t="shared" si="106"/>
        <v>-0.13000000003376044</v>
      </c>
      <c r="BG74" s="909">
        <f t="shared" si="106"/>
        <v>0.28000000002793968</v>
      </c>
      <c r="BH74" s="909">
        <f t="shared" si="106"/>
        <v>156.80999999997584</v>
      </c>
      <c r="BI74" s="909">
        <f t="shared" si="106"/>
        <v>153.05999999995402</v>
      </c>
      <c r="BJ74" s="909">
        <f t="shared" si="106"/>
        <v>-16.69999999999709</v>
      </c>
      <c r="BK74" s="909">
        <f t="shared" si="106"/>
        <v>80.460000000013679</v>
      </c>
      <c r="BL74" s="909">
        <f t="shared" si="106"/>
        <v>318.15000000003056</v>
      </c>
      <c r="BM74" s="909">
        <f>+BM63-BM64-BM65-BM66-BM67-BM68-BM69</f>
        <v>1.9999999960418791E-2</v>
      </c>
      <c r="BN74" s="909">
        <f t="shared" ref="BN74:BX74" si="107">+BN63-BN64-BN65-BN66-BN67-BN68-BN69</f>
        <v>0.4200000000273576</v>
      </c>
      <c r="BO74" s="909">
        <f t="shared" si="107"/>
        <v>0.38999999999941792</v>
      </c>
      <c r="BP74" s="909">
        <f t="shared" si="107"/>
        <v>0.36000000007334165</v>
      </c>
      <c r="BQ74" s="909">
        <f t="shared" si="107"/>
        <v>-5.9999999968567863E-2</v>
      </c>
      <c r="BR74" s="909">
        <f t="shared" si="107"/>
        <v>-0.17000000004190952</v>
      </c>
      <c r="BS74" s="909">
        <f t="shared" si="107"/>
        <v>-0.33999999996740371</v>
      </c>
      <c r="BT74" s="909">
        <f t="shared" si="107"/>
        <v>-0.26999999994586688</v>
      </c>
      <c r="BU74" s="909">
        <f t="shared" si="107"/>
        <v>0.23999999999068677</v>
      </c>
      <c r="BV74" s="909">
        <f t="shared" si="107"/>
        <v>0.11000000000058208</v>
      </c>
      <c r="BW74" s="909">
        <f t="shared" si="107"/>
        <v>-0.29999999993015081</v>
      </c>
      <c r="BX74" s="909">
        <f t="shared" si="107"/>
        <v>4.9999999944702722E-2</v>
      </c>
      <c r="BY74" s="909"/>
    </row>
    <row r="75" spans="1:78" ht="12.75" customHeight="1">
      <c r="A75" s="611" t="s">
        <v>200</v>
      </c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621">
        <f>-(VLOOKUP("4074071",'[8]IS ACCTS'!$F$6:$ZZ$617,72,FALSE)*1000)-(VLOOKUP("4074072",'[8]IS ACCTS'!$F$6:$ZZ$617,72,FALSE))*1000</f>
        <v>-509000</v>
      </c>
      <c r="Y75" s="621">
        <f>-(VLOOKUP("4074071",'[8]IS ACCTS'!$F$6:$ZZ$617,73,FALSE)*1000)-(VLOOKUP("4074072",'[8]IS ACCTS'!$F$6:$ZZ$617,73,FALSE))*1000</f>
        <v>-517900</v>
      </c>
      <c r="Z75" s="621">
        <f>-(VLOOKUP("4074071",'[8]IS ACCTS'!$F$6:$ZZ$617,74,FALSE)*1000)-(VLOOKUP("4074072",'[8]IS ACCTS'!$F$6:$ZZ$617,74,FALSE))*1000</f>
        <v>-506000</v>
      </c>
      <c r="AA75" s="621">
        <f>-(VLOOKUP("4074071",'[8]IS ACCTS'!$F$6:$ZZ$617,75,FALSE)*1000)-(VLOOKUP("4074072",'[8]IS ACCTS'!$F$6:$ZZ$617,75,FALSE))*1000</f>
        <v>-489800</v>
      </c>
      <c r="AB75" s="621">
        <f>-(VLOOKUP("4074071",'[8]IS ACCTS'!$F$6:$ZZ$617,76,FALSE)*1000)-(VLOOKUP("4074072",'[8]IS ACCTS'!$F$6:$ZZ$617,76,FALSE))*1000</f>
        <v>-519300</v>
      </c>
      <c r="AC75" s="621">
        <f>-(VLOOKUP("4074071",'[8]IS ACCTS'!$F$6:$ZZ$617,77,FALSE)*1000)-(VLOOKUP("4074072",'[8]IS ACCTS'!$F$6:$ZZ$617,77,FALSE))*1000</f>
        <v>0</v>
      </c>
      <c r="AD75" s="621">
        <f>-(VLOOKUP("4074071",'[8]IS ACCTS'!$F$6:$ZZ$617,78,FALSE)*1000)-(VLOOKUP("4074072",'[8]IS ACCTS'!$F$6:$ZZ$617,78,FALSE))*1000</f>
        <v>0</v>
      </c>
      <c r="AE75" s="621">
        <f>-(VLOOKUP("4074071",'[8]IS ACCTS'!$F$6:$ZZ$617,79,FALSE)*1000)-(VLOOKUP("4074072",'[8]IS ACCTS'!$F$6:$ZZ$617,79,FALSE))*1000</f>
        <v>0</v>
      </c>
      <c r="AF75" s="621">
        <f>-(VLOOKUP("4074071",'[8]IS ACCTS'!$F$6:$ZZ$617,80,FALSE)*1000)-(VLOOKUP("4074072",'[8]IS ACCTS'!$F$6:$ZZ$617,80,FALSE))*1000</f>
        <v>-280200</v>
      </c>
      <c r="AG75" s="621">
        <f>-(VLOOKUP("4074071",'[8]IS ACCTS'!$F$6:$ZZ$617,81,FALSE)*1000)-(VLOOKUP("4074072",'[8]IS ACCTS'!$F$6:$ZZ$617,81,FALSE))*1000</f>
        <v>-459200</v>
      </c>
      <c r="AH75" s="621">
        <f>-(VLOOKUP("4074071",'[8]IS ACCTS'!$F$6:$ZZ$617,82,FALSE)*1000)-(VLOOKUP("4074072",'[8]IS ACCTS'!$F$6:$ZZ$617,82,FALSE))*1000</f>
        <v>-484300</v>
      </c>
      <c r="AI75" s="621">
        <f>-(VLOOKUP("4074071",'[8]IS ACCTS'!$F$6:$ZZ$617,83,FALSE)*1000)-(VLOOKUP("4074072",'[8]IS ACCTS'!$F$6:$ZZ$617,83,FALSE))*1000</f>
        <v>-616600</v>
      </c>
      <c r="AJ75" s="621">
        <f>-(VLOOKUP("4074071",'[8]IS ACCTS'!$F$6:$ZZ$617,84,FALSE)*1000)-(VLOOKUP("4074072",'[8]IS ACCTS'!$F$6:$ZZ$617,84,FALSE))*1000</f>
        <v>-651500</v>
      </c>
      <c r="AK75" s="621">
        <f>-(VLOOKUP("4074071",'[8]IS ACCTS'!$F$6:$ZZ$617,85,FALSE)*1000)-(VLOOKUP("4074072",'[8]IS ACCTS'!$F$6:$ZZ$617,85,FALSE))*1000</f>
        <v>-688200</v>
      </c>
      <c r="AL75" s="621">
        <f>-(VLOOKUP("4074071",'[8]IS ACCTS'!$F$6:$ZZ$617,86,FALSE)*1000)-(VLOOKUP("4074072",'[8]IS ACCTS'!$F$6:$ZZ$617,86,FALSE))*1000</f>
        <v>-636300</v>
      </c>
      <c r="AM75" s="621">
        <f>-(VLOOKUP("4074071",'[8]IS ACCTS'!$F$6:$ZZ$617,87,FALSE)*1000)-(VLOOKUP("4074072",'[8]IS ACCTS'!$F$6:$ZZ$617,87,FALSE))*1000</f>
        <v>-473600</v>
      </c>
      <c r="AN75" s="621">
        <f>-(VLOOKUP("4074071",'[8]IS ACCTS'!$F$6:$ZZ$617,88,FALSE)*1000)-(VLOOKUP("4074072",'[8]IS ACCTS'!$F$6:$ZZ$617,88,FALSE))*1000</f>
        <v>-115900</v>
      </c>
      <c r="AO75" s="621">
        <f>-(VLOOKUP("4074071",'[8]IS ACCTS'!$F$6:$ZZ$617,89,FALSE)*1000)-(VLOOKUP("4074072",'[8]IS ACCTS'!$F$6:$ZZ$617,89,FALSE))*1000</f>
        <v>0</v>
      </c>
      <c r="AP75" s="621">
        <f>-(VLOOKUP("4074071",'[8]IS ACCTS'!$F$6:$ZZ$617,90,FALSE)*1000)-(VLOOKUP("4074072",'[8]IS ACCTS'!$F$6:$ZZ$617,90,FALSE))*1000</f>
        <v>0</v>
      </c>
      <c r="AQ75" s="621">
        <f>-(VLOOKUP("4074071",'[8]IS ACCTS'!$F$6:$ZZ$617,91,FALSE)*1000)-(VLOOKUP("4074072",'[8]IS ACCTS'!$F$6:$ZZ$617,91,FALSE))*1000</f>
        <v>0</v>
      </c>
      <c r="AR75" s="621">
        <f>-(VLOOKUP("4074071",'[8]IS ACCTS'!$F$6:$ZZ$617,92,FALSE)*1000)-(VLOOKUP("4074072",'[8]IS ACCTS'!$F$6:$ZZ$617,92,FALSE))*1000</f>
        <v>0</v>
      </c>
      <c r="AS75" s="621">
        <f>-(VLOOKUP("4074071",'[8]IS ACCTS'!$F$6:$ZZ$617,93,FALSE)*1000)-(VLOOKUP("4074072",'[8]IS ACCTS'!$F$6:$ZZ$617,93,FALSE))*1000</f>
        <v>-8200</v>
      </c>
      <c r="AT75" s="621">
        <f>-(VLOOKUP("4074071",'[8]IS ACCTS'!$F$6:$ZZ$617,94,FALSE)*1000)-(VLOOKUP("4074072",'[8]IS ACCTS'!$F$6:$ZZ$617,94,FALSE))*1000</f>
        <v>-53000</v>
      </c>
      <c r="AU75" s="621">
        <f>-(VLOOKUP("4074071",'[8]IS ACCTS'!$F$6:$ZZ$617,95,FALSE)*1000)-(VLOOKUP("4074072",'[8]IS ACCTS'!$F$6:$ZZ$617,95,FALSE))*1000</f>
        <v>-83300</v>
      </c>
      <c r="AV75" s="621">
        <f>-(VLOOKUP("4074071",'[8]IS ACCTS'!$F$6:$ZZ$617,96,FALSE)*1000)-(VLOOKUP("4074072",'[8]IS ACCTS'!$F$6:$ZZ$617,96,FALSE))*1000</f>
        <v>-133200</v>
      </c>
      <c r="AW75" s="621">
        <f>-(VLOOKUP("4074071",'[8]IS ACCTS'!$F$6:$ZZ$617,97,FALSE)*1000)-(VLOOKUP("4074072",'[8]IS ACCTS'!$F$6:$ZZ$617,97,FALSE))*1000</f>
        <v>-129100</v>
      </c>
      <c r="AX75" s="621">
        <f>-(VLOOKUP("4074071",'[8]IS ACCTS'!$F$6:$ZZ$617,98,FALSE)*1000)-(VLOOKUP("4074072",'[8]IS ACCTS'!$F$6:$ZZ$617,98,FALSE))*1000</f>
        <v>-168100</v>
      </c>
      <c r="AY75" s="621">
        <f>-(VLOOKUP("4074071",'[8]IS ACCTS'!$F$6:$ZZ$617,99,FALSE)*1000)-(VLOOKUP("4074072",'[8]IS ACCTS'!$F$6:$ZZ$617,99,FALSE))*1000</f>
        <v>-138900</v>
      </c>
      <c r="AZ75" s="621">
        <f>-(VLOOKUP("4074071",'[8]IS ACCTS'!$F$6:$ZZ$617,100,FALSE)*1000)-(VLOOKUP("4074072",'[8]IS ACCTS'!$F$6:$ZZ$617,100,FALSE))*1000</f>
        <v>-61900</v>
      </c>
      <c r="BA75" s="621">
        <f>-(VLOOKUP("4074071",'[8]IS ACCTS'!$F$6:$ZZ$617,101,FALSE)*1000)-(VLOOKUP("4074072",'[8]IS ACCTS'!$F$6:$ZZ$617,101,FALSE))*1000</f>
        <v>0</v>
      </c>
      <c r="BB75" s="621">
        <f>-(VLOOKUP("4074071",'[8]IS ACCTS'!$F$6:$ZZ$617,102,FALSE)*1000)-(VLOOKUP("4074072",'[8]IS ACCTS'!$F$6:$ZZ$617,102,FALSE))*1000</f>
        <v>0</v>
      </c>
      <c r="BC75" s="621">
        <f>-(VLOOKUP("4074071",'[8]IS ACCTS'!$F$6:$ZZ$617,103,FALSE)*1000)-(VLOOKUP("4074072",'[8]IS ACCTS'!$F$6:$ZZ$617,103,FALSE))*1000</f>
        <v>0</v>
      </c>
      <c r="BD75" s="621">
        <f>-(VLOOKUP("4074071",'[8]IS ACCTS'!$F$6:$ZZ$617,104,FALSE)*1000)-(VLOOKUP("4074072",'[8]IS ACCTS'!$F$6:$ZZ$617,104,FALSE))*1000</f>
        <v>0</v>
      </c>
      <c r="BE75" s="621">
        <f>-(VLOOKUP("4074071",'[8]IS ACCTS'!$F$6:$ZZ$617,105,FALSE)*1000)-(VLOOKUP("4074072",'[8]IS ACCTS'!$F$6:$ZZ$617,105,FALSE))*1000</f>
        <v>-19500</v>
      </c>
      <c r="BF75" s="621">
        <f>-(VLOOKUP("4074071",'[8]IS ACCTS'!$F$6:$ZZ$617,106,FALSE)*1000)-(VLOOKUP("4074072",'[8]IS ACCTS'!$F$6:$ZZ$617,106,FALSE))*1000</f>
        <v>-85200</v>
      </c>
      <c r="BG75" s="621">
        <f>-(VLOOKUP("4074071",'[8]IS ACCTS'!$F$6:$ZZ$617,107,FALSE)*1000)-(VLOOKUP("4074072",'[8]IS ACCTS'!$F$6:$ZZ$617,107,FALSE))*1000</f>
        <v>-129199.99999999999</v>
      </c>
      <c r="BH75" s="621">
        <f>-(VLOOKUP("4074071",'[8]IS ACCTS'!$F$6:$ZZ$617,108,FALSE)*1000)-(VLOOKUP("4074072",'[8]IS ACCTS'!$F$6:$ZZ$617,108,FALSE))*1000</f>
        <v>-152400</v>
      </c>
      <c r="BI75" s="621">
        <f>-(VLOOKUP("4074071",'[8]IS ACCTS'!$F$6:$ZZ$617,109,FALSE)*1000)-(VLOOKUP("4074072",'[8]IS ACCTS'!$F$6:$ZZ$617,109,FALSE))*1000</f>
        <v>-153100</v>
      </c>
      <c r="BJ75" s="621">
        <f>-(VLOOKUP("4074071",'[8]IS ACCTS'!$F$6:$ZZ$617,110,FALSE)*1000)-(VLOOKUP("4074072",'[8]IS ACCTS'!$F$6:$ZZ$617,110,FALSE))*1000</f>
        <v>-135600</v>
      </c>
      <c r="BK75" s="621">
        <f>-(VLOOKUP("4074071",'[8]IS ACCTS'!$F$6:$ZZ$617,111,FALSE)*1000)-(VLOOKUP("4074072",'[8]IS ACCTS'!$F$6:$ZZ$617,111,FALSE))*1000</f>
        <v>-126200</v>
      </c>
      <c r="BL75" s="621">
        <f>-(VLOOKUP("4074071",'[8]IS ACCTS'!$F$6:$ZZ$617,112,FALSE)*1000)-(VLOOKUP("4074072",'[8]IS ACCTS'!$F$6:$ZZ$617,112,FALSE))*1000</f>
        <v>-71500</v>
      </c>
      <c r="BM75" s="621">
        <f>-(VLOOKUP("4074071",'[8]IS ACCTS'!$F$6:$ZZ$617,113,FALSE)*1000)-(VLOOKUP("4074072",'[8]IS ACCTS'!$F$6:$ZZ$617,113,FALSE))*1000</f>
        <v>0</v>
      </c>
      <c r="BN75" s="621">
        <f>-(VLOOKUP("4074071",'[8]IS ACCTS'!$F$6:$ZZ$617,114,FALSE)*1000)-(VLOOKUP("4074072",'[8]IS ACCTS'!$F$6:$ZZ$617,114,FALSE))*1000</f>
        <v>0</v>
      </c>
      <c r="BO75" s="621">
        <f>-(VLOOKUP("4074071",'[8]IS ACCTS'!$F$6:$ZZ$617,115,FALSE)*1000)-(VLOOKUP("4074072",'[8]IS ACCTS'!$F$6:$ZZ$617,115,FALSE))*1000</f>
        <v>0</v>
      </c>
      <c r="BP75" s="621">
        <f>-(VLOOKUP("4074071",'[8]IS ACCTS'!$F$6:$ZZ$617,116,FALSE)*1000)-(VLOOKUP("4074072",'[8]IS ACCTS'!$F$6:$ZZ$617,116,FALSE))*1000</f>
        <v>0</v>
      </c>
      <c r="BQ75" s="621">
        <f>-(VLOOKUP("4074071",'[8]IS ACCTS'!$F$6:$ZZ$617,117,FALSE)*1000)-(VLOOKUP("4074072",'[8]IS ACCTS'!$F$6:$ZZ$617,117,FALSE))*1000</f>
        <v>-8900</v>
      </c>
      <c r="BR75" s="621">
        <f>-(VLOOKUP("4074071",'[8]IS ACCTS'!$F$6:$ZZ$617,118,FALSE)*1000)-(VLOOKUP("4074072",'[8]IS ACCTS'!$F$6:$ZZ$617,118,FALSE))*1000</f>
        <v>-73300</v>
      </c>
      <c r="BS75" s="621">
        <f>-(VLOOKUP("4074071",'[8]IS ACCTS'!$F$6:$ZZ$617,119,FALSE)*1000)-(VLOOKUP("4074072",'[8]IS ACCTS'!$F$6:$ZZ$617,119,FALSE))*1000</f>
        <v>-122300</v>
      </c>
      <c r="BT75" s="621">
        <f>-(VLOOKUP("4074071",'[8]IS ACCTS'!$F$6:$ZZ$617,120,FALSE)*1000)-(VLOOKUP("4074072",'[8]IS ACCTS'!$F$6:$ZZ$617,120,FALSE))*1000</f>
        <v>-159500</v>
      </c>
      <c r="BU75" s="621">
        <f>-(VLOOKUP("4074071",'[8]IS ACCTS'!$F$6:$ZZ$617,121,FALSE)*1000)-(VLOOKUP("4074072",'[8]IS ACCTS'!$F$6:$ZZ$617,121,FALSE))*1000</f>
        <v>-158900</v>
      </c>
      <c r="BV75" s="621">
        <f>-(VLOOKUP("4074071",'[8]IS ACCTS'!$F$6:$ZZ$617,122,FALSE)*1000)-(VLOOKUP("4074072",'[8]IS ACCTS'!$F$6:$ZZ$617,122,FALSE))*1000</f>
        <v>-163900</v>
      </c>
      <c r="BW75" s="621">
        <f>-(VLOOKUP("4074071",'[8]IS ACCTS'!$F$6:$ZZ$617,123,FALSE)*1000)-(VLOOKUP("4074072",'[8]IS ACCTS'!$F$6:$ZZ$617,123,FALSE))*1000</f>
        <v>-98100</v>
      </c>
      <c r="BX75" s="621">
        <f>-(VLOOKUP("4074071",'[8]IS ACCTS'!$F$6:$ZZ$617,124,FALSE)*1000)-(VLOOKUP("4074072",'[8]IS ACCTS'!$F$6:$ZZ$617,124,FALSE))*1000</f>
        <v>0</v>
      </c>
      <c r="BY75" s="621"/>
      <c r="BZ75" s="375"/>
    </row>
    <row r="76" spans="1:78" ht="12.75" customHeight="1">
      <c r="A76" s="611" t="s">
        <v>201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621">
        <f>+(VLOOKUP("4073071",'[8]IS ACCTS'!$F$6:$ZZ$617,72,FALSE)*1000)+(VLOOKUP("4073072",'[8]IS ACCTS'!$F$6:$ZZ$617,72,FALSE))*1000</f>
        <v>0</v>
      </c>
      <c r="Y76" s="621">
        <f>+(VLOOKUP("4073071",'[8]IS ACCTS'!$F$6:$ZZ$617,73,FALSE)*1000)+(VLOOKUP("4073072",'[8]IS ACCTS'!$F$6:$ZZ$617,73,FALSE))*1000</f>
        <v>0</v>
      </c>
      <c r="Z76" s="621">
        <f>+(VLOOKUP("4073071",'[8]IS ACCTS'!$F$6:$ZZ$617,74,FALSE)*1000)+(VLOOKUP("4073072",'[8]IS ACCTS'!$F$6:$ZZ$617,74,FALSE))*1000</f>
        <v>24600</v>
      </c>
      <c r="AA76" s="621">
        <f>+(VLOOKUP("4073071",'[8]IS ACCTS'!$F$6:$ZZ$617,75,FALSE)*1000)+(VLOOKUP("4073072",'[8]IS ACCTS'!$F$6:$ZZ$617,75,FALSE))*1000</f>
        <v>0</v>
      </c>
      <c r="AB76" s="621">
        <f>+(VLOOKUP("4073071",'[8]IS ACCTS'!$F$6:$ZZ$617,76,FALSE)*1000)+(VLOOKUP("4073072",'[8]IS ACCTS'!$F$6:$ZZ$617,76,FALSE))*1000</f>
        <v>-83300</v>
      </c>
      <c r="AC76" s="621">
        <f>+(VLOOKUP("4073071",'[8]IS ACCTS'!$F$6:$ZZ$617,77,FALSE)*1000)+(VLOOKUP("4073072",'[8]IS ACCTS'!$F$6:$ZZ$617,77,FALSE))*1000</f>
        <v>638600</v>
      </c>
      <c r="AD76" s="621">
        <f>+(VLOOKUP("4073071",'[8]IS ACCTS'!$F$6:$ZZ$617,78,FALSE)*1000)+(VLOOKUP("4073072",'[8]IS ACCTS'!$F$6:$ZZ$617,78,FALSE))*1000</f>
        <v>565800</v>
      </c>
      <c r="AE76" s="621">
        <f>+(VLOOKUP("4073071",'[8]IS ACCTS'!$F$6:$ZZ$617,79,FALSE)*1000)+(VLOOKUP("4073072",'[8]IS ACCTS'!$F$6:$ZZ$617,79,FALSE))*1000</f>
        <v>402600</v>
      </c>
      <c r="AF76" s="621">
        <f>+(VLOOKUP("4073071",'[8]IS ACCTS'!$F$6:$ZZ$617,80,FALSE)*1000)+(VLOOKUP("4073072",'[8]IS ACCTS'!$F$6:$ZZ$617,80,FALSE))*1000</f>
        <v>179400</v>
      </c>
      <c r="AG76" s="621">
        <f>+(VLOOKUP("4073071",'[8]IS ACCTS'!$F$6:$ZZ$617,81,FALSE)*1000)+(VLOOKUP("4073072",'[8]IS ACCTS'!$F$6:$ZZ$617,81,FALSE))*1000</f>
        <v>179400</v>
      </c>
      <c r="AH76" s="621">
        <f>+(VLOOKUP("4073071",'[8]IS ACCTS'!$F$6:$ZZ$617,82,FALSE)*1000)+(VLOOKUP("4073072",'[8]IS ACCTS'!$F$6:$ZZ$617,82,FALSE))*1000</f>
        <v>179400</v>
      </c>
      <c r="AI76" s="621">
        <f>+(VLOOKUP("4073071",'[8]IS ACCTS'!$F$6:$ZZ$617,83,FALSE)*1000)+(VLOOKUP("4073072",'[8]IS ACCTS'!$F$6:$ZZ$617,83,FALSE))*1000</f>
        <v>179400</v>
      </c>
      <c r="AJ76" s="621">
        <f>+(VLOOKUP("4073071",'[8]IS ACCTS'!$F$6:$ZZ$617,84,FALSE)*1000)+(VLOOKUP("4073072",'[8]IS ACCTS'!$F$6:$ZZ$617,84,FALSE))*1000</f>
        <v>179400</v>
      </c>
      <c r="AK76" s="621">
        <f>+(VLOOKUP("4073071",'[8]IS ACCTS'!$F$6:$ZZ$617,85,FALSE)*1000)+(VLOOKUP("4073072",'[8]IS ACCTS'!$F$6:$ZZ$617,85,FALSE))*1000</f>
        <v>179400</v>
      </c>
      <c r="AL76" s="621">
        <f>+(VLOOKUP("4073071",'[8]IS ACCTS'!$F$6:$ZZ$617,86,FALSE)*1000)+(VLOOKUP("4073072",'[8]IS ACCTS'!$F$6:$ZZ$617,86,FALSE))*1000</f>
        <v>179400</v>
      </c>
      <c r="AM76" s="621">
        <f>+(VLOOKUP("4073071",'[8]IS ACCTS'!$F$6:$ZZ$617,87,FALSE)*1000)+(VLOOKUP("4073072",'[8]IS ACCTS'!$F$6:$ZZ$617,87,FALSE))*1000</f>
        <v>179400</v>
      </c>
      <c r="AN76" s="621">
        <f>+(VLOOKUP("4073071",'[8]IS ACCTS'!$F$6:$ZZ$617,88,FALSE)*1000)+(VLOOKUP("4073072",'[8]IS ACCTS'!$F$6:$ZZ$617,88,FALSE))*1000</f>
        <v>179400</v>
      </c>
      <c r="AO76" s="621">
        <f>+(VLOOKUP("4073071",'[8]IS ACCTS'!$F$6:$ZZ$617,89,FALSE)*1000)+(VLOOKUP("4073072",'[8]IS ACCTS'!$F$6:$ZZ$617,89,FALSE))*1000</f>
        <v>653800</v>
      </c>
      <c r="AP76" s="621">
        <f>+(VLOOKUP("4073071",'[8]IS ACCTS'!$F$6:$ZZ$617,90,FALSE)*1000)+(VLOOKUP("4073072",'[8]IS ACCTS'!$F$6:$ZZ$617,90,FALSE))*1000</f>
        <v>570200</v>
      </c>
      <c r="AQ76" s="621">
        <f>+(VLOOKUP("4073071",'[8]IS ACCTS'!$F$6:$ZZ$617,91,FALSE)*1000)+(VLOOKUP("4073072",'[8]IS ACCTS'!$F$6:$ZZ$617,91,FALSE))*1000</f>
        <v>462400</v>
      </c>
      <c r="AR76" s="621">
        <f>+(VLOOKUP("4073071",'[8]IS ACCTS'!$F$6:$ZZ$617,92,FALSE)*1000)+(VLOOKUP("4073072",'[8]IS ACCTS'!$F$6:$ZZ$617,92,FALSE))*1000</f>
        <v>425100</v>
      </c>
      <c r="AS76" s="621">
        <f>+(VLOOKUP("4073071",'[8]IS ACCTS'!$F$6:$ZZ$617,93,FALSE)*1000)+(VLOOKUP("4073072",'[8]IS ACCTS'!$F$6:$ZZ$617,93,FALSE))*1000</f>
        <v>335400</v>
      </c>
      <c r="AT76" s="621">
        <f>+(VLOOKUP("4073071",'[8]IS ACCTS'!$F$6:$ZZ$617,94,FALSE)*1000)+(VLOOKUP("4073072",'[8]IS ACCTS'!$F$6:$ZZ$617,94,FALSE))*1000</f>
        <v>335400</v>
      </c>
      <c r="AU76" s="621">
        <f>+(VLOOKUP("4073071",'[8]IS ACCTS'!$F$6:$ZZ$617,95,FALSE)*1000)+(VLOOKUP("4073072",'[8]IS ACCTS'!$F$6:$ZZ$617,95,FALSE))*1000</f>
        <v>335400</v>
      </c>
      <c r="AV76" s="621">
        <f>+(VLOOKUP("4073071",'[8]IS ACCTS'!$F$6:$ZZ$617,96,FALSE)*1000)+(VLOOKUP("4073072",'[8]IS ACCTS'!$F$6:$ZZ$617,96,FALSE))*1000</f>
        <v>335400</v>
      </c>
      <c r="AW76" s="621">
        <f>+(VLOOKUP("4073071",'[8]IS ACCTS'!$F$6:$ZZ$617,97,FALSE)*1000)+(VLOOKUP("4073072",'[8]IS ACCTS'!$F$6:$ZZ$617,97,FALSE))*1000</f>
        <v>336200</v>
      </c>
      <c r="AX76" s="621">
        <f>+(VLOOKUP("4073071",'[8]IS ACCTS'!$F$6:$ZZ$617,98,FALSE)*1000)+(VLOOKUP("4073072",'[8]IS ACCTS'!$F$6:$ZZ$617,98,FALSE))*1000</f>
        <v>335400</v>
      </c>
      <c r="AY76" s="621">
        <f>+(VLOOKUP("4073071",'[8]IS ACCTS'!$F$6:$ZZ$617,99,FALSE)*1000)+(VLOOKUP("4073072",'[8]IS ACCTS'!$F$6:$ZZ$617,99,FALSE))*1000</f>
        <v>335400</v>
      </c>
      <c r="AZ76" s="621">
        <f>+(VLOOKUP("4073071",'[8]IS ACCTS'!$F$6:$ZZ$617,100,FALSE)*1000)+(VLOOKUP("4073072",'[8]IS ACCTS'!$F$6:$ZZ$617,100,FALSE))*1000</f>
        <v>335400</v>
      </c>
      <c r="BA76" s="621">
        <f>+(VLOOKUP("4073071",'[8]IS ACCTS'!$F$6:$ZZ$617,101,FALSE)*1000)+(VLOOKUP("4073072",'[8]IS ACCTS'!$F$6:$ZZ$617,101,FALSE))*1000</f>
        <v>204700</v>
      </c>
      <c r="BB76" s="621">
        <f>+(VLOOKUP("4073071",'[8]IS ACCTS'!$F$6:$ZZ$617,102,FALSE)*1000)+(VLOOKUP("4073072",'[8]IS ACCTS'!$F$6:$ZZ$617,102,FALSE))*1000</f>
        <v>227400</v>
      </c>
      <c r="BC76" s="621">
        <f>+(VLOOKUP("4073071",'[8]IS ACCTS'!$F$6:$ZZ$617,103,FALSE)*1000)+(VLOOKUP("4073072",'[8]IS ACCTS'!$F$6:$ZZ$617,103,FALSE))*1000</f>
        <v>127000</v>
      </c>
      <c r="BD76" s="621">
        <f>+(VLOOKUP("4073071",'[8]IS ACCTS'!$F$6:$ZZ$617,104,FALSE)*1000)+(VLOOKUP("4073072",'[8]IS ACCTS'!$F$6:$ZZ$617,104,FALSE))*1000</f>
        <v>59500</v>
      </c>
      <c r="BE76" s="621">
        <f>+(VLOOKUP("4073071",'[8]IS ACCTS'!$F$6:$ZZ$617,105,FALSE)*1000)+(VLOOKUP("4073072",'[8]IS ACCTS'!$F$6:$ZZ$617,105,FALSE))*1000</f>
        <v>28700</v>
      </c>
      <c r="BF76" s="621">
        <f>+(VLOOKUP("4073071",'[8]IS ACCTS'!$F$6:$ZZ$617,106,FALSE)*1000)+(VLOOKUP("4073072",'[8]IS ACCTS'!$F$6:$ZZ$617,106,FALSE))*1000</f>
        <v>28700</v>
      </c>
      <c r="BG76" s="621">
        <f>+(VLOOKUP("4073071",'[8]IS ACCTS'!$F$6:$ZZ$617,107,FALSE)*1000)+(VLOOKUP("4073072",'[8]IS ACCTS'!$F$6:$ZZ$617,107,FALSE))*1000</f>
        <v>28700</v>
      </c>
      <c r="BH76" s="621">
        <f>+(VLOOKUP("4073071",'[8]IS ACCTS'!$F$6:$ZZ$617,108,FALSE)*1000)+(VLOOKUP("4073072",'[8]IS ACCTS'!$F$6:$ZZ$617,108,FALSE))*1000</f>
        <v>28700</v>
      </c>
      <c r="BI76" s="621">
        <f>+(VLOOKUP("4073071",'[8]IS ACCTS'!$F$6:$ZZ$617,109,FALSE)*1000)+(VLOOKUP("4073072",'[8]IS ACCTS'!$F$6:$ZZ$617,109,FALSE))*1000</f>
        <v>28700</v>
      </c>
      <c r="BJ76" s="621">
        <f>+(VLOOKUP("4073071",'[8]IS ACCTS'!$F$6:$ZZ$617,110,FALSE)*1000)+(VLOOKUP("4073072",'[8]IS ACCTS'!$F$6:$ZZ$617,110,FALSE))*1000</f>
        <v>28700</v>
      </c>
      <c r="BK76" s="621">
        <f>+(VLOOKUP("4073071",'[8]IS ACCTS'!$F$6:$ZZ$617,111,FALSE)*1000)+(VLOOKUP("4073072",'[8]IS ACCTS'!$F$6:$ZZ$617,111,FALSE))*1000</f>
        <v>28700</v>
      </c>
      <c r="BL76" s="621">
        <f>+(VLOOKUP("4073071",'[8]IS ACCTS'!$F$6:$ZZ$617,112,FALSE)*1000)+(VLOOKUP("4073072",'[8]IS ACCTS'!$F$6:$ZZ$617,112,FALSE))*1000</f>
        <v>28700</v>
      </c>
      <c r="BM76" s="621">
        <f>+(VLOOKUP("4073071",'[8]IS ACCTS'!$F$6:$ZZ$617,113,FALSE)*1000)+(VLOOKUP("4073072",'[8]IS ACCTS'!$F$6:$ZZ$617,113,FALSE))*1000</f>
        <v>485400</v>
      </c>
      <c r="BN76" s="621">
        <f>+(VLOOKUP("4073071",'[8]IS ACCTS'!$F$6:$ZZ$617,114,FALSE)*1000)+(VLOOKUP("4073072",'[8]IS ACCTS'!$F$6:$ZZ$617,114,FALSE))*1000</f>
        <v>424200</v>
      </c>
      <c r="BO76" s="621">
        <f>+(VLOOKUP("4073071",'[8]IS ACCTS'!$F$6:$ZZ$617,115,FALSE)*1000)+(VLOOKUP("4073072",'[8]IS ACCTS'!$F$6:$ZZ$617,115,FALSE))*1000</f>
        <v>282000</v>
      </c>
      <c r="BP76" s="621">
        <f>+(VLOOKUP("4073071",'[8]IS ACCTS'!$F$6:$ZZ$617,116,FALSE)*1000)+(VLOOKUP("4073072",'[8]IS ACCTS'!$F$6:$ZZ$617,116,FALSE))*1000</f>
        <v>162300</v>
      </c>
      <c r="BQ76" s="621">
        <f>+(VLOOKUP("4073071",'[8]IS ACCTS'!$F$6:$ZZ$617,117,FALSE)*1000)+(VLOOKUP("4073072",'[8]IS ACCTS'!$F$6:$ZZ$617,117,FALSE))*1000</f>
        <v>60100</v>
      </c>
      <c r="BR76" s="621">
        <f>+(VLOOKUP("4073071",'[8]IS ACCTS'!$F$6:$ZZ$617,118,FALSE)*1000)+(VLOOKUP("4073072",'[8]IS ACCTS'!$F$6:$ZZ$617,118,FALSE))*1000</f>
        <v>60100</v>
      </c>
      <c r="BS76" s="621">
        <f>+(VLOOKUP("4073071",'[8]IS ACCTS'!$F$6:$ZZ$617,119,FALSE)*1000)+(VLOOKUP("4073072",'[8]IS ACCTS'!$F$6:$ZZ$617,119,FALSE))*1000</f>
        <v>60100</v>
      </c>
      <c r="BT76" s="621">
        <f>+(VLOOKUP("4073071",'[8]IS ACCTS'!$F$6:$ZZ$617,120,FALSE)*1000)+(VLOOKUP("4073072",'[8]IS ACCTS'!$F$6:$ZZ$617,120,FALSE))*1000</f>
        <v>60100</v>
      </c>
      <c r="BU76" s="621">
        <f>+(VLOOKUP("4073071",'[8]IS ACCTS'!$F$6:$ZZ$617,121,FALSE)*1000)+(VLOOKUP("4073072",'[8]IS ACCTS'!$F$6:$ZZ$617,121,FALSE))*1000</f>
        <v>60100</v>
      </c>
      <c r="BV76" s="621">
        <f>+(VLOOKUP("4073071",'[8]IS ACCTS'!$F$6:$ZZ$617,122,FALSE)*1000)+(VLOOKUP("4073072",'[8]IS ACCTS'!$F$6:$ZZ$617,122,FALSE))*1000</f>
        <v>60100</v>
      </c>
      <c r="BW76" s="621">
        <f>+(VLOOKUP("4073071",'[8]IS ACCTS'!$F$6:$ZZ$617,123,FALSE)*1000)+(VLOOKUP("4073072",'[8]IS ACCTS'!$F$6:$ZZ$617,123,FALSE))*1000</f>
        <v>60100</v>
      </c>
      <c r="BX76" s="621">
        <f>+(VLOOKUP("4073071",'[8]IS ACCTS'!$F$6:$ZZ$617,124,FALSE)*1000)+(VLOOKUP("4073072",'[8]IS ACCTS'!$F$6:$ZZ$617,124,FALSE))*1000</f>
        <v>143500</v>
      </c>
      <c r="BY76" s="621"/>
    </row>
    <row r="77" spans="1:78" ht="12.75" customHeight="1">
      <c r="A77" s="611" t="s">
        <v>202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621">
        <f>+(VLOOKUP("4950271",'[8]IS ACCTS'!$F$6:$ZZ$617,72,FALSE)*1000)</f>
        <v>673000</v>
      </c>
      <c r="Y77" s="621">
        <f>+(VLOOKUP("4950271",'[8]IS ACCTS'!$F$6:$ZZ$617,73,FALSE)*1000)</f>
        <v>691000</v>
      </c>
      <c r="Z77" s="621">
        <f>+(VLOOKUP("4950271",'[8]IS ACCTS'!$F$6:$ZZ$617,74,FALSE)*1000)</f>
        <v>689100</v>
      </c>
      <c r="AA77" s="621">
        <f>+(VLOOKUP("4950271",'[8]IS ACCTS'!$F$6:$ZZ$617,75,FALSE)*1000)</f>
        <v>775400</v>
      </c>
      <c r="AB77" s="621">
        <f>+(VLOOKUP("4950271",'[8]IS ACCTS'!$F$6:$ZZ$617,76,FALSE)*1000)</f>
        <v>1058400</v>
      </c>
      <c r="AC77" s="621">
        <f>+(VLOOKUP("4950271",'[8]IS ACCTS'!$F$6:$ZZ$617,77,FALSE)*1000)</f>
        <v>2113100</v>
      </c>
      <c r="AD77" s="621">
        <f>+(VLOOKUP("4950271",'[8]IS ACCTS'!$F$6:$ZZ$617,78,FALSE)*1000)</f>
        <v>2057699.9999999998</v>
      </c>
      <c r="AE77" s="621">
        <f>+(VLOOKUP("4950271",'[8]IS ACCTS'!$F$6:$ZZ$617,79,FALSE)*1000)</f>
        <v>1918400</v>
      </c>
      <c r="AF77" s="621">
        <f>+(VLOOKUP("4950271",'[8]IS ACCTS'!$F$6:$ZZ$617,80,FALSE)*1000)</f>
        <v>1444400</v>
      </c>
      <c r="AG77" s="621">
        <f>+(VLOOKUP("4950271",'[8]IS ACCTS'!$F$6:$ZZ$617,81,FALSE)*1000)</f>
        <v>1285400</v>
      </c>
      <c r="AH77" s="621">
        <f>+(VLOOKUP("4950271",'[8]IS ACCTS'!$F$6:$ZZ$617,82,FALSE)*1000)</f>
        <v>1282800</v>
      </c>
      <c r="AI77" s="621">
        <f>+(VLOOKUP("4950271",'[8]IS ACCTS'!$F$6:$ZZ$617,83,FALSE)*1000)</f>
        <v>1174800</v>
      </c>
      <c r="AJ77" s="621">
        <f>+(VLOOKUP("4950271",'[8]IS ACCTS'!$F$6:$ZZ$617,84,FALSE)*1000)</f>
        <v>1166800</v>
      </c>
      <c r="AK77" s="621">
        <f>+(VLOOKUP("4950271",'[8]IS ACCTS'!$F$6:$ZZ$617,85,FALSE)*1000)</f>
        <v>1155500</v>
      </c>
      <c r="AL77" s="621">
        <f>+(VLOOKUP("4950271",'[8]IS ACCTS'!$F$6:$ZZ$617,86,FALSE)*1000)</f>
        <v>1233500</v>
      </c>
      <c r="AM77" s="621">
        <f>+(VLOOKUP("4950271",'[8]IS ACCTS'!$F$6:$ZZ$617,87,FALSE)*1000)</f>
        <v>1427100</v>
      </c>
      <c r="AN77" s="621">
        <f>+(VLOOKUP("4950271",'[8]IS ACCTS'!$F$6:$ZZ$617,88,FALSE)*1000)</f>
        <v>1822800</v>
      </c>
      <c r="AO77" s="621">
        <f>+(VLOOKUP("4950271",'[8]IS ACCTS'!$F$6:$ZZ$617,89,FALSE)*1000)</f>
        <v>629600</v>
      </c>
      <c r="AP77" s="621">
        <f>+(VLOOKUP("4950271",'[8]IS ACCTS'!$F$6:$ZZ$617,90,FALSE)*1000)</f>
        <v>575400</v>
      </c>
      <c r="AQ77" s="621">
        <f>+(VLOOKUP("4950271",'[8]IS ACCTS'!$F$6:$ZZ$617,91,FALSE)*1000)</f>
        <v>493900</v>
      </c>
      <c r="AR77" s="621">
        <f>+(VLOOKUP("4950271",'[8]IS ACCTS'!$F$6:$ZZ$617,92,FALSE)*1000)</f>
        <v>482300</v>
      </c>
      <c r="AS77" s="621">
        <f>+(VLOOKUP("4950271",'[8]IS ACCTS'!$F$6:$ZZ$617,93,FALSE)*1000)</f>
        <v>400100</v>
      </c>
      <c r="AT77" s="621">
        <f>+(VLOOKUP("4950271",'[8]IS ACCTS'!$F$6:$ZZ$617,94,FALSE)*1000)</f>
        <v>371800</v>
      </c>
      <c r="AU77" s="621">
        <f>+(VLOOKUP("4950271",'[8]IS ACCTS'!$F$6:$ZZ$617,95,FALSE)*1000)</f>
        <v>361000</v>
      </c>
      <c r="AV77" s="621">
        <f>+(VLOOKUP("4950271",'[8]IS ACCTS'!$F$6:$ZZ$617,96,FALSE)*1000)</f>
        <v>325600</v>
      </c>
      <c r="AW77" s="621">
        <f>+(VLOOKUP("4950271",'[8]IS ACCTS'!$F$6:$ZZ$617,97,FALSE)*1000)</f>
        <v>347600</v>
      </c>
      <c r="AX77" s="621">
        <f>+(VLOOKUP("4950271",'[8]IS ACCTS'!$F$6:$ZZ$617,98,FALSE)*1000)</f>
        <v>339900</v>
      </c>
      <c r="AY77" s="621">
        <f>+(VLOOKUP("4950271",'[8]IS ACCTS'!$F$6:$ZZ$617,99,FALSE)*1000)</f>
        <v>392200</v>
      </c>
      <c r="AZ77" s="621">
        <f>+(VLOOKUP("4950271",'[8]IS ACCTS'!$F$6:$ZZ$617,100,FALSE)*1000)</f>
        <v>513000</v>
      </c>
      <c r="BA77" s="621">
        <f>+(VLOOKUP("4950271",'[8]IS ACCTS'!$F$6:$ZZ$617,101,FALSE)*1000)</f>
        <v>543400</v>
      </c>
      <c r="BB77" s="621">
        <f>+(VLOOKUP("4950271",'[8]IS ACCTS'!$F$6:$ZZ$617,102,FALSE)*1000)</f>
        <v>586600</v>
      </c>
      <c r="BC77" s="621">
        <f>+(VLOOKUP("4950271",'[8]IS ACCTS'!$F$6:$ZZ$617,103,FALSE)*1000)</f>
        <v>503100</v>
      </c>
      <c r="BD77" s="621">
        <f>+(VLOOKUP("4950271",'[8]IS ACCTS'!$F$6:$ZZ$617,104,FALSE)*1000)</f>
        <v>451700</v>
      </c>
      <c r="BE77" s="621">
        <f>+(VLOOKUP("4950271",'[8]IS ACCTS'!$F$6:$ZZ$617,105,FALSE)*1000)</f>
        <v>418500</v>
      </c>
      <c r="BF77" s="621">
        <f>+(VLOOKUP("4950271",'[8]IS ACCTS'!$F$6:$ZZ$617,106,FALSE)*1000)</f>
        <v>363700</v>
      </c>
      <c r="BG77" s="621">
        <f>+(VLOOKUP("4950271",'[8]IS ACCTS'!$F$6:$ZZ$617,107,FALSE)*1000)</f>
        <v>333400</v>
      </c>
      <c r="BH77" s="621">
        <f>+(VLOOKUP("4950271",'[8]IS ACCTS'!$F$6:$ZZ$617,108,FALSE)*1000)</f>
        <v>321200</v>
      </c>
      <c r="BI77" s="621">
        <f>+(VLOOKUP("4950271",'[8]IS ACCTS'!$F$6:$ZZ$617,109,FALSE)*1000)</f>
        <v>334000</v>
      </c>
      <c r="BJ77" s="621">
        <f>+(VLOOKUP("4950271",'[8]IS ACCTS'!$F$6:$ZZ$617,110,FALSE)*1000)</f>
        <v>365600</v>
      </c>
      <c r="BK77" s="621">
        <f>+(VLOOKUP("4950271",'[8]IS ACCTS'!$F$6:$ZZ$617,111,FALSE)*1000)</f>
        <v>389800</v>
      </c>
      <c r="BL77" s="621">
        <f>+(VLOOKUP("4950271",'[8]IS ACCTS'!$F$6:$ZZ$617,112,FALSE)*1000)</f>
        <v>467200</v>
      </c>
      <c r="BM77" s="621">
        <f>+(VLOOKUP("4950271",'[8]IS ACCTS'!$F$6:$ZZ$617,113,FALSE)*1000)</f>
        <v>1007500</v>
      </c>
      <c r="BN77" s="621">
        <f>+(VLOOKUP("4950271",'[8]IS ACCTS'!$F$6:$ZZ$617,114,FALSE)*1000)</f>
        <v>973300</v>
      </c>
      <c r="BO77" s="621">
        <f>+(VLOOKUP("4950271",'[8]IS ACCTS'!$F$6:$ZZ$617,115,FALSE)*1000)</f>
        <v>858100</v>
      </c>
      <c r="BP77" s="621">
        <f>+(VLOOKUP("4950271",'[8]IS ACCTS'!$F$6:$ZZ$617,116,FALSE)*1000)</f>
        <v>762500</v>
      </c>
      <c r="BQ77" s="621">
        <f>+(VLOOKUP("4950271",'[8]IS ACCTS'!$F$6:$ZZ$617,117,FALSE)*1000)</f>
        <v>672400</v>
      </c>
      <c r="BR77" s="621">
        <f>+(VLOOKUP("4950271",'[8]IS ACCTS'!$F$6:$ZZ$617,118,FALSE)*1000)</f>
        <v>626800</v>
      </c>
      <c r="BS77" s="621">
        <f>+(VLOOKUP("4950271",'[8]IS ACCTS'!$F$6:$ZZ$617,119,FALSE)*1000)</f>
        <v>595800</v>
      </c>
      <c r="BT77" s="621">
        <f>+(VLOOKUP("4950271",'[8]IS ACCTS'!$F$6:$ZZ$617,120,FALSE)*1000)</f>
        <v>574900</v>
      </c>
      <c r="BU77" s="621">
        <f>+(VLOOKUP("4950271",'[8]IS ACCTS'!$F$6:$ZZ$617,121,FALSE)*1000)</f>
        <v>589100</v>
      </c>
      <c r="BV77" s="621">
        <f>+(VLOOKUP("4950271",'[8]IS ACCTS'!$F$6:$ZZ$617,122,FALSE)*1000)</f>
        <v>596300</v>
      </c>
      <c r="BW77" s="621">
        <f>+(VLOOKUP("4950271",'[8]IS ACCTS'!$F$6:$ZZ$617,123,FALSE)*1000)</f>
        <v>674200</v>
      </c>
      <c r="BX77" s="621">
        <f>+(VLOOKUP("4950271",'[8]IS ACCTS'!$F$6:$ZZ$617,124,FALSE)*1000)</f>
        <v>868200</v>
      </c>
      <c r="BY77" s="621"/>
    </row>
    <row r="78" spans="1:78" ht="12.75" customHeight="1">
      <c r="A78" s="767" t="s">
        <v>199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622">
        <f t="shared" ref="X78:AA78" si="108">(+X65-X75)/1000</f>
        <v>2E-3</v>
      </c>
      <c r="Y78" s="622">
        <f t="shared" si="108"/>
        <v>2.1999999999999999E-2</v>
      </c>
      <c r="Z78" s="622">
        <f t="shared" si="108"/>
        <v>1.4999999999999999E-2</v>
      </c>
      <c r="AA78" s="622">
        <f t="shared" si="108"/>
        <v>0.02</v>
      </c>
      <c r="AB78" s="622">
        <f t="shared" ref="AB78:AH78" si="109">(+AB65-AB75)/1000</f>
        <v>2.1999999999999999E-2</v>
      </c>
      <c r="AC78" s="622">
        <f t="shared" si="109"/>
        <v>0</v>
      </c>
      <c r="AD78" s="622">
        <f t="shared" si="109"/>
        <v>0</v>
      </c>
      <c r="AE78" s="622">
        <f t="shared" si="109"/>
        <v>0</v>
      </c>
      <c r="AF78" s="622">
        <f t="shared" si="109"/>
        <v>0.02</v>
      </c>
      <c r="AG78" s="622">
        <f t="shared" si="109"/>
        <v>-1.0999999999999999E-2</v>
      </c>
      <c r="AH78" s="622">
        <f t="shared" si="109"/>
        <v>-4.9000000000000002E-2</v>
      </c>
      <c r="AI78" s="622">
        <f t="shared" ref="AI78" si="110">(+AI65-AI75)/1000</f>
        <v>3.5000000000000003E-2</v>
      </c>
      <c r="AJ78" s="622">
        <f t="shared" ref="AJ78:AN78" si="111">(+AJ65-AJ75)/1000</f>
        <v>2.7E-2</v>
      </c>
      <c r="AK78" s="622">
        <f t="shared" si="111"/>
        <v>1E-3</v>
      </c>
      <c r="AL78" s="622">
        <f t="shared" si="111"/>
        <v>2E-3</v>
      </c>
      <c r="AM78" s="622">
        <f t="shared" si="111"/>
        <v>-3.1E-2</v>
      </c>
      <c r="AN78" s="622">
        <f t="shared" si="111"/>
        <v>50.186999999999998</v>
      </c>
      <c r="AO78" s="622">
        <f t="shared" ref="AO78:AZ78" si="112">(+AO65-AO75)/1000</f>
        <v>0</v>
      </c>
      <c r="AP78" s="622">
        <f t="shared" si="112"/>
        <v>0</v>
      </c>
      <c r="AQ78" s="622">
        <f t="shared" si="112"/>
        <v>0</v>
      </c>
      <c r="AR78" s="622">
        <f t="shared" si="112"/>
        <v>0</v>
      </c>
      <c r="AS78" s="622">
        <f t="shared" si="112"/>
        <v>3.4000000000000002E-2</v>
      </c>
      <c r="AT78" s="622">
        <f t="shared" si="112"/>
        <v>-3.7999999999999999E-2</v>
      </c>
      <c r="AU78" s="622">
        <f t="shared" si="112"/>
        <v>-4.0000000000000001E-3</v>
      </c>
      <c r="AV78" s="622">
        <f t="shared" si="112"/>
        <v>-1.2999999999999999E-2</v>
      </c>
      <c r="AW78" s="622">
        <f t="shared" si="112"/>
        <v>-2.3E-2</v>
      </c>
      <c r="AX78" s="622">
        <f t="shared" si="112"/>
        <v>3.5999999999999997E-2</v>
      </c>
      <c r="AY78" s="622">
        <f t="shared" si="112"/>
        <v>-0.03</v>
      </c>
      <c r="AZ78" s="622">
        <f t="shared" si="112"/>
        <v>-2.7E-2</v>
      </c>
      <c r="BA78" s="910">
        <f t="shared" ref="BA78:BL78" si="113">(+BA65-BA75)/1000</f>
        <v>0</v>
      </c>
      <c r="BB78" s="910">
        <f t="shared" si="113"/>
        <v>0</v>
      </c>
      <c r="BC78" s="910">
        <f t="shared" si="113"/>
        <v>0</v>
      </c>
      <c r="BD78" s="910">
        <f t="shared" si="113"/>
        <v>0</v>
      </c>
      <c r="BE78" s="910">
        <f t="shared" si="113"/>
        <v>3.6999999999999998E-2</v>
      </c>
      <c r="BF78" s="910">
        <f t="shared" si="113"/>
        <v>2.5000000000000001E-2</v>
      </c>
      <c r="BG78" s="910">
        <f t="shared" si="113"/>
        <v>2.0999999999985447E-2</v>
      </c>
      <c r="BH78" s="910">
        <f t="shared" si="113"/>
        <v>-4.9000000000000002E-2</v>
      </c>
      <c r="BI78" s="910">
        <f t="shared" si="113"/>
        <v>-0.01</v>
      </c>
      <c r="BJ78" s="910">
        <f t="shared" si="113"/>
        <v>3.5999999999999997E-2</v>
      </c>
      <c r="BK78" s="910">
        <f t="shared" si="113"/>
        <v>4.9000000000000002E-2</v>
      </c>
      <c r="BL78" s="910">
        <f t="shared" si="113"/>
        <v>-3.2000000000000001E-2</v>
      </c>
      <c r="BM78" s="910">
        <f t="shared" ref="BM78:BX78" si="114">(+BM65-BM75)/1000</f>
        <v>0</v>
      </c>
      <c r="BN78" s="910">
        <f t="shared" si="114"/>
        <v>0</v>
      </c>
      <c r="BO78" s="910">
        <f t="shared" si="114"/>
        <v>0</v>
      </c>
      <c r="BP78" s="910">
        <f t="shared" si="114"/>
        <v>0</v>
      </c>
      <c r="BQ78" s="910">
        <f t="shared" si="114"/>
        <v>1.2999999999999999E-2</v>
      </c>
      <c r="BR78" s="910">
        <f t="shared" si="114"/>
        <v>3.5999999999999997E-2</v>
      </c>
      <c r="BS78" s="910">
        <f t="shared" si="114"/>
        <v>-4.8000000000000001E-2</v>
      </c>
      <c r="BT78" s="910">
        <f t="shared" si="114"/>
        <v>-1.9E-2</v>
      </c>
      <c r="BU78" s="910">
        <f t="shared" si="114"/>
        <v>-0.01</v>
      </c>
      <c r="BV78" s="910">
        <f t="shared" si="114"/>
        <v>1.2999999999999999E-2</v>
      </c>
      <c r="BW78" s="910">
        <f t="shared" si="114"/>
        <v>3.6999999999999998E-2</v>
      </c>
      <c r="BX78" s="910">
        <f t="shared" si="114"/>
        <v>0</v>
      </c>
      <c r="BY78" s="910"/>
    </row>
    <row r="79" spans="1:78" ht="12.75" customHeight="1">
      <c r="A79" s="767" t="s">
        <v>199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619">
        <f t="shared" ref="X79:AA79" si="115">(+X66-X76)/1000</f>
        <v>0</v>
      </c>
      <c r="Y79" s="619">
        <f t="shared" si="115"/>
        <v>0</v>
      </c>
      <c r="Z79" s="619">
        <f t="shared" si="115"/>
        <v>-2.3E-2</v>
      </c>
      <c r="AA79" s="619">
        <f t="shared" si="115"/>
        <v>0</v>
      </c>
      <c r="AB79" s="619">
        <f t="shared" ref="AB79:AH79" si="116">(+AB66-AB76)/1000</f>
        <v>3.5999999999999997E-2</v>
      </c>
      <c r="AC79" s="619">
        <f t="shared" si="116"/>
        <v>-1.0999999999999999E-2</v>
      </c>
      <c r="AD79" s="619">
        <f t="shared" si="116"/>
        <v>0.03</v>
      </c>
      <c r="AE79" s="619">
        <f t="shared" si="116"/>
        <v>8.9999999999999993E-3</v>
      </c>
      <c r="AF79" s="619">
        <f t="shared" si="116"/>
        <v>3.3000000000000002E-2</v>
      </c>
      <c r="AG79" s="619">
        <f t="shared" si="116"/>
        <v>3.3000000000000002E-2</v>
      </c>
      <c r="AH79" s="619">
        <f t="shared" si="116"/>
        <v>3.3000000000000002E-2</v>
      </c>
      <c r="AI79" s="619">
        <f t="shared" ref="AI79" si="117">(+AI66-AI76)/1000</f>
        <v>3.3000000000000002E-2</v>
      </c>
      <c r="AJ79" s="619">
        <f t="shared" ref="AJ79:AN79" si="118">(+AJ66-AJ76)/1000</f>
        <v>3.3000000000000002E-2</v>
      </c>
      <c r="AK79" s="619">
        <f t="shared" si="118"/>
        <v>3.3000000000000002E-2</v>
      </c>
      <c r="AL79" s="619">
        <f t="shared" si="118"/>
        <v>3.3000000000000002E-2</v>
      </c>
      <c r="AM79" s="619">
        <f t="shared" si="118"/>
        <v>3.3000000000000002E-2</v>
      </c>
      <c r="AN79" s="619">
        <f t="shared" si="118"/>
        <v>3.3000000000000002E-2</v>
      </c>
      <c r="AO79" s="619">
        <f t="shared" ref="AO79:AZ79" si="119">(+AO66-AO76)/1000</f>
        <v>-8.4000000000000005E-2</v>
      </c>
      <c r="AP79" s="619">
        <f t="shared" si="119"/>
        <v>-7.2999999999999995E-2</v>
      </c>
      <c r="AQ79" s="619">
        <f t="shared" si="119"/>
        <v>-0.03</v>
      </c>
      <c r="AR79" s="619">
        <f t="shared" si="119"/>
        <v>-1.2999999999999999E-2</v>
      </c>
      <c r="AS79" s="619">
        <f t="shared" si="119"/>
        <v>-3.7999999999999999E-2</v>
      </c>
      <c r="AT79" s="619">
        <f t="shared" si="119"/>
        <v>-3.7999999999999999E-2</v>
      </c>
      <c r="AU79" s="619">
        <f t="shared" si="119"/>
        <v>-3.7999999999999999E-2</v>
      </c>
      <c r="AV79" s="619">
        <f t="shared" si="119"/>
        <v>-3.7999999999999999E-2</v>
      </c>
      <c r="AW79" s="619">
        <f t="shared" si="119"/>
        <v>-1.4999999999999999E-2</v>
      </c>
      <c r="AX79" s="619">
        <f t="shared" si="119"/>
        <v>-3.7999999999999999E-2</v>
      </c>
      <c r="AY79" s="619">
        <f t="shared" si="119"/>
        <v>-3.7999999999999999E-2</v>
      </c>
      <c r="AZ79" s="619">
        <f t="shared" si="119"/>
        <v>-4.1000000000000002E-2</v>
      </c>
      <c r="BA79" s="909">
        <f t="shared" ref="BA79:BL79" si="120">(+BA66-BA76)/1000</f>
        <v>4.1000000000000002E-2</v>
      </c>
      <c r="BB79" s="909">
        <f t="shared" si="120"/>
        <v>6.0000000000000001E-3</v>
      </c>
      <c r="BC79" s="909">
        <f t="shared" si="120"/>
        <v>7.0000000000000007E-2</v>
      </c>
      <c r="BD79" s="909">
        <f t="shared" si="120"/>
        <v>7.0999999999999994E-2</v>
      </c>
      <c r="BE79" s="909">
        <f t="shared" si="120"/>
        <v>3.9E-2</v>
      </c>
      <c r="BF79" s="909">
        <f t="shared" si="120"/>
        <v>3.9E-2</v>
      </c>
      <c r="BG79" s="909">
        <f t="shared" si="120"/>
        <v>3.9E-2</v>
      </c>
      <c r="BH79" s="909">
        <f t="shared" si="120"/>
        <v>3.9E-2</v>
      </c>
      <c r="BI79" s="909">
        <f t="shared" si="120"/>
        <v>3.9E-2</v>
      </c>
      <c r="BJ79" s="909">
        <f t="shared" si="120"/>
        <v>3.9E-2</v>
      </c>
      <c r="BK79" s="909">
        <f t="shared" si="120"/>
        <v>3.9E-2</v>
      </c>
      <c r="BL79" s="909">
        <f t="shared" si="120"/>
        <v>4.1000000000000002E-2</v>
      </c>
      <c r="BM79" s="909">
        <f t="shared" ref="BM79:BX79" si="121">(+BM66-BM76)/1000</f>
        <v>7.0000000000000001E-3</v>
      </c>
      <c r="BN79" s="909">
        <f t="shared" si="121"/>
        <v>-3.9E-2</v>
      </c>
      <c r="BO79" s="909">
        <f t="shared" si="121"/>
        <v>-2.9000000000000001E-2</v>
      </c>
      <c r="BP79" s="909">
        <f t="shared" si="121"/>
        <v>-4.8000000000000001E-2</v>
      </c>
      <c r="BQ79" s="909">
        <f t="shared" si="121"/>
        <v>-3.0000000000000001E-3</v>
      </c>
      <c r="BR79" s="909">
        <f t="shared" si="121"/>
        <v>-3.0000000000000001E-3</v>
      </c>
      <c r="BS79" s="909">
        <f t="shared" si="121"/>
        <v>-3.0000000000000001E-3</v>
      </c>
      <c r="BT79" s="909">
        <f t="shared" si="121"/>
        <v>-3.0000000000000001E-3</v>
      </c>
      <c r="BU79" s="909">
        <f t="shared" si="121"/>
        <v>-3.0000000000000001E-3</v>
      </c>
      <c r="BV79" s="909">
        <f t="shared" si="121"/>
        <v>-3.0000000000000001E-3</v>
      </c>
      <c r="BW79" s="909">
        <f t="shared" si="121"/>
        <v>-3.0000000000000001E-3</v>
      </c>
      <c r="BX79" s="909">
        <f t="shared" si="121"/>
        <v>-2.1000000000000001E-2</v>
      </c>
      <c r="BY79" s="909"/>
    </row>
    <row r="80" spans="1:78" ht="12.75" customHeight="1">
      <c r="A80" s="767" t="s">
        <v>199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622">
        <f t="shared" ref="X80:AA80" si="122">(+X63-X77)/1000</f>
        <v>-6.9699999999720602E-3</v>
      </c>
      <c r="Y80" s="622">
        <f t="shared" si="122"/>
        <v>-1.371999999997206E-2</v>
      </c>
      <c r="Z80" s="622">
        <f t="shared" si="122"/>
        <v>-1.5869999999995343E-2</v>
      </c>
      <c r="AA80" s="622">
        <f t="shared" si="122"/>
        <v>6.9699999999720602E-3</v>
      </c>
      <c r="AB80" s="622">
        <f t="shared" ref="AB80:AH80" si="123">(+AB63-AB77)/1000</f>
        <v>6.8500000000931323E-3</v>
      </c>
      <c r="AC80" s="622">
        <f t="shared" si="123"/>
        <v>-4.5729999999981376E-2</v>
      </c>
      <c r="AD80" s="622">
        <f t="shared" si="123"/>
        <v>-3.7199999997392296E-3</v>
      </c>
      <c r="AE80" s="622">
        <f t="shared" si="123"/>
        <v>2.1299999998882413E-3</v>
      </c>
      <c r="AF80" s="622">
        <f t="shared" si="123"/>
        <v>-3.8459999999962746E-2</v>
      </c>
      <c r="AG80" s="622">
        <f t="shared" si="123"/>
        <v>4.1379999999888242E-2</v>
      </c>
      <c r="AH80" s="622">
        <f t="shared" si="123"/>
        <v>2.5820000000065194E-2</v>
      </c>
      <c r="AI80" s="622">
        <f t="shared" ref="AI80" si="124">(+AI63-AI77)/1000</f>
        <v>1.6129999999888241E-2</v>
      </c>
      <c r="AJ80" s="622">
        <f t="shared" ref="AJ80:AN80" si="125">(+AJ63-AJ77)/1000</f>
        <v>2.7979999999981374E-2</v>
      </c>
      <c r="AK80" s="622">
        <f t="shared" si="125"/>
        <v>4.8959999999962749E-2</v>
      </c>
      <c r="AL80" s="622">
        <f t="shared" si="125"/>
        <v>-1.2469999999972061E-2</v>
      </c>
      <c r="AM80" s="622">
        <f t="shared" si="125"/>
        <v>2.8080000000074507E-2</v>
      </c>
      <c r="AN80" s="622">
        <f t="shared" si="125"/>
        <v>51.526409999999913</v>
      </c>
      <c r="AO80" s="622">
        <f t="shared" ref="AO80:AZ80" si="126">(+AO63-AO77)/1000</f>
        <v>-2.7510000000009312E-2</v>
      </c>
      <c r="AP80" s="622">
        <f t="shared" si="126"/>
        <v>2.2130000000004656E-2</v>
      </c>
      <c r="AQ80" s="622">
        <f t="shared" si="126"/>
        <v>2.4820000000006986E-2</v>
      </c>
      <c r="AR80" s="622">
        <f t="shared" si="126"/>
        <v>8.8900000000139701E-3</v>
      </c>
      <c r="AS80" s="622">
        <f t="shared" si="126"/>
        <v>-3.4820000000006984E-2</v>
      </c>
      <c r="AT80" s="622">
        <f t="shared" si="126"/>
        <v>-8.9799999999813744E-3</v>
      </c>
      <c r="AU80" s="622">
        <f t="shared" si="126"/>
        <v>-2.8400000000023282E-2</v>
      </c>
      <c r="AV80" s="622">
        <f t="shared" si="126"/>
        <v>4.1359999999986033E-2</v>
      </c>
      <c r="AW80" s="622">
        <f t="shared" si="126"/>
        <v>-3.2000000000000001E-2</v>
      </c>
      <c r="AX80" s="622">
        <f t="shared" si="126"/>
        <v>-4.2999999999999997E-2</v>
      </c>
      <c r="AY80" s="622">
        <f t="shared" si="126"/>
        <v>-0.02</v>
      </c>
      <c r="AZ80" s="622">
        <f t="shared" si="126"/>
        <v>-2.1000000000000001E-2</v>
      </c>
      <c r="BA80" s="910">
        <f t="shared" ref="BA80:BL80" si="127">(+BA63-BA77)/1000</f>
        <v>-2.4439999999944121E-2</v>
      </c>
      <c r="BB80" s="910">
        <f t="shared" si="127"/>
        <v>-3.060999999998603E-2</v>
      </c>
      <c r="BC80" s="910">
        <f t="shared" si="127"/>
        <v>-4.4090000000025609E-2</v>
      </c>
      <c r="BD80" s="910">
        <f t="shared" si="127"/>
        <v>3.3469999999972064E-2</v>
      </c>
      <c r="BE80" s="910">
        <f t="shared" si="127"/>
        <v>1.3729999999981373E-2</v>
      </c>
      <c r="BF80" s="910">
        <f t="shared" si="127"/>
        <v>-4.6390000000013969E-2</v>
      </c>
      <c r="BG80" s="910">
        <f t="shared" si="127"/>
        <v>-2.7739999999990685E-2</v>
      </c>
      <c r="BH80" s="910">
        <f t="shared" si="127"/>
        <v>0.17329999999998835</v>
      </c>
      <c r="BI80" s="910">
        <f t="shared" si="127"/>
        <v>0.17140999999997439</v>
      </c>
      <c r="BJ80" s="910">
        <f t="shared" si="127"/>
        <v>-6.6369999999995349E-2</v>
      </c>
      <c r="BK80" s="910">
        <f t="shared" si="127"/>
        <v>6.7520000000018621E-2</v>
      </c>
      <c r="BL80" s="910">
        <f t="shared" si="127"/>
        <v>0.27758000000001631</v>
      </c>
      <c r="BM80" s="910">
        <f t="shared" ref="BM80:BX80" si="128">(+BM63-BM77)/1000</f>
        <v>2.1189999999944122E-2</v>
      </c>
      <c r="BN80" s="910">
        <f t="shared" si="128"/>
        <v>-3.5530000000027942E-2</v>
      </c>
      <c r="BO80" s="910">
        <f t="shared" si="128"/>
        <v>-3.3430000000051224E-2</v>
      </c>
      <c r="BP80" s="910">
        <f t="shared" si="128"/>
        <v>4.354000000003725E-2</v>
      </c>
      <c r="BQ80" s="910">
        <f t="shared" si="128"/>
        <v>-4.5089999999967406E-2</v>
      </c>
      <c r="BR80" s="910">
        <f t="shared" si="128"/>
        <v>3.6010000000009312E-2</v>
      </c>
      <c r="BS80" s="910">
        <f t="shared" si="128"/>
        <v>-5.4799999999813739E-3</v>
      </c>
      <c r="BT80" s="910">
        <f t="shared" si="128"/>
        <v>-1.6999999999534339E-3</v>
      </c>
      <c r="BU80" s="910">
        <f t="shared" si="128"/>
        <v>3.239000000001397E-2</v>
      </c>
      <c r="BV80" s="910">
        <f t="shared" si="128"/>
        <v>-2.3489999999990688E-2</v>
      </c>
      <c r="BW80" s="910">
        <f t="shared" si="128"/>
        <v>4.3800000000046566E-2</v>
      </c>
      <c r="BX80" s="910">
        <f t="shared" si="128"/>
        <v>-4.1650000000023286E-2</v>
      </c>
      <c r="BY80" s="910"/>
    </row>
    <row r="81" spans="2:76" ht="12.75" customHeight="1"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</row>
    <row r="82" spans="2:76" ht="12.75" customHeight="1"/>
    <row r="83" spans="2:76" ht="12.75" customHeight="1"/>
    <row r="84" spans="2:76" ht="12.75" customHeight="1"/>
    <row r="85" spans="2:76" ht="12.75" customHeight="1">
      <c r="B85" s="450"/>
    </row>
    <row r="86" spans="2:76" ht="12.75" customHeight="1"/>
    <row r="87" spans="2:76" ht="12.75" customHeight="1"/>
    <row r="88" spans="2:76" ht="12.75" customHeight="1"/>
    <row r="89" spans="2:76" ht="12.75" customHeight="1"/>
    <row r="94" spans="2:76" hidden="1"/>
    <row r="95" spans="2:76" hidden="1"/>
    <row r="98" spans="1:3">
      <c r="A98" s="26"/>
      <c r="B98" s="26"/>
      <c r="C98" s="26"/>
    </row>
    <row r="100" spans="1:3" ht="12.75" customHeight="1"/>
  </sheetData>
  <pageMargins left="0.25" right="0.25" top="0.75" bottom="0.75" header="0.3" footer="0.3"/>
  <pageSetup paperSize="5" scale="67" orientation="landscape" r:id="rId1"/>
  <headerFooter alignWithMargins="0">
    <oddFooter>&amp;L&amp;Z&amp;F
&amp;D</oddFooter>
  </headerFooter>
  <ignoredErrors>
    <ignoredError sqref="B56" formulaRange="1"/>
  </ignoredError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tabColor rgb="FFFF0000"/>
    <pageSetUpPr fitToPage="1"/>
  </sheetPr>
  <dimension ref="A1:X63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1142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1143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1040374.3141140146</v>
      </c>
      <c r="C9" s="76"/>
      <c r="D9" s="432">
        <f ca="1">+'COMP Act to Prior'!D9</f>
        <v>2025527.3874393962</v>
      </c>
      <c r="E9" s="76"/>
      <c r="F9" s="303">
        <f ca="1">D9-B9</f>
        <v>985153.07332538161</v>
      </c>
      <c r="G9" s="303"/>
      <c r="H9" s="316">
        <f ca="1">ROUND((((B17/(D9+D10+D11+D13))-B20)/B23)-(((B17/(B9+D10+D11+D13))-B20)/B23),4)*10000</f>
        <v>-624</v>
      </c>
      <c r="I9" s="76"/>
      <c r="J9" s="58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99113.27608434936</v>
      </c>
      <c r="C10" s="76"/>
      <c r="D10" s="303">
        <f ca="1">+'COMP Act to Prior'!D10</f>
        <v>26412.458933076909</v>
      </c>
      <c r="E10" s="76"/>
      <c r="F10" s="303">
        <f ca="1">D10-B10</f>
        <v>-72700.817151272451</v>
      </c>
      <c r="G10" s="303"/>
      <c r="H10" s="316">
        <f ca="1">ROUND((((B17/(D9+D11+D13+D10))-B20)/B23)-(((B17/(B10+D9+D11+D13))-B20)/B23),4)*10000</f>
        <v>23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0</v>
      </c>
      <c r="C12" s="76"/>
      <c r="D12" s="303">
        <f ca="1">+'COMP Act to Prior'!D12</f>
        <v>1184.5254784615386</v>
      </c>
      <c r="E12" s="76"/>
      <c r="F12" s="303">
        <f ca="1">D12-B12</f>
        <v>1184.5254784615386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5446.020664781503</v>
      </c>
      <c r="C13" s="76"/>
      <c r="D13" s="315">
        <f ca="1">+'COMP Act to Prior'!D13</f>
        <v>-28792.100266969584</v>
      </c>
      <c r="E13" s="76"/>
      <c r="F13" s="303">
        <f ca="1">D13-B13</f>
        <v>-34238.120931751087</v>
      </c>
      <c r="G13" s="190"/>
      <c r="H13" s="316">
        <f ca="1">ROUND((((B17/(D9+D10+D11+D12+D13))-B20)/B23)-(((B17/(B13+D9+D10+D11+D12))-B20)/B23),4)*10000</f>
        <v>11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f>SUM(B9:B13)</f>
        <v>1144933.6108631454</v>
      </c>
      <c r="C15" s="52"/>
      <c r="D15" s="61">
        <f ca="1">+'COMP Act to Prior'!D15</f>
        <v>2024332.2716000001</v>
      </c>
      <c r="E15" s="52"/>
      <c r="F15" s="50">
        <f ca="1">D15-B15</f>
        <v>879398.66073685465</v>
      </c>
      <c r="G15" s="50"/>
      <c r="H15" s="53">
        <f ca="1">ROUND((((B17/D15)-B20)/B23)-(((B17/B15)-B20)/B23),4)*10000</f>
        <v>-505.00000000000006</v>
      </c>
      <c r="I15" s="53">
        <f ca="1">SUM(H9:H13)</f>
        <v>-590</v>
      </c>
      <c r="J15" s="316"/>
      <c r="K15" s="53">
        <f ca="1">H15-I15</f>
        <v>84.999999999999943</v>
      </c>
      <c r="L15" s="76"/>
      <c r="M15" s="76"/>
      <c r="N15" s="76"/>
      <c r="O15" s="975"/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57055.280213653758</v>
      </c>
      <c r="D17" s="62">
        <f ca="1">+'COMP Act to Prior'!D17</f>
        <v>111760.75260000001</v>
      </c>
      <c r="F17" s="50">
        <f ca="1">D17-B17</f>
        <v>54705.47238634625</v>
      </c>
      <c r="G17" s="63"/>
      <c r="H17" s="64">
        <f ca="1">ROUND((((D17/B15)-B20)/B23)-(((B17/B15)-B20)/B23),4)*10000</f>
        <v>1115</v>
      </c>
      <c r="I17" s="53"/>
      <c r="J17" s="53"/>
      <c r="K17" s="53"/>
      <c r="L17" s="64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f>ROUND((B17/B15),4)</f>
        <v>4.9799999999999997E-2</v>
      </c>
      <c r="C19" s="76"/>
      <c r="D19" s="298">
        <f ca="1">+'COMP Act to Prior'!D19</f>
        <v>5.5199999999999999E-2</v>
      </c>
      <c r="E19" s="76"/>
      <c r="F19" s="298">
        <f ca="1">D19-B19</f>
        <v>5.400000000000002E-3</v>
      </c>
      <c r="G19" s="298"/>
      <c r="H19" s="316">
        <f ca="1">ROUND((F19/$B$23)*10000,0)</f>
        <v>126</v>
      </c>
      <c r="I19" s="53">
        <f ca="1">H15+H17</f>
        <v>610</v>
      </c>
      <c r="J19" s="316"/>
      <c r="K19" s="53">
        <f ca="1">H19-I19</f>
        <v>-484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1.4969110844972272E-2</v>
      </c>
      <c r="C20" s="76"/>
      <c r="D20" s="299">
        <f ca="1">+'COMP Act to Prior'!D20</f>
        <v>1.7999999999999999E-2</v>
      </c>
      <c r="E20" s="76"/>
      <c r="F20" s="298">
        <f ca="1">D20-B20</f>
        <v>3.0308891550277269E-3</v>
      </c>
      <c r="G20" s="298"/>
      <c r="H20" s="316">
        <f ca="1">-ROUND((F20/$B$23)*10000,0)</f>
        <v>-71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f>B19-B20</f>
        <v>3.4830889155027724E-2</v>
      </c>
      <c r="C22" s="76"/>
      <c r="D22" s="298">
        <f ca="1">+'COMP Act to Prior'!D22</f>
        <v>3.7199999999999997E-2</v>
      </c>
      <c r="E22" s="76"/>
      <c r="F22" s="298">
        <f ca="1">D22-B22</f>
        <v>2.3691108449722734E-3</v>
      </c>
      <c r="G22" s="298"/>
      <c r="H22" s="316">
        <f ca="1">ROUND((F22/$B$23)*10000,0)</f>
        <v>55</v>
      </c>
      <c r="I22" s="53">
        <f ca="1">H19+H20</f>
        <v>55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0.42862516652407467</v>
      </c>
      <c r="C23" s="76"/>
      <c r="D23" s="299">
        <f ca="1">+'COMP Act to Prior'!D23</f>
        <v>0.47539999999999999</v>
      </c>
      <c r="E23" s="76"/>
      <c r="F23" s="298">
        <f ca="1">D23-B23</f>
        <v>4.6774833475925315E-2</v>
      </c>
      <c r="G23" s="298"/>
      <c r="H23" s="316">
        <f ca="1">ROUND((B22/D23)-(B22/B23),4)*10000</f>
        <v>-80</v>
      </c>
      <c r="I23" s="53"/>
      <c r="J23" s="316"/>
      <c r="K23" s="426">
        <f ca="1">+F23/H23</f>
        <v>-5.8468541844906646E-4</v>
      </c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f>ROUND((B22/B23),4)</f>
        <v>8.1299999999999997E-2</v>
      </c>
      <c r="D25" s="189">
        <f ca="1">+'COMP Act to Prior'!D25</f>
        <v>7.8100000000000003E-2</v>
      </c>
      <c r="F25" s="65">
        <f ca="1">D25-B25</f>
        <v>-3.1999999999999945E-3</v>
      </c>
      <c r="G25" s="65"/>
      <c r="H25" s="53">
        <f ca="1">(D25-B25)*10000</f>
        <v>-31.999999999999947</v>
      </c>
      <c r="I25" s="53">
        <f ca="1">H22+H23</f>
        <v>-25</v>
      </c>
      <c r="J25" s="53"/>
      <c r="K25" s="53">
        <f ca="1">H25-I25</f>
        <v>-6.9999999999999467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8:8">
      <c r="H33" s="76"/>
    </row>
    <row r="34" spans="8:8">
      <c r="H34" s="76"/>
    </row>
    <row r="35" spans="8:8">
      <c r="H35" s="76"/>
    </row>
    <row r="36" spans="8:8">
      <c r="H36" s="76"/>
    </row>
    <row r="37" spans="8:8">
      <c r="H37" s="76"/>
    </row>
    <row r="38" spans="8:8">
      <c r="H38" s="76"/>
    </row>
    <row r="39" spans="8:8">
      <c r="H39" s="76"/>
    </row>
    <row r="40" spans="8:8">
      <c r="H40" s="76"/>
    </row>
    <row r="41" spans="8:8">
      <c r="H41" s="76"/>
    </row>
    <row r="42" spans="8:8">
      <c r="H42" s="76"/>
    </row>
    <row r="43" spans="8:8">
      <c r="H43" s="76"/>
    </row>
    <row r="44" spans="8:8">
      <c r="H44" s="76"/>
    </row>
    <row r="45" spans="8:8">
      <c r="H45" s="76"/>
    </row>
    <row r="46" spans="8:8">
      <c r="H46" s="76"/>
    </row>
    <row r="47" spans="8:8">
      <c r="H47" s="76"/>
    </row>
    <row r="48" spans="8:8">
      <c r="H48" s="76"/>
    </row>
    <row r="49" spans="8:8">
      <c r="H49" s="76"/>
    </row>
    <row r="50" spans="8:8">
      <c r="H50" s="76"/>
    </row>
    <row r="51" spans="8:8">
      <c r="H51" s="76"/>
    </row>
    <row r="52" spans="8:8">
      <c r="H52" s="76"/>
    </row>
    <row r="53" spans="8:8">
      <c r="H53" s="76"/>
    </row>
    <row r="54" spans="8:8">
      <c r="H54" s="76"/>
    </row>
    <row r="55" spans="8:8">
      <c r="H55" s="76"/>
    </row>
    <row r="56" spans="8:8">
      <c r="H56" s="76"/>
    </row>
    <row r="57" spans="8:8">
      <c r="H57" s="76"/>
    </row>
    <row r="58" spans="8:8">
      <c r="H58" s="76"/>
    </row>
    <row r="59" spans="8:8">
      <c r="H59" s="76"/>
    </row>
    <row r="60" spans="8:8">
      <c r="H60" s="76"/>
    </row>
    <row r="61" spans="8:8">
      <c r="H61" s="76"/>
    </row>
    <row r="62" spans="8:8">
      <c r="H62" s="76"/>
    </row>
    <row r="63" spans="8:8">
      <c r="H63" s="76"/>
    </row>
  </sheetData>
  <conditionalFormatting sqref="K15:K25">
    <cfRule type="cellIs" dxfId="3" priority="1" stopIfTrue="1" operator="equal">
      <formula>0</formula>
    </cfRule>
    <cfRule type="cellIs" dxfId="2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0000"/>
    <pageSetUpPr fitToPage="1"/>
  </sheetPr>
  <dimension ref="A1:X62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4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4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4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4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4"/>
    </row>
    <row r="6" spans="1:24" s="52" customFormat="1" ht="15.75">
      <c r="A6" s="51" t="s">
        <v>1049</v>
      </c>
      <c r="B6" s="430" t="s">
        <v>1142</v>
      </c>
      <c r="C6" s="51"/>
      <c r="D6" s="257" t="str">
        <f>'COMP Act to Prior'!D6</f>
        <v>2023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1113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4"/>
    </row>
    <row r="9" spans="1:24">
      <c r="A9" s="76" t="s">
        <v>472</v>
      </c>
      <c r="B9" s="432">
        <v>1057504.1898664278</v>
      </c>
      <c r="C9" s="76"/>
      <c r="D9" s="432">
        <f ca="1">+'COMP Act to Prior'!D9</f>
        <v>2025527.3874393962</v>
      </c>
      <c r="E9" s="432">
        <f ca="1">Report!$J$92</f>
        <v>2025527.3874393962</v>
      </c>
      <c r="F9" s="303">
        <f ca="1">D9-B9</f>
        <v>968023.19757296843</v>
      </c>
      <c r="G9" s="303"/>
      <c r="H9" s="316">
        <f ca="1">ROUND((((B17/(D9+D10+D11+D13))-B20)/B23)-(((B17/(B9+D10+D11+D13))-B20)/B23),4)*10000</f>
        <v>-492</v>
      </c>
      <c r="I9" s="316">
        <f ca="1">ROUND((((B17/(D9+D10+D11+D13))-B20)/B23)-(((B17/(B9+D10+D11+D13))-B20)/B23),4)*10000</f>
        <v>-492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4"/>
    </row>
    <row r="10" spans="1:24">
      <c r="A10" s="76" t="s">
        <v>190</v>
      </c>
      <c r="B10" s="303">
        <v>54559.842273846152</v>
      </c>
      <c r="C10" s="76"/>
      <c r="D10" s="303">
        <f ca="1">+'COMP Act to Prior'!D10</f>
        <v>26412.458933076909</v>
      </c>
      <c r="E10" s="76"/>
      <c r="F10" s="303">
        <f ca="1">D10-B10</f>
        <v>-28147.383340769244</v>
      </c>
      <c r="G10" s="303"/>
      <c r="H10" s="316">
        <f ca="1">ROUND((((B17/(D9+D11+D13+D10))-B20)/B23)-(((B17/(B10+D9+D11+D13))-B20)/B23),4)*10000</f>
        <v>7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4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4"/>
    </row>
    <row r="12" spans="1:24">
      <c r="A12" s="76" t="s">
        <v>478</v>
      </c>
      <c r="B12" s="303">
        <v>8635.2361569230779</v>
      </c>
      <c r="C12" s="76"/>
      <c r="D12" s="303">
        <f ca="1">+'COMP Act to Prior'!D12</f>
        <v>1184.5254784615386</v>
      </c>
      <c r="E12" s="76"/>
      <c r="F12" s="303">
        <f ca="1">D12-B12</f>
        <v>-7450.7106784615389</v>
      </c>
      <c r="G12" s="190"/>
      <c r="H12" s="316">
        <f ca="1">ROUND((((B17/(D9+D10+D11+D12+D13))-B20)/B23)-(((B17/(B12+D9+D10+D11+D13))-B20)/B23),4)*10000</f>
        <v>2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4"/>
    </row>
    <row r="13" spans="1:24" ht="15.75">
      <c r="A13" s="76" t="s">
        <v>1058</v>
      </c>
      <c r="B13" s="191">
        <v>-52078.199629699673</v>
      </c>
      <c r="C13" s="76"/>
      <c r="D13" s="315">
        <f ca="1">+'COMP Act to Prior'!D13</f>
        <v>-28792.100266969584</v>
      </c>
      <c r="E13" s="76"/>
      <c r="F13" s="303">
        <f ca="1">D13-B13</f>
        <v>23286.099362730089</v>
      </c>
      <c r="G13" s="190"/>
      <c r="H13" s="316">
        <f ca="1">ROUND((((B17/(D9+D10+D11+D12+D13))-B20)/B23)-(((B17/(B13+D9+D10+D11+D12))-B20)/B23),4)*10000</f>
        <v>-5.9999999999999991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4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4"/>
    </row>
    <row r="15" spans="1:24" ht="15.75">
      <c r="A15" s="52" t="s">
        <v>727</v>
      </c>
      <c r="B15" s="61">
        <v>1068621.0686999999</v>
      </c>
      <c r="C15" s="52"/>
      <c r="D15" s="61">
        <f ca="1">+'COMP Act to Prior'!D15</f>
        <v>2024332.2716000001</v>
      </c>
      <c r="E15" s="52"/>
      <c r="F15" s="50">
        <f ca="1">D15-B15</f>
        <v>955711.20290000015</v>
      </c>
      <c r="G15" s="50"/>
      <c r="H15" s="53">
        <f ca="1">ROUND((((B17/D15)-B20)/B23)-(((B17/B15)-B20)/B23),4)*10000</f>
        <v>-479</v>
      </c>
      <c r="I15" s="53">
        <f ca="1">SUM(H9:H13)</f>
        <v>-489</v>
      </c>
      <c r="J15" s="316"/>
      <c r="K15" s="53">
        <f ca="1">H15-I15</f>
        <v>10</v>
      </c>
      <c r="L15" s="76"/>
      <c r="M15" s="76"/>
      <c r="N15" s="76"/>
      <c r="O15" s="975"/>
      <c r="P15" s="76"/>
      <c r="Q15" s="76"/>
      <c r="R15" s="76"/>
      <c r="S15" s="76"/>
      <c r="T15" s="76"/>
      <c r="U15" s="76"/>
      <c r="V15" s="76"/>
      <c r="W15" s="76"/>
      <c r="X15" s="974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4"/>
    </row>
    <row r="17" spans="1:24" s="52" customFormat="1" ht="15.75">
      <c r="A17" s="52" t="s">
        <v>1059</v>
      </c>
      <c r="B17" s="62">
        <v>51078.476799999997</v>
      </c>
      <c r="D17" s="62">
        <f ca="1">+'COMP Act to Prior'!D17</f>
        <v>111760.75260000001</v>
      </c>
      <c r="F17" s="50">
        <f ca="1">D17-B17</f>
        <v>60682.27580000001</v>
      </c>
      <c r="G17" s="63"/>
      <c r="H17" s="64">
        <f ca="1">ROUND((((D17/B15)-B20)/B23)-(((B17/B15)-B20)/B23),4)*10000</f>
        <v>1206</v>
      </c>
      <c r="I17" s="53"/>
      <c r="J17" s="53"/>
      <c r="K17" s="53"/>
      <c r="L17" s="64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4"/>
    </row>
    <row r="19" spans="1:24" ht="15.75">
      <c r="A19" s="76" t="s">
        <v>1060</v>
      </c>
      <c r="B19" s="298">
        <v>4.7800000000000002E-2</v>
      </c>
      <c r="C19" s="76"/>
      <c r="D19" s="298">
        <f ca="1">+'COMP Act to Prior'!D19</f>
        <v>5.5199999999999999E-2</v>
      </c>
      <c r="E19" s="76"/>
      <c r="F19" s="298">
        <f ca="1">D19-B19</f>
        <v>7.3999999999999969E-3</v>
      </c>
      <c r="G19" s="298"/>
      <c r="H19" s="316">
        <f ca="1">ROUND((F19/$B$23)*10000,0)</f>
        <v>157</v>
      </c>
      <c r="I19" s="53">
        <f ca="1">H15+H17</f>
        <v>727</v>
      </c>
      <c r="J19" s="316"/>
      <c r="K19" s="53">
        <f ca="1">H19-I19</f>
        <v>-570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4"/>
    </row>
    <row r="20" spans="1:24" ht="15.75">
      <c r="A20" s="76" t="s">
        <v>1061</v>
      </c>
      <c r="B20" s="299">
        <v>1.44E-2</v>
      </c>
      <c r="C20" s="76"/>
      <c r="D20" s="299">
        <f ca="1">+'COMP Act to Prior'!D20</f>
        <v>1.7999999999999999E-2</v>
      </c>
      <c r="E20" s="76"/>
      <c r="F20" s="298">
        <f ca="1">D20-B20</f>
        <v>3.599999999999999E-3</v>
      </c>
      <c r="G20" s="298"/>
      <c r="H20" s="316">
        <f ca="1">-ROUND((F20/$B$23)*10000,0)</f>
        <v>-76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4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4"/>
    </row>
    <row r="22" spans="1:24" ht="15.75">
      <c r="A22" s="76" t="s">
        <v>1062</v>
      </c>
      <c r="B22" s="298">
        <v>3.3399999999999999E-2</v>
      </c>
      <c r="C22" s="76"/>
      <c r="D22" s="298">
        <f ca="1">+'COMP Act to Prior'!D22</f>
        <v>3.7199999999999997E-2</v>
      </c>
      <c r="E22" s="76"/>
      <c r="F22" s="298">
        <f ca="1">D22-B22</f>
        <v>3.7999999999999978E-3</v>
      </c>
      <c r="G22" s="298"/>
      <c r="H22" s="316">
        <f ca="1">ROUND((F22/$B$23)*10000,0)</f>
        <v>81</v>
      </c>
      <c r="I22" s="53">
        <f ca="1">H19+H20</f>
        <v>81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4"/>
    </row>
    <row r="23" spans="1:24" ht="15.75">
      <c r="A23" s="76" t="s">
        <v>1063</v>
      </c>
      <c r="B23" s="299">
        <v>0.47070000000000001</v>
      </c>
      <c r="C23" s="76"/>
      <c r="D23" s="299">
        <f ca="1">+'COMP Act to Prior'!D23</f>
        <v>0.47539999999999999</v>
      </c>
      <c r="E23" s="76"/>
      <c r="F23" s="298">
        <f ca="1">D23-B23</f>
        <v>4.699999999999982E-3</v>
      </c>
      <c r="G23" s="298"/>
      <c r="H23" s="316">
        <f ca="1">ROUND((B22/D23)-(B22/B23),4)*10000</f>
        <v>-7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4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4"/>
    </row>
    <row r="25" spans="1:24" s="52" customFormat="1" ht="15.75">
      <c r="A25" s="52" t="s">
        <v>1064</v>
      </c>
      <c r="B25" s="65">
        <v>7.0999999999999994E-2</v>
      </c>
      <c r="D25" s="189">
        <f ca="1">+'COMP Act to Prior'!D25</f>
        <v>7.8100000000000003E-2</v>
      </c>
      <c r="F25" s="65">
        <f ca="1">D25-B25</f>
        <v>7.1000000000000091E-3</v>
      </c>
      <c r="G25" s="65"/>
      <c r="H25" s="53">
        <f ca="1">(D25-B25)*10000</f>
        <v>71.000000000000085</v>
      </c>
      <c r="I25" s="53">
        <f ca="1">H22+H23</f>
        <v>74</v>
      </c>
      <c r="J25" s="53"/>
      <c r="K25" s="53">
        <f ca="1">H25-I25</f>
        <v>-2.9999999999999147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6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4"/>
    </row>
    <row r="28" spans="1:24">
      <c r="A28" s="76" t="s">
        <v>1065</v>
      </c>
      <c r="B28" s="433">
        <v>75852.815251693566</v>
      </c>
      <c r="C28" s="76"/>
      <c r="D28" s="977">
        <f ca="1">+'COMP Act to Prior'!D28</f>
        <v>140503.29999999996</v>
      </c>
      <c r="E28" s="190"/>
      <c r="F28" s="303">
        <f ca="1">D28-B28</f>
        <v>64650.484748306393</v>
      </c>
      <c r="G28" s="303"/>
      <c r="H28" s="325">
        <f ca="1">ROUND((((D28/B15)-B20)/B23)-(((B28/B15)-B20)/B23),4)*10000</f>
        <v>1285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4"/>
    </row>
    <row r="29" spans="1:24">
      <c r="A29" s="76" t="s">
        <v>1066</v>
      </c>
      <c r="B29" s="434">
        <v>13637.210310000002</v>
      </c>
      <c r="C29" s="76"/>
      <c r="D29" s="434">
        <f ca="1">+'COMP Act to Prior'!D29</f>
        <v>25866.2</v>
      </c>
      <c r="E29" s="190"/>
      <c r="F29" s="303">
        <f ca="1">D29-B29</f>
        <v>12228.989689999999</v>
      </c>
      <c r="G29" s="303"/>
      <c r="H29" s="325">
        <f ca="1">-ROUND((((D29/B15)-B20)/B23)-(((B29/B15)-B20)/B23),4)*10000</f>
        <v>-243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4"/>
    </row>
    <row r="30" spans="1:24" ht="15.75">
      <c r="A30" s="978" t="s">
        <v>1067</v>
      </c>
      <c r="B30" s="191">
        <v>0</v>
      </c>
      <c r="C30" s="978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4"/>
    </row>
    <row r="31" spans="1:24" ht="15.75">
      <c r="A31" s="300" t="s">
        <v>1068</v>
      </c>
      <c r="B31" s="191">
        <v>13637.210310000002</v>
      </c>
      <c r="C31" s="300"/>
      <c r="D31" s="191">
        <f ca="1">+'COMP Act to Prior'!D31</f>
        <v>25866.2</v>
      </c>
      <c r="E31" s="190"/>
      <c r="F31" s="303">
        <f ca="1">D31-B31</f>
        <v>12228.989689999999</v>
      </c>
      <c r="G31" s="190"/>
      <c r="H31" s="325">
        <f ca="1">-ROUND((((D31/B15)-B20)/B23)-(((B31/B15)-B20)/B23),4)*10000</f>
        <v>-243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4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4"/>
    </row>
    <row r="33" spans="1:24" ht="15.75">
      <c r="A33" s="76" t="s">
        <v>1069</v>
      </c>
      <c r="B33" s="191">
        <v>62215.604941693564</v>
      </c>
      <c r="C33" s="76"/>
      <c r="D33" s="191">
        <f ca="1">+'COMP Act to Prior'!D33</f>
        <v>114637.09999999996</v>
      </c>
      <c r="E33" s="190"/>
      <c r="F33" s="303">
        <f ca="1">D33-B33</f>
        <v>52421.495058306398</v>
      </c>
      <c r="G33" s="303"/>
      <c r="H33" s="325">
        <f ca="1">ROUND((((D33/B15)-B20)/B23)-(((B33/B15)-B20)/B23),4)*10000</f>
        <v>1042</v>
      </c>
      <c r="I33" s="316">
        <f ca="1">H28+H29+H30</f>
        <v>1042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4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4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4"/>
    </row>
    <row r="36" spans="1:24" ht="15.75">
      <c r="A36" s="978" t="s">
        <v>1071</v>
      </c>
      <c r="B36" s="191">
        <v>-11137.128121939444</v>
      </c>
      <c r="C36" s="978"/>
      <c r="D36" s="191">
        <f ca="1">+'COMP Act to Prior'!D36</f>
        <v>-2876.347380839572</v>
      </c>
      <c r="E36" s="190"/>
      <c r="F36" s="303">
        <f ca="1">D36-B36</f>
        <v>8260.7807410998721</v>
      </c>
      <c r="G36" s="76"/>
      <c r="H36" s="325">
        <f ca="1">ROUND((((D36/B15)-B20)/B23)-(((B36/B15)-B20)/B23),4)*10000</f>
        <v>164</v>
      </c>
      <c r="I36" s="316">
        <f ca="1">H36</f>
        <v>164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4"/>
    </row>
    <row r="37" spans="1:24" s="52" customFormat="1" ht="15.75">
      <c r="A37" s="52" t="s">
        <v>1059</v>
      </c>
      <c r="B37" s="62">
        <v>51078.47681975412</v>
      </c>
      <c r="D37" s="67">
        <f ca="1">+'COMP Act to Prior'!D37</f>
        <v>111760.7526191604</v>
      </c>
      <c r="E37" s="68"/>
      <c r="F37" s="50">
        <f ca="1">D37-B37</f>
        <v>60682.275799406278</v>
      </c>
      <c r="G37" s="63"/>
      <c r="H37" s="326">
        <f ca="1">ROUND((((D37/B15)-B20)/B23)-(((B37/B15)-B20)/B23),4)*10000</f>
        <v>1206</v>
      </c>
      <c r="I37" s="53">
        <f ca="1">H33+H36</f>
        <v>1206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1.9160390365868807E-5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6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4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4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4"/>
    </row>
    <row r="42" spans="1:24">
      <c r="A42" s="76" t="s">
        <v>1075</v>
      </c>
      <c r="B42" s="192">
        <v>33.454936857192898</v>
      </c>
      <c r="C42" s="76"/>
      <c r="D42" s="192">
        <f ca="1">+'COMP Act to Prior'!D42</f>
        <v>28.980152780785676</v>
      </c>
      <c r="E42" s="190"/>
      <c r="F42" s="303">
        <f ca="1">D42-B42</f>
        <v>-4.4747840764072215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4"/>
    </row>
    <row r="43" spans="1:24">
      <c r="A43" s="76" t="s">
        <v>1076</v>
      </c>
      <c r="B43" s="192">
        <v>-501.45777550891574</v>
      </c>
      <c r="C43" s="76"/>
      <c r="D43" s="192">
        <f ca="1">+'COMP Act to Prior'!D43</f>
        <v>-435.55689744836917</v>
      </c>
      <c r="E43" s="190"/>
      <c r="F43" s="303">
        <f t="shared" ref="F43:F58" ca="1" si="0">D43-B43</f>
        <v>65.900878060546574</v>
      </c>
      <c r="G43" s="298"/>
      <c r="H43" s="325">
        <f t="shared" ref="H43:H58" ca="1" si="1">ROUND((((D43/$B$15)-$B$20)/$B$23)-(((B43/$B$15)-$B$20)/$B$23),4)*10000</f>
        <v>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4"/>
    </row>
    <row r="44" spans="1:24">
      <c r="A44" s="76" t="s">
        <v>1077</v>
      </c>
      <c r="B44" s="192">
        <v>0</v>
      </c>
      <c r="C44" s="76"/>
      <c r="D44" s="192">
        <f>+'COMP Act to Prior'!D44</f>
        <v>2099</v>
      </c>
      <c r="E44" s="190"/>
      <c r="F44" s="303">
        <f t="shared" si="0"/>
        <v>2099</v>
      </c>
      <c r="G44" s="298"/>
      <c r="H44" s="325">
        <f t="shared" si="1"/>
        <v>42</v>
      </c>
      <c r="I44" s="76"/>
      <c r="J44" s="76"/>
      <c r="K44" s="76"/>
      <c r="L44" s="76"/>
      <c r="M44" s="76"/>
      <c r="N44" s="76"/>
      <c r="O44" s="975"/>
      <c r="P44" s="76"/>
      <c r="Q44" s="76"/>
      <c r="R44" s="76"/>
      <c r="S44" s="76"/>
      <c r="T44" s="76"/>
      <c r="U44" s="76"/>
      <c r="V44" s="76"/>
      <c r="W44" s="76"/>
      <c r="X44" s="974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4"/>
    </row>
    <row r="46" spans="1:24">
      <c r="A46" s="76" t="s">
        <v>1079</v>
      </c>
      <c r="B46" s="192">
        <v>15.348969453788403</v>
      </c>
      <c r="C46" s="76"/>
      <c r="D46" s="192">
        <f ca="1">+'COMP Act to Prior'!D46</f>
        <v>13.437899999999999</v>
      </c>
      <c r="E46" s="190"/>
      <c r="F46" s="303">
        <f t="shared" ca="1" si="0"/>
        <v>-1.9110694537884036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4"/>
    </row>
    <row r="47" spans="1:24">
      <c r="A47" s="76" t="s">
        <v>1080</v>
      </c>
      <c r="B47" s="192">
        <v>65.982534347830011</v>
      </c>
      <c r="C47" s="76"/>
      <c r="D47" s="192">
        <f ca="1">+'COMP Act to Prior'!D47</f>
        <v>59.108476990500002</v>
      </c>
      <c r="E47" s="190"/>
      <c r="F47" s="303">
        <f t="shared" ca="1" si="0"/>
        <v>-6.8740573573300097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9"/>
      <c r="P47" s="76"/>
      <c r="Q47" s="76"/>
      <c r="R47" s="76"/>
      <c r="S47" s="76"/>
      <c r="T47" s="76"/>
      <c r="U47" s="76"/>
      <c r="V47" s="76"/>
      <c r="W47" s="76"/>
      <c r="X47" s="974"/>
    </row>
    <row r="48" spans="1:24">
      <c r="A48" s="76" t="s">
        <v>1081</v>
      </c>
      <c r="B48" s="192">
        <v>-70.237322380427941</v>
      </c>
      <c r="C48" s="76"/>
      <c r="D48" s="192">
        <f ca="1">+'COMP Act to Prior'!D48</f>
        <v>0</v>
      </c>
      <c r="E48" s="190"/>
      <c r="F48" s="303">
        <f t="shared" ca="1" si="0"/>
        <v>70.237322380427941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980"/>
      <c r="P48" s="76"/>
      <c r="Q48" s="76"/>
      <c r="R48" s="76"/>
      <c r="S48" s="76"/>
      <c r="T48" s="76"/>
      <c r="U48" s="76"/>
      <c r="V48" s="76"/>
      <c r="W48" s="76"/>
      <c r="X48" s="974"/>
    </row>
    <row r="49" spans="1:11">
      <c r="A49" s="76" t="s">
        <v>1082</v>
      </c>
      <c r="B49" s="192">
        <v>29.692076598964093</v>
      </c>
      <c r="C49" s="76"/>
      <c r="D49" s="192">
        <f ca="1">+'COMP Act to Prior'!D49</f>
        <v>28.703727937785594</v>
      </c>
      <c r="E49" s="190"/>
      <c r="F49" s="303">
        <f t="shared" ca="1" si="0"/>
        <v>-0.98834866117849884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4.8546098080180791</v>
      </c>
      <c r="C50" s="76"/>
      <c r="D50" s="192">
        <f ca="1">+'COMP Act to Prior'!D50</f>
        <v>4.4270182972260006</v>
      </c>
      <c r="E50" s="190"/>
      <c r="F50" s="303">
        <f t="shared" ca="1" si="0"/>
        <v>-0.42759151079207847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60.114596460999998</v>
      </c>
      <c r="C51" s="76"/>
      <c r="D51" s="192">
        <f>+'COMP Act to Prior'!D51</f>
        <v>0</v>
      </c>
      <c r="E51" s="190"/>
      <c r="F51" s="303">
        <f t="shared" si="0"/>
        <v>-60.114596460999998</v>
      </c>
      <c r="G51" s="298"/>
      <c r="H51" s="325">
        <f t="shared" si="1"/>
        <v>-1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-80.415622883790007</v>
      </c>
      <c r="C53" s="200"/>
      <c r="D53" s="192">
        <f ca="1">+'COMP Act to Prior'!D53</f>
        <v>-87.940603800000005</v>
      </c>
      <c r="E53" s="76"/>
      <c r="F53" s="303">
        <f ca="1">D53-B53</f>
        <v>-7.5249809162099979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-2.9436490331136156E-4</v>
      </c>
      <c r="C55" s="76"/>
      <c r="D55" s="192">
        <f ca="1">+'COMP Act to Prior'!D55</f>
        <v>-3.3594749993426376E-4</v>
      </c>
      <c r="E55" s="190"/>
      <c r="F55" s="303">
        <f t="shared" ca="1" si="0"/>
        <v>-4.1582596622902201E-5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-10694.464830328201</v>
      </c>
      <c r="C56" s="76"/>
      <c r="D56" s="192">
        <f ca="1">+'COMP Act to Prior'!D56</f>
        <v>-4586.5068196499997</v>
      </c>
      <c r="E56" s="190"/>
      <c r="F56" s="303">
        <f t="shared" ca="1" si="0"/>
        <v>6107.9580106782014</v>
      </c>
      <c r="G56" s="298"/>
      <c r="H56" s="325">
        <f t="shared" ca="1" si="1"/>
        <v>121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-11137.128121939444</v>
      </c>
      <c r="C58" s="76"/>
      <c r="D58" s="190">
        <f ca="1">+'COMP Act to Prior'!D58</f>
        <v>-2876.347380839572</v>
      </c>
      <c r="E58" s="190"/>
      <c r="F58" s="303">
        <f t="shared" ca="1" si="0"/>
        <v>8260.7807410998721</v>
      </c>
      <c r="G58" s="76"/>
      <c r="H58" s="325">
        <f t="shared" ca="1" si="1"/>
        <v>164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9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9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  <pageSetUpPr fitToPage="1"/>
  </sheetPr>
  <dimension ref="A1:K40"/>
  <sheetViews>
    <sheetView workbookViewId="0"/>
  </sheetViews>
  <sheetFormatPr defaultColWidth="9.140625" defaultRowHeight="15"/>
  <cols>
    <col min="1" max="1" width="41.42578125" style="43" customWidth="1"/>
    <col min="2" max="5" width="20.7109375" style="43" customWidth="1"/>
    <col min="6" max="6" width="6.28515625" customWidth="1"/>
    <col min="7" max="7" width="36.7109375" style="43" bestFit="1" customWidth="1"/>
    <col min="8" max="11" width="20.7109375" style="43" customWidth="1"/>
    <col min="12" max="16384" width="9.140625" style="43"/>
  </cols>
  <sheetData>
    <row r="1" spans="1:11" ht="18">
      <c r="A1" s="45" t="s">
        <v>1046</v>
      </c>
      <c r="B1" s="45"/>
      <c r="C1" s="45"/>
      <c r="D1" s="45"/>
      <c r="E1" s="45"/>
      <c r="G1" s="45" t="s">
        <v>1046</v>
      </c>
      <c r="H1" s="76"/>
      <c r="I1" s="76"/>
      <c r="J1" s="76"/>
      <c r="K1" s="76"/>
    </row>
    <row r="2" spans="1:11" ht="18">
      <c r="A2" s="45" t="s">
        <v>1047</v>
      </c>
      <c r="B2" s="45"/>
      <c r="C2" s="45"/>
      <c r="D2" s="45"/>
      <c r="E2" s="45"/>
      <c r="G2" s="45" t="s">
        <v>1047</v>
      </c>
      <c r="H2" s="76"/>
      <c r="I2" s="76"/>
      <c r="J2" s="76"/>
      <c r="K2" s="76"/>
    </row>
    <row r="3" spans="1:11" ht="18">
      <c r="A3" s="48" t="s">
        <v>1048</v>
      </c>
      <c r="B3" s="48"/>
      <c r="C3" s="48"/>
      <c r="D3" s="48"/>
      <c r="E3" s="48"/>
      <c r="G3" s="48" t="s">
        <v>1048</v>
      </c>
      <c r="H3" s="76"/>
      <c r="I3" s="76"/>
      <c r="J3" s="76"/>
      <c r="K3" s="76"/>
    </row>
    <row r="4" spans="1:11" ht="15.75" customHeight="1">
      <c r="A4" s="51" t="s">
        <v>1049</v>
      </c>
      <c r="B4" s="48"/>
      <c r="C4" s="48"/>
      <c r="D4" s="48"/>
      <c r="E4" s="48"/>
      <c r="G4" s="51" t="s">
        <v>1049</v>
      </c>
      <c r="H4" s="76"/>
      <c r="I4" s="76"/>
      <c r="J4" s="76"/>
      <c r="K4" s="76"/>
    </row>
    <row r="5" spans="1:11" ht="15.75" customHeight="1">
      <c r="A5" s="375"/>
      <c r="B5"/>
      <c r="C5"/>
      <c r="D5"/>
      <c r="E5"/>
      <c r="G5" s="375"/>
      <c r="H5"/>
      <c r="I5"/>
      <c r="J5"/>
      <c r="K5"/>
    </row>
    <row r="6" spans="1:11" s="52" customFormat="1" ht="15.75">
      <c r="B6" s="430" t="s">
        <v>1107</v>
      </c>
      <c r="C6" s="430" t="s">
        <v>1107</v>
      </c>
      <c r="D6" s="430" t="s">
        <v>4</v>
      </c>
      <c r="E6" s="430" t="s">
        <v>4</v>
      </c>
      <c r="F6"/>
      <c r="H6" s="430" t="s">
        <v>1107</v>
      </c>
      <c r="I6" s="430" t="s">
        <v>1107</v>
      </c>
      <c r="J6" s="430" t="s">
        <v>4</v>
      </c>
      <c r="K6" s="430" t="s">
        <v>4</v>
      </c>
    </row>
    <row r="7" spans="1:11" s="52" customFormat="1" ht="15.75">
      <c r="A7" s="484" t="s">
        <v>1144</v>
      </c>
      <c r="B7" s="431" t="s">
        <v>1145</v>
      </c>
      <c r="C7" s="431" t="s">
        <v>1146</v>
      </c>
      <c r="D7" s="431" t="s">
        <v>1147</v>
      </c>
      <c r="E7" s="431" t="s">
        <v>1148</v>
      </c>
      <c r="F7"/>
      <c r="G7" s="485" t="s">
        <v>1144</v>
      </c>
      <c r="H7" s="431" t="s">
        <v>1145</v>
      </c>
      <c r="I7" s="431" t="s">
        <v>1146</v>
      </c>
      <c r="J7" s="431" t="s">
        <v>1147</v>
      </c>
      <c r="K7" s="431" t="s">
        <v>1148</v>
      </c>
    </row>
    <row r="8" spans="1:11" ht="15.75">
      <c r="A8" s="52" t="s">
        <v>727</v>
      </c>
      <c r="B8" s="303">
        <v>967735.9656</v>
      </c>
      <c r="C8" s="303">
        <v>988611.17779999995</v>
      </c>
      <c r="D8" s="303">
        <v>1018025.3029</v>
      </c>
      <c r="E8" s="303">
        <v>1072258.7873</v>
      </c>
      <c r="G8" s="52" t="s">
        <v>727</v>
      </c>
      <c r="H8" s="303">
        <v>967735.9656</v>
      </c>
      <c r="I8" s="303">
        <v>988611.17779999995</v>
      </c>
      <c r="J8" s="303">
        <v>1018025.3029</v>
      </c>
      <c r="K8" s="303">
        <v>1072258.7873</v>
      </c>
    </row>
    <row r="9" spans="1:11">
      <c r="A9" s="76"/>
      <c r="B9" s="76"/>
      <c r="C9" s="76"/>
      <c r="D9" s="76"/>
      <c r="E9" s="76"/>
      <c r="G9" s="76"/>
      <c r="H9" s="76"/>
      <c r="I9" s="76"/>
      <c r="J9" s="76"/>
      <c r="K9" s="76"/>
    </row>
    <row r="10" spans="1:11" s="52" customFormat="1" ht="15.75">
      <c r="A10" s="52" t="s">
        <v>1059</v>
      </c>
      <c r="B10" s="432">
        <v>58512.536</v>
      </c>
      <c r="C10" s="432">
        <v>54693.674500000001</v>
      </c>
      <c r="D10" s="432">
        <v>51592.3658</v>
      </c>
      <c r="E10" s="432">
        <v>49566.5965</v>
      </c>
      <c r="F10"/>
      <c r="G10" s="52" t="s">
        <v>1059</v>
      </c>
      <c r="H10" s="432">
        <v>58512.536</v>
      </c>
      <c r="I10" s="432">
        <v>54693.674500000001</v>
      </c>
      <c r="J10" s="432">
        <v>51592.3658</v>
      </c>
      <c r="K10" s="432">
        <v>49566.5965</v>
      </c>
    </row>
    <row r="11" spans="1:11">
      <c r="A11" s="76"/>
      <c r="B11" s="76"/>
      <c r="C11" s="76"/>
      <c r="D11" s="76"/>
      <c r="E11" s="76"/>
      <c r="G11" s="76"/>
      <c r="H11" s="76"/>
      <c r="I11" s="76"/>
      <c r="J11" s="76"/>
      <c r="K11" s="76"/>
    </row>
    <row r="12" spans="1:11" ht="15.75">
      <c r="A12" s="52" t="s">
        <v>1063</v>
      </c>
      <c r="B12" s="298">
        <v>0.4698</v>
      </c>
      <c r="C12" s="298">
        <v>0.47199999999999998</v>
      </c>
      <c r="D12" s="298">
        <v>0.47360000000000002</v>
      </c>
      <c r="E12" s="298">
        <v>0.47</v>
      </c>
      <c r="G12" s="52" t="s">
        <v>1063</v>
      </c>
      <c r="H12" s="298">
        <v>0.4698</v>
      </c>
      <c r="I12" s="298">
        <v>0.47199999999999998</v>
      </c>
      <c r="J12" s="298">
        <v>0.47360000000000002</v>
      </c>
      <c r="K12" s="298">
        <v>0.47</v>
      </c>
    </row>
    <row r="13" spans="1:11">
      <c r="A13" s="76"/>
      <c r="B13" s="300"/>
      <c r="C13" s="300"/>
      <c r="D13" s="300"/>
      <c r="E13" s="300"/>
      <c r="G13" s="76"/>
      <c r="H13" s="300"/>
      <c r="I13" s="300"/>
      <c r="J13" s="300"/>
      <c r="K13" s="300"/>
    </row>
    <row r="14" spans="1:11" s="52" customFormat="1" ht="15.75">
      <c r="A14" s="52" t="s">
        <v>1064</v>
      </c>
      <c r="B14" s="298">
        <v>9.4600000000000004E-2</v>
      </c>
      <c r="C14" s="298">
        <v>8.4600000000000009E-2</v>
      </c>
      <c r="D14" s="298">
        <v>7.51E-2</v>
      </c>
      <c r="E14" s="298">
        <v>6.5799999999999997E-2</v>
      </c>
      <c r="F14"/>
      <c r="G14" s="52" t="s">
        <v>1064</v>
      </c>
      <c r="H14" s="298">
        <v>9.4600000000000004E-2</v>
      </c>
      <c r="I14" s="298">
        <v>8.4600000000000009E-2</v>
      </c>
      <c r="J14" s="298">
        <v>7.51E-2</v>
      </c>
      <c r="K14" s="298">
        <v>6.5799999999999997E-2</v>
      </c>
    </row>
    <row r="15" spans="1:11" ht="9" customHeight="1">
      <c r="A15" s="985"/>
      <c r="B15" s="985"/>
      <c r="C15" s="985"/>
      <c r="D15" s="985"/>
      <c r="E15" s="985"/>
      <c r="G15" s="985"/>
      <c r="H15" s="985"/>
      <c r="I15" s="985"/>
      <c r="J15" s="985"/>
      <c r="K15" s="985"/>
    </row>
    <row r="16" spans="1:11" customFormat="1" ht="15.75">
      <c r="A16" s="486" t="s">
        <v>316</v>
      </c>
      <c r="B16" s="431" t="s">
        <v>1145</v>
      </c>
      <c r="C16" s="431" t="s">
        <v>1146</v>
      </c>
      <c r="D16" s="431" t="s">
        <v>1147</v>
      </c>
      <c r="E16" s="431" t="s">
        <v>1148</v>
      </c>
      <c r="G16" s="486" t="s">
        <v>316</v>
      </c>
      <c r="H16" s="431" t="s">
        <v>1145</v>
      </c>
      <c r="I16" s="431" t="s">
        <v>1146</v>
      </c>
      <c r="J16" s="431" t="s">
        <v>1147</v>
      </c>
      <c r="K16" s="431" t="s">
        <v>1148</v>
      </c>
    </row>
    <row r="17" spans="1:11" ht="15.75">
      <c r="A17" s="52" t="s">
        <v>727</v>
      </c>
      <c r="B17" s="986">
        <f>+B8-B27</f>
        <v>-14552.42200000002</v>
      </c>
      <c r="C17" s="986">
        <f>+C8-C27</f>
        <v>-35536.222400000086</v>
      </c>
      <c r="D17" s="986">
        <f>+D8-D27</f>
        <v>-51457.81660000002</v>
      </c>
      <c r="E17" s="986">
        <f>+E8-E27</f>
        <v>-51644.756500000134</v>
      </c>
      <c r="G17" s="52" t="s">
        <v>727</v>
      </c>
      <c r="H17" s="986">
        <f>+H8-H27</f>
        <v>-3364.3473999999696</v>
      </c>
      <c r="I17" s="986">
        <f>+I8-I27</f>
        <v>-19420.701000000001</v>
      </c>
      <c r="J17" s="986">
        <f>+J8-J27</f>
        <v>-36940.87229999993</v>
      </c>
      <c r="K17" s="986">
        <f>+K8-K27</f>
        <v>-38556.877400000114</v>
      </c>
    </row>
    <row r="18" spans="1:11">
      <c r="A18" s="76"/>
      <c r="B18" s="76"/>
      <c r="C18" s="76"/>
      <c r="D18" s="76"/>
      <c r="E18" s="76"/>
      <c r="G18" s="76"/>
      <c r="H18" s="76"/>
      <c r="I18" s="76"/>
      <c r="J18" s="76"/>
      <c r="K18" s="76"/>
    </row>
    <row r="19" spans="1:11" ht="15.75">
      <c r="A19" s="52" t="s">
        <v>1059</v>
      </c>
      <c r="B19" s="986">
        <f>+B10-B29</f>
        <v>-1879.9700000000012</v>
      </c>
      <c r="C19" s="986">
        <f>+C10-C29</f>
        <v>-4467.5807999999961</v>
      </c>
      <c r="D19" s="986">
        <f>+D10-D29</f>
        <v>-6336.3151999999973</v>
      </c>
      <c r="E19" s="986">
        <f>+E10-E29</f>
        <v>-8552.4781999999977</v>
      </c>
      <c r="G19" s="52" t="s">
        <v>1059</v>
      </c>
      <c r="H19" s="986">
        <f>+H10-H29</f>
        <v>-1601.6328999999969</v>
      </c>
      <c r="I19" s="986">
        <f>+I10-I29</f>
        <v>-3976.2842000000019</v>
      </c>
      <c r="J19" s="986">
        <f>+J10-J29</f>
        <v>-5455.2477999999974</v>
      </c>
      <c r="K19" s="986">
        <f>+K10-K29</f>
        <v>-7377.8888000000006</v>
      </c>
    </row>
    <row r="20" spans="1:11">
      <c r="A20" s="76"/>
      <c r="B20" s="76"/>
      <c r="C20" s="76"/>
      <c r="D20" s="76"/>
      <c r="E20" s="76"/>
      <c r="G20" s="76"/>
      <c r="H20" s="76"/>
      <c r="I20" s="76"/>
      <c r="J20" s="76"/>
      <c r="K20" s="76"/>
    </row>
    <row r="21" spans="1:11" ht="15.75">
      <c r="A21" s="52" t="s">
        <v>1063</v>
      </c>
      <c r="B21" s="904">
        <f>+B12-B31</f>
        <v>4.500000000000004E-3</v>
      </c>
      <c r="C21" s="904">
        <f>+C12-C31</f>
        <v>7.6999999999999846E-3</v>
      </c>
      <c r="D21" s="904">
        <f>+D12-D31</f>
        <v>1.0000000000000009E-2</v>
      </c>
      <c r="E21" s="904">
        <f>+E12-E31</f>
        <v>5.2999999999999714E-3</v>
      </c>
      <c r="G21" s="52" t="s">
        <v>1063</v>
      </c>
      <c r="H21" s="904">
        <f>+H12-H31</f>
        <v>1.2999999999999678E-3</v>
      </c>
      <c r="I21" s="904">
        <f>+I12-I31</f>
        <v>3.1999999999999806E-3</v>
      </c>
      <c r="J21" s="904">
        <f>+J12-J31</f>
        <v>6.0000000000000053E-3</v>
      </c>
      <c r="K21" s="904">
        <f>+K12-K31</f>
        <v>2.5999999999999912E-3</v>
      </c>
    </row>
    <row r="22" spans="1:11">
      <c r="A22" s="76"/>
      <c r="B22" s="76"/>
      <c r="C22" s="76"/>
      <c r="D22" s="76"/>
      <c r="E22" s="76"/>
      <c r="G22" s="76"/>
      <c r="H22" s="76"/>
      <c r="I22" s="76"/>
      <c r="J22" s="76"/>
      <c r="K22" s="76"/>
    </row>
    <row r="23" spans="1:11" ht="15.75">
      <c r="A23" s="52" t="s">
        <v>1064</v>
      </c>
      <c r="B23" s="904">
        <f>+B14-B33</f>
        <v>-2.6999999999999941E-3</v>
      </c>
      <c r="C23" s="904">
        <f>+C14-C33</f>
        <v>-4.8999999999999877E-3</v>
      </c>
      <c r="D23" s="904">
        <f>+D14-D33</f>
        <v>-6.4000000000000029E-3</v>
      </c>
      <c r="E23" s="904">
        <f>+E14-E33</f>
        <v>-9.3000000000000027E-3</v>
      </c>
      <c r="G23" s="52" t="s">
        <v>1064</v>
      </c>
      <c r="H23" s="904">
        <f>+H14-H33</f>
        <v>-3.5999999999999921E-3</v>
      </c>
      <c r="I23" s="904">
        <f>+I14-I33</f>
        <v>-6.0999999999999943E-3</v>
      </c>
      <c r="J23" s="904">
        <f>+J14-J33</f>
        <v>-6.4999999999999919E-3</v>
      </c>
      <c r="K23" s="904">
        <f>+K14-K33</f>
        <v>-9.5999999999999974E-3</v>
      </c>
    </row>
    <row r="24" spans="1:11" ht="9" customHeight="1">
      <c r="A24" s="482"/>
      <c r="B24" s="985"/>
      <c r="C24" s="985"/>
      <c r="D24" s="985"/>
      <c r="E24" s="985"/>
      <c r="G24" s="482"/>
      <c r="H24" s="985"/>
      <c r="I24" s="985"/>
      <c r="J24" s="985"/>
      <c r="K24" s="985"/>
    </row>
    <row r="25" spans="1:11" ht="15.75">
      <c r="A25" s="76"/>
      <c r="B25" s="476" t="s">
        <v>3</v>
      </c>
      <c r="C25" s="476" t="str">
        <f>+B25</f>
        <v>Budget</v>
      </c>
      <c r="D25" s="476" t="str">
        <f>+B25</f>
        <v>Budget</v>
      </c>
      <c r="E25" s="476" t="s">
        <v>3</v>
      </c>
      <c r="G25" s="76"/>
      <c r="H25" s="476" t="s">
        <v>4</v>
      </c>
      <c r="I25" s="476" t="str">
        <f>+H25</f>
        <v>Forecast</v>
      </c>
      <c r="J25" s="476" t="str">
        <f>+H25</f>
        <v>Forecast</v>
      </c>
      <c r="K25" s="476" t="s">
        <v>4</v>
      </c>
    </row>
    <row r="26" spans="1:11" ht="15.75">
      <c r="A26" s="485" t="s">
        <v>1149</v>
      </c>
      <c r="B26" s="483" t="s">
        <v>1145</v>
      </c>
      <c r="C26" s="483" t="s">
        <v>1146</v>
      </c>
      <c r="D26" s="483" t="s">
        <v>1147</v>
      </c>
      <c r="E26" s="483" t="s">
        <v>1148</v>
      </c>
      <c r="G26" s="485" t="s">
        <v>1150</v>
      </c>
      <c r="H26" s="483" t="s">
        <v>1145</v>
      </c>
      <c r="I26" s="483" t="s">
        <v>1146</v>
      </c>
      <c r="J26" s="483" t="s">
        <v>1147</v>
      </c>
      <c r="K26" s="483" t="s">
        <v>1148</v>
      </c>
    </row>
    <row r="27" spans="1:11" ht="15.75">
      <c r="A27" s="52" t="s">
        <v>727</v>
      </c>
      <c r="B27" s="477">
        <v>982288.38760000002</v>
      </c>
      <c r="C27" s="477">
        <v>1024147.4002</v>
      </c>
      <c r="D27" s="477">
        <v>1069483.1195</v>
      </c>
      <c r="E27" s="477">
        <v>1123903.5438000001</v>
      </c>
      <c r="G27" s="52" t="s">
        <v>727</v>
      </c>
      <c r="H27" s="477">
        <v>971100.31299999997</v>
      </c>
      <c r="I27" s="477">
        <v>1008031.8787999999</v>
      </c>
      <c r="J27" s="477">
        <v>1054966.1751999999</v>
      </c>
      <c r="K27" s="477">
        <v>1110815.6647000001</v>
      </c>
    </row>
    <row r="28" spans="1:11">
      <c r="A28" s="76"/>
      <c r="B28" s="478"/>
      <c r="C28" s="478"/>
      <c r="D28" s="478"/>
      <c r="E28" s="478"/>
      <c r="G28" s="76"/>
      <c r="H28" s="478"/>
      <c r="I28" s="478"/>
      <c r="J28" s="478"/>
      <c r="K28" s="478"/>
    </row>
    <row r="29" spans="1:11" ht="15.75">
      <c r="A29" s="52" t="s">
        <v>1059</v>
      </c>
      <c r="B29" s="479">
        <v>60392.506000000001</v>
      </c>
      <c r="C29" s="479">
        <v>59161.255299999997</v>
      </c>
      <c r="D29" s="479">
        <v>57928.680999999997</v>
      </c>
      <c r="E29" s="479">
        <v>58119.074699999997</v>
      </c>
      <c r="G29" s="52" t="s">
        <v>1059</v>
      </c>
      <c r="H29" s="479">
        <v>60114.168899999997</v>
      </c>
      <c r="I29" s="479">
        <v>58669.958700000003</v>
      </c>
      <c r="J29" s="479">
        <v>57047.613599999997</v>
      </c>
      <c r="K29" s="479">
        <v>56944.4853</v>
      </c>
    </row>
    <row r="30" spans="1:11">
      <c r="A30" s="76"/>
      <c r="B30" s="478"/>
      <c r="C30" s="478"/>
      <c r="D30" s="478"/>
      <c r="E30" s="478"/>
      <c r="G30" s="76"/>
      <c r="H30" s="478"/>
      <c r="I30" s="478"/>
      <c r="J30" s="478"/>
      <c r="K30" s="478"/>
    </row>
    <row r="31" spans="1:11" ht="15.75">
      <c r="A31" s="52" t="s">
        <v>1063</v>
      </c>
      <c r="B31" s="480">
        <v>0.46529999999999999</v>
      </c>
      <c r="C31" s="480">
        <v>0.46429999999999999</v>
      </c>
      <c r="D31" s="480">
        <v>0.46360000000000001</v>
      </c>
      <c r="E31" s="480">
        <v>0.4647</v>
      </c>
      <c r="G31" s="52" t="s">
        <v>1063</v>
      </c>
      <c r="H31" s="480">
        <v>0.46850000000000003</v>
      </c>
      <c r="I31" s="480">
        <v>0.46879999999999999</v>
      </c>
      <c r="J31" s="480">
        <v>0.46760000000000002</v>
      </c>
      <c r="K31" s="480">
        <v>0.46739999999999998</v>
      </c>
    </row>
    <row r="32" spans="1:11">
      <c r="A32" s="76"/>
      <c r="B32" s="481"/>
      <c r="C32" s="481"/>
      <c r="D32" s="481"/>
      <c r="E32" s="481"/>
      <c r="G32" s="76"/>
      <c r="H32" s="481"/>
      <c r="I32" s="481"/>
      <c r="J32" s="481"/>
      <c r="K32" s="481"/>
    </row>
    <row r="33" spans="1:11" ht="15.75">
      <c r="A33" s="52" t="s">
        <v>1064</v>
      </c>
      <c r="B33" s="480">
        <v>9.7299999999999998E-2</v>
      </c>
      <c r="C33" s="480">
        <v>8.9499999999999996E-2</v>
      </c>
      <c r="D33" s="480">
        <v>8.1500000000000003E-2</v>
      </c>
      <c r="E33" s="480">
        <v>7.51E-2</v>
      </c>
      <c r="G33" s="52" t="s">
        <v>1064</v>
      </c>
      <c r="H33" s="480">
        <v>9.8199999999999996E-2</v>
      </c>
      <c r="I33" s="480">
        <v>9.0700000000000003E-2</v>
      </c>
      <c r="J33" s="480">
        <v>8.1599999999999992E-2</v>
      </c>
      <c r="K33" s="480">
        <v>7.5399999999999995E-2</v>
      </c>
    </row>
    <row r="34" spans="1:11">
      <c r="A34" s="76"/>
      <c r="B34" s="76"/>
      <c r="C34" s="76"/>
      <c r="D34" s="76"/>
      <c r="E34" s="76"/>
      <c r="G34" s="76"/>
      <c r="H34" s="76"/>
      <c r="I34" s="76"/>
      <c r="J34" s="76"/>
      <c r="K34" s="76"/>
    </row>
    <row r="37" spans="1:11">
      <c r="A37" s="322" t="s">
        <v>1151</v>
      </c>
      <c r="B37" s="322" t="s">
        <v>760</v>
      </c>
      <c r="C37" s="322" t="s">
        <v>761</v>
      </c>
      <c r="D37" s="322" t="s">
        <v>762</v>
      </c>
      <c r="E37" s="322" t="s">
        <v>763</v>
      </c>
      <c r="G37" s="76"/>
      <c r="H37" s="76"/>
      <c r="I37" s="76"/>
      <c r="J37" s="76"/>
      <c r="K37" s="76"/>
    </row>
    <row r="38" spans="1:11">
      <c r="A38" s="76" t="s">
        <v>1152</v>
      </c>
      <c r="B38" s="904">
        <v>0.57340000000000002</v>
      </c>
      <c r="C38" s="904">
        <v>0.57120000000000004</v>
      </c>
      <c r="D38" s="904">
        <v>0.56799999999999995</v>
      </c>
      <c r="E38" s="904">
        <v>0.55769999999999997</v>
      </c>
      <c r="G38" s="76"/>
      <c r="H38" s="76"/>
      <c r="I38" s="76"/>
      <c r="J38" s="76"/>
      <c r="K38" s="76"/>
    </row>
    <row r="39" spans="1:11">
      <c r="A39" s="76" t="s">
        <v>1097</v>
      </c>
      <c r="B39" s="904">
        <v>0.57150000000000001</v>
      </c>
      <c r="C39" s="904">
        <v>0.56589999999999996</v>
      </c>
      <c r="D39" s="904">
        <v>0.5585</v>
      </c>
      <c r="E39" s="904">
        <v>0.55249999999999999</v>
      </c>
      <c r="G39" s="76"/>
      <c r="H39" s="76"/>
      <c r="I39" s="76"/>
      <c r="J39" s="76"/>
      <c r="K39" s="76"/>
    </row>
    <row r="40" spans="1:11">
      <c r="A40" s="76" t="s">
        <v>1153</v>
      </c>
      <c r="B40" s="904">
        <v>0.56659999999999999</v>
      </c>
      <c r="C40" s="904">
        <v>0.55879999999999996</v>
      </c>
      <c r="D40" s="904">
        <v>0.5514</v>
      </c>
      <c r="E40" s="904">
        <v>0.54690000000000005</v>
      </c>
      <c r="G40" s="76"/>
      <c r="H40" s="76"/>
      <c r="I40" s="76"/>
      <c r="J40" s="76"/>
      <c r="K40" s="76"/>
    </row>
  </sheetData>
  <printOptions horizontalCentered="1"/>
  <pageMargins left="0.5" right="0.5" top="0.5" bottom="0.5" header="0.5" footer="0.25"/>
  <pageSetup scale="78" orientation="portrait" r:id="rId1"/>
  <headerFooter>
    <oddFooter>&amp;Z&amp;F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rgb="FFFF0000"/>
    <pageSetUpPr fitToPage="1"/>
  </sheetPr>
  <dimension ref="A1:W64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1.7109375" style="43" customWidth="1"/>
    <col min="4" max="4" width="20.7109375" style="43" customWidth="1"/>
    <col min="5" max="5" width="1.7109375" style="43" customWidth="1"/>
    <col min="6" max="6" width="20.7109375" style="43" customWidth="1"/>
    <col min="7" max="7" width="1.7109375" style="43" customWidth="1"/>
    <col min="8" max="8" width="20.7109375" style="43" customWidth="1"/>
    <col min="9" max="9" width="1.7109375" style="43" customWidth="1"/>
    <col min="10" max="10" width="20.7109375" style="43" customWidth="1"/>
    <col min="11" max="11" width="1.7109375" style="43" customWidth="1"/>
    <col min="12" max="12" width="20.7109375" style="43" customWidth="1"/>
    <col min="13" max="13" width="1.7109375" style="43" customWidth="1"/>
    <col min="14" max="14" width="20.7109375" style="43" customWidth="1"/>
    <col min="15" max="15" width="1.7109375" style="43" customWidth="1"/>
    <col min="16" max="16" width="20.7109375" style="43" customWidth="1"/>
    <col min="17" max="17" width="1.7109375" style="43" customWidth="1"/>
    <col min="18" max="18" width="20.7109375" style="43" customWidth="1"/>
    <col min="19" max="19" width="1.7109375" style="43" customWidth="1"/>
    <col min="20" max="20" width="20.7109375" style="43" customWidth="1"/>
    <col min="21" max="16384" width="9.140625" style="43"/>
  </cols>
  <sheetData>
    <row r="1" spans="1:23" ht="18">
      <c r="A1" s="45" t="s">
        <v>1046</v>
      </c>
      <c r="B1" s="45"/>
      <c r="C1" s="76"/>
      <c r="D1" s="45"/>
      <c r="E1" s="76"/>
      <c r="F1" s="45"/>
      <c r="G1" s="76"/>
      <c r="H1" s="45"/>
      <c r="I1" s="76"/>
      <c r="J1" s="45"/>
      <c r="K1" s="76"/>
      <c r="L1" s="45"/>
      <c r="M1" s="76"/>
      <c r="N1" s="45"/>
      <c r="O1" s="76"/>
      <c r="P1" s="45"/>
      <c r="Q1" s="76"/>
      <c r="R1" s="45"/>
      <c r="S1" s="76"/>
      <c r="T1" s="45"/>
      <c r="U1" s="76"/>
      <c r="V1" s="76"/>
      <c r="W1" s="76"/>
    </row>
    <row r="2" spans="1:23" ht="18">
      <c r="A2" s="45" t="s">
        <v>1047</v>
      </c>
      <c r="B2" s="45"/>
      <c r="C2" s="76"/>
      <c r="D2" s="45"/>
      <c r="E2" s="76"/>
      <c r="F2" s="45"/>
      <c r="G2" s="76"/>
      <c r="H2" s="45"/>
      <c r="I2" s="76"/>
      <c r="J2" s="45"/>
      <c r="K2" s="76"/>
      <c r="L2" s="45"/>
      <c r="M2" s="76"/>
      <c r="N2" s="45"/>
      <c r="O2" s="76"/>
      <c r="P2" s="45"/>
      <c r="Q2" s="76"/>
      <c r="R2" s="45"/>
      <c r="S2" s="76"/>
      <c r="T2" s="45"/>
      <c r="U2" s="76"/>
      <c r="V2" s="76"/>
      <c r="W2" s="76"/>
    </row>
    <row r="3" spans="1:23" ht="18">
      <c r="A3" s="48" t="s">
        <v>1048</v>
      </c>
      <c r="B3" s="48"/>
      <c r="C3" s="76"/>
      <c r="D3" s="48"/>
      <c r="E3" s="76"/>
      <c r="F3" s="48"/>
      <c r="G3" s="76"/>
      <c r="H3" s="48"/>
      <c r="I3" s="76"/>
      <c r="J3" s="48"/>
      <c r="K3" s="76"/>
      <c r="L3" s="48"/>
      <c r="M3" s="76"/>
      <c r="N3" s="48"/>
      <c r="O3" s="76"/>
      <c r="P3" s="48"/>
      <c r="Q3" s="76"/>
      <c r="R3" s="48"/>
      <c r="S3" s="76"/>
      <c r="T3" s="48"/>
      <c r="U3" s="76"/>
      <c r="V3" s="76" t="s">
        <v>1154</v>
      </c>
      <c r="W3" s="76" t="s">
        <v>1155</v>
      </c>
    </row>
    <row r="4" spans="1:23" ht="15.75" customHeight="1">
      <c r="A4" s="48"/>
      <c r="B4" s="48"/>
      <c r="C4" s="76"/>
      <c r="D4" s="48"/>
      <c r="E4" s="76"/>
      <c r="F4" s="48"/>
      <c r="G4" s="76"/>
      <c r="H4" s="48"/>
      <c r="I4" s="76"/>
      <c r="J4" s="48"/>
      <c r="K4" s="76"/>
      <c r="L4" s="48"/>
      <c r="M4" s="76"/>
      <c r="N4" s="48"/>
      <c r="O4" s="76"/>
      <c r="P4" s="48"/>
      <c r="Q4" s="76"/>
      <c r="R4" s="48"/>
      <c r="S4" s="76"/>
      <c r="T4" s="48"/>
      <c r="U4" s="76"/>
      <c r="V4" s="76"/>
      <c r="W4" s="76"/>
    </row>
    <row r="5" spans="1:23" ht="15.75" customHeight="1">
      <c r="A5" s="375"/>
      <c r="B5" s="257"/>
      <c r="C5" s="76"/>
      <c r="D5" s="257"/>
      <c r="E5" s="76"/>
      <c r="F5" s="257"/>
      <c r="G5" s="76"/>
      <c r="H5" s="257"/>
      <c r="I5" s="76"/>
      <c r="J5" s="257"/>
      <c r="K5" s="76"/>
      <c r="L5" s="257"/>
      <c r="M5" s="76"/>
      <c r="N5" s="257"/>
      <c r="O5" s="76"/>
      <c r="P5" s="257"/>
      <c r="Q5" s="76"/>
      <c r="R5" s="257"/>
      <c r="S5" s="76"/>
      <c r="T5" s="257"/>
      <c r="U5" s="76"/>
      <c r="V5" s="76"/>
      <c r="W5" s="76"/>
    </row>
    <row r="6" spans="1:23" s="52" customFormat="1" ht="15.75">
      <c r="A6" s="51" t="s">
        <v>1049</v>
      </c>
      <c r="B6" s="257" t="s">
        <v>2</v>
      </c>
      <c r="D6" s="257" t="s">
        <v>2</v>
      </c>
      <c r="F6" s="257" t="s">
        <v>4</v>
      </c>
      <c r="H6" s="257" t="s">
        <v>4</v>
      </c>
      <c r="J6" s="257" t="s">
        <v>4</v>
      </c>
      <c r="L6" s="257" t="s">
        <v>4</v>
      </c>
      <c r="N6" s="257" t="s">
        <v>4</v>
      </c>
      <c r="P6" s="257" t="s">
        <v>4</v>
      </c>
      <c r="R6" s="257" t="s">
        <v>4</v>
      </c>
      <c r="T6" s="257" t="s">
        <v>4</v>
      </c>
    </row>
    <row r="7" spans="1:23" s="52" customFormat="1" ht="15.75">
      <c r="A7" s="55" t="s">
        <v>1052</v>
      </c>
      <c r="B7" s="187">
        <v>43891</v>
      </c>
      <c r="C7" s="55"/>
      <c r="D7" s="187">
        <v>43922</v>
      </c>
      <c r="E7" s="55"/>
      <c r="F7" s="187">
        <v>43952</v>
      </c>
      <c r="G7" s="55"/>
      <c r="H7" s="187">
        <v>43983</v>
      </c>
      <c r="I7" s="55"/>
      <c r="J7" s="187">
        <v>44013</v>
      </c>
      <c r="K7" s="55"/>
      <c r="L7" s="187">
        <v>44044</v>
      </c>
      <c r="M7" s="55"/>
      <c r="N7" s="187">
        <v>44075</v>
      </c>
      <c r="O7" s="55"/>
      <c r="P7" s="187">
        <v>44105</v>
      </c>
      <c r="Q7" s="55"/>
      <c r="R7" s="187">
        <v>44136</v>
      </c>
      <c r="S7" s="55"/>
      <c r="T7" s="187">
        <v>44166</v>
      </c>
    </row>
    <row r="8" spans="1:23" ht="15.75">
      <c r="A8" s="52" t="s">
        <v>1056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</row>
    <row r="9" spans="1:23">
      <c r="A9" s="76" t="s">
        <v>472</v>
      </c>
      <c r="B9" s="987">
        <v>972065.25577456749</v>
      </c>
      <c r="C9" s="303"/>
      <c r="D9" s="987">
        <v>980140.30828429805</v>
      </c>
      <c r="E9" s="303"/>
      <c r="F9" s="432">
        <v>987983.70960321953</v>
      </c>
      <c r="G9" s="303"/>
      <c r="H9" s="432">
        <v>997013.5937955603</v>
      </c>
      <c r="I9" s="303"/>
      <c r="J9" s="432">
        <v>1008583.7181381381</v>
      </c>
      <c r="K9" s="303"/>
      <c r="L9" s="432">
        <v>1020718.1321693565</v>
      </c>
      <c r="M9" s="303"/>
      <c r="N9" s="432">
        <v>1033060.750217122</v>
      </c>
      <c r="O9" s="303"/>
      <c r="P9" s="432">
        <v>1045456.9804358113</v>
      </c>
      <c r="Q9" s="303"/>
      <c r="R9" s="432">
        <v>1058014.4265154491</v>
      </c>
      <c r="S9" s="303"/>
      <c r="T9" s="432">
        <f ca="1">+'COMP Act to Prior'!D9</f>
        <v>2025527.3874393962</v>
      </c>
      <c r="U9" s="76"/>
      <c r="V9" s="76" t="s">
        <v>1156</v>
      </c>
      <c r="W9" s="76" t="s">
        <v>1157</v>
      </c>
    </row>
    <row r="10" spans="1:23">
      <c r="A10" s="76" t="s">
        <v>190</v>
      </c>
      <c r="B10" s="988">
        <v>28608.593929556158</v>
      </c>
      <c r="C10" s="303"/>
      <c r="D10" s="988">
        <v>29605.743088229319</v>
      </c>
      <c r="E10" s="303"/>
      <c r="F10" s="303">
        <v>31448.56479658153</v>
      </c>
      <c r="G10" s="303"/>
      <c r="H10" s="303">
        <v>33157.685300765195</v>
      </c>
      <c r="I10" s="303"/>
      <c r="J10" s="303">
        <v>35138.773691211092</v>
      </c>
      <c r="K10" s="303"/>
      <c r="L10" s="303">
        <v>38680.572622255713</v>
      </c>
      <c r="M10" s="303"/>
      <c r="N10" s="303">
        <v>42595.271533663385</v>
      </c>
      <c r="O10" s="303"/>
      <c r="P10" s="303">
        <v>46883.063652791672</v>
      </c>
      <c r="Q10" s="303"/>
      <c r="R10" s="303">
        <v>50842.823989417229</v>
      </c>
      <c r="S10" s="303"/>
      <c r="T10" s="303">
        <f ca="1">+'COMP Act to Prior'!D10</f>
        <v>26412.458933076909</v>
      </c>
      <c r="U10" s="76"/>
      <c r="V10" s="76"/>
      <c r="W10" s="76"/>
    </row>
    <row r="11" spans="1:23">
      <c r="A11" s="76" t="s">
        <v>1057</v>
      </c>
      <c r="B11" s="988">
        <v>0</v>
      </c>
      <c r="C11" s="190"/>
      <c r="D11" s="988">
        <v>0</v>
      </c>
      <c r="E11" s="190"/>
      <c r="F11" s="303">
        <v>0</v>
      </c>
      <c r="G11" s="190"/>
      <c r="H11" s="303">
        <v>0</v>
      </c>
      <c r="I11" s="190"/>
      <c r="J11" s="303">
        <v>0</v>
      </c>
      <c r="K11" s="190"/>
      <c r="L11" s="303">
        <v>0</v>
      </c>
      <c r="M11" s="190"/>
      <c r="N11" s="303">
        <v>0</v>
      </c>
      <c r="O11" s="190"/>
      <c r="P11" s="303">
        <v>0</v>
      </c>
      <c r="Q11" s="190"/>
      <c r="R11" s="303">
        <v>0</v>
      </c>
      <c r="S11" s="190"/>
      <c r="T11" s="303">
        <f ca="1">+'COMP Act to Prior'!D11</f>
        <v>0</v>
      </c>
      <c r="U11" s="76"/>
      <c r="V11" s="76"/>
      <c r="W11" s="76"/>
    </row>
    <row r="12" spans="1:23">
      <c r="A12" s="76" t="s">
        <v>478</v>
      </c>
      <c r="B12" s="988">
        <v>8084.7627215384618</v>
      </c>
      <c r="C12" s="190"/>
      <c r="D12" s="988">
        <v>8093.0358207692325</v>
      </c>
      <c r="E12" s="190"/>
      <c r="F12" s="303">
        <v>8182.3182400000014</v>
      </c>
      <c r="G12" s="190"/>
      <c r="H12" s="303">
        <v>8238.0998953846156</v>
      </c>
      <c r="I12" s="190"/>
      <c r="J12" s="303">
        <v>8298.3332607692319</v>
      </c>
      <c r="K12" s="190"/>
      <c r="L12" s="303">
        <v>8423.9089299999996</v>
      </c>
      <c r="M12" s="190"/>
      <c r="N12" s="303">
        <v>8497.5651392307682</v>
      </c>
      <c r="O12" s="190"/>
      <c r="P12" s="303">
        <v>8537.6991938461524</v>
      </c>
      <c r="Q12" s="190"/>
      <c r="R12" s="303">
        <v>8674.9885592307674</v>
      </c>
      <c r="S12" s="190"/>
      <c r="T12" s="303">
        <f ca="1">+'COMP Act to Prior'!D12</f>
        <v>1184.5254784615386</v>
      </c>
      <c r="U12" s="76"/>
      <c r="V12" s="76"/>
      <c r="W12" s="76"/>
    </row>
    <row r="13" spans="1:23">
      <c r="A13" s="76" t="s">
        <v>1058</v>
      </c>
      <c r="B13" s="989">
        <v>-41022.646777692309</v>
      </c>
      <c r="C13" s="190"/>
      <c r="D13" s="989">
        <v>-43398.699700769241</v>
      </c>
      <c r="E13" s="190"/>
      <c r="F13" s="191">
        <v>-44970.973878566867</v>
      </c>
      <c r="G13" s="190"/>
      <c r="H13" s="191">
        <v>-45516.880699117464</v>
      </c>
      <c r="I13" s="190"/>
      <c r="J13" s="191">
        <v>-46473.877967056178</v>
      </c>
      <c r="K13" s="190"/>
      <c r="L13" s="191">
        <v>-47583.580797054638</v>
      </c>
      <c r="M13" s="190"/>
      <c r="N13" s="191">
        <v>-47790.678957108095</v>
      </c>
      <c r="O13" s="190"/>
      <c r="P13" s="191">
        <v>-48557.48158208414</v>
      </c>
      <c r="Q13" s="190"/>
      <c r="R13" s="191">
        <v>-47053.320032387579</v>
      </c>
      <c r="S13" s="190"/>
      <c r="T13" s="191">
        <f ca="1">+'COMP Act to Prior'!D13</f>
        <v>-28792.100266969584</v>
      </c>
      <c r="U13" s="76"/>
      <c r="V13" s="76"/>
      <c r="W13" s="76"/>
    </row>
    <row r="14" spans="1:23" ht="8.1" customHeight="1">
      <c r="A14" s="76"/>
      <c r="B14" s="990"/>
      <c r="C14" s="76"/>
      <c r="D14" s="990"/>
      <c r="E14" s="76"/>
      <c r="F14" s="300"/>
      <c r="G14" s="76"/>
      <c r="H14" s="300"/>
      <c r="I14" s="76"/>
      <c r="J14" s="300"/>
      <c r="K14" s="76"/>
      <c r="L14" s="300"/>
      <c r="M14" s="76"/>
      <c r="N14" s="300"/>
      <c r="O14" s="76"/>
      <c r="P14" s="300"/>
      <c r="Q14" s="76"/>
      <c r="R14" s="300"/>
      <c r="S14" s="76"/>
      <c r="T14" s="300"/>
      <c r="U14" s="76"/>
      <c r="V14" s="76"/>
      <c r="W14" s="76"/>
    </row>
    <row r="15" spans="1:23" ht="15.75">
      <c r="A15" s="52" t="s">
        <v>727</v>
      </c>
      <c r="B15" s="468">
        <v>967735.9656</v>
      </c>
      <c r="C15" s="50"/>
      <c r="D15" s="468">
        <v>974440.38749999995</v>
      </c>
      <c r="E15" s="50"/>
      <c r="F15" s="61">
        <v>982643.61880000005</v>
      </c>
      <c r="G15" s="50"/>
      <c r="H15" s="61">
        <v>992892.49829999998</v>
      </c>
      <c r="I15" s="50"/>
      <c r="J15" s="61">
        <v>1005546.9471</v>
      </c>
      <c r="K15" s="50"/>
      <c r="L15" s="61">
        <v>1020239.0329</v>
      </c>
      <c r="M15" s="50"/>
      <c r="N15" s="61">
        <v>1036362.9079</v>
      </c>
      <c r="O15" s="50"/>
      <c r="P15" s="61">
        <v>1052320.2616999999</v>
      </c>
      <c r="Q15" s="50"/>
      <c r="R15" s="61">
        <v>1070478.919</v>
      </c>
      <c r="S15" s="50"/>
      <c r="T15" s="61">
        <f ca="1">+'COMP Act to Prior'!D15</f>
        <v>2024332.2716000001</v>
      </c>
      <c r="U15" s="76"/>
      <c r="V15" s="76"/>
      <c r="W15" s="76"/>
    </row>
    <row r="16" spans="1:23" ht="8.1" customHeight="1">
      <c r="A16" s="76"/>
      <c r="B16" s="991"/>
      <c r="C16" s="76"/>
      <c r="D16" s="991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</row>
    <row r="17" spans="1:23" s="52" customFormat="1" ht="15.75">
      <c r="A17" s="52" t="s">
        <v>1059</v>
      </c>
      <c r="B17" s="469">
        <v>58519.081299999998</v>
      </c>
      <c r="C17" s="63"/>
      <c r="D17" s="469">
        <v>56567.8894</v>
      </c>
      <c r="E17" s="63"/>
      <c r="F17" s="62">
        <v>54902.758600000001</v>
      </c>
      <c r="G17" s="63"/>
      <c r="H17" s="62">
        <v>53461.9761</v>
      </c>
      <c r="I17" s="63"/>
      <c r="J17" s="62">
        <v>52631.655899999998</v>
      </c>
      <c r="K17" s="63"/>
      <c r="L17" s="62">
        <v>51376.035000000003</v>
      </c>
      <c r="M17" s="63"/>
      <c r="N17" s="62">
        <v>49780.717199999999</v>
      </c>
      <c r="O17" s="63"/>
      <c r="P17" s="62">
        <v>48848.286</v>
      </c>
      <c r="Q17" s="63"/>
      <c r="R17" s="62">
        <v>47761.976799999997</v>
      </c>
      <c r="S17" s="63"/>
      <c r="T17" s="62">
        <f ca="1">+'COMP Act to Prior'!D17</f>
        <v>111760.75260000001</v>
      </c>
    </row>
    <row r="18" spans="1:23" ht="8.1" customHeight="1">
      <c r="A18" s="76"/>
      <c r="B18" s="991"/>
      <c r="C18" s="76"/>
      <c r="D18" s="991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</row>
    <row r="19" spans="1:23">
      <c r="A19" s="76" t="s">
        <v>1060</v>
      </c>
      <c r="B19" s="992">
        <v>6.0499999999999998E-2</v>
      </c>
      <c r="C19" s="298"/>
      <c r="D19" s="992">
        <v>5.8099999999999999E-2</v>
      </c>
      <c r="E19" s="298"/>
      <c r="F19" s="298">
        <v>5.5899999999999998E-2</v>
      </c>
      <c r="G19" s="298"/>
      <c r="H19" s="298">
        <v>5.3800000000000001E-2</v>
      </c>
      <c r="I19" s="298"/>
      <c r="J19" s="298">
        <v>5.2299999999999999E-2</v>
      </c>
      <c r="K19" s="298"/>
      <c r="L19" s="298">
        <v>5.04E-2</v>
      </c>
      <c r="M19" s="298"/>
      <c r="N19" s="298">
        <v>4.8000000000000001E-2</v>
      </c>
      <c r="O19" s="298"/>
      <c r="P19" s="298">
        <v>4.6399999999999997E-2</v>
      </c>
      <c r="Q19" s="298"/>
      <c r="R19" s="298">
        <v>4.4600000000000001E-2</v>
      </c>
      <c r="S19" s="298"/>
      <c r="T19" s="298">
        <f ca="1">+'COMP Act to Prior'!D19</f>
        <v>5.5199999999999999E-2</v>
      </c>
      <c r="U19" s="76"/>
      <c r="V19" s="76" t="s">
        <v>1158</v>
      </c>
      <c r="W19" s="76" t="s">
        <v>1159</v>
      </c>
    </row>
    <row r="20" spans="1:23">
      <c r="A20" s="76" t="s">
        <v>1061</v>
      </c>
      <c r="B20" s="993">
        <v>1.6E-2</v>
      </c>
      <c r="C20" s="298"/>
      <c r="D20" s="993">
        <v>1.5800000000000002E-2</v>
      </c>
      <c r="E20" s="298"/>
      <c r="F20" s="299">
        <v>1.5800000000000002E-2</v>
      </c>
      <c r="G20" s="298"/>
      <c r="H20" s="299">
        <v>1.5800000000000002E-2</v>
      </c>
      <c r="I20" s="298"/>
      <c r="J20" s="299">
        <v>1.5900000000000001E-2</v>
      </c>
      <c r="K20" s="298"/>
      <c r="L20" s="299">
        <v>1.5800000000000002E-2</v>
      </c>
      <c r="M20" s="298"/>
      <c r="N20" s="299">
        <v>1.5900000000000001E-2</v>
      </c>
      <c r="O20" s="298"/>
      <c r="P20" s="299">
        <v>1.6E-2</v>
      </c>
      <c r="Q20" s="298"/>
      <c r="R20" s="299">
        <v>1.6E-2</v>
      </c>
      <c r="S20" s="298"/>
      <c r="T20" s="299">
        <f ca="1">+'COMP Act to Prior'!D20</f>
        <v>1.7999999999999999E-2</v>
      </c>
      <c r="U20" s="76"/>
      <c r="V20" s="76"/>
      <c r="W20" s="76"/>
    </row>
    <row r="21" spans="1:23" ht="8.1" customHeight="1">
      <c r="A21" s="76"/>
      <c r="B21" s="990"/>
      <c r="C21" s="298"/>
      <c r="D21" s="990"/>
      <c r="E21" s="298"/>
      <c r="F21" s="300"/>
      <c r="G21" s="298"/>
      <c r="H21" s="300"/>
      <c r="I21" s="298"/>
      <c r="J21" s="300"/>
      <c r="K21" s="298"/>
      <c r="L21" s="300"/>
      <c r="M21" s="298"/>
      <c r="N21" s="300"/>
      <c r="O21" s="298"/>
      <c r="P21" s="300"/>
      <c r="Q21" s="298"/>
      <c r="R21" s="300"/>
      <c r="S21" s="298"/>
      <c r="T21" s="300"/>
      <c r="U21" s="76"/>
      <c r="V21" s="76"/>
      <c r="W21" s="76"/>
    </row>
    <row r="22" spans="1:23">
      <c r="A22" s="76" t="s">
        <v>1062</v>
      </c>
      <c r="B22" s="992">
        <v>4.4499999999999998E-2</v>
      </c>
      <c r="C22" s="298"/>
      <c r="D22" s="992">
        <v>4.2299999999999997E-2</v>
      </c>
      <c r="E22" s="298"/>
      <c r="F22" s="298">
        <v>4.0099999999999997E-2</v>
      </c>
      <c r="G22" s="298"/>
      <c r="H22" s="298">
        <v>3.7999999999999999E-2</v>
      </c>
      <c r="I22" s="298"/>
      <c r="J22" s="298">
        <v>3.6400000000000002E-2</v>
      </c>
      <c r="K22" s="298"/>
      <c r="L22" s="298">
        <v>3.4599999999999999E-2</v>
      </c>
      <c r="M22" s="298"/>
      <c r="N22" s="298">
        <v>3.2099999999999997E-2</v>
      </c>
      <c r="O22" s="298"/>
      <c r="P22" s="298">
        <v>3.04E-2</v>
      </c>
      <c r="Q22" s="298"/>
      <c r="R22" s="298">
        <v>2.86E-2</v>
      </c>
      <c r="S22" s="298"/>
      <c r="T22" s="298">
        <f ca="1">+'COMP Act to Prior'!D22</f>
        <v>3.7199999999999997E-2</v>
      </c>
      <c r="U22" s="76"/>
      <c r="V22" s="76"/>
      <c r="W22" s="76"/>
    </row>
    <row r="23" spans="1:23">
      <c r="A23" s="76" t="s">
        <v>1063</v>
      </c>
      <c r="B23" s="993">
        <v>0.4698</v>
      </c>
      <c r="C23" s="298"/>
      <c r="D23" s="993">
        <v>0.47099999999999997</v>
      </c>
      <c r="E23" s="298"/>
      <c r="F23" s="299">
        <v>0.47199999999999998</v>
      </c>
      <c r="G23" s="298"/>
      <c r="H23" s="299">
        <v>0.4708</v>
      </c>
      <c r="I23" s="298"/>
      <c r="J23" s="299">
        <v>0.46929999999999999</v>
      </c>
      <c r="K23" s="298"/>
      <c r="L23" s="299">
        <v>0.46970000000000001</v>
      </c>
      <c r="M23" s="298"/>
      <c r="N23" s="299">
        <v>0.46970000000000001</v>
      </c>
      <c r="O23" s="298"/>
      <c r="P23" s="299">
        <v>0.46779999999999999</v>
      </c>
      <c r="Q23" s="298"/>
      <c r="R23" s="299">
        <v>0.46739999999999998</v>
      </c>
      <c r="S23" s="298"/>
      <c r="T23" s="299">
        <f ca="1">+'COMP Act to Prior'!D23</f>
        <v>0.47539999999999999</v>
      </c>
      <c r="U23" s="76"/>
      <c r="V23" s="76"/>
      <c r="W23" s="76"/>
    </row>
    <row r="24" spans="1:23">
      <c r="A24" s="76"/>
      <c r="B24" s="990"/>
      <c r="C24" s="298"/>
      <c r="D24" s="990"/>
      <c r="E24" s="298"/>
      <c r="F24" s="300"/>
      <c r="G24" s="298"/>
      <c r="H24" s="300"/>
      <c r="I24" s="298"/>
      <c r="J24" s="300"/>
      <c r="K24" s="298"/>
      <c r="L24" s="300"/>
      <c r="M24" s="298"/>
      <c r="N24" s="300"/>
      <c r="O24" s="298"/>
      <c r="P24" s="300"/>
      <c r="Q24" s="298"/>
      <c r="R24" s="300"/>
      <c r="S24" s="298"/>
      <c r="T24" s="300"/>
      <c r="U24" s="76"/>
      <c r="V24" s="76"/>
      <c r="W24" s="76"/>
    </row>
    <row r="25" spans="1:23" s="52" customFormat="1" ht="15.75">
      <c r="A25" s="52" t="s">
        <v>1064</v>
      </c>
      <c r="B25" s="470">
        <v>9.4700000000000006E-2</v>
      </c>
      <c r="C25" s="65"/>
      <c r="D25" s="470">
        <v>8.9700000000000002E-2</v>
      </c>
      <c r="E25" s="65"/>
      <c r="F25" s="65">
        <v>8.4900000000000003E-2</v>
      </c>
      <c r="G25" s="65"/>
      <c r="H25" s="65">
        <v>8.0799999999999997E-2</v>
      </c>
      <c r="I25" s="65"/>
      <c r="J25" s="65">
        <v>7.7700000000000005E-2</v>
      </c>
      <c r="K25" s="65"/>
      <c r="L25" s="65">
        <v>7.3599999999999999E-2</v>
      </c>
      <c r="M25" s="65"/>
      <c r="N25" s="65">
        <v>6.8400000000000002E-2</v>
      </c>
      <c r="O25" s="65"/>
      <c r="P25" s="65">
        <v>6.5000000000000002E-2</v>
      </c>
      <c r="Q25" s="65"/>
      <c r="R25" s="65">
        <v>6.1199999999999997E-2</v>
      </c>
      <c r="S25" s="65"/>
      <c r="T25" s="65">
        <f ca="1">+'COMP Act to Prior'!D25</f>
        <v>7.8100000000000003E-2</v>
      </c>
      <c r="V25" s="76" t="s">
        <v>1160</v>
      </c>
      <c r="W25" s="76" t="s">
        <v>1161</v>
      </c>
    </row>
    <row r="26" spans="1:23" s="66" customFormat="1" ht="4.5" customHeight="1">
      <c r="A26" s="322"/>
      <c r="B26" s="994"/>
      <c r="C26" s="322"/>
      <c r="D26" s="994"/>
      <c r="E26" s="322"/>
      <c r="F26" s="301"/>
      <c r="G26" s="322"/>
      <c r="H26" s="301"/>
      <c r="I26" s="322"/>
      <c r="J26" s="301"/>
      <c r="K26" s="322"/>
      <c r="L26" s="301"/>
      <c r="M26" s="322"/>
      <c r="N26" s="301"/>
      <c r="O26" s="322"/>
      <c r="P26" s="301"/>
      <c r="Q26" s="322"/>
      <c r="R26" s="301"/>
      <c r="S26" s="322"/>
      <c r="T26" s="301"/>
      <c r="U26" s="322"/>
      <c r="V26" s="322"/>
      <c r="W26" s="322"/>
    </row>
    <row r="27" spans="1:23" ht="4.5" customHeight="1">
      <c r="A27" s="76"/>
      <c r="B27" s="991"/>
      <c r="C27" s="76"/>
      <c r="D27" s="991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</row>
    <row r="28" spans="1:23">
      <c r="A28" s="76" t="s">
        <v>1065</v>
      </c>
      <c r="B28" s="995">
        <v>84075.414849999914</v>
      </c>
      <c r="C28" s="303"/>
      <c r="D28" s="995">
        <v>81704.028350000066</v>
      </c>
      <c r="E28" s="303"/>
      <c r="F28" s="433">
        <v>79764.021240000031</v>
      </c>
      <c r="G28" s="303"/>
      <c r="H28" s="433">
        <v>77971.02151000002</v>
      </c>
      <c r="I28" s="303"/>
      <c r="J28" s="433">
        <v>77119.931708079981</v>
      </c>
      <c r="K28" s="303"/>
      <c r="L28" s="433">
        <v>75673.97136808002</v>
      </c>
      <c r="M28" s="303"/>
      <c r="N28" s="433">
        <v>74303.477988080092</v>
      </c>
      <c r="O28" s="303"/>
      <c r="P28" s="433">
        <v>73414.264916160027</v>
      </c>
      <c r="Q28" s="303"/>
      <c r="R28" s="433">
        <v>72271.131236160087</v>
      </c>
      <c r="S28" s="303"/>
      <c r="T28" s="433">
        <f ca="1">+'COMP Act to Prior'!D28</f>
        <v>140503.29999999996</v>
      </c>
      <c r="U28" s="76"/>
      <c r="V28" s="76"/>
      <c r="W28" s="76"/>
    </row>
    <row r="29" spans="1:23">
      <c r="A29" s="76" t="s">
        <v>1066</v>
      </c>
      <c r="B29" s="996">
        <v>16647.994719999999</v>
      </c>
      <c r="C29" s="303"/>
      <c r="D29" s="996">
        <v>15988.296700000001</v>
      </c>
      <c r="E29" s="303"/>
      <c r="F29" s="434">
        <v>15470.965166669772</v>
      </c>
      <c r="G29" s="303"/>
      <c r="H29" s="434">
        <v>14768.205895717656</v>
      </c>
      <c r="I29" s="303"/>
      <c r="J29" s="434">
        <v>14479.800064890132</v>
      </c>
      <c r="K29" s="303"/>
      <c r="L29" s="434">
        <v>14021.770864407472</v>
      </c>
      <c r="M29" s="303"/>
      <c r="N29" s="434">
        <v>13974.840713012898</v>
      </c>
      <c r="O29" s="303"/>
      <c r="P29" s="434">
        <v>13708.760079941632</v>
      </c>
      <c r="Q29" s="303"/>
      <c r="R29" s="434">
        <v>13379.732991519668</v>
      </c>
      <c r="S29" s="303"/>
      <c r="T29" s="434">
        <f ca="1">+'COMP Act to Prior'!D29</f>
        <v>25866.2</v>
      </c>
      <c r="U29" s="76"/>
      <c r="V29" s="76"/>
      <c r="W29" s="76"/>
    </row>
    <row r="30" spans="1:23">
      <c r="A30" s="978" t="s">
        <v>1067</v>
      </c>
      <c r="B30" s="989">
        <v>0</v>
      </c>
      <c r="C30" s="190"/>
      <c r="D30" s="989">
        <v>0</v>
      </c>
      <c r="E30" s="190"/>
      <c r="F30" s="191">
        <v>0</v>
      </c>
      <c r="G30" s="190"/>
      <c r="H30" s="191">
        <v>0</v>
      </c>
      <c r="I30" s="190"/>
      <c r="J30" s="191">
        <v>0</v>
      </c>
      <c r="K30" s="190"/>
      <c r="L30" s="191">
        <v>0</v>
      </c>
      <c r="M30" s="190"/>
      <c r="N30" s="191">
        <v>0</v>
      </c>
      <c r="O30" s="190"/>
      <c r="P30" s="191">
        <v>0</v>
      </c>
      <c r="Q30" s="190"/>
      <c r="R30" s="191">
        <v>0</v>
      </c>
      <c r="S30" s="190"/>
      <c r="T30" s="191">
        <f>+'COMP Act to Prior'!D30</f>
        <v>0</v>
      </c>
      <c r="U30" s="76"/>
      <c r="V30" s="76"/>
      <c r="W30" s="76"/>
    </row>
    <row r="31" spans="1:23">
      <c r="A31" s="300" t="s">
        <v>1068</v>
      </c>
      <c r="B31" s="989">
        <v>16647.994719999999</v>
      </c>
      <c r="C31" s="190"/>
      <c r="D31" s="989">
        <v>15988.296700000001</v>
      </c>
      <c r="E31" s="190"/>
      <c r="F31" s="191">
        <v>15470.965166669772</v>
      </c>
      <c r="G31" s="190"/>
      <c r="H31" s="191">
        <v>14768.205895717656</v>
      </c>
      <c r="I31" s="190"/>
      <c r="J31" s="191">
        <v>14479.800064890132</v>
      </c>
      <c r="K31" s="190"/>
      <c r="L31" s="191">
        <v>14021.770864407472</v>
      </c>
      <c r="M31" s="190"/>
      <c r="N31" s="191">
        <v>13974.840713012898</v>
      </c>
      <c r="O31" s="190"/>
      <c r="P31" s="191">
        <v>13708.760079941632</v>
      </c>
      <c r="Q31" s="190"/>
      <c r="R31" s="191">
        <v>13379.732991519668</v>
      </c>
      <c r="S31" s="190"/>
      <c r="T31" s="191">
        <f ca="1">+'COMP Act to Prior'!D31</f>
        <v>25866.2</v>
      </c>
      <c r="U31" s="76"/>
      <c r="V31" s="76"/>
      <c r="W31" s="76"/>
    </row>
    <row r="32" spans="1:23" ht="8.1" customHeight="1">
      <c r="A32" s="76"/>
      <c r="B32" s="997"/>
      <c r="C32" s="76"/>
      <c r="D32" s="997"/>
      <c r="E32" s="76"/>
      <c r="F32" s="302"/>
      <c r="G32" s="76"/>
      <c r="H32" s="302"/>
      <c r="I32" s="76"/>
      <c r="J32" s="302"/>
      <c r="K32" s="76"/>
      <c r="L32" s="302"/>
      <c r="M32" s="76"/>
      <c r="N32" s="302"/>
      <c r="O32" s="76"/>
      <c r="P32" s="302"/>
      <c r="Q32" s="76"/>
      <c r="R32" s="302"/>
      <c r="S32" s="76"/>
      <c r="T32" s="302"/>
      <c r="U32" s="76"/>
      <c r="V32" s="76"/>
      <c r="W32" s="76"/>
    </row>
    <row r="33" spans="1:23">
      <c r="A33" s="76" t="s">
        <v>1069</v>
      </c>
      <c r="B33" s="989">
        <v>67427.420129999911</v>
      </c>
      <c r="C33" s="303"/>
      <c r="D33" s="989">
        <v>65715.73165000006</v>
      </c>
      <c r="E33" s="303"/>
      <c r="F33" s="191">
        <v>64293.056073330255</v>
      </c>
      <c r="G33" s="303"/>
      <c r="H33" s="191">
        <v>63202.815614282365</v>
      </c>
      <c r="I33" s="303"/>
      <c r="J33" s="191">
        <v>62640.131643189845</v>
      </c>
      <c r="K33" s="303"/>
      <c r="L33" s="191">
        <v>61652.200503672546</v>
      </c>
      <c r="M33" s="303"/>
      <c r="N33" s="191">
        <v>60328.637275067194</v>
      </c>
      <c r="O33" s="303"/>
      <c r="P33" s="191">
        <v>59705.504836218395</v>
      </c>
      <c r="Q33" s="303"/>
      <c r="R33" s="191">
        <v>58891.398244640419</v>
      </c>
      <c r="S33" s="303"/>
      <c r="T33" s="191">
        <f ca="1">+'COMP Act to Prior'!D33</f>
        <v>114637.09999999996</v>
      </c>
      <c r="U33" s="76"/>
      <c r="V33" s="76"/>
      <c r="W33" s="76"/>
    </row>
    <row r="34" spans="1:23">
      <c r="A34" s="76"/>
      <c r="B34" s="998"/>
      <c r="C34" s="303"/>
      <c r="D34" s="998"/>
      <c r="E34" s="303"/>
      <c r="F34" s="190"/>
      <c r="G34" s="303"/>
      <c r="H34" s="190"/>
      <c r="I34" s="303"/>
      <c r="J34" s="190"/>
      <c r="K34" s="303"/>
      <c r="L34" s="190"/>
      <c r="M34" s="303"/>
      <c r="N34" s="190"/>
      <c r="O34" s="303"/>
      <c r="P34" s="190"/>
      <c r="Q34" s="303"/>
      <c r="R34" s="190"/>
      <c r="S34" s="303"/>
      <c r="T34" s="190"/>
      <c r="U34" s="76"/>
      <c r="V34" s="76"/>
      <c r="W34" s="76"/>
    </row>
    <row r="35" spans="1:23">
      <c r="A35" s="76" t="s">
        <v>1070</v>
      </c>
      <c r="B35" s="998">
        <v>0</v>
      </c>
      <c r="C35" s="303"/>
      <c r="D35" s="998">
        <v>0</v>
      </c>
      <c r="E35" s="303"/>
      <c r="F35" s="190">
        <v>0</v>
      </c>
      <c r="G35" s="303"/>
      <c r="H35" s="190">
        <v>0</v>
      </c>
      <c r="I35" s="303"/>
      <c r="J35" s="190">
        <v>0</v>
      </c>
      <c r="K35" s="303"/>
      <c r="L35" s="190">
        <v>0</v>
      </c>
      <c r="M35" s="303"/>
      <c r="N35" s="190">
        <v>0</v>
      </c>
      <c r="O35" s="303"/>
      <c r="P35" s="190">
        <v>0</v>
      </c>
      <c r="Q35" s="303"/>
      <c r="R35" s="190">
        <v>0</v>
      </c>
      <c r="S35" s="303"/>
      <c r="T35" s="190">
        <f>+'COMP Act to Prior'!D35</f>
        <v>0</v>
      </c>
      <c r="U35" s="76"/>
      <c r="V35" s="76"/>
      <c r="W35" s="76"/>
    </row>
    <row r="36" spans="1:23">
      <c r="A36" s="978" t="s">
        <v>1071</v>
      </c>
      <c r="B36" s="989">
        <v>-8908.3388383027141</v>
      </c>
      <c r="C36" s="76"/>
      <c r="D36" s="989">
        <v>-9147.842233165029</v>
      </c>
      <c r="E36" s="76"/>
      <c r="F36" s="191">
        <v>-9390.2975042249345</v>
      </c>
      <c r="G36" s="76"/>
      <c r="H36" s="191">
        <v>-9740.8395097481934</v>
      </c>
      <c r="I36" s="76"/>
      <c r="J36" s="191">
        <v>-10008.475750152371</v>
      </c>
      <c r="K36" s="76"/>
      <c r="L36" s="191">
        <v>-10276.165549431937</v>
      </c>
      <c r="M36" s="76"/>
      <c r="N36" s="191">
        <v>-10547.920032962063</v>
      </c>
      <c r="O36" s="76"/>
      <c r="P36" s="191">
        <v>-10857.218879655087</v>
      </c>
      <c r="Q36" s="76"/>
      <c r="R36" s="191">
        <v>-11129.421447021965</v>
      </c>
      <c r="S36" s="76"/>
      <c r="T36" s="191">
        <f ca="1">+'COMP Act to Prior'!D36</f>
        <v>-2876.347380839572</v>
      </c>
      <c r="U36" s="76"/>
      <c r="V36" s="76"/>
      <c r="W36" s="76"/>
    </row>
    <row r="37" spans="1:23" s="52" customFormat="1" ht="15.75">
      <c r="A37" s="52" t="s">
        <v>1059</v>
      </c>
      <c r="B37" s="469">
        <v>58519.081291697199</v>
      </c>
      <c r="C37" s="63"/>
      <c r="D37" s="469">
        <v>56567.889416835031</v>
      </c>
      <c r="E37" s="63"/>
      <c r="F37" s="62">
        <v>54902.758569105325</v>
      </c>
      <c r="G37" s="63"/>
      <c r="H37" s="62">
        <v>53461.976104534173</v>
      </c>
      <c r="I37" s="63"/>
      <c r="J37" s="62">
        <v>52631.655893037474</v>
      </c>
      <c r="K37" s="63"/>
      <c r="L37" s="62">
        <v>51376.034954240611</v>
      </c>
      <c r="M37" s="63"/>
      <c r="N37" s="62">
        <v>49780.717242105129</v>
      </c>
      <c r="O37" s="63"/>
      <c r="P37" s="62">
        <v>48848.285956563312</v>
      </c>
      <c r="Q37" s="63"/>
      <c r="R37" s="62">
        <v>47761.976797618452</v>
      </c>
      <c r="S37" s="63"/>
      <c r="T37" s="62">
        <f ca="1">+'COMP Act to Prior'!D37</f>
        <v>111760.7526191604</v>
      </c>
    </row>
    <row r="38" spans="1:23" s="66" customFormat="1" ht="14.1" customHeight="1">
      <c r="A38" s="322"/>
      <c r="B38" s="471"/>
      <c r="C38" s="327"/>
      <c r="D38" s="471"/>
      <c r="E38" s="327"/>
      <c r="F38" s="69"/>
      <c r="G38" s="327"/>
      <c r="H38" s="69"/>
      <c r="I38" s="327"/>
      <c r="J38" s="69"/>
      <c r="K38" s="327"/>
      <c r="L38" s="69"/>
      <c r="M38" s="327"/>
      <c r="N38" s="69"/>
      <c r="O38" s="327"/>
      <c r="P38" s="69"/>
      <c r="Q38" s="327"/>
      <c r="R38" s="69"/>
      <c r="S38" s="327"/>
      <c r="T38" s="69"/>
      <c r="U38" s="322"/>
      <c r="V38" s="322"/>
      <c r="W38" s="322"/>
    </row>
    <row r="39" spans="1:23" ht="4.5" customHeight="1">
      <c r="A39" s="76"/>
      <c r="B39" s="472"/>
      <c r="C39" s="328"/>
      <c r="D39" s="472"/>
      <c r="E39" s="328"/>
      <c r="F39" s="71"/>
      <c r="G39" s="328"/>
      <c r="H39" s="71"/>
      <c r="I39" s="328"/>
      <c r="J39" s="71"/>
      <c r="K39" s="328"/>
      <c r="L39" s="71"/>
      <c r="M39" s="328"/>
      <c r="N39" s="71"/>
      <c r="O39" s="328"/>
      <c r="P39" s="71"/>
      <c r="Q39" s="328"/>
      <c r="R39" s="71"/>
      <c r="S39" s="328"/>
      <c r="T39" s="71"/>
      <c r="U39" s="76"/>
      <c r="V39" s="76"/>
      <c r="W39" s="76"/>
    </row>
    <row r="40" spans="1:23" ht="15.75">
      <c r="A40" s="55" t="s">
        <v>1073</v>
      </c>
      <c r="B40" s="997"/>
      <c r="C40" s="190"/>
      <c r="D40" s="997"/>
      <c r="E40" s="190"/>
      <c r="F40" s="302"/>
      <c r="G40" s="190"/>
      <c r="H40" s="302"/>
      <c r="I40" s="190"/>
      <c r="J40" s="302"/>
      <c r="K40" s="190"/>
      <c r="L40" s="302"/>
      <c r="M40" s="190"/>
      <c r="N40" s="302"/>
      <c r="O40" s="190"/>
      <c r="P40" s="302"/>
      <c r="Q40" s="190"/>
      <c r="R40" s="302"/>
      <c r="S40" s="190"/>
      <c r="T40" s="302"/>
      <c r="U40" s="76"/>
      <c r="V40" s="76"/>
      <c r="W40" s="76"/>
    </row>
    <row r="41" spans="1:23">
      <c r="A41" s="76" t="s">
        <v>1074</v>
      </c>
      <c r="B41" s="999">
        <v>-6.8215752617106773E-4</v>
      </c>
      <c r="C41" s="298"/>
      <c r="D41" s="999">
        <v>-4.8189626249950379E-4</v>
      </c>
      <c r="E41" s="298"/>
      <c r="F41" s="192">
        <v>0</v>
      </c>
      <c r="G41" s="298"/>
      <c r="H41" s="192">
        <v>0</v>
      </c>
      <c r="I41" s="298"/>
      <c r="J41" s="192">
        <v>0</v>
      </c>
      <c r="K41" s="298"/>
      <c r="L41" s="192">
        <v>0</v>
      </c>
      <c r="M41" s="298"/>
      <c r="N41" s="192">
        <v>0</v>
      </c>
      <c r="O41" s="298"/>
      <c r="P41" s="192">
        <v>0</v>
      </c>
      <c r="Q41" s="298"/>
      <c r="R41" s="192">
        <v>0</v>
      </c>
      <c r="S41" s="298"/>
      <c r="T41" s="192">
        <f ca="1">+'COMP Act to Prior'!D41</f>
        <v>0</v>
      </c>
      <c r="U41" s="76"/>
      <c r="V41" s="76"/>
      <c r="W41" s="76"/>
    </row>
    <row r="42" spans="1:23">
      <c r="A42" s="76" t="s">
        <v>1075</v>
      </c>
      <c r="B42" s="999">
        <v>30.851372110759712</v>
      </c>
      <c r="C42" s="298"/>
      <c r="D42" s="999">
        <v>31.179314367791171</v>
      </c>
      <c r="E42" s="298"/>
      <c r="F42" s="192">
        <v>31.495297147013652</v>
      </c>
      <c r="G42" s="298"/>
      <c r="H42" s="192">
        <v>31.780643228658121</v>
      </c>
      <c r="I42" s="298"/>
      <c r="J42" s="192">
        <v>32.07164786146727</v>
      </c>
      <c r="K42" s="298"/>
      <c r="L42" s="192">
        <v>32.374358407874311</v>
      </c>
      <c r="M42" s="298"/>
      <c r="N42" s="192">
        <v>32.688965006906486</v>
      </c>
      <c r="O42" s="298"/>
      <c r="P42" s="192">
        <v>33.001340793440349</v>
      </c>
      <c r="Q42" s="298"/>
      <c r="R42" s="192">
        <v>33.299778594883961</v>
      </c>
      <c r="S42" s="298"/>
      <c r="T42" s="192">
        <f ca="1">+'COMP Act to Prior'!D42</f>
        <v>28.980152780785676</v>
      </c>
      <c r="U42" s="76"/>
      <c r="V42" s="76" t="s">
        <v>1162</v>
      </c>
      <c r="W42" s="76" t="s">
        <v>1163</v>
      </c>
    </row>
    <row r="43" spans="1:23">
      <c r="A43" s="76" t="s">
        <v>1076</v>
      </c>
      <c r="B43" s="999">
        <v>-314.07090351903634</v>
      </c>
      <c r="C43" s="298"/>
      <c r="D43" s="999">
        <v>-292.78910790087048</v>
      </c>
      <c r="E43" s="298"/>
      <c r="F43" s="192">
        <v>-262.24084080900604</v>
      </c>
      <c r="G43" s="298"/>
      <c r="H43" s="192">
        <v>-355.44436036668657</v>
      </c>
      <c r="I43" s="298"/>
      <c r="J43" s="192">
        <v>-369.14033338070811</v>
      </c>
      <c r="K43" s="298"/>
      <c r="L43" s="192">
        <v>-387.31701225808712</v>
      </c>
      <c r="M43" s="298"/>
      <c r="N43" s="192">
        <v>-402.44202909346075</v>
      </c>
      <c r="O43" s="298"/>
      <c r="P43" s="192">
        <v>-407.46838511430417</v>
      </c>
      <c r="Q43" s="298"/>
      <c r="R43" s="192">
        <v>-420.56641903206139</v>
      </c>
      <c r="S43" s="298"/>
      <c r="T43" s="192">
        <f ca="1">+'COMP Act to Prior'!D43</f>
        <v>-435.55689744836917</v>
      </c>
      <c r="U43" s="76"/>
      <c r="V43" s="76"/>
      <c r="W43" s="76"/>
    </row>
    <row r="44" spans="1:23">
      <c r="A44" s="76" t="s">
        <v>1077</v>
      </c>
      <c r="B44" s="999">
        <v>0</v>
      </c>
      <c r="C44" s="298"/>
      <c r="D44" s="999">
        <v>0</v>
      </c>
      <c r="E44" s="298"/>
      <c r="F44" s="192">
        <v>0</v>
      </c>
      <c r="G44" s="298"/>
      <c r="H44" s="192">
        <v>0</v>
      </c>
      <c r="I44" s="298"/>
      <c r="J44" s="192">
        <v>0</v>
      </c>
      <c r="K44" s="298"/>
      <c r="L44" s="192">
        <v>0</v>
      </c>
      <c r="M44" s="298"/>
      <c r="N44" s="192">
        <v>0</v>
      </c>
      <c r="O44" s="298"/>
      <c r="P44" s="192">
        <v>0</v>
      </c>
      <c r="Q44" s="298"/>
      <c r="R44" s="192">
        <v>0</v>
      </c>
      <c r="S44" s="298"/>
      <c r="T44" s="192">
        <f>+'COMP Act to Prior'!D44</f>
        <v>2099</v>
      </c>
      <c r="U44" s="76"/>
      <c r="V44" s="76"/>
      <c r="W44" s="76"/>
    </row>
    <row r="45" spans="1:23">
      <c r="A45" s="76" t="s">
        <v>1078</v>
      </c>
      <c r="B45" s="999">
        <v>0</v>
      </c>
      <c r="C45" s="298"/>
      <c r="D45" s="999">
        <v>0</v>
      </c>
      <c r="E45" s="298"/>
      <c r="F45" s="192">
        <v>0</v>
      </c>
      <c r="G45" s="298"/>
      <c r="H45" s="192">
        <v>0</v>
      </c>
      <c r="I45" s="298"/>
      <c r="J45" s="192">
        <v>0</v>
      </c>
      <c r="K45" s="298"/>
      <c r="L45" s="192">
        <v>0</v>
      </c>
      <c r="M45" s="298"/>
      <c r="N45" s="192">
        <v>0</v>
      </c>
      <c r="O45" s="298"/>
      <c r="P45" s="192">
        <v>0</v>
      </c>
      <c r="Q45" s="298"/>
      <c r="R45" s="192">
        <v>0</v>
      </c>
      <c r="S45" s="298"/>
      <c r="T45" s="192">
        <f ca="1">+'COMP Act to Prior'!D45</f>
        <v>0</v>
      </c>
      <c r="U45" s="76"/>
      <c r="V45" s="76"/>
      <c r="W45" s="76"/>
    </row>
    <row r="46" spans="1:23">
      <c r="A46" s="76" t="s">
        <v>1079</v>
      </c>
      <c r="B46" s="999">
        <v>11.888604361326403</v>
      </c>
      <c r="C46" s="298"/>
      <c r="D46" s="999">
        <v>10.172703041533198</v>
      </c>
      <c r="E46" s="298"/>
      <c r="F46" s="192">
        <v>9.5460454520831988</v>
      </c>
      <c r="G46" s="298"/>
      <c r="H46" s="192">
        <v>7.7182484852217996</v>
      </c>
      <c r="I46" s="298"/>
      <c r="J46" s="192">
        <v>8.6951270942172005</v>
      </c>
      <c r="K46" s="298"/>
      <c r="L46" s="192">
        <v>11.338561653267199</v>
      </c>
      <c r="M46" s="298"/>
      <c r="N46" s="192">
        <v>12.215995495767199</v>
      </c>
      <c r="O46" s="298"/>
      <c r="P46" s="192">
        <v>12.569044682717198</v>
      </c>
      <c r="Q46" s="298"/>
      <c r="R46" s="192">
        <v>12.809820076917202</v>
      </c>
      <c r="S46" s="298"/>
      <c r="T46" s="192">
        <f ca="1">+'COMP Act to Prior'!D46</f>
        <v>13.437899999999999</v>
      </c>
      <c r="U46" s="76"/>
      <c r="V46" s="76"/>
      <c r="W46" s="76"/>
    </row>
    <row r="47" spans="1:23">
      <c r="A47" s="76" t="s">
        <v>1080</v>
      </c>
      <c r="B47" s="999">
        <v>67.325917638923997</v>
      </c>
      <c r="C47" s="298"/>
      <c r="D47" s="999">
        <v>65.345974021163997</v>
      </c>
      <c r="E47" s="298"/>
      <c r="F47" s="192">
        <v>53.406156205144001</v>
      </c>
      <c r="G47" s="298"/>
      <c r="H47" s="192">
        <v>54.467575659211988</v>
      </c>
      <c r="I47" s="298"/>
      <c r="J47" s="192">
        <v>54.758778025470008</v>
      </c>
      <c r="K47" s="298"/>
      <c r="L47" s="192">
        <v>57.248984331302012</v>
      </c>
      <c r="M47" s="298"/>
      <c r="N47" s="192">
        <v>52.637373202753999</v>
      </c>
      <c r="O47" s="298"/>
      <c r="P47" s="192">
        <v>61.195285494422002</v>
      </c>
      <c r="Q47" s="298"/>
      <c r="R47" s="192">
        <v>64.529247278838</v>
      </c>
      <c r="S47" s="298"/>
      <c r="T47" s="192">
        <f ca="1">+'COMP Act to Prior'!D47</f>
        <v>59.108476990500002</v>
      </c>
      <c r="U47" s="76"/>
      <c r="V47" s="76"/>
      <c r="W47" s="76"/>
    </row>
    <row r="48" spans="1:23">
      <c r="A48" s="76" t="s">
        <v>1081</v>
      </c>
      <c r="B48" s="999">
        <v>-142.67471294277129</v>
      </c>
      <c r="C48" s="298"/>
      <c r="D48" s="999">
        <v>-132.34483715833267</v>
      </c>
      <c r="E48" s="298"/>
      <c r="F48" s="192">
        <v>-120.65193866036498</v>
      </c>
      <c r="G48" s="298"/>
      <c r="H48" s="192">
        <v>-109.95834107432529</v>
      </c>
      <c r="I48" s="298"/>
      <c r="J48" s="192">
        <v>-100.03003939875634</v>
      </c>
      <c r="K48" s="298"/>
      <c r="L48" s="192">
        <v>-90.511818222948932</v>
      </c>
      <c r="M48" s="298"/>
      <c r="N48" s="192">
        <v>-75.210119243729423</v>
      </c>
      <c r="O48" s="298"/>
      <c r="P48" s="192">
        <v>-65.478309914153215</v>
      </c>
      <c r="Q48" s="298"/>
      <c r="R48" s="192">
        <v>-55.763822826895193</v>
      </c>
      <c r="S48" s="298"/>
      <c r="T48" s="192">
        <f ca="1">+'COMP Act to Prior'!D48</f>
        <v>0</v>
      </c>
      <c r="U48" s="76"/>
      <c r="V48" s="76"/>
      <c r="W48" s="76"/>
    </row>
    <row r="49" spans="1:20">
      <c r="A49" s="76" t="s">
        <v>1082</v>
      </c>
      <c r="B49" s="999">
        <v>23.930496307758538</v>
      </c>
      <c r="C49" s="298"/>
      <c r="D49" s="999">
        <v>32.704933905048797</v>
      </c>
      <c r="E49" s="298"/>
      <c r="F49" s="192">
        <v>32.704933905048804</v>
      </c>
      <c r="G49" s="298"/>
      <c r="H49" s="192">
        <v>32.704933905048804</v>
      </c>
      <c r="I49" s="298"/>
      <c r="J49" s="192">
        <v>32.704933905048804</v>
      </c>
      <c r="K49" s="298"/>
      <c r="L49" s="192">
        <v>32.704933905048804</v>
      </c>
      <c r="M49" s="298"/>
      <c r="N49" s="192">
        <v>32.70493390504879</v>
      </c>
      <c r="O49" s="298"/>
      <c r="P49" s="192">
        <v>32.70493390504879</v>
      </c>
      <c r="Q49" s="298"/>
      <c r="R49" s="192">
        <v>32.70493390504879</v>
      </c>
      <c r="S49" s="298"/>
      <c r="T49" s="192">
        <f ca="1">+'COMP Act to Prior'!D49</f>
        <v>28.703727937785594</v>
      </c>
    </row>
    <row r="50" spans="1:20">
      <c r="A50" s="76" t="s">
        <v>1083</v>
      </c>
      <c r="B50" s="999">
        <v>4.9765506498192122</v>
      </c>
      <c r="C50" s="298"/>
      <c r="D50" s="999">
        <v>4.8218791858692498</v>
      </c>
      <c r="E50" s="298"/>
      <c r="F50" s="192">
        <v>5.1510748148983998</v>
      </c>
      <c r="G50" s="298"/>
      <c r="H50" s="192">
        <v>5.1510748148983998</v>
      </c>
      <c r="I50" s="298"/>
      <c r="J50" s="192">
        <v>5.1510748148983998</v>
      </c>
      <c r="K50" s="298"/>
      <c r="L50" s="192">
        <v>5.1510748148983998</v>
      </c>
      <c r="M50" s="298"/>
      <c r="N50" s="192">
        <v>5.1510748148983998</v>
      </c>
      <c r="O50" s="298"/>
      <c r="P50" s="192">
        <v>5.1510748148983998</v>
      </c>
      <c r="Q50" s="298"/>
      <c r="R50" s="192">
        <v>5.1510748148983998</v>
      </c>
      <c r="S50" s="298"/>
      <c r="T50" s="192">
        <f ca="1">+'COMP Act to Prior'!D50</f>
        <v>4.4270182972260006</v>
      </c>
    </row>
    <row r="51" spans="1:20">
      <c r="A51" s="76" t="s">
        <v>1084</v>
      </c>
      <c r="B51" s="999">
        <v>60.114596460999998</v>
      </c>
      <c r="C51" s="298"/>
      <c r="D51" s="999">
        <v>60.114596460999998</v>
      </c>
      <c r="E51" s="298"/>
      <c r="F51" s="192">
        <v>60.114596460999998</v>
      </c>
      <c r="G51" s="298"/>
      <c r="H51" s="192">
        <v>60.114596460999998</v>
      </c>
      <c r="I51" s="298"/>
      <c r="J51" s="192">
        <v>60.114596460999998</v>
      </c>
      <c r="K51" s="298"/>
      <c r="L51" s="192">
        <v>60.114596460999998</v>
      </c>
      <c r="M51" s="298"/>
      <c r="N51" s="192">
        <v>60.114596460999998</v>
      </c>
      <c r="O51" s="298"/>
      <c r="P51" s="192">
        <v>60.114596460999998</v>
      </c>
      <c r="Q51" s="298"/>
      <c r="R51" s="192">
        <v>60.114596460999998</v>
      </c>
      <c r="S51" s="298"/>
      <c r="T51" s="192">
        <f>+'COMP Act to Prior'!D51</f>
        <v>0</v>
      </c>
    </row>
    <row r="52" spans="1:20">
      <c r="A52" s="76" t="s">
        <v>1085</v>
      </c>
      <c r="B52" s="999">
        <v>0</v>
      </c>
      <c r="C52" s="298"/>
      <c r="D52" s="999">
        <v>0</v>
      </c>
      <c r="E52" s="298"/>
      <c r="F52" s="192">
        <v>0</v>
      </c>
      <c r="G52" s="298"/>
      <c r="H52" s="192">
        <v>0</v>
      </c>
      <c r="I52" s="298"/>
      <c r="J52" s="192">
        <v>0</v>
      </c>
      <c r="K52" s="298"/>
      <c r="L52" s="192">
        <v>0</v>
      </c>
      <c r="M52" s="298"/>
      <c r="N52" s="192">
        <v>0</v>
      </c>
      <c r="O52" s="298"/>
      <c r="P52" s="192">
        <v>0</v>
      </c>
      <c r="Q52" s="298"/>
      <c r="R52" s="192">
        <v>0</v>
      </c>
      <c r="S52" s="298"/>
      <c r="T52" s="192">
        <f>+'COMP Act to Prior'!D52</f>
        <v>0</v>
      </c>
    </row>
    <row r="53" spans="1:20">
      <c r="A53" s="200" t="s">
        <v>65</v>
      </c>
      <c r="B53" s="999">
        <v>-77.900848430367986</v>
      </c>
      <c r="C53" s="298"/>
      <c r="D53" s="999">
        <v>-77.900848430367986</v>
      </c>
      <c r="E53" s="298"/>
      <c r="F53" s="192">
        <v>-77.900848430367986</v>
      </c>
      <c r="G53" s="298"/>
      <c r="H53" s="192">
        <v>-77.900848430367986</v>
      </c>
      <c r="I53" s="298"/>
      <c r="J53" s="192">
        <v>-77.900848430367986</v>
      </c>
      <c r="K53" s="298"/>
      <c r="L53" s="192">
        <v>-77.900848430367986</v>
      </c>
      <c r="M53" s="298"/>
      <c r="N53" s="192">
        <v>-77.900848430367986</v>
      </c>
      <c r="O53" s="298"/>
      <c r="P53" s="192">
        <v>-77.900848430367986</v>
      </c>
      <c r="Q53" s="298"/>
      <c r="R53" s="192">
        <v>-77.900848430367986</v>
      </c>
      <c r="S53" s="298"/>
      <c r="T53" s="192">
        <f ca="1">+'COMP Act to Prior'!D53</f>
        <v>-87.940603800000005</v>
      </c>
    </row>
    <row r="54" spans="1:20">
      <c r="A54" s="76" t="s">
        <v>1086</v>
      </c>
      <c r="B54" s="999">
        <v>0</v>
      </c>
      <c r="C54" s="298"/>
      <c r="D54" s="999">
        <v>0</v>
      </c>
      <c r="E54" s="298"/>
      <c r="F54" s="192">
        <v>0</v>
      </c>
      <c r="G54" s="298"/>
      <c r="H54" s="192">
        <v>0</v>
      </c>
      <c r="I54" s="298"/>
      <c r="J54" s="192">
        <v>0</v>
      </c>
      <c r="K54" s="298"/>
      <c r="L54" s="192">
        <v>0</v>
      </c>
      <c r="M54" s="298"/>
      <c r="N54" s="192">
        <v>0</v>
      </c>
      <c r="O54" s="298"/>
      <c r="P54" s="192">
        <v>0</v>
      </c>
      <c r="Q54" s="298"/>
      <c r="R54" s="192">
        <v>0</v>
      </c>
      <c r="S54" s="298"/>
      <c r="T54" s="192">
        <f>+'COMP Act to Prior'!D54</f>
        <v>0</v>
      </c>
    </row>
    <row r="55" spans="1:20">
      <c r="A55" s="76" t="s">
        <v>66</v>
      </c>
      <c r="B55" s="999">
        <v>7.5478180042409804E-4</v>
      </c>
      <c r="C55" s="298"/>
      <c r="D55" s="999">
        <v>7.5478179860510863E-4</v>
      </c>
      <c r="E55" s="298"/>
      <c r="F55" s="192">
        <v>2.5662581538199447E-4</v>
      </c>
      <c r="G55" s="298"/>
      <c r="H55" s="192">
        <v>4.8306034932465991E-4</v>
      </c>
      <c r="I55" s="298"/>
      <c r="J55" s="192">
        <v>1.5095635899342597E-4</v>
      </c>
      <c r="K55" s="298"/>
      <c r="L55" s="192">
        <v>4.528690778897726E-4</v>
      </c>
      <c r="M55" s="298"/>
      <c r="N55" s="192">
        <v>2.1888671926717507E-4</v>
      </c>
      <c r="O55" s="298"/>
      <c r="P55" s="192">
        <v>-4.1512998905091081E-4</v>
      </c>
      <c r="Q55" s="298"/>
      <c r="R55" s="192">
        <v>2.415301742075826E-4</v>
      </c>
      <c r="S55" s="298"/>
      <c r="T55" s="192">
        <f ca="1">+'COMP Act to Prior'!D55</f>
        <v>-3.3594749993426376E-4</v>
      </c>
    </row>
    <row r="56" spans="1:20">
      <c r="A56" s="76" t="s">
        <v>67</v>
      </c>
      <c r="B56" s="999">
        <v>-8572.7799835644</v>
      </c>
      <c r="C56" s="298"/>
      <c r="D56" s="999">
        <v>-8849.1471135434003</v>
      </c>
      <c r="E56" s="298"/>
      <c r="F56" s="192">
        <v>-9121.9222369361996</v>
      </c>
      <c r="G56" s="298"/>
      <c r="H56" s="192">
        <v>-9389.4735154912014</v>
      </c>
      <c r="I56" s="298"/>
      <c r="J56" s="192">
        <v>-9654.9008380609994</v>
      </c>
      <c r="K56" s="298"/>
      <c r="L56" s="192">
        <v>-9919.3688329630004</v>
      </c>
      <c r="M56" s="298"/>
      <c r="N56" s="192">
        <v>-10187.8801939676</v>
      </c>
      <c r="O56" s="298"/>
      <c r="P56" s="192">
        <v>-10511.1071972178</v>
      </c>
      <c r="Q56" s="298"/>
      <c r="R56" s="192">
        <v>-10783.8000493944</v>
      </c>
      <c r="S56" s="298"/>
      <c r="T56" s="192">
        <f ca="1">+'COMP Act to Prior'!D56</f>
        <v>-4586.5068196499997</v>
      </c>
    </row>
    <row r="57" spans="1:20" ht="15.2" customHeight="1">
      <c r="A57" s="76" t="s">
        <v>1087</v>
      </c>
      <c r="B57" s="989">
        <v>0</v>
      </c>
      <c r="C57" s="76"/>
      <c r="D57" s="989">
        <v>0</v>
      </c>
      <c r="E57" s="76"/>
      <c r="F57" s="191">
        <v>0</v>
      </c>
      <c r="G57" s="76"/>
      <c r="H57" s="191">
        <v>0</v>
      </c>
      <c r="I57" s="76"/>
      <c r="J57" s="191">
        <v>0</v>
      </c>
      <c r="K57" s="76"/>
      <c r="L57" s="191">
        <v>0</v>
      </c>
      <c r="M57" s="76"/>
      <c r="N57" s="191">
        <v>0</v>
      </c>
      <c r="O57" s="76"/>
      <c r="P57" s="191">
        <v>0</v>
      </c>
      <c r="Q57" s="76"/>
      <c r="R57" s="191">
        <v>0</v>
      </c>
      <c r="S57" s="76"/>
      <c r="T57" s="191">
        <f>+'COMP Act to Prior'!D57</f>
        <v>0</v>
      </c>
    </row>
    <row r="58" spans="1:20" ht="15.2" customHeight="1">
      <c r="A58" s="76" t="s">
        <v>1088</v>
      </c>
      <c r="B58" s="998">
        <v>-8908.3388383027141</v>
      </c>
      <c r="C58" s="76"/>
      <c r="D58" s="998">
        <v>-9147.842233165029</v>
      </c>
      <c r="E58" s="76"/>
      <c r="F58" s="190">
        <v>-9390.2975042249345</v>
      </c>
      <c r="G58" s="76"/>
      <c r="H58" s="190">
        <v>-9740.8395097481934</v>
      </c>
      <c r="I58" s="76"/>
      <c r="J58" s="190">
        <v>-10008.475750152371</v>
      </c>
      <c r="K58" s="76"/>
      <c r="L58" s="190">
        <v>-10276.165549431937</v>
      </c>
      <c r="M58" s="76"/>
      <c r="N58" s="190">
        <v>-10547.920032962063</v>
      </c>
      <c r="O58" s="76"/>
      <c r="P58" s="190">
        <v>-10857.218879655087</v>
      </c>
      <c r="Q58" s="76"/>
      <c r="R58" s="190">
        <v>-11129.421447021965</v>
      </c>
      <c r="S58" s="76"/>
      <c r="T58" s="190">
        <f ca="1">+'COMP Act to Prior'!D58</f>
        <v>-2876.347380839572</v>
      </c>
    </row>
    <row r="59" spans="1:20" ht="15.75">
      <c r="A59" s="52"/>
      <c r="B59" s="52"/>
      <c r="C59" s="76"/>
      <c r="D59" s="52"/>
      <c r="E59" s="76"/>
      <c r="F59" s="52"/>
      <c r="G59" s="76"/>
      <c r="H59" s="52"/>
      <c r="I59" s="76"/>
      <c r="J59" s="52"/>
      <c r="K59" s="76"/>
      <c r="L59" s="52"/>
      <c r="M59" s="76"/>
      <c r="N59" s="52"/>
      <c r="O59" s="76"/>
      <c r="P59" s="52"/>
      <c r="Q59" s="76"/>
      <c r="R59" s="52"/>
      <c r="S59" s="76"/>
      <c r="T59" s="52"/>
    </row>
    <row r="60" spans="1:20" hidden="1">
      <c r="A60" s="76" t="s">
        <v>1094</v>
      </c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</row>
    <row r="61" spans="1:20" hidden="1">
      <c r="A61" s="76" t="s">
        <v>1095</v>
      </c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</row>
    <row r="62" spans="1:20">
      <c r="A62" s="300"/>
      <c r="B62" s="300"/>
      <c r="C62" s="76"/>
      <c r="D62" s="300"/>
      <c r="E62" s="76"/>
      <c r="F62" s="300"/>
      <c r="G62" s="76"/>
      <c r="H62" s="300"/>
      <c r="I62" s="76"/>
      <c r="J62" s="300"/>
      <c r="K62" s="76"/>
      <c r="L62" s="300"/>
      <c r="M62" s="76"/>
      <c r="N62" s="300"/>
      <c r="O62" s="76"/>
      <c r="P62" s="300"/>
      <c r="Q62" s="76"/>
      <c r="R62" s="300"/>
      <c r="S62" s="76"/>
      <c r="T62" s="300"/>
    </row>
    <row r="64" spans="1:20">
      <c r="A64" s="76"/>
      <c r="B64" s="432"/>
      <c r="C64" s="432"/>
      <c r="D64" s="432"/>
      <c r="E64" s="432"/>
      <c r="F64" s="432"/>
      <c r="G64" s="432"/>
      <c r="H64" s="432"/>
      <c r="I64" s="432"/>
      <c r="J64" s="432"/>
      <c r="K64" s="432"/>
      <c r="L64" s="432"/>
      <c r="M64" s="432"/>
      <c r="N64" s="432"/>
      <c r="O64" s="432"/>
      <c r="P64" s="432"/>
      <c r="Q64" s="432"/>
      <c r="R64" s="432"/>
      <c r="S64" s="432"/>
      <c r="T64" s="432"/>
    </row>
  </sheetData>
  <printOptions horizontalCentered="1"/>
  <pageMargins left="0.5" right="0.5" top="0.5" bottom="0.5" header="0.5" footer="0.25"/>
  <pageSetup scale="36" orientation="portrait" r:id="rId1"/>
  <headerFooter>
    <oddFooter>&amp;Z&amp;F</oddFooter>
  </headerFooter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  <pageSetUpPr fitToPage="1"/>
  </sheetPr>
  <dimension ref="A1:IW119"/>
  <sheetViews>
    <sheetView workbookViewId="0">
      <selection sqref="A1:N1"/>
    </sheetView>
  </sheetViews>
  <sheetFormatPr defaultColWidth="9.140625" defaultRowHeight="12.75"/>
  <cols>
    <col min="1" max="1" width="5.85546875" style="375" customWidth="1"/>
    <col min="2" max="2" width="40.140625" style="375" bestFit="1" customWidth="1"/>
    <col min="3" max="3" width="11.7109375" style="375" hidden="1" customWidth="1"/>
    <col min="4" max="7" width="14.85546875" style="375" hidden="1" customWidth="1"/>
    <col min="8" max="8" width="11.7109375" style="375" hidden="1" customWidth="1"/>
    <col min="9" max="9" width="14.85546875" style="375" hidden="1" customWidth="1"/>
    <col min="10" max="12" width="12.28515625" style="375" hidden="1" customWidth="1"/>
    <col min="13" max="13" width="14.7109375" style="375" bestFit="1" customWidth="1"/>
    <col min="14" max="14" width="14.85546875" style="375" bestFit="1" customWidth="1"/>
    <col min="15" max="17" width="12.28515625" style="375" customWidth="1"/>
    <col min="18" max="18" width="11" style="375" customWidth="1"/>
    <col min="19" max="19" width="9.140625" style="375"/>
    <col min="20" max="20" width="12.42578125" style="375" bestFit="1" customWidth="1"/>
    <col min="21" max="23" width="9.140625" style="375"/>
    <col min="24" max="24" width="21.85546875" style="375" customWidth="1"/>
    <col min="25" max="257" width="9.140625" style="375"/>
    <col min="258" max="258" width="4.7109375" style="375" customWidth="1"/>
    <col min="259" max="259" width="40.140625" style="375" bestFit="1" customWidth="1"/>
    <col min="260" max="260" width="11.28515625" style="375" customWidth="1"/>
    <col min="261" max="261" width="11.85546875" style="375" customWidth="1"/>
    <col min="262" max="262" width="5.42578125" style="375" customWidth="1"/>
    <col min="263" max="263" width="11.28515625" style="375" customWidth="1"/>
    <col min="264" max="264" width="11.85546875" style="375" customWidth="1"/>
    <col min="265" max="265" width="7.140625" style="375" customWidth="1"/>
    <col min="266" max="266" width="11.28515625" style="375" bestFit="1" customWidth="1"/>
    <col min="267" max="267" width="12.28515625" style="375" bestFit="1" customWidth="1"/>
    <col min="268" max="268" width="5.5703125" style="375" customWidth="1"/>
    <col min="269" max="269" width="11.28515625" style="375" bestFit="1" customWidth="1"/>
    <col min="270" max="270" width="14.85546875" style="375" bestFit="1" customWidth="1"/>
    <col min="271" max="271" width="12.85546875" style="375" bestFit="1" customWidth="1"/>
    <col min="272" max="272" width="11" style="375" customWidth="1"/>
    <col min="273" max="273" width="12.28515625" style="375" bestFit="1" customWidth="1"/>
    <col min="274" max="274" width="11" style="375" customWidth="1"/>
    <col min="275" max="279" width="9.140625" style="375"/>
    <col min="280" max="280" width="21.85546875" style="375" customWidth="1"/>
    <col min="281" max="513" width="9.140625" style="375"/>
    <col min="514" max="514" width="4.7109375" style="375" customWidth="1"/>
    <col min="515" max="515" width="40.140625" style="375" bestFit="1" customWidth="1"/>
    <col min="516" max="516" width="11.28515625" style="375" customWidth="1"/>
    <col min="517" max="517" width="11.85546875" style="375" customWidth="1"/>
    <col min="518" max="518" width="5.42578125" style="375" customWidth="1"/>
    <col min="519" max="519" width="11.28515625" style="375" customWidth="1"/>
    <col min="520" max="520" width="11.85546875" style="375" customWidth="1"/>
    <col min="521" max="521" width="7.140625" style="375" customWidth="1"/>
    <col min="522" max="522" width="11.28515625" style="375" bestFit="1" customWidth="1"/>
    <col min="523" max="523" width="12.28515625" style="375" bestFit="1" customWidth="1"/>
    <col min="524" max="524" width="5.5703125" style="375" customWidth="1"/>
    <col min="525" max="525" width="11.28515625" style="375" bestFit="1" customWidth="1"/>
    <col min="526" max="526" width="14.85546875" style="375" bestFit="1" customWidth="1"/>
    <col min="527" max="527" width="12.85546875" style="375" bestFit="1" customWidth="1"/>
    <col min="528" max="528" width="11" style="375" customWidth="1"/>
    <col min="529" max="529" width="12.28515625" style="375" bestFit="1" customWidth="1"/>
    <col min="530" max="530" width="11" style="375" customWidth="1"/>
    <col min="531" max="535" width="9.140625" style="375"/>
    <col min="536" max="536" width="21.85546875" style="375" customWidth="1"/>
    <col min="537" max="769" width="9.140625" style="375"/>
    <col min="770" max="770" width="4.7109375" style="375" customWidth="1"/>
    <col min="771" max="771" width="40.140625" style="375" bestFit="1" customWidth="1"/>
    <col min="772" max="772" width="11.28515625" style="375" customWidth="1"/>
    <col min="773" max="773" width="11.85546875" style="375" customWidth="1"/>
    <col min="774" max="774" width="5.42578125" style="375" customWidth="1"/>
    <col min="775" max="775" width="11.28515625" style="375" customWidth="1"/>
    <col min="776" max="776" width="11.85546875" style="375" customWidth="1"/>
    <col min="777" max="777" width="7.140625" style="375" customWidth="1"/>
    <col min="778" max="778" width="11.28515625" style="375" bestFit="1" customWidth="1"/>
    <col min="779" max="779" width="12.28515625" style="375" bestFit="1" customWidth="1"/>
    <col min="780" max="780" width="5.5703125" style="375" customWidth="1"/>
    <col min="781" max="781" width="11.28515625" style="375" bestFit="1" customWidth="1"/>
    <col min="782" max="782" width="14.85546875" style="375" bestFit="1" customWidth="1"/>
    <col min="783" max="783" width="12.85546875" style="375" bestFit="1" customWidth="1"/>
    <col min="784" max="784" width="11" style="375" customWidth="1"/>
    <col min="785" max="785" width="12.28515625" style="375" bestFit="1" customWidth="1"/>
    <col min="786" max="786" width="11" style="375" customWidth="1"/>
    <col min="787" max="791" width="9.140625" style="375"/>
    <col min="792" max="792" width="21.85546875" style="375" customWidth="1"/>
    <col min="793" max="1025" width="9.140625" style="375"/>
    <col min="1026" max="1026" width="4.7109375" style="375" customWidth="1"/>
    <col min="1027" max="1027" width="40.140625" style="375" bestFit="1" customWidth="1"/>
    <col min="1028" max="1028" width="11.28515625" style="375" customWidth="1"/>
    <col min="1029" max="1029" width="11.85546875" style="375" customWidth="1"/>
    <col min="1030" max="1030" width="5.42578125" style="375" customWidth="1"/>
    <col min="1031" max="1031" width="11.28515625" style="375" customWidth="1"/>
    <col min="1032" max="1032" width="11.85546875" style="375" customWidth="1"/>
    <col min="1033" max="1033" width="7.140625" style="375" customWidth="1"/>
    <col min="1034" max="1034" width="11.28515625" style="375" bestFit="1" customWidth="1"/>
    <col min="1035" max="1035" width="12.28515625" style="375" bestFit="1" customWidth="1"/>
    <col min="1036" max="1036" width="5.5703125" style="375" customWidth="1"/>
    <col min="1037" max="1037" width="11.28515625" style="375" bestFit="1" customWidth="1"/>
    <col min="1038" max="1038" width="14.85546875" style="375" bestFit="1" customWidth="1"/>
    <col min="1039" max="1039" width="12.85546875" style="375" bestFit="1" customWidth="1"/>
    <col min="1040" max="1040" width="11" style="375" customWidth="1"/>
    <col min="1041" max="1041" width="12.28515625" style="375" bestFit="1" customWidth="1"/>
    <col min="1042" max="1042" width="11" style="375" customWidth="1"/>
    <col min="1043" max="1047" width="9.140625" style="375"/>
    <col min="1048" max="1048" width="21.85546875" style="375" customWidth="1"/>
    <col min="1049" max="1281" width="9.140625" style="375"/>
    <col min="1282" max="1282" width="4.7109375" style="375" customWidth="1"/>
    <col min="1283" max="1283" width="40.140625" style="375" bestFit="1" customWidth="1"/>
    <col min="1284" max="1284" width="11.28515625" style="375" customWidth="1"/>
    <col min="1285" max="1285" width="11.85546875" style="375" customWidth="1"/>
    <col min="1286" max="1286" width="5.42578125" style="375" customWidth="1"/>
    <col min="1287" max="1287" width="11.28515625" style="375" customWidth="1"/>
    <col min="1288" max="1288" width="11.85546875" style="375" customWidth="1"/>
    <col min="1289" max="1289" width="7.140625" style="375" customWidth="1"/>
    <col min="1290" max="1290" width="11.28515625" style="375" bestFit="1" customWidth="1"/>
    <col min="1291" max="1291" width="12.28515625" style="375" bestFit="1" customWidth="1"/>
    <col min="1292" max="1292" width="5.5703125" style="375" customWidth="1"/>
    <col min="1293" max="1293" width="11.28515625" style="375" bestFit="1" customWidth="1"/>
    <col min="1294" max="1294" width="14.85546875" style="375" bestFit="1" customWidth="1"/>
    <col min="1295" max="1295" width="12.85546875" style="375" bestFit="1" customWidth="1"/>
    <col min="1296" max="1296" width="11" style="375" customWidth="1"/>
    <col min="1297" max="1297" width="12.28515625" style="375" bestFit="1" customWidth="1"/>
    <col min="1298" max="1298" width="11" style="375" customWidth="1"/>
    <col min="1299" max="1303" width="9.140625" style="375"/>
    <col min="1304" max="1304" width="21.85546875" style="375" customWidth="1"/>
    <col min="1305" max="1537" width="9.140625" style="375"/>
    <col min="1538" max="1538" width="4.7109375" style="375" customWidth="1"/>
    <col min="1539" max="1539" width="40.140625" style="375" bestFit="1" customWidth="1"/>
    <col min="1540" max="1540" width="11.28515625" style="375" customWidth="1"/>
    <col min="1541" max="1541" width="11.85546875" style="375" customWidth="1"/>
    <col min="1542" max="1542" width="5.42578125" style="375" customWidth="1"/>
    <col min="1543" max="1543" width="11.28515625" style="375" customWidth="1"/>
    <col min="1544" max="1544" width="11.85546875" style="375" customWidth="1"/>
    <col min="1545" max="1545" width="7.140625" style="375" customWidth="1"/>
    <col min="1546" max="1546" width="11.28515625" style="375" bestFit="1" customWidth="1"/>
    <col min="1547" max="1547" width="12.28515625" style="375" bestFit="1" customWidth="1"/>
    <col min="1548" max="1548" width="5.5703125" style="375" customWidth="1"/>
    <col min="1549" max="1549" width="11.28515625" style="375" bestFit="1" customWidth="1"/>
    <col min="1550" max="1550" width="14.85546875" style="375" bestFit="1" customWidth="1"/>
    <col min="1551" max="1551" width="12.85546875" style="375" bestFit="1" customWidth="1"/>
    <col min="1552" max="1552" width="11" style="375" customWidth="1"/>
    <col min="1553" max="1553" width="12.28515625" style="375" bestFit="1" customWidth="1"/>
    <col min="1554" max="1554" width="11" style="375" customWidth="1"/>
    <col min="1555" max="1559" width="9.140625" style="375"/>
    <col min="1560" max="1560" width="21.85546875" style="375" customWidth="1"/>
    <col min="1561" max="1793" width="9.140625" style="375"/>
    <col min="1794" max="1794" width="4.7109375" style="375" customWidth="1"/>
    <col min="1795" max="1795" width="40.140625" style="375" bestFit="1" customWidth="1"/>
    <col min="1796" max="1796" width="11.28515625" style="375" customWidth="1"/>
    <col min="1797" max="1797" width="11.85546875" style="375" customWidth="1"/>
    <col min="1798" max="1798" width="5.42578125" style="375" customWidth="1"/>
    <col min="1799" max="1799" width="11.28515625" style="375" customWidth="1"/>
    <col min="1800" max="1800" width="11.85546875" style="375" customWidth="1"/>
    <col min="1801" max="1801" width="7.140625" style="375" customWidth="1"/>
    <col min="1802" max="1802" width="11.28515625" style="375" bestFit="1" customWidth="1"/>
    <col min="1803" max="1803" width="12.28515625" style="375" bestFit="1" customWidth="1"/>
    <col min="1804" max="1804" width="5.5703125" style="375" customWidth="1"/>
    <col min="1805" max="1805" width="11.28515625" style="375" bestFit="1" customWidth="1"/>
    <col min="1806" max="1806" width="14.85546875" style="375" bestFit="1" customWidth="1"/>
    <col min="1807" max="1807" width="12.85546875" style="375" bestFit="1" customWidth="1"/>
    <col min="1808" max="1808" width="11" style="375" customWidth="1"/>
    <col min="1809" max="1809" width="12.28515625" style="375" bestFit="1" customWidth="1"/>
    <col min="1810" max="1810" width="11" style="375" customWidth="1"/>
    <col min="1811" max="1815" width="9.140625" style="375"/>
    <col min="1816" max="1816" width="21.85546875" style="375" customWidth="1"/>
    <col min="1817" max="2049" width="9.140625" style="375"/>
    <col min="2050" max="2050" width="4.7109375" style="375" customWidth="1"/>
    <col min="2051" max="2051" width="40.140625" style="375" bestFit="1" customWidth="1"/>
    <col min="2052" max="2052" width="11.28515625" style="375" customWidth="1"/>
    <col min="2053" max="2053" width="11.85546875" style="375" customWidth="1"/>
    <col min="2054" max="2054" width="5.42578125" style="375" customWidth="1"/>
    <col min="2055" max="2055" width="11.28515625" style="375" customWidth="1"/>
    <col min="2056" max="2056" width="11.85546875" style="375" customWidth="1"/>
    <col min="2057" max="2057" width="7.140625" style="375" customWidth="1"/>
    <col min="2058" max="2058" width="11.28515625" style="375" bestFit="1" customWidth="1"/>
    <col min="2059" max="2059" width="12.28515625" style="375" bestFit="1" customWidth="1"/>
    <col min="2060" max="2060" width="5.5703125" style="375" customWidth="1"/>
    <col min="2061" max="2061" width="11.28515625" style="375" bestFit="1" customWidth="1"/>
    <col min="2062" max="2062" width="14.85546875" style="375" bestFit="1" customWidth="1"/>
    <col min="2063" max="2063" width="12.85546875" style="375" bestFit="1" customWidth="1"/>
    <col min="2064" max="2064" width="11" style="375" customWidth="1"/>
    <col min="2065" max="2065" width="12.28515625" style="375" bestFit="1" customWidth="1"/>
    <col min="2066" max="2066" width="11" style="375" customWidth="1"/>
    <col min="2067" max="2071" width="9.140625" style="375"/>
    <col min="2072" max="2072" width="21.85546875" style="375" customWidth="1"/>
    <col min="2073" max="2305" width="9.140625" style="375"/>
    <col min="2306" max="2306" width="4.7109375" style="375" customWidth="1"/>
    <col min="2307" max="2307" width="40.140625" style="375" bestFit="1" customWidth="1"/>
    <col min="2308" max="2308" width="11.28515625" style="375" customWidth="1"/>
    <col min="2309" max="2309" width="11.85546875" style="375" customWidth="1"/>
    <col min="2310" max="2310" width="5.42578125" style="375" customWidth="1"/>
    <col min="2311" max="2311" width="11.28515625" style="375" customWidth="1"/>
    <col min="2312" max="2312" width="11.85546875" style="375" customWidth="1"/>
    <col min="2313" max="2313" width="7.140625" style="375" customWidth="1"/>
    <col min="2314" max="2314" width="11.28515625" style="375" bestFit="1" customWidth="1"/>
    <col min="2315" max="2315" width="12.28515625" style="375" bestFit="1" customWidth="1"/>
    <col min="2316" max="2316" width="5.5703125" style="375" customWidth="1"/>
    <col min="2317" max="2317" width="11.28515625" style="375" bestFit="1" customWidth="1"/>
    <col min="2318" max="2318" width="14.85546875" style="375" bestFit="1" customWidth="1"/>
    <col min="2319" max="2319" width="12.85546875" style="375" bestFit="1" customWidth="1"/>
    <col min="2320" max="2320" width="11" style="375" customWidth="1"/>
    <col min="2321" max="2321" width="12.28515625" style="375" bestFit="1" customWidth="1"/>
    <col min="2322" max="2322" width="11" style="375" customWidth="1"/>
    <col min="2323" max="2327" width="9.140625" style="375"/>
    <col min="2328" max="2328" width="21.85546875" style="375" customWidth="1"/>
    <col min="2329" max="2561" width="9.140625" style="375"/>
    <col min="2562" max="2562" width="4.7109375" style="375" customWidth="1"/>
    <col min="2563" max="2563" width="40.140625" style="375" bestFit="1" customWidth="1"/>
    <col min="2564" max="2564" width="11.28515625" style="375" customWidth="1"/>
    <col min="2565" max="2565" width="11.85546875" style="375" customWidth="1"/>
    <col min="2566" max="2566" width="5.42578125" style="375" customWidth="1"/>
    <col min="2567" max="2567" width="11.28515625" style="375" customWidth="1"/>
    <col min="2568" max="2568" width="11.85546875" style="375" customWidth="1"/>
    <col min="2569" max="2569" width="7.140625" style="375" customWidth="1"/>
    <col min="2570" max="2570" width="11.28515625" style="375" bestFit="1" customWidth="1"/>
    <col min="2571" max="2571" width="12.28515625" style="375" bestFit="1" customWidth="1"/>
    <col min="2572" max="2572" width="5.5703125" style="375" customWidth="1"/>
    <col min="2573" max="2573" width="11.28515625" style="375" bestFit="1" customWidth="1"/>
    <col min="2574" max="2574" width="14.85546875" style="375" bestFit="1" customWidth="1"/>
    <col min="2575" max="2575" width="12.85546875" style="375" bestFit="1" customWidth="1"/>
    <col min="2576" max="2576" width="11" style="375" customWidth="1"/>
    <col min="2577" max="2577" width="12.28515625" style="375" bestFit="1" customWidth="1"/>
    <col min="2578" max="2578" width="11" style="375" customWidth="1"/>
    <col min="2579" max="2583" width="9.140625" style="375"/>
    <col min="2584" max="2584" width="21.85546875" style="375" customWidth="1"/>
    <col min="2585" max="2817" width="9.140625" style="375"/>
    <col min="2818" max="2818" width="4.7109375" style="375" customWidth="1"/>
    <col min="2819" max="2819" width="40.140625" style="375" bestFit="1" customWidth="1"/>
    <col min="2820" max="2820" width="11.28515625" style="375" customWidth="1"/>
    <col min="2821" max="2821" width="11.85546875" style="375" customWidth="1"/>
    <col min="2822" max="2822" width="5.42578125" style="375" customWidth="1"/>
    <col min="2823" max="2823" width="11.28515625" style="375" customWidth="1"/>
    <col min="2824" max="2824" width="11.85546875" style="375" customWidth="1"/>
    <col min="2825" max="2825" width="7.140625" style="375" customWidth="1"/>
    <col min="2826" max="2826" width="11.28515625" style="375" bestFit="1" customWidth="1"/>
    <col min="2827" max="2827" width="12.28515625" style="375" bestFit="1" customWidth="1"/>
    <col min="2828" max="2828" width="5.5703125" style="375" customWidth="1"/>
    <col min="2829" max="2829" width="11.28515625" style="375" bestFit="1" customWidth="1"/>
    <col min="2830" max="2830" width="14.85546875" style="375" bestFit="1" customWidth="1"/>
    <col min="2831" max="2831" width="12.85546875" style="375" bestFit="1" customWidth="1"/>
    <col min="2832" max="2832" width="11" style="375" customWidth="1"/>
    <col min="2833" max="2833" width="12.28515625" style="375" bestFit="1" customWidth="1"/>
    <col min="2834" max="2834" width="11" style="375" customWidth="1"/>
    <col min="2835" max="2839" width="9.140625" style="375"/>
    <col min="2840" max="2840" width="21.85546875" style="375" customWidth="1"/>
    <col min="2841" max="3073" width="9.140625" style="375"/>
    <col min="3074" max="3074" width="4.7109375" style="375" customWidth="1"/>
    <col min="3075" max="3075" width="40.140625" style="375" bestFit="1" customWidth="1"/>
    <col min="3076" max="3076" width="11.28515625" style="375" customWidth="1"/>
    <col min="3077" max="3077" width="11.85546875" style="375" customWidth="1"/>
    <col min="3078" max="3078" width="5.42578125" style="375" customWidth="1"/>
    <col min="3079" max="3079" width="11.28515625" style="375" customWidth="1"/>
    <col min="3080" max="3080" width="11.85546875" style="375" customWidth="1"/>
    <col min="3081" max="3081" width="7.140625" style="375" customWidth="1"/>
    <col min="3082" max="3082" width="11.28515625" style="375" bestFit="1" customWidth="1"/>
    <col min="3083" max="3083" width="12.28515625" style="375" bestFit="1" customWidth="1"/>
    <col min="3084" max="3084" width="5.5703125" style="375" customWidth="1"/>
    <col min="3085" max="3085" width="11.28515625" style="375" bestFit="1" customWidth="1"/>
    <col min="3086" max="3086" width="14.85546875" style="375" bestFit="1" customWidth="1"/>
    <col min="3087" max="3087" width="12.85546875" style="375" bestFit="1" customWidth="1"/>
    <col min="3088" max="3088" width="11" style="375" customWidth="1"/>
    <col min="3089" max="3089" width="12.28515625" style="375" bestFit="1" customWidth="1"/>
    <col min="3090" max="3090" width="11" style="375" customWidth="1"/>
    <col min="3091" max="3095" width="9.140625" style="375"/>
    <col min="3096" max="3096" width="21.85546875" style="375" customWidth="1"/>
    <col min="3097" max="3329" width="9.140625" style="375"/>
    <col min="3330" max="3330" width="4.7109375" style="375" customWidth="1"/>
    <col min="3331" max="3331" width="40.140625" style="375" bestFit="1" customWidth="1"/>
    <col min="3332" max="3332" width="11.28515625" style="375" customWidth="1"/>
    <col min="3333" max="3333" width="11.85546875" style="375" customWidth="1"/>
    <col min="3334" max="3334" width="5.42578125" style="375" customWidth="1"/>
    <col min="3335" max="3335" width="11.28515625" style="375" customWidth="1"/>
    <col min="3336" max="3336" width="11.85546875" style="375" customWidth="1"/>
    <col min="3337" max="3337" width="7.140625" style="375" customWidth="1"/>
    <col min="3338" max="3338" width="11.28515625" style="375" bestFit="1" customWidth="1"/>
    <col min="3339" max="3339" width="12.28515625" style="375" bestFit="1" customWidth="1"/>
    <col min="3340" max="3340" width="5.5703125" style="375" customWidth="1"/>
    <col min="3341" max="3341" width="11.28515625" style="375" bestFit="1" customWidth="1"/>
    <col min="3342" max="3342" width="14.85546875" style="375" bestFit="1" customWidth="1"/>
    <col min="3343" max="3343" width="12.85546875" style="375" bestFit="1" customWidth="1"/>
    <col min="3344" max="3344" width="11" style="375" customWidth="1"/>
    <col min="3345" max="3345" width="12.28515625" style="375" bestFit="1" customWidth="1"/>
    <col min="3346" max="3346" width="11" style="375" customWidth="1"/>
    <col min="3347" max="3351" width="9.140625" style="375"/>
    <col min="3352" max="3352" width="21.85546875" style="375" customWidth="1"/>
    <col min="3353" max="3585" width="9.140625" style="375"/>
    <col min="3586" max="3586" width="4.7109375" style="375" customWidth="1"/>
    <col min="3587" max="3587" width="40.140625" style="375" bestFit="1" customWidth="1"/>
    <col min="3588" max="3588" width="11.28515625" style="375" customWidth="1"/>
    <col min="3589" max="3589" width="11.85546875" style="375" customWidth="1"/>
    <col min="3590" max="3590" width="5.42578125" style="375" customWidth="1"/>
    <col min="3591" max="3591" width="11.28515625" style="375" customWidth="1"/>
    <col min="3592" max="3592" width="11.85546875" style="375" customWidth="1"/>
    <col min="3593" max="3593" width="7.140625" style="375" customWidth="1"/>
    <col min="3594" max="3594" width="11.28515625" style="375" bestFit="1" customWidth="1"/>
    <col min="3595" max="3595" width="12.28515625" style="375" bestFit="1" customWidth="1"/>
    <col min="3596" max="3596" width="5.5703125" style="375" customWidth="1"/>
    <col min="3597" max="3597" width="11.28515625" style="375" bestFit="1" customWidth="1"/>
    <col min="3598" max="3598" width="14.85546875" style="375" bestFit="1" customWidth="1"/>
    <col min="3599" max="3599" width="12.85546875" style="375" bestFit="1" customWidth="1"/>
    <col min="3600" max="3600" width="11" style="375" customWidth="1"/>
    <col min="3601" max="3601" width="12.28515625" style="375" bestFit="1" customWidth="1"/>
    <col min="3602" max="3602" width="11" style="375" customWidth="1"/>
    <col min="3603" max="3607" width="9.140625" style="375"/>
    <col min="3608" max="3608" width="21.85546875" style="375" customWidth="1"/>
    <col min="3609" max="3841" width="9.140625" style="375"/>
    <col min="3842" max="3842" width="4.7109375" style="375" customWidth="1"/>
    <col min="3843" max="3843" width="40.140625" style="375" bestFit="1" customWidth="1"/>
    <col min="3844" max="3844" width="11.28515625" style="375" customWidth="1"/>
    <col min="3845" max="3845" width="11.85546875" style="375" customWidth="1"/>
    <col min="3846" max="3846" width="5.42578125" style="375" customWidth="1"/>
    <col min="3847" max="3847" width="11.28515625" style="375" customWidth="1"/>
    <col min="3848" max="3848" width="11.85546875" style="375" customWidth="1"/>
    <col min="3849" max="3849" width="7.140625" style="375" customWidth="1"/>
    <col min="3850" max="3850" width="11.28515625" style="375" bestFit="1" customWidth="1"/>
    <col min="3851" max="3851" width="12.28515625" style="375" bestFit="1" customWidth="1"/>
    <col min="3852" max="3852" width="5.5703125" style="375" customWidth="1"/>
    <col min="3853" max="3853" width="11.28515625" style="375" bestFit="1" customWidth="1"/>
    <col min="3854" max="3854" width="14.85546875" style="375" bestFit="1" customWidth="1"/>
    <col min="3855" max="3855" width="12.85546875" style="375" bestFit="1" customWidth="1"/>
    <col min="3856" max="3856" width="11" style="375" customWidth="1"/>
    <col min="3857" max="3857" width="12.28515625" style="375" bestFit="1" customWidth="1"/>
    <col min="3858" max="3858" width="11" style="375" customWidth="1"/>
    <col min="3859" max="3863" width="9.140625" style="375"/>
    <col min="3864" max="3864" width="21.85546875" style="375" customWidth="1"/>
    <col min="3865" max="4097" width="9.140625" style="375"/>
    <col min="4098" max="4098" width="4.7109375" style="375" customWidth="1"/>
    <col min="4099" max="4099" width="40.140625" style="375" bestFit="1" customWidth="1"/>
    <col min="4100" max="4100" width="11.28515625" style="375" customWidth="1"/>
    <col min="4101" max="4101" width="11.85546875" style="375" customWidth="1"/>
    <col min="4102" max="4102" width="5.42578125" style="375" customWidth="1"/>
    <col min="4103" max="4103" width="11.28515625" style="375" customWidth="1"/>
    <col min="4104" max="4104" width="11.85546875" style="375" customWidth="1"/>
    <col min="4105" max="4105" width="7.140625" style="375" customWidth="1"/>
    <col min="4106" max="4106" width="11.28515625" style="375" bestFit="1" customWidth="1"/>
    <col min="4107" max="4107" width="12.28515625" style="375" bestFit="1" customWidth="1"/>
    <col min="4108" max="4108" width="5.5703125" style="375" customWidth="1"/>
    <col min="4109" max="4109" width="11.28515625" style="375" bestFit="1" customWidth="1"/>
    <col min="4110" max="4110" width="14.85546875" style="375" bestFit="1" customWidth="1"/>
    <col min="4111" max="4111" width="12.85546875" style="375" bestFit="1" customWidth="1"/>
    <col min="4112" max="4112" width="11" style="375" customWidth="1"/>
    <col min="4113" max="4113" width="12.28515625" style="375" bestFit="1" customWidth="1"/>
    <col min="4114" max="4114" width="11" style="375" customWidth="1"/>
    <col min="4115" max="4119" width="9.140625" style="375"/>
    <col min="4120" max="4120" width="21.85546875" style="375" customWidth="1"/>
    <col min="4121" max="4353" width="9.140625" style="375"/>
    <col min="4354" max="4354" width="4.7109375" style="375" customWidth="1"/>
    <col min="4355" max="4355" width="40.140625" style="375" bestFit="1" customWidth="1"/>
    <col min="4356" max="4356" width="11.28515625" style="375" customWidth="1"/>
    <col min="4357" max="4357" width="11.85546875" style="375" customWidth="1"/>
    <col min="4358" max="4358" width="5.42578125" style="375" customWidth="1"/>
    <col min="4359" max="4359" width="11.28515625" style="375" customWidth="1"/>
    <col min="4360" max="4360" width="11.85546875" style="375" customWidth="1"/>
    <col min="4361" max="4361" width="7.140625" style="375" customWidth="1"/>
    <col min="4362" max="4362" width="11.28515625" style="375" bestFit="1" customWidth="1"/>
    <col min="4363" max="4363" width="12.28515625" style="375" bestFit="1" customWidth="1"/>
    <col min="4364" max="4364" width="5.5703125" style="375" customWidth="1"/>
    <col min="4365" max="4365" width="11.28515625" style="375" bestFit="1" customWidth="1"/>
    <col min="4366" max="4366" width="14.85546875" style="375" bestFit="1" customWidth="1"/>
    <col min="4367" max="4367" width="12.85546875" style="375" bestFit="1" customWidth="1"/>
    <col min="4368" max="4368" width="11" style="375" customWidth="1"/>
    <col min="4369" max="4369" width="12.28515625" style="375" bestFit="1" customWidth="1"/>
    <col min="4370" max="4370" width="11" style="375" customWidth="1"/>
    <col min="4371" max="4375" width="9.140625" style="375"/>
    <col min="4376" max="4376" width="21.85546875" style="375" customWidth="1"/>
    <col min="4377" max="4609" width="9.140625" style="375"/>
    <col min="4610" max="4610" width="4.7109375" style="375" customWidth="1"/>
    <col min="4611" max="4611" width="40.140625" style="375" bestFit="1" customWidth="1"/>
    <col min="4612" max="4612" width="11.28515625" style="375" customWidth="1"/>
    <col min="4613" max="4613" width="11.85546875" style="375" customWidth="1"/>
    <col min="4614" max="4614" width="5.42578125" style="375" customWidth="1"/>
    <col min="4615" max="4615" width="11.28515625" style="375" customWidth="1"/>
    <col min="4616" max="4616" width="11.85546875" style="375" customWidth="1"/>
    <col min="4617" max="4617" width="7.140625" style="375" customWidth="1"/>
    <col min="4618" max="4618" width="11.28515625" style="375" bestFit="1" customWidth="1"/>
    <col min="4619" max="4619" width="12.28515625" style="375" bestFit="1" customWidth="1"/>
    <col min="4620" max="4620" width="5.5703125" style="375" customWidth="1"/>
    <col min="4621" max="4621" width="11.28515625" style="375" bestFit="1" customWidth="1"/>
    <col min="4622" max="4622" width="14.85546875" style="375" bestFit="1" customWidth="1"/>
    <col min="4623" max="4623" width="12.85546875" style="375" bestFit="1" customWidth="1"/>
    <col min="4624" max="4624" width="11" style="375" customWidth="1"/>
    <col min="4625" max="4625" width="12.28515625" style="375" bestFit="1" customWidth="1"/>
    <col min="4626" max="4626" width="11" style="375" customWidth="1"/>
    <col min="4627" max="4631" width="9.140625" style="375"/>
    <col min="4632" max="4632" width="21.85546875" style="375" customWidth="1"/>
    <col min="4633" max="4865" width="9.140625" style="375"/>
    <col min="4866" max="4866" width="4.7109375" style="375" customWidth="1"/>
    <col min="4867" max="4867" width="40.140625" style="375" bestFit="1" customWidth="1"/>
    <col min="4868" max="4868" width="11.28515625" style="375" customWidth="1"/>
    <col min="4869" max="4869" width="11.85546875" style="375" customWidth="1"/>
    <col min="4870" max="4870" width="5.42578125" style="375" customWidth="1"/>
    <col min="4871" max="4871" width="11.28515625" style="375" customWidth="1"/>
    <col min="4872" max="4872" width="11.85546875" style="375" customWidth="1"/>
    <col min="4873" max="4873" width="7.140625" style="375" customWidth="1"/>
    <col min="4874" max="4874" width="11.28515625" style="375" bestFit="1" customWidth="1"/>
    <col min="4875" max="4875" width="12.28515625" style="375" bestFit="1" customWidth="1"/>
    <col min="4876" max="4876" width="5.5703125" style="375" customWidth="1"/>
    <col min="4877" max="4877" width="11.28515625" style="375" bestFit="1" customWidth="1"/>
    <col min="4878" max="4878" width="14.85546875" style="375" bestFit="1" customWidth="1"/>
    <col min="4879" max="4879" width="12.85546875" style="375" bestFit="1" customWidth="1"/>
    <col min="4880" max="4880" width="11" style="375" customWidth="1"/>
    <col min="4881" max="4881" width="12.28515625" style="375" bestFit="1" customWidth="1"/>
    <col min="4882" max="4882" width="11" style="375" customWidth="1"/>
    <col min="4883" max="4887" width="9.140625" style="375"/>
    <col min="4888" max="4888" width="21.85546875" style="375" customWidth="1"/>
    <col min="4889" max="5121" width="9.140625" style="375"/>
    <col min="5122" max="5122" width="4.7109375" style="375" customWidth="1"/>
    <col min="5123" max="5123" width="40.140625" style="375" bestFit="1" customWidth="1"/>
    <col min="5124" max="5124" width="11.28515625" style="375" customWidth="1"/>
    <col min="5125" max="5125" width="11.85546875" style="375" customWidth="1"/>
    <col min="5126" max="5126" width="5.42578125" style="375" customWidth="1"/>
    <col min="5127" max="5127" width="11.28515625" style="375" customWidth="1"/>
    <col min="5128" max="5128" width="11.85546875" style="375" customWidth="1"/>
    <col min="5129" max="5129" width="7.140625" style="375" customWidth="1"/>
    <col min="5130" max="5130" width="11.28515625" style="375" bestFit="1" customWidth="1"/>
    <col min="5131" max="5131" width="12.28515625" style="375" bestFit="1" customWidth="1"/>
    <col min="5132" max="5132" width="5.5703125" style="375" customWidth="1"/>
    <col min="5133" max="5133" width="11.28515625" style="375" bestFit="1" customWidth="1"/>
    <col min="5134" max="5134" width="14.85546875" style="375" bestFit="1" customWidth="1"/>
    <col min="5135" max="5135" width="12.85546875" style="375" bestFit="1" customWidth="1"/>
    <col min="5136" max="5136" width="11" style="375" customWidth="1"/>
    <col min="5137" max="5137" width="12.28515625" style="375" bestFit="1" customWidth="1"/>
    <col min="5138" max="5138" width="11" style="375" customWidth="1"/>
    <col min="5139" max="5143" width="9.140625" style="375"/>
    <col min="5144" max="5144" width="21.85546875" style="375" customWidth="1"/>
    <col min="5145" max="5377" width="9.140625" style="375"/>
    <col min="5378" max="5378" width="4.7109375" style="375" customWidth="1"/>
    <col min="5379" max="5379" width="40.140625" style="375" bestFit="1" customWidth="1"/>
    <col min="5380" max="5380" width="11.28515625" style="375" customWidth="1"/>
    <col min="5381" max="5381" width="11.85546875" style="375" customWidth="1"/>
    <col min="5382" max="5382" width="5.42578125" style="375" customWidth="1"/>
    <col min="5383" max="5383" width="11.28515625" style="375" customWidth="1"/>
    <col min="5384" max="5384" width="11.85546875" style="375" customWidth="1"/>
    <col min="5385" max="5385" width="7.140625" style="375" customWidth="1"/>
    <col min="5386" max="5386" width="11.28515625" style="375" bestFit="1" customWidth="1"/>
    <col min="5387" max="5387" width="12.28515625" style="375" bestFit="1" customWidth="1"/>
    <col min="5388" max="5388" width="5.5703125" style="375" customWidth="1"/>
    <col min="5389" max="5389" width="11.28515625" style="375" bestFit="1" customWidth="1"/>
    <col min="5390" max="5390" width="14.85546875" style="375" bestFit="1" customWidth="1"/>
    <col min="5391" max="5391" width="12.85546875" style="375" bestFit="1" customWidth="1"/>
    <col min="5392" max="5392" width="11" style="375" customWidth="1"/>
    <col min="5393" max="5393" width="12.28515625" style="375" bestFit="1" customWidth="1"/>
    <col min="5394" max="5394" width="11" style="375" customWidth="1"/>
    <col min="5395" max="5399" width="9.140625" style="375"/>
    <col min="5400" max="5400" width="21.85546875" style="375" customWidth="1"/>
    <col min="5401" max="5633" width="9.140625" style="375"/>
    <col min="5634" max="5634" width="4.7109375" style="375" customWidth="1"/>
    <col min="5635" max="5635" width="40.140625" style="375" bestFit="1" customWidth="1"/>
    <col min="5636" max="5636" width="11.28515625" style="375" customWidth="1"/>
    <col min="5637" max="5637" width="11.85546875" style="375" customWidth="1"/>
    <col min="5638" max="5638" width="5.42578125" style="375" customWidth="1"/>
    <col min="5639" max="5639" width="11.28515625" style="375" customWidth="1"/>
    <col min="5640" max="5640" width="11.85546875" style="375" customWidth="1"/>
    <col min="5641" max="5641" width="7.140625" style="375" customWidth="1"/>
    <col min="5642" max="5642" width="11.28515625" style="375" bestFit="1" customWidth="1"/>
    <col min="5643" max="5643" width="12.28515625" style="375" bestFit="1" customWidth="1"/>
    <col min="5644" max="5644" width="5.5703125" style="375" customWidth="1"/>
    <col min="5645" max="5645" width="11.28515625" style="375" bestFit="1" customWidth="1"/>
    <col min="5646" max="5646" width="14.85546875" style="375" bestFit="1" customWidth="1"/>
    <col min="5647" max="5647" width="12.85546875" style="375" bestFit="1" customWidth="1"/>
    <col min="5648" max="5648" width="11" style="375" customWidth="1"/>
    <col min="5649" max="5649" width="12.28515625" style="375" bestFit="1" customWidth="1"/>
    <col min="5650" max="5650" width="11" style="375" customWidth="1"/>
    <col min="5651" max="5655" width="9.140625" style="375"/>
    <col min="5656" max="5656" width="21.85546875" style="375" customWidth="1"/>
    <col min="5657" max="5889" width="9.140625" style="375"/>
    <col min="5890" max="5890" width="4.7109375" style="375" customWidth="1"/>
    <col min="5891" max="5891" width="40.140625" style="375" bestFit="1" customWidth="1"/>
    <col min="5892" max="5892" width="11.28515625" style="375" customWidth="1"/>
    <col min="5893" max="5893" width="11.85546875" style="375" customWidth="1"/>
    <col min="5894" max="5894" width="5.42578125" style="375" customWidth="1"/>
    <col min="5895" max="5895" width="11.28515625" style="375" customWidth="1"/>
    <col min="5896" max="5896" width="11.85546875" style="375" customWidth="1"/>
    <col min="5897" max="5897" width="7.140625" style="375" customWidth="1"/>
    <col min="5898" max="5898" width="11.28515625" style="375" bestFit="1" customWidth="1"/>
    <col min="5899" max="5899" width="12.28515625" style="375" bestFit="1" customWidth="1"/>
    <col min="5900" max="5900" width="5.5703125" style="375" customWidth="1"/>
    <col min="5901" max="5901" width="11.28515625" style="375" bestFit="1" customWidth="1"/>
    <col min="5902" max="5902" width="14.85546875" style="375" bestFit="1" customWidth="1"/>
    <col min="5903" max="5903" width="12.85546875" style="375" bestFit="1" customWidth="1"/>
    <col min="5904" max="5904" width="11" style="375" customWidth="1"/>
    <col min="5905" max="5905" width="12.28515625" style="375" bestFit="1" customWidth="1"/>
    <col min="5906" max="5906" width="11" style="375" customWidth="1"/>
    <col min="5907" max="5911" width="9.140625" style="375"/>
    <col min="5912" max="5912" width="21.85546875" style="375" customWidth="1"/>
    <col min="5913" max="6145" width="9.140625" style="375"/>
    <col min="6146" max="6146" width="4.7109375" style="375" customWidth="1"/>
    <col min="6147" max="6147" width="40.140625" style="375" bestFit="1" customWidth="1"/>
    <col min="6148" max="6148" width="11.28515625" style="375" customWidth="1"/>
    <col min="6149" max="6149" width="11.85546875" style="375" customWidth="1"/>
    <col min="6150" max="6150" width="5.42578125" style="375" customWidth="1"/>
    <col min="6151" max="6151" width="11.28515625" style="375" customWidth="1"/>
    <col min="6152" max="6152" width="11.85546875" style="375" customWidth="1"/>
    <col min="6153" max="6153" width="7.140625" style="375" customWidth="1"/>
    <col min="6154" max="6154" width="11.28515625" style="375" bestFit="1" customWidth="1"/>
    <col min="6155" max="6155" width="12.28515625" style="375" bestFit="1" customWidth="1"/>
    <col min="6156" max="6156" width="5.5703125" style="375" customWidth="1"/>
    <col min="6157" max="6157" width="11.28515625" style="375" bestFit="1" customWidth="1"/>
    <col min="6158" max="6158" width="14.85546875" style="375" bestFit="1" customWidth="1"/>
    <col min="6159" max="6159" width="12.85546875" style="375" bestFit="1" customWidth="1"/>
    <col min="6160" max="6160" width="11" style="375" customWidth="1"/>
    <col min="6161" max="6161" width="12.28515625" style="375" bestFit="1" customWidth="1"/>
    <col min="6162" max="6162" width="11" style="375" customWidth="1"/>
    <col min="6163" max="6167" width="9.140625" style="375"/>
    <col min="6168" max="6168" width="21.85546875" style="375" customWidth="1"/>
    <col min="6169" max="6401" width="9.140625" style="375"/>
    <col min="6402" max="6402" width="4.7109375" style="375" customWidth="1"/>
    <col min="6403" max="6403" width="40.140625" style="375" bestFit="1" customWidth="1"/>
    <col min="6404" max="6404" width="11.28515625" style="375" customWidth="1"/>
    <col min="6405" max="6405" width="11.85546875" style="375" customWidth="1"/>
    <col min="6406" max="6406" width="5.42578125" style="375" customWidth="1"/>
    <col min="6407" max="6407" width="11.28515625" style="375" customWidth="1"/>
    <col min="6408" max="6408" width="11.85546875" style="375" customWidth="1"/>
    <col min="6409" max="6409" width="7.140625" style="375" customWidth="1"/>
    <col min="6410" max="6410" width="11.28515625" style="375" bestFit="1" customWidth="1"/>
    <col min="6411" max="6411" width="12.28515625" style="375" bestFit="1" customWidth="1"/>
    <col min="6412" max="6412" width="5.5703125" style="375" customWidth="1"/>
    <col min="6413" max="6413" width="11.28515625" style="375" bestFit="1" customWidth="1"/>
    <col min="6414" max="6414" width="14.85546875" style="375" bestFit="1" customWidth="1"/>
    <col min="6415" max="6415" width="12.85546875" style="375" bestFit="1" customWidth="1"/>
    <col min="6416" max="6416" width="11" style="375" customWidth="1"/>
    <col min="6417" max="6417" width="12.28515625" style="375" bestFit="1" customWidth="1"/>
    <col min="6418" max="6418" width="11" style="375" customWidth="1"/>
    <col min="6419" max="6423" width="9.140625" style="375"/>
    <col min="6424" max="6424" width="21.85546875" style="375" customWidth="1"/>
    <col min="6425" max="6657" width="9.140625" style="375"/>
    <col min="6658" max="6658" width="4.7109375" style="375" customWidth="1"/>
    <col min="6659" max="6659" width="40.140625" style="375" bestFit="1" customWidth="1"/>
    <col min="6660" max="6660" width="11.28515625" style="375" customWidth="1"/>
    <col min="6661" max="6661" width="11.85546875" style="375" customWidth="1"/>
    <col min="6662" max="6662" width="5.42578125" style="375" customWidth="1"/>
    <col min="6663" max="6663" width="11.28515625" style="375" customWidth="1"/>
    <col min="6664" max="6664" width="11.85546875" style="375" customWidth="1"/>
    <col min="6665" max="6665" width="7.140625" style="375" customWidth="1"/>
    <col min="6666" max="6666" width="11.28515625" style="375" bestFit="1" customWidth="1"/>
    <col min="6667" max="6667" width="12.28515625" style="375" bestFit="1" customWidth="1"/>
    <col min="6668" max="6668" width="5.5703125" style="375" customWidth="1"/>
    <col min="6669" max="6669" width="11.28515625" style="375" bestFit="1" customWidth="1"/>
    <col min="6670" max="6670" width="14.85546875" style="375" bestFit="1" customWidth="1"/>
    <col min="6671" max="6671" width="12.85546875" style="375" bestFit="1" customWidth="1"/>
    <col min="6672" max="6672" width="11" style="375" customWidth="1"/>
    <col min="6673" max="6673" width="12.28515625" style="375" bestFit="1" customWidth="1"/>
    <col min="6674" max="6674" width="11" style="375" customWidth="1"/>
    <col min="6675" max="6679" width="9.140625" style="375"/>
    <col min="6680" max="6680" width="21.85546875" style="375" customWidth="1"/>
    <col min="6681" max="6913" width="9.140625" style="375"/>
    <col min="6914" max="6914" width="4.7109375" style="375" customWidth="1"/>
    <col min="6915" max="6915" width="40.140625" style="375" bestFit="1" customWidth="1"/>
    <col min="6916" max="6916" width="11.28515625" style="375" customWidth="1"/>
    <col min="6917" max="6917" width="11.85546875" style="375" customWidth="1"/>
    <col min="6918" max="6918" width="5.42578125" style="375" customWidth="1"/>
    <col min="6919" max="6919" width="11.28515625" style="375" customWidth="1"/>
    <col min="6920" max="6920" width="11.85546875" style="375" customWidth="1"/>
    <col min="6921" max="6921" width="7.140625" style="375" customWidth="1"/>
    <col min="6922" max="6922" width="11.28515625" style="375" bestFit="1" customWidth="1"/>
    <col min="6923" max="6923" width="12.28515625" style="375" bestFit="1" customWidth="1"/>
    <col min="6924" max="6924" width="5.5703125" style="375" customWidth="1"/>
    <col min="6925" max="6925" width="11.28515625" style="375" bestFit="1" customWidth="1"/>
    <col min="6926" max="6926" width="14.85546875" style="375" bestFit="1" customWidth="1"/>
    <col min="6927" max="6927" width="12.85546875" style="375" bestFit="1" customWidth="1"/>
    <col min="6928" max="6928" width="11" style="375" customWidth="1"/>
    <col min="6929" max="6929" width="12.28515625" style="375" bestFit="1" customWidth="1"/>
    <col min="6930" max="6930" width="11" style="375" customWidth="1"/>
    <col min="6931" max="6935" width="9.140625" style="375"/>
    <col min="6936" max="6936" width="21.85546875" style="375" customWidth="1"/>
    <col min="6937" max="7169" width="9.140625" style="375"/>
    <col min="7170" max="7170" width="4.7109375" style="375" customWidth="1"/>
    <col min="7171" max="7171" width="40.140625" style="375" bestFit="1" customWidth="1"/>
    <col min="7172" max="7172" width="11.28515625" style="375" customWidth="1"/>
    <col min="7173" max="7173" width="11.85546875" style="375" customWidth="1"/>
    <col min="7174" max="7174" width="5.42578125" style="375" customWidth="1"/>
    <col min="7175" max="7175" width="11.28515625" style="375" customWidth="1"/>
    <col min="7176" max="7176" width="11.85546875" style="375" customWidth="1"/>
    <col min="7177" max="7177" width="7.140625" style="375" customWidth="1"/>
    <col min="7178" max="7178" width="11.28515625" style="375" bestFit="1" customWidth="1"/>
    <col min="7179" max="7179" width="12.28515625" style="375" bestFit="1" customWidth="1"/>
    <col min="7180" max="7180" width="5.5703125" style="375" customWidth="1"/>
    <col min="7181" max="7181" width="11.28515625" style="375" bestFit="1" customWidth="1"/>
    <col min="7182" max="7182" width="14.85546875" style="375" bestFit="1" customWidth="1"/>
    <col min="7183" max="7183" width="12.85546875" style="375" bestFit="1" customWidth="1"/>
    <col min="7184" max="7184" width="11" style="375" customWidth="1"/>
    <col min="7185" max="7185" width="12.28515625" style="375" bestFit="1" customWidth="1"/>
    <col min="7186" max="7186" width="11" style="375" customWidth="1"/>
    <col min="7187" max="7191" width="9.140625" style="375"/>
    <col min="7192" max="7192" width="21.85546875" style="375" customWidth="1"/>
    <col min="7193" max="7425" width="9.140625" style="375"/>
    <col min="7426" max="7426" width="4.7109375" style="375" customWidth="1"/>
    <col min="7427" max="7427" width="40.140625" style="375" bestFit="1" customWidth="1"/>
    <col min="7428" max="7428" width="11.28515625" style="375" customWidth="1"/>
    <col min="7429" max="7429" width="11.85546875" style="375" customWidth="1"/>
    <col min="7430" max="7430" width="5.42578125" style="375" customWidth="1"/>
    <col min="7431" max="7431" width="11.28515625" style="375" customWidth="1"/>
    <col min="7432" max="7432" width="11.85546875" style="375" customWidth="1"/>
    <col min="7433" max="7433" width="7.140625" style="375" customWidth="1"/>
    <col min="7434" max="7434" width="11.28515625" style="375" bestFit="1" customWidth="1"/>
    <col min="7435" max="7435" width="12.28515625" style="375" bestFit="1" customWidth="1"/>
    <col min="7436" max="7436" width="5.5703125" style="375" customWidth="1"/>
    <col min="7437" max="7437" width="11.28515625" style="375" bestFit="1" customWidth="1"/>
    <col min="7438" max="7438" width="14.85546875" style="375" bestFit="1" customWidth="1"/>
    <col min="7439" max="7439" width="12.85546875" style="375" bestFit="1" customWidth="1"/>
    <col min="7440" max="7440" width="11" style="375" customWidth="1"/>
    <col min="7441" max="7441" width="12.28515625" style="375" bestFit="1" customWidth="1"/>
    <col min="7442" max="7442" width="11" style="375" customWidth="1"/>
    <col min="7443" max="7447" width="9.140625" style="375"/>
    <col min="7448" max="7448" width="21.85546875" style="375" customWidth="1"/>
    <col min="7449" max="7681" width="9.140625" style="375"/>
    <col min="7682" max="7682" width="4.7109375" style="375" customWidth="1"/>
    <col min="7683" max="7683" width="40.140625" style="375" bestFit="1" customWidth="1"/>
    <col min="7684" max="7684" width="11.28515625" style="375" customWidth="1"/>
    <col min="7685" max="7685" width="11.85546875" style="375" customWidth="1"/>
    <col min="7686" max="7686" width="5.42578125" style="375" customWidth="1"/>
    <col min="7687" max="7687" width="11.28515625" style="375" customWidth="1"/>
    <col min="7688" max="7688" width="11.85546875" style="375" customWidth="1"/>
    <col min="7689" max="7689" width="7.140625" style="375" customWidth="1"/>
    <col min="7690" max="7690" width="11.28515625" style="375" bestFit="1" customWidth="1"/>
    <col min="7691" max="7691" width="12.28515625" style="375" bestFit="1" customWidth="1"/>
    <col min="7692" max="7692" width="5.5703125" style="375" customWidth="1"/>
    <col min="7693" max="7693" width="11.28515625" style="375" bestFit="1" customWidth="1"/>
    <col min="7694" max="7694" width="14.85546875" style="375" bestFit="1" customWidth="1"/>
    <col min="7695" max="7695" width="12.85546875" style="375" bestFit="1" customWidth="1"/>
    <col min="7696" max="7696" width="11" style="375" customWidth="1"/>
    <col min="7697" max="7697" width="12.28515625" style="375" bestFit="1" customWidth="1"/>
    <col min="7698" max="7698" width="11" style="375" customWidth="1"/>
    <col min="7699" max="7703" width="9.140625" style="375"/>
    <col min="7704" max="7704" width="21.85546875" style="375" customWidth="1"/>
    <col min="7705" max="7937" width="9.140625" style="375"/>
    <col min="7938" max="7938" width="4.7109375" style="375" customWidth="1"/>
    <col min="7939" max="7939" width="40.140625" style="375" bestFit="1" customWidth="1"/>
    <col min="7940" max="7940" width="11.28515625" style="375" customWidth="1"/>
    <col min="7941" max="7941" width="11.85546875" style="375" customWidth="1"/>
    <col min="7942" max="7942" width="5.42578125" style="375" customWidth="1"/>
    <col min="7943" max="7943" width="11.28515625" style="375" customWidth="1"/>
    <col min="7944" max="7944" width="11.85546875" style="375" customWidth="1"/>
    <col min="7945" max="7945" width="7.140625" style="375" customWidth="1"/>
    <col min="7946" max="7946" width="11.28515625" style="375" bestFit="1" customWidth="1"/>
    <col min="7947" max="7947" width="12.28515625" style="375" bestFit="1" customWidth="1"/>
    <col min="7948" max="7948" width="5.5703125" style="375" customWidth="1"/>
    <col min="7949" max="7949" width="11.28515625" style="375" bestFit="1" customWidth="1"/>
    <col min="7950" max="7950" width="14.85546875" style="375" bestFit="1" customWidth="1"/>
    <col min="7951" max="7951" width="12.85546875" style="375" bestFit="1" customWidth="1"/>
    <col min="7952" max="7952" width="11" style="375" customWidth="1"/>
    <col min="7953" max="7953" width="12.28515625" style="375" bestFit="1" customWidth="1"/>
    <col min="7954" max="7954" width="11" style="375" customWidth="1"/>
    <col min="7955" max="7959" width="9.140625" style="375"/>
    <col min="7960" max="7960" width="21.85546875" style="375" customWidth="1"/>
    <col min="7961" max="8193" width="9.140625" style="375"/>
    <col min="8194" max="8194" width="4.7109375" style="375" customWidth="1"/>
    <col min="8195" max="8195" width="40.140625" style="375" bestFit="1" customWidth="1"/>
    <col min="8196" max="8196" width="11.28515625" style="375" customWidth="1"/>
    <col min="8197" max="8197" width="11.85546875" style="375" customWidth="1"/>
    <col min="8198" max="8198" width="5.42578125" style="375" customWidth="1"/>
    <col min="8199" max="8199" width="11.28515625" style="375" customWidth="1"/>
    <col min="8200" max="8200" width="11.85546875" style="375" customWidth="1"/>
    <col min="8201" max="8201" width="7.140625" style="375" customWidth="1"/>
    <col min="8202" max="8202" width="11.28515625" style="375" bestFit="1" customWidth="1"/>
    <col min="8203" max="8203" width="12.28515625" style="375" bestFit="1" customWidth="1"/>
    <col min="8204" max="8204" width="5.5703125" style="375" customWidth="1"/>
    <col min="8205" max="8205" width="11.28515625" style="375" bestFit="1" customWidth="1"/>
    <col min="8206" max="8206" width="14.85546875" style="375" bestFit="1" customWidth="1"/>
    <col min="8207" max="8207" width="12.85546875" style="375" bestFit="1" customWidth="1"/>
    <col min="8208" max="8208" width="11" style="375" customWidth="1"/>
    <col min="8209" max="8209" width="12.28515625" style="375" bestFit="1" customWidth="1"/>
    <col min="8210" max="8210" width="11" style="375" customWidth="1"/>
    <col min="8211" max="8215" width="9.140625" style="375"/>
    <col min="8216" max="8216" width="21.85546875" style="375" customWidth="1"/>
    <col min="8217" max="8449" width="9.140625" style="375"/>
    <col min="8450" max="8450" width="4.7109375" style="375" customWidth="1"/>
    <col min="8451" max="8451" width="40.140625" style="375" bestFit="1" customWidth="1"/>
    <col min="8452" max="8452" width="11.28515625" style="375" customWidth="1"/>
    <col min="8453" max="8453" width="11.85546875" style="375" customWidth="1"/>
    <col min="8454" max="8454" width="5.42578125" style="375" customWidth="1"/>
    <col min="8455" max="8455" width="11.28515625" style="375" customWidth="1"/>
    <col min="8456" max="8456" width="11.85546875" style="375" customWidth="1"/>
    <col min="8457" max="8457" width="7.140625" style="375" customWidth="1"/>
    <col min="8458" max="8458" width="11.28515625" style="375" bestFit="1" customWidth="1"/>
    <col min="8459" max="8459" width="12.28515625" style="375" bestFit="1" customWidth="1"/>
    <col min="8460" max="8460" width="5.5703125" style="375" customWidth="1"/>
    <col min="8461" max="8461" width="11.28515625" style="375" bestFit="1" customWidth="1"/>
    <col min="8462" max="8462" width="14.85546875" style="375" bestFit="1" customWidth="1"/>
    <col min="8463" max="8463" width="12.85546875" style="375" bestFit="1" customWidth="1"/>
    <col min="8464" max="8464" width="11" style="375" customWidth="1"/>
    <col min="8465" max="8465" width="12.28515625" style="375" bestFit="1" customWidth="1"/>
    <col min="8466" max="8466" width="11" style="375" customWidth="1"/>
    <col min="8467" max="8471" width="9.140625" style="375"/>
    <col min="8472" max="8472" width="21.85546875" style="375" customWidth="1"/>
    <col min="8473" max="8705" width="9.140625" style="375"/>
    <col min="8706" max="8706" width="4.7109375" style="375" customWidth="1"/>
    <col min="8707" max="8707" width="40.140625" style="375" bestFit="1" customWidth="1"/>
    <col min="8708" max="8708" width="11.28515625" style="375" customWidth="1"/>
    <col min="8709" max="8709" width="11.85546875" style="375" customWidth="1"/>
    <col min="8710" max="8710" width="5.42578125" style="375" customWidth="1"/>
    <col min="8711" max="8711" width="11.28515625" style="375" customWidth="1"/>
    <col min="8712" max="8712" width="11.85546875" style="375" customWidth="1"/>
    <col min="8713" max="8713" width="7.140625" style="375" customWidth="1"/>
    <col min="8714" max="8714" width="11.28515625" style="375" bestFit="1" customWidth="1"/>
    <col min="8715" max="8715" width="12.28515625" style="375" bestFit="1" customWidth="1"/>
    <col min="8716" max="8716" width="5.5703125" style="375" customWidth="1"/>
    <col min="8717" max="8717" width="11.28515625" style="375" bestFit="1" customWidth="1"/>
    <col min="8718" max="8718" width="14.85546875" style="375" bestFit="1" customWidth="1"/>
    <col min="8719" max="8719" width="12.85546875" style="375" bestFit="1" customWidth="1"/>
    <col min="8720" max="8720" width="11" style="375" customWidth="1"/>
    <col min="8721" max="8721" width="12.28515625" style="375" bestFit="1" customWidth="1"/>
    <col min="8722" max="8722" width="11" style="375" customWidth="1"/>
    <col min="8723" max="8727" width="9.140625" style="375"/>
    <col min="8728" max="8728" width="21.85546875" style="375" customWidth="1"/>
    <col min="8729" max="8961" width="9.140625" style="375"/>
    <col min="8962" max="8962" width="4.7109375" style="375" customWidth="1"/>
    <col min="8963" max="8963" width="40.140625" style="375" bestFit="1" customWidth="1"/>
    <col min="8964" max="8964" width="11.28515625" style="375" customWidth="1"/>
    <col min="8965" max="8965" width="11.85546875" style="375" customWidth="1"/>
    <col min="8966" max="8966" width="5.42578125" style="375" customWidth="1"/>
    <col min="8967" max="8967" width="11.28515625" style="375" customWidth="1"/>
    <col min="8968" max="8968" width="11.85546875" style="375" customWidth="1"/>
    <col min="8969" max="8969" width="7.140625" style="375" customWidth="1"/>
    <col min="8970" max="8970" width="11.28515625" style="375" bestFit="1" customWidth="1"/>
    <col min="8971" max="8971" width="12.28515625" style="375" bestFit="1" customWidth="1"/>
    <col min="8972" max="8972" width="5.5703125" style="375" customWidth="1"/>
    <col min="8973" max="8973" width="11.28515625" style="375" bestFit="1" customWidth="1"/>
    <col min="8974" max="8974" width="14.85546875" style="375" bestFit="1" customWidth="1"/>
    <col min="8975" max="8975" width="12.85546875" style="375" bestFit="1" customWidth="1"/>
    <col min="8976" max="8976" width="11" style="375" customWidth="1"/>
    <col min="8977" max="8977" width="12.28515625" style="375" bestFit="1" customWidth="1"/>
    <col min="8978" max="8978" width="11" style="375" customWidth="1"/>
    <col min="8979" max="8983" width="9.140625" style="375"/>
    <col min="8984" max="8984" width="21.85546875" style="375" customWidth="1"/>
    <col min="8985" max="9217" width="9.140625" style="375"/>
    <col min="9218" max="9218" width="4.7109375" style="375" customWidth="1"/>
    <col min="9219" max="9219" width="40.140625" style="375" bestFit="1" customWidth="1"/>
    <col min="9220" max="9220" width="11.28515625" style="375" customWidth="1"/>
    <col min="9221" max="9221" width="11.85546875" style="375" customWidth="1"/>
    <col min="9222" max="9222" width="5.42578125" style="375" customWidth="1"/>
    <col min="9223" max="9223" width="11.28515625" style="375" customWidth="1"/>
    <col min="9224" max="9224" width="11.85546875" style="375" customWidth="1"/>
    <col min="9225" max="9225" width="7.140625" style="375" customWidth="1"/>
    <col min="9226" max="9226" width="11.28515625" style="375" bestFit="1" customWidth="1"/>
    <col min="9227" max="9227" width="12.28515625" style="375" bestFit="1" customWidth="1"/>
    <col min="9228" max="9228" width="5.5703125" style="375" customWidth="1"/>
    <col min="9229" max="9229" width="11.28515625" style="375" bestFit="1" customWidth="1"/>
    <col min="9230" max="9230" width="14.85546875" style="375" bestFit="1" customWidth="1"/>
    <col min="9231" max="9231" width="12.85546875" style="375" bestFit="1" customWidth="1"/>
    <col min="9232" max="9232" width="11" style="375" customWidth="1"/>
    <col min="9233" max="9233" width="12.28515625" style="375" bestFit="1" customWidth="1"/>
    <col min="9234" max="9234" width="11" style="375" customWidth="1"/>
    <col min="9235" max="9239" width="9.140625" style="375"/>
    <col min="9240" max="9240" width="21.85546875" style="375" customWidth="1"/>
    <col min="9241" max="9473" width="9.140625" style="375"/>
    <col min="9474" max="9474" width="4.7109375" style="375" customWidth="1"/>
    <col min="9475" max="9475" width="40.140625" style="375" bestFit="1" customWidth="1"/>
    <col min="9476" max="9476" width="11.28515625" style="375" customWidth="1"/>
    <col min="9477" max="9477" width="11.85546875" style="375" customWidth="1"/>
    <col min="9478" max="9478" width="5.42578125" style="375" customWidth="1"/>
    <col min="9479" max="9479" width="11.28515625" style="375" customWidth="1"/>
    <col min="9480" max="9480" width="11.85546875" style="375" customWidth="1"/>
    <col min="9481" max="9481" width="7.140625" style="375" customWidth="1"/>
    <col min="9482" max="9482" width="11.28515625" style="375" bestFit="1" customWidth="1"/>
    <col min="9483" max="9483" width="12.28515625" style="375" bestFit="1" customWidth="1"/>
    <col min="9484" max="9484" width="5.5703125" style="375" customWidth="1"/>
    <col min="9485" max="9485" width="11.28515625" style="375" bestFit="1" customWidth="1"/>
    <col min="9486" max="9486" width="14.85546875" style="375" bestFit="1" customWidth="1"/>
    <col min="9487" max="9487" width="12.85546875" style="375" bestFit="1" customWidth="1"/>
    <col min="9488" max="9488" width="11" style="375" customWidth="1"/>
    <col min="9489" max="9489" width="12.28515625" style="375" bestFit="1" customWidth="1"/>
    <col min="9490" max="9490" width="11" style="375" customWidth="1"/>
    <col min="9491" max="9495" width="9.140625" style="375"/>
    <col min="9496" max="9496" width="21.85546875" style="375" customWidth="1"/>
    <col min="9497" max="9729" width="9.140625" style="375"/>
    <col min="9730" max="9730" width="4.7109375" style="375" customWidth="1"/>
    <col min="9731" max="9731" width="40.140625" style="375" bestFit="1" customWidth="1"/>
    <col min="9732" max="9732" width="11.28515625" style="375" customWidth="1"/>
    <col min="9733" max="9733" width="11.85546875" style="375" customWidth="1"/>
    <col min="9734" max="9734" width="5.42578125" style="375" customWidth="1"/>
    <col min="9735" max="9735" width="11.28515625" style="375" customWidth="1"/>
    <col min="9736" max="9736" width="11.85546875" style="375" customWidth="1"/>
    <col min="9737" max="9737" width="7.140625" style="375" customWidth="1"/>
    <col min="9738" max="9738" width="11.28515625" style="375" bestFit="1" customWidth="1"/>
    <col min="9739" max="9739" width="12.28515625" style="375" bestFit="1" customWidth="1"/>
    <col min="9740" max="9740" width="5.5703125" style="375" customWidth="1"/>
    <col min="9741" max="9741" width="11.28515625" style="375" bestFit="1" customWidth="1"/>
    <col min="9742" max="9742" width="14.85546875" style="375" bestFit="1" customWidth="1"/>
    <col min="9743" max="9743" width="12.85546875" style="375" bestFit="1" customWidth="1"/>
    <col min="9744" max="9744" width="11" style="375" customWidth="1"/>
    <col min="9745" max="9745" width="12.28515625" style="375" bestFit="1" customWidth="1"/>
    <col min="9746" max="9746" width="11" style="375" customWidth="1"/>
    <col min="9747" max="9751" width="9.140625" style="375"/>
    <col min="9752" max="9752" width="21.85546875" style="375" customWidth="1"/>
    <col min="9753" max="9985" width="9.140625" style="375"/>
    <col min="9986" max="9986" width="4.7109375" style="375" customWidth="1"/>
    <col min="9987" max="9987" width="40.140625" style="375" bestFit="1" customWidth="1"/>
    <col min="9988" max="9988" width="11.28515625" style="375" customWidth="1"/>
    <col min="9989" max="9989" width="11.85546875" style="375" customWidth="1"/>
    <col min="9990" max="9990" width="5.42578125" style="375" customWidth="1"/>
    <col min="9991" max="9991" width="11.28515625" style="375" customWidth="1"/>
    <col min="9992" max="9992" width="11.85546875" style="375" customWidth="1"/>
    <col min="9993" max="9993" width="7.140625" style="375" customWidth="1"/>
    <col min="9994" max="9994" width="11.28515625" style="375" bestFit="1" customWidth="1"/>
    <col min="9995" max="9995" width="12.28515625" style="375" bestFit="1" customWidth="1"/>
    <col min="9996" max="9996" width="5.5703125" style="375" customWidth="1"/>
    <col min="9997" max="9997" width="11.28515625" style="375" bestFit="1" customWidth="1"/>
    <col min="9998" max="9998" width="14.85546875" style="375" bestFit="1" customWidth="1"/>
    <col min="9999" max="9999" width="12.85546875" style="375" bestFit="1" customWidth="1"/>
    <col min="10000" max="10000" width="11" style="375" customWidth="1"/>
    <col min="10001" max="10001" width="12.28515625" style="375" bestFit="1" customWidth="1"/>
    <col min="10002" max="10002" width="11" style="375" customWidth="1"/>
    <col min="10003" max="10007" width="9.140625" style="375"/>
    <col min="10008" max="10008" width="21.85546875" style="375" customWidth="1"/>
    <col min="10009" max="10241" width="9.140625" style="375"/>
    <col min="10242" max="10242" width="4.7109375" style="375" customWidth="1"/>
    <col min="10243" max="10243" width="40.140625" style="375" bestFit="1" customWidth="1"/>
    <col min="10244" max="10244" width="11.28515625" style="375" customWidth="1"/>
    <col min="10245" max="10245" width="11.85546875" style="375" customWidth="1"/>
    <col min="10246" max="10246" width="5.42578125" style="375" customWidth="1"/>
    <col min="10247" max="10247" width="11.28515625" style="375" customWidth="1"/>
    <col min="10248" max="10248" width="11.85546875" style="375" customWidth="1"/>
    <col min="10249" max="10249" width="7.140625" style="375" customWidth="1"/>
    <col min="10250" max="10250" width="11.28515625" style="375" bestFit="1" customWidth="1"/>
    <col min="10251" max="10251" width="12.28515625" style="375" bestFit="1" customWidth="1"/>
    <col min="10252" max="10252" width="5.5703125" style="375" customWidth="1"/>
    <col min="10253" max="10253" width="11.28515625" style="375" bestFit="1" customWidth="1"/>
    <col min="10254" max="10254" width="14.85546875" style="375" bestFit="1" customWidth="1"/>
    <col min="10255" max="10255" width="12.85546875" style="375" bestFit="1" customWidth="1"/>
    <col min="10256" max="10256" width="11" style="375" customWidth="1"/>
    <col min="10257" max="10257" width="12.28515625" style="375" bestFit="1" customWidth="1"/>
    <col min="10258" max="10258" width="11" style="375" customWidth="1"/>
    <col min="10259" max="10263" width="9.140625" style="375"/>
    <col min="10264" max="10264" width="21.85546875" style="375" customWidth="1"/>
    <col min="10265" max="10497" width="9.140625" style="375"/>
    <col min="10498" max="10498" width="4.7109375" style="375" customWidth="1"/>
    <col min="10499" max="10499" width="40.140625" style="375" bestFit="1" customWidth="1"/>
    <col min="10500" max="10500" width="11.28515625" style="375" customWidth="1"/>
    <col min="10501" max="10501" width="11.85546875" style="375" customWidth="1"/>
    <col min="10502" max="10502" width="5.42578125" style="375" customWidth="1"/>
    <col min="10503" max="10503" width="11.28515625" style="375" customWidth="1"/>
    <col min="10504" max="10504" width="11.85546875" style="375" customWidth="1"/>
    <col min="10505" max="10505" width="7.140625" style="375" customWidth="1"/>
    <col min="10506" max="10506" width="11.28515625" style="375" bestFit="1" customWidth="1"/>
    <col min="10507" max="10507" width="12.28515625" style="375" bestFit="1" customWidth="1"/>
    <col min="10508" max="10508" width="5.5703125" style="375" customWidth="1"/>
    <col min="10509" max="10509" width="11.28515625" style="375" bestFit="1" customWidth="1"/>
    <col min="10510" max="10510" width="14.85546875" style="375" bestFit="1" customWidth="1"/>
    <col min="10511" max="10511" width="12.85546875" style="375" bestFit="1" customWidth="1"/>
    <col min="10512" max="10512" width="11" style="375" customWidth="1"/>
    <col min="10513" max="10513" width="12.28515625" style="375" bestFit="1" customWidth="1"/>
    <col min="10514" max="10514" width="11" style="375" customWidth="1"/>
    <col min="10515" max="10519" width="9.140625" style="375"/>
    <col min="10520" max="10520" width="21.85546875" style="375" customWidth="1"/>
    <col min="10521" max="10753" width="9.140625" style="375"/>
    <col min="10754" max="10754" width="4.7109375" style="375" customWidth="1"/>
    <col min="10755" max="10755" width="40.140625" style="375" bestFit="1" customWidth="1"/>
    <col min="10756" max="10756" width="11.28515625" style="375" customWidth="1"/>
    <col min="10757" max="10757" width="11.85546875" style="375" customWidth="1"/>
    <col min="10758" max="10758" width="5.42578125" style="375" customWidth="1"/>
    <col min="10759" max="10759" width="11.28515625" style="375" customWidth="1"/>
    <col min="10760" max="10760" width="11.85546875" style="375" customWidth="1"/>
    <col min="10761" max="10761" width="7.140625" style="375" customWidth="1"/>
    <col min="10762" max="10762" width="11.28515625" style="375" bestFit="1" customWidth="1"/>
    <col min="10763" max="10763" width="12.28515625" style="375" bestFit="1" customWidth="1"/>
    <col min="10764" max="10764" width="5.5703125" style="375" customWidth="1"/>
    <col min="10765" max="10765" width="11.28515625" style="375" bestFit="1" customWidth="1"/>
    <col min="10766" max="10766" width="14.85546875" style="375" bestFit="1" customWidth="1"/>
    <col min="10767" max="10767" width="12.85546875" style="375" bestFit="1" customWidth="1"/>
    <col min="10768" max="10768" width="11" style="375" customWidth="1"/>
    <col min="10769" max="10769" width="12.28515625" style="375" bestFit="1" customWidth="1"/>
    <col min="10770" max="10770" width="11" style="375" customWidth="1"/>
    <col min="10771" max="10775" width="9.140625" style="375"/>
    <col min="10776" max="10776" width="21.85546875" style="375" customWidth="1"/>
    <col min="10777" max="11009" width="9.140625" style="375"/>
    <col min="11010" max="11010" width="4.7109375" style="375" customWidth="1"/>
    <col min="11011" max="11011" width="40.140625" style="375" bestFit="1" customWidth="1"/>
    <col min="11012" max="11012" width="11.28515625" style="375" customWidth="1"/>
    <col min="11013" max="11013" width="11.85546875" style="375" customWidth="1"/>
    <col min="11014" max="11014" width="5.42578125" style="375" customWidth="1"/>
    <col min="11015" max="11015" width="11.28515625" style="375" customWidth="1"/>
    <col min="11016" max="11016" width="11.85546875" style="375" customWidth="1"/>
    <col min="11017" max="11017" width="7.140625" style="375" customWidth="1"/>
    <col min="11018" max="11018" width="11.28515625" style="375" bestFit="1" customWidth="1"/>
    <col min="11019" max="11019" width="12.28515625" style="375" bestFit="1" customWidth="1"/>
    <col min="11020" max="11020" width="5.5703125" style="375" customWidth="1"/>
    <col min="11021" max="11021" width="11.28515625" style="375" bestFit="1" customWidth="1"/>
    <col min="11022" max="11022" width="14.85546875" style="375" bestFit="1" customWidth="1"/>
    <col min="11023" max="11023" width="12.85546875" style="375" bestFit="1" customWidth="1"/>
    <col min="11024" max="11024" width="11" style="375" customWidth="1"/>
    <col min="11025" max="11025" width="12.28515625" style="375" bestFit="1" customWidth="1"/>
    <col min="11026" max="11026" width="11" style="375" customWidth="1"/>
    <col min="11027" max="11031" width="9.140625" style="375"/>
    <col min="11032" max="11032" width="21.85546875" style="375" customWidth="1"/>
    <col min="11033" max="11265" width="9.140625" style="375"/>
    <col min="11266" max="11266" width="4.7109375" style="375" customWidth="1"/>
    <col min="11267" max="11267" width="40.140625" style="375" bestFit="1" customWidth="1"/>
    <col min="11268" max="11268" width="11.28515625" style="375" customWidth="1"/>
    <col min="11269" max="11269" width="11.85546875" style="375" customWidth="1"/>
    <col min="11270" max="11270" width="5.42578125" style="375" customWidth="1"/>
    <col min="11271" max="11271" width="11.28515625" style="375" customWidth="1"/>
    <col min="11272" max="11272" width="11.85546875" style="375" customWidth="1"/>
    <col min="11273" max="11273" width="7.140625" style="375" customWidth="1"/>
    <col min="11274" max="11274" width="11.28515625" style="375" bestFit="1" customWidth="1"/>
    <col min="11275" max="11275" width="12.28515625" style="375" bestFit="1" customWidth="1"/>
    <col min="11276" max="11276" width="5.5703125" style="375" customWidth="1"/>
    <col min="11277" max="11277" width="11.28515625" style="375" bestFit="1" customWidth="1"/>
    <col min="11278" max="11278" width="14.85546875" style="375" bestFit="1" customWidth="1"/>
    <col min="11279" max="11279" width="12.85546875" style="375" bestFit="1" customWidth="1"/>
    <col min="11280" max="11280" width="11" style="375" customWidth="1"/>
    <col min="11281" max="11281" width="12.28515625" style="375" bestFit="1" customWidth="1"/>
    <col min="11282" max="11282" width="11" style="375" customWidth="1"/>
    <col min="11283" max="11287" width="9.140625" style="375"/>
    <col min="11288" max="11288" width="21.85546875" style="375" customWidth="1"/>
    <col min="11289" max="11521" width="9.140625" style="375"/>
    <col min="11522" max="11522" width="4.7109375" style="375" customWidth="1"/>
    <col min="11523" max="11523" width="40.140625" style="375" bestFit="1" customWidth="1"/>
    <col min="11524" max="11524" width="11.28515625" style="375" customWidth="1"/>
    <col min="11525" max="11525" width="11.85546875" style="375" customWidth="1"/>
    <col min="11526" max="11526" width="5.42578125" style="375" customWidth="1"/>
    <col min="11527" max="11527" width="11.28515625" style="375" customWidth="1"/>
    <col min="11528" max="11528" width="11.85546875" style="375" customWidth="1"/>
    <col min="11529" max="11529" width="7.140625" style="375" customWidth="1"/>
    <col min="11530" max="11530" width="11.28515625" style="375" bestFit="1" customWidth="1"/>
    <col min="11531" max="11531" width="12.28515625" style="375" bestFit="1" customWidth="1"/>
    <col min="11532" max="11532" width="5.5703125" style="375" customWidth="1"/>
    <col min="11533" max="11533" width="11.28515625" style="375" bestFit="1" customWidth="1"/>
    <col min="11534" max="11534" width="14.85546875" style="375" bestFit="1" customWidth="1"/>
    <col min="11535" max="11535" width="12.85546875" style="375" bestFit="1" customWidth="1"/>
    <col min="11536" max="11536" width="11" style="375" customWidth="1"/>
    <col min="11537" max="11537" width="12.28515625" style="375" bestFit="1" customWidth="1"/>
    <col min="11538" max="11538" width="11" style="375" customWidth="1"/>
    <col min="11539" max="11543" width="9.140625" style="375"/>
    <col min="11544" max="11544" width="21.85546875" style="375" customWidth="1"/>
    <col min="11545" max="11777" width="9.140625" style="375"/>
    <col min="11778" max="11778" width="4.7109375" style="375" customWidth="1"/>
    <col min="11779" max="11779" width="40.140625" style="375" bestFit="1" customWidth="1"/>
    <col min="11780" max="11780" width="11.28515625" style="375" customWidth="1"/>
    <col min="11781" max="11781" width="11.85546875" style="375" customWidth="1"/>
    <col min="11782" max="11782" width="5.42578125" style="375" customWidth="1"/>
    <col min="11783" max="11783" width="11.28515625" style="375" customWidth="1"/>
    <col min="11784" max="11784" width="11.85546875" style="375" customWidth="1"/>
    <col min="11785" max="11785" width="7.140625" style="375" customWidth="1"/>
    <col min="11786" max="11786" width="11.28515625" style="375" bestFit="1" customWidth="1"/>
    <col min="11787" max="11787" width="12.28515625" style="375" bestFit="1" customWidth="1"/>
    <col min="11788" max="11788" width="5.5703125" style="375" customWidth="1"/>
    <col min="11789" max="11789" width="11.28515625" style="375" bestFit="1" customWidth="1"/>
    <col min="11790" max="11790" width="14.85546875" style="375" bestFit="1" customWidth="1"/>
    <col min="11791" max="11791" width="12.85546875" style="375" bestFit="1" customWidth="1"/>
    <col min="11792" max="11792" width="11" style="375" customWidth="1"/>
    <col min="11793" max="11793" width="12.28515625" style="375" bestFit="1" customWidth="1"/>
    <col min="11794" max="11794" width="11" style="375" customWidth="1"/>
    <col min="11795" max="11799" width="9.140625" style="375"/>
    <col min="11800" max="11800" width="21.85546875" style="375" customWidth="1"/>
    <col min="11801" max="12033" width="9.140625" style="375"/>
    <col min="12034" max="12034" width="4.7109375" style="375" customWidth="1"/>
    <col min="12035" max="12035" width="40.140625" style="375" bestFit="1" customWidth="1"/>
    <col min="12036" max="12036" width="11.28515625" style="375" customWidth="1"/>
    <col min="12037" max="12037" width="11.85546875" style="375" customWidth="1"/>
    <col min="12038" max="12038" width="5.42578125" style="375" customWidth="1"/>
    <col min="12039" max="12039" width="11.28515625" style="375" customWidth="1"/>
    <col min="12040" max="12040" width="11.85546875" style="375" customWidth="1"/>
    <col min="12041" max="12041" width="7.140625" style="375" customWidth="1"/>
    <col min="12042" max="12042" width="11.28515625" style="375" bestFit="1" customWidth="1"/>
    <col min="12043" max="12043" width="12.28515625" style="375" bestFit="1" customWidth="1"/>
    <col min="12044" max="12044" width="5.5703125" style="375" customWidth="1"/>
    <col min="12045" max="12045" width="11.28515625" style="375" bestFit="1" customWidth="1"/>
    <col min="12046" max="12046" width="14.85546875" style="375" bestFit="1" customWidth="1"/>
    <col min="12047" max="12047" width="12.85546875" style="375" bestFit="1" customWidth="1"/>
    <col min="12048" max="12048" width="11" style="375" customWidth="1"/>
    <col min="12049" max="12049" width="12.28515625" style="375" bestFit="1" customWidth="1"/>
    <col min="12050" max="12050" width="11" style="375" customWidth="1"/>
    <col min="12051" max="12055" width="9.140625" style="375"/>
    <col min="12056" max="12056" width="21.85546875" style="375" customWidth="1"/>
    <col min="12057" max="12289" width="9.140625" style="375"/>
    <col min="12290" max="12290" width="4.7109375" style="375" customWidth="1"/>
    <col min="12291" max="12291" width="40.140625" style="375" bestFit="1" customWidth="1"/>
    <col min="12292" max="12292" width="11.28515625" style="375" customWidth="1"/>
    <col min="12293" max="12293" width="11.85546875" style="375" customWidth="1"/>
    <col min="12294" max="12294" width="5.42578125" style="375" customWidth="1"/>
    <col min="12295" max="12295" width="11.28515625" style="375" customWidth="1"/>
    <col min="12296" max="12296" width="11.85546875" style="375" customWidth="1"/>
    <col min="12297" max="12297" width="7.140625" style="375" customWidth="1"/>
    <col min="12298" max="12298" width="11.28515625" style="375" bestFit="1" customWidth="1"/>
    <col min="12299" max="12299" width="12.28515625" style="375" bestFit="1" customWidth="1"/>
    <col min="12300" max="12300" width="5.5703125" style="375" customWidth="1"/>
    <col min="12301" max="12301" width="11.28515625" style="375" bestFit="1" customWidth="1"/>
    <col min="12302" max="12302" width="14.85546875" style="375" bestFit="1" customWidth="1"/>
    <col min="12303" max="12303" width="12.85546875" style="375" bestFit="1" customWidth="1"/>
    <col min="12304" max="12304" width="11" style="375" customWidth="1"/>
    <col min="12305" max="12305" width="12.28515625" style="375" bestFit="1" customWidth="1"/>
    <col min="12306" max="12306" width="11" style="375" customWidth="1"/>
    <col min="12307" max="12311" width="9.140625" style="375"/>
    <col min="12312" max="12312" width="21.85546875" style="375" customWidth="1"/>
    <col min="12313" max="12545" width="9.140625" style="375"/>
    <col min="12546" max="12546" width="4.7109375" style="375" customWidth="1"/>
    <col min="12547" max="12547" width="40.140625" style="375" bestFit="1" customWidth="1"/>
    <col min="12548" max="12548" width="11.28515625" style="375" customWidth="1"/>
    <col min="12549" max="12549" width="11.85546875" style="375" customWidth="1"/>
    <col min="12550" max="12550" width="5.42578125" style="375" customWidth="1"/>
    <col min="12551" max="12551" width="11.28515625" style="375" customWidth="1"/>
    <col min="12552" max="12552" width="11.85546875" style="375" customWidth="1"/>
    <col min="12553" max="12553" width="7.140625" style="375" customWidth="1"/>
    <col min="12554" max="12554" width="11.28515625" style="375" bestFit="1" customWidth="1"/>
    <col min="12555" max="12555" width="12.28515625" style="375" bestFit="1" customWidth="1"/>
    <col min="12556" max="12556" width="5.5703125" style="375" customWidth="1"/>
    <col min="12557" max="12557" width="11.28515625" style="375" bestFit="1" customWidth="1"/>
    <col min="12558" max="12558" width="14.85546875" style="375" bestFit="1" customWidth="1"/>
    <col min="12559" max="12559" width="12.85546875" style="375" bestFit="1" customWidth="1"/>
    <col min="12560" max="12560" width="11" style="375" customWidth="1"/>
    <col min="12561" max="12561" width="12.28515625" style="375" bestFit="1" customWidth="1"/>
    <col min="12562" max="12562" width="11" style="375" customWidth="1"/>
    <col min="12563" max="12567" width="9.140625" style="375"/>
    <col min="12568" max="12568" width="21.85546875" style="375" customWidth="1"/>
    <col min="12569" max="12801" width="9.140625" style="375"/>
    <col min="12802" max="12802" width="4.7109375" style="375" customWidth="1"/>
    <col min="12803" max="12803" width="40.140625" style="375" bestFit="1" customWidth="1"/>
    <col min="12804" max="12804" width="11.28515625" style="375" customWidth="1"/>
    <col min="12805" max="12805" width="11.85546875" style="375" customWidth="1"/>
    <col min="12806" max="12806" width="5.42578125" style="375" customWidth="1"/>
    <col min="12807" max="12807" width="11.28515625" style="375" customWidth="1"/>
    <col min="12808" max="12808" width="11.85546875" style="375" customWidth="1"/>
    <col min="12809" max="12809" width="7.140625" style="375" customWidth="1"/>
    <col min="12810" max="12810" width="11.28515625" style="375" bestFit="1" customWidth="1"/>
    <col min="12811" max="12811" width="12.28515625" style="375" bestFit="1" customWidth="1"/>
    <col min="12812" max="12812" width="5.5703125" style="375" customWidth="1"/>
    <col min="12813" max="12813" width="11.28515625" style="375" bestFit="1" customWidth="1"/>
    <col min="12814" max="12814" width="14.85546875" style="375" bestFit="1" customWidth="1"/>
    <col min="12815" max="12815" width="12.85546875" style="375" bestFit="1" customWidth="1"/>
    <col min="12816" max="12816" width="11" style="375" customWidth="1"/>
    <col min="12817" max="12817" width="12.28515625" style="375" bestFit="1" customWidth="1"/>
    <col min="12818" max="12818" width="11" style="375" customWidth="1"/>
    <col min="12819" max="12823" width="9.140625" style="375"/>
    <col min="12824" max="12824" width="21.85546875" style="375" customWidth="1"/>
    <col min="12825" max="13057" width="9.140625" style="375"/>
    <col min="13058" max="13058" width="4.7109375" style="375" customWidth="1"/>
    <col min="13059" max="13059" width="40.140625" style="375" bestFit="1" customWidth="1"/>
    <col min="13060" max="13060" width="11.28515625" style="375" customWidth="1"/>
    <col min="13061" max="13061" width="11.85546875" style="375" customWidth="1"/>
    <col min="13062" max="13062" width="5.42578125" style="375" customWidth="1"/>
    <col min="13063" max="13063" width="11.28515625" style="375" customWidth="1"/>
    <col min="13064" max="13064" width="11.85546875" style="375" customWidth="1"/>
    <col min="13065" max="13065" width="7.140625" style="375" customWidth="1"/>
    <col min="13066" max="13066" width="11.28515625" style="375" bestFit="1" customWidth="1"/>
    <col min="13067" max="13067" width="12.28515625" style="375" bestFit="1" customWidth="1"/>
    <col min="13068" max="13068" width="5.5703125" style="375" customWidth="1"/>
    <col min="13069" max="13069" width="11.28515625" style="375" bestFit="1" customWidth="1"/>
    <col min="13070" max="13070" width="14.85546875" style="375" bestFit="1" customWidth="1"/>
    <col min="13071" max="13071" width="12.85546875" style="375" bestFit="1" customWidth="1"/>
    <col min="13072" max="13072" width="11" style="375" customWidth="1"/>
    <col min="13073" max="13073" width="12.28515625" style="375" bestFit="1" customWidth="1"/>
    <col min="13074" max="13074" width="11" style="375" customWidth="1"/>
    <col min="13075" max="13079" width="9.140625" style="375"/>
    <col min="13080" max="13080" width="21.85546875" style="375" customWidth="1"/>
    <col min="13081" max="13313" width="9.140625" style="375"/>
    <col min="13314" max="13314" width="4.7109375" style="375" customWidth="1"/>
    <col min="13315" max="13315" width="40.140625" style="375" bestFit="1" customWidth="1"/>
    <col min="13316" max="13316" width="11.28515625" style="375" customWidth="1"/>
    <col min="13317" max="13317" width="11.85546875" style="375" customWidth="1"/>
    <col min="13318" max="13318" width="5.42578125" style="375" customWidth="1"/>
    <col min="13319" max="13319" width="11.28515625" style="375" customWidth="1"/>
    <col min="13320" max="13320" width="11.85546875" style="375" customWidth="1"/>
    <col min="13321" max="13321" width="7.140625" style="375" customWidth="1"/>
    <col min="13322" max="13322" width="11.28515625" style="375" bestFit="1" customWidth="1"/>
    <col min="13323" max="13323" width="12.28515625" style="375" bestFit="1" customWidth="1"/>
    <col min="13324" max="13324" width="5.5703125" style="375" customWidth="1"/>
    <col min="13325" max="13325" width="11.28515625" style="375" bestFit="1" customWidth="1"/>
    <col min="13326" max="13326" width="14.85546875" style="375" bestFit="1" customWidth="1"/>
    <col min="13327" max="13327" width="12.85546875" style="375" bestFit="1" customWidth="1"/>
    <col min="13328" max="13328" width="11" style="375" customWidth="1"/>
    <col min="13329" max="13329" width="12.28515625" style="375" bestFit="1" customWidth="1"/>
    <col min="13330" max="13330" width="11" style="375" customWidth="1"/>
    <col min="13331" max="13335" width="9.140625" style="375"/>
    <col min="13336" max="13336" width="21.85546875" style="375" customWidth="1"/>
    <col min="13337" max="13569" width="9.140625" style="375"/>
    <col min="13570" max="13570" width="4.7109375" style="375" customWidth="1"/>
    <col min="13571" max="13571" width="40.140625" style="375" bestFit="1" customWidth="1"/>
    <col min="13572" max="13572" width="11.28515625" style="375" customWidth="1"/>
    <col min="13573" max="13573" width="11.85546875" style="375" customWidth="1"/>
    <col min="13574" max="13574" width="5.42578125" style="375" customWidth="1"/>
    <col min="13575" max="13575" width="11.28515625" style="375" customWidth="1"/>
    <col min="13576" max="13576" width="11.85546875" style="375" customWidth="1"/>
    <col min="13577" max="13577" width="7.140625" style="375" customWidth="1"/>
    <col min="13578" max="13578" width="11.28515625" style="375" bestFit="1" customWidth="1"/>
    <col min="13579" max="13579" width="12.28515625" style="375" bestFit="1" customWidth="1"/>
    <col min="13580" max="13580" width="5.5703125" style="375" customWidth="1"/>
    <col min="13581" max="13581" width="11.28515625" style="375" bestFit="1" customWidth="1"/>
    <col min="13582" max="13582" width="14.85546875" style="375" bestFit="1" customWidth="1"/>
    <col min="13583" max="13583" width="12.85546875" style="375" bestFit="1" customWidth="1"/>
    <col min="13584" max="13584" width="11" style="375" customWidth="1"/>
    <col min="13585" max="13585" width="12.28515625" style="375" bestFit="1" customWidth="1"/>
    <col min="13586" max="13586" width="11" style="375" customWidth="1"/>
    <col min="13587" max="13591" width="9.140625" style="375"/>
    <col min="13592" max="13592" width="21.85546875" style="375" customWidth="1"/>
    <col min="13593" max="13825" width="9.140625" style="375"/>
    <col min="13826" max="13826" width="4.7109375" style="375" customWidth="1"/>
    <col min="13827" max="13827" width="40.140625" style="375" bestFit="1" customWidth="1"/>
    <col min="13828" max="13828" width="11.28515625" style="375" customWidth="1"/>
    <col min="13829" max="13829" width="11.85546875" style="375" customWidth="1"/>
    <col min="13830" max="13830" width="5.42578125" style="375" customWidth="1"/>
    <col min="13831" max="13831" width="11.28515625" style="375" customWidth="1"/>
    <col min="13832" max="13832" width="11.85546875" style="375" customWidth="1"/>
    <col min="13833" max="13833" width="7.140625" style="375" customWidth="1"/>
    <col min="13834" max="13834" width="11.28515625" style="375" bestFit="1" customWidth="1"/>
    <col min="13835" max="13835" width="12.28515625" style="375" bestFit="1" customWidth="1"/>
    <col min="13836" max="13836" width="5.5703125" style="375" customWidth="1"/>
    <col min="13837" max="13837" width="11.28515625" style="375" bestFit="1" customWidth="1"/>
    <col min="13838" max="13838" width="14.85546875" style="375" bestFit="1" customWidth="1"/>
    <col min="13839" max="13839" width="12.85546875" style="375" bestFit="1" customWidth="1"/>
    <col min="13840" max="13840" width="11" style="375" customWidth="1"/>
    <col min="13841" max="13841" width="12.28515625" style="375" bestFit="1" customWidth="1"/>
    <col min="13842" max="13842" width="11" style="375" customWidth="1"/>
    <col min="13843" max="13847" width="9.140625" style="375"/>
    <col min="13848" max="13848" width="21.85546875" style="375" customWidth="1"/>
    <col min="13849" max="14081" width="9.140625" style="375"/>
    <col min="14082" max="14082" width="4.7109375" style="375" customWidth="1"/>
    <col min="14083" max="14083" width="40.140625" style="375" bestFit="1" customWidth="1"/>
    <col min="14084" max="14084" width="11.28515625" style="375" customWidth="1"/>
    <col min="14085" max="14085" width="11.85546875" style="375" customWidth="1"/>
    <col min="14086" max="14086" width="5.42578125" style="375" customWidth="1"/>
    <col min="14087" max="14087" width="11.28515625" style="375" customWidth="1"/>
    <col min="14088" max="14088" width="11.85546875" style="375" customWidth="1"/>
    <col min="14089" max="14089" width="7.140625" style="375" customWidth="1"/>
    <col min="14090" max="14090" width="11.28515625" style="375" bestFit="1" customWidth="1"/>
    <col min="14091" max="14091" width="12.28515625" style="375" bestFit="1" customWidth="1"/>
    <col min="14092" max="14092" width="5.5703125" style="375" customWidth="1"/>
    <col min="14093" max="14093" width="11.28515625" style="375" bestFit="1" customWidth="1"/>
    <col min="14094" max="14094" width="14.85546875" style="375" bestFit="1" customWidth="1"/>
    <col min="14095" max="14095" width="12.85546875" style="375" bestFit="1" customWidth="1"/>
    <col min="14096" max="14096" width="11" style="375" customWidth="1"/>
    <col min="14097" max="14097" width="12.28515625" style="375" bestFit="1" customWidth="1"/>
    <col min="14098" max="14098" width="11" style="375" customWidth="1"/>
    <col min="14099" max="14103" width="9.140625" style="375"/>
    <col min="14104" max="14104" width="21.85546875" style="375" customWidth="1"/>
    <col min="14105" max="14337" width="9.140625" style="375"/>
    <col min="14338" max="14338" width="4.7109375" style="375" customWidth="1"/>
    <col min="14339" max="14339" width="40.140625" style="375" bestFit="1" customWidth="1"/>
    <col min="14340" max="14340" width="11.28515625" style="375" customWidth="1"/>
    <col min="14341" max="14341" width="11.85546875" style="375" customWidth="1"/>
    <col min="14342" max="14342" width="5.42578125" style="375" customWidth="1"/>
    <col min="14343" max="14343" width="11.28515625" style="375" customWidth="1"/>
    <col min="14344" max="14344" width="11.85546875" style="375" customWidth="1"/>
    <col min="14345" max="14345" width="7.140625" style="375" customWidth="1"/>
    <col min="14346" max="14346" width="11.28515625" style="375" bestFit="1" customWidth="1"/>
    <col min="14347" max="14347" width="12.28515625" style="375" bestFit="1" customWidth="1"/>
    <col min="14348" max="14348" width="5.5703125" style="375" customWidth="1"/>
    <col min="14349" max="14349" width="11.28515625" style="375" bestFit="1" customWidth="1"/>
    <col min="14350" max="14350" width="14.85546875" style="375" bestFit="1" customWidth="1"/>
    <col min="14351" max="14351" width="12.85546875" style="375" bestFit="1" customWidth="1"/>
    <col min="14352" max="14352" width="11" style="375" customWidth="1"/>
    <col min="14353" max="14353" width="12.28515625" style="375" bestFit="1" customWidth="1"/>
    <col min="14354" max="14354" width="11" style="375" customWidth="1"/>
    <col min="14355" max="14359" width="9.140625" style="375"/>
    <col min="14360" max="14360" width="21.85546875" style="375" customWidth="1"/>
    <col min="14361" max="14593" width="9.140625" style="375"/>
    <col min="14594" max="14594" width="4.7109375" style="375" customWidth="1"/>
    <col min="14595" max="14595" width="40.140625" style="375" bestFit="1" customWidth="1"/>
    <col min="14596" max="14596" width="11.28515625" style="375" customWidth="1"/>
    <col min="14597" max="14597" width="11.85546875" style="375" customWidth="1"/>
    <col min="14598" max="14598" width="5.42578125" style="375" customWidth="1"/>
    <col min="14599" max="14599" width="11.28515625" style="375" customWidth="1"/>
    <col min="14600" max="14600" width="11.85546875" style="375" customWidth="1"/>
    <col min="14601" max="14601" width="7.140625" style="375" customWidth="1"/>
    <col min="14602" max="14602" width="11.28515625" style="375" bestFit="1" customWidth="1"/>
    <col min="14603" max="14603" width="12.28515625" style="375" bestFit="1" customWidth="1"/>
    <col min="14604" max="14604" width="5.5703125" style="375" customWidth="1"/>
    <col min="14605" max="14605" width="11.28515625" style="375" bestFit="1" customWidth="1"/>
    <col min="14606" max="14606" width="14.85546875" style="375" bestFit="1" customWidth="1"/>
    <col min="14607" max="14607" width="12.85546875" style="375" bestFit="1" customWidth="1"/>
    <col min="14608" max="14608" width="11" style="375" customWidth="1"/>
    <col min="14609" max="14609" width="12.28515625" style="375" bestFit="1" customWidth="1"/>
    <col min="14610" max="14610" width="11" style="375" customWidth="1"/>
    <col min="14611" max="14615" width="9.140625" style="375"/>
    <col min="14616" max="14616" width="21.85546875" style="375" customWidth="1"/>
    <col min="14617" max="14849" width="9.140625" style="375"/>
    <col min="14850" max="14850" width="4.7109375" style="375" customWidth="1"/>
    <col min="14851" max="14851" width="40.140625" style="375" bestFit="1" customWidth="1"/>
    <col min="14852" max="14852" width="11.28515625" style="375" customWidth="1"/>
    <col min="14853" max="14853" width="11.85546875" style="375" customWidth="1"/>
    <col min="14854" max="14854" width="5.42578125" style="375" customWidth="1"/>
    <col min="14855" max="14855" width="11.28515625" style="375" customWidth="1"/>
    <col min="14856" max="14856" width="11.85546875" style="375" customWidth="1"/>
    <col min="14857" max="14857" width="7.140625" style="375" customWidth="1"/>
    <col min="14858" max="14858" width="11.28515625" style="375" bestFit="1" customWidth="1"/>
    <col min="14859" max="14859" width="12.28515625" style="375" bestFit="1" customWidth="1"/>
    <col min="14860" max="14860" width="5.5703125" style="375" customWidth="1"/>
    <col min="14861" max="14861" width="11.28515625" style="375" bestFit="1" customWidth="1"/>
    <col min="14862" max="14862" width="14.85546875" style="375" bestFit="1" customWidth="1"/>
    <col min="14863" max="14863" width="12.85546875" style="375" bestFit="1" customWidth="1"/>
    <col min="14864" max="14864" width="11" style="375" customWidth="1"/>
    <col min="14865" max="14865" width="12.28515625" style="375" bestFit="1" customWidth="1"/>
    <col min="14866" max="14866" width="11" style="375" customWidth="1"/>
    <col min="14867" max="14871" width="9.140625" style="375"/>
    <col min="14872" max="14872" width="21.85546875" style="375" customWidth="1"/>
    <col min="14873" max="15105" width="9.140625" style="375"/>
    <col min="15106" max="15106" width="4.7109375" style="375" customWidth="1"/>
    <col min="15107" max="15107" width="40.140625" style="375" bestFit="1" customWidth="1"/>
    <col min="15108" max="15108" width="11.28515625" style="375" customWidth="1"/>
    <col min="15109" max="15109" width="11.85546875" style="375" customWidth="1"/>
    <col min="15110" max="15110" width="5.42578125" style="375" customWidth="1"/>
    <col min="15111" max="15111" width="11.28515625" style="375" customWidth="1"/>
    <col min="15112" max="15112" width="11.85546875" style="375" customWidth="1"/>
    <col min="15113" max="15113" width="7.140625" style="375" customWidth="1"/>
    <col min="15114" max="15114" width="11.28515625" style="375" bestFit="1" customWidth="1"/>
    <col min="15115" max="15115" width="12.28515625" style="375" bestFit="1" customWidth="1"/>
    <col min="15116" max="15116" width="5.5703125" style="375" customWidth="1"/>
    <col min="15117" max="15117" width="11.28515625" style="375" bestFit="1" customWidth="1"/>
    <col min="15118" max="15118" width="14.85546875" style="375" bestFit="1" customWidth="1"/>
    <col min="15119" max="15119" width="12.85546875" style="375" bestFit="1" customWidth="1"/>
    <col min="15120" max="15120" width="11" style="375" customWidth="1"/>
    <col min="15121" max="15121" width="12.28515625" style="375" bestFit="1" customWidth="1"/>
    <col min="15122" max="15122" width="11" style="375" customWidth="1"/>
    <col min="15123" max="15127" width="9.140625" style="375"/>
    <col min="15128" max="15128" width="21.85546875" style="375" customWidth="1"/>
    <col min="15129" max="15361" width="9.140625" style="375"/>
    <col min="15362" max="15362" width="4.7109375" style="375" customWidth="1"/>
    <col min="15363" max="15363" width="40.140625" style="375" bestFit="1" customWidth="1"/>
    <col min="15364" max="15364" width="11.28515625" style="375" customWidth="1"/>
    <col min="15365" max="15365" width="11.85546875" style="375" customWidth="1"/>
    <col min="15366" max="15366" width="5.42578125" style="375" customWidth="1"/>
    <col min="15367" max="15367" width="11.28515625" style="375" customWidth="1"/>
    <col min="15368" max="15368" width="11.85546875" style="375" customWidth="1"/>
    <col min="15369" max="15369" width="7.140625" style="375" customWidth="1"/>
    <col min="15370" max="15370" width="11.28515625" style="375" bestFit="1" customWidth="1"/>
    <col min="15371" max="15371" width="12.28515625" style="375" bestFit="1" customWidth="1"/>
    <col min="15372" max="15372" width="5.5703125" style="375" customWidth="1"/>
    <col min="15373" max="15373" width="11.28515625" style="375" bestFit="1" customWidth="1"/>
    <col min="15374" max="15374" width="14.85546875" style="375" bestFit="1" customWidth="1"/>
    <col min="15375" max="15375" width="12.85546875" style="375" bestFit="1" customWidth="1"/>
    <col min="15376" max="15376" width="11" style="375" customWidth="1"/>
    <col min="15377" max="15377" width="12.28515625" style="375" bestFit="1" customWidth="1"/>
    <col min="15378" max="15378" width="11" style="375" customWidth="1"/>
    <col min="15379" max="15383" width="9.140625" style="375"/>
    <col min="15384" max="15384" width="21.85546875" style="375" customWidth="1"/>
    <col min="15385" max="15617" width="9.140625" style="375"/>
    <col min="15618" max="15618" width="4.7109375" style="375" customWidth="1"/>
    <col min="15619" max="15619" width="40.140625" style="375" bestFit="1" customWidth="1"/>
    <col min="15620" max="15620" width="11.28515625" style="375" customWidth="1"/>
    <col min="15621" max="15621" width="11.85546875" style="375" customWidth="1"/>
    <col min="15622" max="15622" width="5.42578125" style="375" customWidth="1"/>
    <col min="15623" max="15623" width="11.28515625" style="375" customWidth="1"/>
    <col min="15624" max="15624" width="11.85546875" style="375" customWidth="1"/>
    <col min="15625" max="15625" width="7.140625" style="375" customWidth="1"/>
    <col min="15626" max="15626" width="11.28515625" style="375" bestFit="1" customWidth="1"/>
    <col min="15627" max="15627" width="12.28515625" style="375" bestFit="1" customWidth="1"/>
    <col min="15628" max="15628" width="5.5703125" style="375" customWidth="1"/>
    <col min="15629" max="15629" width="11.28515625" style="375" bestFit="1" customWidth="1"/>
    <col min="15630" max="15630" width="14.85546875" style="375" bestFit="1" customWidth="1"/>
    <col min="15631" max="15631" width="12.85546875" style="375" bestFit="1" customWidth="1"/>
    <col min="15632" max="15632" width="11" style="375" customWidth="1"/>
    <col min="15633" max="15633" width="12.28515625" style="375" bestFit="1" customWidth="1"/>
    <col min="15634" max="15634" width="11" style="375" customWidth="1"/>
    <col min="15635" max="15639" width="9.140625" style="375"/>
    <col min="15640" max="15640" width="21.85546875" style="375" customWidth="1"/>
    <col min="15641" max="15873" width="9.140625" style="375"/>
    <col min="15874" max="15874" width="4.7109375" style="375" customWidth="1"/>
    <col min="15875" max="15875" width="40.140625" style="375" bestFit="1" customWidth="1"/>
    <col min="15876" max="15876" width="11.28515625" style="375" customWidth="1"/>
    <col min="15877" max="15877" width="11.85546875" style="375" customWidth="1"/>
    <col min="15878" max="15878" width="5.42578125" style="375" customWidth="1"/>
    <col min="15879" max="15879" width="11.28515625" style="375" customWidth="1"/>
    <col min="15880" max="15880" width="11.85546875" style="375" customWidth="1"/>
    <col min="15881" max="15881" width="7.140625" style="375" customWidth="1"/>
    <col min="15882" max="15882" width="11.28515625" style="375" bestFit="1" customWidth="1"/>
    <col min="15883" max="15883" width="12.28515625" style="375" bestFit="1" customWidth="1"/>
    <col min="15884" max="15884" width="5.5703125" style="375" customWidth="1"/>
    <col min="15885" max="15885" width="11.28515625" style="375" bestFit="1" customWidth="1"/>
    <col min="15886" max="15886" width="14.85546875" style="375" bestFit="1" customWidth="1"/>
    <col min="15887" max="15887" width="12.85546875" style="375" bestFit="1" customWidth="1"/>
    <col min="15888" max="15888" width="11" style="375" customWidth="1"/>
    <col min="15889" max="15889" width="12.28515625" style="375" bestFit="1" customWidth="1"/>
    <col min="15890" max="15890" width="11" style="375" customWidth="1"/>
    <col min="15891" max="15895" width="9.140625" style="375"/>
    <col min="15896" max="15896" width="21.85546875" style="375" customWidth="1"/>
    <col min="15897" max="16129" width="9.140625" style="375"/>
    <col min="16130" max="16130" width="4.7109375" style="375" customWidth="1"/>
    <col min="16131" max="16131" width="40.140625" style="375" bestFit="1" customWidth="1"/>
    <col min="16132" max="16132" width="11.28515625" style="375" customWidth="1"/>
    <col min="16133" max="16133" width="11.85546875" style="375" customWidth="1"/>
    <col min="16134" max="16134" width="5.42578125" style="375" customWidth="1"/>
    <col min="16135" max="16135" width="11.28515625" style="375" customWidth="1"/>
    <col min="16136" max="16136" width="11.85546875" style="375" customWidth="1"/>
    <col min="16137" max="16137" width="7.140625" style="375" customWidth="1"/>
    <col min="16138" max="16138" width="11.28515625" style="375" bestFit="1" customWidth="1"/>
    <col min="16139" max="16139" width="12.28515625" style="375" bestFit="1" customWidth="1"/>
    <col min="16140" max="16140" width="5.5703125" style="375" customWidth="1"/>
    <col min="16141" max="16141" width="11.28515625" style="375" bestFit="1" customWidth="1"/>
    <col min="16142" max="16142" width="14.85546875" style="375" bestFit="1" customWidth="1"/>
    <col min="16143" max="16143" width="12.85546875" style="375" bestFit="1" customWidth="1"/>
    <col min="16144" max="16144" width="11" style="375" customWidth="1"/>
    <col min="16145" max="16145" width="12.28515625" style="375" bestFit="1" customWidth="1"/>
    <col min="16146" max="16146" width="11" style="375" customWidth="1"/>
    <col min="16147" max="16151" width="9.140625" style="375"/>
    <col min="16152" max="16152" width="21.85546875" style="375" customWidth="1"/>
    <col min="16153" max="16384" width="9.140625" style="375"/>
  </cols>
  <sheetData>
    <row r="1" spans="1:17" ht="18">
      <c r="A1" s="1134" t="s">
        <v>1110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</row>
    <row r="2" spans="1:17" ht="15.75">
      <c r="A2" s="1135" t="s">
        <v>1111</v>
      </c>
      <c r="B2" s="1135"/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  <c r="N2" s="1135"/>
    </row>
    <row r="3" spans="1:17" ht="15.75">
      <c r="A3" s="29"/>
      <c r="B3" s="826"/>
    </row>
    <row r="4" spans="1:17" ht="15.75">
      <c r="A4" s="29"/>
      <c r="B4" s="826"/>
    </row>
    <row r="5" spans="1:17" ht="15.75">
      <c r="A5" s="29"/>
      <c r="B5" s="826"/>
      <c r="D5" s="376"/>
      <c r="E5" s="376"/>
      <c r="F5" s="376"/>
      <c r="G5" s="376"/>
      <c r="I5" s="376"/>
      <c r="J5" s="376"/>
      <c r="K5" s="376"/>
      <c r="L5" s="376"/>
      <c r="N5" s="376"/>
    </row>
    <row r="6" spans="1:17" ht="15.75">
      <c r="A6" s="29"/>
      <c r="B6" s="826"/>
      <c r="C6" s="828"/>
      <c r="D6" s="827" t="s">
        <v>210</v>
      </c>
      <c r="E6" s="827"/>
      <c r="F6" s="827"/>
      <c r="G6" s="827"/>
      <c r="H6" s="828"/>
      <c r="I6" s="827" t="s">
        <v>210</v>
      </c>
      <c r="J6" s="827"/>
      <c r="K6" s="827"/>
      <c r="L6" s="827"/>
      <c r="M6" s="828"/>
      <c r="N6" s="827" t="s">
        <v>210</v>
      </c>
    </row>
    <row r="7" spans="1:17" ht="15.75">
      <c r="A7" s="76"/>
      <c r="B7" s="76"/>
      <c r="C7" s="828"/>
      <c r="D7" s="827" t="s">
        <v>1112</v>
      </c>
      <c r="E7" s="827"/>
      <c r="F7" s="827"/>
      <c r="G7" s="827"/>
      <c r="H7" s="828"/>
      <c r="I7" s="827" t="s">
        <v>1113</v>
      </c>
      <c r="J7" s="827"/>
      <c r="K7" s="827"/>
      <c r="L7" s="827"/>
      <c r="M7" s="828"/>
      <c r="N7" s="827" t="s">
        <v>3</v>
      </c>
      <c r="O7" s="76"/>
    </row>
    <row r="8" spans="1:17" ht="15.75">
      <c r="A8" s="829" t="s">
        <v>1114</v>
      </c>
      <c r="B8" s="76"/>
      <c r="C8" s="831"/>
      <c r="D8" s="830">
        <v>2020</v>
      </c>
      <c r="E8" s="22" t="s">
        <v>1115</v>
      </c>
      <c r="F8" s="28" t="s">
        <v>1116</v>
      </c>
      <c r="G8" s="28" t="s">
        <v>1063</v>
      </c>
      <c r="H8" s="831"/>
      <c r="I8" s="830">
        <v>2021</v>
      </c>
      <c r="J8" s="22" t="s">
        <v>1115</v>
      </c>
      <c r="K8" s="28" t="s">
        <v>1116</v>
      </c>
      <c r="L8" s="28" t="s">
        <v>1063</v>
      </c>
      <c r="N8" s="830">
        <v>2022</v>
      </c>
      <c r="O8" s="22" t="s">
        <v>1115</v>
      </c>
      <c r="P8" s="28" t="s">
        <v>1116</v>
      </c>
      <c r="Q8" s="28" t="s">
        <v>1063</v>
      </c>
    </row>
    <row r="9" spans="1:17" ht="14.25">
      <c r="C9" s="828"/>
      <c r="D9" s="828"/>
      <c r="E9" s="856">
        <v>4.8983000000000002E-4</v>
      </c>
      <c r="F9" s="857">
        <v>1.4000000000000001E-4</v>
      </c>
      <c r="G9" s="857">
        <v>4.7460000000000002E-3</v>
      </c>
      <c r="H9" s="828"/>
      <c r="I9" s="828"/>
      <c r="J9" s="856">
        <v>5.9668000000000004E-4</v>
      </c>
      <c r="K9" s="857">
        <v>1.3300000000000001E-4</v>
      </c>
      <c r="L9" s="857">
        <v>4.5869999999999999E-3</v>
      </c>
      <c r="M9" s="828"/>
      <c r="N9" s="828"/>
      <c r="O9" s="856">
        <f ca="1">+Report!H188/10000</f>
        <v>5.5208999999999998E-4</v>
      </c>
      <c r="P9" s="857">
        <f ca="1">+-Report!H196/10000</f>
        <v>1.8000000000000001E-4</v>
      </c>
      <c r="Q9" s="857">
        <f ca="1">+Report!H200/10000</f>
        <v>4.7539999999999995E-3</v>
      </c>
    </row>
    <row r="10" spans="1:17" ht="15">
      <c r="B10" s="828" t="s">
        <v>1117</v>
      </c>
      <c r="C10" s="858">
        <v>1314032.4536923077</v>
      </c>
      <c r="D10" s="828"/>
      <c r="E10" s="828"/>
      <c r="F10" s="828"/>
      <c r="G10" s="828"/>
      <c r="H10" s="858">
        <v>1607778.6104498494</v>
      </c>
      <c r="I10" s="828"/>
      <c r="J10" s="828"/>
      <c r="K10" s="828"/>
      <c r="L10" s="828"/>
      <c r="M10" s="858">
        <f ca="1">+Report!T55</f>
        <v>2221907.0579799535</v>
      </c>
      <c r="N10" s="828"/>
      <c r="O10" s="832"/>
      <c r="P10" s="832"/>
      <c r="Q10" s="28"/>
    </row>
    <row r="11" spans="1:17" ht="15"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58"/>
      <c r="N11" s="828"/>
      <c r="O11" s="832"/>
      <c r="P11" s="832"/>
      <c r="Q11" s="28"/>
    </row>
    <row r="12" spans="1:17" ht="14.25">
      <c r="A12" s="828" t="s">
        <v>1164</v>
      </c>
      <c r="C12" s="828"/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  <c r="O12" s="832"/>
      <c r="P12" s="832"/>
      <c r="Q12" s="28"/>
    </row>
    <row r="13" spans="1:17">
      <c r="B13" s="375" t="s">
        <v>1122</v>
      </c>
      <c r="D13" s="546">
        <v>51915.389260000069</v>
      </c>
      <c r="E13" s="546"/>
      <c r="F13" s="546"/>
      <c r="G13" s="546"/>
      <c r="I13" s="546">
        <v>74104.479928044238</v>
      </c>
      <c r="J13" s="546"/>
      <c r="K13" s="546"/>
      <c r="L13" s="546"/>
      <c r="N13" s="546">
        <f ca="1">+IncomeStmt!F43</f>
        <v>84703.250428644693</v>
      </c>
    </row>
    <row r="14" spans="1:17" ht="14.25">
      <c r="B14" s="375" t="s">
        <v>1123</v>
      </c>
      <c r="D14" s="833">
        <v>596700.94915500004</v>
      </c>
      <c r="E14" s="546"/>
      <c r="F14" s="546"/>
      <c r="G14" s="546"/>
      <c r="I14" s="833">
        <v>722652.33422646637</v>
      </c>
      <c r="J14" s="546"/>
      <c r="K14" s="546"/>
      <c r="L14" s="546"/>
      <c r="N14" s="833">
        <f>+('Bal Sheet'!BJ63+'Bal Sheet'!BV63)/2</f>
        <v>888784.40915000008</v>
      </c>
      <c r="O14" s="828"/>
      <c r="P14" s="22"/>
    </row>
    <row r="15" spans="1:17" ht="14.25">
      <c r="A15" s="828" t="s">
        <v>1164</v>
      </c>
      <c r="B15" s="828"/>
      <c r="C15" s="834"/>
      <c r="D15" s="851">
        <f>+D13/D14</f>
        <v>8.7004033316049639E-2</v>
      </c>
      <c r="E15" s="861"/>
      <c r="F15" s="861"/>
      <c r="G15" s="861"/>
      <c r="H15" s="834"/>
      <c r="I15" s="851">
        <f>+I13/I14</f>
        <v>0.10254513327956845</v>
      </c>
      <c r="J15" s="861"/>
      <c r="K15" s="861"/>
      <c r="L15" s="861"/>
      <c r="M15" s="834"/>
      <c r="N15" s="851">
        <f ca="1">+N13/N14</f>
        <v>9.5302358543453397E-2</v>
      </c>
      <c r="O15" s="836"/>
      <c r="P15" s="837"/>
    </row>
    <row r="16" spans="1:17" ht="14.25">
      <c r="B16" s="828"/>
      <c r="C16" s="834"/>
      <c r="D16" s="835"/>
      <c r="E16" s="835"/>
      <c r="F16" s="835"/>
      <c r="G16" s="835"/>
      <c r="H16" s="834"/>
      <c r="I16" s="835"/>
      <c r="J16" s="835"/>
      <c r="K16" s="835"/>
      <c r="L16" s="835"/>
      <c r="M16" s="834"/>
      <c r="N16" s="835"/>
      <c r="O16" s="828"/>
    </row>
    <row r="17" spans="1:21" ht="14.25">
      <c r="B17" s="871" t="s">
        <v>1124</v>
      </c>
      <c r="C17" s="872"/>
      <c r="D17" s="873">
        <f>ROUND(+((((C18/C19)-E9+F9)/G9)*(C19/C10))*(0-100),2)/100</f>
        <v>-0.49659999999999999</v>
      </c>
      <c r="E17" s="874"/>
      <c r="F17" s="874"/>
      <c r="G17" s="874"/>
      <c r="H17" s="872"/>
      <c r="I17" s="873">
        <f>ROUND(+((((H18/H19)-J9+K9)/L9)*(H19/H10))*(0-100),2)/100</f>
        <v>-0.43689999999999996</v>
      </c>
      <c r="J17" s="874"/>
      <c r="K17" s="874"/>
      <c r="L17" s="874"/>
      <c r="M17" s="872"/>
      <c r="N17" s="873">
        <f ca="1">ROUND(+((((M18/M19)-O9+P9)/Q9)*(M19/M10))*(0-100),2)/100*0</f>
        <v>0</v>
      </c>
      <c r="O17" s="828"/>
      <c r="P17" s="706">
        <f ca="1">+M18/M19</f>
        <v>4.77009224111219E-2</v>
      </c>
    </row>
    <row r="18" spans="1:21" ht="14.25">
      <c r="B18" s="855" t="s">
        <v>1125</v>
      </c>
      <c r="C18" s="834">
        <v>3121.6035899999997</v>
      </c>
      <c r="D18" s="838"/>
      <c r="E18" s="846"/>
      <c r="F18" s="846"/>
      <c r="G18" s="846"/>
      <c r="H18" s="834">
        <v>3256.3816200000001</v>
      </c>
      <c r="I18" s="838"/>
      <c r="J18" s="846"/>
      <c r="K18" s="846"/>
      <c r="L18" s="846"/>
      <c r="M18" s="834">
        <f ca="1">+IncomeStmt!F30</f>
        <v>4547</v>
      </c>
      <c r="N18" s="838"/>
      <c r="O18" s="828"/>
      <c r="P18" s="870">
        <f ca="1">+O9</f>
        <v>5.5208999999999998E-4</v>
      </c>
    </row>
    <row r="19" spans="1:21" ht="14.25">
      <c r="B19" s="855" t="s">
        <v>1126</v>
      </c>
      <c r="C19" s="834">
        <v>69773.335063846142</v>
      </c>
      <c r="D19" s="838"/>
      <c r="E19" s="846"/>
      <c r="F19" s="846"/>
      <c r="G19" s="846"/>
      <c r="H19" s="834">
        <v>73643.177210769209</v>
      </c>
      <c r="I19" s="838"/>
      <c r="J19" s="846"/>
      <c r="K19" s="846"/>
      <c r="L19" s="846"/>
      <c r="M19" s="834">
        <f ca="1">+-Report!T75</f>
        <v>95323.104253846162</v>
      </c>
      <c r="N19" s="838"/>
      <c r="O19" s="828"/>
      <c r="P19" s="547">
        <f ca="1">+P17-P18</f>
        <v>4.7148832411121902E-2</v>
      </c>
    </row>
    <row r="20" spans="1:21" ht="14.25">
      <c r="B20" s="828"/>
      <c r="C20" s="834"/>
      <c r="D20" s="838"/>
      <c r="E20" s="835"/>
      <c r="F20" s="835"/>
      <c r="G20" s="835"/>
      <c r="H20" s="834"/>
      <c r="I20" s="838"/>
      <c r="J20" s="835"/>
      <c r="K20" s="835"/>
      <c r="L20" s="835"/>
      <c r="M20" s="834"/>
      <c r="N20" s="838"/>
      <c r="O20" s="828"/>
      <c r="P20" s="870">
        <f ca="1">+P9</f>
        <v>1.8000000000000001E-4</v>
      </c>
    </row>
    <row r="21" spans="1:21" ht="14.25">
      <c r="B21" s="865" t="s">
        <v>1127</v>
      </c>
      <c r="C21" s="859"/>
      <c r="D21" s="864">
        <f>ROUND(+((((C22/C23)-E9)/G9)*(C23/C10))*(0-100),2)/100</f>
        <v>-1.6962000000000002</v>
      </c>
      <c r="E21" s="866"/>
      <c r="F21" s="866"/>
      <c r="G21" s="866"/>
      <c r="H21" s="859"/>
      <c r="I21" s="864">
        <f>ROUND(+((((H22/H23)-J9)/L9)*(H23/H10))*(0-100),2)/100</f>
        <v>-0.12470000000000001</v>
      </c>
      <c r="J21" s="866"/>
      <c r="K21" s="866"/>
      <c r="L21" s="866"/>
      <c r="M21" s="859"/>
      <c r="N21" s="864">
        <f ca="1">ROUND(+((((M22/M23)-O9)/Q9)*(M23/M10))*(0-100),2)/100</f>
        <v>-0.4299</v>
      </c>
      <c r="O21" s="828"/>
      <c r="P21" s="547">
        <f ca="1">+P20+P19</f>
        <v>4.7328832411121902E-2</v>
      </c>
      <c r="Q21" s="876">
        <f ca="1">+Q9</f>
        <v>4.7539999999999995E-3</v>
      </c>
      <c r="R21" s="876">
        <f ca="1">+P21/Q21</f>
        <v>9.9555810709133166</v>
      </c>
      <c r="S21" s="876">
        <f ca="1">+M19/M10</f>
        <v>4.2901481370021456E-2</v>
      </c>
      <c r="T21" s="877">
        <f ca="1">(+R21*S21)</f>
        <v>0.42710917584152591</v>
      </c>
      <c r="U21" s="878">
        <f ca="1">+T21*(0-100)/100</f>
        <v>-0.42710917584152591</v>
      </c>
    </row>
    <row r="22" spans="1:21" ht="14.25">
      <c r="B22" s="855" t="s">
        <v>1128</v>
      </c>
      <c r="C22" s="834">
        <v>10664.6411370648</v>
      </c>
      <c r="D22" s="838"/>
      <c r="E22" s="846"/>
      <c r="F22" s="846"/>
      <c r="G22" s="846"/>
      <c r="H22" s="834">
        <v>928.96128642240001</v>
      </c>
      <c r="I22" s="838"/>
      <c r="J22" s="846"/>
      <c r="K22" s="846"/>
      <c r="L22" s="846"/>
      <c r="M22" s="834">
        <f ca="1">+-Report!V124</f>
        <v>4586.5068196499997</v>
      </c>
      <c r="N22" s="838"/>
      <c r="O22" s="828"/>
      <c r="Q22" s="877"/>
      <c r="R22" s="877"/>
      <c r="S22" s="877"/>
      <c r="T22" s="877"/>
      <c r="U22" s="877"/>
    </row>
    <row r="23" spans="1:21" ht="14.25">
      <c r="B23" s="855" t="s">
        <v>1126</v>
      </c>
      <c r="C23" s="834">
        <v>176018.60003999999</v>
      </c>
      <c r="E23" s="835">
        <f>+C23*0.547</f>
        <v>96282.174221880006</v>
      </c>
      <c r="F23" s="846"/>
      <c r="G23" s="846"/>
      <c r="H23" s="834">
        <v>15884.766186923081</v>
      </c>
      <c r="J23" s="835">
        <f>+H23*0.547</f>
        <v>8688.9671042469254</v>
      </c>
      <c r="K23" s="846"/>
      <c r="L23" s="846"/>
      <c r="M23" s="834">
        <f ca="1">+-Report!T74</f>
        <v>82489.75537538463</v>
      </c>
      <c r="O23" s="835">
        <f ca="1">+M23*0.547</f>
        <v>45121.896190335399</v>
      </c>
      <c r="P23" s="706">
        <f ca="1">+M22/M23</f>
        <v>5.5600926427509287E-2</v>
      </c>
      <c r="Q23" s="877"/>
      <c r="R23" s="877"/>
      <c r="S23" s="877"/>
      <c r="T23" s="877"/>
      <c r="U23" s="877"/>
    </row>
    <row r="24" spans="1:21" ht="14.25">
      <c r="B24" s="828"/>
      <c r="C24" s="867">
        <f>(((C22/C23)-F9)/G9)/100</f>
        <v>0.1273665167206946</v>
      </c>
      <c r="E24" s="835">
        <f>+E23*0.099</f>
        <v>9531.9352479661211</v>
      </c>
      <c r="F24" s="835"/>
      <c r="G24" s="835"/>
      <c r="H24" s="867">
        <f>(((H22/H23)-K9)/L9)/100</f>
        <v>0.12720355162111219</v>
      </c>
      <c r="J24" s="835">
        <f>+J23*0.099</f>
        <v>860.20774332044562</v>
      </c>
      <c r="K24" s="835"/>
      <c r="L24" s="835"/>
      <c r="M24" s="867">
        <f ca="1">(((M22/M23)-P9)/Q9)/100</f>
        <v>0.11657746408815585</v>
      </c>
      <c r="O24" s="835">
        <f ca="1">+O23*0.099</f>
        <v>4467.067722843205</v>
      </c>
      <c r="P24" s="870">
        <f ca="1">+O9</f>
        <v>5.5208999999999998E-4</v>
      </c>
      <c r="Q24" s="877"/>
      <c r="R24" s="877"/>
      <c r="S24" s="877"/>
      <c r="T24" s="877"/>
      <c r="U24" s="877"/>
    </row>
    <row r="25" spans="1:21" ht="14.25">
      <c r="B25" s="828"/>
      <c r="C25" s="834"/>
      <c r="D25" s="835"/>
      <c r="E25" s="835"/>
      <c r="F25" s="835"/>
      <c r="G25" s="835"/>
      <c r="H25" s="834"/>
      <c r="I25" s="835"/>
      <c r="J25" s="835"/>
      <c r="K25" s="835"/>
      <c r="L25" s="835"/>
      <c r="M25" s="834"/>
      <c r="N25" s="835"/>
      <c r="O25" s="828"/>
      <c r="P25" s="547">
        <f ca="1">+P23-P24</f>
        <v>5.5048836427509289E-2</v>
      </c>
      <c r="Q25" s="876">
        <f ca="1">+Q9</f>
        <v>4.7539999999999995E-3</v>
      </c>
      <c r="R25" s="876">
        <f ca="1">+P25/Q25</f>
        <v>11.579477582564008</v>
      </c>
      <c r="S25" s="876">
        <f ca="1">+M23/M10</f>
        <v>3.7125655224471983E-2</v>
      </c>
      <c r="T25" s="877">
        <f ca="1">(+R25*S25)</f>
        <v>0.42989569240977371</v>
      </c>
      <c r="U25" s="878">
        <f ca="1">+T25*(0-100)/100</f>
        <v>-0.42989569240977377</v>
      </c>
    </row>
    <row r="26" spans="1:21" ht="14.25">
      <c r="B26" s="863" t="s">
        <v>1129</v>
      </c>
      <c r="C26" s="859"/>
      <c r="D26" s="866"/>
      <c r="E26" s="866"/>
      <c r="F26" s="866"/>
      <c r="G26" s="866"/>
      <c r="H26" s="859"/>
      <c r="I26" s="866"/>
      <c r="J26" s="866"/>
      <c r="K26" s="866"/>
      <c r="L26" s="866"/>
      <c r="M26" s="859">
        <f ca="1">+IncomeStmt!F28</f>
        <v>3864.7</v>
      </c>
      <c r="N26" s="864">
        <f ca="1">ROUND((-M26)/83/100,2)</f>
        <v>-0.47</v>
      </c>
      <c r="O26" s="828"/>
    </row>
    <row r="27" spans="1:21" ht="14.25">
      <c r="B27" s="828"/>
      <c r="C27" s="834"/>
      <c r="D27" s="835"/>
      <c r="E27" s="835"/>
      <c r="F27" s="835"/>
      <c r="G27" s="835"/>
      <c r="H27" s="834"/>
      <c r="I27" s="835"/>
      <c r="J27" s="835"/>
      <c r="K27" s="835"/>
      <c r="L27" s="835"/>
      <c r="M27" s="834"/>
      <c r="N27" s="838"/>
      <c r="O27" s="828"/>
      <c r="P27" s="547"/>
    </row>
    <row r="28" spans="1:21" ht="14.25">
      <c r="B28" s="875" t="s">
        <v>1130</v>
      </c>
      <c r="C28" s="872"/>
      <c r="D28" s="874"/>
      <c r="E28" s="874"/>
      <c r="F28" s="874"/>
      <c r="G28" s="874"/>
      <c r="H28" s="872"/>
      <c r="I28" s="874"/>
      <c r="J28" s="874"/>
      <c r="K28" s="874"/>
      <c r="L28" s="874"/>
      <c r="M28" s="872">
        <f ca="1">+-(IncomeStmt!F40*'Input Tax Rate'!B37)+IncomeStmt!F30</f>
        <v>5629.4228450000001</v>
      </c>
      <c r="N28" s="873">
        <f ca="1">ROUND((-M28)/83/100,2)</f>
        <v>-0.68</v>
      </c>
      <c r="O28" s="828"/>
    </row>
    <row r="29" spans="1:21" ht="14.25">
      <c r="B29" s="828"/>
      <c r="C29" s="834"/>
      <c r="D29" s="835"/>
      <c r="E29" s="835"/>
      <c r="F29" s="835"/>
      <c r="G29" s="835"/>
      <c r="H29" s="834"/>
      <c r="I29" s="835"/>
      <c r="J29" s="835"/>
      <c r="K29" s="835"/>
      <c r="L29" s="835"/>
      <c r="M29" s="834"/>
      <c r="N29" s="838"/>
      <c r="O29" s="828"/>
    </row>
    <row r="30" spans="1:21" ht="12.75" customHeight="1">
      <c r="A30" s="828"/>
      <c r="B30" s="828"/>
      <c r="C30" s="834"/>
      <c r="D30" s="838"/>
      <c r="E30" s="838"/>
      <c r="F30" s="838"/>
      <c r="G30" s="838"/>
      <c r="H30" s="834"/>
      <c r="I30" s="838"/>
      <c r="J30" s="838"/>
      <c r="K30" s="838"/>
      <c r="L30" s="838"/>
      <c r="M30" s="834"/>
      <c r="N30" s="838"/>
      <c r="O30" s="828"/>
    </row>
    <row r="31" spans="1:21" ht="15.2" customHeight="1">
      <c r="A31" s="828"/>
      <c r="B31" s="831" t="s">
        <v>1132</v>
      </c>
      <c r="C31" s="834"/>
      <c r="D31" s="838"/>
      <c r="E31" s="838"/>
      <c r="F31" s="838"/>
      <c r="G31" s="838"/>
      <c r="H31" s="834"/>
      <c r="I31" s="838"/>
      <c r="J31" s="838"/>
      <c r="K31" s="838"/>
      <c r="L31" s="838"/>
      <c r="M31" s="834"/>
      <c r="N31" s="838"/>
      <c r="O31" s="828"/>
    </row>
    <row r="32" spans="1:21" ht="15.2" customHeight="1">
      <c r="B32" s="828" t="s">
        <v>38</v>
      </c>
      <c r="C32" s="834">
        <v>1939.5515500000001</v>
      </c>
      <c r="D32" s="838">
        <f t="shared" ref="D32:D46" si="0">ROUND((C32)/1000/100,2)</f>
        <v>0.02</v>
      </c>
      <c r="E32" s="838"/>
      <c r="F32" s="838"/>
      <c r="G32" s="838"/>
      <c r="H32" s="834">
        <v>1939.5739115384613</v>
      </c>
      <c r="I32" s="838">
        <f>ROUND((H32)/1200/100,2)</f>
        <v>0.02</v>
      </c>
      <c r="J32" s="838"/>
      <c r="K32" s="838"/>
      <c r="L32" s="838"/>
      <c r="M32" s="834">
        <f ca="1">+-Report!T58</f>
        <v>1939.5962730769227</v>
      </c>
      <c r="N32" s="838">
        <f ca="1">ROUND((M32)/1400/100,2)</f>
        <v>0.01</v>
      </c>
      <c r="O32" s="834"/>
      <c r="P32" s="838"/>
    </row>
    <row r="33" spans="2:18" ht="15.2" customHeight="1">
      <c r="B33" s="828" t="s">
        <v>47</v>
      </c>
      <c r="C33" s="834">
        <v>2.95</v>
      </c>
      <c r="D33" s="838">
        <f t="shared" si="0"/>
        <v>0</v>
      </c>
      <c r="E33" s="838"/>
      <c r="F33" s="838"/>
      <c r="G33" s="838"/>
      <c r="H33" s="834">
        <v>1.5884615384615384</v>
      </c>
      <c r="I33" s="838">
        <f t="shared" ref="I33:I46" si="1">ROUND((H33)/1200/100,2)</f>
        <v>0</v>
      </c>
      <c r="J33" s="838"/>
      <c r="K33" s="838"/>
      <c r="L33" s="838"/>
      <c r="M33" s="834">
        <v>0</v>
      </c>
      <c r="N33" s="838">
        <f>ROUND((M33)/1400/100,2)</f>
        <v>0</v>
      </c>
      <c r="O33" s="834"/>
      <c r="P33" s="838"/>
    </row>
    <row r="34" spans="2:18" ht="15.2" customHeight="1">
      <c r="B34" s="828" t="s">
        <v>48</v>
      </c>
      <c r="C34" s="834">
        <v>1497.4164084615384</v>
      </c>
      <c r="D34" s="838">
        <f t="shared" si="0"/>
        <v>0.01</v>
      </c>
      <c r="E34" s="838"/>
      <c r="F34" s="838"/>
      <c r="G34" s="838"/>
      <c r="H34" s="834">
        <v>9892.5656038461548</v>
      </c>
      <c r="I34" s="838">
        <f t="shared" si="1"/>
        <v>0.08</v>
      </c>
      <c r="J34" s="838"/>
      <c r="K34" s="838"/>
      <c r="L34" s="838"/>
      <c r="M34" s="834">
        <f ca="1">+-Report!T61</f>
        <v>10078.251204615386</v>
      </c>
      <c r="N34" s="838">
        <f t="shared" ref="N34:N46" ca="1" si="2">ROUND((M34)/1400/100,2)</f>
        <v>7.0000000000000007E-2</v>
      </c>
      <c r="O34" s="834"/>
      <c r="P34" s="838"/>
      <c r="Q34" s="834"/>
    </row>
    <row r="35" spans="2:18" ht="15.2" customHeight="1">
      <c r="B35" s="828" t="s">
        <v>49</v>
      </c>
      <c r="C35" s="834">
        <v>1254.8316684615384</v>
      </c>
      <c r="D35" s="838">
        <f t="shared" si="0"/>
        <v>0.01</v>
      </c>
      <c r="E35" s="838"/>
      <c r="F35" s="838"/>
      <c r="G35" s="838"/>
      <c r="H35" s="834">
        <v>333.55803769230766</v>
      </c>
      <c r="I35" s="838">
        <f t="shared" si="1"/>
        <v>0</v>
      </c>
      <c r="J35" s="838"/>
      <c r="K35" s="838"/>
      <c r="L35" s="838"/>
      <c r="M35" s="834">
        <f ca="1">+-Report!T62</f>
        <v>821.61441384615364</v>
      </c>
      <c r="N35" s="838">
        <f t="shared" ca="1" si="2"/>
        <v>0.01</v>
      </c>
      <c r="O35" s="834"/>
      <c r="P35" s="839"/>
      <c r="R35" s="834"/>
    </row>
    <row r="36" spans="2:18" ht="15.2" customHeight="1">
      <c r="B36" s="828" t="s">
        <v>27</v>
      </c>
      <c r="C36" s="834">
        <v>836.91173436282634</v>
      </c>
      <c r="D36" s="838">
        <f t="shared" si="0"/>
        <v>0.01</v>
      </c>
      <c r="E36" s="838"/>
      <c r="F36" s="838"/>
      <c r="G36" s="838"/>
      <c r="H36" s="834">
        <v>896.68184759603946</v>
      </c>
      <c r="I36" s="838">
        <f t="shared" si="1"/>
        <v>0.01</v>
      </c>
      <c r="J36" s="838"/>
      <c r="K36" s="838"/>
      <c r="L36" s="838"/>
      <c r="M36" s="834">
        <f ca="1">+-Report!T63</f>
        <v>950.04631906513714</v>
      </c>
      <c r="N36" s="838">
        <f t="shared" ca="1" si="2"/>
        <v>0.01</v>
      </c>
      <c r="O36" s="834"/>
      <c r="P36" s="839"/>
      <c r="R36" s="834"/>
    </row>
    <row r="37" spans="2:18" ht="15.2" customHeight="1">
      <c r="B37" s="828" t="s">
        <v>50</v>
      </c>
      <c r="C37" s="834">
        <v>2188.1319815384613</v>
      </c>
      <c r="D37" s="838">
        <f t="shared" si="0"/>
        <v>0.02</v>
      </c>
      <c r="E37" s="838"/>
      <c r="F37" s="838"/>
      <c r="G37" s="838"/>
      <c r="H37" s="834">
        <v>3900.5374723076925</v>
      </c>
      <c r="I37" s="838">
        <f t="shared" si="1"/>
        <v>0.03</v>
      </c>
      <c r="J37" s="838"/>
      <c r="K37" s="838"/>
      <c r="L37" s="838"/>
      <c r="M37" s="834">
        <f ca="1">+-Report!T64</f>
        <v>349.48033615384617</v>
      </c>
      <c r="N37" s="838">
        <f t="shared" ca="1" si="2"/>
        <v>0</v>
      </c>
      <c r="O37" s="834"/>
      <c r="P37" s="839"/>
      <c r="R37" s="834"/>
    </row>
    <row r="38" spans="2:18" ht="15.2" customHeight="1">
      <c r="B38" s="828" t="s">
        <v>51</v>
      </c>
      <c r="C38" s="834">
        <v>0</v>
      </c>
      <c r="D38" s="838">
        <f t="shared" si="0"/>
        <v>0</v>
      </c>
      <c r="E38" s="838"/>
      <c r="F38" s="838"/>
      <c r="G38" s="838"/>
      <c r="H38" s="834">
        <v>0</v>
      </c>
      <c r="I38" s="838">
        <f t="shared" si="1"/>
        <v>0</v>
      </c>
      <c r="J38" s="838"/>
      <c r="K38" s="838"/>
      <c r="L38" s="838"/>
      <c r="M38" s="834">
        <f ca="1">+-Report!T65</f>
        <v>656.67635230768735</v>
      </c>
      <c r="N38" s="838">
        <f t="shared" ca="1" si="2"/>
        <v>0</v>
      </c>
      <c r="O38" s="834"/>
      <c r="P38" s="839"/>
      <c r="R38" s="834"/>
    </row>
    <row r="39" spans="2:18" ht="15.2" customHeight="1">
      <c r="B39" s="828" t="s">
        <v>52</v>
      </c>
      <c r="C39" s="834">
        <v>0</v>
      </c>
      <c r="D39" s="838">
        <f t="shared" si="0"/>
        <v>0</v>
      </c>
      <c r="E39" s="838"/>
      <c r="F39" s="838"/>
      <c r="G39" s="838"/>
      <c r="H39" s="834">
        <v>-2084.3020000000001</v>
      </c>
      <c r="I39" s="838">
        <f t="shared" si="1"/>
        <v>-0.02</v>
      </c>
      <c r="J39" s="838"/>
      <c r="K39" s="838"/>
      <c r="L39" s="838"/>
      <c r="M39" s="834">
        <v>0</v>
      </c>
      <c r="N39" s="838">
        <f t="shared" ref="N39" si="3">ROUND((M39)/1400/100,2)</f>
        <v>0</v>
      </c>
      <c r="O39" s="834"/>
      <c r="P39" s="839"/>
      <c r="R39" s="834"/>
    </row>
    <row r="40" spans="2:18" ht="15.2" customHeight="1">
      <c r="B40" s="828" t="s">
        <v>53</v>
      </c>
      <c r="C40" s="834">
        <v>1585.1291538461539</v>
      </c>
      <c r="D40" s="838">
        <f t="shared" si="0"/>
        <v>0.02</v>
      </c>
      <c r="E40" s="838"/>
      <c r="F40" s="838"/>
      <c r="G40" s="838"/>
      <c r="H40" s="834">
        <v>480.01299999999992</v>
      </c>
      <c r="I40" s="838">
        <f t="shared" si="1"/>
        <v>0</v>
      </c>
      <c r="J40" s="838"/>
      <c r="K40" s="838"/>
      <c r="L40" s="838"/>
      <c r="M40" s="834">
        <v>0</v>
      </c>
      <c r="N40" s="838">
        <f t="shared" ref="N40" si="4">ROUND((M40)/1400/100,2)</f>
        <v>0</v>
      </c>
      <c r="O40" s="834"/>
      <c r="P40" s="839"/>
      <c r="R40" s="834"/>
    </row>
    <row r="41" spans="2:18" ht="15.2" customHeight="1">
      <c r="B41" s="828" t="s">
        <v>54</v>
      </c>
      <c r="C41" s="834">
        <v>3107.3801538461535</v>
      </c>
      <c r="D41" s="838">
        <f t="shared" si="0"/>
        <v>0.03</v>
      </c>
      <c r="E41" s="838"/>
      <c r="F41" s="838"/>
      <c r="G41" s="838"/>
      <c r="H41" s="834">
        <v>2096.7083846153846</v>
      </c>
      <c r="I41" s="838">
        <f t="shared" si="1"/>
        <v>0.02</v>
      </c>
      <c r="J41" s="838"/>
      <c r="K41" s="838"/>
      <c r="L41" s="838"/>
      <c r="M41" s="834">
        <v>0</v>
      </c>
      <c r="N41" s="838">
        <f t="shared" ref="N41" si="5">ROUND((M41)/1400/100,2)</f>
        <v>0</v>
      </c>
      <c r="O41" s="834"/>
      <c r="P41" s="839"/>
      <c r="R41" s="834"/>
    </row>
    <row r="42" spans="2:18" ht="15.2" customHeight="1">
      <c r="B42" s="828" t="s">
        <v>55</v>
      </c>
      <c r="C42" s="834">
        <v>3060.7063846153846</v>
      </c>
      <c r="D42" s="838">
        <f t="shared" si="0"/>
        <v>0.03</v>
      </c>
      <c r="E42" s="838"/>
      <c r="F42" s="838"/>
      <c r="G42" s="838"/>
      <c r="H42" s="834">
        <v>3275.3941753846157</v>
      </c>
      <c r="I42" s="838">
        <f t="shared" si="1"/>
        <v>0.03</v>
      </c>
      <c r="J42" s="838"/>
      <c r="K42" s="838"/>
      <c r="L42" s="838"/>
      <c r="M42" s="834">
        <f ca="1">+-Report!T69</f>
        <v>3434.0594876923083</v>
      </c>
      <c r="N42" s="838">
        <f t="shared" ca="1" si="2"/>
        <v>0.02</v>
      </c>
      <c r="O42" s="834"/>
      <c r="P42" s="839"/>
      <c r="R42" s="834"/>
    </row>
    <row r="43" spans="2:18" ht="15.2" customHeight="1">
      <c r="B43" s="828" t="s">
        <v>56</v>
      </c>
      <c r="C43" s="834">
        <v>31.549970769230768</v>
      </c>
      <c r="D43" s="838">
        <f t="shared" si="0"/>
        <v>0</v>
      </c>
      <c r="E43" s="838"/>
      <c r="F43" s="838"/>
      <c r="G43" s="838"/>
      <c r="H43" s="834">
        <v>1052.9981476923076</v>
      </c>
      <c r="I43" s="838">
        <f t="shared" si="1"/>
        <v>0.01</v>
      </c>
      <c r="J43" s="838"/>
      <c r="K43" s="838"/>
      <c r="L43" s="838"/>
      <c r="M43" s="834">
        <f ca="1">+-Report!T70</f>
        <v>332.51357076923074</v>
      </c>
      <c r="N43" s="838">
        <f t="shared" ca="1" si="2"/>
        <v>0</v>
      </c>
      <c r="O43" s="834"/>
      <c r="P43" s="839"/>
      <c r="R43" s="834"/>
    </row>
    <row r="44" spans="2:18" ht="15.2" customHeight="1">
      <c r="B44" s="828" t="s">
        <v>28</v>
      </c>
      <c r="C44" s="859">
        <v>0</v>
      </c>
      <c r="D44" s="838">
        <f t="shared" si="0"/>
        <v>0</v>
      </c>
      <c r="E44" s="838"/>
      <c r="F44" s="838"/>
      <c r="G44" s="838"/>
      <c r="H44" s="859">
        <v>0</v>
      </c>
      <c r="I44" s="838">
        <f t="shared" si="1"/>
        <v>0</v>
      </c>
      <c r="J44" s="838"/>
      <c r="K44" s="838"/>
      <c r="L44" s="838"/>
      <c r="M44" s="859">
        <f ca="1">+-Report!T74*0</f>
        <v>0</v>
      </c>
      <c r="N44" s="838">
        <f t="shared" ca="1" si="2"/>
        <v>0</v>
      </c>
      <c r="O44" s="834"/>
      <c r="P44" s="839"/>
      <c r="R44" s="834"/>
    </row>
    <row r="45" spans="2:18" ht="15.2" customHeight="1">
      <c r="B45" s="828" t="s">
        <v>733</v>
      </c>
      <c r="C45" s="859">
        <v>0</v>
      </c>
      <c r="D45" s="838">
        <f t="shared" si="0"/>
        <v>0</v>
      </c>
      <c r="E45" s="838"/>
      <c r="F45" s="838"/>
      <c r="G45" s="838"/>
      <c r="H45" s="859">
        <v>0</v>
      </c>
      <c r="I45" s="838">
        <f t="shared" si="1"/>
        <v>0</v>
      </c>
      <c r="J45" s="838"/>
      <c r="K45" s="838"/>
      <c r="L45" s="838"/>
      <c r="M45" s="872">
        <f ca="1">+-Report!T75</f>
        <v>95323.104253846162</v>
      </c>
      <c r="N45" s="838">
        <f t="shared" ca="1" si="2"/>
        <v>0.68</v>
      </c>
      <c r="O45" s="834"/>
      <c r="P45" s="839"/>
      <c r="R45" s="834"/>
    </row>
    <row r="46" spans="2:18" ht="15.2" customHeight="1">
      <c r="B46" s="828" t="s">
        <v>57</v>
      </c>
      <c r="C46" s="854">
        <v>1068.3906500000003</v>
      </c>
      <c r="D46" s="838">
        <f t="shared" si="0"/>
        <v>0.01</v>
      </c>
      <c r="E46" s="838"/>
      <c r="F46" s="838"/>
      <c r="G46" s="838"/>
      <c r="H46" s="854">
        <v>1155.7747838461537</v>
      </c>
      <c r="I46" s="838">
        <f t="shared" si="1"/>
        <v>0.01</v>
      </c>
      <c r="J46" s="838"/>
      <c r="K46" s="838"/>
      <c r="L46" s="838"/>
      <c r="M46" s="854">
        <f ca="1">+-Report!T76</f>
        <v>1196.6926553846154</v>
      </c>
      <c r="N46" s="838">
        <f t="shared" ca="1" si="2"/>
        <v>0.01</v>
      </c>
      <c r="O46" s="834"/>
      <c r="P46" s="839"/>
      <c r="R46" s="834"/>
    </row>
    <row r="47" spans="2:18" ht="15.2" customHeight="1">
      <c r="B47" s="1"/>
      <c r="C47" s="834">
        <f>SUM(C32:C46)</f>
        <v>16572.949655901288</v>
      </c>
      <c r="D47" s="838"/>
      <c r="E47" s="838"/>
      <c r="F47" s="838"/>
      <c r="G47" s="838"/>
      <c r="H47" s="834">
        <f>SUM(H32:H46)</f>
        <v>22941.091826057575</v>
      </c>
      <c r="I47" s="838"/>
      <c r="J47" s="838"/>
      <c r="K47" s="838"/>
      <c r="L47" s="838"/>
      <c r="M47" s="834">
        <f ca="1">SUM(M32:M46)</f>
        <v>115082.03486675744</v>
      </c>
      <c r="N47" s="838"/>
      <c r="O47" s="834"/>
      <c r="P47" s="839"/>
      <c r="R47" s="834"/>
    </row>
    <row r="48" spans="2:18" ht="15.2" customHeight="1">
      <c r="B48" s="828"/>
      <c r="C48" s="834"/>
      <c r="D48" s="838"/>
      <c r="E48" s="838"/>
      <c r="F48" s="838"/>
      <c r="G48" s="838"/>
      <c r="H48" s="834"/>
      <c r="I48" s="838"/>
      <c r="J48" s="838"/>
      <c r="K48" s="838"/>
      <c r="L48" s="838"/>
      <c r="M48" s="834"/>
      <c r="N48" s="838"/>
      <c r="O48" s="834"/>
      <c r="P48" s="839"/>
      <c r="R48" s="834"/>
    </row>
    <row r="49" spans="1:257" ht="15.2" customHeight="1">
      <c r="A49" s="828"/>
      <c r="B49" s="840"/>
      <c r="C49" s="834"/>
      <c r="D49" s="838"/>
      <c r="E49" s="838"/>
      <c r="F49" s="838"/>
      <c r="G49" s="838"/>
      <c r="H49" s="834"/>
      <c r="I49" s="838"/>
      <c r="J49" s="838"/>
      <c r="K49" s="838"/>
      <c r="L49" s="838"/>
      <c r="M49" s="834"/>
      <c r="N49" s="838"/>
      <c r="O49" s="834"/>
      <c r="P49" s="839"/>
      <c r="R49" s="834"/>
    </row>
    <row r="50" spans="1:257" ht="15.2" customHeight="1">
      <c r="A50" s="828"/>
      <c r="B50" s="831" t="s">
        <v>1133</v>
      </c>
      <c r="C50" s="834"/>
      <c r="D50" s="838"/>
      <c r="E50" s="838"/>
      <c r="F50" s="838"/>
      <c r="G50" s="838"/>
      <c r="H50" s="834"/>
      <c r="I50" s="838"/>
      <c r="J50" s="838"/>
      <c r="K50" s="838"/>
      <c r="L50" s="838"/>
      <c r="M50" s="834"/>
      <c r="N50" s="838"/>
      <c r="O50" s="834"/>
      <c r="P50" s="838"/>
      <c r="Q50" s="834"/>
    </row>
    <row r="51" spans="1:257" ht="15.2" customHeight="1">
      <c r="A51" s="828"/>
      <c r="B51" s="828" t="s">
        <v>80</v>
      </c>
      <c r="C51" s="834">
        <v>-33.47171611050873</v>
      </c>
      <c r="D51" s="838">
        <f t="shared" ref="D51:D59" si="6">ROUND((-C51)/50/100,2)</f>
        <v>0.01</v>
      </c>
      <c r="E51" s="838"/>
      <c r="F51" s="838"/>
      <c r="G51" s="838"/>
      <c r="H51" s="834">
        <v>-31.254105707519564</v>
      </c>
      <c r="I51" s="838">
        <f>ROUND((-H51)/65/100,2)</f>
        <v>0</v>
      </c>
      <c r="J51" s="838"/>
      <c r="K51" s="838"/>
      <c r="L51" s="838"/>
      <c r="M51" s="834">
        <f ca="1">+-Report!V110</f>
        <v>-28.980152780785676</v>
      </c>
      <c r="N51" s="838">
        <f t="shared" ref="N51:N60" ca="1" si="7">ROUND((-M51)/83/100,2)</f>
        <v>0</v>
      </c>
      <c r="O51" s="834"/>
      <c r="P51" s="838"/>
      <c r="Q51" s="834"/>
    </row>
    <row r="52" spans="1:257" ht="15.2" customHeight="1">
      <c r="A52" s="1"/>
      <c r="B52" s="828" t="s">
        <v>86</v>
      </c>
      <c r="C52" s="834">
        <v>502.80144703905319</v>
      </c>
      <c r="D52" s="838">
        <f t="shared" si="6"/>
        <v>-0.1</v>
      </c>
      <c r="E52" s="838"/>
      <c r="F52" s="838"/>
      <c r="G52" s="838"/>
      <c r="H52" s="834">
        <v>158.29872548497175</v>
      </c>
      <c r="I52" s="838">
        <f t="shared" ref="I52:I60" si="8">ROUND((-H52)/65/100,2)</f>
        <v>-0.02</v>
      </c>
      <c r="J52" s="838"/>
      <c r="K52" s="838"/>
      <c r="L52" s="838"/>
      <c r="M52" s="834">
        <f ca="1">+-Report!V111</f>
        <v>435.55689744836917</v>
      </c>
      <c r="N52" s="838">
        <f t="shared" ca="1" si="7"/>
        <v>-0.05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ht="15.2" customHeight="1">
      <c r="A53" s="828"/>
      <c r="B53" s="863" t="s">
        <v>87</v>
      </c>
      <c r="C53" s="859">
        <v>0</v>
      </c>
      <c r="D53" s="864">
        <f t="shared" si="6"/>
        <v>0</v>
      </c>
      <c r="E53" s="864"/>
      <c r="F53" s="864"/>
      <c r="G53" s="864"/>
      <c r="H53" s="859">
        <v>-2099</v>
      </c>
      <c r="I53" s="864">
        <f t="shared" si="8"/>
        <v>0.32</v>
      </c>
      <c r="J53" s="864"/>
      <c r="K53" s="864"/>
      <c r="L53" s="864"/>
      <c r="M53" s="859">
        <f>+-Report!V112</f>
        <v>-2099</v>
      </c>
      <c r="N53" s="864">
        <f t="shared" si="7"/>
        <v>0.25</v>
      </c>
      <c r="O53" s="834"/>
      <c r="P53" s="838"/>
    </row>
    <row r="54" spans="1:257" ht="15.2" customHeight="1">
      <c r="A54" s="828"/>
      <c r="B54" s="828" t="s">
        <v>72</v>
      </c>
      <c r="C54" s="834">
        <v>-13.145924412457202</v>
      </c>
      <c r="D54" s="838">
        <f t="shared" si="6"/>
        <v>0</v>
      </c>
      <c r="E54" s="838"/>
      <c r="F54" s="838"/>
      <c r="G54" s="838"/>
      <c r="H54" s="834">
        <v>-12.244006580537901</v>
      </c>
      <c r="I54" s="838">
        <f t="shared" si="8"/>
        <v>0</v>
      </c>
      <c r="J54" s="838"/>
      <c r="K54" s="838"/>
      <c r="L54" s="838"/>
      <c r="M54" s="834">
        <f ca="1">+-Report!V114</f>
        <v>-13.437899999999999</v>
      </c>
      <c r="N54" s="838">
        <f t="shared" ca="1" si="7"/>
        <v>0</v>
      </c>
      <c r="O54" s="834"/>
      <c r="P54" s="838"/>
    </row>
    <row r="55" spans="1:257" ht="15.2" customHeight="1">
      <c r="A55" s="828"/>
      <c r="B55" s="828" t="s">
        <v>73</v>
      </c>
      <c r="C55" s="834">
        <v>-53.025617865037987</v>
      </c>
      <c r="D55" s="838">
        <f t="shared" si="6"/>
        <v>0.01</v>
      </c>
      <c r="E55" s="838"/>
      <c r="F55" s="838"/>
      <c r="G55" s="838"/>
      <c r="H55" s="834">
        <v>-51.972319863137997</v>
      </c>
      <c r="I55" s="838">
        <f t="shared" si="8"/>
        <v>0.01</v>
      </c>
      <c r="J55" s="838"/>
      <c r="K55" s="838"/>
      <c r="L55" s="838"/>
      <c r="M55" s="834">
        <f ca="1">+-Report!V115</f>
        <v>-59.108476990500002</v>
      </c>
      <c r="N55" s="838">
        <f t="shared" ca="1" si="7"/>
        <v>0.01</v>
      </c>
      <c r="O55" s="834"/>
      <c r="P55" s="838"/>
    </row>
    <row r="56" spans="1:257" ht="15.2" customHeight="1">
      <c r="A56" s="828"/>
      <c r="B56" s="828" t="s">
        <v>64</v>
      </c>
      <c r="C56" s="834">
        <v>133.56389279133145</v>
      </c>
      <c r="D56" s="838">
        <f t="shared" si="6"/>
        <v>-0.03</v>
      </c>
      <c r="E56" s="838"/>
      <c r="F56" s="838"/>
      <c r="G56" s="838"/>
      <c r="H56" s="834">
        <v>86.180714202553645</v>
      </c>
      <c r="I56" s="838">
        <f t="shared" si="8"/>
        <v>-0.01</v>
      </c>
      <c r="J56" s="838"/>
      <c r="K56" s="838"/>
      <c r="L56" s="838"/>
      <c r="M56" s="834">
        <v>0</v>
      </c>
      <c r="N56" s="838">
        <f t="shared" si="7"/>
        <v>0</v>
      </c>
      <c r="O56" s="834"/>
      <c r="P56" s="838"/>
    </row>
    <row r="57" spans="1:257" ht="15.2" customHeight="1">
      <c r="A57" s="828"/>
      <c r="B57" s="828" t="s">
        <v>75</v>
      </c>
      <c r="C57" s="834">
        <v>-25.327401659350883</v>
      </c>
      <c r="D57" s="838">
        <f t="shared" si="6"/>
        <v>0.01</v>
      </c>
      <c r="E57" s="838"/>
      <c r="F57" s="838"/>
      <c r="G57" s="838"/>
      <c r="H57" s="834">
        <v>-29.218590406528659</v>
      </c>
      <c r="I57" s="838">
        <f t="shared" si="8"/>
        <v>0</v>
      </c>
      <c r="J57" s="838"/>
      <c r="K57" s="838"/>
      <c r="L57" s="838"/>
      <c r="M57" s="834">
        <f ca="1">+-Report!V117</f>
        <v>-28.703727937785594</v>
      </c>
      <c r="N57" s="838">
        <f t="shared" ca="1" si="7"/>
        <v>0</v>
      </c>
      <c r="O57" s="834"/>
      <c r="P57" s="838"/>
    </row>
    <row r="58" spans="1:257" ht="15.2" customHeight="1">
      <c r="A58" s="828"/>
      <c r="B58" s="828" t="s">
        <v>76</v>
      </c>
      <c r="C58" s="834">
        <v>-3.7075384398766085</v>
      </c>
      <c r="D58" s="838">
        <f t="shared" si="6"/>
        <v>0</v>
      </c>
      <c r="E58" s="838"/>
      <c r="F58" s="838"/>
      <c r="G58" s="838"/>
      <c r="H58" s="834">
        <v>-4.1375112064257902</v>
      </c>
      <c r="I58" s="838">
        <f t="shared" si="8"/>
        <v>0</v>
      </c>
      <c r="J58" s="838"/>
      <c r="K58" s="838"/>
      <c r="L58" s="838"/>
      <c r="M58" s="834">
        <f ca="1">+-Report!V118</f>
        <v>-4.4270182972260006</v>
      </c>
      <c r="N58" s="838">
        <f t="shared" ca="1" si="7"/>
        <v>0</v>
      </c>
      <c r="O58" s="834"/>
      <c r="P58" s="838"/>
    </row>
    <row r="59" spans="1:257" ht="15.2" customHeight="1">
      <c r="A59" s="828"/>
      <c r="B59" s="828" t="s">
        <v>65</v>
      </c>
      <c r="C59" s="834">
        <v>80.415622883790007</v>
      </c>
      <c r="D59" s="838">
        <f t="shared" si="6"/>
        <v>-0.02</v>
      </c>
      <c r="E59" s="838"/>
      <c r="F59" s="838"/>
      <c r="G59" s="838"/>
      <c r="H59" s="834">
        <v>81.917834909058001</v>
      </c>
      <c r="I59" s="838">
        <f t="shared" si="8"/>
        <v>-0.01</v>
      </c>
      <c r="J59" s="838"/>
      <c r="K59" s="838"/>
      <c r="L59" s="838"/>
      <c r="M59" s="854">
        <f ca="1">+-Report!V121</f>
        <v>87.940603800000005</v>
      </c>
      <c r="N59" s="838">
        <f t="shared" ca="1" si="7"/>
        <v>-0.01</v>
      </c>
      <c r="O59" s="834"/>
      <c r="P59" s="838"/>
    </row>
    <row r="60" spans="1:257" ht="15.2" customHeight="1">
      <c r="A60" s="828"/>
      <c r="B60" s="828" t="s">
        <v>67</v>
      </c>
      <c r="C60" s="860">
        <v>0</v>
      </c>
      <c r="D60" s="838">
        <f t="shared" ref="D60" si="9">ROUND((-C60)/65/100,2)</f>
        <v>0</v>
      </c>
      <c r="E60" s="838"/>
      <c r="F60" s="838"/>
      <c r="G60" s="838"/>
      <c r="H60" s="860">
        <v>0</v>
      </c>
      <c r="I60" s="838">
        <f t="shared" si="8"/>
        <v>0</v>
      </c>
      <c r="J60" s="838"/>
      <c r="K60" s="838"/>
      <c r="L60" s="838"/>
      <c r="M60" s="860">
        <f ca="1">+-Report!V124*0</f>
        <v>0</v>
      </c>
      <c r="N60" s="838">
        <f t="shared" ca="1" si="7"/>
        <v>0</v>
      </c>
      <c r="O60" s="834"/>
      <c r="P60" s="838"/>
    </row>
    <row r="61" spans="1:257" ht="15.2" customHeight="1">
      <c r="A61" s="828"/>
      <c r="B61" s="828"/>
      <c r="C61" s="834">
        <f>SUM(C51:C60)</f>
        <v>588.10276422694324</v>
      </c>
      <c r="D61" s="838"/>
      <c r="E61" s="838"/>
      <c r="F61" s="838"/>
      <c r="G61" s="838"/>
      <c r="H61" s="834">
        <f>SUM(H51:H60)</f>
        <v>-1901.4292591675664</v>
      </c>
      <c r="I61" s="838"/>
      <c r="J61" s="838"/>
      <c r="K61" s="838"/>
      <c r="L61" s="838"/>
      <c r="M61" s="834">
        <f ca="1">SUM(M51:M60)</f>
        <v>-1710.1597747579278</v>
      </c>
      <c r="N61" s="838"/>
      <c r="O61" s="834"/>
      <c r="P61" s="838"/>
    </row>
    <row r="62" spans="1:257" ht="15.6" customHeight="1">
      <c r="A62" s="828"/>
      <c r="B62" s="828"/>
      <c r="C62" s="834"/>
      <c r="D62" s="838"/>
      <c r="E62" s="838"/>
      <c r="F62" s="838"/>
      <c r="G62" s="838"/>
      <c r="H62" s="834"/>
      <c r="I62" s="838"/>
      <c r="J62" s="838"/>
      <c r="K62" s="838"/>
      <c r="L62" s="838"/>
      <c r="M62" s="834"/>
      <c r="N62" s="838"/>
    </row>
    <row r="63" spans="1:257" ht="15.2" customHeight="1">
      <c r="A63" s="828"/>
      <c r="B63" s="828"/>
      <c r="C63" s="834"/>
      <c r="D63" s="838"/>
      <c r="E63" s="838"/>
      <c r="F63" s="838"/>
      <c r="G63" s="838"/>
      <c r="H63" s="834"/>
      <c r="I63" s="838"/>
      <c r="J63" s="838"/>
      <c r="K63" s="838"/>
      <c r="L63" s="838"/>
      <c r="M63" s="834"/>
      <c r="N63" s="838"/>
      <c r="O63" s="828"/>
    </row>
    <row r="64" spans="1:257" ht="15.2" customHeight="1">
      <c r="A64" s="828"/>
      <c r="B64" s="841" t="s">
        <v>1135</v>
      </c>
      <c r="C64" s="834"/>
      <c r="D64" s="838">
        <f>D66*100-SUM(D17:D60)</f>
        <v>0.82239666839503811</v>
      </c>
      <c r="E64" s="838"/>
      <c r="F64" s="838"/>
      <c r="G64" s="838"/>
      <c r="H64" s="834"/>
      <c r="I64" s="838">
        <f>I66*100-SUM(I17:I60)</f>
        <v>-6.2913327956845358E-2</v>
      </c>
      <c r="J64" s="838"/>
      <c r="K64" s="838"/>
      <c r="L64" s="838"/>
      <c r="M64" s="834"/>
      <c r="N64" s="838">
        <f ca="1">N66*100-SUM(N17:N60)</f>
        <v>-1.1503358543453399</v>
      </c>
      <c r="O64" s="842"/>
      <c r="P64" s="837"/>
    </row>
    <row r="65" spans="1:16" ht="14.25">
      <c r="A65" s="828"/>
      <c r="B65" s="828"/>
      <c r="O65" s="828"/>
    </row>
    <row r="66" spans="1:16" ht="14.25">
      <c r="A66" s="828" t="s">
        <v>1136</v>
      </c>
      <c r="B66" s="828"/>
      <c r="D66" s="853">
        <f>+D70-D15</f>
        <v>-1.3304033316049638E-2</v>
      </c>
      <c r="E66" s="862"/>
      <c r="F66" s="862"/>
      <c r="G66" s="862"/>
      <c r="I66" s="853">
        <f>+I70-I15</f>
        <v>-1.4451332795684529E-3</v>
      </c>
      <c r="J66" s="862"/>
      <c r="K66" s="862"/>
      <c r="L66" s="862"/>
      <c r="N66" s="853">
        <f ca="1">+N70-N15</f>
        <v>-1.7202358543453394E-2</v>
      </c>
      <c r="O66" s="842"/>
    </row>
    <row r="67" spans="1:16" ht="14.25">
      <c r="A67" s="828"/>
      <c r="B67" s="828"/>
      <c r="D67" s="838"/>
      <c r="E67" s="838"/>
      <c r="F67" s="838"/>
      <c r="G67" s="838"/>
      <c r="I67" s="838"/>
      <c r="J67" s="838"/>
      <c r="K67" s="838"/>
      <c r="L67" s="838"/>
      <c r="N67" s="838"/>
      <c r="O67" s="828"/>
    </row>
    <row r="68" spans="1:16" ht="14.25">
      <c r="A68" s="828"/>
      <c r="B68" s="828"/>
      <c r="C68" s="834"/>
      <c r="H68" s="834"/>
      <c r="I68" s="547">
        <f>SUM(I15:I64)</f>
        <v>-4.1968194677276811E-2</v>
      </c>
      <c r="M68" s="834"/>
      <c r="O68" s="828"/>
    </row>
    <row r="69" spans="1:16" ht="14.25">
      <c r="A69" s="828"/>
      <c r="B69" s="828"/>
      <c r="C69" s="834"/>
      <c r="H69" s="834"/>
      <c r="M69" s="834"/>
      <c r="O69" s="828"/>
    </row>
    <row r="70" spans="1:16" ht="15">
      <c r="A70" s="841" t="s">
        <v>1137</v>
      </c>
      <c r="B70" s="841"/>
      <c r="C70" s="28"/>
      <c r="D70" s="851">
        <v>7.3700000000000002E-2</v>
      </c>
      <c r="E70" s="861"/>
      <c r="F70" s="861"/>
      <c r="G70" s="861"/>
      <c r="H70" s="28"/>
      <c r="I70" s="851">
        <v>0.1011</v>
      </c>
      <c r="J70" s="861"/>
      <c r="K70" s="861"/>
      <c r="L70" s="861"/>
      <c r="M70" s="28"/>
      <c r="N70" s="852">
        <f ca="1">+'COMP Act to Prior'!D25</f>
        <v>7.8100000000000003E-2</v>
      </c>
      <c r="O70" s="869"/>
      <c r="P70" s="843"/>
    </row>
    <row r="71" spans="1:16" s="828" customFormat="1" ht="14.25">
      <c r="C71" s="375"/>
      <c r="D71" s="844" t="s">
        <v>745</v>
      </c>
      <c r="E71" s="844"/>
      <c r="F71" s="844"/>
      <c r="G71" s="844"/>
      <c r="H71" s="375"/>
      <c r="I71" s="844" t="s">
        <v>745</v>
      </c>
      <c r="J71" s="844"/>
      <c r="K71" s="844"/>
      <c r="L71" s="844"/>
      <c r="M71" s="375"/>
      <c r="N71" s="844" t="s">
        <v>745</v>
      </c>
    </row>
    <row r="72" spans="1:16" s="828" customFormat="1" ht="14.25">
      <c r="A72" s="845"/>
      <c r="C72" s="834"/>
      <c r="D72" s="868">
        <f>SUM(D15:D64)</f>
        <v>-1.243399298288913</v>
      </c>
      <c r="E72" s="838"/>
      <c r="F72" s="838"/>
      <c r="G72" s="838"/>
      <c r="H72" s="834"/>
      <c r="I72" s="868">
        <f>SUM(I15:I64)</f>
        <v>-4.1968194677276811E-2</v>
      </c>
      <c r="J72" s="838"/>
      <c r="K72" s="838"/>
      <c r="L72" s="838"/>
      <c r="M72" s="834"/>
      <c r="N72" s="868"/>
      <c r="O72" s="846"/>
    </row>
    <row r="73" spans="1:16" s="828" customFormat="1" ht="14.25">
      <c r="A73" s="845"/>
      <c r="C73" s="834"/>
      <c r="D73" s="838"/>
      <c r="E73" s="838"/>
      <c r="F73" s="838"/>
      <c r="G73" s="838"/>
      <c r="H73" s="834"/>
      <c r="I73" s="838"/>
      <c r="J73" s="838"/>
      <c r="K73" s="838"/>
      <c r="L73" s="838"/>
      <c r="M73" s="834"/>
      <c r="N73" s="838"/>
      <c r="O73" s="846"/>
    </row>
    <row r="74" spans="1:16" s="828" customFormat="1" ht="14.25">
      <c r="A74" s="845"/>
      <c r="C74" s="834"/>
      <c r="D74" s="838"/>
      <c r="E74" s="838"/>
      <c r="F74" s="838"/>
      <c r="G74" s="838"/>
      <c r="H74" s="834"/>
      <c r="I74" s="838"/>
      <c r="J74" s="838"/>
      <c r="K74" s="838"/>
      <c r="L74" s="838"/>
      <c r="M74" s="834"/>
      <c r="N74" s="838"/>
      <c r="O74" s="846"/>
    </row>
    <row r="75" spans="1:16">
      <c r="C75" s="847"/>
      <c r="D75" s="848"/>
      <c r="E75" s="848"/>
      <c r="F75" s="848"/>
      <c r="G75" s="848"/>
      <c r="H75" s="847"/>
      <c r="I75" s="848"/>
      <c r="J75" s="848"/>
      <c r="K75" s="848"/>
      <c r="L75" s="848"/>
      <c r="M75" s="847"/>
      <c r="N75" s="848"/>
    </row>
    <row r="76" spans="1:16" ht="14.25">
      <c r="A76" s="828" t="s">
        <v>1138</v>
      </c>
      <c r="C76" s="849">
        <v>56.112032993167858</v>
      </c>
      <c r="D76" s="849"/>
      <c r="E76" s="849"/>
      <c r="F76" s="849"/>
      <c r="G76" s="849"/>
      <c r="H76" s="849">
        <v>56.112032993167858</v>
      </c>
      <c r="I76" s="849"/>
      <c r="J76" s="849"/>
      <c r="K76" s="849"/>
      <c r="L76" s="849"/>
      <c r="M76" s="849">
        <v>56.112032993167858</v>
      </c>
      <c r="N76" s="849"/>
      <c r="O76" s="838"/>
    </row>
    <row r="77" spans="1:16" ht="14.25">
      <c r="A77" s="828" t="s">
        <v>1139</v>
      </c>
      <c r="B77" s="828"/>
      <c r="C77" s="849">
        <v>56.156388080097344</v>
      </c>
      <c r="D77" s="849"/>
      <c r="E77" s="849"/>
      <c r="F77" s="849"/>
      <c r="G77" s="849"/>
      <c r="H77" s="849">
        <v>56.156388080097344</v>
      </c>
      <c r="I77" s="849"/>
      <c r="J77" s="849"/>
      <c r="K77" s="849"/>
      <c r="L77" s="849"/>
      <c r="M77" s="849">
        <v>56.156388080097344</v>
      </c>
      <c r="N77" s="849"/>
      <c r="O77" s="838"/>
    </row>
    <row r="78" spans="1:16" ht="15">
      <c r="A78" s="828" t="s">
        <v>1140</v>
      </c>
      <c r="B78" s="831"/>
      <c r="C78" s="849">
        <v>42.059999999999995</v>
      </c>
      <c r="D78" s="849"/>
      <c r="E78" s="849"/>
      <c r="F78" s="849"/>
      <c r="G78" s="849"/>
      <c r="H78" s="849">
        <v>42.059999999999995</v>
      </c>
      <c r="I78" s="849"/>
      <c r="J78" s="849"/>
      <c r="K78" s="849"/>
      <c r="L78" s="849"/>
      <c r="M78" s="849">
        <v>42.059999999999995</v>
      </c>
      <c r="N78" s="849"/>
      <c r="O78" s="838"/>
    </row>
    <row r="79" spans="1:16" ht="14.25">
      <c r="B79" s="828"/>
      <c r="C79" s="847"/>
      <c r="D79" s="848"/>
      <c r="E79" s="848"/>
      <c r="F79" s="848"/>
      <c r="G79" s="848"/>
      <c r="H79" s="847"/>
      <c r="I79" s="848"/>
      <c r="J79" s="848"/>
      <c r="K79" s="848"/>
      <c r="L79" s="848"/>
      <c r="M79" s="847"/>
      <c r="N79" s="848"/>
    </row>
    <row r="81" spans="1:13" ht="14.25">
      <c r="B81" s="828"/>
    </row>
    <row r="86" spans="1:13" ht="14.25">
      <c r="A86" s="828"/>
      <c r="B86" s="828"/>
      <c r="C86" s="849"/>
      <c r="H86" s="849"/>
      <c r="M86" s="849"/>
    </row>
    <row r="87" spans="1:13" ht="15">
      <c r="A87" s="828"/>
      <c r="B87" s="831"/>
      <c r="C87" s="849"/>
      <c r="H87" s="849"/>
      <c r="M87" s="849"/>
    </row>
    <row r="107" spans="3:13">
      <c r="C107" s="850"/>
      <c r="H107" s="850"/>
      <c r="M107" s="850"/>
    </row>
    <row r="114" spans="1:1">
      <c r="A114" s="599"/>
    </row>
    <row r="115" spans="1:1">
      <c r="A115" s="599"/>
    </row>
    <row r="117" spans="1:1">
      <c r="A117" s="599"/>
    </row>
    <row r="119" spans="1:1">
      <c r="A119" s="599"/>
    </row>
  </sheetData>
  <mergeCells count="2">
    <mergeCell ref="A1:N1"/>
    <mergeCell ref="A2:N2"/>
  </mergeCells>
  <hyperlinks>
    <hyperlink ref="IT65510" location="'SURV REPORT'!GV33" display="'SURV REPORT'!GV33"/>
    <hyperlink ref="IT65509" location="'SURV REPORT'!GV33" display="'SURV REPORT'!GV33"/>
    <hyperlink ref="IT65508" location="WC!c333" display="WC!c333"/>
    <hyperlink ref="IQ65510:IW65510" location="'SURV REPORT'!GV33" display="'SURV REPORT'!GV33"/>
    <hyperlink ref="IQ65509:IW65509" location="'SURV REPORT'!GV33" display="'SURV REPORT'!GV33"/>
    <hyperlink ref="IQ65508:IW65508" location="WC!c333" display="WC!c333"/>
    <hyperlink ref="IT65511" location="'SURV REPORT'!GV33" display="'SURV REPORT'!GV33"/>
    <hyperlink ref="IQ65510" location="'SURV REPORT'!GV33" display="'SURV REPORT'!GV33"/>
    <hyperlink ref="IQ65509" location="'SURV REPORT'!GV33" display="'SURV REPORT'!GV33"/>
    <hyperlink ref="B65511" location="WC!c333" display="WC!c333"/>
    <hyperlink ref="B65510" location="'SURV REPORT'!GV33" display="'SURV REPORT'!GV33"/>
    <hyperlink ref="IQ65508" location="WC!c333" display="WC!c333"/>
    <hyperlink ref="B65509" location="WC!c333" display="WC!c333"/>
    <hyperlink ref="IN65510:IQ65510" location="'SURV REPORT'!GV33" display="'SURV REPORT'!GV33"/>
    <hyperlink ref="IN65509:IQ65509" location="'SURV REPORT'!GV33" display="'SURV REPORT'!GV33"/>
    <hyperlink ref="IN65508:IQ65508" location="WC!c333" display="WC!c333"/>
    <hyperlink ref="B65512" location="'SURV REPORT'!GV33" display="'SURV REPORT'!GV33"/>
    <hyperlink ref="IN65510" location="'SURV REPORT'!GV33" display="'SURV REPORT'!GV33"/>
    <hyperlink ref="IN65509" location="'SURV REPORT'!GV33" display="'SURV REPORT'!GV33"/>
    <hyperlink ref="IN65508" location="WC!c333" display="WC!c333"/>
    <hyperlink ref="IK65510:IN65510" location="'SURV REPORT'!GV33" display="'SURV REPORT'!GV33"/>
    <hyperlink ref="IK65509:IN65509" location="'SURV REPORT'!GV33" display="'SURV REPORT'!GV33"/>
    <hyperlink ref="IK65508:IN65508" location="WC!c333" display="WC!c333"/>
  </hyperlinks>
  <printOptions horizontalCentered="1"/>
  <pageMargins left="0.5" right="0.5" top="0.5" bottom="0.5" header="0.5" footer="0.25"/>
  <pageSetup scale="63" orientation="portrait" r:id="rId1"/>
  <headerFooter>
    <oddFooter>&amp;Z&amp;F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FF00"/>
  </sheetPr>
  <dimension ref="A2:G18"/>
  <sheetViews>
    <sheetView workbookViewId="0">
      <selection activeCell="I31" sqref="I31"/>
    </sheetView>
  </sheetViews>
  <sheetFormatPr defaultRowHeight="12.75"/>
  <cols>
    <col min="1" max="1" width="14.28515625" bestFit="1" customWidth="1"/>
    <col min="2" max="2" width="39.28515625" bestFit="1" customWidth="1"/>
    <col min="3" max="3" width="2.28515625" customWidth="1"/>
    <col min="4" max="7" width="11.28515625" customWidth="1"/>
  </cols>
  <sheetData>
    <row r="2" spans="1:7" ht="15">
      <c r="B2" s="375"/>
      <c r="C2" s="828"/>
      <c r="D2" s="899">
        <v>2019</v>
      </c>
      <c r="E2" s="899">
        <v>2020</v>
      </c>
      <c r="F2" s="899" t="s">
        <v>1165</v>
      </c>
      <c r="G2" s="899" t="s">
        <v>1166</v>
      </c>
    </row>
    <row r="3" spans="1:7">
      <c r="A3" s="375"/>
      <c r="B3" s="375" t="s">
        <v>1122</v>
      </c>
      <c r="C3" s="375"/>
      <c r="D3" s="546">
        <f>+'Market ROE Working Tab'!D13</f>
        <v>54029.133070000011</v>
      </c>
      <c r="E3" s="546">
        <f>+'Market ROE Working Tab'!I13</f>
        <v>51915.389260000069</v>
      </c>
      <c r="F3" s="546">
        <f>+'Market ROE Working Tab'!N13</f>
        <v>74104.479928044238</v>
      </c>
      <c r="G3" s="546">
        <f ca="1">+'Market ROE Working Tab'!S13</f>
        <v>84703.250428644693</v>
      </c>
    </row>
    <row r="4" spans="1:7">
      <c r="A4" s="375"/>
      <c r="B4" s="375" t="s">
        <v>1123</v>
      </c>
      <c r="C4" s="375"/>
      <c r="D4" s="833">
        <f>+'Market ROE Working Tab'!D14</f>
        <v>483757.39837999997</v>
      </c>
      <c r="E4" s="833">
        <f>+'Market ROE Working Tab'!I14</f>
        <v>596700.94915500004</v>
      </c>
      <c r="F4" s="833">
        <f>+'Market ROE Working Tab'!N14</f>
        <v>722652.33422646637</v>
      </c>
      <c r="G4" s="833">
        <f>+'Market ROE Working Tab'!S14</f>
        <v>1061339.2444393225</v>
      </c>
    </row>
    <row r="5" spans="1:7" ht="14.25">
      <c r="A5" s="828" t="s">
        <v>1120</v>
      </c>
      <c r="B5" s="828"/>
      <c r="C5" s="834"/>
      <c r="D5" s="851">
        <f>+D3/D4</f>
        <v>0.11168642226647493</v>
      </c>
      <c r="E5" s="851">
        <f>+E3/E4</f>
        <v>8.7004033316049639E-2</v>
      </c>
      <c r="F5" s="851">
        <f>+F3/F4</f>
        <v>0.10254513327956845</v>
      </c>
      <c r="G5" s="851">
        <f ca="1">+G3/G4</f>
        <v>7.980789448089351E-2</v>
      </c>
    </row>
    <row r="7" spans="1:7">
      <c r="B7" t="s">
        <v>1124</v>
      </c>
      <c r="D7" s="900">
        <f>+'Market ROE Working Tab'!D17</f>
        <v>0.01</v>
      </c>
      <c r="E7" s="900">
        <f>+'Market ROE Working Tab'!I17</f>
        <v>-0.11</v>
      </c>
      <c r="F7" s="900">
        <f>+'Market ROE Working Tab'!N17</f>
        <v>0.02</v>
      </c>
      <c r="G7" s="900">
        <f ca="1">+'Market ROE Working Tab'!S17</f>
        <v>-0.09</v>
      </c>
    </row>
    <row r="8" spans="1:7">
      <c r="B8" t="s">
        <v>1127</v>
      </c>
      <c r="D8" s="900">
        <f>+'Market ROE Working Tab'!D21</f>
        <v>0.06</v>
      </c>
      <c r="E8" s="900">
        <f>+'Market ROE Working Tab'!I21</f>
        <v>-0.33</v>
      </c>
      <c r="F8" s="900">
        <f>+'Market ROE Working Tab'!N21</f>
        <v>0</v>
      </c>
      <c r="G8" s="900">
        <f ca="1">+'Market ROE Working Tab'!S21</f>
        <v>0</v>
      </c>
    </row>
    <row r="9" spans="1:7">
      <c r="B9" t="s">
        <v>1129</v>
      </c>
      <c r="D9" s="900">
        <f>+'Market ROE Working Tab'!D26</f>
        <v>-0.84</v>
      </c>
      <c r="E9" s="900">
        <f>+'Market ROE Working Tab'!I26</f>
        <v>-0.66</v>
      </c>
      <c r="F9" s="900">
        <f>+'Market ROE Working Tab'!N26</f>
        <v>-0.56999999999999995</v>
      </c>
      <c r="G9" s="900">
        <f ca="1">+'Market ROE Working Tab'!S26</f>
        <v>-0.46</v>
      </c>
    </row>
    <row r="10" spans="1:7">
      <c r="B10" t="s">
        <v>1131</v>
      </c>
      <c r="D10" s="900">
        <f>+'Market ROE Working Tab'!D31</f>
        <v>-0.29154264137496305</v>
      </c>
      <c r="E10" s="900">
        <f>+'Market ROE Working Tab'!I31</f>
        <v>-0.10927262755539013</v>
      </c>
      <c r="F10" s="900">
        <f>+'Market ROE Working Tab'!N31</f>
        <v>-8.9554073670169987E-2</v>
      </c>
      <c r="G10" s="900">
        <f ca="1">+'Market ROE Working Tab'!S31</f>
        <v>9.3252481583017133E-2</v>
      </c>
    </row>
    <row r="11" spans="1:7">
      <c r="B11" t="s">
        <v>86</v>
      </c>
      <c r="D11" s="900">
        <f>+'Market ROE Working Tab'!D55</f>
        <v>-0.1</v>
      </c>
      <c r="E11" s="900">
        <f>+'Market ROE Working Tab'!I55</f>
        <v>-0.1</v>
      </c>
      <c r="F11" s="900">
        <f>+'Market ROE Working Tab'!N55</f>
        <v>-0.02</v>
      </c>
      <c r="G11" s="900">
        <f ca="1">+'Market ROE Working Tab'!S55</f>
        <v>-0.05</v>
      </c>
    </row>
    <row r="12" spans="1:7">
      <c r="B12" t="s">
        <v>87</v>
      </c>
      <c r="D12" s="900">
        <f>+'Market ROE Working Tab'!D56</f>
        <v>0</v>
      </c>
      <c r="E12" s="900">
        <f>+'Market ROE Working Tab'!I56</f>
        <v>0</v>
      </c>
      <c r="F12" s="900">
        <f>+'Market ROE Working Tab'!N56</f>
        <v>0.32</v>
      </c>
      <c r="G12" s="900">
        <f ca="1">+'Market ROE Working Tab'!S56</f>
        <v>0.25</v>
      </c>
    </row>
    <row r="13" spans="1:7">
      <c r="B13" t="s">
        <v>1134</v>
      </c>
      <c r="D13" s="900">
        <f>+'Market ROE Working Tab'!D64</f>
        <v>-0.5</v>
      </c>
      <c r="E13" s="900">
        <f>+'Market ROE Working Tab'!I64</f>
        <v>-0.21</v>
      </c>
      <c r="F13" s="900">
        <f>+'Market ROE Working Tab'!N64</f>
        <v>0.01</v>
      </c>
      <c r="G13" s="900">
        <f ca="1">+'Market ROE Working Tab'!S64</f>
        <v>-0.06</v>
      </c>
    </row>
    <row r="14" spans="1:7">
      <c r="B14" s="375" t="s">
        <v>512</v>
      </c>
      <c r="D14" s="900">
        <f>+D18*100-SUM(D7:D13)</f>
        <v>0.49290041472747048</v>
      </c>
      <c r="E14" s="900">
        <f>+E18*100-SUM(E7:E13)</f>
        <v>0.18886929595042656</v>
      </c>
      <c r="F14" s="900">
        <f>+F18*100-SUM(F7:F13)</f>
        <v>0.18504074571332463</v>
      </c>
      <c r="G14" s="900">
        <f ca="1">+G18*100-SUM(G7:G13)</f>
        <v>0.14595807032763225</v>
      </c>
    </row>
    <row r="16" spans="1:7">
      <c r="A16" s="375" t="s">
        <v>1167</v>
      </c>
      <c r="D16" s="425">
        <f>+'Market ROE Working Tab'!D74</f>
        <v>0.1</v>
      </c>
      <c r="E16" s="425">
        <f>+'Market ROE Working Tab'!I74</f>
        <v>7.3700000000000002E-2</v>
      </c>
      <c r="F16" s="425">
        <f>+'Market ROE Working Tab'!N74</f>
        <v>0.1011</v>
      </c>
      <c r="G16" s="425">
        <f ca="1">+'Market ROE Working Tab'!S74</f>
        <v>7.8100000000000003E-2</v>
      </c>
    </row>
    <row r="18" spans="1:7">
      <c r="A18" s="375" t="s">
        <v>1168</v>
      </c>
      <c r="D18" s="425">
        <f>+D16-D5</f>
        <v>-1.1686422266474927E-2</v>
      </c>
      <c r="E18" s="425">
        <f>+E16-E5</f>
        <v>-1.3304033316049638E-2</v>
      </c>
      <c r="F18" s="425">
        <f>+F16-F5</f>
        <v>-1.4451332795684529E-3</v>
      </c>
      <c r="G18" s="425">
        <f ca="1">+G16-G5</f>
        <v>-1.707894480893507E-3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2060"/>
    <pageSetUpPr fitToPage="1"/>
  </sheetPr>
  <dimension ref="A1:CB41"/>
  <sheetViews>
    <sheetView zoomScale="85" zoomScaleNormal="85" workbookViewId="0">
      <pane xSplit="62" ySplit="4" topLeftCell="BT5" activePane="bottomRight" state="frozen"/>
      <selection pane="topRight" activeCell="BK1" sqref="BK1"/>
      <selection pane="bottomLeft" activeCell="A5" sqref="A5"/>
      <selection pane="bottomRight" activeCell="CA29" sqref="CA29"/>
    </sheetView>
  </sheetViews>
  <sheetFormatPr defaultRowHeight="12.75" outlineLevelCol="1"/>
  <cols>
    <col min="1" max="1" width="34.28515625" bestFit="1" customWidth="1"/>
    <col min="2" max="2" width="15.85546875" bestFit="1" customWidth="1"/>
    <col min="3" max="3" width="16.85546875" hidden="1" customWidth="1"/>
    <col min="4" max="5" width="17.42578125" hidden="1" customWidth="1"/>
    <col min="6" max="6" width="16.85546875" hidden="1" customWidth="1"/>
    <col min="7" max="7" width="17.85546875" hidden="1" customWidth="1"/>
    <col min="8" max="9" width="17.42578125" hidden="1" customWidth="1"/>
    <col min="10" max="10" width="16.85546875" hidden="1" customWidth="1"/>
    <col min="11" max="12" width="17.42578125" hidden="1" customWidth="1"/>
    <col min="13" max="13" width="17.85546875" hidden="1" customWidth="1"/>
    <col min="14" max="14" width="16.85546875" hidden="1" customWidth="1"/>
    <col min="15" max="16" width="17.85546875" hidden="1" customWidth="1"/>
    <col min="17" max="17" width="17.42578125" hidden="1" customWidth="1"/>
    <col min="18" max="19" width="17.85546875" hidden="1" customWidth="1"/>
    <col min="20" max="20" width="16.85546875" hidden="1" customWidth="1"/>
    <col min="21" max="21" width="17.42578125" hidden="1" customWidth="1"/>
    <col min="22" max="23" width="17.85546875" hidden="1" customWidth="1"/>
    <col min="24" max="24" width="17.42578125" hidden="1" customWidth="1"/>
    <col min="25" max="25" width="16.85546875" hidden="1" customWidth="1"/>
    <col min="26" max="26" width="17.85546875" hidden="1" customWidth="1"/>
    <col min="27" max="28" width="17.42578125" hidden="1" customWidth="1"/>
    <col min="29" max="30" width="17.85546875" hidden="1" customWidth="1"/>
    <col min="31" max="31" width="17.42578125" hidden="1" customWidth="1"/>
    <col min="32" max="33" width="17.85546875" hidden="1" customWidth="1"/>
    <col min="34" max="34" width="16.85546875" hidden="1" customWidth="1"/>
    <col min="35" max="35" width="17.85546875" hidden="1" customWidth="1"/>
    <col min="36" max="36" width="17.42578125" hidden="1" customWidth="1"/>
    <col min="37" max="39" width="17.85546875" hidden="1" customWidth="1"/>
    <col min="40" max="41" width="16.85546875" hidden="1" customWidth="1"/>
    <col min="42" max="45" width="17.85546875" hidden="1" customWidth="1"/>
    <col min="46" max="47" width="17.42578125" hidden="1" customWidth="1"/>
    <col min="48" max="48" width="17.85546875" hidden="1" customWidth="1"/>
    <col min="49" max="50" width="17.42578125" hidden="1" customWidth="1"/>
    <col min="51" max="51" width="15.42578125" hidden="1" customWidth="1"/>
    <col min="52" max="62" width="15.28515625" hidden="1" customWidth="1" outlineLevel="1"/>
    <col min="63" max="63" width="21.5703125" customWidth="1" collapsed="1"/>
    <col min="64" max="75" width="21.5703125" customWidth="1"/>
    <col min="76" max="76" width="21.5703125" bestFit="1" customWidth="1"/>
    <col min="77" max="77" width="16.140625" bestFit="1" customWidth="1"/>
    <col min="78" max="78" width="15" bestFit="1" customWidth="1"/>
    <col min="79" max="79" width="17" bestFit="1" customWidth="1"/>
    <col min="80" max="80" width="12.7109375" bestFit="1" customWidth="1"/>
  </cols>
  <sheetData>
    <row r="1" spans="1:80">
      <c r="A1" s="28" t="s">
        <v>203</v>
      </c>
      <c r="B1" s="623" t="s">
        <v>151</v>
      </c>
    </row>
    <row r="2" spans="1:80">
      <c r="A2" s="261">
        <f>'Bal Sheet'!A1</f>
        <v>12</v>
      </c>
      <c r="B2" s="624" t="s">
        <v>153</v>
      </c>
      <c r="AM2" s="208" t="str">
        <f>+'Bal Sheet'!AX5</f>
        <v>Actual</v>
      </c>
      <c r="AN2" s="208" t="str">
        <f>+'Bal Sheet'!AY5</f>
        <v>Actual</v>
      </c>
      <c r="AO2" s="208" t="str">
        <f>+'Bal Sheet'!AZ5</f>
        <v>Actual</v>
      </c>
      <c r="AP2" s="208" t="str">
        <f>+'Bal Sheet'!BA5</f>
        <v>Actual</v>
      </c>
      <c r="AQ2" s="208" t="str">
        <f>+'Bal Sheet'!BB5</f>
        <v>Actual</v>
      </c>
      <c r="AR2" s="208" t="str">
        <f>+'Bal Sheet'!BC5</f>
        <v>Actual</v>
      </c>
      <c r="AS2" s="208" t="str">
        <f>+'Bal Sheet'!BD5</f>
        <v>Actual</v>
      </c>
      <c r="AT2" s="208" t="str">
        <f>+'Bal Sheet'!BE5</f>
        <v>Actual</v>
      </c>
      <c r="AU2" s="208" t="str">
        <f>+'Bal Sheet'!BF5</f>
        <v>Actual</v>
      </c>
      <c r="AV2" s="208" t="str">
        <f>+'Bal Sheet'!BG5</f>
        <v>Actual</v>
      </c>
      <c r="AW2" s="208" t="str">
        <f>+'Bal Sheet'!BH5</f>
        <v>Actual</v>
      </c>
      <c r="AX2" s="208" t="str">
        <f>+'Bal Sheet'!BI5</f>
        <v>Actual</v>
      </c>
      <c r="AY2" s="208" t="str">
        <f>+'Bal Sheet'!BJ5</f>
        <v>Actual</v>
      </c>
      <c r="AZ2" s="208" t="str">
        <f>+'Bal Sheet'!BK5</f>
        <v>Actual</v>
      </c>
      <c r="BA2" s="208" t="str">
        <f>+'Bal Sheet'!BL5</f>
        <v>Actual</v>
      </c>
      <c r="BB2" s="208" t="str">
        <f>+'Bal Sheet'!BM5</f>
        <v>Actual</v>
      </c>
      <c r="BC2" s="208" t="str">
        <f>+'Bal Sheet'!BN5</f>
        <v>Actual</v>
      </c>
      <c r="BD2" s="208" t="str">
        <f>+'Bal Sheet'!BO5</f>
        <v>Actual</v>
      </c>
      <c r="BE2" s="208" t="str">
        <f>+'Bal Sheet'!BP5</f>
        <v>Actual</v>
      </c>
      <c r="BF2" s="208" t="str">
        <f>+'Bal Sheet'!BQ5</f>
        <v>Actual</v>
      </c>
      <c r="BG2" s="208" t="str">
        <f>+'Bal Sheet'!BR5</f>
        <v>Actual</v>
      </c>
      <c r="BH2" s="208" t="str">
        <f>+'Bal Sheet'!BS5</f>
        <v>Actual</v>
      </c>
      <c r="BI2" s="208" t="str">
        <f>+'Bal Sheet'!BT5</f>
        <v>Actual</v>
      </c>
      <c r="BJ2" s="208" t="str">
        <f>+'Bal Sheet'!BU5</f>
        <v>Actual</v>
      </c>
      <c r="BK2" s="208" t="str">
        <f>+'Bal Sheet'!BV5</f>
        <v>Actual</v>
      </c>
      <c r="BL2" s="208" t="str">
        <f>+'Bal Sheet'!BW5</f>
        <v>Budget</v>
      </c>
      <c r="BM2" s="208" t="str">
        <f>+'Bal Sheet'!BX5</f>
        <v>Budget</v>
      </c>
      <c r="BN2" s="208" t="str">
        <f>+'Bal Sheet'!BY5</f>
        <v>Budget</v>
      </c>
      <c r="BO2" s="208" t="str">
        <f>+'Bal Sheet'!BZ5</f>
        <v>Budget</v>
      </c>
      <c r="BP2" s="208" t="str">
        <f>+'Bal Sheet'!CA5</f>
        <v>Budget</v>
      </c>
      <c r="BQ2" s="208" t="str">
        <f>+'Bal Sheet'!CB5</f>
        <v>Budget</v>
      </c>
      <c r="BR2" s="208" t="str">
        <f>+'Bal Sheet'!CC5</f>
        <v>Budget</v>
      </c>
      <c r="BS2" s="208" t="str">
        <f>+'Bal Sheet'!CD5</f>
        <v>Budget</v>
      </c>
      <c r="BT2" s="208" t="str">
        <f>+'Bal Sheet'!CE5</f>
        <v>Budget</v>
      </c>
      <c r="BU2" s="208" t="str">
        <f>+'Bal Sheet'!CF5</f>
        <v>Budget</v>
      </c>
      <c r="BV2" s="208" t="str">
        <f>+'Bal Sheet'!CG5</f>
        <v>Budget</v>
      </c>
      <c r="BW2" s="208" t="str">
        <f>+'Bal Sheet'!CH5</f>
        <v>Budget</v>
      </c>
    </row>
    <row r="3" spans="1:80" s="19" customFormat="1">
      <c r="A3" s="628"/>
      <c r="B3" s="629"/>
      <c r="C3" s="628">
        <v>2017</v>
      </c>
      <c r="D3" s="628">
        <v>2018</v>
      </c>
      <c r="E3" s="628">
        <v>2018</v>
      </c>
      <c r="F3" s="628">
        <v>2018</v>
      </c>
      <c r="G3" s="628">
        <v>2018</v>
      </c>
      <c r="H3" s="628">
        <v>2018</v>
      </c>
      <c r="I3" s="628">
        <v>2018</v>
      </c>
      <c r="J3" s="628">
        <v>2018</v>
      </c>
      <c r="K3" s="628">
        <v>2018</v>
      </c>
      <c r="L3" s="628">
        <v>2018</v>
      </c>
      <c r="M3" s="628">
        <v>2018</v>
      </c>
      <c r="N3" s="628">
        <v>2018</v>
      </c>
      <c r="O3" s="628">
        <v>2018</v>
      </c>
      <c r="P3" s="628">
        <v>2019</v>
      </c>
      <c r="Q3" s="628">
        <v>2019</v>
      </c>
      <c r="R3" s="628">
        <v>2019</v>
      </c>
      <c r="S3" s="628">
        <v>2019</v>
      </c>
      <c r="T3" s="628">
        <v>2019</v>
      </c>
      <c r="U3" s="628">
        <v>2019</v>
      </c>
      <c r="V3" s="628">
        <v>2019</v>
      </c>
      <c r="W3" s="628">
        <v>2019</v>
      </c>
      <c r="X3" s="628">
        <v>2019</v>
      </c>
      <c r="Y3" s="628">
        <v>2019</v>
      </c>
      <c r="Z3" s="628">
        <v>2019</v>
      </c>
      <c r="AA3" s="628">
        <v>2019</v>
      </c>
      <c r="AB3" s="628">
        <v>2020</v>
      </c>
      <c r="AC3" s="628">
        <v>2020</v>
      </c>
      <c r="AD3" s="628">
        <v>2020</v>
      </c>
      <c r="AE3" s="628">
        <v>2020</v>
      </c>
      <c r="AF3" s="628">
        <v>2020</v>
      </c>
      <c r="AG3" s="628">
        <v>2020</v>
      </c>
      <c r="AH3" s="628">
        <v>2020</v>
      </c>
      <c r="AI3" s="628">
        <v>2020</v>
      </c>
      <c r="AJ3" s="628">
        <v>2020</v>
      </c>
      <c r="AK3" s="628">
        <v>2020</v>
      </c>
      <c r="AL3" s="628">
        <v>2020</v>
      </c>
      <c r="AM3" s="633">
        <v>2020</v>
      </c>
      <c r="AN3" s="633">
        <v>2021</v>
      </c>
      <c r="AO3" s="633">
        <v>2021</v>
      </c>
      <c r="AP3" s="633">
        <v>2021</v>
      </c>
      <c r="AQ3" s="633">
        <v>2021</v>
      </c>
      <c r="AR3" s="633">
        <v>2021</v>
      </c>
      <c r="AS3" s="633">
        <v>2021</v>
      </c>
      <c r="AT3" s="633">
        <v>2021</v>
      </c>
      <c r="AU3" s="633">
        <v>2021</v>
      </c>
      <c r="AV3" s="633">
        <v>2021</v>
      </c>
      <c r="AW3" s="633">
        <v>2021</v>
      </c>
      <c r="AX3" s="633">
        <v>2021</v>
      </c>
      <c r="AY3" s="633">
        <v>2021</v>
      </c>
      <c r="AZ3" s="633">
        <v>2022</v>
      </c>
      <c r="BA3" s="633">
        <v>2022</v>
      </c>
      <c r="BB3" s="633">
        <v>2022</v>
      </c>
      <c r="BC3" s="633">
        <v>2022</v>
      </c>
      <c r="BD3" s="633">
        <v>2022</v>
      </c>
      <c r="BE3" s="633">
        <v>2022</v>
      </c>
      <c r="BF3" s="633">
        <v>2022</v>
      </c>
      <c r="BG3" s="633">
        <v>2022</v>
      </c>
      <c r="BH3" s="633">
        <v>2022</v>
      </c>
      <c r="BI3" s="633">
        <v>2022</v>
      </c>
      <c r="BJ3" s="633">
        <v>2022</v>
      </c>
      <c r="BK3" s="633">
        <v>2022</v>
      </c>
      <c r="BL3" s="633">
        <v>2023</v>
      </c>
      <c r="BM3" s="633">
        <v>2023</v>
      </c>
      <c r="BN3" s="633">
        <v>2023</v>
      </c>
      <c r="BO3" s="633">
        <v>2023</v>
      </c>
      <c r="BP3" s="633">
        <v>2023</v>
      </c>
      <c r="BQ3" s="633">
        <v>2023</v>
      </c>
      <c r="BR3" s="633">
        <v>2023</v>
      </c>
      <c r="BS3" s="633">
        <v>2023</v>
      </c>
      <c r="BT3" s="633">
        <v>2023</v>
      </c>
      <c r="BU3" s="633">
        <v>2023</v>
      </c>
      <c r="BV3" s="633">
        <v>2023</v>
      </c>
      <c r="BW3" s="633">
        <v>2023</v>
      </c>
      <c r="BX3" s="628" t="s">
        <v>204</v>
      </c>
      <c r="BY3" s="628" t="s">
        <v>205</v>
      </c>
      <c r="BZ3" s="628" t="s">
        <v>206</v>
      </c>
      <c r="CA3" s="628" t="s">
        <v>207</v>
      </c>
      <c r="CB3" s="375"/>
    </row>
    <row r="4" spans="1:80" s="19" customFormat="1">
      <c r="A4" s="630" t="s">
        <v>208</v>
      </c>
      <c r="B4" s="635" t="s">
        <v>209</v>
      </c>
      <c r="C4" s="631" t="s">
        <v>210</v>
      </c>
      <c r="D4" s="631" t="s">
        <v>211</v>
      </c>
      <c r="E4" s="631" t="s">
        <v>212</v>
      </c>
      <c r="F4" s="631" t="s">
        <v>213</v>
      </c>
      <c r="G4" s="631" t="s">
        <v>214</v>
      </c>
      <c r="H4" s="631" t="s">
        <v>215</v>
      </c>
      <c r="I4" s="631" t="s">
        <v>216</v>
      </c>
      <c r="J4" s="631" t="s">
        <v>217</v>
      </c>
      <c r="K4" s="631" t="s">
        <v>218</v>
      </c>
      <c r="L4" s="631" t="s">
        <v>219</v>
      </c>
      <c r="M4" s="631" t="s">
        <v>220</v>
      </c>
      <c r="N4" s="631" t="s">
        <v>221</v>
      </c>
      <c r="O4" s="631" t="s">
        <v>210</v>
      </c>
      <c r="P4" s="631" t="s">
        <v>211</v>
      </c>
      <c r="Q4" s="631" t="s">
        <v>212</v>
      </c>
      <c r="R4" s="631" t="s">
        <v>213</v>
      </c>
      <c r="S4" s="631" t="s">
        <v>214</v>
      </c>
      <c r="T4" s="631" t="s">
        <v>215</v>
      </c>
      <c r="U4" s="631" t="s">
        <v>216</v>
      </c>
      <c r="V4" s="631" t="s">
        <v>217</v>
      </c>
      <c r="W4" s="631" t="s">
        <v>218</v>
      </c>
      <c r="X4" s="631" t="s">
        <v>219</v>
      </c>
      <c r="Y4" s="631" t="s">
        <v>220</v>
      </c>
      <c r="Z4" s="631" t="s">
        <v>221</v>
      </c>
      <c r="AA4" s="631" t="s">
        <v>210</v>
      </c>
      <c r="AB4" s="631" t="s">
        <v>211</v>
      </c>
      <c r="AC4" s="631" t="s">
        <v>212</v>
      </c>
      <c r="AD4" s="631" t="s">
        <v>213</v>
      </c>
      <c r="AE4" s="631" t="s">
        <v>214</v>
      </c>
      <c r="AF4" s="631" t="s">
        <v>215</v>
      </c>
      <c r="AG4" s="631" t="s">
        <v>216</v>
      </c>
      <c r="AH4" s="631" t="s">
        <v>217</v>
      </c>
      <c r="AI4" s="631" t="s">
        <v>218</v>
      </c>
      <c r="AJ4" s="631" t="s">
        <v>219</v>
      </c>
      <c r="AK4" s="631" t="s">
        <v>220</v>
      </c>
      <c r="AL4" s="631" t="s">
        <v>221</v>
      </c>
      <c r="AM4" s="634" t="s">
        <v>210</v>
      </c>
      <c r="AN4" s="634" t="s">
        <v>211</v>
      </c>
      <c r="AO4" s="634" t="s">
        <v>212</v>
      </c>
      <c r="AP4" s="634" t="s">
        <v>213</v>
      </c>
      <c r="AQ4" s="634" t="s">
        <v>214</v>
      </c>
      <c r="AR4" s="634" t="s">
        <v>215</v>
      </c>
      <c r="AS4" s="634" t="s">
        <v>216</v>
      </c>
      <c r="AT4" s="634" t="s">
        <v>217</v>
      </c>
      <c r="AU4" s="634" t="s">
        <v>218</v>
      </c>
      <c r="AV4" s="634" t="s">
        <v>219</v>
      </c>
      <c r="AW4" s="634" t="s">
        <v>220</v>
      </c>
      <c r="AX4" s="634" t="s">
        <v>221</v>
      </c>
      <c r="AY4" s="634" t="s">
        <v>210</v>
      </c>
      <c r="AZ4" s="634" t="s">
        <v>211</v>
      </c>
      <c r="BA4" s="634" t="s">
        <v>212</v>
      </c>
      <c r="BB4" s="634" t="s">
        <v>213</v>
      </c>
      <c r="BC4" s="634" t="s">
        <v>214</v>
      </c>
      <c r="BD4" s="634" t="s">
        <v>215</v>
      </c>
      <c r="BE4" s="634" t="s">
        <v>216</v>
      </c>
      <c r="BF4" s="634" t="s">
        <v>217</v>
      </c>
      <c r="BG4" s="634" t="s">
        <v>218</v>
      </c>
      <c r="BH4" s="634" t="s">
        <v>219</v>
      </c>
      <c r="BI4" s="634" t="s">
        <v>220</v>
      </c>
      <c r="BJ4" s="634" t="s">
        <v>221</v>
      </c>
      <c r="BK4" s="634" t="s">
        <v>210</v>
      </c>
      <c r="BL4" s="634" t="s">
        <v>211</v>
      </c>
      <c r="BM4" s="634" t="s">
        <v>212</v>
      </c>
      <c r="BN4" s="634" t="s">
        <v>213</v>
      </c>
      <c r="BO4" s="634" t="s">
        <v>214</v>
      </c>
      <c r="BP4" s="634" t="s">
        <v>215</v>
      </c>
      <c r="BQ4" s="634" t="s">
        <v>216</v>
      </c>
      <c r="BR4" s="634" t="s">
        <v>217</v>
      </c>
      <c r="BS4" s="634" t="s">
        <v>218</v>
      </c>
      <c r="BT4" s="634" t="s">
        <v>219</v>
      </c>
      <c r="BU4" s="634" t="s">
        <v>220</v>
      </c>
      <c r="BV4" s="634" t="s">
        <v>221</v>
      </c>
      <c r="BW4" s="634" t="s">
        <v>210</v>
      </c>
      <c r="BX4" s="631" t="s">
        <v>222</v>
      </c>
      <c r="BY4" s="631" t="s">
        <v>105</v>
      </c>
      <c r="BZ4" s="631" t="s">
        <v>205</v>
      </c>
      <c r="CA4" s="631" t="s">
        <v>205</v>
      </c>
      <c r="CB4" s="375"/>
    </row>
    <row r="5" spans="1:80" s="19" customFormat="1">
      <c r="A5" s="375"/>
      <c r="B5" s="375"/>
      <c r="C5" s="837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837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837"/>
      <c r="AB5" s="837"/>
      <c r="AC5" s="837"/>
      <c r="AD5" s="837"/>
      <c r="AE5" s="837"/>
      <c r="AF5" s="837"/>
      <c r="AG5" s="837"/>
      <c r="AH5" s="837"/>
      <c r="AI5" s="837"/>
      <c r="AJ5" s="837"/>
      <c r="AK5" s="837"/>
      <c r="AL5" s="837"/>
      <c r="AM5" s="837"/>
      <c r="AN5" s="837"/>
      <c r="AO5" s="837"/>
      <c r="AP5" s="837"/>
      <c r="AQ5" s="837"/>
      <c r="AR5" s="837"/>
      <c r="AS5" s="837"/>
      <c r="AT5" s="837"/>
      <c r="AU5" s="837"/>
      <c r="AV5" s="837"/>
      <c r="AW5" s="837"/>
      <c r="AX5" s="837"/>
      <c r="AY5" s="837"/>
      <c r="AZ5" s="837"/>
      <c r="BA5" s="837"/>
      <c r="BB5" s="837"/>
      <c r="BC5" s="837"/>
      <c r="BD5" s="837"/>
      <c r="BE5" s="837"/>
      <c r="BF5" s="837"/>
      <c r="BG5" s="837"/>
      <c r="BH5" s="837"/>
      <c r="BI5" s="837"/>
      <c r="BJ5" s="837"/>
      <c r="BK5" s="837"/>
      <c r="BL5" s="837"/>
      <c r="BM5" s="837"/>
      <c r="BN5" s="837"/>
      <c r="BO5" s="837"/>
      <c r="BP5" s="837"/>
      <c r="BQ5" s="837"/>
      <c r="BR5" s="837"/>
      <c r="BS5" s="837"/>
      <c r="BT5" s="837"/>
      <c r="BU5" s="837"/>
      <c r="BV5" s="837"/>
      <c r="BW5" s="837"/>
      <c r="BX5" s="375"/>
      <c r="BY5" s="375"/>
      <c r="BZ5" s="375"/>
      <c r="CA5" s="375"/>
      <c r="CB5" s="375"/>
    </row>
    <row r="6" spans="1:80" s="19" customFormat="1" ht="15">
      <c r="A6" s="375" t="s">
        <v>223</v>
      </c>
      <c r="B6" s="287">
        <f ca="1">SUM(OFFSET(AZ6:BL6,0,'Bal Sheet'!$A$1-1))/13</f>
        <v>91911827.605153874</v>
      </c>
      <c r="C6" s="377">
        <v>27758393.900000006</v>
      </c>
      <c r="D6" s="344">
        <v>27758656.830000006</v>
      </c>
      <c r="E6" s="344">
        <v>27761368.230000004</v>
      </c>
      <c r="F6" s="344">
        <v>27764121.780000005</v>
      </c>
      <c r="G6" s="344">
        <v>27768049.710000008</v>
      </c>
      <c r="H6" s="344">
        <v>27769652.690000009</v>
      </c>
      <c r="I6" s="377">
        <v>27809445.990000006</v>
      </c>
      <c r="J6" s="344">
        <v>28098367.100000005</v>
      </c>
      <c r="K6" s="344">
        <v>28127234.310000006</v>
      </c>
      <c r="L6" s="344">
        <v>28160734.870000005</v>
      </c>
      <c r="M6" s="344">
        <v>28956443.330000006</v>
      </c>
      <c r="N6" s="344">
        <v>28992080.640000008</v>
      </c>
      <c r="O6" s="344">
        <v>29531617.920000009</v>
      </c>
      <c r="P6" s="344">
        <v>29649013.780000009</v>
      </c>
      <c r="Q6" s="344">
        <v>29682459.090000007</v>
      </c>
      <c r="R6" s="344">
        <v>29670926.760000009</v>
      </c>
      <c r="S6" s="344">
        <v>29680125.300000008</v>
      </c>
      <c r="T6" s="344">
        <v>29701149.360000007</v>
      </c>
      <c r="U6" s="344">
        <v>29702336.660000008</v>
      </c>
      <c r="V6" s="344">
        <v>29688764.900000006</v>
      </c>
      <c r="W6" s="344">
        <v>29700701.380000006</v>
      </c>
      <c r="X6" s="344">
        <v>30822508.170000006</v>
      </c>
      <c r="Y6" s="344">
        <v>30937112.410000004</v>
      </c>
      <c r="Z6" s="344">
        <v>31122493.990000002</v>
      </c>
      <c r="AA6" s="344">
        <v>32175006.760000002</v>
      </c>
      <c r="AB6" s="344">
        <v>31792251.930000011</v>
      </c>
      <c r="AC6" s="344">
        <v>31993128.680000011</v>
      </c>
      <c r="AD6" s="344">
        <v>31998986.610000011</v>
      </c>
      <c r="AE6" s="344">
        <v>32001473.000000011</v>
      </c>
      <c r="AF6" s="344">
        <v>32022308.260000013</v>
      </c>
      <c r="AG6" s="344">
        <v>32157124.800000012</v>
      </c>
      <c r="AH6" s="344">
        <v>32177873.220000014</v>
      </c>
      <c r="AI6" s="534">
        <v>32172179.540000014</v>
      </c>
      <c r="AJ6" s="534">
        <v>32203902.220000014</v>
      </c>
      <c r="AK6" s="534">
        <v>48408162.870000012</v>
      </c>
      <c r="AL6" s="534">
        <v>48483373.840000011</v>
      </c>
      <c r="AM6" s="777">
        <v>48478260.140000008</v>
      </c>
      <c r="AN6" s="777">
        <v>48520969.56000001</v>
      </c>
      <c r="AO6" s="778">
        <v>48581349.230000012</v>
      </c>
      <c r="AP6" s="778">
        <v>51161065.390000015</v>
      </c>
      <c r="AQ6" s="778">
        <v>54007188.340000018</v>
      </c>
      <c r="AR6" s="778">
        <v>54260805.94000002</v>
      </c>
      <c r="AS6" s="778">
        <v>54522728.830000021</v>
      </c>
      <c r="AT6" s="778">
        <v>54781504.630000018</v>
      </c>
      <c r="AU6" s="778">
        <v>54881827.300000019</v>
      </c>
      <c r="AV6" s="778">
        <v>54910165.470000021</v>
      </c>
      <c r="AW6" s="778">
        <v>54936571.37000002</v>
      </c>
      <c r="AX6" s="778">
        <v>54972457.290000021</v>
      </c>
      <c r="AY6" s="778">
        <v>54992605.890000023</v>
      </c>
      <c r="AZ6" s="1013">
        <v>55035399.480000027</v>
      </c>
      <c r="BA6" s="1013">
        <v>60916503.630000025</v>
      </c>
      <c r="BB6" s="1013">
        <v>61040714.390000023</v>
      </c>
      <c r="BC6" s="1013">
        <v>61062145.750000022</v>
      </c>
      <c r="BD6" s="1013">
        <v>61122973.260000028</v>
      </c>
      <c r="BE6" s="1013">
        <v>60971998.020000026</v>
      </c>
      <c r="BF6" s="636">
        <v>60994395.18000003</v>
      </c>
      <c r="BG6" s="636">
        <v>60991233.480000027</v>
      </c>
      <c r="BH6" s="636">
        <v>61039831.870000027</v>
      </c>
      <c r="BI6" s="636">
        <v>61061595.990000024</v>
      </c>
      <c r="BJ6" s="636">
        <v>61701383.310000017</v>
      </c>
      <c r="BK6" s="636">
        <v>61701027.730000019</v>
      </c>
      <c r="BL6" s="1013">
        <v>66421977.308500022</v>
      </c>
      <c r="BM6" s="1013">
        <v>66596441.319000021</v>
      </c>
      <c r="BN6" s="1013">
        <v>68067014.239500016</v>
      </c>
      <c r="BO6" s="1013">
        <v>68336824.250000015</v>
      </c>
      <c r="BP6" s="1013">
        <v>103269741.09</v>
      </c>
      <c r="BQ6" s="1013">
        <v>106299906.99000001</v>
      </c>
      <c r="BR6" s="636">
        <v>108311093.99000001</v>
      </c>
      <c r="BS6" s="636">
        <v>108450492.99000001</v>
      </c>
      <c r="BT6" s="636">
        <v>108618607.99000001</v>
      </c>
      <c r="BU6" s="636">
        <v>108737524.99000001</v>
      </c>
      <c r="BV6" s="636">
        <v>109516461.99000001</v>
      </c>
      <c r="BW6" s="636">
        <v>110526643.99000001</v>
      </c>
      <c r="BX6" s="607">
        <f ca="1">+B6</f>
        <v>91911827.605153874</v>
      </c>
      <c r="BY6" s="1117">
        <v>0</v>
      </c>
      <c r="BZ6" s="340">
        <f ca="1">BX6*BY6</f>
        <v>0</v>
      </c>
      <c r="CA6" s="340">
        <f>+BY6*BW6</f>
        <v>0</v>
      </c>
      <c r="CB6" s="375" t="s">
        <v>1260</v>
      </c>
    </row>
    <row r="7" spans="1:80" s="19" customFormat="1" ht="15">
      <c r="A7" s="375" t="s">
        <v>224</v>
      </c>
      <c r="B7" s="287">
        <f ca="1">SUM(OFFSET(AZ7:BL7,0,'Bal Sheet'!$A$1-1))/13</f>
        <v>16157149.270000001</v>
      </c>
      <c r="C7" s="377">
        <v>21775427.5</v>
      </c>
      <c r="D7" s="344">
        <v>21776805.189999998</v>
      </c>
      <c r="E7" s="344">
        <v>21783981.060000002</v>
      </c>
      <c r="F7" s="344">
        <v>22819110.91</v>
      </c>
      <c r="G7" s="344">
        <v>23130760.769999996</v>
      </c>
      <c r="H7" s="344">
        <v>23138431.339999996</v>
      </c>
      <c r="I7" s="377">
        <v>22868671.949999999</v>
      </c>
      <c r="J7" s="344">
        <v>23206807.100000001</v>
      </c>
      <c r="K7" s="344">
        <v>23208550.049999997</v>
      </c>
      <c r="L7" s="344">
        <v>23208755.739999998</v>
      </c>
      <c r="M7" s="344">
        <v>23209261.599999998</v>
      </c>
      <c r="N7" s="344">
        <v>23181574.93</v>
      </c>
      <c r="O7" s="344">
        <v>15545203.509999998</v>
      </c>
      <c r="P7" s="344">
        <v>15545203.509999998</v>
      </c>
      <c r="Q7" s="344">
        <v>15545203.509999998</v>
      </c>
      <c r="R7" s="344">
        <v>15545203.509999998</v>
      </c>
      <c r="S7" s="344">
        <v>15545203.509999998</v>
      </c>
      <c r="T7" s="344">
        <v>15545203.509999998</v>
      </c>
      <c r="U7" s="344">
        <v>15545203.509999998</v>
      </c>
      <c r="V7" s="344">
        <v>15545203.509999998</v>
      </c>
      <c r="W7" s="344">
        <v>15545203.509999998</v>
      </c>
      <c r="X7" s="344">
        <v>15545203.509999998</v>
      </c>
      <c r="Y7" s="344">
        <v>15545203.509999998</v>
      </c>
      <c r="Z7" s="344">
        <v>15545203.509999998</v>
      </c>
      <c r="AA7" s="344">
        <v>15545203.509999998</v>
      </c>
      <c r="AB7" s="344">
        <v>15545203.509999998</v>
      </c>
      <c r="AC7" s="344">
        <v>9370593.9599999972</v>
      </c>
      <c r="AD7" s="344">
        <v>9370593.9599999972</v>
      </c>
      <c r="AE7" s="344">
        <v>9370593.9599999972</v>
      </c>
      <c r="AF7" s="344">
        <v>9370593.9599999972</v>
      </c>
      <c r="AG7" s="344">
        <v>9370593.9599999972</v>
      </c>
      <c r="AH7" s="344">
        <v>9370593.9599999972</v>
      </c>
      <c r="AI7" s="534">
        <v>9370593.9599999972</v>
      </c>
      <c r="AJ7" s="534">
        <v>9370593.9599999972</v>
      </c>
      <c r="AK7" s="534">
        <v>9370593.9599999972</v>
      </c>
      <c r="AL7" s="534">
        <v>9370593.9599999972</v>
      </c>
      <c r="AM7" s="777">
        <v>9370593.9599999972</v>
      </c>
      <c r="AN7" s="777">
        <v>9370593.9599999972</v>
      </c>
      <c r="AO7" s="778">
        <v>9370593.9599999972</v>
      </c>
      <c r="AP7" s="778">
        <v>9370593.9599999972</v>
      </c>
      <c r="AQ7" s="778">
        <v>14778384.609999998</v>
      </c>
      <c r="AR7" s="778">
        <v>14848921.069999997</v>
      </c>
      <c r="AS7" s="778">
        <v>14871070.779999997</v>
      </c>
      <c r="AT7" s="778">
        <v>14898793.979999997</v>
      </c>
      <c r="AU7" s="778">
        <v>14917227.629999999</v>
      </c>
      <c r="AV7" s="778">
        <v>14932436.819999998</v>
      </c>
      <c r="AW7" s="778">
        <v>14962749.169999998</v>
      </c>
      <c r="AX7" s="778">
        <v>14964756.229999997</v>
      </c>
      <c r="AY7" s="778">
        <v>14985872.639999997</v>
      </c>
      <c r="AZ7" s="1013">
        <v>15014410.719999999</v>
      </c>
      <c r="BA7" s="1013">
        <v>15014536.279999999</v>
      </c>
      <c r="BB7" s="1013">
        <v>15014773.549999999</v>
      </c>
      <c r="BC7" s="1013">
        <v>16110325.779999997</v>
      </c>
      <c r="BD7" s="1013">
        <v>16111864.919999998</v>
      </c>
      <c r="BE7" s="1013">
        <v>16112289.359999996</v>
      </c>
      <c r="BF7" s="636">
        <v>16113616.439999998</v>
      </c>
      <c r="BG7" s="636">
        <v>16122643.739999998</v>
      </c>
      <c r="BH7" s="636">
        <v>16122904.329999998</v>
      </c>
      <c r="BI7" s="636">
        <v>16122904.329999998</v>
      </c>
      <c r="BJ7" s="636">
        <v>16123094.299999999</v>
      </c>
      <c r="BK7" s="636">
        <v>16157149.269999998</v>
      </c>
      <c r="BL7" s="1013">
        <v>16157149.27</v>
      </c>
      <c r="BM7" s="1013">
        <v>16157149.27</v>
      </c>
      <c r="BN7" s="1013">
        <v>16157149.27</v>
      </c>
      <c r="BO7" s="1013">
        <v>16157149.27</v>
      </c>
      <c r="BP7" s="1013">
        <v>16157149.27</v>
      </c>
      <c r="BQ7" s="1013">
        <v>16157149.27</v>
      </c>
      <c r="BR7" s="636">
        <v>16157149.27</v>
      </c>
      <c r="BS7" s="636">
        <v>16157149.27</v>
      </c>
      <c r="BT7" s="636">
        <v>16157149.27</v>
      </c>
      <c r="BU7" s="636">
        <v>16157149.27</v>
      </c>
      <c r="BV7" s="636">
        <v>16157149.27</v>
      </c>
      <c r="BW7" s="636">
        <v>16157149.27</v>
      </c>
      <c r="BX7" s="607">
        <f t="shared" ref="BX7:BX11" ca="1" si="0">+B7</f>
        <v>16157149.270000001</v>
      </c>
      <c r="BY7" s="1117">
        <v>7.2079456439904498E-3</v>
      </c>
      <c r="BZ7" s="341">
        <f ca="1">BX7*BY7</f>
        <v>116459.85369999999</v>
      </c>
      <c r="CA7" s="341">
        <f t="shared" ref="CA7:CA10" si="1">+BY7*BW7</f>
        <v>116459.85369999998</v>
      </c>
      <c r="CB7" s="375" t="s">
        <v>1260</v>
      </c>
    </row>
    <row r="8" spans="1:80" s="19" customFormat="1" ht="15">
      <c r="A8" s="375" t="s">
        <v>225</v>
      </c>
      <c r="B8" s="287">
        <f ca="1">SUM(OFFSET(AZ8:BL8,0,'Bal Sheet'!$A$1-1))/13</f>
        <v>29923488.706464622</v>
      </c>
      <c r="C8" s="377">
        <v>22924033.75</v>
      </c>
      <c r="D8" s="344">
        <v>22923872.179999996</v>
      </c>
      <c r="E8" s="344">
        <v>22923643.699999996</v>
      </c>
      <c r="F8" s="344">
        <v>22939299.629999995</v>
      </c>
      <c r="G8" s="344">
        <v>22944926.150000002</v>
      </c>
      <c r="H8" s="344">
        <v>22975068.630000003</v>
      </c>
      <c r="I8" s="377">
        <v>23013625.819999997</v>
      </c>
      <c r="J8" s="344">
        <v>23246076.870000001</v>
      </c>
      <c r="K8" s="344">
        <v>23279832.93</v>
      </c>
      <c r="L8" s="344">
        <v>23283192.900000002</v>
      </c>
      <c r="M8" s="344">
        <v>23299049.099999998</v>
      </c>
      <c r="N8" s="344">
        <v>23330695.27</v>
      </c>
      <c r="O8" s="344">
        <v>23403571.59</v>
      </c>
      <c r="P8" s="344">
        <v>23409526.109999999</v>
      </c>
      <c r="Q8" s="344">
        <v>23400003.099999998</v>
      </c>
      <c r="R8" s="344">
        <v>23434221.979999997</v>
      </c>
      <c r="S8" s="344">
        <v>23723493.639999997</v>
      </c>
      <c r="T8" s="344">
        <v>24156462.139999997</v>
      </c>
      <c r="U8" s="344">
        <v>24592215.719999995</v>
      </c>
      <c r="V8" s="344">
        <v>24608741.159999996</v>
      </c>
      <c r="W8" s="344">
        <v>24673802.829999998</v>
      </c>
      <c r="X8" s="344">
        <v>24831120.379999995</v>
      </c>
      <c r="Y8" s="344">
        <v>24889535.539999995</v>
      </c>
      <c r="Z8" s="344">
        <v>24969555.619999994</v>
      </c>
      <c r="AA8" s="344">
        <v>25121264.709999993</v>
      </c>
      <c r="AB8" s="344">
        <v>24928274.75</v>
      </c>
      <c r="AC8" s="344">
        <v>24938133.240000002</v>
      </c>
      <c r="AD8" s="344">
        <v>25044611.290000003</v>
      </c>
      <c r="AE8" s="344">
        <v>25179193.080000002</v>
      </c>
      <c r="AF8" s="344">
        <v>25180135.760000002</v>
      </c>
      <c r="AG8" s="344">
        <v>25178945.489999998</v>
      </c>
      <c r="AH8" s="344">
        <v>25226895.669999994</v>
      </c>
      <c r="AI8" s="534">
        <v>25256618.929999996</v>
      </c>
      <c r="AJ8" s="534">
        <v>25247102.950000003</v>
      </c>
      <c r="AK8" s="534">
        <v>25253798.300000001</v>
      </c>
      <c r="AL8" s="534">
        <v>25287559.989999998</v>
      </c>
      <c r="AM8" s="777">
        <v>25343700.120000001</v>
      </c>
      <c r="AN8" s="777">
        <v>25354697.579999998</v>
      </c>
      <c r="AO8" s="778">
        <v>25354825.559999999</v>
      </c>
      <c r="AP8" s="778">
        <v>25385327.510000002</v>
      </c>
      <c r="AQ8" s="778">
        <v>25387160.740000002</v>
      </c>
      <c r="AR8" s="778">
        <v>25385915.290000003</v>
      </c>
      <c r="AS8" s="778">
        <v>25412779.590000004</v>
      </c>
      <c r="AT8" s="778">
        <v>25494715.100000005</v>
      </c>
      <c r="AU8" s="778">
        <v>25615885.910000008</v>
      </c>
      <c r="AV8" s="778">
        <v>25628210.520000007</v>
      </c>
      <c r="AW8" s="778">
        <v>25734094.840000004</v>
      </c>
      <c r="AX8" s="778">
        <v>25742152.080000002</v>
      </c>
      <c r="AY8" s="778">
        <v>25824228.16</v>
      </c>
      <c r="AZ8" s="1013">
        <v>25821062.57</v>
      </c>
      <c r="BA8" s="1013">
        <v>25828201.110000003</v>
      </c>
      <c r="BB8" s="1013">
        <v>25829152.170000002</v>
      </c>
      <c r="BC8" s="1013">
        <v>25842850.230000004</v>
      </c>
      <c r="BD8" s="1013">
        <v>25842850.230000004</v>
      </c>
      <c r="BE8" s="1013">
        <v>25934211.340000004</v>
      </c>
      <c r="BF8" s="636">
        <v>25955193.590000004</v>
      </c>
      <c r="BG8" s="636">
        <v>26352767.299999997</v>
      </c>
      <c r="BH8" s="636">
        <v>26189107.450000003</v>
      </c>
      <c r="BI8" s="636">
        <v>26221109.289999999</v>
      </c>
      <c r="BJ8" s="636">
        <v>26460730.340000004</v>
      </c>
      <c r="BK8" s="636">
        <v>26530873.120000005</v>
      </c>
      <c r="BL8" s="1013">
        <v>28389468.418060001</v>
      </c>
      <c r="BM8" s="1013">
        <v>28521479.512000002</v>
      </c>
      <c r="BN8" s="1013">
        <v>29460090.823580001</v>
      </c>
      <c r="BO8" s="1013">
        <v>29639462.3528</v>
      </c>
      <c r="BP8" s="1013">
        <v>29876264.529200003</v>
      </c>
      <c r="BQ8" s="1013">
        <v>30057866.705600005</v>
      </c>
      <c r="BR8" s="636">
        <v>30699469.185600005</v>
      </c>
      <c r="BS8" s="636">
        <v>31000671.362000007</v>
      </c>
      <c r="BT8" s="636">
        <v>31122473.538400009</v>
      </c>
      <c r="BU8" s="636">
        <v>31147675.714800011</v>
      </c>
      <c r="BV8" s="636">
        <v>31172877.891200013</v>
      </c>
      <c r="BW8" s="636">
        <v>31386680.030800011</v>
      </c>
      <c r="BX8" s="607">
        <f t="shared" ca="1" si="0"/>
        <v>29923488.706464622</v>
      </c>
      <c r="BY8" s="1117">
        <v>3.9907565475031929E-2</v>
      </c>
      <c r="BZ8" s="341">
        <f ca="1">BX8*BY8</f>
        <v>1194173.5847946154</v>
      </c>
      <c r="CA8" s="341">
        <f t="shared" si="1"/>
        <v>1252565.9883730286</v>
      </c>
      <c r="CB8" s="375" t="s">
        <v>1260</v>
      </c>
    </row>
    <row r="9" spans="1:80" s="19" customFormat="1" ht="15">
      <c r="A9" s="375" t="s">
        <v>225</v>
      </c>
      <c r="B9" s="287">
        <f ca="1">SUM(OFFSET(AZ9:BL9,0,'Bal Sheet'!$A$1-1))/13</f>
        <v>547517.07246153848</v>
      </c>
      <c r="C9" s="377">
        <v>28184.34</v>
      </c>
      <c r="D9" s="344">
        <v>28184.34</v>
      </c>
      <c r="E9" s="344">
        <v>28184.34</v>
      </c>
      <c r="F9" s="344">
        <v>28184.34</v>
      </c>
      <c r="G9" s="344">
        <v>28184.34</v>
      </c>
      <c r="H9" s="344">
        <v>28184.34</v>
      </c>
      <c r="I9" s="377">
        <v>28184.34</v>
      </c>
      <c r="J9" s="344">
        <v>28184.34</v>
      </c>
      <c r="K9" s="344">
        <v>28184.34</v>
      </c>
      <c r="L9" s="344">
        <v>28184.34</v>
      </c>
      <c r="M9" s="344">
        <v>28184.34</v>
      </c>
      <c r="N9" s="344">
        <v>28184.34</v>
      </c>
      <c r="O9" s="344">
        <v>162344.31</v>
      </c>
      <c r="P9" s="344">
        <v>162344.31</v>
      </c>
      <c r="Q9" s="344">
        <v>162344.31</v>
      </c>
      <c r="R9" s="344">
        <v>162344.31</v>
      </c>
      <c r="S9" s="344">
        <v>162344.31</v>
      </c>
      <c r="T9" s="344">
        <v>162344.31</v>
      </c>
      <c r="U9" s="344">
        <v>162344.31</v>
      </c>
      <c r="V9" s="344">
        <v>162344.31</v>
      </c>
      <c r="W9" s="344">
        <v>162344.31</v>
      </c>
      <c r="X9" s="344">
        <v>162344.31</v>
      </c>
      <c r="Y9" s="344">
        <v>162344.31</v>
      </c>
      <c r="Z9" s="344">
        <v>162344.31</v>
      </c>
      <c r="AA9" s="344">
        <v>162344.31</v>
      </c>
      <c r="AB9" s="344">
        <v>162344.31</v>
      </c>
      <c r="AC9" s="344">
        <v>162344.31</v>
      </c>
      <c r="AD9" s="344">
        <v>162344.31</v>
      </c>
      <c r="AE9" s="344">
        <v>162344.31</v>
      </c>
      <c r="AF9" s="344">
        <v>162344.31</v>
      </c>
      <c r="AG9" s="344">
        <v>162344.31</v>
      </c>
      <c r="AH9" s="344">
        <v>162344.31</v>
      </c>
      <c r="AI9" s="534">
        <v>162344.31</v>
      </c>
      <c r="AJ9" s="534">
        <v>162344.31</v>
      </c>
      <c r="AK9" s="534">
        <v>162344.31</v>
      </c>
      <c r="AL9" s="534">
        <v>162344.31</v>
      </c>
      <c r="AM9" s="777">
        <v>162344.31</v>
      </c>
      <c r="AN9" s="777">
        <v>162344.31</v>
      </c>
      <c r="AO9" s="778">
        <v>162344.31</v>
      </c>
      <c r="AP9" s="778">
        <v>162344.31</v>
      </c>
      <c r="AQ9" s="778">
        <v>162344.31</v>
      </c>
      <c r="AR9" s="778">
        <v>162344.31</v>
      </c>
      <c r="AS9" s="778">
        <v>162344.31</v>
      </c>
      <c r="AT9" s="778">
        <v>162344.31</v>
      </c>
      <c r="AU9" s="778">
        <v>162344.31</v>
      </c>
      <c r="AV9" s="778">
        <v>162344.31</v>
      </c>
      <c r="AW9" s="778">
        <v>162344.31</v>
      </c>
      <c r="AX9" s="778">
        <v>162344.31</v>
      </c>
      <c r="AY9" s="778">
        <v>162344.31</v>
      </c>
      <c r="AZ9" s="1013">
        <v>162344.31</v>
      </c>
      <c r="BA9" s="1013">
        <v>162344.31</v>
      </c>
      <c r="BB9" s="1013">
        <v>162344.31</v>
      </c>
      <c r="BC9" s="1013">
        <v>162344.31</v>
      </c>
      <c r="BD9" s="1013">
        <v>162344.31</v>
      </c>
      <c r="BE9" s="1013">
        <v>162344.31</v>
      </c>
      <c r="BF9" s="636">
        <v>162344.31</v>
      </c>
      <c r="BG9" s="636">
        <v>162344.31</v>
      </c>
      <c r="BH9" s="636">
        <v>162344.31</v>
      </c>
      <c r="BI9" s="636">
        <v>162344.31</v>
      </c>
      <c r="BJ9" s="636">
        <v>162344.31</v>
      </c>
      <c r="BK9" s="636">
        <v>162344.31</v>
      </c>
      <c r="BL9" s="1013">
        <v>162344.31</v>
      </c>
      <c r="BM9" s="1013">
        <v>162344.31</v>
      </c>
      <c r="BN9" s="1013">
        <v>663068.90119999996</v>
      </c>
      <c r="BO9" s="1013">
        <v>663068.90119999996</v>
      </c>
      <c r="BP9" s="1013">
        <v>663068.90119999996</v>
      </c>
      <c r="BQ9" s="1013">
        <v>663068.90119999996</v>
      </c>
      <c r="BR9" s="636">
        <v>663068.90119999996</v>
      </c>
      <c r="BS9" s="636">
        <v>663068.90119999996</v>
      </c>
      <c r="BT9" s="636">
        <v>663068.90119999996</v>
      </c>
      <c r="BU9" s="636">
        <v>663068.90119999996</v>
      </c>
      <c r="BV9" s="636">
        <v>663068.90119999996</v>
      </c>
      <c r="BW9" s="636">
        <v>663068.90119999996</v>
      </c>
      <c r="BX9" s="607">
        <f t="shared" ca="1" si="0"/>
        <v>547517.07246153848</v>
      </c>
      <c r="BY9" s="1117">
        <v>3.5730222460550291E-2</v>
      </c>
      <c r="BZ9" s="341">
        <f ca="1">BX9*BY9</f>
        <v>19562.906800000004</v>
      </c>
      <c r="CA9" s="341">
        <f t="shared" si="1"/>
        <v>23691.599346548639</v>
      </c>
      <c r="CB9" s="375" t="s">
        <v>1260</v>
      </c>
    </row>
    <row r="10" spans="1:80" s="19" customFormat="1" ht="15">
      <c r="A10" s="375" t="s">
        <v>226</v>
      </c>
      <c r="B10" s="287">
        <f ca="1">SUM(OFFSET(AZ10:BL10,0,'Bal Sheet'!$A$1-1))/13</f>
        <v>9094670.7962020952</v>
      </c>
      <c r="C10" s="377">
        <v>4869187.0200000014</v>
      </c>
      <c r="D10" s="344">
        <v>4884341.0900000017</v>
      </c>
      <c r="E10" s="344">
        <v>5098578.4400000013</v>
      </c>
      <c r="F10" s="344">
        <v>5130554.7100000009</v>
      </c>
      <c r="G10" s="344">
        <v>5139860.3200000022</v>
      </c>
      <c r="H10" s="344">
        <v>5139860.3200000022</v>
      </c>
      <c r="I10" s="377">
        <v>5142948.3300000019</v>
      </c>
      <c r="J10" s="344">
        <v>5142948.3300000019</v>
      </c>
      <c r="K10" s="344">
        <v>5144626.9200000018</v>
      </c>
      <c r="L10" s="344">
        <v>5144626.9200000018</v>
      </c>
      <c r="M10" s="344">
        <v>5150677.8600000013</v>
      </c>
      <c r="N10" s="344">
        <v>5227619.8800000008</v>
      </c>
      <c r="O10" s="344">
        <v>6814990.9900000012</v>
      </c>
      <c r="P10" s="344">
        <v>6780881.0000000009</v>
      </c>
      <c r="Q10" s="344">
        <v>7198374.7800000003</v>
      </c>
      <c r="R10" s="344">
        <v>7209859.9699999997</v>
      </c>
      <c r="S10" s="344">
        <v>7245072.5300000003</v>
      </c>
      <c r="T10" s="344">
        <v>7285139.1000000006</v>
      </c>
      <c r="U10" s="344">
        <v>7285139.1000000006</v>
      </c>
      <c r="V10" s="344">
        <v>7283050.6800000006</v>
      </c>
      <c r="W10" s="344">
        <v>7303792.4199999999</v>
      </c>
      <c r="X10" s="344">
        <v>7310747.7200000007</v>
      </c>
      <c r="Y10" s="344">
        <v>7600936.620000001</v>
      </c>
      <c r="Z10" s="344">
        <v>7606392.8400000008</v>
      </c>
      <c r="AA10" s="344">
        <v>8456252.5900000017</v>
      </c>
      <c r="AB10" s="344">
        <v>8386023.7600000007</v>
      </c>
      <c r="AC10" s="344">
        <v>8655946.5200000014</v>
      </c>
      <c r="AD10" s="344">
        <v>8723248.6100000013</v>
      </c>
      <c r="AE10" s="344">
        <v>8745541.4800000023</v>
      </c>
      <c r="AF10" s="344">
        <v>8771560.8400000017</v>
      </c>
      <c r="AG10" s="344">
        <v>8876434.3100000024</v>
      </c>
      <c r="AH10" s="344">
        <v>8891991.7100000028</v>
      </c>
      <c r="AI10" s="534">
        <v>8888253.2400000039</v>
      </c>
      <c r="AJ10" s="534">
        <v>8916651.0200000033</v>
      </c>
      <c r="AK10" s="534">
        <v>8991938.2600000035</v>
      </c>
      <c r="AL10" s="534">
        <v>8995845.0500000026</v>
      </c>
      <c r="AM10" s="777">
        <v>8918826.2500000019</v>
      </c>
      <c r="AN10" s="777">
        <v>8920181.7600000016</v>
      </c>
      <c r="AO10" s="778">
        <v>6568167.540000001</v>
      </c>
      <c r="AP10" s="778">
        <v>6568167.540000001</v>
      </c>
      <c r="AQ10" s="778">
        <v>6568592.3200000012</v>
      </c>
      <c r="AR10" s="778">
        <v>6568592.3200000012</v>
      </c>
      <c r="AS10" s="778">
        <v>6568592.3200000012</v>
      </c>
      <c r="AT10" s="778">
        <v>6607888.9600000009</v>
      </c>
      <c r="AU10" s="778">
        <v>6545262.3900000015</v>
      </c>
      <c r="AV10" s="778">
        <v>6545262.3900000015</v>
      </c>
      <c r="AW10" s="778">
        <v>6553035.2200000007</v>
      </c>
      <c r="AX10" s="778">
        <v>6553202.8900000015</v>
      </c>
      <c r="AY10" s="778">
        <v>6553368.7800000012</v>
      </c>
      <c r="AZ10" s="1013">
        <v>6553537.1900000013</v>
      </c>
      <c r="BA10" s="1013">
        <v>6553705.2500000009</v>
      </c>
      <c r="BB10" s="1013">
        <v>6553872.9000000013</v>
      </c>
      <c r="BC10" s="1013">
        <v>6587897.3800000008</v>
      </c>
      <c r="BD10" s="1013">
        <v>6588066.2600000016</v>
      </c>
      <c r="BE10" s="1013">
        <v>6591287.2500000019</v>
      </c>
      <c r="BF10" s="636">
        <v>6610015.0500000007</v>
      </c>
      <c r="BG10" s="636">
        <v>6625614.9200000018</v>
      </c>
      <c r="BH10" s="636">
        <v>6636257.9500000011</v>
      </c>
      <c r="BI10" s="636">
        <v>6660221.4700000007</v>
      </c>
      <c r="BJ10" s="636">
        <v>6664667.1100000013</v>
      </c>
      <c r="BK10" s="636">
        <v>6698287.4500000011</v>
      </c>
      <c r="BL10" s="1013">
        <v>8744252.095900001</v>
      </c>
      <c r="BM10" s="1013">
        <v>8808117.9820800014</v>
      </c>
      <c r="BN10" s="1013">
        <v>9135324.8110160008</v>
      </c>
      <c r="BO10" s="1013">
        <v>9217119.8688032012</v>
      </c>
      <c r="BP10" s="1013">
        <v>9251002.6757606398</v>
      </c>
      <c r="BQ10" s="1013">
        <v>9329979.2371521275</v>
      </c>
      <c r="BR10" s="636">
        <v>9350859.3494304251</v>
      </c>
      <c r="BS10" s="636">
        <v>9456739.3718860857</v>
      </c>
      <c r="BT10" s="636">
        <v>9518089.3763772175</v>
      </c>
      <c r="BU10" s="636">
        <v>9538969.3772754427</v>
      </c>
      <c r="BV10" s="636">
        <v>9568049.3774550892</v>
      </c>
      <c r="BW10" s="636">
        <v>9613929.3774910178</v>
      </c>
      <c r="BX10" s="607">
        <f t="shared" ca="1" si="0"/>
        <v>9094670.7962020952</v>
      </c>
      <c r="BY10" s="1117">
        <v>6.0974307660239596E-3</v>
      </c>
      <c r="BZ10" s="341">
        <f ca="1">BX10*BY10</f>
        <v>55454.125519622277</v>
      </c>
      <c r="CA10" s="341">
        <f t="shared" si="1"/>
        <v>58620.268768695307</v>
      </c>
      <c r="CB10" s="375" t="s">
        <v>1260</v>
      </c>
    </row>
    <row r="11" spans="1:80" s="19" customFormat="1" ht="15.75" thickBot="1">
      <c r="A11" s="375"/>
      <c r="B11" s="287">
        <f ca="1">SUM(OFFSET(AZ11:BL11,0,'Bal Sheet'!$A$1-1))/13</f>
        <v>147634653.4502821</v>
      </c>
      <c r="C11" s="338">
        <f t="shared" ref="C11" si="2">SUM(C6:C10)</f>
        <v>77355226.510000005</v>
      </c>
      <c r="D11" s="338">
        <f t="shared" ref="D11:O11" si="3">SUM(D6:D10)</f>
        <v>77371859.63000001</v>
      </c>
      <c r="E11" s="338">
        <f t="shared" si="3"/>
        <v>77595755.770000011</v>
      </c>
      <c r="F11" s="338">
        <f t="shared" si="3"/>
        <v>78681271.370000005</v>
      </c>
      <c r="G11" s="338">
        <f t="shared" si="3"/>
        <v>79011781.290000021</v>
      </c>
      <c r="H11" s="338">
        <f t="shared" si="3"/>
        <v>79051197.320000008</v>
      </c>
      <c r="I11" s="338">
        <f t="shared" si="3"/>
        <v>78862876.430000007</v>
      </c>
      <c r="J11" s="338">
        <f t="shared" si="3"/>
        <v>79722383.74000001</v>
      </c>
      <c r="K11" s="338">
        <f t="shared" si="3"/>
        <v>79788428.549999997</v>
      </c>
      <c r="L11" s="338">
        <f t="shared" si="3"/>
        <v>79825494.770000011</v>
      </c>
      <c r="M11" s="338">
        <f t="shared" si="3"/>
        <v>80643616.230000004</v>
      </c>
      <c r="N11" s="338">
        <f t="shared" si="3"/>
        <v>80760155.060000002</v>
      </c>
      <c r="O11" s="338">
        <f t="shared" si="3"/>
        <v>75457728.320000008</v>
      </c>
      <c r="P11" s="338">
        <f t="shared" ref="P11:AA11" si="4">SUM(P6:P10)</f>
        <v>75546968.710000008</v>
      </c>
      <c r="Q11" s="338">
        <f t="shared" si="4"/>
        <v>75988384.790000007</v>
      </c>
      <c r="R11" s="338">
        <f t="shared" si="4"/>
        <v>76022556.530000001</v>
      </c>
      <c r="S11" s="338">
        <f t="shared" si="4"/>
        <v>76356239.290000007</v>
      </c>
      <c r="T11" s="338">
        <f t="shared" si="4"/>
        <v>76850298.420000002</v>
      </c>
      <c r="U11" s="338">
        <f t="shared" si="4"/>
        <v>77287239.299999997</v>
      </c>
      <c r="V11" s="338">
        <f t="shared" si="4"/>
        <v>77288104.560000002</v>
      </c>
      <c r="W11" s="338">
        <f t="shared" si="4"/>
        <v>77385844.450000003</v>
      </c>
      <c r="X11" s="338">
        <f t="shared" si="4"/>
        <v>78671924.090000004</v>
      </c>
      <c r="Y11" s="338">
        <f t="shared" si="4"/>
        <v>79135132.390000001</v>
      </c>
      <c r="Z11" s="338">
        <f t="shared" si="4"/>
        <v>79405990.269999996</v>
      </c>
      <c r="AA11" s="338">
        <f t="shared" si="4"/>
        <v>81460071.879999995</v>
      </c>
      <c r="AB11" s="338">
        <f t="shared" ref="AB11:AM11" si="5">SUM(AB6:AB10)</f>
        <v>80814098.26000002</v>
      </c>
      <c r="AC11" s="338">
        <f t="shared" si="5"/>
        <v>75120146.710000008</v>
      </c>
      <c r="AD11" s="338">
        <f t="shared" si="5"/>
        <v>75299784.780000016</v>
      </c>
      <c r="AE11" s="338">
        <f t="shared" si="5"/>
        <v>75459145.830000013</v>
      </c>
      <c r="AF11" s="338">
        <f t="shared" si="5"/>
        <v>75506943.130000025</v>
      </c>
      <c r="AG11" s="338">
        <f t="shared" si="5"/>
        <v>75745442.870000005</v>
      </c>
      <c r="AH11" s="338">
        <f t="shared" si="5"/>
        <v>75829698.870000005</v>
      </c>
      <c r="AI11" s="338">
        <f t="shared" si="5"/>
        <v>75849989.980000019</v>
      </c>
      <c r="AJ11" s="338">
        <f t="shared" si="5"/>
        <v>75900594.460000008</v>
      </c>
      <c r="AK11" s="338">
        <f t="shared" si="5"/>
        <v>92186837.700000018</v>
      </c>
      <c r="AL11" s="338">
        <f t="shared" si="5"/>
        <v>92299717.150000006</v>
      </c>
      <c r="AM11" s="626">
        <f t="shared" si="5"/>
        <v>92273724.780000016</v>
      </c>
      <c r="AN11" s="626">
        <f t="shared" ref="AN11:AS11" si="6">SUM(AN6:AN10)</f>
        <v>92328787.170000017</v>
      </c>
      <c r="AO11" s="626">
        <f t="shared" si="6"/>
        <v>90037280.600000024</v>
      </c>
      <c r="AP11" s="626">
        <f t="shared" si="6"/>
        <v>92647498.710000023</v>
      </c>
      <c r="AQ11" s="626">
        <f t="shared" si="6"/>
        <v>100903670.32000004</v>
      </c>
      <c r="AR11" s="626">
        <f t="shared" si="6"/>
        <v>101226578.93000004</v>
      </c>
      <c r="AS11" s="626">
        <f t="shared" si="6"/>
        <v>101537515.83000003</v>
      </c>
      <c r="AT11" s="626">
        <v>101945246.98000002</v>
      </c>
      <c r="AU11" s="626">
        <v>102122547.54000004</v>
      </c>
      <c r="AV11" s="626">
        <v>102178419.51000004</v>
      </c>
      <c r="AW11" s="626">
        <v>102348794.91000003</v>
      </c>
      <c r="AX11" s="626">
        <v>102394912.80000001</v>
      </c>
      <c r="AY11" s="626">
        <v>102518419.78000002</v>
      </c>
      <c r="AZ11" s="626">
        <v>102586754.27000001</v>
      </c>
      <c r="BA11" s="626">
        <v>108475290.58000003</v>
      </c>
      <c r="BB11" s="626">
        <v>108600857.32000004</v>
      </c>
      <c r="BC11" s="626">
        <v>109765563.45000002</v>
      </c>
      <c r="BD11" s="626">
        <v>109828098.98000003</v>
      </c>
      <c r="BE11" s="626">
        <v>109772130.28000003</v>
      </c>
      <c r="BF11" s="626">
        <v>109835564.57000004</v>
      </c>
      <c r="BG11" s="626">
        <v>110254603.75000003</v>
      </c>
      <c r="BH11" s="626">
        <v>110150445.91000003</v>
      </c>
      <c r="BI11" s="626">
        <v>110228175.39000002</v>
      </c>
      <c r="BJ11" s="626">
        <v>111112219.37000002</v>
      </c>
      <c r="BK11" s="626">
        <v>111249681.88000003</v>
      </c>
      <c r="BL11" s="626">
        <v>119875191.40246002</v>
      </c>
      <c r="BM11" s="626">
        <v>120245532.39308001</v>
      </c>
      <c r="BN11" s="626">
        <v>123482648.04529601</v>
      </c>
      <c r="BO11" s="626">
        <v>124013624.64280321</v>
      </c>
      <c r="BP11" s="626">
        <v>159217226.46616063</v>
      </c>
      <c r="BQ11" s="626">
        <v>162507971.10395214</v>
      </c>
      <c r="BR11" s="626">
        <v>165181640.69623041</v>
      </c>
      <c r="BS11" s="626">
        <v>165728121.89508608</v>
      </c>
      <c r="BT11" s="626">
        <v>166079389.07597724</v>
      </c>
      <c r="BU11" s="626">
        <v>166244388.25327545</v>
      </c>
      <c r="BV11" s="626">
        <v>167077607.42985511</v>
      </c>
      <c r="BW11" s="626">
        <v>168347471.56949103</v>
      </c>
      <c r="BX11" s="627">
        <f t="shared" ca="1" si="0"/>
        <v>147634653.4502821</v>
      </c>
      <c r="BY11" s="176"/>
      <c r="BZ11" s="766">
        <f ca="1">SUM(BZ6:BZ10)</f>
        <v>1385650.4708142378</v>
      </c>
      <c r="CA11" s="766">
        <f>SUM(CA6:CA10)</f>
        <v>1451337.7101882724</v>
      </c>
      <c r="CB11" s="375" t="s">
        <v>1260</v>
      </c>
    </row>
    <row r="12" spans="1:80" ht="13.5" thickTop="1">
      <c r="BX12" s="75"/>
    </row>
    <row r="14" spans="1:80">
      <c r="AM14" s="208" t="str">
        <f>+AM2</f>
        <v>Actual</v>
      </c>
      <c r="AN14" s="208" t="str">
        <f t="shared" ref="AN14:AY14" si="7">+AN2</f>
        <v>Actual</v>
      </c>
      <c r="AO14" s="208" t="str">
        <f t="shared" si="7"/>
        <v>Actual</v>
      </c>
      <c r="AP14" s="208" t="str">
        <f t="shared" si="7"/>
        <v>Actual</v>
      </c>
      <c r="AQ14" s="208" t="str">
        <f t="shared" si="7"/>
        <v>Actual</v>
      </c>
      <c r="AR14" s="208" t="str">
        <f t="shared" si="7"/>
        <v>Actual</v>
      </c>
      <c r="AS14" s="208" t="str">
        <f t="shared" si="7"/>
        <v>Actual</v>
      </c>
      <c r="AT14" s="208" t="str">
        <f t="shared" si="7"/>
        <v>Actual</v>
      </c>
      <c r="AU14" s="208" t="str">
        <f t="shared" si="7"/>
        <v>Actual</v>
      </c>
      <c r="AV14" s="208" t="str">
        <f t="shared" si="7"/>
        <v>Actual</v>
      </c>
      <c r="AW14" s="208" t="str">
        <f t="shared" si="7"/>
        <v>Actual</v>
      </c>
      <c r="AX14" s="208" t="str">
        <f t="shared" si="7"/>
        <v>Actual</v>
      </c>
      <c r="AY14" s="208" t="str">
        <f t="shared" si="7"/>
        <v>Actual</v>
      </c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 t="str">
        <f t="shared" ref="BL14:BW14" si="8">+BL2</f>
        <v>Budget</v>
      </c>
      <c r="BM14" s="208" t="str">
        <f t="shared" si="8"/>
        <v>Budget</v>
      </c>
      <c r="BN14" s="208" t="str">
        <f t="shared" si="8"/>
        <v>Budget</v>
      </c>
      <c r="BO14" s="208" t="str">
        <f t="shared" si="8"/>
        <v>Budget</v>
      </c>
      <c r="BP14" s="208" t="str">
        <f t="shared" si="8"/>
        <v>Budget</v>
      </c>
      <c r="BQ14" s="208" t="str">
        <f t="shared" si="8"/>
        <v>Budget</v>
      </c>
      <c r="BR14" s="208" t="str">
        <f t="shared" si="8"/>
        <v>Budget</v>
      </c>
      <c r="BS14" s="208" t="str">
        <f t="shared" si="8"/>
        <v>Budget</v>
      </c>
      <c r="BT14" s="208" t="str">
        <f t="shared" si="8"/>
        <v>Budget</v>
      </c>
      <c r="BU14" s="208" t="str">
        <f t="shared" si="8"/>
        <v>Budget</v>
      </c>
      <c r="BV14" s="208" t="str">
        <f t="shared" si="8"/>
        <v>Budget</v>
      </c>
      <c r="BW14" s="208" t="str">
        <f t="shared" si="8"/>
        <v>Budget</v>
      </c>
    </row>
    <row r="15" spans="1:80">
      <c r="A15" s="628"/>
      <c r="B15" s="629"/>
      <c r="C15" s="628">
        <v>2017</v>
      </c>
      <c r="D15" s="628">
        <v>2017</v>
      </c>
      <c r="E15" s="628">
        <v>2018</v>
      </c>
      <c r="F15" s="628">
        <v>2018</v>
      </c>
      <c r="G15" s="628">
        <v>2018</v>
      </c>
      <c r="H15" s="628">
        <v>2018</v>
      </c>
      <c r="I15" s="628">
        <v>2018</v>
      </c>
      <c r="J15" s="628">
        <v>2018</v>
      </c>
      <c r="K15" s="628">
        <v>2018</v>
      </c>
      <c r="L15" s="628">
        <v>2018</v>
      </c>
      <c r="M15" s="628">
        <v>2018</v>
      </c>
      <c r="N15" s="628">
        <v>2018</v>
      </c>
      <c r="O15" s="628">
        <v>2018</v>
      </c>
      <c r="P15" s="628">
        <f>+P3</f>
        <v>2019</v>
      </c>
      <c r="Q15" s="628">
        <f t="shared" ref="Q15:AA15" si="9">+Q3</f>
        <v>2019</v>
      </c>
      <c r="R15" s="628">
        <f t="shared" si="9"/>
        <v>2019</v>
      </c>
      <c r="S15" s="628">
        <f t="shared" si="9"/>
        <v>2019</v>
      </c>
      <c r="T15" s="628">
        <f t="shared" si="9"/>
        <v>2019</v>
      </c>
      <c r="U15" s="628">
        <f t="shared" si="9"/>
        <v>2019</v>
      </c>
      <c r="V15" s="628">
        <f t="shared" si="9"/>
        <v>2019</v>
      </c>
      <c r="W15" s="628">
        <f t="shared" si="9"/>
        <v>2019</v>
      </c>
      <c r="X15" s="628">
        <f t="shared" si="9"/>
        <v>2019</v>
      </c>
      <c r="Y15" s="628">
        <f t="shared" si="9"/>
        <v>2019</v>
      </c>
      <c r="Z15" s="628">
        <f t="shared" si="9"/>
        <v>2019</v>
      </c>
      <c r="AA15" s="628">
        <f t="shared" si="9"/>
        <v>2019</v>
      </c>
      <c r="AB15" s="628">
        <f t="shared" ref="AB15:AM15" si="10">+AB3</f>
        <v>2020</v>
      </c>
      <c r="AC15" s="628">
        <f t="shared" si="10"/>
        <v>2020</v>
      </c>
      <c r="AD15" s="628">
        <f t="shared" si="10"/>
        <v>2020</v>
      </c>
      <c r="AE15" s="628">
        <f t="shared" si="10"/>
        <v>2020</v>
      </c>
      <c r="AF15" s="628">
        <f t="shared" si="10"/>
        <v>2020</v>
      </c>
      <c r="AG15" s="628">
        <f t="shared" si="10"/>
        <v>2020</v>
      </c>
      <c r="AH15" s="628">
        <f t="shared" si="10"/>
        <v>2020</v>
      </c>
      <c r="AI15" s="628">
        <f t="shared" si="10"/>
        <v>2020</v>
      </c>
      <c r="AJ15" s="628">
        <f t="shared" si="10"/>
        <v>2020</v>
      </c>
      <c r="AK15" s="628">
        <f t="shared" si="10"/>
        <v>2020</v>
      </c>
      <c r="AL15" s="628">
        <f t="shared" si="10"/>
        <v>2020</v>
      </c>
      <c r="AM15" s="633">
        <f t="shared" si="10"/>
        <v>2020</v>
      </c>
      <c r="AN15" s="633">
        <f t="shared" ref="AN15:AY15" si="11">+AN3</f>
        <v>2021</v>
      </c>
      <c r="AO15" s="633">
        <f t="shared" si="11"/>
        <v>2021</v>
      </c>
      <c r="AP15" s="633">
        <f t="shared" si="11"/>
        <v>2021</v>
      </c>
      <c r="AQ15" s="633">
        <f t="shared" si="11"/>
        <v>2021</v>
      </c>
      <c r="AR15" s="633">
        <f t="shared" si="11"/>
        <v>2021</v>
      </c>
      <c r="AS15" s="633">
        <f t="shared" si="11"/>
        <v>2021</v>
      </c>
      <c r="AT15" s="633">
        <f t="shared" si="11"/>
        <v>2021</v>
      </c>
      <c r="AU15" s="633">
        <f t="shared" si="11"/>
        <v>2021</v>
      </c>
      <c r="AV15" s="633">
        <f t="shared" si="11"/>
        <v>2021</v>
      </c>
      <c r="AW15" s="633">
        <f t="shared" si="11"/>
        <v>2021</v>
      </c>
      <c r="AX15" s="633">
        <f t="shared" si="11"/>
        <v>2021</v>
      </c>
      <c r="AY15" s="633">
        <f t="shared" si="11"/>
        <v>2021</v>
      </c>
      <c r="AZ15" s="633">
        <v>2022</v>
      </c>
      <c r="BA15" s="633">
        <v>2022</v>
      </c>
      <c r="BB15" s="633">
        <v>2022</v>
      </c>
      <c r="BC15" s="633">
        <v>2022</v>
      </c>
      <c r="BD15" s="633">
        <v>2022</v>
      </c>
      <c r="BE15" s="633">
        <v>2022</v>
      </c>
      <c r="BF15" s="633">
        <v>2022</v>
      </c>
      <c r="BG15" s="633">
        <v>2022</v>
      </c>
      <c r="BH15" s="633">
        <v>2022</v>
      </c>
      <c r="BI15" s="633">
        <v>2022</v>
      </c>
      <c r="BJ15" s="633">
        <v>2022</v>
      </c>
      <c r="BK15" s="633">
        <v>2022</v>
      </c>
      <c r="BL15" s="633">
        <f t="shared" ref="BL15:BW15" si="12">+BL3</f>
        <v>2023</v>
      </c>
      <c r="BM15" s="633">
        <f t="shared" si="12"/>
        <v>2023</v>
      </c>
      <c r="BN15" s="633">
        <f t="shared" si="12"/>
        <v>2023</v>
      </c>
      <c r="BO15" s="633">
        <f t="shared" si="12"/>
        <v>2023</v>
      </c>
      <c r="BP15" s="633">
        <f t="shared" si="12"/>
        <v>2023</v>
      </c>
      <c r="BQ15" s="633">
        <f t="shared" si="12"/>
        <v>2023</v>
      </c>
      <c r="BR15" s="633">
        <f t="shared" si="12"/>
        <v>2023</v>
      </c>
      <c r="BS15" s="633">
        <f t="shared" si="12"/>
        <v>2023</v>
      </c>
      <c r="BT15" s="633">
        <f t="shared" si="12"/>
        <v>2023</v>
      </c>
      <c r="BU15" s="633">
        <f t="shared" si="12"/>
        <v>2023</v>
      </c>
      <c r="BV15" s="633">
        <f t="shared" si="12"/>
        <v>2023</v>
      </c>
      <c r="BW15" s="633">
        <f t="shared" si="12"/>
        <v>2023</v>
      </c>
      <c r="BX15" s="628" t="s">
        <v>204</v>
      </c>
      <c r="BY15" s="628" t="s">
        <v>205</v>
      </c>
      <c r="BZ15" s="628" t="s">
        <v>206</v>
      </c>
      <c r="CA15" s="628" t="s">
        <v>207</v>
      </c>
    </row>
    <row r="16" spans="1:80">
      <c r="A16" s="630" t="s">
        <v>227</v>
      </c>
      <c r="B16" s="635" t="s">
        <v>209</v>
      </c>
      <c r="C16" s="631" t="s">
        <v>210</v>
      </c>
      <c r="D16" s="631" t="s">
        <v>211</v>
      </c>
      <c r="E16" s="631" t="s">
        <v>212</v>
      </c>
      <c r="F16" s="631" t="s">
        <v>213</v>
      </c>
      <c r="G16" s="631" t="s">
        <v>214</v>
      </c>
      <c r="H16" s="631" t="s">
        <v>215</v>
      </c>
      <c r="I16" s="631" t="s">
        <v>216</v>
      </c>
      <c r="J16" s="631" t="s">
        <v>217</v>
      </c>
      <c r="K16" s="631" t="s">
        <v>218</v>
      </c>
      <c r="L16" s="631" t="s">
        <v>219</v>
      </c>
      <c r="M16" s="631" t="s">
        <v>220</v>
      </c>
      <c r="N16" s="631" t="s">
        <v>221</v>
      </c>
      <c r="O16" s="631" t="s">
        <v>210</v>
      </c>
      <c r="P16" s="631" t="s">
        <v>211</v>
      </c>
      <c r="Q16" s="631" t="s">
        <v>212</v>
      </c>
      <c r="R16" s="631" t="s">
        <v>213</v>
      </c>
      <c r="S16" s="631" t="s">
        <v>214</v>
      </c>
      <c r="T16" s="631" t="s">
        <v>215</v>
      </c>
      <c r="U16" s="631" t="s">
        <v>216</v>
      </c>
      <c r="V16" s="631" t="s">
        <v>217</v>
      </c>
      <c r="W16" s="631" t="s">
        <v>218</v>
      </c>
      <c r="X16" s="631" t="s">
        <v>219</v>
      </c>
      <c r="Y16" s="631" t="s">
        <v>220</v>
      </c>
      <c r="Z16" s="631" t="s">
        <v>221</v>
      </c>
      <c r="AA16" s="631" t="s">
        <v>210</v>
      </c>
      <c r="AB16" s="631" t="str">
        <f>+AB4</f>
        <v>Jan</v>
      </c>
      <c r="AC16" s="631" t="str">
        <f t="shared" ref="AC16:AM16" si="13">+AC4</f>
        <v>Feb</v>
      </c>
      <c r="AD16" s="631" t="str">
        <f t="shared" si="13"/>
        <v>Mar</v>
      </c>
      <c r="AE16" s="631" t="str">
        <f t="shared" si="13"/>
        <v>Apr</v>
      </c>
      <c r="AF16" s="631" t="str">
        <f t="shared" si="13"/>
        <v>May</v>
      </c>
      <c r="AG16" s="631" t="str">
        <f t="shared" si="13"/>
        <v>Jun</v>
      </c>
      <c r="AH16" s="631" t="str">
        <f t="shared" si="13"/>
        <v>Jul</v>
      </c>
      <c r="AI16" s="631" t="str">
        <f t="shared" si="13"/>
        <v>Aug</v>
      </c>
      <c r="AJ16" s="631" t="str">
        <f t="shared" si="13"/>
        <v>Sep</v>
      </c>
      <c r="AK16" s="631" t="str">
        <f t="shared" si="13"/>
        <v>Oct</v>
      </c>
      <c r="AL16" s="631" t="str">
        <f t="shared" si="13"/>
        <v>Nov</v>
      </c>
      <c r="AM16" s="634" t="str">
        <f t="shared" si="13"/>
        <v>Dec</v>
      </c>
      <c r="AN16" s="634" t="str">
        <f t="shared" ref="AN16:AY16" si="14">+AN4</f>
        <v>Jan</v>
      </c>
      <c r="AO16" s="634" t="str">
        <f t="shared" si="14"/>
        <v>Feb</v>
      </c>
      <c r="AP16" s="634" t="str">
        <f t="shared" si="14"/>
        <v>Mar</v>
      </c>
      <c r="AQ16" s="634" t="str">
        <f t="shared" si="14"/>
        <v>Apr</v>
      </c>
      <c r="AR16" s="634" t="str">
        <f t="shared" si="14"/>
        <v>May</v>
      </c>
      <c r="AS16" s="634" t="str">
        <f t="shared" si="14"/>
        <v>Jun</v>
      </c>
      <c r="AT16" s="634" t="str">
        <f t="shared" si="14"/>
        <v>Jul</v>
      </c>
      <c r="AU16" s="634" t="str">
        <f t="shared" si="14"/>
        <v>Aug</v>
      </c>
      <c r="AV16" s="634" t="str">
        <f t="shared" si="14"/>
        <v>Sep</v>
      </c>
      <c r="AW16" s="634" t="str">
        <f t="shared" si="14"/>
        <v>Oct</v>
      </c>
      <c r="AX16" s="634" t="str">
        <f t="shared" si="14"/>
        <v>Nov</v>
      </c>
      <c r="AY16" s="634" t="str">
        <f t="shared" si="14"/>
        <v>Dec</v>
      </c>
      <c r="AZ16" s="634" t="s">
        <v>211</v>
      </c>
      <c r="BA16" s="634" t="s">
        <v>212</v>
      </c>
      <c r="BB16" s="634" t="s">
        <v>1231</v>
      </c>
      <c r="BC16" s="634" t="s">
        <v>1232</v>
      </c>
      <c r="BD16" s="634" t="s">
        <v>215</v>
      </c>
      <c r="BE16" s="634" t="s">
        <v>1233</v>
      </c>
      <c r="BF16" s="634" t="s">
        <v>1234</v>
      </c>
      <c r="BG16" s="634" t="s">
        <v>218</v>
      </c>
      <c r="BH16" s="634" t="s">
        <v>1235</v>
      </c>
      <c r="BI16" s="634" t="s">
        <v>220</v>
      </c>
      <c r="BJ16" s="634" t="s">
        <v>221</v>
      </c>
      <c r="BK16" s="634" t="s">
        <v>210</v>
      </c>
      <c r="BL16" s="634" t="str">
        <f t="shared" ref="BL16:BW16" si="15">+BL4</f>
        <v>Jan</v>
      </c>
      <c r="BM16" s="634" t="str">
        <f t="shared" si="15"/>
        <v>Feb</v>
      </c>
      <c r="BN16" s="634" t="str">
        <f t="shared" si="15"/>
        <v>Mar</v>
      </c>
      <c r="BO16" s="634" t="str">
        <f t="shared" si="15"/>
        <v>Apr</v>
      </c>
      <c r="BP16" s="634" t="str">
        <f t="shared" si="15"/>
        <v>May</v>
      </c>
      <c r="BQ16" s="634" t="str">
        <f t="shared" si="15"/>
        <v>Jun</v>
      </c>
      <c r="BR16" s="634" t="str">
        <f t="shared" si="15"/>
        <v>Jul</v>
      </c>
      <c r="BS16" s="634" t="str">
        <f t="shared" si="15"/>
        <v>Aug</v>
      </c>
      <c r="BT16" s="634" t="str">
        <f t="shared" si="15"/>
        <v>Sep</v>
      </c>
      <c r="BU16" s="634" t="str">
        <f t="shared" si="15"/>
        <v>Oct</v>
      </c>
      <c r="BV16" s="634" t="str">
        <f t="shared" si="15"/>
        <v>Nov</v>
      </c>
      <c r="BW16" s="634" t="str">
        <f t="shared" si="15"/>
        <v>Dec</v>
      </c>
      <c r="BX16" s="631" t="s">
        <v>222</v>
      </c>
      <c r="BY16" s="631" t="s">
        <v>105</v>
      </c>
      <c r="BZ16" s="631" t="s">
        <v>205</v>
      </c>
      <c r="CA16" s="631" t="s">
        <v>205</v>
      </c>
    </row>
    <row r="17" spans="1:80">
      <c r="A17" s="375"/>
      <c r="B17" s="375"/>
      <c r="BB17" s="1013"/>
      <c r="BC17" s="1013"/>
      <c r="BD17" s="1013"/>
      <c r="BE17" s="1013"/>
      <c r="BN17" s="1013"/>
      <c r="BO17" s="1013"/>
      <c r="BP17" s="1013"/>
      <c r="BQ17" s="1013"/>
    </row>
    <row r="18" spans="1:80" ht="15">
      <c r="A18" s="375" t="s">
        <v>223</v>
      </c>
      <c r="B18" s="287">
        <f ca="1">SUM(OFFSET(AZ18:BL18,0,'Bal Sheet'!$A$1-1))/13</f>
        <v>-26843596.366350349</v>
      </c>
      <c r="C18" s="377">
        <v>-11879411.780000003</v>
      </c>
      <c r="D18" s="344">
        <v>-12032561.660000004</v>
      </c>
      <c r="E18" s="344">
        <v>-12185713.010000004</v>
      </c>
      <c r="F18" s="344">
        <v>-12338879.500000002</v>
      </c>
      <c r="G18" s="344">
        <v>-12492061.369999999</v>
      </c>
      <c r="H18" s="344">
        <v>-12645265.17</v>
      </c>
      <c r="I18" s="377">
        <v>-12798477.920000004</v>
      </c>
      <c r="J18" s="344">
        <v>-12951912.850000003</v>
      </c>
      <c r="K18" s="344">
        <v>-13106960.920000002</v>
      </c>
      <c r="L18" s="344">
        <v>-13262170.160000002</v>
      </c>
      <c r="M18" s="344">
        <v>-13417566.450000001</v>
      </c>
      <c r="N18" s="344">
        <v>-13577405.440000001</v>
      </c>
      <c r="O18" s="344">
        <v>-12971602.4</v>
      </c>
      <c r="P18" s="344">
        <v>-13136019.52</v>
      </c>
      <c r="Q18" s="344">
        <v>-13300930.27</v>
      </c>
      <c r="R18" s="344">
        <v>-13465708.799999999</v>
      </c>
      <c r="S18" s="344">
        <v>-13630474.829999998</v>
      </c>
      <c r="T18" s="344">
        <v>-13795292.209999999</v>
      </c>
      <c r="U18" s="344">
        <v>-13960226.979999999</v>
      </c>
      <c r="V18" s="344">
        <v>-14125168.379999999</v>
      </c>
      <c r="W18" s="344">
        <v>-14290034.01</v>
      </c>
      <c r="X18" s="344">
        <v>-14454966.279999999</v>
      </c>
      <c r="Y18" s="344">
        <v>-14626161.969999999</v>
      </c>
      <c r="Z18" s="344">
        <v>-14797997.539999999</v>
      </c>
      <c r="AA18" s="344">
        <v>-14970868.149999999</v>
      </c>
      <c r="AB18" s="344">
        <v>-14759277.889999999</v>
      </c>
      <c r="AC18" s="344">
        <v>-14935887.979999997</v>
      </c>
      <c r="AD18" s="344">
        <v>-15113619.629999997</v>
      </c>
      <c r="AE18" s="344">
        <v>-15291383.989999998</v>
      </c>
      <c r="AF18" s="344">
        <v>-15469162.229999997</v>
      </c>
      <c r="AG18" s="344">
        <v>-15647056.799999997</v>
      </c>
      <c r="AH18" s="344">
        <v>-15825704.1</v>
      </c>
      <c r="AI18" s="534">
        <v>-16004467.24</v>
      </c>
      <c r="AJ18" s="534">
        <v>-16183198.589999996</v>
      </c>
      <c r="AK18" s="534">
        <v>-16362107.060000001</v>
      </c>
      <c r="AL18" s="534">
        <v>-16631489.319999997</v>
      </c>
      <c r="AM18" s="777">
        <v>-16901291.509999998</v>
      </c>
      <c r="AN18" s="777">
        <v>-17167038.679999996</v>
      </c>
      <c r="AO18" s="778">
        <v>-17433020.749999996</v>
      </c>
      <c r="AP18" s="778">
        <v>-17699334.909999996</v>
      </c>
      <c r="AQ18" s="778">
        <v>-17979837.509999998</v>
      </c>
      <c r="AR18" s="778">
        <v>-18275993.779999997</v>
      </c>
      <c r="AS18" s="778">
        <v>-18573544.949999996</v>
      </c>
      <c r="AT18" s="778">
        <v>-18872536.699999996</v>
      </c>
      <c r="AU18" s="778">
        <v>-19172951.709999997</v>
      </c>
      <c r="AV18" s="778">
        <v>-19473918.499999996</v>
      </c>
      <c r="AW18" s="778">
        <v>-19775041.149999999</v>
      </c>
      <c r="AX18" s="778">
        <v>-20076309.030000001</v>
      </c>
      <c r="AY18" s="778">
        <v>-20377774.279999997</v>
      </c>
      <c r="AZ18" s="1013">
        <v>-20679350.349999998</v>
      </c>
      <c r="BA18" s="1013">
        <v>-20981161.789999999</v>
      </c>
      <c r="BB18" s="1013">
        <v>-21315319.289999999</v>
      </c>
      <c r="BC18" s="1013">
        <v>-21650159.959999997</v>
      </c>
      <c r="BD18" s="1013">
        <v>-21985118.499999996</v>
      </c>
      <c r="BE18" s="1013">
        <v>-22172586.829999994</v>
      </c>
      <c r="BF18" s="636">
        <v>-22507049.549999993</v>
      </c>
      <c r="BG18" s="636">
        <v>-22841635.459999993</v>
      </c>
      <c r="BH18" s="636">
        <v>-23176203.979999993</v>
      </c>
      <c r="BI18" s="636">
        <v>-23511039.789999992</v>
      </c>
      <c r="BJ18" s="636">
        <v>-23845995.299999993</v>
      </c>
      <c r="BK18" s="636">
        <v>-24184469.639999993</v>
      </c>
      <c r="BL18" s="1013">
        <v>-24523825.292514998</v>
      </c>
      <c r="BM18" s="1013">
        <v>-24889146.16771175</v>
      </c>
      <c r="BN18" s="1013">
        <v>-25255426.594966251</v>
      </c>
      <c r="BO18" s="1013">
        <v>-25629795.173283502</v>
      </c>
      <c r="BP18" s="1013">
        <v>-26005647.706658501</v>
      </c>
      <c r="BQ18" s="1013">
        <v>-26573631.282653503</v>
      </c>
      <c r="BR18" s="636">
        <v>-27158280.771098502</v>
      </c>
      <c r="BS18" s="636">
        <v>-27753991.788043503</v>
      </c>
      <c r="BT18" s="636">
        <v>-28350469.499488503</v>
      </c>
      <c r="BU18" s="636">
        <v>-28947871.843433503</v>
      </c>
      <c r="BV18" s="636">
        <v>-29545928.230878502</v>
      </c>
      <c r="BW18" s="636">
        <v>-30148268.771823503</v>
      </c>
      <c r="BX18" s="607">
        <f ca="1">+B18</f>
        <v>-26843596.366350349</v>
      </c>
      <c r="BY18" s="1117">
        <v>0</v>
      </c>
      <c r="BZ18" s="340">
        <f ca="1">BX18*BY18</f>
        <v>0</v>
      </c>
      <c r="CA18" s="340">
        <f>+BY18*BW18</f>
        <v>0</v>
      </c>
      <c r="CB18" s="375" t="s">
        <v>1260</v>
      </c>
    </row>
    <row r="19" spans="1:80" ht="15">
      <c r="A19" s="375" t="s">
        <v>224</v>
      </c>
      <c r="B19" s="287">
        <f ca="1">SUM(OFFSET(AZ19:BL19,0,'Bal Sheet'!$A$1-1))/13</f>
        <v>60224.600000000435</v>
      </c>
      <c r="C19" s="377">
        <v>-689212.62999999837</v>
      </c>
      <c r="D19" s="344">
        <v>-695967.54999999842</v>
      </c>
      <c r="E19" s="344">
        <v>-702724.10999999847</v>
      </c>
      <c r="F19" s="344">
        <v>-709488.44999999821</v>
      </c>
      <c r="G19" s="344">
        <v>-717374.18</v>
      </c>
      <c r="H19" s="344">
        <v>-725597.53</v>
      </c>
      <c r="I19" s="377">
        <v>-733829.1899999982</v>
      </c>
      <c r="J19" s="344">
        <v>-741762.94999999844</v>
      </c>
      <c r="K19" s="344">
        <v>-750035.3199999982</v>
      </c>
      <c r="L19" s="344">
        <v>-758308.11999999825</v>
      </c>
      <c r="M19" s="344">
        <v>-766580.91999999818</v>
      </c>
      <c r="N19" s="344">
        <v>-774853.71999999799</v>
      </c>
      <c r="O19" s="344">
        <v>15464.41</v>
      </c>
      <c r="P19" s="344">
        <v>15464.41</v>
      </c>
      <c r="Q19" s="344">
        <v>15464.41</v>
      </c>
      <c r="R19" s="344">
        <v>15464.41</v>
      </c>
      <c r="S19" s="344">
        <v>15464.41</v>
      </c>
      <c r="T19" s="344">
        <v>15464.41</v>
      </c>
      <c r="U19" s="344">
        <v>15464.41</v>
      </c>
      <c r="V19" s="344">
        <v>15464.41</v>
      </c>
      <c r="W19" s="344">
        <v>15464.41</v>
      </c>
      <c r="X19" s="344">
        <v>60224.61</v>
      </c>
      <c r="Y19" s="344">
        <v>60224.61</v>
      </c>
      <c r="Z19" s="344">
        <v>60224.61</v>
      </c>
      <c r="AA19" s="344">
        <v>60224.61</v>
      </c>
      <c r="AB19" s="344">
        <v>60224.61</v>
      </c>
      <c r="AC19" s="344">
        <v>60224.600000000413</v>
      </c>
      <c r="AD19" s="344">
        <v>60224.600000000413</v>
      </c>
      <c r="AE19" s="344">
        <v>60224.600000000413</v>
      </c>
      <c r="AF19" s="344">
        <v>60224.600000000413</v>
      </c>
      <c r="AG19" s="344">
        <v>60224.600000000413</v>
      </c>
      <c r="AH19" s="344">
        <v>60224.600000000559</v>
      </c>
      <c r="AI19" s="534">
        <v>60224.600000000559</v>
      </c>
      <c r="AJ19" s="534">
        <v>60224.600000000413</v>
      </c>
      <c r="AK19" s="534">
        <v>60224.600000000559</v>
      </c>
      <c r="AL19" s="534">
        <v>60224.600000000413</v>
      </c>
      <c r="AM19" s="777">
        <v>60224.600000000413</v>
      </c>
      <c r="AN19" s="777">
        <v>60224.600000000413</v>
      </c>
      <c r="AO19" s="778">
        <v>60224.600000000413</v>
      </c>
      <c r="AP19" s="778">
        <v>60224.600000000413</v>
      </c>
      <c r="AQ19" s="778">
        <v>60224.600000000413</v>
      </c>
      <c r="AR19" s="778">
        <v>60224.600000000413</v>
      </c>
      <c r="AS19" s="778">
        <v>60224.600000000413</v>
      </c>
      <c r="AT19" s="778">
        <v>60224.600000000413</v>
      </c>
      <c r="AU19" s="778">
        <v>60224.600000000413</v>
      </c>
      <c r="AV19" s="778">
        <v>60224.600000000413</v>
      </c>
      <c r="AW19" s="778">
        <v>60224.600000000413</v>
      </c>
      <c r="AX19" s="778">
        <v>60224.600000000413</v>
      </c>
      <c r="AY19" s="778">
        <v>60224.600000000413</v>
      </c>
      <c r="AZ19" s="1013">
        <v>60224.600000000413</v>
      </c>
      <c r="BA19" s="1013">
        <v>60224.600000000413</v>
      </c>
      <c r="BB19" s="1013">
        <v>60224.600000000413</v>
      </c>
      <c r="BC19" s="1013">
        <v>60224.600000000413</v>
      </c>
      <c r="BD19" s="1013">
        <v>60224.600000000413</v>
      </c>
      <c r="BE19" s="1013">
        <v>60224.600000000413</v>
      </c>
      <c r="BF19" s="636">
        <v>60224.600000000413</v>
      </c>
      <c r="BG19" s="636">
        <v>60224.600000000413</v>
      </c>
      <c r="BH19" s="636">
        <v>60224.600000000413</v>
      </c>
      <c r="BI19" s="636">
        <v>60224.600000000413</v>
      </c>
      <c r="BJ19" s="636">
        <v>60224.600000000413</v>
      </c>
      <c r="BK19" s="636">
        <v>60224.600000000413</v>
      </c>
      <c r="BL19" s="1013">
        <v>60224.600000000413</v>
      </c>
      <c r="BM19" s="1013">
        <v>60224.600000000413</v>
      </c>
      <c r="BN19" s="1013">
        <v>60224.600000000413</v>
      </c>
      <c r="BO19" s="1013">
        <v>60224.600000000413</v>
      </c>
      <c r="BP19" s="1013">
        <v>60224.600000000413</v>
      </c>
      <c r="BQ19" s="1013">
        <v>60224.600000000413</v>
      </c>
      <c r="BR19" s="636">
        <v>60224.600000000413</v>
      </c>
      <c r="BS19" s="636">
        <v>60224.600000000413</v>
      </c>
      <c r="BT19" s="636">
        <v>60224.600000000413</v>
      </c>
      <c r="BU19" s="636">
        <v>60224.600000000413</v>
      </c>
      <c r="BV19" s="636">
        <v>60224.600000000413</v>
      </c>
      <c r="BW19" s="636">
        <v>60224.600000000413</v>
      </c>
      <c r="BX19" s="607">
        <f t="shared" ref="BX19:BX22" ca="1" si="16">+B19</f>
        <v>60224.600000000435</v>
      </c>
      <c r="BY19" s="1117">
        <v>7.6214819193485715E-3</v>
      </c>
      <c r="BZ19" s="341">
        <f ca="1">BX19*BY19</f>
        <v>459.00070000000329</v>
      </c>
      <c r="CA19" s="341">
        <f t="shared" ref="CA19:CA22" si="17">+BY19*BW19</f>
        <v>459.00070000000312</v>
      </c>
      <c r="CB19" s="375" t="s">
        <v>1260</v>
      </c>
    </row>
    <row r="20" spans="1:80" ht="15">
      <c r="A20" s="375" t="s">
        <v>225</v>
      </c>
      <c r="B20" s="287">
        <f ca="1">SUM(OFFSET(AZ20:BL20,0,'Bal Sheet'!$A$1-1))/13</f>
        <v>-8589734.1616313644</v>
      </c>
      <c r="C20" s="377">
        <v>-5421817.8500000043</v>
      </c>
      <c r="D20" s="344">
        <v>-5469576.2600000026</v>
      </c>
      <c r="E20" s="344">
        <v>-5517334.3400000045</v>
      </c>
      <c r="F20" s="344">
        <v>-5565091.9400000032</v>
      </c>
      <c r="G20" s="344">
        <v>-5612882.1499999994</v>
      </c>
      <c r="H20" s="344">
        <v>-5660684.0899999999</v>
      </c>
      <c r="I20" s="377">
        <v>-5708548.820000004</v>
      </c>
      <c r="J20" s="344">
        <v>-5753853.8800000045</v>
      </c>
      <c r="K20" s="344">
        <v>-5802283.2200000035</v>
      </c>
      <c r="L20" s="344">
        <v>-5850782.8900000034</v>
      </c>
      <c r="M20" s="344">
        <v>-5899289.5600000052</v>
      </c>
      <c r="N20" s="344">
        <v>-5947829.2400000049</v>
      </c>
      <c r="O20" s="344">
        <v>-5996434.8600000022</v>
      </c>
      <c r="P20" s="344">
        <v>-6045192.3000000026</v>
      </c>
      <c r="Q20" s="344">
        <v>-6093962.1400000025</v>
      </c>
      <c r="R20" s="344">
        <v>-6142712.1400000025</v>
      </c>
      <c r="S20" s="344">
        <v>-6191533.4400000023</v>
      </c>
      <c r="T20" s="344">
        <v>-6240957.3800000027</v>
      </c>
      <c r="U20" s="344">
        <v>-6291283.3400000026</v>
      </c>
      <c r="V20" s="344">
        <v>-6342517.1200000029</v>
      </c>
      <c r="W20" s="344">
        <v>-6393785.3300000029</v>
      </c>
      <c r="X20" s="344">
        <v>-6416789.8200000031</v>
      </c>
      <c r="Y20" s="344">
        <v>-6468521.3200000031</v>
      </c>
      <c r="Z20" s="344">
        <v>-6520374.5200000033</v>
      </c>
      <c r="AA20" s="344">
        <v>-6572394.4200000037</v>
      </c>
      <c r="AB20" s="344">
        <v>-6468939.3800000036</v>
      </c>
      <c r="AC20" s="344">
        <v>-6520873.3000000017</v>
      </c>
      <c r="AD20" s="344">
        <v>-6572827.75</v>
      </c>
      <c r="AE20" s="344">
        <v>-6625004.0300000021</v>
      </c>
      <c r="AF20" s="344">
        <v>-6677460.6800000025</v>
      </c>
      <c r="AG20" s="344">
        <v>-6729919.3000000017</v>
      </c>
      <c r="AH20" s="344">
        <v>-6782375.4400000023</v>
      </c>
      <c r="AI20" s="534">
        <v>-6834931.4700000025</v>
      </c>
      <c r="AJ20" s="534">
        <v>-6878020.7800000021</v>
      </c>
      <c r="AK20" s="534">
        <v>-6929802.9000000022</v>
      </c>
      <c r="AL20" s="534">
        <v>-6982414.9700000035</v>
      </c>
      <c r="AM20" s="777">
        <v>-7035097.3900000025</v>
      </c>
      <c r="AN20" s="777">
        <v>-7094232.6900000023</v>
      </c>
      <c r="AO20" s="778">
        <v>-7153393.6500000022</v>
      </c>
      <c r="AP20" s="778">
        <v>-7212554.9100000039</v>
      </c>
      <c r="AQ20" s="778">
        <v>-7271787.3400000045</v>
      </c>
      <c r="AR20" s="778">
        <v>-7331024.0500000035</v>
      </c>
      <c r="AS20" s="778">
        <v>-7390257.8500000061</v>
      </c>
      <c r="AT20" s="778">
        <v>-7449554.3300000047</v>
      </c>
      <c r="AU20" s="778">
        <v>-7509042.0000000037</v>
      </c>
      <c r="AV20" s="778">
        <v>-7568812.4100000048</v>
      </c>
      <c r="AW20" s="778">
        <v>-7628611.5800000075</v>
      </c>
      <c r="AX20" s="778">
        <v>-7688657.8100000052</v>
      </c>
      <c r="AY20" s="778">
        <v>-7748722.8400000054</v>
      </c>
      <c r="AZ20" s="1013">
        <v>-7808979.3800000045</v>
      </c>
      <c r="BA20" s="1013">
        <v>-7869228.5300000049</v>
      </c>
      <c r="BB20" s="1013">
        <v>-7929494.3300000057</v>
      </c>
      <c r="BC20" s="1013">
        <v>-7989762.3500000061</v>
      </c>
      <c r="BD20" s="1013">
        <v>-8050062.3300000047</v>
      </c>
      <c r="BE20" s="1013">
        <v>-8110362.3100000033</v>
      </c>
      <c r="BF20" s="636">
        <v>-8170875.4700000044</v>
      </c>
      <c r="BG20" s="636">
        <v>-8231437.6000000043</v>
      </c>
      <c r="BH20" s="636">
        <v>-8292927.400000005</v>
      </c>
      <c r="BI20" s="636">
        <v>-8354035.320000005</v>
      </c>
      <c r="BJ20" s="636">
        <v>-8415217.9200000037</v>
      </c>
      <c r="BK20" s="636">
        <v>-8476959.6300000027</v>
      </c>
      <c r="BL20" s="1013">
        <v>-8377248.0181733398</v>
      </c>
      <c r="BM20" s="1013">
        <v>-8432010.8855888136</v>
      </c>
      <c r="BN20" s="1013">
        <v>-8416942.6295301467</v>
      </c>
      <c r="BO20" s="1013">
        <v>-8470085.3171718325</v>
      </c>
      <c r="BP20" s="1013">
        <v>-8518652.5690617003</v>
      </c>
      <c r="BQ20" s="1013">
        <v>-8572572.3593631666</v>
      </c>
      <c r="BR20" s="636">
        <v>-8586915.8616762329</v>
      </c>
      <c r="BS20" s="636">
        <v>-8632356.4628426339</v>
      </c>
      <c r="BT20" s="636">
        <v>-8694099.8690873012</v>
      </c>
      <c r="BU20" s="636">
        <v>-8764527.480410235</v>
      </c>
      <c r="BV20" s="636">
        <v>-8835013.896811435</v>
      </c>
      <c r="BW20" s="636">
        <v>-8889159.1214909013</v>
      </c>
      <c r="BX20" s="607">
        <f t="shared" ca="1" si="16"/>
        <v>-8589734.1616313644</v>
      </c>
      <c r="BY20" s="1117">
        <v>4.5516676620816099E-2</v>
      </c>
      <c r="BZ20" s="341">
        <f ca="1">BX20*BY20</f>
        <v>-390976.15209375171</v>
      </c>
      <c r="CA20" s="341">
        <f t="shared" si="17"/>
        <v>-404604.9811638791</v>
      </c>
      <c r="CB20" s="375" t="s">
        <v>1260</v>
      </c>
    </row>
    <row r="21" spans="1:80" ht="15">
      <c r="A21" s="375" t="s">
        <v>225</v>
      </c>
      <c r="B21" s="287">
        <f ca="1">SUM(OFFSET(AZ21:BL21,0,'Bal Sheet'!$A$1-1))/13</f>
        <v>-20935.142889846062</v>
      </c>
      <c r="C21" s="377">
        <v>-12092.159999999945</v>
      </c>
      <c r="D21" s="344">
        <v>-12150.869999999944</v>
      </c>
      <c r="E21" s="344">
        <v>-12209.579999999944</v>
      </c>
      <c r="F21" s="344">
        <v>-12268.289999999943</v>
      </c>
      <c r="G21" s="344">
        <v>-12326.999999999942</v>
      </c>
      <c r="H21" s="344">
        <v>-12385.709999999941</v>
      </c>
      <c r="I21" s="377">
        <v>-12444.41999999994</v>
      </c>
      <c r="J21" s="344">
        <v>-12503.129999999939</v>
      </c>
      <c r="K21" s="344">
        <v>-12561.839999999938</v>
      </c>
      <c r="L21" s="344">
        <v>-12620.549999999937</v>
      </c>
      <c r="M21" s="344">
        <v>-12679.259999999937</v>
      </c>
      <c r="N21" s="344">
        <v>-12737.969999999936</v>
      </c>
      <c r="O21" s="344">
        <v>-32835.819999999934</v>
      </c>
      <c r="P21" s="344">
        <v>-33174.029999999941</v>
      </c>
      <c r="Q21" s="344">
        <v>-33512.239999999932</v>
      </c>
      <c r="R21" s="344">
        <v>-33850.449999999939</v>
      </c>
      <c r="S21" s="344">
        <v>-34188.659999999931</v>
      </c>
      <c r="T21" s="344">
        <v>-34526.869999999937</v>
      </c>
      <c r="U21" s="344">
        <v>-34865.079999999929</v>
      </c>
      <c r="V21" s="344">
        <v>-35203.289999999935</v>
      </c>
      <c r="W21" s="344">
        <v>-35541.499999999927</v>
      </c>
      <c r="X21" s="344">
        <v>-35879.709999999934</v>
      </c>
      <c r="Y21" s="344">
        <v>-36217.919999999925</v>
      </c>
      <c r="Z21" s="344">
        <v>-36556.129999999932</v>
      </c>
      <c r="AA21" s="344">
        <v>-36894.339999999924</v>
      </c>
      <c r="AB21" s="344">
        <v>-37232.549999999937</v>
      </c>
      <c r="AC21" s="344">
        <v>-37570.759999999937</v>
      </c>
      <c r="AD21" s="344">
        <v>-37908.969999999936</v>
      </c>
      <c r="AE21" s="344">
        <v>-38247.179999999935</v>
      </c>
      <c r="AF21" s="344">
        <v>-38585.389999999934</v>
      </c>
      <c r="AG21" s="344">
        <v>-38923.599999999933</v>
      </c>
      <c r="AH21" s="344">
        <v>-39261.809999999932</v>
      </c>
      <c r="AI21" s="534">
        <v>-39600.019999999931</v>
      </c>
      <c r="AJ21" s="534">
        <v>-39938.22999999993</v>
      </c>
      <c r="AK21" s="534">
        <v>-40276.43999999993</v>
      </c>
      <c r="AL21" s="534">
        <v>-40614.649999999929</v>
      </c>
      <c r="AM21" s="777">
        <v>-40952.859999999928</v>
      </c>
      <c r="AN21" s="777">
        <v>-41288.729999999923</v>
      </c>
      <c r="AO21" s="778">
        <v>-41624.599999999926</v>
      </c>
      <c r="AP21" s="778">
        <v>-41960.469999999928</v>
      </c>
      <c r="AQ21" s="778">
        <v>-42296.339999999924</v>
      </c>
      <c r="AR21" s="778">
        <v>-42632.209999999919</v>
      </c>
      <c r="AS21" s="778">
        <v>-42968.079999999914</v>
      </c>
      <c r="AT21" s="778">
        <v>-43303.94999999991</v>
      </c>
      <c r="AU21" s="778">
        <v>-43639.819999999905</v>
      </c>
      <c r="AV21" s="778">
        <v>-43975.689999999908</v>
      </c>
      <c r="AW21" s="778">
        <v>-44311.55999999991</v>
      </c>
      <c r="AX21" s="778">
        <v>-44647.429999999906</v>
      </c>
      <c r="AY21" s="778">
        <v>-44983.299999999901</v>
      </c>
      <c r="AZ21" s="1013">
        <v>-45319.169999999904</v>
      </c>
      <c r="BA21" s="1013">
        <v>-45655.039999999892</v>
      </c>
      <c r="BB21" s="1013">
        <v>-45990.909999999894</v>
      </c>
      <c r="BC21" s="1013">
        <v>-46326.779999999897</v>
      </c>
      <c r="BD21" s="1013">
        <v>-46662.649999999892</v>
      </c>
      <c r="BE21" s="1013">
        <v>-46998.519999999895</v>
      </c>
      <c r="BF21" s="636">
        <v>-47334.389999999898</v>
      </c>
      <c r="BG21" s="636">
        <v>-47670.259999999893</v>
      </c>
      <c r="BH21" s="636">
        <v>-48006.129999999888</v>
      </c>
      <c r="BI21" s="636">
        <v>-48341.999999999884</v>
      </c>
      <c r="BJ21" s="636">
        <v>-48677.869999999879</v>
      </c>
      <c r="BK21" s="636">
        <v>-49013.739999999882</v>
      </c>
      <c r="BL21" s="1013">
        <v>-49338.428619999911</v>
      </c>
      <c r="BM21" s="1013">
        <v>-49663.117239999912</v>
      </c>
      <c r="BN21" s="1013">
        <v>-6446.5370599999151</v>
      </c>
      <c r="BO21" s="1013">
        <v>-7772.6748623999156</v>
      </c>
      <c r="BP21" s="1013">
        <v>-9098.8126647999161</v>
      </c>
      <c r="BQ21" s="1013">
        <v>-10424.950467199917</v>
      </c>
      <c r="BR21" s="636">
        <v>-11751.088269599917</v>
      </c>
      <c r="BS21" s="636">
        <v>-13077.226071999918</v>
      </c>
      <c r="BT21" s="636">
        <v>-14403.363874399918</v>
      </c>
      <c r="BU21" s="636">
        <v>-15729.501676799919</v>
      </c>
      <c r="BV21" s="636">
        <v>-17055.639479199919</v>
      </c>
      <c r="BW21" s="636">
        <v>-18381.77728159992</v>
      </c>
      <c r="BX21" s="607">
        <f t="shared" ca="1" si="16"/>
        <v>-20935.142889846062</v>
      </c>
      <c r="BY21" s="1117">
        <v>0.146896801889812</v>
      </c>
      <c r="BZ21" s="341">
        <f ca="1">BX21*BY21</f>
        <v>-3075.305537624623</v>
      </c>
      <c r="CA21" s="341">
        <f t="shared" si="17"/>
        <v>-2700.2242957178305</v>
      </c>
      <c r="CB21" s="375" t="s">
        <v>1260</v>
      </c>
    </row>
    <row r="22" spans="1:80" ht="15">
      <c r="A22" s="375" t="s">
        <v>226</v>
      </c>
      <c r="B22" s="287">
        <f ca="1">SUM(OFFSET(AZ22:BL22,0,'Bal Sheet'!$A$1-1))/13</f>
        <v>-5081182.9842883712</v>
      </c>
      <c r="C22" s="377">
        <v>-3417921.7500000037</v>
      </c>
      <c r="D22" s="344">
        <v>-3460025.680000003</v>
      </c>
      <c r="E22" s="344">
        <v>-3502284.9400000032</v>
      </c>
      <c r="F22" s="344">
        <v>-3545971.8100000033</v>
      </c>
      <c r="G22" s="344">
        <v>-3589844.5200000042</v>
      </c>
      <c r="H22" s="344">
        <v>-3633769.1900000041</v>
      </c>
      <c r="I22" s="377">
        <v>-3677693.8600000022</v>
      </c>
      <c r="J22" s="344">
        <v>-3721635.7700000023</v>
      </c>
      <c r="K22" s="344">
        <v>-3765577.6800000025</v>
      </c>
      <c r="L22" s="344">
        <v>-3809528.9600000018</v>
      </c>
      <c r="M22" s="344">
        <v>-3853480.2400000021</v>
      </c>
      <c r="N22" s="344">
        <v>-3897465.3000000017</v>
      </c>
      <c r="O22" s="344">
        <v>-4484796.6600000011</v>
      </c>
      <c r="P22" s="344">
        <v>-4538144.4300000016</v>
      </c>
      <c r="Q22" s="344">
        <v>-4591305.9000000013</v>
      </c>
      <c r="R22" s="344">
        <v>-4648279.2600000016</v>
      </c>
      <c r="S22" s="344">
        <v>-4705316.7400000012</v>
      </c>
      <c r="T22" s="344">
        <v>-4762715.1600000011</v>
      </c>
      <c r="U22" s="344">
        <v>-4820447.790000001</v>
      </c>
      <c r="V22" s="344">
        <v>-4878180.4200000009</v>
      </c>
      <c r="W22" s="344">
        <v>-4935901.0000000019</v>
      </c>
      <c r="X22" s="344">
        <v>-4993792.3200000012</v>
      </c>
      <c r="Y22" s="344">
        <v>-5051739.4900000012</v>
      </c>
      <c r="Z22" s="344">
        <v>-5111106.0900000017</v>
      </c>
      <c r="AA22" s="344">
        <v>-5170513.8200000012</v>
      </c>
      <c r="AB22" s="344">
        <v>-5160958.42</v>
      </c>
      <c r="AC22" s="344">
        <v>-5228534.9600000009</v>
      </c>
      <c r="AD22" s="344">
        <v>-5298840.7200000007</v>
      </c>
      <c r="AE22" s="344">
        <v>-5369761.5999999996</v>
      </c>
      <c r="AF22" s="344">
        <v>-5440868.8200000003</v>
      </c>
      <c r="AG22" s="344">
        <v>-5512203.2800000003</v>
      </c>
      <c r="AH22" s="344">
        <v>-5584602.5300000012</v>
      </c>
      <c r="AI22" s="534">
        <v>-5657161.2400000021</v>
      </c>
      <c r="AJ22" s="534">
        <v>-5729681.629999999</v>
      </c>
      <c r="AK22" s="534">
        <v>-5802493.1000000015</v>
      </c>
      <c r="AL22" s="534">
        <v>-5876076.25</v>
      </c>
      <c r="AM22" s="777">
        <v>-5865736.5</v>
      </c>
      <c r="AN22" s="777">
        <v>-5932151.8100000005</v>
      </c>
      <c r="AO22" s="778">
        <v>-3644781.01</v>
      </c>
      <c r="AP22" s="778">
        <v>-3691630.67</v>
      </c>
      <c r="AQ22" s="778">
        <v>-3738480.3300000005</v>
      </c>
      <c r="AR22" s="778">
        <v>-3785333.92</v>
      </c>
      <c r="AS22" s="778">
        <v>-3832187.51</v>
      </c>
      <c r="AT22" s="778">
        <v>-3879041.1</v>
      </c>
      <c r="AU22" s="778">
        <v>-3925880.1799999988</v>
      </c>
      <c r="AV22" s="778">
        <v>-3972915.6199999992</v>
      </c>
      <c r="AW22" s="778">
        <v>-4019951.0599999996</v>
      </c>
      <c r="AX22" s="778">
        <v>-4067058.3899999997</v>
      </c>
      <c r="AY22" s="778">
        <v>-4114167.2799999993</v>
      </c>
      <c r="AZ22" s="1013">
        <v>-4161277.6999999983</v>
      </c>
      <c r="BA22" s="1013">
        <v>-4208389.6799999988</v>
      </c>
      <c r="BB22" s="1013">
        <v>-4255503.209999999</v>
      </c>
      <c r="BC22" s="1013">
        <v>-4302618.2899999991</v>
      </c>
      <c r="BD22" s="1013">
        <v>-4349966.4699999988</v>
      </c>
      <c r="BE22" s="1013">
        <v>-4395735.63</v>
      </c>
      <c r="BF22" s="636">
        <v>-4443120.96</v>
      </c>
      <c r="BG22" s="636">
        <v>-4490670.379999999</v>
      </c>
      <c r="BH22" s="636">
        <v>-4538320.919999999</v>
      </c>
      <c r="BI22" s="636">
        <v>-4586031.5399999991</v>
      </c>
      <c r="BJ22" s="636">
        <v>-4633874.5699999994</v>
      </c>
      <c r="BK22" s="636">
        <v>-4681758.8099999987</v>
      </c>
      <c r="BL22" s="1013">
        <v>-4729824.3876158325</v>
      </c>
      <c r="BM22" s="1013">
        <v>-4796803.1061190749</v>
      </c>
      <c r="BN22" s="1013">
        <v>-4864359.136286648</v>
      </c>
      <c r="BO22" s="1013">
        <v>-4934103.6315902127</v>
      </c>
      <c r="BP22" s="1013">
        <v>-5004545.1188766425</v>
      </c>
      <c r="BQ22" s="1013">
        <v>-5075285.8665574286</v>
      </c>
      <c r="BR22" s="636">
        <v>-5146742.9918610863</v>
      </c>
      <c r="BS22" s="636">
        <v>-5218379.102633317</v>
      </c>
      <c r="BT22" s="636">
        <v>-5290980.4480432644</v>
      </c>
      <c r="BU22" s="636">
        <v>-5364124.2920914199</v>
      </c>
      <c r="BV22" s="636">
        <v>-5437447.1205778848</v>
      </c>
      <c r="BW22" s="636">
        <v>-5511024.783496011</v>
      </c>
      <c r="BX22" s="607">
        <f t="shared" ca="1" si="16"/>
        <v>-5081182.9842883712</v>
      </c>
      <c r="BY22" s="1117">
        <v>8.2680932663967439E-3</v>
      </c>
      <c r="BZ22" s="341">
        <f ca="1">BX22*BY22</f>
        <v>-42011.69481772439</v>
      </c>
      <c r="CA22" s="341">
        <f t="shared" si="17"/>
        <v>-45565.66690336894</v>
      </c>
      <c r="CB22" s="375" t="s">
        <v>1260</v>
      </c>
    </row>
    <row r="23" spans="1:80" ht="15.75" thickBot="1">
      <c r="B23" s="287">
        <f ca="1">SUM(OFFSET(AZ23:BL23,0,'Bal Sheet'!$A$1-1))/13</f>
        <v>-40475224.055159919</v>
      </c>
      <c r="C23" s="338">
        <f t="shared" ref="C23" si="18">SUM(C18:C22)</f>
        <v>-21420456.170000009</v>
      </c>
      <c r="D23" s="338">
        <f t="shared" ref="D23:O23" si="19">SUM(D18:D22)</f>
        <v>-21670282.020000011</v>
      </c>
      <c r="E23" s="338">
        <f t="shared" si="19"/>
        <v>-21920265.980000004</v>
      </c>
      <c r="F23" s="338">
        <f t="shared" si="19"/>
        <v>-22171699.990000002</v>
      </c>
      <c r="G23" s="338">
        <f t="shared" si="19"/>
        <v>-22424489.220000003</v>
      </c>
      <c r="H23" s="338">
        <f t="shared" si="19"/>
        <v>-22677701.690000005</v>
      </c>
      <c r="I23" s="338">
        <f t="shared" si="19"/>
        <v>-22930994.210000012</v>
      </c>
      <c r="J23" s="338">
        <f t="shared" si="19"/>
        <v>-23181668.580000009</v>
      </c>
      <c r="K23" s="338">
        <f t="shared" si="19"/>
        <v>-23437418.980000008</v>
      </c>
      <c r="L23" s="338">
        <f t="shared" si="19"/>
        <v>-23693410.680000007</v>
      </c>
      <c r="M23" s="338">
        <f t="shared" si="19"/>
        <v>-23949596.430000007</v>
      </c>
      <c r="N23" s="338">
        <f t="shared" si="19"/>
        <v>-24210291.670000006</v>
      </c>
      <c r="O23" s="338">
        <f t="shared" si="19"/>
        <v>-23470205.330000002</v>
      </c>
      <c r="P23" s="338">
        <f t="shared" ref="P23:AA23" si="20">SUM(P18:P22)</f>
        <v>-23737065.870000005</v>
      </c>
      <c r="Q23" s="338">
        <f t="shared" si="20"/>
        <v>-24004246.140000001</v>
      </c>
      <c r="R23" s="338">
        <f t="shared" si="20"/>
        <v>-24275086.240000002</v>
      </c>
      <c r="S23" s="338">
        <f t="shared" si="20"/>
        <v>-24546049.260000002</v>
      </c>
      <c r="T23" s="338">
        <f t="shared" si="20"/>
        <v>-24818027.210000001</v>
      </c>
      <c r="U23" s="338">
        <f t="shared" si="20"/>
        <v>-25091358.780000001</v>
      </c>
      <c r="V23" s="338">
        <f t="shared" si="20"/>
        <v>-25365604.800000004</v>
      </c>
      <c r="W23" s="338">
        <f t="shared" si="20"/>
        <v>-25639797.430000007</v>
      </c>
      <c r="X23" s="338">
        <f t="shared" si="20"/>
        <v>-25841203.520000003</v>
      </c>
      <c r="Y23" s="338">
        <f t="shared" si="20"/>
        <v>-26122416.090000004</v>
      </c>
      <c r="Z23" s="338">
        <f t="shared" si="20"/>
        <v>-26405809.670000002</v>
      </c>
      <c r="AA23" s="338">
        <f t="shared" si="20"/>
        <v>-26690446.120000001</v>
      </c>
      <c r="AB23" s="338">
        <f t="shared" ref="AB23:AM23" si="21">SUM(AB18:AB22)</f>
        <v>-26366183.630000003</v>
      </c>
      <c r="AC23" s="338">
        <f t="shared" si="21"/>
        <v>-26662642.400000002</v>
      </c>
      <c r="AD23" s="338">
        <f t="shared" si="21"/>
        <v>-26962972.469999999</v>
      </c>
      <c r="AE23" s="338">
        <f t="shared" si="21"/>
        <v>-27264172.200000003</v>
      </c>
      <c r="AF23" s="338">
        <f t="shared" si="21"/>
        <v>-27565852.52</v>
      </c>
      <c r="AG23" s="338">
        <f t="shared" si="21"/>
        <v>-27867878.380000003</v>
      </c>
      <c r="AH23" s="338">
        <f t="shared" si="21"/>
        <v>-28171719.280000001</v>
      </c>
      <c r="AI23" s="338">
        <f t="shared" si="21"/>
        <v>-28475935.370000005</v>
      </c>
      <c r="AJ23" s="338">
        <f t="shared" si="21"/>
        <v>-28770614.629999999</v>
      </c>
      <c r="AK23" s="338">
        <f t="shared" si="21"/>
        <v>-29074454.900000006</v>
      </c>
      <c r="AL23" s="338">
        <f t="shared" si="21"/>
        <v>-29470370.59</v>
      </c>
      <c r="AM23" s="626">
        <f t="shared" si="21"/>
        <v>-29782853.659999996</v>
      </c>
      <c r="AN23" s="626">
        <f t="shared" ref="AN23:AS23" si="22">SUM(AN18:AN22)</f>
        <v>-30174487.309999995</v>
      </c>
      <c r="AO23" s="626">
        <f t="shared" si="22"/>
        <v>-28212595.409999996</v>
      </c>
      <c r="AP23" s="626">
        <f t="shared" si="22"/>
        <v>-28585256.359999999</v>
      </c>
      <c r="AQ23" s="626">
        <f t="shared" si="22"/>
        <v>-28972176.920000002</v>
      </c>
      <c r="AR23" s="626">
        <f t="shared" si="22"/>
        <v>-29374759.359999999</v>
      </c>
      <c r="AS23" s="626">
        <f t="shared" si="22"/>
        <v>-29778733.789999999</v>
      </c>
      <c r="AT23" s="626">
        <v>-30184211.48</v>
      </c>
      <c r="AU23" s="626">
        <v>-30591289.109999999</v>
      </c>
      <c r="AV23" s="626">
        <v>-30999397.619999997</v>
      </c>
      <c r="AW23" s="626">
        <v>-31407690.75</v>
      </c>
      <c r="AX23" s="626">
        <v>-31816448.060000006</v>
      </c>
      <c r="AY23" s="626">
        <v>-32225423.100000001</v>
      </c>
      <c r="AZ23" s="626">
        <v>-32634702</v>
      </c>
      <c r="BA23" s="626">
        <v>-33044210.440000001</v>
      </c>
      <c r="BB23" s="626">
        <v>-33486083.140000001</v>
      </c>
      <c r="BC23" s="626">
        <v>-33928642.780000001</v>
      </c>
      <c r="BD23" s="626">
        <v>-34371585.349999994</v>
      </c>
      <c r="BE23" s="626">
        <v>-34665458.689999998</v>
      </c>
      <c r="BF23" s="626">
        <v>-35108155.769999996</v>
      </c>
      <c r="BG23" s="626">
        <v>-35551189.099999994</v>
      </c>
      <c r="BH23" s="626">
        <v>-35995233.829999998</v>
      </c>
      <c r="BI23" s="626">
        <v>-36439224.049999997</v>
      </c>
      <c r="BJ23" s="626">
        <v>-36883541.059999995</v>
      </c>
      <c r="BK23" s="626">
        <v>-37331977.219999991</v>
      </c>
      <c r="BL23" s="626">
        <v>-37620011.526924171</v>
      </c>
      <c r="BM23" s="626">
        <v>-38107398.676659636</v>
      </c>
      <c r="BN23" s="626">
        <v>-38482950.297843046</v>
      </c>
      <c r="BO23" s="626">
        <v>-38981532.196907945</v>
      </c>
      <c r="BP23" s="626">
        <v>-39477719.607261643</v>
      </c>
      <c r="BQ23" s="626">
        <v>-40171689.859041296</v>
      </c>
      <c r="BR23" s="626">
        <v>-40843466.112905413</v>
      </c>
      <c r="BS23" s="626">
        <v>-41557579.979591452</v>
      </c>
      <c r="BT23" s="626">
        <v>-42289728.580493465</v>
      </c>
      <c r="BU23" s="626">
        <v>-43032028.517611958</v>
      </c>
      <c r="BV23" s="626">
        <v>-43775220.287747018</v>
      </c>
      <c r="BW23" s="626">
        <v>-44506609.854092017</v>
      </c>
      <c r="BX23" s="627">
        <f t="shared" ref="BX23" ca="1" si="23">+B23</f>
        <v>-40475224.055159919</v>
      </c>
      <c r="BY23" s="176"/>
      <c r="BZ23" s="766">
        <f ca="1">SUM(BZ18:BZ22)</f>
        <v>-435604.15174910077</v>
      </c>
      <c r="CA23" s="766">
        <f>SUM(CA18:CA22)</f>
        <v>-452411.87166296592</v>
      </c>
      <c r="CB23" s="375" t="s">
        <v>1260</v>
      </c>
    </row>
    <row r="24" spans="1:80" ht="13.5" thickTop="1">
      <c r="BX24" s="75"/>
    </row>
    <row r="25" spans="1:80">
      <c r="AM25" s="208" t="str">
        <f>+AM14</f>
        <v>Actual</v>
      </c>
      <c r="AN25" s="208" t="str">
        <f t="shared" ref="AN25:AY25" si="24">+AN14</f>
        <v>Actual</v>
      </c>
      <c r="AO25" s="208" t="str">
        <f t="shared" si="24"/>
        <v>Actual</v>
      </c>
      <c r="AP25" s="208" t="str">
        <f t="shared" si="24"/>
        <v>Actual</v>
      </c>
      <c r="AQ25" s="208" t="str">
        <f t="shared" si="24"/>
        <v>Actual</v>
      </c>
      <c r="AR25" s="208" t="str">
        <f t="shared" si="24"/>
        <v>Actual</v>
      </c>
      <c r="AS25" s="208" t="str">
        <f t="shared" si="24"/>
        <v>Actual</v>
      </c>
      <c r="AT25" s="208" t="str">
        <f t="shared" si="24"/>
        <v>Actual</v>
      </c>
      <c r="AU25" s="208" t="str">
        <f t="shared" si="24"/>
        <v>Actual</v>
      </c>
      <c r="AV25" s="208" t="str">
        <f t="shared" si="24"/>
        <v>Actual</v>
      </c>
      <c r="AW25" s="208" t="str">
        <f t="shared" si="24"/>
        <v>Actual</v>
      </c>
      <c r="AX25" s="208" t="str">
        <f t="shared" si="24"/>
        <v>Actual</v>
      </c>
      <c r="AY25" s="208" t="str">
        <f t="shared" si="24"/>
        <v>Actual</v>
      </c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 t="str">
        <f t="shared" ref="BL25:BW25" si="25">+BL14</f>
        <v>Budget</v>
      </c>
      <c r="BM25" s="208" t="str">
        <f t="shared" si="25"/>
        <v>Budget</v>
      </c>
      <c r="BN25" s="208" t="str">
        <f t="shared" si="25"/>
        <v>Budget</v>
      </c>
      <c r="BO25" s="208" t="str">
        <f t="shared" si="25"/>
        <v>Budget</v>
      </c>
      <c r="BP25" s="208" t="str">
        <f t="shared" si="25"/>
        <v>Budget</v>
      </c>
      <c r="BQ25" s="208" t="str">
        <f t="shared" si="25"/>
        <v>Budget</v>
      </c>
      <c r="BR25" s="208" t="str">
        <f t="shared" si="25"/>
        <v>Budget</v>
      </c>
      <c r="BS25" s="208" t="str">
        <f t="shared" si="25"/>
        <v>Budget</v>
      </c>
      <c r="BT25" s="208" t="str">
        <f t="shared" si="25"/>
        <v>Budget</v>
      </c>
      <c r="BU25" s="208" t="str">
        <f t="shared" si="25"/>
        <v>Budget</v>
      </c>
      <c r="BV25" s="208" t="str">
        <f t="shared" si="25"/>
        <v>Budget</v>
      </c>
      <c r="BW25" s="208" t="str">
        <f t="shared" si="25"/>
        <v>Budget</v>
      </c>
      <c r="BX25" s="75"/>
    </row>
    <row r="26" spans="1:80">
      <c r="A26" s="628"/>
      <c r="B26" s="629"/>
      <c r="C26" s="628">
        <v>2017</v>
      </c>
      <c r="D26" s="628">
        <v>2018</v>
      </c>
      <c r="E26" s="628">
        <v>2018</v>
      </c>
      <c r="F26" s="628">
        <v>2018</v>
      </c>
      <c r="G26" s="628">
        <v>2018</v>
      </c>
      <c r="H26" s="628">
        <v>2018</v>
      </c>
      <c r="I26" s="628">
        <v>2018</v>
      </c>
      <c r="J26" s="628">
        <v>2018</v>
      </c>
      <c r="K26" s="628">
        <v>2018</v>
      </c>
      <c r="L26" s="628">
        <v>2018</v>
      </c>
      <c r="M26" s="628">
        <v>2018</v>
      </c>
      <c r="N26" s="628">
        <v>2018</v>
      </c>
      <c r="O26" s="628">
        <f>+O3</f>
        <v>2018</v>
      </c>
      <c r="P26" s="628">
        <f>+P3</f>
        <v>2019</v>
      </c>
      <c r="Q26" s="628">
        <f t="shared" ref="Q26:Z26" si="26">+Q3</f>
        <v>2019</v>
      </c>
      <c r="R26" s="628">
        <f t="shared" si="26"/>
        <v>2019</v>
      </c>
      <c r="S26" s="628">
        <f t="shared" si="26"/>
        <v>2019</v>
      </c>
      <c r="T26" s="628">
        <f t="shared" si="26"/>
        <v>2019</v>
      </c>
      <c r="U26" s="628">
        <f t="shared" si="26"/>
        <v>2019</v>
      </c>
      <c r="V26" s="628">
        <f t="shared" si="26"/>
        <v>2019</v>
      </c>
      <c r="W26" s="628">
        <f t="shared" si="26"/>
        <v>2019</v>
      </c>
      <c r="X26" s="628">
        <f t="shared" si="26"/>
        <v>2019</v>
      </c>
      <c r="Y26" s="628">
        <f t="shared" si="26"/>
        <v>2019</v>
      </c>
      <c r="Z26" s="628">
        <f t="shared" si="26"/>
        <v>2019</v>
      </c>
      <c r="AA26" s="628">
        <f>+AA3</f>
        <v>2019</v>
      </c>
      <c r="AB26" s="628">
        <f t="shared" ref="AB26:AM26" si="27">+AB3</f>
        <v>2020</v>
      </c>
      <c r="AC26" s="628">
        <f t="shared" si="27"/>
        <v>2020</v>
      </c>
      <c r="AD26" s="628">
        <f t="shared" si="27"/>
        <v>2020</v>
      </c>
      <c r="AE26" s="628">
        <f t="shared" si="27"/>
        <v>2020</v>
      </c>
      <c r="AF26" s="628">
        <f t="shared" si="27"/>
        <v>2020</v>
      </c>
      <c r="AG26" s="628">
        <f t="shared" si="27"/>
        <v>2020</v>
      </c>
      <c r="AH26" s="628">
        <f t="shared" si="27"/>
        <v>2020</v>
      </c>
      <c r="AI26" s="628">
        <f t="shared" si="27"/>
        <v>2020</v>
      </c>
      <c r="AJ26" s="628">
        <f t="shared" si="27"/>
        <v>2020</v>
      </c>
      <c r="AK26" s="628">
        <f t="shared" si="27"/>
        <v>2020</v>
      </c>
      <c r="AL26" s="628">
        <f t="shared" si="27"/>
        <v>2020</v>
      </c>
      <c r="AM26" s="633">
        <f t="shared" si="27"/>
        <v>2020</v>
      </c>
      <c r="AN26" s="633">
        <f t="shared" ref="AN26:AY26" si="28">+AN3</f>
        <v>2021</v>
      </c>
      <c r="AO26" s="633">
        <f t="shared" si="28"/>
        <v>2021</v>
      </c>
      <c r="AP26" s="633">
        <f t="shared" si="28"/>
        <v>2021</v>
      </c>
      <c r="AQ26" s="633">
        <f t="shared" si="28"/>
        <v>2021</v>
      </c>
      <c r="AR26" s="633">
        <f t="shared" si="28"/>
        <v>2021</v>
      </c>
      <c r="AS26" s="633">
        <f t="shared" si="28"/>
        <v>2021</v>
      </c>
      <c r="AT26" s="633">
        <f t="shared" si="28"/>
        <v>2021</v>
      </c>
      <c r="AU26" s="633">
        <f t="shared" si="28"/>
        <v>2021</v>
      </c>
      <c r="AV26" s="633">
        <f t="shared" si="28"/>
        <v>2021</v>
      </c>
      <c r="AW26" s="633">
        <f t="shared" si="28"/>
        <v>2021</v>
      </c>
      <c r="AX26" s="633">
        <f t="shared" si="28"/>
        <v>2021</v>
      </c>
      <c r="AY26" s="633">
        <f t="shared" si="28"/>
        <v>2021</v>
      </c>
      <c r="AZ26" s="633">
        <v>2022</v>
      </c>
      <c r="BA26" s="633">
        <v>2022</v>
      </c>
      <c r="BB26" s="633">
        <v>2022</v>
      </c>
      <c r="BC26" s="633">
        <v>2022</v>
      </c>
      <c r="BD26" s="633">
        <v>2022</v>
      </c>
      <c r="BE26" s="633">
        <v>2022</v>
      </c>
      <c r="BF26" s="633">
        <v>2022</v>
      </c>
      <c r="BG26" s="633">
        <v>2022</v>
      </c>
      <c r="BH26" s="633">
        <v>2022</v>
      </c>
      <c r="BI26" s="633">
        <v>2022</v>
      </c>
      <c r="BJ26" s="633">
        <v>2022</v>
      </c>
      <c r="BK26" s="633">
        <v>2022</v>
      </c>
      <c r="BL26" s="633">
        <f t="shared" ref="BL26:BW26" si="29">+BL3</f>
        <v>2023</v>
      </c>
      <c r="BM26" s="633">
        <f t="shared" si="29"/>
        <v>2023</v>
      </c>
      <c r="BN26" s="633">
        <f t="shared" si="29"/>
        <v>2023</v>
      </c>
      <c r="BO26" s="633">
        <f t="shared" si="29"/>
        <v>2023</v>
      </c>
      <c r="BP26" s="633">
        <f t="shared" si="29"/>
        <v>2023</v>
      </c>
      <c r="BQ26" s="633">
        <f t="shared" si="29"/>
        <v>2023</v>
      </c>
      <c r="BR26" s="633">
        <f t="shared" si="29"/>
        <v>2023</v>
      </c>
      <c r="BS26" s="633">
        <f t="shared" si="29"/>
        <v>2023</v>
      </c>
      <c r="BT26" s="633">
        <f t="shared" si="29"/>
        <v>2023</v>
      </c>
      <c r="BU26" s="633">
        <f t="shared" si="29"/>
        <v>2023</v>
      </c>
      <c r="BV26" s="633">
        <f t="shared" si="29"/>
        <v>2023</v>
      </c>
      <c r="BW26" s="633">
        <f t="shared" si="29"/>
        <v>2023</v>
      </c>
      <c r="BX26" s="628"/>
      <c r="BY26" s="628" t="s">
        <v>205</v>
      </c>
      <c r="BZ26" s="628" t="s">
        <v>228</v>
      </c>
    </row>
    <row r="27" spans="1:80">
      <c r="A27" s="630" t="s">
        <v>229</v>
      </c>
      <c r="B27" s="635" t="s">
        <v>209</v>
      </c>
      <c r="C27" s="631" t="s">
        <v>210</v>
      </c>
      <c r="D27" s="631" t="s">
        <v>211</v>
      </c>
      <c r="E27" s="631" t="s">
        <v>212</v>
      </c>
      <c r="F27" s="631" t="s">
        <v>213</v>
      </c>
      <c r="G27" s="631" t="s">
        <v>214</v>
      </c>
      <c r="H27" s="631" t="s">
        <v>215</v>
      </c>
      <c r="I27" s="631" t="s">
        <v>216</v>
      </c>
      <c r="J27" s="631" t="s">
        <v>217</v>
      </c>
      <c r="K27" s="631" t="s">
        <v>218</v>
      </c>
      <c r="L27" s="631" t="s">
        <v>219</v>
      </c>
      <c r="M27" s="631" t="s">
        <v>220</v>
      </c>
      <c r="N27" s="631" t="s">
        <v>221</v>
      </c>
      <c r="O27" s="631" t="s">
        <v>210</v>
      </c>
      <c r="P27" s="631" t="s">
        <v>211</v>
      </c>
      <c r="Q27" s="631" t="s">
        <v>212</v>
      </c>
      <c r="R27" s="631" t="s">
        <v>213</v>
      </c>
      <c r="S27" s="631" t="s">
        <v>214</v>
      </c>
      <c r="T27" s="631" t="s">
        <v>215</v>
      </c>
      <c r="U27" s="631" t="s">
        <v>216</v>
      </c>
      <c r="V27" s="631" t="s">
        <v>217</v>
      </c>
      <c r="W27" s="631" t="s">
        <v>218</v>
      </c>
      <c r="X27" s="631" t="s">
        <v>219</v>
      </c>
      <c r="Y27" s="631" t="s">
        <v>220</v>
      </c>
      <c r="Z27" s="631" t="s">
        <v>221</v>
      </c>
      <c r="AA27" s="631" t="s">
        <v>210</v>
      </c>
      <c r="AB27" s="631" t="str">
        <f>+AB4</f>
        <v>Jan</v>
      </c>
      <c r="AC27" s="631" t="str">
        <f t="shared" ref="AC27:AM27" si="30">+AC4</f>
        <v>Feb</v>
      </c>
      <c r="AD27" s="631" t="str">
        <f t="shared" si="30"/>
        <v>Mar</v>
      </c>
      <c r="AE27" s="631" t="str">
        <f t="shared" si="30"/>
        <v>Apr</v>
      </c>
      <c r="AF27" s="631" t="str">
        <f t="shared" si="30"/>
        <v>May</v>
      </c>
      <c r="AG27" s="631" t="str">
        <f t="shared" si="30"/>
        <v>Jun</v>
      </c>
      <c r="AH27" s="631" t="str">
        <f t="shared" si="30"/>
        <v>Jul</v>
      </c>
      <c r="AI27" s="631" t="str">
        <f t="shared" si="30"/>
        <v>Aug</v>
      </c>
      <c r="AJ27" s="631" t="str">
        <f t="shared" si="30"/>
        <v>Sep</v>
      </c>
      <c r="AK27" s="631" t="str">
        <f t="shared" si="30"/>
        <v>Oct</v>
      </c>
      <c r="AL27" s="631" t="str">
        <f t="shared" si="30"/>
        <v>Nov</v>
      </c>
      <c r="AM27" s="634" t="str">
        <f t="shared" si="30"/>
        <v>Dec</v>
      </c>
      <c r="AN27" s="634" t="str">
        <f t="shared" ref="AN27:AY27" si="31">+AN4</f>
        <v>Jan</v>
      </c>
      <c r="AO27" s="634" t="str">
        <f t="shared" si="31"/>
        <v>Feb</v>
      </c>
      <c r="AP27" s="634" t="str">
        <f t="shared" si="31"/>
        <v>Mar</v>
      </c>
      <c r="AQ27" s="634" t="str">
        <f t="shared" si="31"/>
        <v>Apr</v>
      </c>
      <c r="AR27" s="634" t="str">
        <f t="shared" si="31"/>
        <v>May</v>
      </c>
      <c r="AS27" s="634" t="str">
        <f t="shared" si="31"/>
        <v>Jun</v>
      </c>
      <c r="AT27" s="634" t="str">
        <f t="shared" si="31"/>
        <v>Jul</v>
      </c>
      <c r="AU27" s="634" t="str">
        <f t="shared" si="31"/>
        <v>Aug</v>
      </c>
      <c r="AV27" s="634" t="str">
        <f t="shared" si="31"/>
        <v>Sep</v>
      </c>
      <c r="AW27" s="634" t="str">
        <f t="shared" si="31"/>
        <v>Oct</v>
      </c>
      <c r="AX27" s="634" t="str">
        <f t="shared" si="31"/>
        <v>Nov</v>
      </c>
      <c r="AY27" s="634" t="str">
        <f t="shared" si="31"/>
        <v>Dec</v>
      </c>
      <c r="AZ27" s="634" t="s">
        <v>211</v>
      </c>
      <c r="BA27" s="634" t="s">
        <v>212</v>
      </c>
      <c r="BB27" s="634" t="s">
        <v>1231</v>
      </c>
      <c r="BC27" s="634" t="s">
        <v>1232</v>
      </c>
      <c r="BD27" s="634" t="s">
        <v>215</v>
      </c>
      <c r="BE27" s="634" t="s">
        <v>1233</v>
      </c>
      <c r="BF27" s="634" t="s">
        <v>1234</v>
      </c>
      <c r="BG27" s="634" t="s">
        <v>218</v>
      </c>
      <c r="BH27" s="634" t="s">
        <v>1235</v>
      </c>
      <c r="BI27" s="634" t="s">
        <v>220</v>
      </c>
      <c r="BJ27" s="634" t="s">
        <v>221</v>
      </c>
      <c r="BK27" s="634" t="s">
        <v>210</v>
      </c>
      <c r="BL27" s="634" t="str">
        <f t="shared" ref="BL27:BW27" si="32">+BL4</f>
        <v>Jan</v>
      </c>
      <c r="BM27" s="634" t="str">
        <f t="shared" si="32"/>
        <v>Feb</v>
      </c>
      <c r="BN27" s="634" t="str">
        <f t="shared" si="32"/>
        <v>Mar</v>
      </c>
      <c r="BO27" s="634" t="str">
        <f t="shared" si="32"/>
        <v>Apr</v>
      </c>
      <c r="BP27" s="634" t="str">
        <f t="shared" si="32"/>
        <v>May</v>
      </c>
      <c r="BQ27" s="634" t="str">
        <f t="shared" si="32"/>
        <v>Jun</v>
      </c>
      <c r="BR27" s="634" t="str">
        <f t="shared" si="32"/>
        <v>Jul</v>
      </c>
      <c r="BS27" s="634" t="str">
        <f t="shared" si="32"/>
        <v>Aug</v>
      </c>
      <c r="BT27" s="634" t="str">
        <f t="shared" si="32"/>
        <v>Sep</v>
      </c>
      <c r="BU27" s="634" t="str">
        <f t="shared" si="32"/>
        <v>Oct</v>
      </c>
      <c r="BV27" s="634" t="str">
        <f t="shared" si="32"/>
        <v>Nov</v>
      </c>
      <c r="BW27" s="634" t="str">
        <f t="shared" si="32"/>
        <v>Dec</v>
      </c>
      <c r="BX27" s="631" t="s">
        <v>230</v>
      </c>
      <c r="BY27" s="631" t="s">
        <v>105</v>
      </c>
      <c r="BZ27" s="631" t="s">
        <v>205</v>
      </c>
    </row>
    <row r="28" spans="1:80">
      <c r="A28" s="375"/>
      <c r="B28" s="375"/>
      <c r="BX28" s="837"/>
      <c r="BY28" s="375"/>
      <c r="BZ28" s="375"/>
    </row>
    <row r="29" spans="1:80" ht="15">
      <c r="A29" s="375" t="s">
        <v>223</v>
      </c>
      <c r="B29" s="286">
        <f ca="1">SUM(OFFSET(AZ29:BK29,0,'Bal Sheet'!$A$1))</f>
        <v>5963799.1318235015</v>
      </c>
      <c r="C29" s="344">
        <v>151560.73000000001</v>
      </c>
      <c r="D29" s="344">
        <v>153149.88</v>
      </c>
      <c r="E29" s="344">
        <v>153151.35</v>
      </c>
      <c r="F29" s="344">
        <v>153166.49000000002</v>
      </c>
      <c r="G29" s="344">
        <v>153181.87000000002</v>
      </c>
      <c r="H29" s="344">
        <v>153203.80000000002</v>
      </c>
      <c r="I29" s="344">
        <v>153212.75</v>
      </c>
      <c r="J29" s="344">
        <v>153434.93000000002</v>
      </c>
      <c r="K29" s="344">
        <v>155048.07</v>
      </c>
      <c r="L29" s="344">
        <v>155209.24000000002</v>
      </c>
      <c r="M29" s="344">
        <v>155396.29</v>
      </c>
      <c r="N29" s="344">
        <v>159838.99000000002</v>
      </c>
      <c r="O29" s="344">
        <v>160037.96000000002</v>
      </c>
      <c r="P29" s="344">
        <v>164417.12</v>
      </c>
      <c r="Q29" s="344">
        <v>164910.75</v>
      </c>
      <c r="R29" s="344">
        <v>164778.53</v>
      </c>
      <c r="S29" s="344">
        <v>164766.03</v>
      </c>
      <c r="T29" s="344">
        <v>164817.38</v>
      </c>
      <c r="U29" s="344">
        <v>164934.76999999999</v>
      </c>
      <c r="V29" s="344">
        <v>164941.4</v>
      </c>
      <c r="W29" s="344">
        <v>164865.63</v>
      </c>
      <c r="X29" s="344">
        <v>164932.26999999999</v>
      </c>
      <c r="Y29" s="344">
        <v>171195.69</v>
      </c>
      <c r="Z29" s="344">
        <v>171835.57</v>
      </c>
      <c r="AA29" s="344">
        <v>172870.61</v>
      </c>
      <c r="AB29" s="344">
        <v>178747.14</v>
      </c>
      <c r="AC29" s="344">
        <v>176610.09</v>
      </c>
      <c r="AD29" s="344">
        <v>177731.65</v>
      </c>
      <c r="AE29" s="344">
        <v>177764.36</v>
      </c>
      <c r="AF29" s="344">
        <v>177778.24</v>
      </c>
      <c r="AG29" s="344">
        <v>177894.57</v>
      </c>
      <c r="AH29" s="344">
        <v>178647.3</v>
      </c>
      <c r="AI29" s="534">
        <v>178763.14</v>
      </c>
      <c r="AJ29" s="534">
        <v>178731.35</v>
      </c>
      <c r="AK29" s="534">
        <v>178908.47</v>
      </c>
      <c r="AL29" s="534">
        <v>269382.26</v>
      </c>
      <c r="AM29" s="777">
        <v>269802.19</v>
      </c>
      <c r="AN29" s="777">
        <v>265747.17000000004</v>
      </c>
      <c r="AO29" s="778">
        <v>265982.07</v>
      </c>
      <c r="AP29" s="778">
        <v>266314.16000000003</v>
      </c>
      <c r="AQ29" s="778">
        <v>280502.60000000003</v>
      </c>
      <c r="AR29" s="778">
        <v>296156.27</v>
      </c>
      <c r="AS29" s="778">
        <v>297551.17000000004</v>
      </c>
      <c r="AT29" s="778">
        <v>298991.75</v>
      </c>
      <c r="AU29" s="778">
        <v>300415.01</v>
      </c>
      <c r="AV29" s="778">
        <v>300966.79000000004</v>
      </c>
      <c r="AW29" s="778">
        <v>301122.65000000002</v>
      </c>
      <c r="AX29" s="778">
        <v>301267.88000000006</v>
      </c>
      <c r="AY29" s="778">
        <v>301465.25000000006</v>
      </c>
      <c r="AZ29" s="1013">
        <v>301576.07</v>
      </c>
      <c r="BA29" s="1013">
        <v>301811.44000000006</v>
      </c>
      <c r="BB29" s="1013">
        <v>334157.5</v>
      </c>
      <c r="BC29" s="1013">
        <v>334840.67</v>
      </c>
      <c r="BD29" s="1013">
        <v>334958.54000000004</v>
      </c>
      <c r="BE29" s="1013">
        <v>335293.09000000003</v>
      </c>
      <c r="BF29" s="636">
        <v>334462.71999999997</v>
      </c>
      <c r="BG29" s="636">
        <v>334585.91000000003</v>
      </c>
      <c r="BH29" s="636">
        <v>334568.52</v>
      </c>
      <c r="BI29" s="636">
        <v>334835.81</v>
      </c>
      <c r="BJ29" s="636">
        <v>334955.51</v>
      </c>
      <c r="BK29" s="636">
        <v>338474.33999999997</v>
      </c>
      <c r="BL29" s="1013">
        <v>339355.65251500014</v>
      </c>
      <c r="BM29" s="1013">
        <v>365320.87519675016</v>
      </c>
      <c r="BN29" s="1013">
        <v>366280.42725450016</v>
      </c>
      <c r="BO29" s="1013">
        <v>374368.57831725013</v>
      </c>
      <c r="BP29" s="1013">
        <v>375852.53337500012</v>
      </c>
      <c r="BQ29" s="1013">
        <v>567983.57599500008</v>
      </c>
      <c r="BR29" s="636">
        <v>584649.48844500014</v>
      </c>
      <c r="BS29" s="636">
        <v>595711.01694500016</v>
      </c>
      <c r="BT29" s="636">
        <v>596477.71144500014</v>
      </c>
      <c r="BU29" s="636">
        <v>597402.34394500009</v>
      </c>
      <c r="BV29" s="636">
        <v>598056.38744500012</v>
      </c>
      <c r="BW29" s="636">
        <v>602340.54094500013</v>
      </c>
      <c r="BX29" s="607">
        <f ca="1">+B29</f>
        <v>5963799.1318235015</v>
      </c>
      <c r="BY29" s="1117">
        <v>0</v>
      </c>
      <c r="BZ29" s="340">
        <f ca="1">BX29*BY29</f>
        <v>0</v>
      </c>
      <c r="CA29" s="375" t="s">
        <v>1261</v>
      </c>
    </row>
    <row r="30" spans="1:80" ht="15">
      <c r="A30" s="375" t="s">
        <v>224</v>
      </c>
      <c r="B30" s="286">
        <f ca="1">SUM(OFFSET(AZ30:BK30,0,'Bal Sheet'!$A$1))</f>
        <v>0</v>
      </c>
      <c r="C30" s="344">
        <v>6754.9199999999992</v>
      </c>
      <c r="D30" s="344">
        <v>6754.9199999999992</v>
      </c>
      <c r="E30" s="344">
        <v>6756.5599999999986</v>
      </c>
      <c r="F30" s="344">
        <v>6764.3399999999992</v>
      </c>
      <c r="G30" s="344">
        <v>7885.7299999999987</v>
      </c>
      <c r="H30" s="344">
        <v>8223.3499999999985</v>
      </c>
      <c r="I30" s="344">
        <v>8231.66</v>
      </c>
      <c r="J30" s="344">
        <v>7933.7599999999993</v>
      </c>
      <c r="K30" s="344">
        <v>8272.369999999999</v>
      </c>
      <c r="L30" s="344">
        <v>8272.7999999999993</v>
      </c>
      <c r="M30" s="344">
        <v>8272.7999999999993</v>
      </c>
      <c r="N30" s="344">
        <v>8272.7999999999993</v>
      </c>
      <c r="O30" s="344">
        <v>8272.74</v>
      </c>
      <c r="P30" s="344">
        <v>0</v>
      </c>
      <c r="Q30" s="344">
        <v>0</v>
      </c>
      <c r="R30" s="344">
        <v>0</v>
      </c>
      <c r="S30" s="344">
        <v>0</v>
      </c>
      <c r="T30" s="344">
        <v>0</v>
      </c>
      <c r="U30" s="344">
        <v>0</v>
      </c>
      <c r="V30" s="344">
        <v>0</v>
      </c>
      <c r="W30" s="344">
        <v>0</v>
      </c>
      <c r="X30" s="344">
        <v>0</v>
      </c>
      <c r="Y30" s="344">
        <v>0</v>
      </c>
      <c r="Z30" s="344">
        <v>0</v>
      </c>
      <c r="AA30" s="344">
        <v>0</v>
      </c>
      <c r="AB30" s="344">
        <v>0</v>
      </c>
      <c r="AC30" s="344">
        <v>0</v>
      </c>
      <c r="AD30" s="344">
        <v>0</v>
      </c>
      <c r="AE30" s="344">
        <v>0</v>
      </c>
      <c r="AF30" s="344">
        <v>0</v>
      </c>
      <c r="AG30" s="344">
        <v>0</v>
      </c>
      <c r="AH30" s="344">
        <v>0</v>
      </c>
      <c r="AI30" s="534">
        <v>0</v>
      </c>
      <c r="AJ30" s="534">
        <v>0</v>
      </c>
      <c r="AK30" s="534">
        <v>0</v>
      </c>
      <c r="AL30" s="534">
        <v>0</v>
      </c>
      <c r="AM30" s="777">
        <v>0</v>
      </c>
      <c r="AN30" s="777">
        <v>0</v>
      </c>
      <c r="AO30" s="778">
        <v>0</v>
      </c>
      <c r="AP30" s="778">
        <v>0</v>
      </c>
      <c r="AQ30" s="778">
        <v>0</v>
      </c>
      <c r="AR30" s="778">
        <v>0</v>
      </c>
      <c r="AS30" s="778">
        <v>0</v>
      </c>
      <c r="AT30" s="778">
        <v>0</v>
      </c>
      <c r="AU30" s="778">
        <v>0</v>
      </c>
      <c r="AV30" s="778">
        <v>0</v>
      </c>
      <c r="AW30" s="778">
        <v>0</v>
      </c>
      <c r="AX30" s="778">
        <v>0</v>
      </c>
      <c r="AY30" s="778">
        <v>0</v>
      </c>
      <c r="AZ30" s="1013">
        <v>0</v>
      </c>
      <c r="BA30" s="1013">
        <v>0</v>
      </c>
      <c r="BB30" s="1013">
        <v>0</v>
      </c>
      <c r="BC30" s="1013">
        <v>0</v>
      </c>
      <c r="BD30" s="1013">
        <v>0</v>
      </c>
      <c r="BE30" s="1013">
        <v>0</v>
      </c>
      <c r="BF30" s="636">
        <v>0</v>
      </c>
      <c r="BG30" s="636">
        <v>0</v>
      </c>
      <c r="BH30" s="636">
        <v>0</v>
      </c>
      <c r="BI30" s="636">
        <v>0</v>
      </c>
      <c r="BJ30" s="636">
        <v>0</v>
      </c>
      <c r="BK30" s="636">
        <v>0</v>
      </c>
      <c r="BL30" s="1013">
        <v>0</v>
      </c>
      <c r="BM30" s="1013">
        <v>0</v>
      </c>
      <c r="BN30" s="1013">
        <v>0</v>
      </c>
      <c r="BO30" s="1013">
        <v>0</v>
      </c>
      <c r="BP30" s="1013">
        <v>0</v>
      </c>
      <c r="BQ30" s="1013">
        <v>0</v>
      </c>
      <c r="BR30" s="636">
        <v>0</v>
      </c>
      <c r="BS30" s="636">
        <v>0</v>
      </c>
      <c r="BT30" s="636">
        <v>0</v>
      </c>
      <c r="BU30" s="636">
        <v>0</v>
      </c>
      <c r="BV30" s="636">
        <v>0</v>
      </c>
      <c r="BW30" s="636">
        <v>0</v>
      </c>
      <c r="BX30" s="607">
        <f t="shared" ref="BX30:BX34" ca="1" si="33">+B30</f>
        <v>0</v>
      </c>
      <c r="BY30" s="1117">
        <v>7.2079456439904498E-3</v>
      </c>
      <c r="BZ30" s="341">
        <f ca="1">BX30*BY30</f>
        <v>0</v>
      </c>
      <c r="CA30" s="375" t="s">
        <v>1261</v>
      </c>
    </row>
    <row r="31" spans="1:80" ht="15">
      <c r="A31" s="375" t="s">
        <v>225</v>
      </c>
      <c r="B31" s="286">
        <f ca="1">SUM(OFFSET(AZ31:BK31,0,'Bal Sheet'!$A$1))</f>
        <v>834443.57069089368</v>
      </c>
      <c r="C31" s="344">
        <v>47645.189999999995</v>
      </c>
      <c r="D31" s="344">
        <v>47758.409999999996</v>
      </c>
      <c r="E31" s="344">
        <v>47758.080000000002</v>
      </c>
      <c r="F31" s="344">
        <v>47757.599999999999</v>
      </c>
      <c r="G31" s="344">
        <v>47790.209999999992</v>
      </c>
      <c r="H31" s="344">
        <v>47801.939999999995</v>
      </c>
      <c r="I31" s="344">
        <v>47864.73</v>
      </c>
      <c r="J31" s="344">
        <v>47945.060000000005</v>
      </c>
      <c r="K31" s="344">
        <v>48429.339999999989</v>
      </c>
      <c r="L31" s="344">
        <v>48499.669999999991</v>
      </c>
      <c r="M31" s="344">
        <v>48506.67</v>
      </c>
      <c r="N31" s="344">
        <v>48539.679999999993</v>
      </c>
      <c r="O31" s="344">
        <v>48605.619999999995</v>
      </c>
      <c r="P31" s="344">
        <v>48757.439999999995</v>
      </c>
      <c r="Q31" s="344">
        <v>48769.839999999989</v>
      </c>
      <c r="R31" s="344">
        <v>48749.999999999993</v>
      </c>
      <c r="S31" s="344">
        <v>48821.299999999996</v>
      </c>
      <c r="T31" s="344">
        <v>49423.939999999988</v>
      </c>
      <c r="U31" s="344">
        <v>50325.959999999992</v>
      </c>
      <c r="V31" s="344">
        <v>51233.779999999992</v>
      </c>
      <c r="W31" s="344">
        <v>51268.209999999992</v>
      </c>
      <c r="X31" s="344">
        <v>51403.749999999993</v>
      </c>
      <c r="Y31" s="344">
        <v>51731.499999999993</v>
      </c>
      <c r="Z31" s="344">
        <v>51853.19999999999</v>
      </c>
      <c r="AA31" s="344">
        <v>52019.89999999998</v>
      </c>
      <c r="AB31" s="344">
        <v>52335.969999999987</v>
      </c>
      <c r="AC31" s="344">
        <v>51933.919999999991</v>
      </c>
      <c r="AD31" s="344">
        <v>51954.44999999999</v>
      </c>
      <c r="AE31" s="344">
        <v>52176.279999999992</v>
      </c>
      <c r="AF31" s="344">
        <v>52456.649999999987</v>
      </c>
      <c r="AG31" s="344">
        <v>52458.619999999988</v>
      </c>
      <c r="AH31" s="344">
        <v>52456.139999999992</v>
      </c>
      <c r="AI31" s="534">
        <v>52556.029999999984</v>
      </c>
      <c r="AJ31" s="534">
        <v>52617.959999999985</v>
      </c>
      <c r="AK31" s="534">
        <v>52598.119999999988</v>
      </c>
      <c r="AL31" s="534">
        <v>52612.069999999985</v>
      </c>
      <c r="AM31" s="777">
        <v>52682.419999999991</v>
      </c>
      <c r="AN31" s="777">
        <v>59135.299999999996</v>
      </c>
      <c r="AO31" s="778">
        <v>59160.959999999985</v>
      </c>
      <c r="AP31" s="778">
        <v>59161.259999999987</v>
      </c>
      <c r="AQ31" s="778">
        <v>59232.429999999986</v>
      </c>
      <c r="AR31" s="778">
        <v>59236.709999999985</v>
      </c>
      <c r="AS31" s="778">
        <v>59233.799999999996</v>
      </c>
      <c r="AT31" s="778">
        <v>59296.479999999989</v>
      </c>
      <c r="AU31" s="778">
        <v>59487.669999999991</v>
      </c>
      <c r="AV31" s="778">
        <v>59770.409999999996</v>
      </c>
      <c r="AW31" s="778">
        <v>59799.169999999991</v>
      </c>
      <c r="AX31" s="778">
        <v>60046.229999999989</v>
      </c>
      <c r="AY31" s="778">
        <v>60065.029999999992</v>
      </c>
      <c r="AZ31" s="1013">
        <v>60256.539999999986</v>
      </c>
      <c r="BA31" s="1013">
        <v>60249.149999999987</v>
      </c>
      <c r="BB31" s="1013">
        <v>60265.799999999996</v>
      </c>
      <c r="BC31" s="1013">
        <v>60268.02</v>
      </c>
      <c r="BD31" s="1013">
        <v>60299.979999999989</v>
      </c>
      <c r="BE31" s="1013">
        <v>60299.979999999989</v>
      </c>
      <c r="BF31" s="636">
        <v>60513.159999999989</v>
      </c>
      <c r="BG31" s="636">
        <v>60562.12999999999</v>
      </c>
      <c r="BH31" s="636">
        <v>61489.799999999988</v>
      </c>
      <c r="BI31" s="636">
        <v>61107.919999999991</v>
      </c>
      <c r="BJ31" s="636">
        <v>61182.599999999991</v>
      </c>
      <c r="BK31" s="636">
        <v>61741.709999999992</v>
      </c>
      <c r="BL31" s="1013">
        <v>61905.370613333333</v>
      </c>
      <c r="BM31" s="1013">
        <v>66242.092975473337</v>
      </c>
      <c r="BN31" s="1013">
        <v>66550.118861333351</v>
      </c>
      <c r="BO31" s="1013">
        <v>68740.21192168667</v>
      </c>
      <c r="BP31" s="1013">
        <v>69158.745489866677</v>
      </c>
      <c r="BQ31" s="1013">
        <v>69711.283901466682</v>
      </c>
      <c r="BR31" s="636">
        <v>70135.022313066685</v>
      </c>
      <c r="BS31" s="636">
        <v>71632.094766400012</v>
      </c>
      <c r="BT31" s="636">
        <v>72334.899844666696</v>
      </c>
      <c r="BU31" s="636">
        <v>72619.104922933358</v>
      </c>
      <c r="BV31" s="636">
        <v>72677.910001200027</v>
      </c>
      <c r="BW31" s="636">
        <v>72736.71507946671</v>
      </c>
      <c r="BX31" s="607">
        <f ca="1">+B31</f>
        <v>834443.57069089368</v>
      </c>
      <c r="BY31" s="1117">
        <v>3.9907565475031929E-2</v>
      </c>
      <c r="BZ31" s="341">
        <f ca="1">BX31*BY31</f>
        <v>33300.611432566271</v>
      </c>
      <c r="CA31" s="375" t="s">
        <v>1261</v>
      </c>
    </row>
    <row r="32" spans="1:80" ht="15">
      <c r="A32" s="375" t="s">
        <v>225</v>
      </c>
      <c r="B32" s="286">
        <f ca="1">SUM(OFFSET(AZ32:BK32,0,'Bal Sheet'!$A$1))</f>
        <v>12909.306081600003</v>
      </c>
      <c r="C32" s="344">
        <v>338.21</v>
      </c>
      <c r="D32" s="344">
        <v>338.21</v>
      </c>
      <c r="E32" s="344">
        <v>338.21</v>
      </c>
      <c r="F32" s="344">
        <v>338.21</v>
      </c>
      <c r="G32" s="344">
        <v>338.21</v>
      </c>
      <c r="H32" s="344">
        <v>338.21</v>
      </c>
      <c r="I32" s="344">
        <v>338.21</v>
      </c>
      <c r="J32" s="344">
        <v>338.21</v>
      </c>
      <c r="K32" s="344">
        <v>338.21</v>
      </c>
      <c r="L32" s="344">
        <v>338.21</v>
      </c>
      <c r="M32" s="344">
        <v>338.21</v>
      </c>
      <c r="N32" s="344">
        <v>338.21</v>
      </c>
      <c r="O32" s="344">
        <v>338.21</v>
      </c>
      <c r="P32" s="344">
        <v>338.21</v>
      </c>
      <c r="Q32" s="344">
        <v>338.21</v>
      </c>
      <c r="R32" s="344">
        <v>338.21</v>
      </c>
      <c r="S32" s="344">
        <v>338.21</v>
      </c>
      <c r="T32" s="344">
        <v>338.21</v>
      </c>
      <c r="U32" s="344">
        <v>338.21</v>
      </c>
      <c r="V32" s="344">
        <v>338.21</v>
      </c>
      <c r="W32" s="344">
        <v>338.21</v>
      </c>
      <c r="X32" s="344">
        <v>338.21</v>
      </c>
      <c r="Y32" s="344">
        <v>338.21</v>
      </c>
      <c r="Z32" s="344">
        <v>338.21</v>
      </c>
      <c r="AA32" s="344">
        <v>338.21</v>
      </c>
      <c r="AB32" s="344">
        <v>338.21</v>
      </c>
      <c r="AC32" s="344">
        <v>338.21</v>
      </c>
      <c r="AD32" s="344">
        <v>338.21</v>
      </c>
      <c r="AE32" s="344">
        <v>338.21</v>
      </c>
      <c r="AF32" s="344">
        <v>338.21</v>
      </c>
      <c r="AG32" s="344">
        <v>338.21</v>
      </c>
      <c r="AH32" s="344">
        <v>338.21</v>
      </c>
      <c r="AI32" s="534">
        <v>338.21</v>
      </c>
      <c r="AJ32" s="534">
        <v>338.21</v>
      </c>
      <c r="AK32" s="534">
        <v>338.21</v>
      </c>
      <c r="AL32" s="534">
        <v>338.21</v>
      </c>
      <c r="AM32" s="777">
        <v>338.21</v>
      </c>
      <c r="AN32" s="777">
        <v>335.87</v>
      </c>
      <c r="AO32" s="778">
        <v>335.87</v>
      </c>
      <c r="AP32" s="778">
        <v>335.87</v>
      </c>
      <c r="AQ32" s="778">
        <v>335.87</v>
      </c>
      <c r="AR32" s="778">
        <v>335.87</v>
      </c>
      <c r="AS32" s="778">
        <v>335.87</v>
      </c>
      <c r="AT32" s="778">
        <v>335.87</v>
      </c>
      <c r="AU32" s="778">
        <v>335.87</v>
      </c>
      <c r="AV32" s="778">
        <v>335.87</v>
      </c>
      <c r="AW32" s="778">
        <v>335.87</v>
      </c>
      <c r="AX32" s="778">
        <v>335.87</v>
      </c>
      <c r="AY32" s="778">
        <v>335.87</v>
      </c>
      <c r="AZ32" s="1013">
        <v>335.87</v>
      </c>
      <c r="BA32" s="1013">
        <v>335.87</v>
      </c>
      <c r="BB32" s="1013">
        <v>335.87</v>
      </c>
      <c r="BC32" s="1013">
        <v>335.87</v>
      </c>
      <c r="BD32" s="1013">
        <v>335.87</v>
      </c>
      <c r="BE32" s="1013">
        <v>335.87</v>
      </c>
      <c r="BF32" s="636">
        <v>335.87</v>
      </c>
      <c r="BG32" s="636">
        <v>335.87</v>
      </c>
      <c r="BH32" s="636">
        <v>335.87</v>
      </c>
      <c r="BI32" s="636">
        <v>335.87</v>
      </c>
      <c r="BJ32" s="636">
        <v>335.87</v>
      </c>
      <c r="BK32" s="636">
        <v>335.87</v>
      </c>
      <c r="BL32" s="1013">
        <v>324.68862000000001</v>
      </c>
      <c r="BM32" s="1013">
        <v>324.68862000000001</v>
      </c>
      <c r="BN32" s="1013">
        <v>324.68862000000001</v>
      </c>
      <c r="BO32" s="1013">
        <v>1326.1378024000001</v>
      </c>
      <c r="BP32" s="1013">
        <v>1326.1378024000001</v>
      </c>
      <c r="BQ32" s="1013">
        <v>1326.1378024000001</v>
      </c>
      <c r="BR32" s="636">
        <v>1326.1378024000001</v>
      </c>
      <c r="BS32" s="636">
        <v>1326.1378024000001</v>
      </c>
      <c r="BT32" s="636">
        <v>1326.1378024000001</v>
      </c>
      <c r="BU32" s="636">
        <v>1326.1378024000001</v>
      </c>
      <c r="BV32" s="636">
        <v>1326.1378024000001</v>
      </c>
      <c r="BW32" s="636">
        <v>1326.1378024000001</v>
      </c>
      <c r="BX32" s="607">
        <f t="shared" ca="1" si="33"/>
        <v>12909.306081600003</v>
      </c>
      <c r="BY32" s="1117">
        <v>3.5730222460550291E-2</v>
      </c>
      <c r="BZ32" s="341">
        <f ca="1">BX32*BY32</f>
        <v>461.25237810690294</v>
      </c>
      <c r="CA32" s="375" t="s">
        <v>1261</v>
      </c>
    </row>
    <row r="33" spans="1:80" ht="15">
      <c r="A33" s="375" t="s">
        <v>226</v>
      </c>
      <c r="B33" s="286">
        <f ca="1">SUM(OFFSET(AZ33:BK33,0,'Bal Sheet'!$A$1))</f>
        <v>829350.33349601016</v>
      </c>
      <c r="C33" s="344">
        <v>42020.639999999999</v>
      </c>
      <c r="D33" s="344">
        <v>42103.93</v>
      </c>
      <c r="E33" s="344">
        <v>42259.259999999995</v>
      </c>
      <c r="F33" s="344">
        <v>43686.869999999995</v>
      </c>
      <c r="G33" s="344">
        <v>43872.710000000006</v>
      </c>
      <c r="H33" s="344">
        <v>43924.670000000006</v>
      </c>
      <c r="I33" s="344">
        <v>43924.670000000006</v>
      </c>
      <c r="J33" s="344">
        <v>43941.91</v>
      </c>
      <c r="K33" s="344">
        <v>43941.91</v>
      </c>
      <c r="L33" s="344">
        <v>43951.280000000006</v>
      </c>
      <c r="M33" s="344">
        <v>43951.280000000006</v>
      </c>
      <c r="N33" s="344">
        <v>43985.060000000005</v>
      </c>
      <c r="O33" s="344">
        <v>44414.66</v>
      </c>
      <c r="P33" s="344">
        <v>53347.770000000004</v>
      </c>
      <c r="Q33" s="344">
        <v>53161.47</v>
      </c>
      <c r="R33" s="344">
        <v>56973.36</v>
      </c>
      <c r="S33" s="344">
        <v>57037.48</v>
      </c>
      <c r="T33" s="344">
        <v>57398.42</v>
      </c>
      <c r="U33" s="344">
        <v>57732.63</v>
      </c>
      <c r="V33" s="344">
        <v>57732.63</v>
      </c>
      <c r="W33" s="344">
        <v>57720.58</v>
      </c>
      <c r="X33" s="344">
        <v>57891.32</v>
      </c>
      <c r="Y33" s="344">
        <v>57947.170000000006</v>
      </c>
      <c r="Z33" s="344">
        <v>59366.6</v>
      </c>
      <c r="AA33" s="344">
        <v>59407.729999999996</v>
      </c>
      <c r="AB33" s="344">
        <v>67928.710000000006</v>
      </c>
      <c r="AC33" s="344">
        <v>67576.540000000008</v>
      </c>
      <c r="AD33" s="344">
        <v>70305.759999999995</v>
      </c>
      <c r="AE33" s="344">
        <v>70920.88</v>
      </c>
      <c r="AF33" s="344">
        <v>71107.22</v>
      </c>
      <c r="AG33" s="344">
        <v>71334.460000000006</v>
      </c>
      <c r="AH33" s="344">
        <v>72399.25</v>
      </c>
      <c r="AI33" s="534">
        <v>72558.710000000006</v>
      </c>
      <c r="AJ33" s="534">
        <v>72520.39</v>
      </c>
      <c r="AK33" s="534">
        <v>72811.47</v>
      </c>
      <c r="AL33" s="534">
        <v>73583.150000000009</v>
      </c>
      <c r="AM33" s="777">
        <v>73623.199999999997</v>
      </c>
      <c r="AN33" s="777">
        <v>66415.310000000012</v>
      </c>
      <c r="AO33" s="778">
        <v>66427.850000000006</v>
      </c>
      <c r="AP33" s="778">
        <v>46849.66</v>
      </c>
      <c r="AQ33" s="778">
        <v>46849.66</v>
      </c>
      <c r="AR33" s="778">
        <v>46853.59</v>
      </c>
      <c r="AS33" s="778">
        <v>46853.59</v>
      </c>
      <c r="AT33" s="778">
        <v>46853.59</v>
      </c>
      <c r="AU33" s="778">
        <v>46839.079999999994</v>
      </c>
      <c r="AV33" s="778">
        <v>47035.439999999995</v>
      </c>
      <c r="AW33" s="778">
        <v>47035.439999999995</v>
      </c>
      <c r="AX33" s="778">
        <v>47107.329999999994</v>
      </c>
      <c r="AY33" s="778">
        <v>47108.89</v>
      </c>
      <c r="AZ33" s="1013">
        <v>47110.42</v>
      </c>
      <c r="BA33" s="1013">
        <v>47111.98</v>
      </c>
      <c r="BB33" s="1013">
        <v>47113.53</v>
      </c>
      <c r="BC33" s="1013">
        <v>47115.079999999994</v>
      </c>
      <c r="BD33" s="1013">
        <v>47348.18</v>
      </c>
      <c r="BE33" s="1013">
        <v>47349.750000000007</v>
      </c>
      <c r="BF33" s="636">
        <v>47385.33</v>
      </c>
      <c r="BG33" s="636">
        <v>47549.42</v>
      </c>
      <c r="BH33" s="636">
        <v>47650.540000000008</v>
      </c>
      <c r="BI33" s="636">
        <v>47710.62</v>
      </c>
      <c r="BJ33" s="636">
        <v>47843.03</v>
      </c>
      <c r="BK33" s="636">
        <v>47884.240000000005</v>
      </c>
      <c r="BL33" s="1013">
        <v>48072.607615833338</v>
      </c>
      <c r="BM33" s="1013">
        <v>66985.748503241673</v>
      </c>
      <c r="BN33" s="1013">
        <v>67563.060167573334</v>
      </c>
      <c r="BO33" s="1013">
        <v>69751.525303564675</v>
      </c>
      <c r="BP33" s="1013">
        <v>70448.517286429604</v>
      </c>
      <c r="BQ33" s="1013">
        <v>70747.777680785919</v>
      </c>
      <c r="BR33" s="636">
        <v>71464.155303657186</v>
      </c>
      <c r="BS33" s="636">
        <v>71643.140772231432</v>
      </c>
      <c r="BT33" s="636">
        <v>72608.375409946297</v>
      </c>
      <c r="BU33" s="636">
        <v>73150.874048155922</v>
      </c>
      <c r="BV33" s="636">
        <v>73329.858486464524</v>
      </c>
      <c r="BW33" s="636">
        <v>73584.692918126239</v>
      </c>
      <c r="BX33" s="607">
        <f t="shared" ca="1" si="33"/>
        <v>829350.33349601016</v>
      </c>
      <c r="BY33" s="1117">
        <v>6.0974307660239596E-3</v>
      </c>
      <c r="BZ33" s="341">
        <f ca="1">BX33*BY33</f>
        <v>5056.9062392708038</v>
      </c>
      <c r="CA33" s="375" t="s">
        <v>1261</v>
      </c>
    </row>
    <row r="34" spans="1:80" ht="15.75" thickBot="1">
      <c r="B34" s="286">
        <f ca="1">SUM(OFFSET(AZ34:BK34,0,'Bal Sheet'!$A$1))</f>
        <v>7640502.3420920046</v>
      </c>
      <c r="C34" s="338">
        <f t="shared" ref="C34" si="34">SUM(C29:C33)</f>
        <v>248319.69</v>
      </c>
      <c r="D34" s="338">
        <f t="shared" ref="D34:O34" si="35">SUM(D29:D33)</f>
        <v>250105.35</v>
      </c>
      <c r="E34" s="338">
        <f t="shared" si="35"/>
        <v>250263.45999999996</v>
      </c>
      <c r="F34" s="338">
        <f t="shared" si="35"/>
        <v>251713.51</v>
      </c>
      <c r="G34" s="338">
        <f t="shared" si="35"/>
        <v>253068.73000000004</v>
      </c>
      <c r="H34" s="338">
        <f t="shared" si="35"/>
        <v>253491.97000000003</v>
      </c>
      <c r="I34" s="338">
        <f t="shared" si="35"/>
        <v>253572.02000000002</v>
      </c>
      <c r="J34" s="338">
        <f t="shared" si="35"/>
        <v>253593.87000000002</v>
      </c>
      <c r="K34" s="338">
        <f t="shared" si="35"/>
        <v>256029.9</v>
      </c>
      <c r="L34" s="338">
        <f t="shared" si="35"/>
        <v>256271.19999999998</v>
      </c>
      <c r="M34" s="338">
        <f t="shared" si="35"/>
        <v>256465.25</v>
      </c>
      <c r="N34" s="338">
        <f t="shared" si="35"/>
        <v>260974.74</v>
      </c>
      <c r="O34" s="338">
        <f t="shared" si="35"/>
        <v>261669.19</v>
      </c>
      <c r="P34" s="338">
        <f t="shared" ref="P34:AA34" si="36">SUM(P29:P33)</f>
        <v>266860.53999999998</v>
      </c>
      <c r="Q34" s="338">
        <f t="shared" si="36"/>
        <v>267180.27</v>
      </c>
      <c r="R34" s="338">
        <f t="shared" si="36"/>
        <v>270840.09999999998</v>
      </c>
      <c r="S34" s="338">
        <f t="shared" si="36"/>
        <v>270963.01999999996</v>
      </c>
      <c r="T34" s="338">
        <f t="shared" si="36"/>
        <v>271977.95</v>
      </c>
      <c r="U34" s="338">
        <f t="shared" si="36"/>
        <v>273331.56999999995</v>
      </c>
      <c r="V34" s="338">
        <f t="shared" si="36"/>
        <v>274246.01999999996</v>
      </c>
      <c r="W34" s="338">
        <f t="shared" si="36"/>
        <v>274192.63</v>
      </c>
      <c r="X34" s="338">
        <f t="shared" si="36"/>
        <v>274565.55</v>
      </c>
      <c r="Y34" s="338">
        <f t="shared" si="36"/>
        <v>281212.57</v>
      </c>
      <c r="Z34" s="338">
        <f t="shared" si="36"/>
        <v>283393.57999999996</v>
      </c>
      <c r="AA34" s="338">
        <f t="shared" si="36"/>
        <v>284636.44999999995</v>
      </c>
      <c r="AB34" s="338">
        <f t="shared" ref="AB34:AM34" si="37">SUM(AB29:AB33)</f>
        <v>299350.02999999997</v>
      </c>
      <c r="AC34" s="338">
        <f t="shared" si="37"/>
        <v>296458.76</v>
      </c>
      <c r="AD34" s="338">
        <f t="shared" si="37"/>
        <v>300330.06999999995</v>
      </c>
      <c r="AE34" s="338">
        <f t="shared" si="37"/>
        <v>301199.73</v>
      </c>
      <c r="AF34" s="338">
        <f t="shared" si="37"/>
        <v>301680.31999999995</v>
      </c>
      <c r="AG34" s="338">
        <f t="shared" si="37"/>
        <v>302025.86</v>
      </c>
      <c r="AH34" s="338">
        <f t="shared" si="37"/>
        <v>303840.89999999997</v>
      </c>
      <c r="AI34" s="338">
        <f t="shared" si="37"/>
        <v>304216.08999999997</v>
      </c>
      <c r="AJ34" s="338">
        <f t="shared" si="37"/>
        <v>304207.90999999997</v>
      </c>
      <c r="AK34" s="338">
        <f t="shared" si="37"/>
        <v>304656.27</v>
      </c>
      <c r="AL34" s="338">
        <f t="shared" si="37"/>
        <v>395915.69000000006</v>
      </c>
      <c r="AM34" s="626">
        <f t="shared" si="37"/>
        <v>396446.02</v>
      </c>
      <c r="AN34" s="626">
        <f t="shared" ref="AN34:AS34" si="38">SUM(AN29:AN33)</f>
        <v>391633.65</v>
      </c>
      <c r="AO34" s="626">
        <f t="shared" si="38"/>
        <v>391906.75</v>
      </c>
      <c r="AP34" s="626">
        <f t="shared" si="38"/>
        <v>372660.95000000007</v>
      </c>
      <c r="AQ34" s="626">
        <f t="shared" si="38"/>
        <v>386920.56000000006</v>
      </c>
      <c r="AR34" s="626">
        <f t="shared" si="38"/>
        <v>402582.43999999994</v>
      </c>
      <c r="AS34" s="626">
        <f t="shared" si="38"/>
        <v>403974.43000000005</v>
      </c>
      <c r="AT34" s="626">
        <v>405477.68999999994</v>
      </c>
      <c r="AU34" s="626">
        <v>407077.63</v>
      </c>
      <c r="AV34" s="626">
        <v>408108.51</v>
      </c>
      <c r="AW34" s="626">
        <v>408293.13</v>
      </c>
      <c r="AX34" s="626">
        <v>408757.31000000006</v>
      </c>
      <c r="AY34" s="626">
        <v>408975.04000000004</v>
      </c>
      <c r="AZ34" s="626">
        <v>409278.89999999997</v>
      </c>
      <c r="BA34" s="626">
        <v>409508.44</v>
      </c>
      <c r="BB34" s="626">
        <v>441872.69999999995</v>
      </c>
      <c r="BC34" s="626">
        <v>442559.64</v>
      </c>
      <c r="BD34" s="626">
        <v>442942.57</v>
      </c>
      <c r="BE34" s="626">
        <v>443278.69</v>
      </c>
      <c r="BF34" s="626">
        <v>442697.07999999996</v>
      </c>
      <c r="BG34" s="626">
        <v>443033.33</v>
      </c>
      <c r="BH34" s="626">
        <v>444044.73</v>
      </c>
      <c r="BI34" s="626">
        <v>443990.22</v>
      </c>
      <c r="BJ34" s="626">
        <v>444317.01</v>
      </c>
      <c r="BK34" s="626">
        <v>448436.15999999992</v>
      </c>
      <c r="BL34" s="626">
        <v>449658.31936416682</v>
      </c>
      <c r="BM34" s="626">
        <v>498873.40529546514</v>
      </c>
      <c r="BN34" s="626">
        <v>500718.29490340682</v>
      </c>
      <c r="BO34" s="626">
        <v>514186.45334490144</v>
      </c>
      <c r="BP34" s="626">
        <v>516785.9339536964</v>
      </c>
      <c r="BQ34" s="626">
        <v>709768.77537965262</v>
      </c>
      <c r="BR34" s="626">
        <v>727574.803864124</v>
      </c>
      <c r="BS34" s="626">
        <v>740312.39028603164</v>
      </c>
      <c r="BT34" s="626">
        <v>742747.1245020132</v>
      </c>
      <c r="BU34" s="626">
        <v>744498.46071848948</v>
      </c>
      <c r="BV34" s="626">
        <v>745390.29373506468</v>
      </c>
      <c r="BW34" s="626">
        <v>749988.08674499311</v>
      </c>
      <c r="BX34" s="627">
        <f t="shared" ca="1" si="33"/>
        <v>7640502.3420920046</v>
      </c>
      <c r="BY34" s="375"/>
      <c r="BZ34" s="766">
        <f ca="1">SUM(BZ29:BZ33)</f>
        <v>38818.770049943982</v>
      </c>
      <c r="CA34" s="375" t="s">
        <v>1261</v>
      </c>
    </row>
    <row r="35" spans="1:80" ht="15.75" thickTop="1">
      <c r="C35" s="682"/>
      <c r="D35" s="682"/>
      <c r="E35" s="682"/>
      <c r="F35" s="682"/>
      <c r="G35" s="682"/>
      <c r="H35" s="682"/>
      <c r="I35" s="682"/>
      <c r="J35" s="682"/>
      <c r="K35" s="682"/>
      <c r="L35" s="682"/>
      <c r="M35" s="682"/>
      <c r="N35" s="682"/>
      <c r="O35" s="682"/>
      <c r="P35" s="682"/>
      <c r="Q35" s="682"/>
      <c r="R35" s="682"/>
      <c r="S35" s="682"/>
      <c r="T35" s="682"/>
      <c r="U35" s="682"/>
      <c r="V35" s="682"/>
      <c r="W35" s="682"/>
      <c r="X35" s="682"/>
      <c r="Y35" s="682"/>
      <c r="Z35" s="682"/>
      <c r="AA35" s="682"/>
      <c r="AB35" s="682"/>
      <c r="AC35" s="682"/>
      <c r="AD35" s="682"/>
      <c r="AE35" s="682"/>
      <c r="AF35" s="682"/>
      <c r="AG35" s="682"/>
      <c r="AH35" s="682"/>
      <c r="AI35" s="682"/>
      <c r="AJ35" s="682"/>
      <c r="AK35" s="682"/>
      <c r="AL35" s="682"/>
      <c r="AM35" s="683"/>
      <c r="AN35" s="683"/>
      <c r="AO35" s="683"/>
      <c r="AP35" s="683"/>
      <c r="AQ35" s="683"/>
      <c r="AR35" s="683"/>
      <c r="AS35" s="683"/>
      <c r="AT35" s="683"/>
      <c r="AU35" s="683"/>
      <c r="AV35" s="683"/>
      <c r="AW35" s="683"/>
      <c r="AX35" s="683"/>
      <c r="AY35" s="683"/>
      <c r="AZ35" s="683"/>
      <c r="BA35" s="683"/>
      <c r="BB35" s="683"/>
      <c r="BC35" s="683"/>
      <c r="BD35" s="683"/>
      <c r="BE35" s="683"/>
      <c r="BF35" s="683"/>
      <c r="BG35" s="683"/>
      <c r="BH35" s="683"/>
      <c r="BI35" s="683"/>
      <c r="BJ35" s="683"/>
      <c r="BK35" s="683"/>
      <c r="BL35" s="683"/>
      <c r="BM35" s="683"/>
      <c r="BN35" s="683"/>
      <c r="BO35" s="683"/>
      <c r="BP35" s="683"/>
      <c r="BQ35" s="683"/>
      <c r="BR35" s="683"/>
      <c r="BS35" s="683"/>
      <c r="BT35" s="683"/>
      <c r="BU35" s="683"/>
      <c r="BV35" s="683"/>
      <c r="BW35" s="683"/>
      <c r="BX35" s="684"/>
      <c r="BY35" s="375"/>
      <c r="BZ35" s="685"/>
      <c r="CA35" s="473"/>
    </row>
    <row r="36" spans="1:80">
      <c r="AM36" s="208" t="str">
        <f>+AM2</f>
        <v>Actual</v>
      </c>
      <c r="AN36" s="208" t="str">
        <f t="shared" ref="AN36:AY36" si="39">+AN2</f>
        <v>Actual</v>
      </c>
      <c r="AO36" s="208" t="str">
        <f t="shared" si="39"/>
        <v>Actual</v>
      </c>
      <c r="AP36" s="208" t="str">
        <f t="shared" si="39"/>
        <v>Actual</v>
      </c>
      <c r="AQ36" s="208" t="str">
        <f t="shared" si="39"/>
        <v>Actual</v>
      </c>
      <c r="AR36" s="208" t="str">
        <f t="shared" si="39"/>
        <v>Actual</v>
      </c>
      <c r="AS36" s="208" t="str">
        <f t="shared" si="39"/>
        <v>Actual</v>
      </c>
      <c r="AT36" s="208" t="str">
        <f t="shared" si="39"/>
        <v>Actual</v>
      </c>
      <c r="AU36" s="208" t="str">
        <f t="shared" si="39"/>
        <v>Actual</v>
      </c>
      <c r="AV36" s="208" t="str">
        <f t="shared" si="39"/>
        <v>Actual</v>
      </c>
      <c r="AW36" s="208" t="str">
        <f t="shared" si="39"/>
        <v>Actual</v>
      </c>
      <c r="AX36" s="208" t="str">
        <f t="shared" si="39"/>
        <v>Actual</v>
      </c>
      <c r="AY36" s="208" t="str">
        <f t="shared" si="39"/>
        <v>Actual</v>
      </c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 t="str">
        <f t="shared" ref="BL36:BW36" si="40">+BL2</f>
        <v>Budget</v>
      </c>
      <c r="BM36" s="208" t="str">
        <f t="shared" si="40"/>
        <v>Budget</v>
      </c>
      <c r="BN36" s="208" t="str">
        <f t="shared" si="40"/>
        <v>Budget</v>
      </c>
      <c r="BO36" s="208" t="str">
        <f t="shared" si="40"/>
        <v>Budget</v>
      </c>
      <c r="BP36" s="208" t="str">
        <f t="shared" si="40"/>
        <v>Budget</v>
      </c>
      <c r="BQ36" s="208" t="str">
        <f t="shared" si="40"/>
        <v>Budget</v>
      </c>
      <c r="BR36" s="208" t="str">
        <f t="shared" si="40"/>
        <v>Budget</v>
      </c>
      <c r="BS36" s="208" t="str">
        <f t="shared" si="40"/>
        <v>Budget</v>
      </c>
      <c r="BT36" s="208" t="str">
        <f t="shared" si="40"/>
        <v>Budget</v>
      </c>
      <c r="BU36" s="208" t="str">
        <f t="shared" si="40"/>
        <v>Budget</v>
      </c>
      <c r="BV36" s="208" t="str">
        <f t="shared" si="40"/>
        <v>Budget</v>
      </c>
      <c r="BW36" s="208" t="str">
        <f t="shared" si="40"/>
        <v>Budget</v>
      </c>
      <c r="BX36" s="75"/>
    </row>
    <row r="37" spans="1:80">
      <c r="A37" s="628"/>
      <c r="B37" s="629"/>
      <c r="C37" s="628">
        <v>2017</v>
      </c>
      <c r="D37" s="628">
        <v>2018</v>
      </c>
      <c r="E37" s="628">
        <v>2018</v>
      </c>
      <c r="F37" s="628">
        <v>2018</v>
      </c>
      <c r="G37" s="628">
        <v>2018</v>
      </c>
      <c r="H37" s="628">
        <v>2018</v>
      </c>
      <c r="I37" s="628">
        <v>2018</v>
      </c>
      <c r="J37" s="628">
        <f>+J3</f>
        <v>2018</v>
      </c>
      <c r="K37" s="628">
        <f t="shared" ref="K37:AA37" si="41">+K3</f>
        <v>2018</v>
      </c>
      <c r="L37" s="628">
        <f t="shared" si="41"/>
        <v>2018</v>
      </c>
      <c r="M37" s="628">
        <f t="shared" si="41"/>
        <v>2018</v>
      </c>
      <c r="N37" s="628">
        <f t="shared" si="41"/>
        <v>2018</v>
      </c>
      <c r="O37" s="628">
        <f t="shared" si="41"/>
        <v>2018</v>
      </c>
      <c r="P37" s="628">
        <f t="shared" si="41"/>
        <v>2019</v>
      </c>
      <c r="Q37" s="628">
        <f t="shared" si="41"/>
        <v>2019</v>
      </c>
      <c r="R37" s="628">
        <f t="shared" si="41"/>
        <v>2019</v>
      </c>
      <c r="S37" s="628">
        <f t="shared" si="41"/>
        <v>2019</v>
      </c>
      <c r="T37" s="628">
        <f t="shared" si="41"/>
        <v>2019</v>
      </c>
      <c r="U37" s="628">
        <f t="shared" si="41"/>
        <v>2019</v>
      </c>
      <c r="V37" s="628">
        <f t="shared" si="41"/>
        <v>2019</v>
      </c>
      <c r="W37" s="628">
        <f t="shared" si="41"/>
        <v>2019</v>
      </c>
      <c r="X37" s="628">
        <f t="shared" si="41"/>
        <v>2019</v>
      </c>
      <c r="Y37" s="628">
        <f t="shared" si="41"/>
        <v>2019</v>
      </c>
      <c r="Z37" s="628">
        <f t="shared" si="41"/>
        <v>2019</v>
      </c>
      <c r="AA37" s="628">
        <f t="shared" si="41"/>
        <v>2019</v>
      </c>
      <c r="AB37" s="628">
        <f t="shared" ref="AB37:AM37" si="42">+AB3</f>
        <v>2020</v>
      </c>
      <c r="AC37" s="628">
        <f t="shared" si="42"/>
        <v>2020</v>
      </c>
      <c r="AD37" s="628">
        <f t="shared" si="42"/>
        <v>2020</v>
      </c>
      <c r="AE37" s="628">
        <f t="shared" si="42"/>
        <v>2020</v>
      </c>
      <c r="AF37" s="628">
        <f t="shared" si="42"/>
        <v>2020</v>
      </c>
      <c r="AG37" s="628">
        <f t="shared" si="42"/>
        <v>2020</v>
      </c>
      <c r="AH37" s="628">
        <f t="shared" si="42"/>
        <v>2020</v>
      </c>
      <c r="AI37" s="628">
        <f t="shared" si="42"/>
        <v>2020</v>
      </c>
      <c r="AJ37" s="628">
        <f t="shared" si="42"/>
        <v>2020</v>
      </c>
      <c r="AK37" s="628">
        <f t="shared" si="42"/>
        <v>2020</v>
      </c>
      <c r="AL37" s="628">
        <f t="shared" si="42"/>
        <v>2020</v>
      </c>
      <c r="AM37" s="633">
        <f t="shared" si="42"/>
        <v>2020</v>
      </c>
      <c r="AN37" s="633">
        <f t="shared" ref="AN37:AY37" si="43">+AN3</f>
        <v>2021</v>
      </c>
      <c r="AO37" s="633">
        <f t="shared" si="43"/>
        <v>2021</v>
      </c>
      <c r="AP37" s="633">
        <f t="shared" si="43"/>
        <v>2021</v>
      </c>
      <c r="AQ37" s="633">
        <f t="shared" si="43"/>
        <v>2021</v>
      </c>
      <c r="AR37" s="633">
        <f t="shared" si="43"/>
        <v>2021</v>
      </c>
      <c r="AS37" s="633">
        <f t="shared" si="43"/>
        <v>2021</v>
      </c>
      <c r="AT37" s="633">
        <f t="shared" si="43"/>
        <v>2021</v>
      </c>
      <c r="AU37" s="633">
        <f t="shared" si="43"/>
        <v>2021</v>
      </c>
      <c r="AV37" s="633">
        <f t="shared" si="43"/>
        <v>2021</v>
      </c>
      <c r="AW37" s="633">
        <f t="shared" si="43"/>
        <v>2021</v>
      </c>
      <c r="AX37" s="633">
        <f t="shared" si="43"/>
        <v>2021</v>
      </c>
      <c r="AY37" s="633">
        <f t="shared" si="43"/>
        <v>2021</v>
      </c>
      <c r="AZ37" s="633">
        <v>2022</v>
      </c>
      <c r="BA37" s="633">
        <v>2022</v>
      </c>
      <c r="BB37" s="633">
        <v>2022</v>
      </c>
      <c r="BC37" s="633">
        <v>2022</v>
      </c>
      <c r="BD37" s="633">
        <v>2022</v>
      </c>
      <c r="BE37" s="633">
        <v>2022</v>
      </c>
      <c r="BF37" s="633">
        <v>2022</v>
      </c>
      <c r="BG37" s="633">
        <v>2022</v>
      </c>
      <c r="BH37" s="633">
        <v>2022</v>
      </c>
      <c r="BI37" s="633">
        <v>2022</v>
      </c>
      <c r="BJ37" s="633">
        <v>2022</v>
      </c>
      <c r="BK37" s="633">
        <v>2022</v>
      </c>
      <c r="BL37" s="633">
        <f t="shared" ref="BL37:BW37" si="44">+BL3</f>
        <v>2023</v>
      </c>
      <c r="BM37" s="633">
        <f t="shared" si="44"/>
        <v>2023</v>
      </c>
      <c r="BN37" s="633">
        <f t="shared" si="44"/>
        <v>2023</v>
      </c>
      <c r="BO37" s="633">
        <f t="shared" si="44"/>
        <v>2023</v>
      </c>
      <c r="BP37" s="633">
        <f t="shared" si="44"/>
        <v>2023</v>
      </c>
      <c r="BQ37" s="633">
        <f t="shared" si="44"/>
        <v>2023</v>
      </c>
      <c r="BR37" s="633">
        <f t="shared" si="44"/>
        <v>2023</v>
      </c>
      <c r="BS37" s="633">
        <f t="shared" si="44"/>
        <v>2023</v>
      </c>
      <c r="BT37" s="633">
        <f t="shared" si="44"/>
        <v>2023</v>
      </c>
      <c r="BU37" s="633">
        <f t="shared" si="44"/>
        <v>2023</v>
      </c>
      <c r="BV37" s="633">
        <f t="shared" si="44"/>
        <v>2023</v>
      </c>
      <c r="BW37" s="633">
        <f t="shared" si="44"/>
        <v>2023</v>
      </c>
      <c r="BX37" s="628" t="s">
        <v>204</v>
      </c>
      <c r="BY37" s="628"/>
    </row>
    <row r="38" spans="1:80">
      <c r="A38" s="630" t="s">
        <v>231</v>
      </c>
      <c r="B38" s="635" t="s">
        <v>209</v>
      </c>
      <c r="C38" s="631" t="s">
        <v>210</v>
      </c>
      <c r="D38" s="631" t="s">
        <v>211</v>
      </c>
      <c r="E38" s="631" t="s">
        <v>212</v>
      </c>
      <c r="F38" s="631" t="s">
        <v>213</v>
      </c>
      <c r="G38" s="631" t="s">
        <v>214</v>
      </c>
      <c r="H38" s="631" t="s">
        <v>215</v>
      </c>
      <c r="I38" s="631" t="s">
        <v>216</v>
      </c>
      <c r="J38" s="631" t="str">
        <f>+J4</f>
        <v>Jul</v>
      </c>
      <c r="K38" s="631" t="str">
        <f t="shared" ref="K38:AA38" si="45">+K4</f>
        <v>Aug</v>
      </c>
      <c r="L38" s="631" t="str">
        <f t="shared" si="45"/>
        <v>Sep</v>
      </c>
      <c r="M38" s="631" t="str">
        <f t="shared" si="45"/>
        <v>Oct</v>
      </c>
      <c r="N38" s="631" t="str">
        <f t="shared" si="45"/>
        <v>Nov</v>
      </c>
      <c r="O38" s="631" t="str">
        <f t="shared" si="45"/>
        <v>Dec</v>
      </c>
      <c r="P38" s="631" t="str">
        <f t="shared" si="45"/>
        <v>Jan</v>
      </c>
      <c r="Q38" s="631" t="str">
        <f t="shared" si="45"/>
        <v>Feb</v>
      </c>
      <c r="R38" s="631" t="str">
        <f t="shared" si="45"/>
        <v>Mar</v>
      </c>
      <c r="S38" s="631" t="str">
        <f t="shared" si="45"/>
        <v>Apr</v>
      </c>
      <c r="T38" s="631" t="str">
        <f t="shared" si="45"/>
        <v>May</v>
      </c>
      <c r="U38" s="631" t="str">
        <f t="shared" si="45"/>
        <v>Jun</v>
      </c>
      <c r="V38" s="631" t="str">
        <f t="shared" si="45"/>
        <v>Jul</v>
      </c>
      <c r="W38" s="631" t="str">
        <f t="shared" si="45"/>
        <v>Aug</v>
      </c>
      <c r="X38" s="631" t="str">
        <f t="shared" si="45"/>
        <v>Sep</v>
      </c>
      <c r="Y38" s="631" t="str">
        <f t="shared" si="45"/>
        <v>Oct</v>
      </c>
      <c r="Z38" s="631" t="str">
        <f t="shared" si="45"/>
        <v>Nov</v>
      </c>
      <c r="AA38" s="631" t="str">
        <f t="shared" si="45"/>
        <v>Dec</v>
      </c>
      <c r="AB38" s="631" t="str">
        <f t="shared" ref="AB38:AM38" si="46">+AB4</f>
        <v>Jan</v>
      </c>
      <c r="AC38" s="631" t="str">
        <f t="shared" si="46"/>
        <v>Feb</v>
      </c>
      <c r="AD38" s="631" t="str">
        <f t="shared" si="46"/>
        <v>Mar</v>
      </c>
      <c r="AE38" s="631" t="str">
        <f t="shared" si="46"/>
        <v>Apr</v>
      </c>
      <c r="AF38" s="631" t="str">
        <f t="shared" si="46"/>
        <v>May</v>
      </c>
      <c r="AG38" s="631" t="str">
        <f t="shared" si="46"/>
        <v>Jun</v>
      </c>
      <c r="AH38" s="631" t="str">
        <f t="shared" si="46"/>
        <v>Jul</v>
      </c>
      <c r="AI38" s="631" t="str">
        <f t="shared" si="46"/>
        <v>Aug</v>
      </c>
      <c r="AJ38" s="631" t="str">
        <f t="shared" si="46"/>
        <v>Sep</v>
      </c>
      <c r="AK38" s="631" t="str">
        <f t="shared" si="46"/>
        <v>Oct</v>
      </c>
      <c r="AL38" s="631" t="str">
        <f t="shared" si="46"/>
        <v>Nov</v>
      </c>
      <c r="AM38" s="634" t="str">
        <f t="shared" si="46"/>
        <v>Dec</v>
      </c>
      <c r="AN38" s="634" t="str">
        <f t="shared" ref="AN38:AY38" si="47">+AN4</f>
        <v>Jan</v>
      </c>
      <c r="AO38" s="634" t="str">
        <f t="shared" si="47"/>
        <v>Feb</v>
      </c>
      <c r="AP38" s="634" t="str">
        <f t="shared" si="47"/>
        <v>Mar</v>
      </c>
      <c r="AQ38" s="634" t="str">
        <f t="shared" si="47"/>
        <v>Apr</v>
      </c>
      <c r="AR38" s="634" t="str">
        <f t="shared" si="47"/>
        <v>May</v>
      </c>
      <c r="AS38" s="634" t="str">
        <f t="shared" si="47"/>
        <v>Jun</v>
      </c>
      <c r="AT38" s="634" t="str">
        <f t="shared" si="47"/>
        <v>Jul</v>
      </c>
      <c r="AU38" s="634" t="str">
        <f t="shared" si="47"/>
        <v>Aug</v>
      </c>
      <c r="AV38" s="634" t="str">
        <f t="shared" si="47"/>
        <v>Sep</v>
      </c>
      <c r="AW38" s="634" t="str">
        <f t="shared" si="47"/>
        <v>Oct</v>
      </c>
      <c r="AX38" s="634" t="str">
        <f t="shared" si="47"/>
        <v>Nov</v>
      </c>
      <c r="AY38" s="634" t="str">
        <f t="shared" si="47"/>
        <v>Dec</v>
      </c>
      <c r="AZ38" s="634" t="s">
        <v>211</v>
      </c>
      <c r="BA38" s="634" t="s">
        <v>212</v>
      </c>
      <c r="BB38" s="634" t="s">
        <v>1231</v>
      </c>
      <c r="BC38" s="634" t="s">
        <v>1232</v>
      </c>
      <c r="BD38" s="634" t="s">
        <v>215</v>
      </c>
      <c r="BE38" s="634" t="s">
        <v>1233</v>
      </c>
      <c r="BF38" s="634" t="s">
        <v>1234</v>
      </c>
      <c r="BG38" s="634" t="s">
        <v>218</v>
      </c>
      <c r="BH38" s="634" t="s">
        <v>1235</v>
      </c>
      <c r="BI38" s="634" t="s">
        <v>220</v>
      </c>
      <c r="BJ38" s="634" t="s">
        <v>221</v>
      </c>
      <c r="BK38" s="634" t="s">
        <v>210</v>
      </c>
      <c r="BL38" s="634" t="str">
        <f t="shared" ref="BL38:BW38" si="48">+BL4</f>
        <v>Jan</v>
      </c>
      <c r="BM38" s="634" t="str">
        <f t="shared" si="48"/>
        <v>Feb</v>
      </c>
      <c r="BN38" s="634" t="str">
        <f t="shared" si="48"/>
        <v>Mar</v>
      </c>
      <c r="BO38" s="634" t="str">
        <f t="shared" si="48"/>
        <v>Apr</v>
      </c>
      <c r="BP38" s="634" t="str">
        <f t="shared" si="48"/>
        <v>May</v>
      </c>
      <c r="BQ38" s="634" t="str">
        <f t="shared" si="48"/>
        <v>Jun</v>
      </c>
      <c r="BR38" s="634" t="str">
        <f t="shared" si="48"/>
        <v>Jul</v>
      </c>
      <c r="BS38" s="634" t="str">
        <f t="shared" si="48"/>
        <v>Aug</v>
      </c>
      <c r="BT38" s="634" t="str">
        <f t="shared" si="48"/>
        <v>Sep</v>
      </c>
      <c r="BU38" s="634" t="str">
        <f t="shared" si="48"/>
        <v>Oct</v>
      </c>
      <c r="BV38" s="634" t="str">
        <f t="shared" si="48"/>
        <v>Nov</v>
      </c>
      <c r="BW38" s="634" t="str">
        <f t="shared" si="48"/>
        <v>Dec</v>
      </c>
      <c r="BX38" s="631" t="s">
        <v>222</v>
      </c>
      <c r="BY38" s="631" t="s">
        <v>207</v>
      </c>
    </row>
    <row r="39" spans="1:80">
      <c r="A39" s="375"/>
      <c r="B39" s="375"/>
      <c r="BX39" s="837"/>
    </row>
    <row r="40" spans="1:80" ht="15.75" thickBot="1">
      <c r="A40" s="375" t="s">
        <v>231</v>
      </c>
      <c r="B40" s="287">
        <f ca="1">SUM(OFFSET(AZ40:BL40,0,'Bal Sheet'!$A$1-1))/13</f>
        <v>95323104.253846169</v>
      </c>
      <c r="C40" s="344">
        <v>151560.73000000001</v>
      </c>
      <c r="D40" s="344">
        <v>153149.88</v>
      </c>
      <c r="E40" s="344">
        <v>153151.35</v>
      </c>
      <c r="F40" s="344">
        <v>153166.49000000002</v>
      </c>
      <c r="G40" s="344">
        <v>153181.87000000002</v>
      </c>
      <c r="H40" s="344">
        <v>153203.80000000002</v>
      </c>
      <c r="I40" s="344">
        <v>153212.75</v>
      </c>
      <c r="J40" s="344">
        <v>153434.93000000002</v>
      </c>
      <c r="K40" s="344">
        <v>155048.07</v>
      </c>
      <c r="L40" s="344">
        <v>191108.77</v>
      </c>
      <c r="M40" s="344">
        <v>624624.66999999993</v>
      </c>
      <c r="N40" s="344">
        <v>1535006.97</v>
      </c>
      <c r="O40" s="344">
        <v>1942104.6199999999</v>
      </c>
      <c r="P40" s="344">
        <v>2581705.5049999999</v>
      </c>
      <c r="Q40" s="344">
        <v>3546639.9849561998</v>
      </c>
      <c r="R40" s="344">
        <v>4202766.5627509803</v>
      </c>
      <c r="S40" s="344">
        <v>4995958.1285789488</v>
      </c>
      <c r="T40" s="344">
        <v>6418430.1443875916</v>
      </c>
      <c r="U40" s="344">
        <v>7554875.1457964759</v>
      </c>
      <c r="V40" s="344">
        <v>8142600.2635803977</v>
      </c>
      <c r="W40" s="344">
        <v>10240112.528299566</v>
      </c>
      <c r="X40" s="344">
        <v>17927740.088667721</v>
      </c>
      <c r="Y40" s="344">
        <v>19792445.726132132</v>
      </c>
      <c r="Z40" s="344">
        <v>22093562.047576163</v>
      </c>
      <c r="AA40" s="344">
        <v>31119823.52</v>
      </c>
      <c r="AB40" s="344">
        <v>38134367.370000005</v>
      </c>
      <c r="AC40" s="344">
        <v>49003384.75</v>
      </c>
      <c r="AD40" s="344">
        <v>52803058.25</v>
      </c>
      <c r="AE40" s="344">
        <v>63024653.970000006</v>
      </c>
      <c r="AF40" s="344">
        <v>77436623.799999997</v>
      </c>
      <c r="AG40" s="344">
        <v>83147027.359999985</v>
      </c>
      <c r="AH40" s="344">
        <v>89682876.159999982</v>
      </c>
      <c r="AI40" s="534">
        <v>103095655.92999999</v>
      </c>
      <c r="AJ40" s="534">
        <v>112522287.88</v>
      </c>
      <c r="AK40" s="559">
        <v>59452135.789999992</v>
      </c>
      <c r="AL40" s="559">
        <v>68292195.310000002</v>
      </c>
      <c r="AM40" s="779">
        <v>79339265.74000001</v>
      </c>
      <c r="AN40" s="779">
        <v>88385984.609999985</v>
      </c>
      <c r="AO40" s="778">
        <v>104457855.14999999</v>
      </c>
      <c r="AP40" s="778">
        <v>110307718.14000002</v>
      </c>
      <c r="AQ40" s="778">
        <v>59491141.020000003</v>
      </c>
      <c r="AR40" s="778">
        <v>60442190.489999995</v>
      </c>
      <c r="AS40" s="778">
        <v>64079387.059999995</v>
      </c>
      <c r="AT40" s="778">
        <v>70787873.819999978</v>
      </c>
      <c r="AU40" s="778">
        <v>81016991.160000011</v>
      </c>
      <c r="AV40" s="778">
        <v>86698874.180000007</v>
      </c>
      <c r="AW40" s="778">
        <v>91643818.049999997</v>
      </c>
      <c r="AX40" s="778">
        <v>41525749.979999989</v>
      </c>
      <c r="AY40" s="778">
        <v>46994371.800000004</v>
      </c>
      <c r="AZ40" s="1013">
        <v>50664098.729999997</v>
      </c>
      <c r="BA40" s="1013">
        <v>55923290.369999997</v>
      </c>
      <c r="BB40" s="1013">
        <v>59928247.349999994</v>
      </c>
      <c r="BC40" s="1013">
        <v>67630803.189999998</v>
      </c>
      <c r="BD40" s="1013">
        <v>73420459.429999992</v>
      </c>
      <c r="BE40" s="1013">
        <v>84152855.220000014</v>
      </c>
      <c r="BF40" s="908">
        <v>91775466.670000002</v>
      </c>
      <c r="BG40" s="908">
        <v>97196340.579999968</v>
      </c>
      <c r="BH40" s="908">
        <v>102973210.46999998</v>
      </c>
      <c r="BI40" s="908">
        <v>64943143.120000005</v>
      </c>
      <c r="BJ40" s="908">
        <v>67714820.460000008</v>
      </c>
      <c r="BK40" s="908">
        <f>+'Input Seg of CWIP'!O51</f>
        <v>75970345.810000002</v>
      </c>
      <c r="BL40" s="908">
        <f>+'Input Seg of CWIP'!P51</f>
        <v>84474966.840000018</v>
      </c>
      <c r="BM40" s="908">
        <f>+'Input Seg of CWIP'!Q51</f>
        <v>86984377.280000001</v>
      </c>
      <c r="BN40" s="908">
        <f>+'Input Seg of CWIP'!R51</f>
        <v>96612999.940000027</v>
      </c>
      <c r="BO40" s="908">
        <f>+'Input Seg of CWIP'!S51</f>
        <v>115365180.93000002</v>
      </c>
      <c r="BP40" s="908">
        <f>+'Input Seg of CWIP'!T51</f>
        <v>88451654.810000002</v>
      </c>
      <c r="BQ40" s="908">
        <f>+'Input Seg of CWIP'!U51</f>
        <v>95745673.119999975</v>
      </c>
      <c r="BR40" s="908">
        <f>+'Input Seg of CWIP'!V51</f>
        <v>104095168.82000002</v>
      </c>
      <c r="BS40" s="908">
        <f>+'Input Seg of CWIP'!W51</f>
        <v>113123992.72999997</v>
      </c>
      <c r="BT40" s="908">
        <f>+'Input Seg of CWIP'!X51</f>
        <v>121739307.21999998</v>
      </c>
      <c r="BU40" s="908">
        <f>+'Input Seg of CWIP'!Y51</f>
        <v>129211070.69</v>
      </c>
      <c r="BV40" s="908">
        <f>+'Input Seg of CWIP'!Z51</f>
        <v>61776036.810000002</v>
      </c>
      <c r="BW40" s="908">
        <f>+'Input Seg of CWIP'!AA51</f>
        <v>65649580.299999997</v>
      </c>
      <c r="BX40" s="766">
        <f ca="1">+B40</f>
        <v>95323104.253846169</v>
      </c>
      <c r="BY40" s="766">
        <f>+BW40</f>
        <v>65649580.299999997</v>
      </c>
      <c r="CB40" s="473"/>
    </row>
    <row r="41" spans="1:80" ht="13.5" thickTop="1"/>
  </sheetData>
  <phoneticPr fontId="166" type="noConversion"/>
  <pageMargins left="0.7" right="0.7" top="0.75" bottom="0.75" header="0.3" footer="0.3"/>
  <pageSetup paperSize="5" scale="41" orientation="landscape" r:id="rId1"/>
  <customProperties>
    <customPr name="FPMExcelClientCellBasedFunctionStatu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CF58"/>
  <sheetViews>
    <sheetView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D53" sqref="D53:O53"/>
    </sheetView>
  </sheetViews>
  <sheetFormatPr defaultColWidth="9" defaultRowHeight="12.75" outlineLevelCol="1"/>
  <cols>
    <col min="1" max="1" width="12.42578125" style="785" bestFit="1" customWidth="1"/>
    <col min="2" max="2" width="33.5703125" style="785" customWidth="1"/>
    <col min="3" max="3" width="14.5703125" style="785" bestFit="1" customWidth="1"/>
    <col min="4" max="4" width="14.42578125" style="785" bestFit="1" customWidth="1"/>
    <col min="5" max="5" width="14.5703125" style="785" bestFit="1" customWidth="1"/>
    <col min="6" max="8" width="14" style="785" customWidth="1"/>
    <col min="9" max="11" width="14.5703125" style="785" bestFit="1" customWidth="1"/>
    <col min="12" max="12" width="15" style="785" bestFit="1" customWidth="1"/>
    <col min="13" max="13" width="14.42578125" style="785" bestFit="1" customWidth="1"/>
    <col min="14" max="15" width="14.5703125" style="785" bestFit="1" customWidth="1"/>
    <col min="16" max="16" width="14.42578125" style="785" bestFit="1" customWidth="1"/>
    <col min="17" max="17" width="14.5703125" style="785" bestFit="1" customWidth="1"/>
    <col min="18" max="19" width="14.42578125" style="785" bestFit="1" customWidth="1"/>
    <col min="20" max="21" width="14.5703125" style="785" bestFit="1" customWidth="1"/>
    <col min="22" max="22" width="13.42578125" style="785" bestFit="1" customWidth="1"/>
    <col min="23" max="23" width="14.5703125" style="785" bestFit="1" customWidth="1"/>
    <col min="24" max="24" width="15" style="785" bestFit="1" customWidth="1"/>
    <col min="25" max="25" width="14.42578125" style="785" bestFit="1" customWidth="1"/>
    <col min="26" max="27" width="14.5703125" style="785" bestFit="1" customWidth="1"/>
    <col min="28" max="28" width="14.42578125" style="785" hidden="1" customWidth="1"/>
    <col min="29" max="29" width="14.5703125" style="785" hidden="1" customWidth="1"/>
    <col min="30" max="31" width="14.42578125" style="785" hidden="1" customWidth="1"/>
    <col min="32" max="33" width="14.5703125" style="785" hidden="1" customWidth="1"/>
    <col min="34" max="34" width="13.42578125" style="785" hidden="1" customWidth="1"/>
    <col min="35" max="35" width="14.5703125" style="785" hidden="1" customWidth="1"/>
    <col min="36" max="36" width="15" style="785" hidden="1" customWidth="1"/>
    <col min="37" max="37" width="14.42578125" style="785" hidden="1" customWidth="1"/>
    <col min="38" max="39" width="14.5703125" style="785" hidden="1" customWidth="1"/>
    <col min="40" max="40" width="14.42578125" style="785" hidden="1" customWidth="1" outlineLevel="1"/>
    <col min="41" max="41" width="14.5703125" style="785" hidden="1" customWidth="1" outlineLevel="1"/>
    <col min="42" max="43" width="14.42578125" style="785" hidden="1" customWidth="1" outlineLevel="1"/>
    <col min="44" max="45" width="14.5703125" style="785" hidden="1" customWidth="1" outlineLevel="1"/>
    <col min="46" max="46" width="13.42578125" style="785" hidden="1" customWidth="1" outlineLevel="1"/>
    <col min="47" max="47" width="14.5703125" style="785" hidden="1" customWidth="1" outlineLevel="1"/>
    <col min="48" max="48" width="15" style="785" hidden="1" customWidth="1" outlineLevel="1"/>
    <col min="49" max="49" width="14.42578125" style="785" hidden="1" customWidth="1" outlineLevel="1"/>
    <col min="50" max="51" width="14.5703125" style="785" hidden="1" customWidth="1" outlineLevel="1"/>
    <col min="52" max="52" width="14.42578125" style="785" hidden="1" customWidth="1" outlineLevel="1"/>
    <col min="53" max="53" width="14.5703125" style="785" hidden="1" customWidth="1" outlineLevel="1"/>
    <col min="54" max="55" width="14.42578125" style="785" hidden="1" customWidth="1" outlineLevel="1"/>
    <col min="56" max="57" width="14.5703125" style="785" hidden="1" customWidth="1" outlineLevel="1"/>
    <col min="58" max="58" width="13.42578125" style="785" hidden="1" customWidth="1" outlineLevel="1"/>
    <col min="59" max="59" width="14.5703125" style="785" hidden="1" customWidth="1" outlineLevel="1"/>
    <col min="60" max="60" width="15" style="785" hidden="1" customWidth="1" outlineLevel="1"/>
    <col min="61" max="61" width="14.42578125" style="785" hidden="1" customWidth="1" outlineLevel="1"/>
    <col min="62" max="63" width="14.5703125" style="785" hidden="1" customWidth="1" outlineLevel="1"/>
    <col min="64" max="64" width="14.42578125" style="785" hidden="1" customWidth="1" outlineLevel="1"/>
    <col min="65" max="65" width="14.5703125" style="785" hidden="1" customWidth="1" outlineLevel="1"/>
    <col min="66" max="67" width="14.42578125" style="785" hidden="1" customWidth="1" outlineLevel="1"/>
    <col min="68" max="69" width="14.5703125" style="785" hidden="1" customWidth="1" outlineLevel="1"/>
    <col min="70" max="70" width="13.42578125" style="785" hidden="1" customWidth="1" outlineLevel="1"/>
    <col min="71" max="71" width="14.5703125" style="785" hidden="1" customWidth="1" outlineLevel="1"/>
    <col min="72" max="72" width="15" style="785" hidden="1" customWidth="1" outlineLevel="1"/>
    <col min="73" max="73" width="14.42578125" style="785" hidden="1" customWidth="1" outlineLevel="1"/>
    <col min="74" max="75" width="14.5703125" style="785" hidden="1" customWidth="1" outlineLevel="1"/>
    <col min="76" max="76" width="13.42578125" style="785" hidden="1" customWidth="1" collapsed="1"/>
    <col min="77" max="78" width="13.42578125" style="785" bestFit="1" customWidth="1"/>
    <col min="79" max="79" width="12.28515625" style="785" hidden="1" customWidth="1"/>
    <col min="80" max="81" width="10.85546875" style="785" hidden="1" customWidth="1"/>
    <col min="82" max="82" width="5.5703125" style="785" bestFit="1" customWidth="1"/>
    <col min="83" max="83" width="11.28515625" style="785" bestFit="1" customWidth="1"/>
    <col min="84" max="16384" width="9" style="785"/>
  </cols>
  <sheetData>
    <row r="1" spans="1:83" ht="16.5" thickBot="1">
      <c r="B1" s="784" t="s">
        <v>232</v>
      </c>
      <c r="C1" s="786"/>
      <c r="D1" s="786"/>
      <c r="E1" s="786"/>
      <c r="F1" s="786"/>
      <c r="G1" s="786"/>
      <c r="H1" s="1106" t="s">
        <v>1175</v>
      </c>
      <c r="I1" s="1107" t="s">
        <v>1176</v>
      </c>
      <c r="J1" s="1106" t="s">
        <v>1177</v>
      </c>
      <c r="K1" s="1105">
        <v>44945</v>
      </c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  <c r="BE1" s="786"/>
      <c r="BF1" s="786"/>
      <c r="BG1" s="786"/>
      <c r="BH1" s="786"/>
    </row>
    <row r="2" spans="1:83" ht="15.75">
      <c r="B2" s="784" t="s">
        <v>233</v>
      </c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</row>
    <row r="3" spans="1:83">
      <c r="B3" s="787"/>
      <c r="C3" s="788" t="s">
        <v>2</v>
      </c>
      <c r="D3" s="788" t="s">
        <v>2</v>
      </c>
      <c r="E3" s="788" t="s">
        <v>2</v>
      </c>
      <c r="F3" s="788" t="s">
        <v>2</v>
      </c>
      <c r="G3" s="788" t="s">
        <v>2</v>
      </c>
      <c r="H3" s="788" t="s">
        <v>2</v>
      </c>
      <c r="I3" s="788" t="s">
        <v>2</v>
      </c>
      <c r="J3" s="788" t="s">
        <v>2</v>
      </c>
      <c r="K3" s="788" t="s">
        <v>2</v>
      </c>
      <c r="L3" s="788" t="s">
        <v>2</v>
      </c>
      <c r="M3" s="788" t="s">
        <v>2</v>
      </c>
      <c r="N3" s="788" t="s">
        <v>2</v>
      </c>
      <c r="O3" s="788" t="s">
        <v>2</v>
      </c>
      <c r="P3" s="789" t="s">
        <v>4</v>
      </c>
      <c r="Q3" s="789" t="s">
        <v>4</v>
      </c>
      <c r="R3" s="789" t="s">
        <v>4</v>
      </c>
      <c r="S3" s="789" t="s">
        <v>4</v>
      </c>
      <c r="T3" s="789" t="s">
        <v>4</v>
      </c>
      <c r="U3" s="789" t="s">
        <v>4</v>
      </c>
      <c r="V3" s="789" t="s">
        <v>4</v>
      </c>
      <c r="W3" s="789" t="s">
        <v>4</v>
      </c>
      <c r="X3" s="789" t="s">
        <v>4</v>
      </c>
      <c r="Y3" s="789" t="s">
        <v>4</v>
      </c>
      <c r="Z3" s="789" t="s">
        <v>4</v>
      </c>
      <c r="AA3" s="789" t="s">
        <v>4</v>
      </c>
      <c r="AB3" s="789" t="s">
        <v>4</v>
      </c>
      <c r="AC3" s="789" t="s">
        <v>4</v>
      </c>
      <c r="AD3" s="789" t="s">
        <v>4</v>
      </c>
      <c r="AE3" s="789" t="s">
        <v>4</v>
      </c>
      <c r="AF3" s="789" t="s">
        <v>4</v>
      </c>
      <c r="AG3" s="789" t="s">
        <v>4</v>
      </c>
      <c r="AH3" s="789" t="s">
        <v>4</v>
      </c>
      <c r="AI3" s="789" t="s">
        <v>4</v>
      </c>
      <c r="AJ3" s="789" t="s">
        <v>4</v>
      </c>
      <c r="AK3" s="789" t="s">
        <v>4</v>
      </c>
      <c r="AL3" s="789" t="s">
        <v>4</v>
      </c>
      <c r="AM3" s="789" t="s">
        <v>4</v>
      </c>
      <c r="AN3" s="789" t="s">
        <v>4</v>
      </c>
      <c r="AO3" s="789" t="s">
        <v>4</v>
      </c>
      <c r="AP3" s="789" t="s">
        <v>4</v>
      </c>
      <c r="AQ3" s="789" t="s">
        <v>4</v>
      </c>
      <c r="AR3" s="789" t="s">
        <v>4</v>
      </c>
      <c r="AS3" s="789" t="s">
        <v>4</v>
      </c>
      <c r="AT3" s="789" t="s">
        <v>4</v>
      </c>
      <c r="AU3" s="789" t="s">
        <v>4</v>
      </c>
      <c r="AV3" s="789" t="s">
        <v>4</v>
      </c>
      <c r="AW3" s="789" t="s">
        <v>4</v>
      </c>
      <c r="AX3" s="789" t="s">
        <v>4</v>
      </c>
      <c r="AY3" s="789" t="s">
        <v>4</v>
      </c>
      <c r="AZ3" s="789" t="s">
        <v>4</v>
      </c>
      <c r="BA3" s="789" t="s">
        <v>4</v>
      </c>
      <c r="BB3" s="789" t="s">
        <v>4</v>
      </c>
      <c r="BC3" s="789" t="s">
        <v>4</v>
      </c>
      <c r="BD3" s="789" t="s">
        <v>4</v>
      </c>
      <c r="BE3" s="789" t="s">
        <v>4</v>
      </c>
      <c r="BF3" s="789" t="s">
        <v>4</v>
      </c>
      <c r="BG3" s="789" t="s">
        <v>4</v>
      </c>
      <c r="BH3" s="789" t="s">
        <v>4</v>
      </c>
      <c r="BI3" s="789" t="s">
        <v>4</v>
      </c>
      <c r="BJ3" s="789" t="s">
        <v>4</v>
      </c>
      <c r="BK3" s="789" t="s">
        <v>4</v>
      </c>
      <c r="BL3" s="789" t="s">
        <v>4</v>
      </c>
      <c r="BM3" s="789" t="s">
        <v>4</v>
      </c>
      <c r="BN3" s="789" t="s">
        <v>4</v>
      </c>
      <c r="BO3" s="789" t="s">
        <v>4</v>
      </c>
      <c r="BP3" s="789" t="s">
        <v>4</v>
      </c>
      <c r="BQ3" s="789" t="s">
        <v>4</v>
      </c>
      <c r="BR3" s="789" t="s">
        <v>4</v>
      </c>
      <c r="BS3" s="789" t="s">
        <v>4</v>
      </c>
      <c r="BT3" s="789" t="s">
        <v>4</v>
      </c>
      <c r="BU3" s="789" t="s">
        <v>4</v>
      </c>
      <c r="BV3" s="789" t="s">
        <v>4</v>
      </c>
      <c r="BW3" s="789" t="s">
        <v>4</v>
      </c>
      <c r="BX3" s="790">
        <v>2022</v>
      </c>
      <c r="BY3" s="790">
        <v>2023</v>
      </c>
      <c r="BZ3" s="790">
        <v>2024</v>
      </c>
      <c r="CA3" s="790">
        <v>2025</v>
      </c>
      <c r="CB3" s="790">
        <v>2026</v>
      </c>
      <c r="CC3" s="790">
        <v>2027</v>
      </c>
    </row>
    <row r="4" spans="1:83">
      <c r="B4" s="787"/>
      <c r="C4" s="789">
        <v>2021</v>
      </c>
      <c r="D4" s="789">
        <v>2022</v>
      </c>
      <c r="E4" s="789">
        <v>2022</v>
      </c>
      <c r="F4" s="789">
        <v>2022</v>
      </c>
      <c r="G4" s="789">
        <v>2022</v>
      </c>
      <c r="H4" s="789">
        <v>2022</v>
      </c>
      <c r="I4" s="789">
        <v>2022</v>
      </c>
      <c r="J4" s="789">
        <v>2022</v>
      </c>
      <c r="K4" s="789">
        <v>2022</v>
      </c>
      <c r="L4" s="789">
        <v>2022</v>
      </c>
      <c r="M4" s="789">
        <v>2022</v>
      </c>
      <c r="N4" s="789">
        <v>2022</v>
      </c>
      <c r="O4" s="789">
        <v>2022</v>
      </c>
      <c r="P4" s="1108">
        <v>2023</v>
      </c>
      <c r="Q4" s="1108">
        <v>2023</v>
      </c>
      <c r="R4" s="1108">
        <v>2023</v>
      </c>
      <c r="S4" s="1108">
        <v>2023</v>
      </c>
      <c r="T4" s="1108">
        <v>2023</v>
      </c>
      <c r="U4" s="1108">
        <v>2023</v>
      </c>
      <c r="V4" s="1108">
        <v>2023</v>
      </c>
      <c r="W4" s="1108">
        <v>2023</v>
      </c>
      <c r="X4" s="1108">
        <v>2023</v>
      </c>
      <c r="Y4" s="1108">
        <v>2023</v>
      </c>
      <c r="Z4" s="1108">
        <v>2023</v>
      </c>
      <c r="AA4" s="1108">
        <v>2023</v>
      </c>
      <c r="AB4" s="1109">
        <v>2024</v>
      </c>
      <c r="AC4" s="1109">
        <v>2024</v>
      </c>
      <c r="AD4" s="1109">
        <v>2024</v>
      </c>
      <c r="AE4" s="1109">
        <v>2024</v>
      </c>
      <c r="AF4" s="1109">
        <v>2024</v>
      </c>
      <c r="AG4" s="1109">
        <v>2024</v>
      </c>
      <c r="AH4" s="1109">
        <v>2024</v>
      </c>
      <c r="AI4" s="1109">
        <v>2024</v>
      </c>
      <c r="AJ4" s="1109">
        <v>2024</v>
      </c>
      <c r="AK4" s="1109">
        <v>2024</v>
      </c>
      <c r="AL4" s="1109">
        <v>2024</v>
      </c>
      <c r="AM4" s="1109">
        <v>2024</v>
      </c>
      <c r="AN4" s="789">
        <v>2025</v>
      </c>
      <c r="AO4" s="789">
        <v>2025</v>
      </c>
      <c r="AP4" s="789">
        <v>2025</v>
      </c>
      <c r="AQ4" s="789">
        <v>2025</v>
      </c>
      <c r="AR4" s="789">
        <v>2025</v>
      </c>
      <c r="AS4" s="789">
        <v>2025</v>
      </c>
      <c r="AT4" s="789">
        <v>2025</v>
      </c>
      <c r="AU4" s="789">
        <v>2025</v>
      </c>
      <c r="AV4" s="789">
        <v>2025</v>
      </c>
      <c r="AW4" s="789">
        <v>2025</v>
      </c>
      <c r="AX4" s="789">
        <v>2025</v>
      </c>
      <c r="AY4" s="789">
        <v>2025</v>
      </c>
      <c r="AZ4" s="789">
        <v>2026</v>
      </c>
      <c r="BA4" s="789">
        <v>2026</v>
      </c>
      <c r="BB4" s="789">
        <v>2026</v>
      </c>
      <c r="BC4" s="789">
        <v>2026</v>
      </c>
      <c r="BD4" s="789">
        <v>2026</v>
      </c>
      <c r="BE4" s="789">
        <v>2026</v>
      </c>
      <c r="BF4" s="789">
        <v>2026</v>
      </c>
      <c r="BG4" s="789">
        <v>2026</v>
      </c>
      <c r="BH4" s="789">
        <v>2026</v>
      </c>
      <c r="BI4" s="789">
        <v>2026</v>
      </c>
      <c r="BJ4" s="789">
        <v>2026</v>
      </c>
      <c r="BK4" s="789">
        <v>2026</v>
      </c>
      <c r="BL4" s="789">
        <v>2027</v>
      </c>
      <c r="BM4" s="789">
        <v>2027</v>
      </c>
      <c r="BN4" s="789">
        <v>2027</v>
      </c>
      <c r="BO4" s="789">
        <v>2027</v>
      </c>
      <c r="BP4" s="789">
        <v>2027</v>
      </c>
      <c r="BQ4" s="789">
        <v>2027</v>
      </c>
      <c r="BR4" s="789">
        <v>2027</v>
      </c>
      <c r="BS4" s="789">
        <v>2027</v>
      </c>
      <c r="BT4" s="789">
        <v>2027</v>
      </c>
      <c r="BU4" s="789">
        <v>2027</v>
      </c>
      <c r="BV4" s="789">
        <v>2027</v>
      </c>
      <c r="BW4" s="789">
        <v>2027</v>
      </c>
      <c r="BX4" s="790" t="s">
        <v>234</v>
      </c>
      <c r="BY4" s="790" t="s">
        <v>234</v>
      </c>
      <c r="BZ4" s="790" t="s">
        <v>234</v>
      </c>
      <c r="CA4" s="790" t="s">
        <v>234</v>
      </c>
      <c r="CB4" s="790" t="s">
        <v>234</v>
      </c>
      <c r="CC4" s="790" t="s">
        <v>234</v>
      </c>
    </row>
    <row r="5" spans="1:83">
      <c r="B5" s="791"/>
      <c r="C5" s="1033">
        <v>44561</v>
      </c>
      <c r="D5" s="1033">
        <v>44592</v>
      </c>
      <c r="E5" s="1033">
        <v>44620</v>
      </c>
      <c r="F5" s="1033">
        <v>44651</v>
      </c>
      <c r="G5" s="1033">
        <v>44681</v>
      </c>
      <c r="H5" s="1033">
        <v>44712</v>
      </c>
      <c r="I5" s="1033">
        <v>44742</v>
      </c>
      <c r="J5" s="1033">
        <v>44773</v>
      </c>
      <c r="K5" s="1033">
        <v>44804</v>
      </c>
      <c r="L5" s="1033">
        <v>44834</v>
      </c>
      <c r="M5" s="1033">
        <v>44865</v>
      </c>
      <c r="N5" s="1033">
        <v>44895</v>
      </c>
      <c r="O5" s="1033">
        <v>44926</v>
      </c>
      <c r="P5" s="1033">
        <v>44957</v>
      </c>
      <c r="Q5" s="1033">
        <v>44985</v>
      </c>
      <c r="R5" s="1033">
        <v>45016</v>
      </c>
      <c r="S5" s="1033">
        <v>45046</v>
      </c>
      <c r="T5" s="1033">
        <v>45077</v>
      </c>
      <c r="U5" s="1033">
        <v>45107</v>
      </c>
      <c r="V5" s="1033">
        <v>45138</v>
      </c>
      <c r="W5" s="1033">
        <v>45169</v>
      </c>
      <c r="X5" s="1033">
        <v>45199</v>
      </c>
      <c r="Y5" s="1033">
        <v>45230</v>
      </c>
      <c r="Z5" s="1033">
        <v>45260</v>
      </c>
      <c r="AA5" s="1033">
        <v>45291</v>
      </c>
      <c r="AB5" s="1033">
        <v>45322</v>
      </c>
      <c r="AC5" s="1033">
        <v>45351</v>
      </c>
      <c r="AD5" s="1033">
        <v>45382</v>
      </c>
      <c r="AE5" s="1033">
        <v>45412</v>
      </c>
      <c r="AF5" s="1033">
        <v>45443</v>
      </c>
      <c r="AG5" s="1033">
        <v>45473</v>
      </c>
      <c r="AH5" s="1033">
        <v>45504</v>
      </c>
      <c r="AI5" s="1033">
        <v>45535</v>
      </c>
      <c r="AJ5" s="1033">
        <v>45565</v>
      </c>
      <c r="AK5" s="1033">
        <v>45596</v>
      </c>
      <c r="AL5" s="1033">
        <v>45626</v>
      </c>
      <c r="AM5" s="1033">
        <v>45657</v>
      </c>
      <c r="AN5" s="1033">
        <v>45688</v>
      </c>
      <c r="AO5" s="1033">
        <v>45716</v>
      </c>
      <c r="AP5" s="1033">
        <v>45747</v>
      </c>
      <c r="AQ5" s="1033">
        <v>45777</v>
      </c>
      <c r="AR5" s="1033">
        <v>45808</v>
      </c>
      <c r="AS5" s="1033">
        <v>45838</v>
      </c>
      <c r="AT5" s="1033">
        <v>45869</v>
      </c>
      <c r="AU5" s="1033">
        <v>45900</v>
      </c>
      <c r="AV5" s="1033">
        <v>45930</v>
      </c>
      <c r="AW5" s="1033">
        <v>45961</v>
      </c>
      <c r="AX5" s="1033">
        <v>45991</v>
      </c>
      <c r="AY5" s="1033">
        <v>46022</v>
      </c>
      <c r="AZ5" s="1033">
        <v>46053</v>
      </c>
      <c r="BA5" s="1033">
        <v>46081</v>
      </c>
      <c r="BB5" s="1033">
        <v>46112</v>
      </c>
      <c r="BC5" s="1033">
        <v>46142</v>
      </c>
      <c r="BD5" s="1033">
        <v>46173</v>
      </c>
      <c r="BE5" s="1033">
        <v>46203</v>
      </c>
      <c r="BF5" s="1033">
        <v>46234</v>
      </c>
      <c r="BG5" s="1033">
        <v>46265</v>
      </c>
      <c r="BH5" s="1033">
        <v>46295</v>
      </c>
      <c r="BI5" s="1033">
        <v>46326</v>
      </c>
      <c r="BJ5" s="1033">
        <v>46356</v>
      </c>
      <c r="BK5" s="1033">
        <v>46387</v>
      </c>
      <c r="BL5" s="1033">
        <v>46418</v>
      </c>
      <c r="BM5" s="1033">
        <v>46446</v>
      </c>
      <c r="BN5" s="1033">
        <v>46477</v>
      </c>
      <c r="BO5" s="1033">
        <v>46507</v>
      </c>
      <c r="BP5" s="1033">
        <v>46538</v>
      </c>
      <c r="BQ5" s="1033">
        <v>46568</v>
      </c>
      <c r="BR5" s="1033">
        <v>46599</v>
      </c>
      <c r="BS5" s="1033">
        <v>46630</v>
      </c>
      <c r="BT5" s="1033">
        <v>46660</v>
      </c>
      <c r="BU5" s="1033">
        <v>46691</v>
      </c>
      <c r="BV5" s="1033">
        <v>46721</v>
      </c>
      <c r="BW5" s="1033">
        <v>46752</v>
      </c>
      <c r="BX5" s="790" t="s">
        <v>247</v>
      </c>
      <c r="BY5" s="790" t="s">
        <v>247</v>
      </c>
      <c r="BZ5" s="790" t="s">
        <v>247</v>
      </c>
      <c r="CA5" s="790" t="s">
        <v>247</v>
      </c>
      <c r="CB5" s="790" t="s">
        <v>247</v>
      </c>
      <c r="CC5" s="790" t="s">
        <v>247</v>
      </c>
    </row>
    <row r="6" spans="1:83" s="438" customFormat="1">
      <c r="B6" s="791" t="s">
        <v>248</v>
      </c>
      <c r="C6" s="1110">
        <v>147483849.61000001</v>
      </c>
      <c r="D6" s="1110">
        <v>158111229.03999999</v>
      </c>
      <c r="E6" s="1110">
        <v>162199578.14999998</v>
      </c>
      <c r="F6" s="1110">
        <v>174470939.96999997</v>
      </c>
      <c r="G6" s="1110">
        <v>184225626.89999998</v>
      </c>
      <c r="H6" s="1110">
        <v>188333223.03999996</v>
      </c>
      <c r="I6" s="1110">
        <v>201983440.95999995</v>
      </c>
      <c r="J6" s="1110">
        <v>212538815.98999995</v>
      </c>
      <c r="K6" s="1110">
        <v>225280632.12999997</v>
      </c>
      <c r="L6" s="1110">
        <v>235379560.06999999</v>
      </c>
      <c r="M6" s="1110">
        <v>200850235.99000001</v>
      </c>
      <c r="N6" s="1110">
        <v>210666560.54000002</v>
      </c>
      <c r="O6" s="1110">
        <v>246108951.70000002</v>
      </c>
      <c r="P6" s="1110">
        <v>139895423.77229998</v>
      </c>
      <c r="Q6" s="1110">
        <v>119553896.40696004</v>
      </c>
      <c r="R6" s="1110">
        <v>118095003.00299203</v>
      </c>
      <c r="S6" s="1110">
        <v>138120193.35979852</v>
      </c>
      <c r="T6" s="1110">
        <v>110979896.5179598</v>
      </c>
      <c r="U6" s="1110">
        <v>116583554.26159206</v>
      </c>
      <c r="V6" s="1110">
        <v>127625979.66831851</v>
      </c>
      <c r="W6" s="1110">
        <v>138177894.67566383</v>
      </c>
      <c r="X6" s="1110">
        <v>145799820.88913289</v>
      </c>
      <c r="Y6" s="1110">
        <v>152661662.59782669</v>
      </c>
      <c r="Z6" s="1110">
        <v>98595873.887565464</v>
      </c>
      <c r="AA6" s="1110">
        <v>85626371.145513207</v>
      </c>
      <c r="AB6" s="1110">
        <v>87549062.765102774</v>
      </c>
      <c r="AC6" s="1110">
        <v>92262662.143020675</v>
      </c>
      <c r="AD6" s="1110">
        <v>95810750.518604249</v>
      </c>
      <c r="AE6" s="1110">
        <v>108569189.31172097</v>
      </c>
      <c r="AF6" s="1110">
        <v>121753322.83434431</v>
      </c>
      <c r="AG6" s="1110">
        <v>135211115.94686896</v>
      </c>
      <c r="AH6" s="1110">
        <v>146424107.3753739</v>
      </c>
      <c r="AI6" s="1110">
        <v>153650699.4830749</v>
      </c>
      <c r="AJ6" s="1110">
        <v>153765227.14061511</v>
      </c>
      <c r="AK6" s="1110">
        <v>161856477.78212315</v>
      </c>
      <c r="AL6" s="1110">
        <v>170850978.04442477</v>
      </c>
      <c r="AM6" s="1110">
        <v>164311109.21888509</v>
      </c>
      <c r="AN6" s="436"/>
      <c r="AO6" s="436"/>
      <c r="AP6" s="436"/>
      <c r="AQ6" s="436"/>
      <c r="AR6" s="436"/>
      <c r="AS6" s="436"/>
      <c r="AT6" s="436"/>
      <c r="AU6" s="436"/>
      <c r="AV6" s="436"/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7">
        <v>195971741.85307691</v>
      </c>
      <c r="BY6" s="437">
        <v>133678809.37581716</v>
      </c>
      <c r="BZ6" s="437">
        <v>129049313.36228245</v>
      </c>
      <c r="CA6" s="437"/>
      <c r="CB6" s="437"/>
      <c r="CC6" s="437"/>
    </row>
    <row r="7" spans="1:83" s="438" customFormat="1">
      <c r="B7" s="791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6"/>
      <c r="AI7" s="436"/>
      <c r="AJ7" s="436"/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6"/>
      <c r="BK7" s="436"/>
      <c r="BL7" s="436"/>
      <c r="BM7" s="436"/>
      <c r="BN7" s="436"/>
      <c r="BO7" s="436"/>
      <c r="BP7" s="436"/>
      <c r="BQ7" s="436"/>
      <c r="BR7" s="436"/>
      <c r="BS7" s="436"/>
      <c r="BT7" s="436"/>
      <c r="BU7" s="436"/>
      <c r="BV7" s="436"/>
      <c r="BW7" s="436"/>
    </row>
    <row r="8" spans="1:83" s="437" customFormat="1">
      <c r="B8" s="791" t="s">
        <v>249</v>
      </c>
      <c r="C8" s="1034">
        <v>17609019.299999993</v>
      </c>
      <c r="D8" s="1034">
        <v>19063994.659999989</v>
      </c>
      <c r="E8" s="1034">
        <v>21502720.589999992</v>
      </c>
      <c r="F8" s="1034">
        <v>21532547.269999996</v>
      </c>
      <c r="G8" s="1034">
        <v>25338716.019999996</v>
      </c>
      <c r="H8" s="1034">
        <v>25088444.069999997</v>
      </c>
      <c r="I8" s="1034">
        <v>23154816.789999995</v>
      </c>
      <c r="J8" s="1034">
        <v>24265890.989999995</v>
      </c>
      <c r="K8" s="1034">
        <v>25424090.259999994</v>
      </c>
      <c r="L8" s="1034">
        <v>27187158.869999997</v>
      </c>
      <c r="M8" s="1034">
        <v>29366428.499999996</v>
      </c>
      <c r="N8" s="1034">
        <v>30732956.279999997</v>
      </c>
      <c r="O8" s="1034">
        <v>34717713.829999998</v>
      </c>
      <c r="P8" s="1111">
        <v>26532272.619999997</v>
      </c>
      <c r="Q8" s="1111">
        <v>20590425.709999997</v>
      </c>
      <c r="R8" s="1111">
        <v>16128039.279999997</v>
      </c>
      <c r="S8" s="1111">
        <v>12716481.459999997</v>
      </c>
      <c r="T8" s="1111">
        <v>10092124.839999998</v>
      </c>
      <c r="U8" s="1111">
        <v>8123857.3699999973</v>
      </c>
      <c r="V8" s="1111">
        <v>6647656.7699999977</v>
      </c>
      <c r="W8" s="1111">
        <v>5447681.8199999975</v>
      </c>
      <c r="X8" s="1111">
        <v>4482596.3599999975</v>
      </c>
      <c r="Y8" s="1111">
        <v>3758782.259999997</v>
      </c>
      <c r="Z8" s="1111">
        <v>3215921.6899999976</v>
      </c>
      <c r="AA8" s="1111">
        <v>2808776.2599999974</v>
      </c>
      <c r="AB8" s="1111">
        <v>525200.5</v>
      </c>
      <c r="AC8" s="1111">
        <v>919100.87000000011</v>
      </c>
      <c r="AD8" s="1111">
        <v>1166246.6500000001</v>
      </c>
      <c r="AE8" s="1111">
        <v>1255046.4900000005</v>
      </c>
      <c r="AF8" s="1111">
        <v>1321646.3700000001</v>
      </c>
      <c r="AG8" s="1111">
        <v>1371596.28</v>
      </c>
      <c r="AH8" s="1111">
        <v>1409058.7100000002</v>
      </c>
      <c r="AI8" s="1111">
        <v>1437155.53</v>
      </c>
      <c r="AJ8" s="1111">
        <v>1458228.1500000004</v>
      </c>
      <c r="AK8" s="1111">
        <v>1474032.6100000003</v>
      </c>
      <c r="AL8" s="1111">
        <v>1485885.9600000004</v>
      </c>
      <c r="AM8" s="1111">
        <v>1494775.9700000004</v>
      </c>
      <c r="AN8" s="1111"/>
      <c r="AO8" s="1111"/>
      <c r="AP8" s="1111"/>
      <c r="AQ8" s="1111"/>
      <c r="AR8" s="1111"/>
      <c r="AS8" s="1111"/>
      <c r="AT8" s="1111"/>
      <c r="AU8" s="1111"/>
      <c r="AV8" s="1111"/>
      <c r="AW8" s="1111"/>
      <c r="AX8" s="1111"/>
      <c r="AY8" s="1111"/>
      <c r="AZ8" s="1111"/>
      <c r="BA8" s="1111"/>
      <c r="BB8" s="1111"/>
      <c r="BC8" s="1111"/>
      <c r="BD8" s="1111"/>
      <c r="BE8" s="1111"/>
      <c r="BF8" s="1111"/>
      <c r="BG8" s="1111"/>
      <c r="BH8" s="1111"/>
      <c r="BI8" s="1111"/>
      <c r="BJ8" s="1111"/>
      <c r="BK8" s="1111"/>
      <c r="BL8" s="1111"/>
      <c r="BM8" s="1111"/>
      <c r="BN8" s="1111"/>
      <c r="BO8" s="1111"/>
      <c r="BP8" s="1111"/>
      <c r="BQ8" s="1111"/>
      <c r="BR8" s="1111"/>
      <c r="BS8" s="1111"/>
      <c r="BT8" s="1111"/>
      <c r="BU8" s="1111"/>
      <c r="BV8" s="1111"/>
      <c r="BW8" s="1111"/>
      <c r="BX8" s="437">
        <v>24998807.494615376</v>
      </c>
      <c r="BY8" s="437">
        <v>11943256.174615381</v>
      </c>
      <c r="BZ8" s="437">
        <v>1394365.4115384615</v>
      </c>
    </row>
    <row r="9" spans="1:83" s="438" customFormat="1">
      <c r="B9" s="791"/>
      <c r="C9" s="792"/>
      <c r="D9" s="792"/>
      <c r="E9" s="792"/>
      <c r="F9" s="792"/>
      <c r="G9" s="792"/>
      <c r="H9" s="792"/>
      <c r="I9" s="792"/>
      <c r="J9" s="792"/>
      <c r="K9" s="792"/>
      <c r="L9" s="792"/>
      <c r="M9" s="792"/>
      <c r="N9" s="792"/>
      <c r="O9" s="792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/>
      <c r="AQ9" s="436"/>
      <c r="AR9" s="436"/>
      <c r="AS9" s="436"/>
      <c r="AT9" s="436"/>
      <c r="AU9" s="436"/>
      <c r="AV9" s="436"/>
      <c r="AW9" s="436"/>
      <c r="AX9" s="436"/>
      <c r="AY9" s="436"/>
      <c r="AZ9" s="436"/>
      <c r="BA9" s="436"/>
      <c r="BB9" s="436"/>
      <c r="BC9" s="436"/>
      <c r="BD9" s="436"/>
      <c r="BE9" s="436"/>
      <c r="BF9" s="436"/>
      <c r="BG9" s="436"/>
      <c r="BH9" s="436"/>
      <c r="BI9" s="436"/>
      <c r="BJ9" s="436"/>
      <c r="BK9" s="436"/>
      <c r="BL9" s="436"/>
      <c r="BM9" s="436"/>
      <c r="BN9" s="436"/>
      <c r="BO9" s="436"/>
      <c r="BP9" s="436"/>
      <c r="BQ9" s="436"/>
      <c r="BR9" s="436"/>
      <c r="BS9" s="436"/>
      <c r="BT9" s="436"/>
      <c r="BU9" s="436"/>
      <c r="BV9" s="436"/>
      <c r="BW9" s="436"/>
      <c r="BX9" s="437">
        <v>0</v>
      </c>
      <c r="BY9" s="437">
        <v>0</v>
      </c>
      <c r="BZ9" s="437">
        <v>0</v>
      </c>
    </row>
    <row r="10" spans="1:83" s="438" customFormat="1">
      <c r="A10" s="793" t="s">
        <v>250</v>
      </c>
      <c r="B10" s="793" t="s">
        <v>251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436"/>
      <c r="Q10" s="436"/>
      <c r="R10" s="436"/>
      <c r="S10" s="436"/>
      <c r="T10" s="436"/>
      <c r="U10" s="436"/>
      <c r="V10" s="436"/>
      <c r="W10" s="436"/>
      <c r="X10" s="436"/>
      <c r="Y10" s="436"/>
      <c r="Z10" s="436"/>
      <c r="AA10" s="436"/>
      <c r="AB10" s="436"/>
      <c r="AC10" s="436"/>
      <c r="AD10" s="436"/>
      <c r="AE10" s="436"/>
      <c r="AF10" s="436"/>
      <c r="AG10" s="436"/>
      <c r="AH10" s="436"/>
      <c r="AI10" s="436"/>
      <c r="AJ10" s="436"/>
      <c r="AK10" s="436"/>
      <c r="AL10" s="436"/>
      <c r="AM10" s="436"/>
      <c r="AN10" s="436"/>
      <c r="AO10" s="436"/>
      <c r="AP10" s="436"/>
      <c r="AQ10" s="436"/>
      <c r="AR10" s="436"/>
      <c r="AS10" s="436"/>
      <c r="AT10" s="436"/>
      <c r="AU10" s="436"/>
      <c r="AV10" s="436"/>
      <c r="AW10" s="436"/>
      <c r="AX10" s="436"/>
      <c r="AY10" s="436"/>
      <c r="AZ10" s="436"/>
      <c r="BA10" s="436"/>
      <c r="BB10" s="436"/>
      <c r="BC10" s="436"/>
      <c r="BD10" s="436"/>
      <c r="BE10" s="436"/>
      <c r="BF10" s="436"/>
      <c r="BG10" s="436"/>
      <c r="BH10" s="436"/>
      <c r="BI10" s="436"/>
      <c r="BJ10" s="436"/>
      <c r="BK10" s="436"/>
      <c r="BL10" s="436"/>
      <c r="BM10" s="436"/>
      <c r="BN10" s="436"/>
      <c r="BO10" s="436"/>
      <c r="BP10" s="436"/>
      <c r="BQ10" s="436"/>
      <c r="BR10" s="436"/>
      <c r="BS10" s="436"/>
      <c r="BT10" s="436"/>
      <c r="BU10" s="436"/>
      <c r="BV10" s="436"/>
      <c r="BW10" s="436"/>
      <c r="BX10" s="437">
        <v>0</v>
      </c>
      <c r="BY10" s="437">
        <v>0</v>
      </c>
      <c r="BZ10" s="437">
        <v>0</v>
      </c>
    </row>
    <row r="11" spans="1:83" s="438" customFormat="1" ht="15">
      <c r="A11" s="785" t="s">
        <v>258</v>
      </c>
      <c r="B11" s="794" t="s">
        <v>259</v>
      </c>
      <c r="C11" s="1035">
        <v>10625873.82</v>
      </c>
      <c r="D11" s="1035">
        <v>11053579.039999999</v>
      </c>
      <c r="E11" s="1035">
        <v>11638629.689999999</v>
      </c>
      <c r="F11" s="1035">
        <v>12248762</v>
      </c>
      <c r="G11" s="1035">
        <v>16243479.02</v>
      </c>
      <c r="H11" s="1035">
        <v>18929466.030000001</v>
      </c>
      <c r="I11" s="1035">
        <v>26128027.109999999</v>
      </c>
      <c r="J11" s="1035">
        <v>31680921.5</v>
      </c>
      <c r="K11" s="1035">
        <v>35709953.840000004</v>
      </c>
      <c r="L11" s="1035">
        <v>39600985.079999998</v>
      </c>
      <c r="M11" s="1035">
        <v>0</v>
      </c>
      <c r="N11" s="1035">
        <v>0</v>
      </c>
      <c r="O11" s="1035">
        <v>0</v>
      </c>
      <c r="P11" s="795">
        <v>0</v>
      </c>
      <c r="Q11" s="795">
        <v>0</v>
      </c>
      <c r="R11" s="795">
        <v>0</v>
      </c>
      <c r="S11" s="795">
        <v>0</v>
      </c>
      <c r="T11" s="795">
        <v>0</v>
      </c>
      <c r="U11" s="795">
        <v>0</v>
      </c>
      <c r="V11" s="795">
        <v>0</v>
      </c>
      <c r="W11" s="795">
        <v>0</v>
      </c>
      <c r="X11" s="795">
        <v>0</v>
      </c>
      <c r="Y11" s="795">
        <v>0</v>
      </c>
      <c r="Z11" s="795">
        <v>0</v>
      </c>
      <c r="AA11" s="795">
        <v>0</v>
      </c>
      <c r="AB11" s="795">
        <v>0</v>
      </c>
      <c r="AC11" s="795">
        <v>0</v>
      </c>
      <c r="AD11" s="795">
        <v>0</v>
      </c>
      <c r="AE11" s="795">
        <v>0</v>
      </c>
      <c r="AF11" s="795">
        <v>0</v>
      </c>
      <c r="AG11" s="795">
        <v>0</v>
      </c>
      <c r="AH11" s="795">
        <v>0</v>
      </c>
      <c r="AI11" s="795">
        <v>0</v>
      </c>
      <c r="AJ11" s="795">
        <v>0</v>
      </c>
      <c r="AK11" s="795">
        <v>0</v>
      </c>
      <c r="AL11" s="795">
        <v>0</v>
      </c>
      <c r="AM11" s="795">
        <v>0</v>
      </c>
      <c r="AN11" s="795"/>
      <c r="AO11" s="795"/>
      <c r="AP11" s="795"/>
      <c r="AQ11" s="795"/>
      <c r="AR11" s="795"/>
      <c r="AS11" s="795"/>
      <c r="AT11" s="795"/>
      <c r="AU11" s="795"/>
      <c r="AV11" s="795"/>
      <c r="AW11" s="795"/>
      <c r="AX11" s="795"/>
      <c r="AY11" s="795"/>
      <c r="AZ11" s="795"/>
      <c r="BA11" s="795"/>
      <c r="BB11" s="795"/>
      <c r="BC11" s="795"/>
      <c r="BD11" s="795"/>
      <c r="BE11" s="795"/>
      <c r="BF11" s="795"/>
      <c r="BG11" s="795"/>
      <c r="BH11" s="795"/>
      <c r="BI11" s="795"/>
      <c r="BJ11" s="795"/>
      <c r="BK11" s="795"/>
      <c r="BL11" s="795"/>
      <c r="BM11" s="795"/>
      <c r="BN11" s="795"/>
      <c r="BO11" s="795"/>
      <c r="BP11" s="795"/>
      <c r="BQ11" s="795"/>
      <c r="BR11" s="795"/>
      <c r="BS11" s="795"/>
      <c r="BT11" s="795"/>
      <c r="BU11" s="795"/>
      <c r="BV11" s="795"/>
      <c r="BW11" s="795"/>
      <c r="BX11" s="437">
        <v>16450744.394615384</v>
      </c>
      <c r="BY11" s="437">
        <v>0</v>
      </c>
      <c r="BZ11" s="437">
        <v>0</v>
      </c>
      <c r="CA11" s="912"/>
      <c r="CB11" s="912"/>
      <c r="CC11" s="912"/>
    </row>
    <row r="12" spans="1:83" s="438" customFormat="1">
      <c r="A12" s="785" t="s">
        <v>262</v>
      </c>
      <c r="B12" s="796" t="s">
        <v>263</v>
      </c>
      <c r="C12" s="1035">
        <v>3784390.32</v>
      </c>
      <c r="D12" s="1035">
        <v>3647810.4</v>
      </c>
      <c r="E12" s="1035">
        <v>4259059.04</v>
      </c>
      <c r="F12" s="1035">
        <v>3947592.61</v>
      </c>
      <c r="G12" s="1035">
        <v>4002652.54</v>
      </c>
      <c r="H12" s="1035">
        <v>4762246.13</v>
      </c>
      <c r="I12" s="1035">
        <v>5059340.7799999993</v>
      </c>
      <c r="J12" s="1035">
        <v>5122721.66</v>
      </c>
      <c r="K12" s="1035">
        <v>5939681.9299999997</v>
      </c>
      <c r="L12" s="1035">
        <v>6244003.8799999999</v>
      </c>
      <c r="M12" s="1035">
        <v>6378308.7000000002</v>
      </c>
      <c r="N12" s="1035">
        <v>6828779.0999999996</v>
      </c>
      <c r="O12" s="1035">
        <v>6940539.4900000002</v>
      </c>
      <c r="P12" s="795">
        <v>0</v>
      </c>
      <c r="Q12" s="795">
        <v>0</v>
      </c>
      <c r="R12" s="795">
        <v>0</v>
      </c>
      <c r="S12" s="795">
        <v>0</v>
      </c>
      <c r="T12" s="795">
        <v>0</v>
      </c>
      <c r="U12" s="795">
        <v>0</v>
      </c>
      <c r="V12" s="795">
        <v>0</v>
      </c>
      <c r="W12" s="795">
        <v>0</v>
      </c>
      <c r="X12" s="795">
        <v>0</v>
      </c>
      <c r="Y12" s="795">
        <v>0</v>
      </c>
      <c r="Z12" s="795">
        <v>0</v>
      </c>
      <c r="AA12" s="795">
        <v>0</v>
      </c>
      <c r="AB12" s="795">
        <v>0</v>
      </c>
      <c r="AC12" s="795">
        <v>0</v>
      </c>
      <c r="AD12" s="795">
        <v>0</v>
      </c>
      <c r="AE12" s="795">
        <v>0</v>
      </c>
      <c r="AF12" s="795">
        <v>0</v>
      </c>
      <c r="AG12" s="795">
        <v>0</v>
      </c>
      <c r="AH12" s="795">
        <v>0</v>
      </c>
      <c r="AI12" s="795">
        <v>0</v>
      </c>
      <c r="AJ12" s="795">
        <v>0</v>
      </c>
      <c r="AK12" s="795">
        <v>0</v>
      </c>
      <c r="AL12" s="795">
        <v>0</v>
      </c>
      <c r="AM12" s="795">
        <v>0</v>
      </c>
      <c r="AN12" s="795"/>
      <c r="AO12" s="795"/>
      <c r="AP12" s="795"/>
      <c r="AQ12" s="795"/>
      <c r="AR12" s="795"/>
      <c r="AS12" s="795"/>
      <c r="AT12" s="795"/>
      <c r="AU12" s="795"/>
      <c r="AV12" s="795"/>
      <c r="AW12" s="795"/>
      <c r="AX12" s="795"/>
      <c r="AY12" s="795"/>
      <c r="AZ12" s="795"/>
      <c r="BA12" s="795"/>
      <c r="BB12" s="795"/>
      <c r="BC12" s="795"/>
      <c r="BD12" s="795"/>
      <c r="BE12" s="795"/>
      <c r="BF12" s="795"/>
      <c r="BG12" s="795"/>
      <c r="BH12" s="795"/>
      <c r="BI12" s="795"/>
      <c r="BJ12" s="795"/>
      <c r="BK12" s="795"/>
      <c r="BL12" s="795"/>
      <c r="BM12" s="795"/>
      <c r="BN12" s="795"/>
      <c r="BO12" s="795"/>
      <c r="BP12" s="795"/>
      <c r="BQ12" s="795"/>
      <c r="BR12" s="795"/>
      <c r="BS12" s="795"/>
      <c r="BT12" s="795"/>
      <c r="BU12" s="795"/>
      <c r="BV12" s="795"/>
      <c r="BW12" s="795"/>
      <c r="BX12" s="437">
        <v>5147471.2753846161</v>
      </c>
      <c r="BY12" s="437">
        <v>533887.6530769231</v>
      </c>
      <c r="BZ12" s="437">
        <v>0</v>
      </c>
      <c r="CA12" s="912"/>
      <c r="CB12" s="912"/>
      <c r="CC12" s="912"/>
      <c r="CE12" s="438">
        <f>AVERAGE(O12:AA12)</f>
        <v>533887.6530769231</v>
      </c>
    </row>
    <row r="13" spans="1:83" s="438" customFormat="1">
      <c r="A13" s="785" t="s">
        <v>264</v>
      </c>
      <c r="B13" s="785" t="s">
        <v>265</v>
      </c>
      <c r="C13" s="1035">
        <v>2775979.63</v>
      </c>
      <c r="D13" s="1035">
        <v>2801890.3</v>
      </c>
      <c r="E13" s="1035">
        <v>2835587.36</v>
      </c>
      <c r="F13" s="1035">
        <v>3073004.82</v>
      </c>
      <c r="G13" s="1035">
        <v>3103899.87</v>
      </c>
      <c r="H13" s="1035">
        <v>3356404.79</v>
      </c>
      <c r="I13" s="1035">
        <v>3582732.67</v>
      </c>
      <c r="J13" s="1035">
        <v>3658572.06</v>
      </c>
      <c r="K13" s="1035">
        <v>3706749.84</v>
      </c>
      <c r="L13" s="1035">
        <v>0</v>
      </c>
      <c r="M13" s="1035">
        <v>0</v>
      </c>
      <c r="N13" s="1035">
        <v>0</v>
      </c>
      <c r="O13" s="1035">
        <v>0</v>
      </c>
      <c r="P13" s="795">
        <v>0</v>
      </c>
      <c r="Q13" s="795">
        <v>0</v>
      </c>
      <c r="R13" s="795">
        <v>0</v>
      </c>
      <c r="S13" s="795">
        <v>0</v>
      </c>
      <c r="T13" s="795">
        <v>0</v>
      </c>
      <c r="U13" s="795">
        <v>0</v>
      </c>
      <c r="V13" s="795">
        <v>0</v>
      </c>
      <c r="W13" s="795">
        <v>0</v>
      </c>
      <c r="X13" s="795">
        <v>0</v>
      </c>
      <c r="Y13" s="795">
        <v>0</v>
      </c>
      <c r="Z13" s="795">
        <v>0</v>
      </c>
      <c r="AA13" s="795">
        <v>0</v>
      </c>
      <c r="AB13" s="795">
        <v>0</v>
      </c>
      <c r="AC13" s="795">
        <v>0</v>
      </c>
      <c r="AD13" s="795">
        <v>0</v>
      </c>
      <c r="AE13" s="795">
        <v>0</v>
      </c>
      <c r="AF13" s="795">
        <v>0</v>
      </c>
      <c r="AG13" s="795">
        <v>0</v>
      </c>
      <c r="AH13" s="795">
        <v>0</v>
      </c>
      <c r="AI13" s="795">
        <v>0</v>
      </c>
      <c r="AJ13" s="795">
        <v>0</v>
      </c>
      <c r="AK13" s="795">
        <v>0</v>
      </c>
      <c r="AL13" s="795">
        <v>0</v>
      </c>
      <c r="AM13" s="795">
        <v>0</v>
      </c>
      <c r="AN13" s="795"/>
      <c r="AO13" s="795"/>
      <c r="AP13" s="795"/>
      <c r="AQ13" s="795"/>
      <c r="AR13" s="795"/>
      <c r="AS13" s="795"/>
      <c r="AT13" s="795"/>
      <c r="AU13" s="795"/>
      <c r="AV13" s="795"/>
      <c r="AW13" s="795"/>
      <c r="AX13" s="795"/>
      <c r="AY13" s="795"/>
      <c r="AZ13" s="795"/>
      <c r="BA13" s="795"/>
      <c r="BB13" s="795"/>
      <c r="BC13" s="795"/>
      <c r="BD13" s="795"/>
      <c r="BE13" s="795"/>
      <c r="BF13" s="795"/>
      <c r="BG13" s="795"/>
      <c r="BH13" s="795"/>
      <c r="BI13" s="795"/>
      <c r="BJ13" s="795"/>
      <c r="BK13" s="795"/>
      <c r="BL13" s="795"/>
      <c r="BM13" s="795"/>
      <c r="BN13" s="795"/>
      <c r="BO13" s="795"/>
      <c r="BP13" s="795"/>
      <c r="BQ13" s="795"/>
      <c r="BR13" s="795"/>
      <c r="BS13" s="795"/>
      <c r="BT13" s="795"/>
      <c r="BU13" s="795"/>
      <c r="BV13" s="795"/>
      <c r="BW13" s="795"/>
      <c r="BX13" s="437">
        <v>2222678.5646153842</v>
      </c>
      <c r="BY13" s="437">
        <v>0</v>
      </c>
      <c r="BZ13" s="437">
        <v>0</v>
      </c>
      <c r="CA13" s="912"/>
      <c r="CB13" s="912"/>
      <c r="CC13" s="912"/>
      <c r="CE13" s="438">
        <f t="shared" ref="CE13:CE51" si="0">AVERAGE(O13:AA13)</f>
        <v>0</v>
      </c>
    </row>
    <row r="14" spans="1:83" s="438" customFormat="1">
      <c r="A14" s="785" t="s">
        <v>268</v>
      </c>
      <c r="B14" s="785" t="s">
        <v>269</v>
      </c>
      <c r="C14" s="1035">
        <v>123508.02</v>
      </c>
      <c r="D14" s="1035">
        <v>124107.04</v>
      </c>
      <c r="E14" s="1035">
        <v>128008.12</v>
      </c>
      <c r="F14" s="1035">
        <v>128649.56</v>
      </c>
      <c r="G14" s="1035">
        <v>129275.77</v>
      </c>
      <c r="H14" s="1035">
        <v>129905.09</v>
      </c>
      <c r="I14" s="1035">
        <v>130537.47</v>
      </c>
      <c r="J14" s="1035">
        <v>131172.92000000001</v>
      </c>
      <c r="K14" s="1035">
        <v>132614.21</v>
      </c>
      <c r="L14" s="1035">
        <v>173742</v>
      </c>
      <c r="M14" s="1035">
        <v>176677.73</v>
      </c>
      <c r="N14" s="1035">
        <v>270655.57</v>
      </c>
      <c r="O14" s="1035">
        <v>274777.67</v>
      </c>
      <c r="P14" s="795">
        <v>0</v>
      </c>
      <c r="Q14" s="795">
        <v>0</v>
      </c>
      <c r="R14" s="795">
        <v>0</v>
      </c>
      <c r="S14" s="795">
        <v>0</v>
      </c>
      <c r="T14" s="795">
        <v>0</v>
      </c>
      <c r="U14" s="795">
        <v>0</v>
      </c>
      <c r="V14" s="795">
        <v>0</v>
      </c>
      <c r="W14" s="795">
        <v>0</v>
      </c>
      <c r="X14" s="795">
        <v>0</v>
      </c>
      <c r="Y14" s="795">
        <v>0</v>
      </c>
      <c r="Z14" s="795">
        <v>0</v>
      </c>
      <c r="AA14" s="795">
        <v>0</v>
      </c>
      <c r="AB14" s="795">
        <v>0</v>
      </c>
      <c r="AC14" s="795">
        <v>0</v>
      </c>
      <c r="AD14" s="795">
        <v>0</v>
      </c>
      <c r="AE14" s="795">
        <v>0</v>
      </c>
      <c r="AF14" s="795">
        <v>0</v>
      </c>
      <c r="AG14" s="795">
        <v>0</v>
      </c>
      <c r="AH14" s="795">
        <v>0</v>
      </c>
      <c r="AI14" s="795">
        <v>0</v>
      </c>
      <c r="AJ14" s="795">
        <v>0</v>
      </c>
      <c r="AK14" s="795">
        <v>0</v>
      </c>
      <c r="AL14" s="795">
        <v>0</v>
      </c>
      <c r="AM14" s="795">
        <v>0</v>
      </c>
      <c r="AN14" s="795"/>
      <c r="AO14" s="795"/>
      <c r="AP14" s="795"/>
      <c r="AQ14" s="795"/>
      <c r="AR14" s="795"/>
      <c r="AS14" s="795"/>
      <c r="AT14" s="795"/>
      <c r="AU14" s="795"/>
      <c r="AV14" s="795"/>
      <c r="AW14" s="795"/>
      <c r="AX14" s="795"/>
      <c r="AY14" s="795"/>
      <c r="AZ14" s="795"/>
      <c r="BA14" s="795"/>
      <c r="BB14" s="795"/>
      <c r="BC14" s="795"/>
      <c r="BD14" s="795"/>
      <c r="BE14" s="795"/>
      <c r="BF14" s="795"/>
      <c r="BG14" s="795"/>
      <c r="BH14" s="795"/>
      <c r="BI14" s="795"/>
      <c r="BJ14" s="795"/>
      <c r="BK14" s="795"/>
      <c r="BL14" s="795"/>
      <c r="BM14" s="795"/>
      <c r="BN14" s="795"/>
      <c r="BO14" s="795"/>
      <c r="BP14" s="795"/>
      <c r="BQ14" s="795"/>
      <c r="BR14" s="795"/>
      <c r="BS14" s="795"/>
      <c r="BT14" s="795"/>
      <c r="BU14" s="795"/>
      <c r="BV14" s="795"/>
      <c r="BW14" s="795"/>
      <c r="BX14" s="437">
        <v>157971.62846153846</v>
      </c>
      <c r="BY14" s="437">
        <v>21136.743846153844</v>
      </c>
      <c r="BZ14" s="437">
        <v>0</v>
      </c>
      <c r="CA14" s="912"/>
      <c r="CB14" s="912"/>
      <c r="CC14" s="912"/>
      <c r="CE14" s="438">
        <f t="shared" si="0"/>
        <v>21136.743846153844</v>
      </c>
    </row>
    <row r="15" spans="1:83" s="438" customFormat="1">
      <c r="A15" s="785" t="s">
        <v>270</v>
      </c>
      <c r="B15" s="785" t="s">
        <v>271</v>
      </c>
      <c r="C15" s="1035">
        <v>3061604.59</v>
      </c>
      <c r="D15" s="1035">
        <v>3084242.93</v>
      </c>
      <c r="E15" s="1035">
        <v>3114987.7</v>
      </c>
      <c r="F15" s="1035">
        <v>3148230.07</v>
      </c>
      <c r="G15" s="1035">
        <v>3173455.65</v>
      </c>
      <c r="H15" s="1035">
        <v>3193690.9</v>
      </c>
      <c r="I15" s="1035">
        <v>3209351.73</v>
      </c>
      <c r="J15" s="1035">
        <v>3228405.36</v>
      </c>
      <c r="K15" s="1035">
        <v>3244112.88</v>
      </c>
      <c r="L15" s="1035">
        <v>3270792.91</v>
      </c>
      <c r="M15" s="1035">
        <v>3289131.5</v>
      </c>
      <c r="N15" s="1035">
        <v>3319637.1</v>
      </c>
      <c r="O15" s="1035">
        <v>3449833.16</v>
      </c>
      <c r="P15" s="795">
        <v>0</v>
      </c>
      <c r="Q15" s="795">
        <v>0</v>
      </c>
      <c r="R15" s="795">
        <v>0</v>
      </c>
      <c r="S15" s="795">
        <v>0</v>
      </c>
      <c r="T15" s="795">
        <v>0</v>
      </c>
      <c r="U15" s="795">
        <v>0</v>
      </c>
      <c r="V15" s="795">
        <v>0</v>
      </c>
      <c r="W15" s="795">
        <v>0</v>
      </c>
      <c r="X15" s="795">
        <v>0</v>
      </c>
      <c r="Y15" s="795">
        <v>0</v>
      </c>
      <c r="Z15" s="795">
        <v>0</v>
      </c>
      <c r="AA15" s="795">
        <v>0</v>
      </c>
      <c r="AB15" s="795">
        <v>0</v>
      </c>
      <c r="AC15" s="795">
        <v>0</v>
      </c>
      <c r="AD15" s="795">
        <v>0</v>
      </c>
      <c r="AE15" s="795">
        <v>0</v>
      </c>
      <c r="AF15" s="795">
        <v>0</v>
      </c>
      <c r="AG15" s="795">
        <v>0</v>
      </c>
      <c r="AH15" s="795">
        <v>0</v>
      </c>
      <c r="AI15" s="795">
        <v>0</v>
      </c>
      <c r="AJ15" s="795">
        <v>0</v>
      </c>
      <c r="AK15" s="795">
        <v>0</v>
      </c>
      <c r="AL15" s="795">
        <v>0</v>
      </c>
      <c r="AM15" s="795">
        <v>0</v>
      </c>
      <c r="AN15" s="795"/>
      <c r="AO15" s="795"/>
      <c r="AP15" s="795"/>
      <c r="AQ15" s="795"/>
      <c r="AR15" s="795"/>
      <c r="AS15" s="795"/>
      <c r="AT15" s="795"/>
      <c r="AU15" s="795"/>
      <c r="AV15" s="795"/>
      <c r="AW15" s="795"/>
      <c r="AX15" s="795"/>
      <c r="AY15" s="795"/>
      <c r="AZ15" s="795"/>
      <c r="BA15" s="795"/>
      <c r="BB15" s="795"/>
      <c r="BC15" s="795"/>
      <c r="BD15" s="795"/>
      <c r="BE15" s="795"/>
      <c r="BF15" s="795"/>
      <c r="BG15" s="795"/>
      <c r="BH15" s="795"/>
      <c r="BI15" s="795"/>
      <c r="BJ15" s="795"/>
      <c r="BK15" s="795"/>
      <c r="BL15" s="795"/>
      <c r="BM15" s="795"/>
      <c r="BN15" s="795"/>
      <c r="BO15" s="795"/>
      <c r="BP15" s="795"/>
      <c r="BQ15" s="795"/>
      <c r="BR15" s="795"/>
      <c r="BS15" s="795"/>
      <c r="BT15" s="795"/>
      <c r="BU15" s="795"/>
      <c r="BV15" s="795"/>
      <c r="BW15" s="795"/>
      <c r="BX15" s="437">
        <v>3214421.2676923079</v>
      </c>
      <c r="BY15" s="437">
        <v>265371.78153846157</v>
      </c>
      <c r="BZ15" s="437">
        <v>0</v>
      </c>
      <c r="CA15" s="912"/>
      <c r="CB15" s="912"/>
      <c r="CC15" s="912"/>
      <c r="CE15" s="438">
        <f t="shared" si="0"/>
        <v>265371.78153846157</v>
      </c>
    </row>
    <row r="16" spans="1:83" s="438" customFormat="1">
      <c r="A16" s="785" t="s">
        <v>272</v>
      </c>
      <c r="B16" s="785" t="s">
        <v>273</v>
      </c>
      <c r="C16" s="1035">
        <v>25001.27</v>
      </c>
      <c r="D16" s="1035">
        <v>32511.83</v>
      </c>
      <c r="E16" s="1035">
        <v>1544637.4</v>
      </c>
      <c r="F16" s="1035">
        <v>1937034.65</v>
      </c>
      <c r="G16" s="1035">
        <v>1920236.59</v>
      </c>
      <c r="H16" s="1035">
        <v>1942060.19</v>
      </c>
      <c r="I16" s="1035">
        <v>1999078.75</v>
      </c>
      <c r="J16" s="1035">
        <v>2261392.5499999998</v>
      </c>
      <c r="K16" s="1035">
        <v>2279380.9500000002</v>
      </c>
      <c r="L16" s="1035">
        <v>2290458.4900000002</v>
      </c>
      <c r="M16" s="1035">
        <v>2299516.38</v>
      </c>
      <c r="N16" s="1035">
        <v>2310715.52</v>
      </c>
      <c r="O16" s="1035">
        <v>2321964.08</v>
      </c>
      <c r="P16" s="795">
        <v>0</v>
      </c>
      <c r="Q16" s="795">
        <v>0</v>
      </c>
      <c r="R16" s="795">
        <v>0</v>
      </c>
      <c r="S16" s="795">
        <v>0</v>
      </c>
      <c r="T16" s="795">
        <v>0</v>
      </c>
      <c r="U16" s="795">
        <v>0</v>
      </c>
      <c r="V16" s="795">
        <v>0</v>
      </c>
      <c r="W16" s="795">
        <v>0</v>
      </c>
      <c r="X16" s="795">
        <v>0</v>
      </c>
      <c r="Y16" s="795">
        <v>0</v>
      </c>
      <c r="Z16" s="795">
        <v>0</v>
      </c>
      <c r="AA16" s="795">
        <v>0</v>
      </c>
      <c r="AB16" s="795">
        <v>0</v>
      </c>
      <c r="AC16" s="795">
        <v>0</v>
      </c>
      <c r="AD16" s="795">
        <v>0</v>
      </c>
      <c r="AE16" s="795">
        <v>0</v>
      </c>
      <c r="AF16" s="795">
        <v>0</v>
      </c>
      <c r="AG16" s="795">
        <v>0</v>
      </c>
      <c r="AH16" s="795">
        <v>0</v>
      </c>
      <c r="AI16" s="795">
        <v>0</v>
      </c>
      <c r="AJ16" s="795">
        <v>0</v>
      </c>
      <c r="AK16" s="795">
        <v>0</v>
      </c>
      <c r="AL16" s="795">
        <v>0</v>
      </c>
      <c r="AM16" s="795">
        <v>0</v>
      </c>
      <c r="AN16" s="795"/>
      <c r="AO16" s="795"/>
      <c r="AP16" s="795"/>
      <c r="AQ16" s="795"/>
      <c r="AR16" s="795"/>
      <c r="AS16" s="795"/>
      <c r="AT16" s="795"/>
      <c r="AU16" s="795"/>
      <c r="AV16" s="795"/>
      <c r="AW16" s="795"/>
      <c r="AX16" s="795"/>
      <c r="AY16" s="795"/>
      <c r="AZ16" s="795"/>
      <c r="BA16" s="795"/>
      <c r="BB16" s="795"/>
      <c r="BC16" s="795"/>
      <c r="BD16" s="795"/>
      <c r="BE16" s="795"/>
      <c r="BF16" s="795"/>
      <c r="BG16" s="795"/>
      <c r="BH16" s="795"/>
      <c r="BI16" s="795"/>
      <c r="BJ16" s="795"/>
      <c r="BK16" s="795"/>
      <c r="BL16" s="795"/>
      <c r="BM16" s="795"/>
      <c r="BN16" s="795"/>
      <c r="BO16" s="795"/>
      <c r="BP16" s="795"/>
      <c r="BQ16" s="795"/>
      <c r="BR16" s="795"/>
      <c r="BS16" s="795"/>
      <c r="BT16" s="795"/>
      <c r="BU16" s="795"/>
      <c r="BV16" s="795"/>
      <c r="BW16" s="795"/>
      <c r="BX16" s="437">
        <v>1781845.2807692306</v>
      </c>
      <c r="BY16" s="437">
        <v>178612.62153846154</v>
      </c>
      <c r="BZ16" s="437">
        <v>0</v>
      </c>
      <c r="CA16" s="912"/>
      <c r="CB16" s="912"/>
      <c r="CC16" s="912"/>
      <c r="CE16" s="438">
        <f t="shared" si="0"/>
        <v>178612.62153846154</v>
      </c>
    </row>
    <row r="17" spans="1:83" s="438" customFormat="1">
      <c r="A17" s="785" t="s">
        <v>276</v>
      </c>
      <c r="B17" s="785" t="s">
        <v>277</v>
      </c>
      <c r="C17" s="1035">
        <v>1479707.32</v>
      </c>
      <c r="D17" s="1035">
        <v>1621913.96</v>
      </c>
      <c r="E17" s="1035">
        <v>1646003.77</v>
      </c>
      <c r="F17" s="1035">
        <v>1593324.41</v>
      </c>
      <c r="G17" s="1035">
        <v>1811352.49</v>
      </c>
      <c r="H17" s="1035">
        <v>2005694.73</v>
      </c>
      <c r="I17" s="1035">
        <v>2015005.64</v>
      </c>
      <c r="J17" s="1035">
        <v>2070850.61</v>
      </c>
      <c r="K17" s="1035">
        <v>2110375.59</v>
      </c>
      <c r="L17" s="1035">
        <v>1958182.97</v>
      </c>
      <c r="M17" s="1035">
        <v>1968110.67</v>
      </c>
      <c r="N17" s="1035">
        <v>1977691.44</v>
      </c>
      <c r="O17" s="1035">
        <v>1987318.84</v>
      </c>
      <c r="P17" s="795">
        <v>0</v>
      </c>
      <c r="Q17" s="795">
        <v>0</v>
      </c>
      <c r="R17" s="795">
        <v>0</v>
      </c>
      <c r="S17" s="795">
        <v>0</v>
      </c>
      <c r="T17" s="795">
        <v>0</v>
      </c>
      <c r="U17" s="795">
        <v>0</v>
      </c>
      <c r="V17" s="795">
        <v>0</v>
      </c>
      <c r="W17" s="795">
        <v>0</v>
      </c>
      <c r="X17" s="795">
        <v>0</v>
      </c>
      <c r="Y17" s="795">
        <v>0</v>
      </c>
      <c r="Z17" s="795">
        <v>0</v>
      </c>
      <c r="AA17" s="795">
        <v>0</v>
      </c>
      <c r="AB17" s="795">
        <v>0</v>
      </c>
      <c r="AC17" s="795">
        <v>0</v>
      </c>
      <c r="AD17" s="795">
        <v>0</v>
      </c>
      <c r="AE17" s="795">
        <v>0</v>
      </c>
      <c r="AF17" s="795">
        <v>0</v>
      </c>
      <c r="AG17" s="795">
        <v>0</v>
      </c>
      <c r="AH17" s="795">
        <v>0</v>
      </c>
      <c r="AI17" s="795">
        <v>0</v>
      </c>
      <c r="AJ17" s="795">
        <v>0</v>
      </c>
      <c r="AK17" s="795">
        <v>0</v>
      </c>
      <c r="AL17" s="795">
        <v>0</v>
      </c>
      <c r="AM17" s="795">
        <v>0</v>
      </c>
      <c r="AN17" s="795"/>
      <c r="AO17" s="795"/>
      <c r="AP17" s="795"/>
      <c r="AQ17" s="795"/>
      <c r="AR17" s="795"/>
      <c r="AS17" s="795"/>
      <c r="AT17" s="795"/>
      <c r="AU17" s="795"/>
      <c r="AV17" s="795"/>
      <c r="AW17" s="795"/>
      <c r="AX17" s="795"/>
      <c r="AY17" s="795"/>
      <c r="AZ17" s="795"/>
      <c r="BA17" s="795"/>
      <c r="BB17" s="795"/>
      <c r="BC17" s="795"/>
      <c r="BD17" s="795"/>
      <c r="BE17" s="795"/>
      <c r="BF17" s="795"/>
      <c r="BG17" s="795"/>
      <c r="BH17" s="795"/>
      <c r="BI17" s="795"/>
      <c r="BJ17" s="795"/>
      <c r="BK17" s="795"/>
      <c r="BL17" s="795"/>
      <c r="BM17" s="795"/>
      <c r="BN17" s="795"/>
      <c r="BO17" s="795"/>
      <c r="BP17" s="795"/>
      <c r="BQ17" s="795"/>
      <c r="BR17" s="795"/>
      <c r="BS17" s="795"/>
      <c r="BT17" s="795"/>
      <c r="BU17" s="795"/>
      <c r="BV17" s="795"/>
      <c r="BW17" s="795"/>
      <c r="BX17" s="437">
        <v>1865040.9569230773</v>
      </c>
      <c r="BY17" s="437">
        <v>152870.68</v>
      </c>
      <c r="BZ17" s="437">
        <v>0</v>
      </c>
      <c r="CA17" s="912"/>
      <c r="CB17" s="912"/>
      <c r="CC17" s="912"/>
      <c r="CE17" s="438">
        <f t="shared" si="0"/>
        <v>152870.68</v>
      </c>
    </row>
    <row r="18" spans="1:83" s="438" customFormat="1">
      <c r="A18" s="785" t="s">
        <v>278</v>
      </c>
      <c r="B18" s="785" t="s">
        <v>279</v>
      </c>
      <c r="C18" s="1035">
        <v>278259.56</v>
      </c>
      <c r="D18" s="1035">
        <v>281223.12</v>
      </c>
      <c r="E18" s="1035">
        <v>352807.23</v>
      </c>
      <c r="F18" s="1035">
        <v>362289.46</v>
      </c>
      <c r="G18" s="1035">
        <v>367691.34</v>
      </c>
      <c r="H18" s="1035">
        <v>0</v>
      </c>
      <c r="I18" s="1035">
        <v>0</v>
      </c>
      <c r="J18" s="1035">
        <v>0</v>
      </c>
      <c r="K18" s="1035">
        <v>0</v>
      </c>
      <c r="L18" s="1035">
        <v>0</v>
      </c>
      <c r="M18" s="1035">
        <v>0</v>
      </c>
      <c r="N18" s="1035">
        <v>0</v>
      </c>
      <c r="O18" s="1035">
        <v>0</v>
      </c>
      <c r="P18" s="795">
        <v>0</v>
      </c>
      <c r="Q18" s="795">
        <v>0</v>
      </c>
      <c r="R18" s="795">
        <v>0</v>
      </c>
      <c r="S18" s="795">
        <v>0</v>
      </c>
      <c r="T18" s="795">
        <v>0</v>
      </c>
      <c r="U18" s="795">
        <v>0</v>
      </c>
      <c r="V18" s="795">
        <v>0</v>
      </c>
      <c r="W18" s="795">
        <v>0</v>
      </c>
      <c r="X18" s="795">
        <v>0</v>
      </c>
      <c r="Y18" s="795">
        <v>0</v>
      </c>
      <c r="Z18" s="795">
        <v>0</v>
      </c>
      <c r="AA18" s="795">
        <v>0</v>
      </c>
      <c r="AB18" s="795">
        <v>0</v>
      </c>
      <c r="AC18" s="795">
        <v>0</v>
      </c>
      <c r="AD18" s="795">
        <v>0</v>
      </c>
      <c r="AE18" s="795">
        <v>0</v>
      </c>
      <c r="AF18" s="795">
        <v>0</v>
      </c>
      <c r="AG18" s="795">
        <v>0</v>
      </c>
      <c r="AH18" s="795">
        <v>0</v>
      </c>
      <c r="AI18" s="795">
        <v>0</v>
      </c>
      <c r="AJ18" s="795">
        <v>0</v>
      </c>
      <c r="AK18" s="795">
        <v>0</v>
      </c>
      <c r="AL18" s="795">
        <v>0</v>
      </c>
      <c r="AM18" s="795">
        <v>0</v>
      </c>
      <c r="AN18" s="795"/>
      <c r="AO18" s="795"/>
      <c r="AP18" s="795"/>
      <c r="AQ18" s="795"/>
      <c r="AR18" s="795"/>
      <c r="AS18" s="795"/>
      <c r="AT18" s="795"/>
      <c r="AU18" s="795"/>
      <c r="AV18" s="795"/>
      <c r="AW18" s="795"/>
      <c r="AX18" s="795"/>
      <c r="AY18" s="795"/>
      <c r="AZ18" s="795"/>
      <c r="BA18" s="795"/>
      <c r="BB18" s="795"/>
      <c r="BC18" s="795"/>
      <c r="BD18" s="795"/>
      <c r="BE18" s="795"/>
      <c r="BF18" s="795"/>
      <c r="BG18" s="795"/>
      <c r="BH18" s="795"/>
      <c r="BI18" s="795"/>
      <c r="BJ18" s="795"/>
      <c r="BK18" s="795"/>
      <c r="BL18" s="795"/>
      <c r="BM18" s="795"/>
      <c r="BN18" s="795"/>
      <c r="BO18" s="795"/>
      <c r="BP18" s="795"/>
      <c r="BQ18" s="795"/>
      <c r="BR18" s="795"/>
      <c r="BS18" s="795"/>
      <c r="BT18" s="795"/>
      <c r="BU18" s="795"/>
      <c r="BV18" s="795"/>
      <c r="BW18" s="795"/>
      <c r="BX18" s="437">
        <v>126328.51615384615</v>
      </c>
      <c r="BY18" s="437">
        <v>0</v>
      </c>
      <c r="BZ18" s="437">
        <v>0</v>
      </c>
      <c r="CA18" s="912"/>
      <c r="CB18" s="912"/>
      <c r="CC18" s="912"/>
      <c r="CE18" s="438">
        <f t="shared" si="0"/>
        <v>0</v>
      </c>
    </row>
    <row r="19" spans="1:83" s="438" customFormat="1">
      <c r="A19" s="785" t="s">
        <v>280</v>
      </c>
      <c r="B19" s="785" t="s">
        <v>281</v>
      </c>
      <c r="C19" s="1035">
        <v>3049430.85</v>
      </c>
      <c r="D19" s="1035">
        <v>3063358.79</v>
      </c>
      <c r="E19" s="1035">
        <v>3409342.87</v>
      </c>
      <c r="F19" s="1035">
        <v>3426697.39</v>
      </c>
      <c r="G19" s="1035">
        <v>3443374.74</v>
      </c>
      <c r="H19" s="1035">
        <v>3467752.59</v>
      </c>
      <c r="I19" s="1035">
        <v>3677261.9</v>
      </c>
      <c r="J19" s="1035">
        <v>3696287.31</v>
      </c>
      <c r="K19" s="1035">
        <v>3716227.77</v>
      </c>
      <c r="L19" s="1035">
        <v>5585735.6900000004</v>
      </c>
      <c r="M19" s="1035">
        <v>5608607.8200000003</v>
      </c>
      <c r="N19" s="1035">
        <v>5637139.0899999999</v>
      </c>
      <c r="O19" s="1035">
        <v>5673191.1100000003</v>
      </c>
      <c r="P19" s="795">
        <v>0</v>
      </c>
      <c r="Q19" s="795">
        <v>0</v>
      </c>
      <c r="R19" s="795">
        <v>0</v>
      </c>
      <c r="S19" s="795">
        <v>0</v>
      </c>
      <c r="T19" s="795">
        <v>0</v>
      </c>
      <c r="U19" s="795">
        <v>0</v>
      </c>
      <c r="V19" s="795">
        <v>0</v>
      </c>
      <c r="W19" s="795">
        <v>0</v>
      </c>
      <c r="X19" s="795">
        <v>0</v>
      </c>
      <c r="Y19" s="795">
        <v>0</v>
      </c>
      <c r="Z19" s="795">
        <v>0</v>
      </c>
      <c r="AA19" s="795">
        <v>0</v>
      </c>
      <c r="AB19" s="795">
        <v>0</v>
      </c>
      <c r="AC19" s="795">
        <v>0</v>
      </c>
      <c r="AD19" s="795">
        <v>0</v>
      </c>
      <c r="AE19" s="795">
        <v>0</v>
      </c>
      <c r="AF19" s="795">
        <v>0</v>
      </c>
      <c r="AG19" s="795">
        <v>0</v>
      </c>
      <c r="AH19" s="795">
        <v>0</v>
      </c>
      <c r="AI19" s="795">
        <v>0</v>
      </c>
      <c r="AJ19" s="795">
        <v>0</v>
      </c>
      <c r="AK19" s="795">
        <v>0</v>
      </c>
      <c r="AL19" s="795">
        <v>0</v>
      </c>
      <c r="AM19" s="795">
        <v>0</v>
      </c>
      <c r="AN19" s="795"/>
      <c r="AO19" s="795"/>
      <c r="AP19" s="795"/>
      <c r="AQ19" s="795"/>
      <c r="AR19" s="795"/>
      <c r="AS19" s="795"/>
      <c r="AT19" s="795"/>
      <c r="AU19" s="795"/>
      <c r="AV19" s="795"/>
      <c r="AW19" s="795"/>
      <c r="AX19" s="795"/>
      <c r="AY19" s="795"/>
      <c r="AZ19" s="795"/>
      <c r="BA19" s="795"/>
      <c r="BB19" s="795"/>
      <c r="BC19" s="795"/>
      <c r="BD19" s="795"/>
      <c r="BE19" s="795"/>
      <c r="BF19" s="795"/>
      <c r="BG19" s="795"/>
      <c r="BH19" s="795"/>
      <c r="BI19" s="795"/>
      <c r="BJ19" s="795"/>
      <c r="BK19" s="795"/>
      <c r="BL19" s="795"/>
      <c r="BM19" s="795"/>
      <c r="BN19" s="795"/>
      <c r="BO19" s="795"/>
      <c r="BP19" s="795"/>
      <c r="BQ19" s="795"/>
      <c r="BR19" s="795"/>
      <c r="BS19" s="795"/>
      <c r="BT19" s="795"/>
      <c r="BU19" s="795"/>
      <c r="BV19" s="795"/>
      <c r="BW19" s="795"/>
      <c r="BX19" s="437">
        <v>4111877.5323076923</v>
      </c>
      <c r="BY19" s="437">
        <v>436399.31615384616</v>
      </c>
      <c r="BZ19" s="437">
        <v>0</v>
      </c>
      <c r="CA19" s="912"/>
      <c r="CB19" s="912"/>
      <c r="CC19" s="912"/>
      <c r="CE19" s="438">
        <f t="shared" si="0"/>
        <v>436399.31615384616</v>
      </c>
    </row>
    <row r="20" spans="1:83" s="438" customFormat="1">
      <c r="A20" s="785" t="s">
        <v>282</v>
      </c>
      <c r="B20" s="785" t="s">
        <v>283</v>
      </c>
      <c r="C20" s="1035">
        <v>398915.03</v>
      </c>
      <c r="D20" s="1035">
        <v>1562434.66</v>
      </c>
      <c r="E20" s="1035">
        <v>1603769.1</v>
      </c>
      <c r="F20" s="1035">
        <v>1629682.82</v>
      </c>
      <c r="G20" s="1035">
        <v>1648268.25</v>
      </c>
      <c r="H20" s="1035">
        <v>1554950.54</v>
      </c>
      <c r="I20" s="1035">
        <v>1562766.64</v>
      </c>
      <c r="J20" s="1035">
        <v>1570374.19</v>
      </c>
      <c r="K20" s="1035">
        <v>0</v>
      </c>
      <c r="L20" s="1035">
        <v>0</v>
      </c>
      <c r="M20" s="1035">
        <v>0</v>
      </c>
      <c r="N20" s="1035">
        <v>0</v>
      </c>
      <c r="O20" s="1035">
        <v>0</v>
      </c>
      <c r="P20" s="795">
        <v>0</v>
      </c>
      <c r="Q20" s="795">
        <v>0</v>
      </c>
      <c r="R20" s="795">
        <v>0</v>
      </c>
      <c r="S20" s="795">
        <v>0</v>
      </c>
      <c r="T20" s="795">
        <v>0</v>
      </c>
      <c r="U20" s="795">
        <v>0</v>
      </c>
      <c r="V20" s="795">
        <v>0</v>
      </c>
      <c r="W20" s="795">
        <v>0</v>
      </c>
      <c r="X20" s="795">
        <v>0</v>
      </c>
      <c r="Y20" s="795">
        <v>0</v>
      </c>
      <c r="Z20" s="795">
        <v>0</v>
      </c>
      <c r="AA20" s="795">
        <v>0</v>
      </c>
      <c r="AB20" s="795">
        <v>0</v>
      </c>
      <c r="AC20" s="795">
        <v>0</v>
      </c>
      <c r="AD20" s="795">
        <v>0</v>
      </c>
      <c r="AE20" s="795">
        <v>0</v>
      </c>
      <c r="AF20" s="795">
        <v>0</v>
      </c>
      <c r="AG20" s="795">
        <v>0</v>
      </c>
      <c r="AH20" s="795">
        <v>0</v>
      </c>
      <c r="AI20" s="795">
        <v>0</v>
      </c>
      <c r="AJ20" s="795">
        <v>0</v>
      </c>
      <c r="AK20" s="795">
        <v>0</v>
      </c>
      <c r="AL20" s="795">
        <v>0</v>
      </c>
      <c r="AM20" s="795">
        <v>0</v>
      </c>
      <c r="AN20" s="795"/>
      <c r="AO20" s="795"/>
      <c r="AP20" s="795"/>
      <c r="AQ20" s="795"/>
      <c r="AR20" s="795"/>
      <c r="AS20" s="795"/>
      <c r="AT20" s="795"/>
      <c r="AU20" s="795"/>
      <c r="AV20" s="795"/>
      <c r="AW20" s="795"/>
      <c r="AX20" s="795"/>
      <c r="AY20" s="795"/>
      <c r="AZ20" s="795"/>
      <c r="BA20" s="795"/>
      <c r="BB20" s="795"/>
      <c r="BC20" s="795"/>
      <c r="BD20" s="795"/>
      <c r="BE20" s="795"/>
      <c r="BF20" s="795"/>
      <c r="BG20" s="795"/>
      <c r="BH20" s="795"/>
      <c r="BI20" s="795"/>
      <c r="BJ20" s="795"/>
      <c r="BK20" s="795"/>
      <c r="BL20" s="795"/>
      <c r="BM20" s="795"/>
      <c r="BN20" s="795"/>
      <c r="BO20" s="795"/>
      <c r="BP20" s="795"/>
      <c r="BQ20" s="795"/>
      <c r="BR20" s="795"/>
      <c r="BS20" s="795"/>
      <c r="BT20" s="795"/>
      <c r="BU20" s="795"/>
      <c r="BV20" s="795"/>
      <c r="BW20" s="795"/>
      <c r="BX20" s="437">
        <v>887012.40230769233</v>
      </c>
      <c r="BY20" s="437">
        <v>0</v>
      </c>
      <c r="BZ20" s="437">
        <v>0</v>
      </c>
      <c r="CA20" s="912"/>
      <c r="CB20" s="912"/>
      <c r="CC20" s="912"/>
      <c r="CE20" s="438">
        <f t="shared" si="0"/>
        <v>0</v>
      </c>
    </row>
    <row r="21" spans="1:83" s="770" customFormat="1">
      <c r="A21" s="785" t="s">
        <v>254</v>
      </c>
      <c r="B21" s="785" t="s">
        <v>255</v>
      </c>
      <c r="C21" s="1035">
        <v>10099072.75</v>
      </c>
      <c r="D21" s="1035">
        <v>10770965.390000001</v>
      </c>
      <c r="E21" s="1035">
        <v>11952732.68</v>
      </c>
      <c r="F21" s="1035">
        <v>13260904.439999999</v>
      </c>
      <c r="G21" s="1035">
        <v>14137710.35</v>
      </c>
      <c r="H21" s="1035">
        <v>14892471.24</v>
      </c>
      <c r="I21" s="1035">
        <v>15469254.93</v>
      </c>
      <c r="J21" s="1035">
        <v>16089941.060000001</v>
      </c>
      <c r="K21" s="1035">
        <v>16693628.359999999</v>
      </c>
      <c r="L21" s="1035">
        <v>19240922.789999999</v>
      </c>
      <c r="M21" s="1035">
        <v>19609597.609999999</v>
      </c>
      <c r="N21" s="1035">
        <v>20130268.48</v>
      </c>
      <c r="O21" s="1035">
        <v>21459411.350000001</v>
      </c>
      <c r="P21" s="795">
        <v>27793751.050000001</v>
      </c>
      <c r="Q21" s="795">
        <v>34573123.030000001</v>
      </c>
      <c r="R21" s="795">
        <v>40093973.5</v>
      </c>
      <c r="S21" s="795">
        <v>45314343.969999999</v>
      </c>
      <c r="T21" s="795">
        <v>50039784.189999998</v>
      </c>
      <c r="U21" s="795">
        <v>54788227.859999999</v>
      </c>
      <c r="V21" s="795">
        <v>59779169.950000003</v>
      </c>
      <c r="W21" s="795">
        <v>64904872.450000003</v>
      </c>
      <c r="X21" s="795">
        <v>68941251.859999999</v>
      </c>
      <c r="Y21" s="795">
        <v>71691890.870000005</v>
      </c>
      <c r="Z21" s="795">
        <v>0</v>
      </c>
      <c r="AA21" s="795">
        <v>0</v>
      </c>
      <c r="AB21" s="795">
        <v>0</v>
      </c>
      <c r="AC21" s="795">
        <v>0</v>
      </c>
      <c r="AD21" s="795">
        <v>0</v>
      </c>
      <c r="AE21" s="795">
        <v>0</v>
      </c>
      <c r="AF21" s="795">
        <v>0</v>
      </c>
      <c r="AG21" s="795">
        <v>0</v>
      </c>
      <c r="AH21" s="795">
        <v>0</v>
      </c>
      <c r="AI21" s="795">
        <v>0</v>
      </c>
      <c r="AJ21" s="795">
        <v>0</v>
      </c>
      <c r="AK21" s="795">
        <v>0</v>
      </c>
      <c r="AL21" s="795">
        <v>0</v>
      </c>
      <c r="AM21" s="795">
        <v>0</v>
      </c>
      <c r="AN21" s="795"/>
      <c r="AO21" s="795"/>
      <c r="AP21" s="795"/>
      <c r="AQ21" s="795"/>
      <c r="AR21" s="795"/>
      <c r="AS21" s="795"/>
      <c r="AT21" s="795"/>
      <c r="AU21" s="795"/>
      <c r="AV21" s="795"/>
      <c r="AW21" s="795"/>
      <c r="AX21" s="795"/>
      <c r="AY21" s="795"/>
      <c r="AZ21" s="795"/>
      <c r="BA21" s="795"/>
      <c r="BB21" s="795"/>
      <c r="BC21" s="795"/>
      <c r="BD21" s="795"/>
      <c r="BE21" s="795"/>
      <c r="BF21" s="795"/>
      <c r="BG21" s="795"/>
      <c r="BH21" s="795"/>
      <c r="BI21" s="795"/>
      <c r="BJ21" s="795"/>
      <c r="BK21" s="795"/>
      <c r="BL21" s="795"/>
      <c r="BM21" s="795"/>
      <c r="BN21" s="795"/>
      <c r="BO21" s="795"/>
      <c r="BP21" s="795"/>
      <c r="BQ21" s="795"/>
      <c r="BR21" s="795"/>
      <c r="BS21" s="795"/>
      <c r="BT21" s="795"/>
      <c r="BU21" s="795"/>
      <c r="BV21" s="795"/>
      <c r="BW21" s="795"/>
      <c r="BX21" s="437">
        <v>15677452.417692307</v>
      </c>
      <c r="BY21" s="437">
        <v>41490753.852307685</v>
      </c>
      <c r="BZ21" s="437">
        <v>0</v>
      </c>
      <c r="CA21" s="912"/>
      <c r="CB21" s="912"/>
      <c r="CC21" s="912"/>
      <c r="CE21" s="438">
        <f t="shared" si="0"/>
        <v>41490753.852307685</v>
      </c>
    </row>
    <row r="22" spans="1:83" s="770" customFormat="1">
      <c r="A22" s="785" t="s">
        <v>266</v>
      </c>
      <c r="B22" s="785" t="s">
        <v>267</v>
      </c>
      <c r="C22" s="1035">
        <v>11062109.029999999</v>
      </c>
      <c r="D22" s="1035">
        <v>12160752.93</v>
      </c>
      <c r="E22" s="1035">
        <v>13374694.35</v>
      </c>
      <c r="F22" s="1035">
        <v>14509464.33</v>
      </c>
      <c r="G22" s="1035">
        <v>16101181.59</v>
      </c>
      <c r="H22" s="1035">
        <v>17265101.120000001</v>
      </c>
      <c r="I22" s="1035">
        <v>18774309.48</v>
      </c>
      <c r="J22" s="1035">
        <v>19380187.920000002</v>
      </c>
      <c r="K22" s="1035">
        <v>20490836.489999998</v>
      </c>
      <c r="L22" s="1035">
        <v>21260859.57</v>
      </c>
      <c r="M22" s="1035">
        <v>21988990.629999999</v>
      </c>
      <c r="N22" s="1035">
        <v>22699347.850000001</v>
      </c>
      <c r="O22" s="1035">
        <v>23369328.379999999</v>
      </c>
      <c r="P22" s="795">
        <v>36745199.210000001</v>
      </c>
      <c r="Q22" s="795">
        <v>38529323.780000001</v>
      </c>
      <c r="R22" s="795">
        <v>40341124.520000003</v>
      </c>
      <c r="S22" s="795">
        <v>42103375.109999999</v>
      </c>
      <c r="T22" s="795">
        <v>0</v>
      </c>
      <c r="U22" s="795">
        <v>0</v>
      </c>
      <c r="V22" s="795">
        <v>0</v>
      </c>
      <c r="W22" s="795">
        <v>0</v>
      </c>
      <c r="X22" s="795">
        <v>0</v>
      </c>
      <c r="Y22" s="795">
        <v>0</v>
      </c>
      <c r="Z22" s="795">
        <v>0</v>
      </c>
      <c r="AA22" s="795">
        <v>0</v>
      </c>
      <c r="AB22" s="795">
        <v>0</v>
      </c>
      <c r="AC22" s="795">
        <v>0</v>
      </c>
      <c r="AD22" s="795">
        <v>0</v>
      </c>
      <c r="AE22" s="795">
        <v>0</v>
      </c>
      <c r="AF22" s="795">
        <v>0</v>
      </c>
      <c r="AG22" s="795">
        <v>0</v>
      </c>
      <c r="AH22" s="795">
        <v>0</v>
      </c>
      <c r="AI22" s="795">
        <v>0</v>
      </c>
      <c r="AJ22" s="795">
        <v>0</v>
      </c>
      <c r="AK22" s="795">
        <v>0</v>
      </c>
      <c r="AL22" s="795">
        <v>0</v>
      </c>
      <c r="AM22" s="795">
        <v>0</v>
      </c>
      <c r="AN22" s="795"/>
      <c r="AO22" s="795"/>
      <c r="AP22" s="795"/>
      <c r="AQ22" s="795"/>
      <c r="AR22" s="795"/>
      <c r="AS22" s="795"/>
      <c r="AT22" s="795"/>
      <c r="AU22" s="795"/>
      <c r="AV22" s="795"/>
      <c r="AW22" s="795"/>
      <c r="AX22" s="795"/>
      <c r="AY22" s="795"/>
      <c r="AZ22" s="795"/>
      <c r="BA22" s="795"/>
      <c r="BB22" s="795"/>
      <c r="BC22" s="795"/>
      <c r="BD22" s="795"/>
      <c r="BE22" s="795"/>
      <c r="BF22" s="795"/>
      <c r="BG22" s="795"/>
      <c r="BH22" s="795"/>
      <c r="BI22" s="795"/>
      <c r="BJ22" s="795"/>
      <c r="BK22" s="795"/>
      <c r="BL22" s="795"/>
      <c r="BM22" s="795"/>
      <c r="BN22" s="795"/>
      <c r="BO22" s="795"/>
      <c r="BP22" s="795"/>
      <c r="BQ22" s="795"/>
      <c r="BR22" s="795"/>
      <c r="BS22" s="795"/>
      <c r="BT22" s="795"/>
      <c r="BU22" s="795"/>
      <c r="BV22" s="795"/>
      <c r="BW22" s="795"/>
      <c r="BX22" s="437">
        <v>17879781.820769228</v>
      </c>
      <c r="BY22" s="437">
        <v>13929873.153846154</v>
      </c>
      <c r="BZ22" s="437">
        <v>0</v>
      </c>
      <c r="CA22" s="912"/>
      <c r="CB22" s="912"/>
      <c r="CC22" s="912"/>
      <c r="CE22" s="438">
        <f t="shared" si="0"/>
        <v>13929873.153846154</v>
      </c>
    </row>
    <row r="23" spans="1:83" s="438" customFormat="1">
      <c r="A23" s="785" t="s">
        <v>274</v>
      </c>
      <c r="B23" s="785" t="s">
        <v>275</v>
      </c>
      <c r="C23" s="1035">
        <v>162995.32999999999</v>
      </c>
      <c r="D23" s="1035">
        <v>165837.63</v>
      </c>
      <c r="E23" s="1035">
        <v>168663.35</v>
      </c>
      <c r="F23" s="1035">
        <v>178835.20000000001</v>
      </c>
      <c r="G23" s="1035">
        <v>185033.14</v>
      </c>
      <c r="H23" s="1035">
        <v>224228.48000000001</v>
      </c>
      <c r="I23" s="1035">
        <v>465655.59</v>
      </c>
      <c r="J23" s="1035">
        <v>467337.19</v>
      </c>
      <c r="K23" s="1035">
        <v>471280.71</v>
      </c>
      <c r="L23" s="1035">
        <v>493244.83</v>
      </c>
      <c r="M23" s="1035">
        <v>662390.59</v>
      </c>
      <c r="N23" s="1035">
        <v>1026882.33</v>
      </c>
      <c r="O23" s="1035">
        <v>1210353.6299999999</v>
      </c>
      <c r="P23" s="795">
        <v>1230431.4099999999</v>
      </c>
      <c r="Q23" s="795">
        <v>1311421.1499999999</v>
      </c>
      <c r="R23" s="795">
        <v>1380305.15</v>
      </c>
      <c r="S23" s="795">
        <v>1437024.48</v>
      </c>
      <c r="T23" s="795">
        <v>1494019.92</v>
      </c>
      <c r="U23" s="795">
        <v>1538792.81</v>
      </c>
      <c r="V23" s="795">
        <v>1571283.65</v>
      </c>
      <c r="W23" s="795">
        <v>1603932.6600000001</v>
      </c>
      <c r="X23" s="795">
        <v>1636740.6099999999</v>
      </c>
      <c r="Y23" s="795">
        <v>1667208.26</v>
      </c>
      <c r="Z23" s="795">
        <v>1695324.23</v>
      </c>
      <c r="AA23" s="795">
        <v>1718577.07</v>
      </c>
      <c r="AB23" s="795">
        <v>1756943.1099999999</v>
      </c>
      <c r="AC23" s="795">
        <v>1815495.9100000001</v>
      </c>
      <c r="AD23" s="795">
        <v>1868652.25</v>
      </c>
      <c r="AE23" s="795">
        <v>1897067.35</v>
      </c>
      <c r="AF23" s="795">
        <v>1906302.28</v>
      </c>
      <c r="AG23" s="795">
        <v>1915582.1600000001</v>
      </c>
      <c r="AH23" s="795">
        <v>1924907.21</v>
      </c>
      <c r="AI23" s="795">
        <v>0</v>
      </c>
      <c r="AJ23" s="795">
        <v>0</v>
      </c>
      <c r="AK23" s="795">
        <v>0</v>
      </c>
      <c r="AL23" s="795">
        <v>0</v>
      </c>
      <c r="AM23" s="795">
        <v>0</v>
      </c>
      <c r="AN23" s="795"/>
      <c r="AO23" s="795"/>
      <c r="AP23" s="795"/>
      <c r="AQ23" s="795"/>
      <c r="AR23" s="795"/>
      <c r="AS23" s="795"/>
      <c r="AT23" s="795"/>
      <c r="AU23" s="795"/>
      <c r="AV23" s="795"/>
      <c r="AW23" s="795"/>
      <c r="AX23" s="795"/>
      <c r="AY23" s="795"/>
      <c r="AZ23" s="795"/>
      <c r="BA23" s="795"/>
      <c r="BB23" s="795"/>
      <c r="BC23" s="795"/>
      <c r="BD23" s="795"/>
      <c r="BE23" s="795"/>
      <c r="BF23" s="795"/>
      <c r="BG23" s="795"/>
      <c r="BH23" s="795"/>
      <c r="BI23" s="795"/>
      <c r="BJ23" s="795"/>
      <c r="BK23" s="795"/>
      <c r="BL23" s="795"/>
      <c r="BM23" s="795"/>
      <c r="BN23" s="795"/>
      <c r="BO23" s="795"/>
      <c r="BP23" s="795"/>
      <c r="BQ23" s="795"/>
      <c r="BR23" s="795"/>
      <c r="BS23" s="795"/>
      <c r="BT23" s="795"/>
      <c r="BU23" s="795"/>
      <c r="BV23" s="795"/>
      <c r="BW23" s="795"/>
      <c r="BX23" s="437">
        <v>452518.30769230769</v>
      </c>
      <c r="BY23" s="437">
        <v>1499647.31</v>
      </c>
      <c r="BZ23" s="437">
        <v>1138732.8723076922</v>
      </c>
      <c r="CA23" s="912"/>
      <c r="CB23" s="912"/>
      <c r="CC23" s="912"/>
      <c r="CE23" s="438">
        <f t="shared" si="0"/>
        <v>1499647.31</v>
      </c>
    </row>
    <row r="24" spans="1:83" s="438" customFormat="1">
      <c r="A24" s="785" t="s">
        <v>284</v>
      </c>
      <c r="B24" s="785" t="s">
        <v>285</v>
      </c>
      <c r="C24" s="1035">
        <v>67524.28</v>
      </c>
      <c r="D24" s="1035">
        <v>99454.12</v>
      </c>
      <c r="E24" s="1035">
        <v>106349.02</v>
      </c>
      <c r="F24" s="1035">
        <v>106875.29</v>
      </c>
      <c r="G24" s="1035">
        <v>107395.5</v>
      </c>
      <c r="H24" s="1035">
        <v>107918.3</v>
      </c>
      <c r="I24" s="1035">
        <v>108443.65</v>
      </c>
      <c r="J24" s="1035">
        <v>108971.56</v>
      </c>
      <c r="K24" s="1035">
        <v>109502.03</v>
      </c>
      <c r="L24" s="1035">
        <v>110035.08</v>
      </c>
      <c r="M24" s="1035">
        <v>110570.73</v>
      </c>
      <c r="N24" s="1035">
        <v>111108.99</v>
      </c>
      <c r="O24" s="1035">
        <v>111649.87</v>
      </c>
      <c r="P24" s="795">
        <v>147461.17000000001</v>
      </c>
      <c r="Q24" s="795">
        <v>218714.59</v>
      </c>
      <c r="R24" s="795">
        <v>290314.88</v>
      </c>
      <c r="S24" s="795">
        <v>362263.71</v>
      </c>
      <c r="T24" s="795">
        <v>434562.79000000004</v>
      </c>
      <c r="U24" s="795">
        <v>507213.82</v>
      </c>
      <c r="V24" s="795">
        <v>580218.52</v>
      </c>
      <c r="W24" s="795">
        <v>653578.61</v>
      </c>
      <c r="X24" s="795">
        <v>727295.81</v>
      </c>
      <c r="Y24" s="795">
        <v>801371.87</v>
      </c>
      <c r="Z24" s="795">
        <v>875808.52</v>
      </c>
      <c r="AA24" s="795">
        <v>950608.38</v>
      </c>
      <c r="AB24" s="795">
        <v>1037203.21</v>
      </c>
      <c r="AC24" s="795">
        <v>1135649.58</v>
      </c>
      <c r="AD24" s="795">
        <v>1234575.18</v>
      </c>
      <c r="AE24" s="795">
        <v>1333982.3500000001</v>
      </c>
      <c r="AF24" s="795">
        <v>1433873.44</v>
      </c>
      <c r="AG24" s="795">
        <v>1534250.8</v>
      </c>
      <c r="AH24" s="795">
        <v>1635116.79</v>
      </c>
      <c r="AI24" s="795">
        <v>1736473.8</v>
      </c>
      <c r="AJ24" s="795">
        <v>1838324.21</v>
      </c>
      <c r="AK24" s="795">
        <v>1940670.4300000002</v>
      </c>
      <c r="AL24" s="795">
        <v>2043514.87</v>
      </c>
      <c r="AM24" s="795">
        <v>2146859.96</v>
      </c>
      <c r="AN24" s="795"/>
      <c r="AO24" s="795"/>
      <c r="AP24" s="795"/>
      <c r="AQ24" s="795"/>
      <c r="AR24" s="795"/>
      <c r="AS24" s="795"/>
      <c r="AT24" s="795"/>
      <c r="AU24" s="795"/>
      <c r="AV24" s="795"/>
      <c r="AW24" s="795"/>
      <c r="AX24" s="795"/>
      <c r="AY24" s="795"/>
      <c r="AZ24" s="795"/>
      <c r="BA24" s="795"/>
      <c r="BB24" s="795"/>
      <c r="BC24" s="795"/>
      <c r="BD24" s="795"/>
      <c r="BE24" s="795"/>
      <c r="BF24" s="795"/>
      <c r="BG24" s="795"/>
      <c r="BH24" s="795"/>
      <c r="BI24" s="795"/>
      <c r="BJ24" s="795"/>
      <c r="BK24" s="795"/>
      <c r="BL24" s="795"/>
      <c r="BM24" s="795"/>
      <c r="BN24" s="795"/>
      <c r="BO24" s="795"/>
      <c r="BP24" s="795"/>
      <c r="BQ24" s="795"/>
      <c r="BR24" s="795"/>
      <c r="BS24" s="795"/>
      <c r="BT24" s="795"/>
      <c r="BU24" s="795"/>
      <c r="BV24" s="795"/>
      <c r="BW24" s="795"/>
      <c r="BX24" s="437">
        <v>105061.41692307692</v>
      </c>
      <c r="BY24" s="437">
        <v>512389.42615384614</v>
      </c>
      <c r="BZ24" s="437">
        <v>1538546.384615385</v>
      </c>
      <c r="CA24" s="912"/>
      <c r="CB24" s="912"/>
      <c r="CC24" s="912"/>
      <c r="CE24" s="438">
        <f t="shared" si="0"/>
        <v>512389.42615384614</v>
      </c>
    </row>
    <row r="25" spans="1:83" s="438" customFormat="1">
      <c r="A25" s="785" t="s">
        <v>1178</v>
      </c>
      <c r="B25" s="785" t="s">
        <v>286</v>
      </c>
      <c r="C25" s="1035">
        <v>0</v>
      </c>
      <c r="D25" s="1035">
        <v>194016.59</v>
      </c>
      <c r="E25" s="1035">
        <v>-211981.31</v>
      </c>
      <c r="F25" s="1035">
        <v>376900.3</v>
      </c>
      <c r="G25" s="1035">
        <v>1147530.6299999999</v>
      </c>
      <c r="H25" s="1035">
        <v>1390524.81</v>
      </c>
      <c r="I25" s="1035">
        <v>1487032.56</v>
      </c>
      <c r="J25" s="1035">
        <v>1526453.29</v>
      </c>
      <c r="K25" s="1035">
        <v>1675844.88</v>
      </c>
      <c r="L25" s="1035">
        <v>1687433.87</v>
      </c>
      <c r="M25" s="1035">
        <v>1824505.89</v>
      </c>
      <c r="N25" s="1035">
        <v>1836486.25</v>
      </c>
      <c r="O25" s="1035">
        <v>1849169.55</v>
      </c>
      <c r="P25" s="795">
        <v>1859912.17</v>
      </c>
      <c r="Q25" s="795">
        <v>0</v>
      </c>
      <c r="R25" s="795">
        <v>0</v>
      </c>
      <c r="S25" s="795">
        <v>0</v>
      </c>
      <c r="T25" s="795">
        <v>0</v>
      </c>
      <c r="U25" s="795">
        <v>0</v>
      </c>
      <c r="V25" s="795">
        <v>0</v>
      </c>
      <c r="W25" s="795">
        <v>0</v>
      </c>
      <c r="X25" s="795">
        <v>0</v>
      </c>
      <c r="Y25" s="795">
        <v>0</v>
      </c>
      <c r="Z25" s="795">
        <v>0</v>
      </c>
      <c r="AA25" s="795">
        <v>0</v>
      </c>
      <c r="AB25" s="795">
        <v>0</v>
      </c>
      <c r="AC25" s="795">
        <v>0</v>
      </c>
      <c r="AD25" s="795">
        <v>0</v>
      </c>
      <c r="AE25" s="795">
        <v>0</v>
      </c>
      <c r="AF25" s="795">
        <v>0</v>
      </c>
      <c r="AG25" s="795">
        <v>0</v>
      </c>
      <c r="AH25" s="795">
        <v>0</v>
      </c>
      <c r="AI25" s="795">
        <v>0</v>
      </c>
      <c r="AJ25" s="795">
        <v>0</v>
      </c>
      <c r="AK25" s="795">
        <v>0</v>
      </c>
      <c r="AL25" s="795">
        <v>0</v>
      </c>
      <c r="AM25" s="795">
        <v>0</v>
      </c>
      <c r="AN25" s="795"/>
      <c r="AO25" s="795"/>
      <c r="AP25" s="795"/>
      <c r="AQ25" s="795"/>
      <c r="AR25" s="795"/>
      <c r="AS25" s="795"/>
      <c r="AT25" s="795"/>
      <c r="AU25" s="795"/>
      <c r="AV25" s="795"/>
      <c r="AW25" s="795"/>
      <c r="AX25" s="795"/>
      <c r="AY25" s="795"/>
      <c r="AZ25" s="795"/>
      <c r="BA25" s="795"/>
      <c r="BB25" s="795"/>
      <c r="BC25" s="795"/>
      <c r="BD25" s="795"/>
      <c r="BE25" s="795"/>
      <c r="BF25" s="795"/>
      <c r="BG25" s="795"/>
      <c r="BH25" s="795"/>
      <c r="BI25" s="795"/>
      <c r="BJ25" s="795"/>
      <c r="BK25" s="795"/>
      <c r="BL25" s="795"/>
      <c r="BM25" s="795"/>
      <c r="BN25" s="795"/>
      <c r="BO25" s="795"/>
      <c r="BP25" s="795"/>
      <c r="BQ25" s="795"/>
      <c r="BR25" s="795"/>
      <c r="BS25" s="795"/>
      <c r="BT25" s="795"/>
      <c r="BU25" s="795"/>
      <c r="BV25" s="795"/>
      <c r="BW25" s="795"/>
      <c r="BX25" s="437">
        <v>1137224.4084615386</v>
      </c>
      <c r="BY25" s="437">
        <v>285313.97846153844</v>
      </c>
      <c r="BZ25" s="437">
        <v>0</v>
      </c>
      <c r="CA25" s="912"/>
      <c r="CB25" s="912"/>
      <c r="CC25" s="912"/>
      <c r="CE25" s="438">
        <f t="shared" si="0"/>
        <v>285313.97846153844</v>
      </c>
    </row>
    <row r="26" spans="1:83" s="438" customFormat="1">
      <c r="A26" s="785" t="s">
        <v>289</v>
      </c>
      <c r="B26" s="785" t="s">
        <v>290</v>
      </c>
      <c r="C26" s="1035">
        <v>0</v>
      </c>
      <c r="D26" s="1035">
        <v>0</v>
      </c>
      <c r="E26" s="1035">
        <v>0</v>
      </c>
      <c r="F26" s="1035">
        <v>0</v>
      </c>
      <c r="G26" s="1035">
        <v>108265.72</v>
      </c>
      <c r="H26" s="1035">
        <v>198044.49</v>
      </c>
      <c r="I26" s="1035">
        <v>484056.32000000001</v>
      </c>
      <c r="J26" s="1035">
        <v>592926</v>
      </c>
      <c r="K26" s="1035">
        <v>706475.35</v>
      </c>
      <c r="L26" s="1035">
        <v>846166.18</v>
      </c>
      <c r="M26" s="1035">
        <v>770153.49</v>
      </c>
      <c r="N26" s="1035">
        <v>1042285.63</v>
      </c>
      <c r="O26" s="1035">
        <v>6632136.46</v>
      </c>
      <c r="P26" s="795">
        <v>7368137.3899999997</v>
      </c>
      <c r="Q26" s="795">
        <v>8860792.3399999999</v>
      </c>
      <c r="R26" s="795">
        <v>10384037.15</v>
      </c>
      <c r="S26" s="795">
        <v>11914697.119999999</v>
      </c>
      <c r="T26" s="795">
        <v>13452808.35</v>
      </c>
      <c r="U26" s="795">
        <v>14998407.109999999</v>
      </c>
      <c r="V26" s="795">
        <v>16551529.84</v>
      </c>
      <c r="W26" s="795">
        <v>18112213.170000002</v>
      </c>
      <c r="X26" s="795">
        <v>19680493.899999999</v>
      </c>
      <c r="Y26" s="795">
        <v>21256409.02</v>
      </c>
      <c r="Z26" s="795">
        <v>22839995.699999999</v>
      </c>
      <c r="AA26" s="795">
        <v>24455029.890000001</v>
      </c>
      <c r="AB26" s="795">
        <v>25779503.370000001</v>
      </c>
      <c r="AC26" s="795">
        <v>26788263.050000001</v>
      </c>
      <c r="AD26" s="795">
        <v>27801933.370000001</v>
      </c>
      <c r="AE26" s="795">
        <v>29691515.02</v>
      </c>
      <c r="AF26" s="795">
        <v>32461271.920000002</v>
      </c>
      <c r="AG26" s="795">
        <v>35244512</v>
      </c>
      <c r="AH26" s="795">
        <v>38041300.890000001</v>
      </c>
      <c r="AI26" s="795">
        <v>40851704.549999997</v>
      </c>
      <c r="AJ26" s="795">
        <v>43675789.259999998</v>
      </c>
      <c r="AK26" s="795">
        <v>46513621.609999999</v>
      </c>
      <c r="AL26" s="795">
        <v>49365268.530000001</v>
      </c>
      <c r="AM26" s="795">
        <v>52229585.829999998</v>
      </c>
      <c r="AN26" s="795"/>
      <c r="AO26" s="795"/>
      <c r="AP26" s="795"/>
      <c r="AQ26" s="795"/>
      <c r="AR26" s="795"/>
      <c r="AS26" s="795"/>
      <c r="AT26" s="795"/>
      <c r="AU26" s="795"/>
      <c r="AV26" s="795"/>
      <c r="AW26" s="795"/>
      <c r="AX26" s="795"/>
      <c r="AY26" s="795"/>
      <c r="AZ26" s="795"/>
      <c r="BA26" s="795"/>
      <c r="BB26" s="795"/>
      <c r="BC26" s="795"/>
      <c r="BD26" s="795"/>
      <c r="BE26" s="795"/>
      <c r="BF26" s="795"/>
      <c r="BG26" s="795"/>
      <c r="BH26" s="795"/>
      <c r="BI26" s="795"/>
      <c r="BJ26" s="795"/>
      <c r="BK26" s="795"/>
      <c r="BL26" s="795"/>
      <c r="BM26" s="795"/>
      <c r="BN26" s="795"/>
      <c r="BO26" s="795"/>
      <c r="BP26" s="795"/>
      <c r="BQ26" s="795"/>
      <c r="BR26" s="795"/>
      <c r="BS26" s="795"/>
      <c r="BT26" s="795"/>
      <c r="BU26" s="795"/>
      <c r="BV26" s="795"/>
      <c r="BW26" s="795"/>
      <c r="BX26" s="437">
        <v>875423.81846153853</v>
      </c>
      <c r="BY26" s="437">
        <v>15115899.033846153</v>
      </c>
      <c r="BZ26" s="437">
        <v>36376869.176153846</v>
      </c>
      <c r="CA26" s="912"/>
      <c r="CB26" s="912"/>
      <c r="CC26" s="912"/>
      <c r="CE26" s="438">
        <f t="shared" si="0"/>
        <v>15115899.033846153</v>
      </c>
    </row>
    <row r="27" spans="1:83" s="438" customFormat="1">
      <c r="A27" s="785" t="s">
        <v>291</v>
      </c>
      <c r="B27" s="785" t="s">
        <v>292</v>
      </c>
      <c r="C27" s="1035">
        <v>0</v>
      </c>
      <c r="D27" s="1035">
        <v>0</v>
      </c>
      <c r="E27" s="1035">
        <v>0</v>
      </c>
      <c r="F27" s="1035">
        <v>0</v>
      </c>
      <c r="G27" s="1035">
        <v>0</v>
      </c>
      <c r="H27" s="1035">
        <v>0</v>
      </c>
      <c r="I27" s="1035">
        <v>0</v>
      </c>
      <c r="J27" s="1035">
        <v>0</v>
      </c>
      <c r="K27" s="1035">
        <v>0</v>
      </c>
      <c r="L27" s="1035">
        <v>0</v>
      </c>
      <c r="M27" s="1035">
        <v>0</v>
      </c>
      <c r="N27" s="1035">
        <v>0</v>
      </c>
      <c r="O27" s="1035">
        <v>0</v>
      </c>
      <c r="P27" s="795">
        <v>0</v>
      </c>
      <c r="Q27" s="795">
        <v>0</v>
      </c>
      <c r="R27" s="795">
        <v>0</v>
      </c>
      <c r="S27" s="795">
        <v>0</v>
      </c>
      <c r="T27" s="795">
        <v>0</v>
      </c>
      <c r="U27" s="795">
        <v>0</v>
      </c>
      <c r="V27" s="795">
        <v>0</v>
      </c>
      <c r="W27" s="795">
        <v>0</v>
      </c>
      <c r="X27" s="795">
        <v>0</v>
      </c>
      <c r="Y27" s="795">
        <v>0</v>
      </c>
      <c r="Z27" s="795">
        <v>0</v>
      </c>
      <c r="AA27" s="795">
        <v>0</v>
      </c>
      <c r="AB27" s="795">
        <v>0</v>
      </c>
      <c r="AC27" s="795">
        <v>0</v>
      </c>
      <c r="AD27" s="795">
        <v>0</v>
      </c>
      <c r="AE27" s="795">
        <v>0</v>
      </c>
      <c r="AF27" s="795">
        <v>0</v>
      </c>
      <c r="AG27" s="795">
        <v>0</v>
      </c>
      <c r="AH27" s="795">
        <v>0</v>
      </c>
      <c r="AI27" s="795">
        <v>0</v>
      </c>
      <c r="AJ27" s="795">
        <v>0</v>
      </c>
      <c r="AK27" s="795">
        <v>0</v>
      </c>
      <c r="AL27" s="795">
        <v>0</v>
      </c>
      <c r="AM27" s="795">
        <v>0</v>
      </c>
      <c r="AN27" s="795"/>
      <c r="AO27" s="795"/>
      <c r="AP27" s="795"/>
      <c r="AQ27" s="795"/>
      <c r="AR27" s="795"/>
      <c r="AS27" s="795"/>
      <c r="AT27" s="795"/>
      <c r="AU27" s="795"/>
      <c r="AV27" s="795"/>
      <c r="AW27" s="795"/>
      <c r="AX27" s="795"/>
      <c r="AY27" s="795"/>
      <c r="AZ27" s="795"/>
      <c r="BA27" s="795"/>
      <c r="BB27" s="795"/>
      <c r="BC27" s="795"/>
      <c r="BD27" s="795"/>
      <c r="BE27" s="795"/>
      <c r="BF27" s="795"/>
      <c r="BG27" s="795"/>
      <c r="BH27" s="795"/>
      <c r="BI27" s="795"/>
      <c r="BJ27" s="795"/>
      <c r="BK27" s="795"/>
      <c r="BL27" s="795"/>
      <c r="BM27" s="795"/>
      <c r="BN27" s="795"/>
      <c r="BO27" s="795"/>
      <c r="BP27" s="795"/>
      <c r="BQ27" s="795"/>
      <c r="BR27" s="795"/>
      <c r="BS27" s="795"/>
      <c r="BT27" s="795"/>
      <c r="BU27" s="795"/>
      <c r="BV27" s="795"/>
      <c r="BW27" s="795"/>
      <c r="BX27" s="437">
        <v>0</v>
      </c>
      <c r="BY27" s="437">
        <v>0</v>
      </c>
      <c r="BZ27" s="437">
        <v>0</v>
      </c>
      <c r="CA27" s="912"/>
      <c r="CB27" s="912"/>
      <c r="CC27" s="912"/>
      <c r="CE27" s="438">
        <f t="shared" si="0"/>
        <v>0</v>
      </c>
    </row>
    <row r="28" spans="1:83" s="770" customFormat="1">
      <c r="A28" s="785" t="s">
        <v>252</v>
      </c>
      <c r="B28" s="785" t="s">
        <v>253</v>
      </c>
      <c r="C28" s="1035">
        <v>0</v>
      </c>
      <c r="D28" s="1035">
        <v>0</v>
      </c>
      <c r="E28" s="1035">
        <v>0</v>
      </c>
      <c r="F28" s="1035">
        <v>0</v>
      </c>
      <c r="G28" s="1035">
        <v>0</v>
      </c>
      <c r="H28" s="1035">
        <v>0</v>
      </c>
      <c r="I28" s="1035">
        <v>0</v>
      </c>
      <c r="J28" s="1035">
        <v>0</v>
      </c>
      <c r="K28" s="1035">
        <v>0</v>
      </c>
      <c r="L28" s="1035">
        <v>0</v>
      </c>
      <c r="M28" s="1035">
        <v>0</v>
      </c>
      <c r="N28" s="1035">
        <v>0</v>
      </c>
      <c r="O28" s="1035">
        <v>0</v>
      </c>
      <c r="P28" s="795">
        <v>37565.14</v>
      </c>
      <c r="Q28" s="795">
        <v>37748</v>
      </c>
      <c r="R28" s="795">
        <v>37931.760000000002</v>
      </c>
      <c r="S28" s="795">
        <v>38116.42</v>
      </c>
      <c r="T28" s="795">
        <v>38301.97</v>
      </c>
      <c r="U28" s="795">
        <v>38488.42</v>
      </c>
      <c r="V28" s="795">
        <v>38675.78</v>
      </c>
      <c r="W28" s="795">
        <v>38864.050000000003</v>
      </c>
      <c r="X28" s="795">
        <v>39053.24</v>
      </c>
      <c r="Y28" s="795">
        <v>39243.360000000001</v>
      </c>
      <c r="Z28" s="795">
        <v>39434.400000000001</v>
      </c>
      <c r="AA28" s="795">
        <v>39626.36</v>
      </c>
      <c r="AB28" s="795">
        <v>39819.26</v>
      </c>
      <c r="AC28" s="795">
        <v>40013.1</v>
      </c>
      <c r="AD28" s="795">
        <v>40207.89</v>
      </c>
      <c r="AE28" s="795">
        <v>40403.620000000003</v>
      </c>
      <c r="AF28" s="795">
        <v>40600.31</v>
      </c>
      <c r="AG28" s="795">
        <v>40797.96</v>
      </c>
      <c r="AH28" s="795">
        <v>40996.57</v>
      </c>
      <c r="AI28" s="795">
        <v>41196.14</v>
      </c>
      <c r="AJ28" s="795">
        <v>41396.68</v>
      </c>
      <c r="AK28" s="795">
        <v>41598.200000000004</v>
      </c>
      <c r="AL28" s="795">
        <v>41800.700000000004</v>
      </c>
      <c r="AM28" s="795">
        <v>42004.19</v>
      </c>
      <c r="AN28" s="795"/>
      <c r="AO28" s="795"/>
      <c r="AP28" s="795"/>
      <c r="AQ28" s="795"/>
      <c r="AR28" s="795"/>
      <c r="AS28" s="795"/>
      <c r="AT28" s="795"/>
      <c r="AU28" s="795"/>
      <c r="AV28" s="795"/>
      <c r="AW28" s="795"/>
      <c r="AX28" s="795"/>
      <c r="AY28" s="795"/>
      <c r="AZ28" s="795"/>
      <c r="BA28" s="795"/>
      <c r="BB28" s="795"/>
      <c r="BC28" s="795"/>
      <c r="BD28" s="795"/>
      <c r="BE28" s="795"/>
      <c r="BF28" s="795"/>
      <c r="BG28" s="795"/>
      <c r="BH28" s="795"/>
      <c r="BI28" s="795"/>
      <c r="BJ28" s="795"/>
      <c r="BK28" s="795"/>
      <c r="BL28" s="795"/>
      <c r="BM28" s="795"/>
      <c r="BN28" s="795"/>
      <c r="BO28" s="795"/>
      <c r="BP28" s="795"/>
      <c r="BQ28" s="795"/>
      <c r="BR28" s="795"/>
      <c r="BS28" s="795"/>
      <c r="BT28" s="795"/>
      <c r="BU28" s="795"/>
      <c r="BV28" s="795"/>
      <c r="BW28" s="795"/>
      <c r="BX28" s="437">
        <v>0</v>
      </c>
      <c r="BY28" s="437">
        <v>35619.146153846152</v>
      </c>
      <c r="BZ28" s="437">
        <v>40804.690769230765</v>
      </c>
      <c r="CA28" s="912"/>
      <c r="CB28" s="912"/>
      <c r="CC28" s="912"/>
      <c r="CE28" s="438">
        <f t="shared" si="0"/>
        <v>35619.146153846152</v>
      </c>
    </row>
    <row r="29" spans="1:83" s="438" customFormat="1">
      <c r="A29" s="785" t="s">
        <v>256</v>
      </c>
      <c r="B29" s="785" t="s">
        <v>257</v>
      </c>
      <c r="C29" s="1035">
        <v>0</v>
      </c>
      <c r="D29" s="1035">
        <v>0</v>
      </c>
      <c r="E29" s="1035">
        <v>0</v>
      </c>
      <c r="F29" s="1035">
        <v>0</v>
      </c>
      <c r="G29" s="1035">
        <v>0</v>
      </c>
      <c r="H29" s="1035">
        <v>0</v>
      </c>
      <c r="I29" s="1035">
        <v>0</v>
      </c>
      <c r="J29" s="1035">
        <v>0</v>
      </c>
      <c r="K29" s="1035">
        <v>0</v>
      </c>
      <c r="L29" s="1035">
        <v>0</v>
      </c>
      <c r="M29" s="1035">
        <v>0</v>
      </c>
      <c r="N29" s="1035">
        <v>0</v>
      </c>
      <c r="O29" s="1035">
        <v>0</v>
      </c>
      <c r="P29" s="795">
        <v>1388039.74</v>
      </c>
      <c r="Q29" s="795">
        <v>1394796.71</v>
      </c>
      <c r="R29" s="795">
        <v>1401586.58</v>
      </c>
      <c r="S29" s="795">
        <v>1408409.51</v>
      </c>
      <c r="T29" s="795">
        <v>1415265.65</v>
      </c>
      <c r="U29" s="795">
        <v>1422155.17</v>
      </c>
      <c r="V29" s="795">
        <v>1429078.22</v>
      </c>
      <c r="W29" s="795">
        <v>1436034.98</v>
      </c>
      <c r="X29" s="795">
        <v>1443025.6</v>
      </c>
      <c r="Y29" s="795">
        <v>1450050.25</v>
      </c>
      <c r="Z29" s="795">
        <v>1457109.1</v>
      </c>
      <c r="AA29" s="795">
        <v>1464202.31</v>
      </c>
      <c r="AB29" s="795">
        <v>1471330.05</v>
      </c>
      <c r="AC29" s="795">
        <v>1478492.49</v>
      </c>
      <c r="AD29" s="795">
        <v>0</v>
      </c>
      <c r="AE29" s="795">
        <v>0</v>
      </c>
      <c r="AF29" s="795">
        <v>0</v>
      </c>
      <c r="AG29" s="795">
        <v>0</v>
      </c>
      <c r="AH29" s="795">
        <v>0</v>
      </c>
      <c r="AI29" s="795">
        <v>0</v>
      </c>
      <c r="AJ29" s="795">
        <v>0</v>
      </c>
      <c r="AK29" s="795">
        <v>0</v>
      </c>
      <c r="AL29" s="795">
        <v>0</v>
      </c>
      <c r="AM29" s="795">
        <v>0</v>
      </c>
      <c r="AN29" s="795"/>
      <c r="AO29" s="795"/>
      <c r="AP29" s="795"/>
      <c r="AQ29" s="795"/>
      <c r="AR29" s="795"/>
      <c r="AS29" s="795"/>
      <c r="AT29" s="795"/>
      <c r="AU29" s="795"/>
      <c r="AV29" s="795"/>
      <c r="AW29" s="795"/>
      <c r="AX29" s="795"/>
      <c r="AY29" s="795"/>
      <c r="AZ29" s="795"/>
      <c r="BA29" s="795"/>
      <c r="BB29" s="795"/>
      <c r="BC29" s="795"/>
      <c r="BD29" s="795"/>
      <c r="BE29" s="795"/>
      <c r="BF29" s="795"/>
      <c r="BG29" s="795"/>
      <c r="BH29" s="795"/>
      <c r="BI29" s="795"/>
      <c r="BJ29" s="795"/>
      <c r="BK29" s="795"/>
      <c r="BL29" s="795"/>
      <c r="BM29" s="795"/>
      <c r="BN29" s="795"/>
      <c r="BO29" s="795"/>
      <c r="BP29" s="795"/>
      <c r="BQ29" s="795"/>
      <c r="BR29" s="795"/>
      <c r="BS29" s="795"/>
      <c r="BT29" s="795"/>
      <c r="BU29" s="795"/>
      <c r="BV29" s="795"/>
      <c r="BW29" s="795"/>
      <c r="BX29" s="437">
        <v>0</v>
      </c>
      <c r="BY29" s="437">
        <v>1316134.9092307691</v>
      </c>
      <c r="BZ29" s="437">
        <v>339540.37307692313</v>
      </c>
      <c r="CA29" s="912"/>
      <c r="CB29" s="912"/>
      <c r="CC29" s="912"/>
      <c r="CE29" s="438">
        <f t="shared" si="0"/>
        <v>1316134.9092307691</v>
      </c>
    </row>
    <row r="30" spans="1:83">
      <c r="A30" s="785" t="s">
        <v>1250</v>
      </c>
      <c r="B30" s="785" t="s">
        <v>1251</v>
      </c>
      <c r="C30" s="1035">
        <v>0</v>
      </c>
      <c r="D30" s="1035">
        <v>0</v>
      </c>
      <c r="E30" s="1035">
        <v>0</v>
      </c>
      <c r="F30" s="1035">
        <v>0</v>
      </c>
      <c r="G30" s="1035">
        <v>0</v>
      </c>
      <c r="H30" s="1035">
        <v>0</v>
      </c>
      <c r="I30" s="1035">
        <v>0</v>
      </c>
      <c r="J30" s="1035">
        <v>0</v>
      </c>
      <c r="K30" s="1035">
        <v>0</v>
      </c>
      <c r="L30" s="1035">
        <v>0</v>
      </c>
      <c r="M30" s="1035">
        <v>0</v>
      </c>
      <c r="N30" s="1035">
        <v>67605.399999999994</v>
      </c>
      <c r="O30" s="1035">
        <v>93916.12</v>
      </c>
      <c r="P30" s="795">
        <v>129225.34</v>
      </c>
      <c r="Q30" s="795">
        <v>152531.41</v>
      </c>
      <c r="R30" s="795">
        <v>175950.93</v>
      </c>
      <c r="S30" s="795">
        <v>199484.45</v>
      </c>
      <c r="T30" s="795">
        <v>223132.54</v>
      </c>
      <c r="U30" s="795">
        <v>246895.75</v>
      </c>
      <c r="V30" s="795">
        <v>270774.64</v>
      </c>
      <c r="W30" s="795">
        <v>294769.77</v>
      </c>
      <c r="X30" s="795">
        <v>318881.71000000002</v>
      </c>
      <c r="Y30" s="795">
        <v>343111.02</v>
      </c>
      <c r="Z30" s="795">
        <v>367458.28</v>
      </c>
      <c r="AA30" s="795">
        <v>391924.07</v>
      </c>
      <c r="AB30" s="795">
        <v>416508.95</v>
      </c>
      <c r="AC30" s="795">
        <v>441213.51</v>
      </c>
      <c r="AD30" s="795">
        <v>466038.34</v>
      </c>
      <c r="AE30" s="795">
        <v>490984.02</v>
      </c>
      <c r="AF30" s="795">
        <v>516051.13</v>
      </c>
      <c r="AG30" s="795">
        <v>541240.26</v>
      </c>
      <c r="AH30" s="795">
        <v>566552.02</v>
      </c>
      <c r="AI30" s="795">
        <v>591986.99</v>
      </c>
      <c r="AJ30" s="795">
        <v>617545.78</v>
      </c>
      <c r="AK30" s="795">
        <v>643228.99</v>
      </c>
      <c r="AL30" s="795">
        <v>669037.23</v>
      </c>
      <c r="AM30" s="795">
        <v>694971.11</v>
      </c>
      <c r="AN30" s="795"/>
      <c r="AO30" s="795"/>
      <c r="AP30" s="795"/>
      <c r="AQ30" s="795"/>
      <c r="AR30" s="795"/>
      <c r="AS30" s="795"/>
      <c r="AT30" s="795"/>
      <c r="AU30" s="795"/>
      <c r="AV30" s="795"/>
      <c r="AW30" s="795"/>
      <c r="AX30" s="795"/>
      <c r="AY30" s="795"/>
      <c r="AZ30" s="795"/>
      <c r="BA30" s="795"/>
      <c r="BB30" s="795"/>
      <c r="BC30" s="795"/>
      <c r="BD30" s="795"/>
      <c r="BE30" s="795"/>
      <c r="BF30" s="795"/>
      <c r="BG30" s="795"/>
      <c r="BH30" s="795"/>
      <c r="BI30" s="795"/>
      <c r="BJ30" s="795"/>
      <c r="BK30" s="795"/>
      <c r="BL30" s="795"/>
      <c r="BM30" s="795"/>
      <c r="BN30" s="795"/>
      <c r="BO30" s="795"/>
      <c r="BP30" s="795"/>
      <c r="BQ30" s="795"/>
      <c r="BR30" s="795"/>
      <c r="BS30" s="795"/>
      <c r="BT30" s="795"/>
      <c r="BU30" s="795"/>
      <c r="BV30" s="795"/>
      <c r="BW30" s="795"/>
      <c r="BX30" s="911"/>
      <c r="BY30" s="911">
        <f>AVERAGE(O30:AA30)</f>
        <v>246773.54076923075</v>
      </c>
      <c r="BZ30" s="912"/>
      <c r="CA30" s="912"/>
      <c r="CB30" s="912"/>
      <c r="CC30" s="912"/>
      <c r="CE30" s="438">
        <f t="shared" si="0"/>
        <v>246773.54076923075</v>
      </c>
    </row>
    <row r="31" spans="1:83">
      <c r="A31" s="785" t="s">
        <v>1169</v>
      </c>
      <c r="B31" s="785" t="s">
        <v>1170</v>
      </c>
      <c r="C31" s="1035">
        <v>0</v>
      </c>
      <c r="D31" s="1035">
        <v>0</v>
      </c>
      <c r="E31" s="1035">
        <v>0</v>
      </c>
      <c r="F31" s="1035">
        <v>0</v>
      </c>
      <c r="G31" s="1035">
        <v>0</v>
      </c>
      <c r="H31" s="1035">
        <v>0</v>
      </c>
      <c r="I31" s="1035">
        <v>0</v>
      </c>
      <c r="J31" s="1035">
        <v>0</v>
      </c>
      <c r="K31" s="1035">
        <v>0</v>
      </c>
      <c r="L31" s="1035">
        <v>0</v>
      </c>
      <c r="M31" s="1035">
        <v>44908.82</v>
      </c>
      <c r="N31" s="1035">
        <v>242914.89</v>
      </c>
      <c r="O31" s="1035">
        <v>250917.34</v>
      </c>
      <c r="P31" s="795">
        <v>254930.03</v>
      </c>
      <c r="Q31" s="795">
        <v>272125.53000000003</v>
      </c>
      <c r="R31" s="795">
        <v>302872.24</v>
      </c>
      <c r="S31" s="795">
        <v>336899.62</v>
      </c>
      <c r="T31" s="795">
        <v>371092.65</v>
      </c>
      <c r="U31" s="795">
        <v>405452.13</v>
      </c>
      <c r="V31" s="795">
        <v>440194.87</v>
      </c>
      <c r="W31" s="795">
        <v>475322.74</v>
      </c>
      <c r="X31" s="795">
        <v>510621.61</v>
      </c>
      <c r="Y31" s="795">
        <v>546092.31000000006</v>
      </c>
      <c r="Z31" s="795">
        <v>581735.69000000006</v>
      </c>
      <c r="AA31" s="795">
        <v>617552.57999999996</v>
      </c>
      <c r="AB31" s="795">
        <v>653543.82999999996</v>
      </c>
      <c r="AC31" s="795">
        <v>689710.28</v>
      </c>
      <c r="AD31" s="795">
        <v>726052.79</v>
      </c>
      <c r="AE31" s="795">
        <v>0</v>
      </c>
      <c r="AF31" s="795">
        <v>0</v>
      </c>
      <c r="AG31" s="795">
        <v>0</v>
      </c>
      <c r="AH31" s="795">
        <v>0</v>
      </c>
      <c r="AI31" s="795">
        <v>0</v>
      </c>
      <c r="AJ31" s="795">
        <v>0</v>
      </c>
      <c r="AK31" s="795">
        <v>0</v>
      </c>
      <c r="AL31" s="795">
        <v>0</v>
      </c>
      <c r="AM31" s="795">
        <v>0</v>
      </c>
      <c r="AN31" s="795"/>
      <c r="AO31" s="795"/>
      <c r="AP31" s="795"/>
      <c r="AQ31" s="795"/>
      <c r="AR31" s="795"/>
      <c r="AS31" s="795"/>
      <c r="AT31" s="795"/>
      <c r="AU31" s="795"/>
      <c r="AV31" s="795"/>
      <c r="AW31" s="795"/>
      <c r="AX31" s="795"/>
      <c r="AY31" s="795"/>
      <c r="AZ31" s="795"/>
      <c r="BA31" s="795"/>
      <c r="BB31" s="795"/>
      <c r="BC31" s="795"/>
      <c r="BD31" s="795"/>
      <c r="BE31" s="795"/>
      <c r="BF31" s="795"/>
      <c r="BG31" s="795"/>
      <c r="BH31" s="795"/>
      <c r="BI31" s="795"/>
      <c r="BJ31" s="795"/>
      <c r="BK31" s="795"/>
      <c r="BL31" s="795"/>
      <c r="BM31" s="795"/>
      <c r="BN31" s="795"/>
      <c r="BO31" s="795"/>
      <c r="BP31" s="795"/>
      <c r="BQ31" s="795"/>
      <c r="BR31" s="795"/>
      <c r="BS31" s="795"/>
      <c r="BT31" s="795"/>
      <c r="BU31" s="795"/>
      <c r="BV31" s="795"/>
      <c r="BW31" s="795"/>
      <c r="BX31" s="437">
        <v>41441.619230769233</v>
      </c>
      <c r="BY31" s="437">
        <v>412754.56461538468</v>
      </c>
      <c r="BZ31" s="437">
        <v>206681.49846153846</v>
      </c>
      <c r="CA31" s="912"/>
      <c r="CB31" s="912"/>
      <c r="CC31" s="912"/>
      <c r="CD31" s="438"/>
      <c r="CE31" s="438">
        <f t="shared" si="0"/>
        <v>412754.56461538468</v>
      </c>
    </row>
    <row r="32" spans="1:83">
      <c r="A32" s="785" t="s">
        <v>1171</v>
      </c>
      <c r="B32" s="785" t="s">
        <v>1172</v>
      </c>
      <c r="C32" s="1035">
        <v>0</v>
      </c>
      <c r="D32" s="1035">
        <v>0</v>
      </c>
      <c r="E32" s="1035">
        <v>0</v>
      </c>
      <c r="F32" s="1035">
        <v>0</v>
      </c>
      <c r="G32" s="1035">
        <v>0</v>
      </c>
      <c r="H32" s="1035">
        <v>0</v>
      </c>
      <c r="I32" s="1035">
        <v>0</v>
      </c>
      <c r="J32" s="1035">
        <v>188951.49</v>
      </c>
      <c r="K32" s="1035">
        <v>209675.75</v>
      </c>
      <c r="L32" s="1035">
        <v>210647.13</v>
      </c>
      <c r="M32" s="1035">
        <v>211672.56</v>
      </c>
      <c r="N32" s="1035">
        <v>213302.82</v>
      </c>
      <c r="O32" s="1035">
        <v>345838.76</v>
      </c>
      <c r="P32" s="795">
        <v>823017.43</v>
      </c>
      <c r="Q32" s="795">
        <v>956372.88</v>
      </c>
      <c r="R32" s="795">
        <v>1090377.5</v>
      </c>
      <c r="S32" s="795">
        <v>1225034.45</v>
      </c>
      <c r="T32" s="795">
        <v>0</v>
      </c>
      <c r="U32" s="795">
        <v>0</v>
      </c>
      <c r="V32" s="795">
        <v>0</v>
      </c>
      <c r="W32" s="795">
        <v>0</v>
      </c>
      <c r="X32" s="795">
        <v>0</v>
      </c>
      <c r="Y32" s="795">
        <v>0</v>
      </c>
      <c r="Z32" s="795">
        <v>0</v>
      </c>
      <c r="AA32" s="795">
        <v>0</v>
      </c>
      <c r="AB32" s="795">
        <v>0</v>
      </c>
      <c r="AC32" s="795">
        <v>0</v>
      </c>
      <c r="AD32" s="795">
        <v>0</v>
      </c>
      <c r="AE32" s="795">
        <v>0</v>
      </c>
      <c r="AF32" s="795">
        <v>0</v>
      </c>
      <c r="AG32" s="795">
        <v>0</v>
      </c>
      <c r="AH32" s="795">
        <v>0</v>
      </c>
      <c r="AI32" s="795">
        <v>0</v>
      </c>
      <c r="AJ32" s="795">
        <v>0</v>
      </c>
      <c r="AK32" s="795">
        <v>0</v>
      </c>
      <c r="AL32" s="795">
        <v>0</v>
      </c>
      <c r="AM32" s="795">
        <v>0</v>
      </c>
      <c r="AN32" s="795"/>
      <c r="AO32" s="795"/>
      <c r="AP32" s="795"/>
      <c r="AQ32" s="795"/>
      <c r="AR32" s="795"/>
      <c r="AS32" s="795"/>
      <c r="AT32" s="795"/>
      <c r="AU32" s="795"/>
      <c r="AV32" s="795"/>
      <c r="AW32" s="795"/>
      <c r="AX32" s="795"/>
      <c r="AY32" s="795"/>
      <c r="AZ32" s="795"/>
      <c r="BA32" s="795"/>
      <c r="BB32" s="795"/>
      <c r="BC32" s="795"/>
      <c r="BD32" s="795"/>
      <c r="BE32" s="795"/>
      <c r="BF32" s="795"/>
      <c r="BG32" s="795"/>
      <c r="BH32" s="795"/>
      <c r="BI32" s="795"/>
      <c r="BJ32" s="795"/>
      <c r="BK32" s="795"/>
      <c r="BL32" s="795"/>
      <c r="BM32" s="795"/>
      <c r="BN32" s="795"/>
      <c r="BO32" s="795"/>
      <c r="BP32" s="795"/>
      <c r="BQ32" s="795"/>
      <c r="BR32" s="795"/>
      <c r="BS32" s="795"/>
      <c r="BT32" s="795"/>
      <c r="BU32" s="795"/>
      <c r="BV32" s="795"/>
      <c r="BW32" s="795"/>
      <c r="BX32" s="437">
        <v>106160.65461538461</v>
      </c>
      <c r="BY32" s="437">
        <v>341587.77076923073</v>
      </c>
      <c r="BZ32" s="437">
        <v>0</v>
      </c>
      <c r="CA32" s="912"/>
      <c r="CB32" s="912"/>
      <c r="CC32" s="912"/>
      <c r="CD32" s="438"/>
      <c r="CE32" s="438">
        <f t="shared" si="0"/>
        <v>341587.77076923073</v>
      </c>
    </row>
    <row r="33" spans="1:83" s="438" customFormat="1">
      <c r="A33" s="785" t="s">
        <v>287</v>
      </c>
      <c r="B33" s="785" t="s">
        <v>288</v>
      </c>
      <c r="C33" s="1035">
        <v>0</v>
      </c>
      <c r="D33" s="1035">
        <v>0</v>
      </c>
      <c r="E33" s="1035">
        <v>0</v>
      </c>
      <c r="F33" s="1035">
        <v>0</v>
      </c>
      <c r="G33" s="1035">
        <v>0</v>
      </c>
      <c r="H33" s="1035">
        <v>0</v>
      </c>
      <c r="I33" s="1035">
        <v>0</v>
      </c>
      <c r="J33" s="1035">
        <v>0</v>
      </c>
      <c r="K33" s="1035">
        <v>0</v>
      </c>
      <c r="L33" s="1035">
        <v>0</v>
      </c>
      <c r="M33" s="1035">
        <v>0</v>
      </c>
      <c r="N33" s="1035">
        <v>0</v>
      </c>
      <c r="O33" s="1035">
        <v>0</v>
      </c>
      <c r="P33" s="795">
        <v>40160.65</v>
      </c>
      <c r="Q33" s="795">
        <v>120677.45</v>
      </c>
      <c r="R33" s="795">
        <v>204598.26</v>
      </c>
      <c r="S33" s="795">
        <v>291939.64</v>
      </c>
      <c r="T33" s="795">
        <v>379706.2</v>
      </c>
      <c r="U33" s="795">
        <v>467900.01</v>
      </c>
      <c r="V33" s="795">
        <v>556523.15</v>
      </c>
      <c r="W33" s="795">
        <v>645577.71</v>
      </c>
      <c r="X33" s="795">
        <v>732053.63</v>
      </c>
      <c r="Y33" s="795">
        <v>815938.37</v>
      </c>
      <c r="Z33" s="795">
        <v>900231.56</v>
      </c>
      <c r="AA33" s="795">
        <v>1012208.03</v>
      </c>
      <c r="AB33" s="795">
        <v>1492485.46</v>
      </c>
      <c r="AC33" s="795">
        <v>2315583.88</v>
      </c>
      <c r="AD33" s="795">
        <v>3142689.14</v>
      </c>
      <c r="AE33" s="795">
        <v>3973820.76</v>
      </c>
      <c r="AF33" s="795">
        <v>4808998.32</v>
      </c>
      <c r="AG33" s="795">
        <v>5648241.5199999996</v>
      </c>
      <c r="AH33" s="795">
        <v>6491570.1600000001</v>
      </c>
      <c r="AI33" s="795">
        <v>7392337.6299999999</v>
      </c>
      <c r="AJ33" s="795">
        <v>8404157.0299999993</v>
      </c>
      <c r="AK33" s="795">
        <v>9474235.4600000009</v>
      </c>
      <c r="AL33" s="795">
        <v>10549523.039999999</v>
      </c>
      <c r="AM33" s="795">
        <v>11630045.119999999</v>
      </c>
      <c r="AN33" s="795"/>
      <c r="AO33" s="795"/>
      <c r="AP33" s="795"/>
      <c r="AQ33" s="795"/>
      <c r="AR33" s="795"/>
      <c r="AS33" s="795"/>
      <c r="AT33" s="795"/>
      <c r="AU33" s="795"/>
      <c r="AV33" s="795"/>
      <c r="AW33" s="795"/>
      <c r="AX33" s="795"/>
      <c r="AY33" s="795"/>
      <c r="AZ33" s="795"/>
      <c r="BA33" s="795"/>
      <c r="BB33" s="795"/>
      <c r="BC33" s="795"/>
      <c r="BD33" s="795"/>
      <c r="BE33" s="795"/>
      <c r="BF33" s="795"/>
      <c r="BG33" s="795"/>
      <c r="BH33" s="795"/>
      <c r="BI33" s="795"/>
      <c r="BJ33" s="795"/>
      <c r="BK33" s="795"/>
      <c r="BL33" s="795"/>
      <c r="BM33" s="795"/>
      <c r="BN33" s="795"/>
      <c r="BO33" s="795"/>
      <c r="BP33" s="795"/>
      <c r="BQ33" s="795"/>
      <c r="BR33" s="795"/>
      <c r="BS33" s="795"/>
      <c r="BT33" s="795"/>
      <c r="BU33" s="795"/>
      <c r="BV33" s="795"/>
      <c r="BW33" s="795"/>
      <c r="BX33" s="437">
        <v>0</v>
      </c>
      <c r="BY33" s="437">
        <v>474424.20461538457</v>
      </c>
      <c r="BZ33" s="437">
        <v>5871991.9653846156</v>
      </c>
      <c r="CA33" s="912"/>
      <c r="CB33" s="912"/>
      <c r="CC33" s="912"/>
      <c r="CE33" s="438">
        <f t="shared" si="0"/>
        <v>474424.20461538457</v>
      </c>
    </row>
    <row r="34" spans="1:83" s="438" customFormat="1">
      <c r="A34" s="785" t="s">
        <v>293</v>
      </c>
      <c r="B34" s="785" t="s">
        <v>294</v>
      </c>
      <c r="C34" s="1035">
        <v>0</v>
      </c>
      <c r="D34" s="1035">
        <v>0</v>
      </c>
      <c r="E34" s="1035">
        <v>0</v>
      </c>
      <c r="F34" s="1035">
        <v>0</v>
      </c>
      <c r="G34" s="1035">
        <v>0</v>
      </c>
      <c r="H34" s="1035">
        <v>0</v>
      </c>
      <c r="I34" s="1035">
        <v>0</v>
      </c>
      <c r="J34" s="1035">
        <v>0</v>
      </c>
      <c r="K34" s="1035">
        <v>0</v>
      </c>
      <c r="L34" s="1035">
        <v>0</v>
      </c>
      <c r="M34" s="1035">
        <v>0</v>
      </c>
      <c r="N34" s="1035">
        <v>0</v>
      </c>
      <c r="O34" s="1035">
        <v>0</v>
      </c>
      <c r="P34" s="795">
        <v>0</v>
      </c>
      <c r="Q34" s="795">
        <v>0</v>
      </c>
      <c r="R34" s="795">
        <v>0</v>
      </c>
      <c r="S34" s="795">
        <v>0</v>
      </c>
      <c r="T34" s="795">
        <v>0</v>
      </c>
      <c r="U34" s="795">
        <v>0</v>
      </c>
      <c r="V34" s="795">
        <v>0</v>
      </c>
      <c r="W34" s="795">
        <v>0</v>
      </c>
      <c r="X34" s="795">
        <v>0</v>
      </c>
      <c r="Y34" s="795">
        <v>0</v>
      </c>
      <c r="Z34" s="795">
        <v>0</v>
      </c>
      <c r="AA34" s="795">
        <v>0</v>
      </c>
      <c r="AB34" s="795">
        <v>54641.39</v>
      </c>
      <c r="AC34" s="795">
        <v>164190.15</v>
      </c>
      <c r="AD34" s="795">
        <v>274272.2</v>
      </c>
      <c r="AE34" s="795">
        <v>384890.13</v>
      </c>
      <c r="AF34" s="795">
        <v>496046.55</v>
      </c>
      <c r="AG34" s="795">
        <v>0</v>
      </c>
      <c r="AH34" s="795">
        <v>0</v>
      </c>
      <c r="AI34" s="795">
        <v>0</v>
      </c>
      <c r="AJ34" s="795">
        <v>0</v>
      </c>
      <c r="AK34" s="795">
        <v>0</v>
      </c>
      <c r="AL34" s="795">
        <v>0</v>
      </c>
      <c r="AM34" s="795">
        <v>0</v>
      </c>
      <c r="AN34" s="795"/>
      <c r="AO34" s="795"/>
      <c r="AP34" s="795"/>
      <c r="AQ34" s="795"/>
      <c r="AR34" s="795"/>
      <c r="AS34" s="795"/>
      <c r="AT34" s="795"/>
      <c r="AU34" s="795"/>
      <c r="AV34" s="795"/>
      <c r="AW34" s="795"/>
      <c r="AX34" s="795"/>
      <c r="AY34" s="795"/>
      <c r="AZ34" s="795"/>
      <c r="BA34" s="795"/>
      <c r="BB34" s="795"/>
      <c r="BC34" s="795"/>
      <c r="BD34" s="795"/>
      <c r="BE34" s="795"/>
      <c r="BF34" s="795"/>
      <c r="BG34" s="795"/>
      <c r="BH34" s="795"/>
      <c r="BI34" s="795"/>
      <c r="BJ34" s="795"/>
      <c r="BK34" s="795"/>
      <c r="BL34" s="795"/>
      <c r="BM34" s="795"/>
      <c r="BN34" s="795"/>
      <c r="BO34" s="795"/>
      <c r="BP34" s="795"/>
      <c r="BQ34" s="795"/>
      <c r="BR34" s="795"/>
      <c r="BS34" s="795"/>
      <c r="BT34" s="795"/>
      <c r="BU34" s="795"/>
      <c r="BV34" s="795"/>
      <c r="BW34" s="795"/>
      <c r="BX34" s="437">
        <v>0</v>
      </c>
      <c r="BY34" s="437">
        <v>0</v>
      </c>
      <c r="BZ34" s="437">
        <v>105695.41692307692</v>
      </c>
      <c r="CA34" s="912"/>
      <c r="CB34" s="912"/>
      <c r="CC34" s="912"/>
      <c r="CE34" s="438">
        <f t="shared" si="0"/>
        <v>0</v>
      </c>
    </row>
    <row r="35" spans="1:83" s="438" customFormat="1">
      <c r="A35" s="785" t="s">
        <v>295</v>
      </c>
      <c r="B35" s="785" t="s">
        <v>296</v>
      </c>
      <c r="C35" s="1035">
        <v>0</v>
      </c>
      <c r="D35" s="1035">
        <v>0</v>
      </c>
      <c r="E35" s="1035">
        <v>0</v>
      </c>
      <c r="F35" s="1035">
        <v>0</v>
      </c>
      <c r="G35" s="1035">
        <v>0</v>
      </c>
      <c r="H35" s="1035">
        <v>0</v>
      </c>
      <c r="I35" s="1035">
        <v>0</v>
      </c>
      <c r="J35" s="1035">
        <v>0</v>
      </c>
      <c r="K35" s="1035">
        <v>0</v>
      </c>
      <c r="L35" s="1035">
        <v>0</v>
      </c>
      <c r="M35" s="1035">
        <v>0</v>
      </c>
      <c r="N35" s="1035">
        <v>0</v>
      </c>
      <c r="O35" s="1035">
        <v>0</v>
      </c>
      <c r="P35" s="795">
        <v>0</v>
      </c>
      <c r="Q35" s="795">
        <v>0</v>
      </c>
      <c r="R35" s="795">
        <v>0</v>
      </c>
      <c r="S35" s="795">
        <v>0</v>
      </c>
      <c r="T35" s="795">
        <v>0</v>
      </c>
      <c r="U35" s="795">
        <v>0</v>
      </c>
      <c r="V35" s="795">
        <v>0</v>
      </c>
      <c r="W35" s="795">
        <v>0</v>
      </c>
      <c r="X35" s="795">
        <v>0</v>
      </c>
      <c r="Y35" s="795">
        <v>0</v>
      </c>
      <c r="Z35" s="795">
        <v>0</v>
      </c>
      <c r="AA35" s="795">
        <v>0</v>
      </c>
      <c r="AB35" s="795">
        <v>4625</v>
      </c>
      <c r="AC35" s="795">
        <v>13897.51</v>
      </c>
      <c r="AD35" s="795">
        <v>23215.170000000002</v>
      </c>
      <c r="AE35" s="795">
        <v>32578.18</v>
      </c>
      <c r="AF35" s="795">
        <v>41986.770000000004</v>
      </c>
      <c r="AG35" s="795">
        <v>51441.16</v>
      </c>
      <c r="AH35" s="795">
        <v>60941.58</v>
      </c>
      <c r="AI35" s="795">
        <v>70488.25</v>
      </c>
      <c r="AJ35" s="795">
        <v>80081.38</v>
      </c>
      <c r="AK35" s="795">
        <v>89721.22</v>
      </c>
      <c r="AL35" s="795">
        <v>99407.98</v>
      </c>
      <c r="AM35" s="795">
        <v>109141.89</v>
      </c>
      <c r="AN35" s="795"/>
      <c r="AO35" s="795"/>
      <c r="AP35" s="795"/>
      <c r="AQ35" s="795"/>
      <c r="AR35" s="795"/>
      <c r="AS35" s="795"/>
      <c r="AT35" s="795"/>
      <c r="AU35" s="795"/>
      <c r="AV35" s="795"/>
      <c r="AW35" s="795"/>
      <c r="AX35" s="795"/>
      <c r="AY35" s="795"/>
      <c r="AZ35" s="795"/>
      <c r="BA35" s="795"/>
      <c r="BB35" s="795"/>
      <c r="BC35" s="795"/>
      <c r="BD35" s="795"/>
      <c r="BE35" s="795"/>
      <c r="BF35" s="795"/>
      <c r="BG35" s="795"/>
      <c r="BH35" s="795"/>
      <c r="BI35" s="795"/>
      <c r="BJ35" s="795"/>
      <c r="BK35" s="795"/>
      <c r="BL35" s="795"/>
      <c r="BM35" s="795"/>
      <c r="BN35" s="795"/>
      <c r="BO35" s="795"/>
      <c r="BP35" s="795"/>
      <c r="BQ35" s="795"/>
      <c r="BR35" s="795"/>
      <c r="BS35" s="795"/>
      <c r="BT35" s="795"/>
      <c r="BU35" s="795"/>
      <c r="BV35" s="795"/>
      <c r="BW35" s="795"/>
      <c r="BX35" s="437">
        <v>0</v>
      </c>
      <c r="BY35" s="437">
        <v>0</v>
      </c>
      <c r="BZ35" s="437">
        <v>52117.391538461547</v>
      </c>
      <c r="CA35" s="912"/>
      <c r="CB35" s="912"/>
      <c r="CC35" s="912"/>
      <c r="CE35" s="438">
        <f t="shared" si="0"/>
        <v>0</v>
      </c>
    </row>
    <row r="36" spans="1:83" s="438" customFormat="1">
      <c r="A36" s="785" t="s">
        <v>297</v>
      </c>
      <c r="B36" s="785" t="s">
        <v>298</v>
      </c>
      <c r="C36" s="1035">
        <v>0</v>
      </c>
      <c r="D36" s="1035">
        <v>0</v>
      </c>
      <c r="E36" s="1035">
        <v>0</v>
      </c>
      <c r="F36" s="1035">
        <v>0</v>
      </c>
      <c r="G36" s="1035">
        <v>0</v>
      </c>
      <c r="H36" s="1035">
        <v>0</v>
      </c>
      <c r="I36" s="1035">
        <v>0</v>
      </c>
      <c r="J36" s="1035">
        <v>0</v>
      </c>
      <c r="K36" s="1035">
        <v>0</v>
      </c>
      <c r="L36" s="1035">
        <v>0</v>
      </c>
      <c r="M36" s="1035">
        <v>0</v>
      </c>
      <c r="N36" s="1035">
        <v>0</v>
      </c>
      <c r="O36" s="1035">
        <v>0</v>
      </c>
      <c r="P36" s="795">
        <v>11546.27</v>
      </c>
      <c r="Q36" s="795">
        <v>11602.48</v>
      </c>
      <c r="R36" s="795">
        <v>11658.960000000001</v>
      </c>
      <c r="S36" s="795">
        <v>11715.710000000001</v>
      </c>
      <c r="T36" s="795">
        <v>11772.74</v>
      </c>
      <c r="U36" s="795">
        <v>11830.050000000001</v>
      </c>
      <c r="V36" s="795">
        <v>11887.630000000001</v>
      </c>
      <c r="W36" s="795">
        <v>11945.5</v>
      </c>
      <c r="X36" s="795">
        <v>12003.65</v>
      </c>
      <c r="Y36" s="795">
        <v>12062.09</v>
      </c>
      <c r="Z36" s="795">
        <v>12120.81</v>
      </c>
      <c r="AA36" s="795">
        <v>12179.82</v>
      </c>
      <c r="AB36" s="795">
        <v>12239.12</v>
      </c>
      <c r="AC36" s="795">
        <v>12298.7</v>
      </c>
      <c r="AD36" s="795">
        <v>12358.57</v>
      </c>
      <c r="AE36" s="795">
        <v>12418.74</v>
      </c>
      <c r="AF36" s="795">
        <v>12479.2</v>
      </c>
      <c r="AG36" s="795">
        <v>12539.95</v>
      </c>
      <c r="AH36" s="795">
        <v>12600.99</v>
      </c>
      <c r="AI36" s="795">
        <v>12662.33</v>
      </c>
      <c r="AJ36" s="795">
        <v>12723.970000000001</v>
      </c>
      <c r="AK36" s="795">
        <v>12785.91</v>
      </c>
      <c r="AL36" s="795">
        <v>12848.15</v>
      </c>
      <c r="AM36" s="795">
        <v>12910.69</v>
      </c>
      <c r="AN36" s="795"/>
      <c r="AO36" s="795"/>
      <c r="AP36" s="795"/>
      <c r="AQ36" s="795"/>
      <c r="AR36" s="795"/>
      <c r="AS36" s="795"/>
      <c r="AT36" s="795"/>
      <c r="AU36" s="795"/>
      <c r="AV36" s="795"/>
      <c r="AW36" s="795"/>
      <c r="AX36" s="795"/>
      <c r="AY36" s="795"/>
      <c r="AZ36" s="795"/>
      <c r="BA36" s="795"/>
      <c r="BB36" s="795"/>
      <c r="BC36" s="795"/>
      <c r="BD36" s="795"/>
      <c r="BE36" s="795"/>
      <c r="BF36" s="795"/>
      <c r="BG36" s="795"/>
      <c r="BH36" s="795"/>
      <c r="BI36" s="795"/>
      <c r="BJ36" s="795"/>
      <c r="BK36" s="795"/>
      <c r="BL36" s="795"/>
      <c r="BM36" s="795"/>
      <c r="BN36" s="795"/>
      <c r="BO36" s="795"/>
      <c r="BP36" s="795"/>
      <c r="BQ36" s="795"/>
      <c r="BR36" s="795"/>
      <c r="BS36" s="795"/>
      <c r="BT36" s="795"/>
      <c r="BU36" s="795"/>
      <c r="BV36" s="795"/>
      <c r="BW36" s="795"/>
      <c r="BX36" s="437">
        <v>0</v>
      </c>
      <c r="BY36" s="437">
        <v>10948.131538461537</v>
      </c>
      <c r="BZ36" s="437">
        <v>12542.010769230768</v>
      </c>
      <c r="CA36" s="912"/>
      <c r="CB36" s="912"/>
      <c r="CC36" s="912"/>
      <c r="CE36" s="438">
        <f t="shared" si="0"/>
        <v>10948.131538461537</v>
      </c>
    </row>
    <row r="37" spans="1:83">
      <c r="A37" s="785" t="s">
        <v>312</v>
      </c>
      <c r="B37" s="785" t="s">
        <v>313</v>
      </c>
      <c r="C37" s="1035">
        <v>0</v>
      </c>
      <c r="D37" s="1035">
        <v>0</v>
      </c>
      <c r="E37" s="1035">
        <v>0</v>
      </c>
      <c r="F37" s="1035">
        <v>0</v>
      </c>
      <c r="G37" s="1035">
        <v>0</v>
      </c>
      <c r="H37" s="1035">
        <v>0</v>
      </c>
      <c r="I37" s="1035">
        <v>0</v>
      </c>
      <c r="J37" s="1035">
        <v>0</v>
      </c>
      <c r="K37" s="1035">
        <v>0</v>
      </c>
      <c r="L37" s="1035">
        <v>0</v>
      </c>
      <c r="M37" s="1035">
        <v>0</v>
      </c>
      <c r="N37" s="1035">
        <v>0</v>
      </c>
      <c r="O37" s="1035">
        <v>0</v>
      </c>
      <c r="P37" s="795">
        <v>5000</v>
      </c>
      <c r="Q37" s="795">
        <v>15024.35</v>
      </c>
      <c r="R37" s="795">
        <v>25097.48</v>
      </c>
      <c r="S37" s="795">
        <v>35219.65</v>
      </c>
      <c r="T37" s="795">
        <v>45391.1</v>
      </c>
      <c r="U37" s="795">
        <v>55612.07</v>
      </c>
      <c r="V37" s="795">
        <v>65882.790000000008</v>
      </c>
      <c r="W37" s="795">
        <v>76203.5</v>
      </c>
      <c r="X37" s="795">
        <v>86574.46</v>
      </c>
      <c r="Y37" s="795">
        <v>96995.91</v>
      </c>
      <c r="Z37" s="795">
        <v>107468.08</v>
      </c>
      <c r="AA37" s="795">
        <v>117991.23</v>
      </c>
      <c r="AB37" s="795">
        <v>283715.62</v>
      </c>
      <c r="AC37" s="795">
        <v>605396.74</v>
      </c>
      <c r="AD37" s="795">
        <v>928643.81</v>
      </c>
      <c r="AE37" s="795">
        <v>1556803.44</v>
      </c>
      <c r="AF37" s="795">
        <v>2487402.96</v>
      </c>
      <c r="AG37" s="795">
        <v>3418575.63</v>
      </c>
      <c r="AH37" s="795">
        <v>4354281.25</v>
      </c>
      <c r="AI37" s="795">
        <v>5294541.8899999997</v>
      </c>
      <c r="AJ37" s="795">
        <v>6239379.7199999997</v>
      </c>
      <c r="AK37" s="795">
        <v>6838505.5199999996</v>
      </c>
      <c r="AL37" s="795">
        <v>7090236.3600000003</v>
      </c>
      <c r="AM37" s="795">
        <v>7343192.6299999999</v>
      </c>
      <c r="AN37" s="795"/>
      <c r="AO37" s="795"/>
      <c r="AP37" s="795"/>
      <c r="AQ37" s="795"/>
      <c r="AR37" s="795"/>
      <c r="AS37" s="795"/>
      <c r="AT37" s="795"/>
      <c r="AU37" s="795"/>
      <c r="AV37" s="795"/>
      <c r="AW37" s="795"/>
      <c r="AX37" s="795"/>
      <c r="AY37" s="795"/>
      <c r="AZ37" s="795"/>
      <c r="BA37" s="795"/>
      <c r="BB37" s="795"/>
      <c r="BC37" s="795"/>
      <c r="BD37" s="795"/>
      <c r="BE37" s="795"/>
      <c r="BF37" s="795"/>
      <c r="BG37" s="795"/>
      <c r="BH37" s="795"/>
      <c r="BI37" s="795"/>
      <c r="BJ37" s="795"/>
      <c r="BK37" s="795"/>
      <c r="BL37" s="795"/>
      <c r="BM37" s="795"/>
      <c r="BN37" s="795"/>
      <c r="BO37" s="795"/>
      <c r="BP37" s="795"/>
      <c r="BQ37" s="795"/>
      <c r="BR37" s="795"/>
      <c r="BS37" s="795"/>
      <c r="BT37" s="795"/>
      <c r="BU37" s="795"/>
      <c r="BV37" s="795"/>
      <c r="BW37" s="795"/>
      <c r="BX37" s="437">
        <v>0</v>
      </c>
      <c r="BY37" s="437">
        <v>56343.124615384615</v>
      </c>
      <c r="BZ37" s="437">
        <v>3581435.9076923081</v>
      </c>
      <c r="CA37" s="912"/>
      <c r="CB37" s="912"/>
      <c r="CC37" s="912"/>
      <c r="CE37" s="438">
        <f t="shared" si="0"/>
        <v>56343.124615384615</v>
      </c>
    </row>
    <row r="38" spans="1:83" s="438" customFormat="1">
      <c r="A38" s="785" t="s">
        <v>299</v>
      </c>
      <c r="B38" s="785" t="s">
        <v>300</v>
      </c>
      <c r="C38" s="1035">
        <v>0</v>
      </c>
      <c r="D38" s="1035">
        <v>0</v>
      </c>
      <c r="E38" s="1035">
        <v>0</v>
      </c>
      <c r="F38" s="1035">
        <v>0</v>
      </c>
      <c r="G38" s="1035">
        <v>0</v>
      </c>
      <c r="H38" s="1035">
        <v>0</v>
      </c>
      <c r="I38" s="1035">
        <v>0</v>
      </c>
      <c r="J38" s="1035">
        <v>0</v>
      </c>
      <c r="K38" s="1035">
        <v>0</v>
      </c>
      <c r="L38" s="1035">
        <v>0</v>
      </c>
      <c r="M38" s="1035">
        <v>0</v>
      </c>
      <c r="N38" s="1035">
        <v>0</v>
      </c>
      <c r="O38" s="1035">
        <v>0</v>
      </c>
      <c r="P38" s="795">
        <v>0</v>
      </c>
      <c r="Q38" s="795">
        <v>0</v>
      </c>
      <c r="R38" s="795">
        <v>0</v>
      </c>
      <c r="S38" s="795">
        <v>0</v>
      </c>
      <c r="T38" s="795">
        <v>0</v>
      </c>
      <c r="U38" s="795">
        <v>0</v>
      </c>
      <c r="V38" s="795">
        <v>0</v>
      </c>
      <c r="W38" s="795">
        <v>0</v>
      </c>
      <c r="X38" s="795">
        <v>0</v>
      </c>
      <c r="Y38" s="795">
        <v>0</v>
      </c>
      <c r="Z38" s="795">
        <v>0</v>
      </c>
      <c r="AA38" s="795">
        <v>0</v>
      </c>
      <c r="AB38" s="795">
        <v>119882.69</v>
      </c>
      <c r="AC38" s="795">
        <v>360231.67999999999</v>
      </c>
      <c r="AD38" s="795">
        <v>601750.71</v>
      </c>
      <c r="AE38" s="795">
        <v>844445.45000000007</v>
      </c>
      <c r="AF38" s="795">
        <v>1088321.6299999999</v>
      </c>
      <c r="AG38" s="795">
        <v>1333385</v>
      </c>
      <c r="AH38" s="795">
        <v>1579641.33</v>
      </c>
      <c r="AI38" s="795">
        <v>1827096.4500000002</v>
      </c>
      <c r="AJ38" s="795">
        <v>2075756.17</v>
      </c>
      <c r="AK38" s="795">
        <v>2325626.38</v>
      </c>
      <c r="AL38" s="795">
        <v>2576712.9500000002</v>
      </c>
      <c r="AM38" s="795">
        <v>0</v>
      </c>
      <c r="AN38" s="795"/>
      <c r="AO38" s="795"/>
      <c r="AP38" s="795"/>
      <c r="AQ38" s="795"/>
      <c r="AR38" s="795"/>
      <c r="AS38" s="795"/>
      <c r="AT38" s="795"/>
      <c r="AU38" s="795"/>
      <c r="AV38" s="795"/>
      <c r="AW38" s="795"/>
      <c r="AX38" s="795"/>
      <c r="AY38" s="795"/>
      <c r="AZ38" s="795"/>
      <c r="BA38" s="795"/>
      <c r="BB38" s="795"/>
      <c r="BC38" s="795"/>
      <c r="BD38" s="795"/>
      <c r="BE38" s="795"/>
      <c r="BF38" s="795"/>
      <c r="BG38" s="795"/>
      <c r="BH38" s="795"/>
      <c r="BI38" s="795"/>
      <c r="BJ38" s="795"/>
      <c r="BK38" s="795"/>
      <c r="BL38" s="795"/>
      <c r="BM38" s="795"/>
      <c r="BN38" s="795"/>
      <c r="BO38" s="795"/>
      <c r="BP38" s="795"/>
      <c r="BQ38" s="795"/>
      <c r="BR38" s="795"/>
      <c r="BS38" s="795"/>
      <c r="BT38" s="795"/>
      <c r="BU38" s="795"/>
      <c r="BV38" s="795"/>
      <c r="BW38" s="795"/>
      <c r="BX38" s="437">
        <v>0</v>
      </c>
      <c r="BY38" s="437">
        <v>0</v>
      </c>
      <c r="BZ38" s="437">
        <v>1133296.1876923074</v>
      </c>
      <c r="CA38" s="912"/>
      <c r="CB38" s="912"/>
      <c r="CC38" s="912"/>
      <c r="CE38" s="438">
        <f t="shared" si="0"/>
        <v>0</v>
      </c>
    </row>
    <row r="39" spans="1:83" s="438" customFormat="1">
      <c r="A39" s="785" t="s">
        <v>301</v>
      </c>
      <c r="B39" s="785" t="s">
        <v>302</v>
      </c>
      <c r="C39" s="1035">
        <v>0</v>
      </c>
      <c r="D39" s="1035">
        <v>0</v>
      </c>
      <c r="E39" s="1035">
        <v>0</v>
      </c>
      <c r="F39" s="1035">
        <v>0</v>
      </c>
      <c r="G39" s="1035">
        <v>0</v>
      </c>
      <c r="H39" s="1035">
        <v>0</v>
      </c>
      <c r="I39" s="1035">
        <v>0</v>
      </c>
      <c r="J39" s="1035">
        <v>0</v>
      </c>
      <c r="K39" s="1035">
        <v>0</v>
      </c>
      <c r="L39" s="1035">
        <v>0</v>
      </c>
      <c r="M39" s="1035">
        <v>0</v>
      </c>
      <c r="N39" s="1035">
        <v>0</v>
      </c>
      <c r="O39" s="1035">
        <v>0</v>
      </c>
      <c r="P39" s="795">
        <v>0</v>
      </c>
      <c r="Q39" s="795">
        <v>0</v>
      </c>
      <c r="R39" s="795">
        <v>0</v>
      </c>
      <c r="S39" s="795">
        <v>0</v>
      </c>
      <c r="T39" s="795">
        <v>0</v>
      </c>
      <c r="U39" s="795">
        <v>0</v>
      </c>
      <c r="V39" s="795">
        <v>0</v>
      </c>
      <c r="W39" s="795">
        <v>0</v>
      </c>
      <c r="X39" s="795">
        <v>0</v>
      </c>
      <c r="Y39" s="795">
        <v>0</v>
      </c>
      <c r="Z39" s="795">
        <v>0</v>
      </c>
      <c r="AA39" s="795">
        <v>0</v>
      </c>
      <c r="AB39" s="795">
        <v>17911.060000000001</v>
      </c>
      <c r="AC39" s="795">
        <v>53820.35</v>
      </c>
      <c r="AD39" s="795">
        <v>89904.430000000008</v>
      </c>
      <c r="AE39" s="795">
        <v>126164.17</v>
      </c>
      <c r="AF39" s="795">
        <v>162600.42000000001</v>
      </c>
      <c r="AG39" s="795">
        <v>199214.04</v>
      </c>
      <c r="AH39" s="795">
        <v>236005.89</v>
      </c>
      <c r="AI39" s="795">
        <v>272976.84999999998</v>
      </c>
      <c r="AJ39" s="795">
        <v>310127.78000000003</v>
      </c>
      <c r="AK39" s="795">
        <v>347459.56</v>
      </c>
      <c r="AL39" s="795">
        <v>384973.07</v>
      </c>
      <c r="AM39" s="795">
        <v>0</v>
      </c>
      <c r="AN39" s="795"/>
      <c r="AO39" s="795"/>
      <c r="AP39" s="795"/>
      <c r="AQ39" s="795"/>
      <c r="AR39" s="795"/>
      <c r="AS39" s="795"/>
      <c r="AT39" s="795"/>
      <c r="AU39" s="795"/>
      <c r="AV39" s="795"/>
      <c r="AW39" s="795"/>
      <c r="AX39" s="795"/>
      <c r="AY39" s="795"/>
      <c r="AZ39" s="795"/>
      <c r="BA39" s="795"/>
      <c r="BB39" s="795"/>
      <c r="BC39" s="795"/>
      <c r="BD39" s="795"/>
      <c r="BE39" s="795"/>
      <c r="BF39" s="795"/>
      <c r="BG39" s="795"/>
      <c r="BH39" s="795"/>
      <c r="BI39" s="795"/>
      <c r="BJ39" s="795"/>
      <c r="BK39" s="795"/>
      <c r="BL39" s="795"/>
      <c r="BM39" s="795"/>
      <c r="BN39" s="795"/>
      <c r="BO39" s="795"/>
      <c r="BP39" s="795"/>
      <c r="BQ39" s="795"/>
      <c r="BR39" s="795"/>
      <c r="BS39" s="795"/>
      <c r="BT39" s="795"/>
      <c r="BU39" s="795"/>
      <c r="BV39" s="795"/>
      <c r="BW39" s="795"/>
      <c r="BX39" s="437">
        <v>0</v>
      </c>
      <c r="BY39" s="437">
        <v>0</v>
      </c>
      <c r="BZ39" s="437">
        <v>169319.81692307693</v>
      </c>
      <c r="CA39" s="912"/>
      <c r="CB39" s="912"/>
      <c r="CC39" s="912"/>
      <c r="CE39" s="438">
        <f t="shared" si="0"/>
        <v>0</v>
      </c>
    </row>
    <row r="40" spans="1:83" s="438" customFormat="1">
      <c r="A40" s="785" t="s">
        <v>303</v>
      </c>
      <c r="B40" s="785" t="s">
        <v>304</v>
      </c>
      <c r="C40" s="1035">
        <v>0</v>
      </c>
      <c r="D40" s="1035">
        <v>0</v>
      </c>
      <c r="E40" s="1035">
        <v>0</v>
      </c>
      <c r="F40" s="1035">
        <v>0</v>
      </c>
      <c r="G40" s="1035">
        <v>0</v>
      </c>
      <c r="H40" s="1035">
        <v>0</v>
      </c>
      <c r="I40" s="1035">
        <v>0</v>
      </c>
      <c r="J40" s="1035">
        <v>0</v>
      </c>
      <c r="K40" s="1035">
        <v>0</v>
      </c>
      <c r="L40" s="1035">
        <v>0</v>
      </c>
      <c r="M40" s="1035">
        <v>0</v>
      </c>
      <c r="N40" s="1035">
        <v>0</v>
      </c>
      <c r="O40" s="1035">
        <v>0</v>
      </c>
      <c r="P40" s="795">
        <v>0</v>
      </c>
      <c r="Q40" s="795">
        <v>0</v>
      </c>
      <c r="R40" s="795">
        <v>0</v>
      </c>
      <c r="S40" s="795">
        <v>0</v>
      </c>
      <c r="T40" s="795">
        <v>0</v>
      </c>
      <c r="U40" s="795">
        <v>0</v>
      </c>
      <c r="V40" s="795">
        <v>0</v>
      </c>
      <c r="W40" s="795">
        <v>0</v>
      </c>
      <c r="X40" s="795">
        <v>0</v>
      </c>
      <c r="Y40" s="795">
        <v>0</v>
      </c>
      <c r="Z40" s="795">
        <v>0</v>
      </c>
      <c r="AA40" s="795">
        <v>0</v>
      </c>
      <c r="AB40" s="795">
        <v>32707.5</v>
      </c>
      <c r="AC40" s="795">
        <v>98281.72</v>
      </c>
      <c r="AD40" s="795">
        <v>164175.16</v>
      </c>
      <c r="AE40" s="795">
        <v>230389.36000000002</v>
      </c>
      <c r="AF40" s="795">
        <v>296925.90000000002</v>
      </c>
      <c r="AG40" s="795">
        <v>363786.33</v>
      </c>
      <c r="AH40" s="795">
        <v>430972.25</v>
      </c>
      <c r="AI40" s="795">
        <v>498485.22000000003</v>
      </c>
      <c r="AJ40" s="795">
        <v>566326.85</v>
      </c>
      <c r="AK40" s="795">
        <v>634498.73</v>
      </c>
      <c r="AL40" s="795">
        <v>703002.47</v>
      </c>
      <c r="AM40" s="795">
        <v>0</v>
      </c>
      <c r="AN40" s="795"/>
      <c r="AO40" s="795"/>
      <c r="AP40" s="795"/>
      <c r="AQ40" s="795"/>
      <c r="AR40" s="795"/>
      <c r="AS40" s="795"/>
      <c r="AT40" s="795"/>
      <c r="AU40" s="795"/>
      <c r="AV40" s="795"/>
      <c r="AW40" s="795"/>
      <c r="AX40" s="795"/>
      <c r="AY40" s="795"/>
      <c r="AZ40" s="795"/>
      <c r="BA40" s="795"/>
      <c r="BB40" s="795"/>
      <c r="BC40" s="795"/>
      <c r="BD40" s="795"/>
      <c r="BE40" s="795"/>
      <c r="BF40" s="795"/>
      <c r="BG40" s="795"/>
      <c r="BH40" s="795"/>
      <c r="BI40" s="795"/>
      <c r="BJ40" s="795"/>
      <c r="BK40" s="795"/>
      <c r="BL40" s="795"/>
      <c r="BM40" s="795"/>
      <c r="BN40" s="795"/>
      <c r="BO40" s="795"/>
      <c r="BP40" s="795"/>
      <c r="BQ40" s="795"/>
      <c r="BR40" s="795"/>
      <c r="BS40" s="795"/>
      <c r="BT40" s="795"/>
      <c r="BU40" s="795"/>
      <c r="BV40" s="795"/>
      <c r="BW40" s="795"/>
      <c r="BX40" s="437">
        <v>0</v>
      </c>
      <c r="BY40" s="437">
        <v>0</v>
      </c>
      <c r="BZ40" s="437">
        <v>309196.26846153848</v>
      </c>
      <c r="CA40" s="912"/>
      <c r="CB40" s="912"/>
      <c r="CC40" s="912"/>
      <c r="CE40" s="438">
        <f t="shared" si="0"/>
        <v>0</v>
      </c>
    </row>
    <row r="41" spans="1:83" s="438" customFormat="1">
      <c r="A41" s="785" t="s">
        <v>305</v>
      </c>
      <c r="B41" s="785" t="s">
        <v>263</v>
      </c>
      <c r="C41" s="1035">
        <v>0</v>
      </c>
      <c r="D41" s="1035">
        <v>0</v>
      </c>
      <c r="E41" s="1035">
        <v>0</v>
      </c>
      <c r="F41" s="1035">
        <v>0</v>
      </c>
      <c r="G41" s="1035">
        <v>0</v>
      </c>
      <c r="H41" s="1035">
        <v>0</v>
      </c>
      <c r="I41" s="1035">
        <v>0</v>
      </c>
      <c r="J41" s="1035">
        <v>0</v>
      </c>
      <c r="K41" s="1035">
        <v>0</v>
      </c>
      <c r="L41" s="1035">
        <v>0</v>
      </c>
      <c r="M41" s="1035">
        <v>0</v>
      </c>
      <c r="N41" s="1035">
        <v>0</v>
      </c>
      <c r="O41" s="1035">
        <v>0</v>
      </c>
      <c r="P41" s="795">
        <v>6434216.6699999999</v>
      </c>
      <c r="Q41" s="795">
        <v>0</v>
      </c>
      <c r="R41" s="795">
        <v>0</v>
      </c>
      <c r="S41" s="795">
        <v>0</v>
      </c>
      <c r="T41" s="795">
        <v>0</v>
      </c>
      <c r="U41" s="795">
        <v>0</v>
      </c>
      <c r="V41" s="795">
        <v>0</v>
      </c>
      <c r="W41" s="795">
        <v>0</v>
      </c>
      <c r="X41" s="795">
        <v>0</v>
      </c>
      <c r="Y41" s="795">
        <v>0</v>
      </c>
      <c r="Z41" s="795">
        <v>0</v>
      </c>
      <c r="AA41" s="795">
        <v>0</v>
      </c>
      <c r="AB41" s="795">
        <v>0</v>
      </c>
      <c r="AC41" s="795">
        <v>0</v>
      </c>
      <c r="AD41" s="795">
        <v>0</v>
      </c>
      <c r="AE41" s="795">
        <v>0</v>
      </c>
      <c r="AF41" s="795">
        <v>0</v>
      </c>
      <c r="AG41" s="795">
        <v>0</v>
      </c>
      <c r="AH41" s="795">
        <v>0</v>
      </c>
      <c r="AI41" s="795">
        <v>0</v>
      </c>
      <c r="AJ41" s="795">
        <v>0</v>
      </c>
      <c r="AK41" s="795">
        <v>0</v>
      </c>
      <c r="AL41" s="795">
        <v>0</v>
      </c>
      <c r="AM41" s="795">
        <v>0</v>
      </c>
      <c r="AN41" s="795"/>
      <c r="AO41" s="795"/>
      <c r="AP41" s="795"/>
      <c r="AQ41" s="795"/>
      <c r="AR41" s="795"/>
      <c r="AS41" s="795"/>
      <c r="AT41" s="795"/>
      <c r="AU41" s="795"/>
      <c r="AV41" s="795"/>
      <c r="AW41" s="795"/>
      <c r="AX41" s="795"/>
      <c r="AY41" s="795"/>
      <c r="AZ41" s="795"/>
      <c r="BA41" s="795"/>
      <c r="BB41" s="795"/>
      <c r="BC41" s="795"/>
      <c r="BD41" s="795"/>
      <c r="BE41" s="795"/>
      <c r="BF41" s="795"/>
      <c r="BG41" s="795"/>
      <c r="BH41" s="795"/>
      <c r="BI41" s="795"/>
      <c r="BJ41" s="795"/>
      <c r="BK41" s="795"/>
      <c r="BL41" s="795"/>
      <c r="BM41" s="795"/>
      <c r="BN41" s="795"/>
      <c r="BO41" s="795"/>
      <c r="BP41" s="795"/>
      <c r="BQ41" s="795"/>
      <c r="BR41" s="795"/>
      <c r="BS41" s="795"/>
      <c r="BT41" s="795"/>
      <c r="BU41" s="795"/>
      <c r="BV41" s="795"/>
      <c r="BW41" s="795"/>
      <c r="BX41" s="437">
        <v>0</v>
      </c>
      <c r="BY41" s="437">
        <v>494939.74384615384</v>
      </c>
      <c r="BZ41" s="437">
        <v>0</v>
      </c>
      <c r="CA41" s="912"/>
      <c r="CB41" s="912"/>
      <c r="CC41" s="912"/>
      <c r="CE41" s="438">
        <f t="shared" si="0"/>
        <v>494939.74384615384</v>
      </c>
    </row>
    <row r="42" spans="1:83">
      <c r="A42" s="785" t="s">
        <v>306</v>
      </c>
      <c r="B42" s="785" t="s">
        <v>307</v>
      </c>
      <c r="C42" s="1035">
        <v>0</v>
      </c>
      <c r="D42" s="1035">
        <v>0</v>
      </c>
      <c r="E42" s="1035">
        <v>0</v>
      </c>
      <c r="F42" s="1035">
        <v>0</v>
      </c>
      <c r="G42" s="1035">
        <v>0</v>
      </c>
      <c r="H42" s="1035">
        <v>0</v>
      </c>
      <c r="I42" s="1035">
        <v>0</v>
      </c>
      <c r="J42" s="1035">
        <v>0</v>
      </c>
      <c r="K42" s="1035">
        <v>0</v>
      </c>
      <c r="L42" s="1035">
        <v>0</v>
      </c>
      <c r="M42" s="1035">
        <v>0</v>
      </c>
      <c r="N42" s="1035">
        <v>0</v>
      </c>
      <c r="O42" s="1035">
        <v>0</v>
      </c>
      <c r="P42" s="795">
        <v>26865</v>
      </c>
      <c r="Q42" s="795">
        <v>0</v>
      </c>
      <c r="R42" s="795">
        <v>0</v>
      </c>
      <c r="S42" s="795">
        <v>0</v>
      </c>
      <c r="T42" s="795">
        <v>0</v>
      </c>
      <c r="U42" s="795">
        <v>0</v>
      </c>
      <c r="V42" s="795">
        <v>0</v>
      </c>
      <c r="W42" s="795">
        <v>0</v>
      </c>
      <c r="X42" s="795">
        <v>0</v>
      </c>
      <c r="Y42" s="795">
        <v>0</v>
      </c>
      <c r="Z42" s="795">
        <v>0</v>
      </c>
      <c r="AA42" s="795">
        <v>0</v>
      </c>
      <c r="AB42" s="795">
        <v>0</v>
      </c>
      <c r="AC42" s="795">
        <v>0</v>
      </c>
      <c r="AD42" s="795">
        <v>0</v>
      </c>
      <c r="AE42" s="795">
        <v>0</v>
      </c>
      <c r="AF42" s="795">
        <v>0</v>
      </c>
      <c r="AG42" s="795">
        <v>0</v>
      </c>
      <c r="AH42" s="795">
        <v>0</v>
      </c>
      <c r="AI42" s="795">
        <v>0</v>
      </c>
      <c r="AJ42" s="795">
        <v>0</v>
      </c>
      <c r="AK42" s="795">
        <v>0</v>
      </c>
      <c r="AL42" s="795">
        <v>0</v>
      </c>
      <c r="AM42" s="795">
        <v>0</v>
      </c>
      <c r="AN42" s="795"/>
      <c r="AO42" s="795"/>
      <c r="AP42" s="795"/>
      <c r="AQ42" s="795"/>
      <c r="AR42" s="795"/>
      <c r="AS42" s="795"/>
      <c r="AT42" s="795"/>
      <c r="AU42" s="795"/>
      <c r="AV42" s="795"/>
      <c r="AW42" s="795"/>
      <c r="AX42" s="795"/>
      <c r="AY42" s="795"/>
      <c r="AZ42" s="795"/>
      <c r="BA42" s="795"/>
      <c r="BB42" s="795"/>
      <c r="BC42" s="795"/>
      <c r="BD42" s="795"/>
      <c r="BE42" s="795"/>
      <c r="BF42" s="795"/>
      <c r="BG42" s="795"/>
      <c r="BH42" s="795"/>
      <c r="BI42" s="795"/>
      <c r="BJ42" s="795"/>
      <c r="BK42" s="795"/>
      <c r="BL42" s="795"/>
      <c r="BM42" s="795"/>
      <c r="BN42" s="795"/>
      <c r="BO42" s="795"/>
      <c r="BP42" s="795"/>
      <c r="BQ42" s="795"/>
      <c r="BR42" s="795"/>
      <c r="BS42" s="795"/>
      <c r="BT42" s="795"/>
      <c r="BU42" s="795"/>
      <c r="BV42" s="795"/>
      <c r="BW42" s="795"/>
      <c r="BX42" s="437">
        <v>0</v>
      </c>
      <c r="BY42" s="437">
        <v>2066.5384615384614</v>
      </c>
      <c r="BZ42" s="437">
        <v>0</v>
      </c>
      <c r="CA42" s="912"/>
      <c r="CB42" s="912"/>
      <c r="CC42" s="912"/>
      <c r="CD42" s="438"/>
      <c r="CE42" s="438">
        <f t="shared" si="0"/>
        <v>2066.5384615384614</v>
      </c>
    </row>
    <row r="43" spans="1:83">
      <c r="A43" s="785" t="s">
        <v>1179</v>
      </c>
      <c r="B43" s="785" t="s">
        <v>1180</v>
      </c>
      <c r="C43" s="1035">
        <v>0</v>
      </c>
      <c r="D43" s="1035">
        <v>0</v>
      </c>
      <c r="E43" s="1035">
        <v>0</v>
      </c>
      <c r="F43" s="1035">
        <v>0</v>
      </c>
      <c r="G43" s="1035">
        <v>0</v>
      </c>
      <c r="H43" s="1035">
        <v>0</v>
      </c>
      <c r="I43" s="1035">
        <v>0</v>
      </c>
      <c r="J43" s="1035">
        <v>0</v>
      </c>
      <c r="K43" s="1035">
        <v>0</v>
      </c>
      <c r="L43" s="1035">
        <v>0</v>
      </c>
      <c r="M43" s="1035">
        <v>0</v>
      </c>
      <c r="N43" s="1035">
        <v>0</v>
      </c>
      <c r="O43" s="1035">
        <v>0</v>
      </c>
      <c r="P43" s="795">
        <v>51261</v>
      </c>
      <c r="Q43" s="795">
        <v>154032.53</v>
      </c>
      <c r="R43" s="795">
        <v>257304.36000000002</v>
      </c>
      <c r="S43" s="795">
        <v>348980.42</v>
      </c>
      <c r="T43" s="795">
        <v>429004.26</v>
      </c>
      <c r="U43" s="795">
        <v>485920.15</v>
      </c>
      <c r="V43" s="795">
        <v>545246.11</v>
      </c>
      <c r="W43" s="795">
        <v>630491.36</v>
      </c>
      <c r="X43" s="795">
        <v>716151.59</v>
      </c>
      <c r="Y43" s="795">
        <v>802228.82000000007</v>
      </c>
      <c r="Z43" s="795">
        <v>888725.07000000007</v>
      </c>
      <c r="AA43" s="795">
        <v>975642.38</v>
      </c>
      <c r="AB43" s="795">
        <v>1037352.31</v>
      </c>
      <c r="AC43" s="795">
        <v>1073732.1399999999</v>
      </c>
      <c r="AD43" s="795">
        <v>1110289.07</v>
      </c>
      <c r="AE43" s="795">
        <v>1147023.96</v>
      </c>
      <c r="AF43" s="795">
        <v>1183937.68</v>
      </c>
      <c r="AG43" s="795">
        <v>1221031.08</v>
      </c>
      <c r="AH43" s="795">
        <v>1258305.06</v>
      </c>
      <c r="AI43" s="795">
        <v>1295760.49</v>
      </c>
      <c r="AJ43" s="795">
        <v>1333398.25</v>
      </c>
      <c r="AK43" s="795">
        <v>0</v>
      </c>
      <c r="AL43" s="795">
        <v>0</v>
      </c>
      <c r="AM43" s="795">
        <v>0</v>
      </c>
      <c r="AN43" s="795"/>
      <c r="AO43" s="795"/>
      <c r="AP43" s="795"/>
      <c r="AQ43" s="795"/>
      <c r="AR43" s="795"/>
      <c r="AS43" s="795"/>
      <c r="AT43" s="795"/>
      <c r="AU43" s="795"/>
      <c r="AV43" s="795"/>
      <c r="AW43" s="795"/>
      <c r="AX43" s="795"/>
      <c r="AY43" s="795"/>
      <c r="AZ43" s="795"/>
      <c r="BA43" s="795"/>
      <c r="BB43" s="795"/>
      <c r="BC43" s="795"/>
      <c r="BD43" s="795"/>
      <c r="BE43" s="795"/>
      <c r="BF43" s="795"/>
      <c r="BG43" s="795"/>
      <c r="BH43" s="795"/>
      <c r="BI43" s="795"/>
      <c r="BJ43" s="795"/>
      <c r="BK43" s="795"/>
      <c r="BL43" s="795"/>
      <c r="BM43" s="795"/>
      <c r="BN43" s="795"/>
      <c r="BO43" s="795"/>
      <c r="BP43" s="795"/>
      <c r="BQ43" s="795"/>
      <c r="BR43" s="795"/>
      <c r="BS43" s="795"/>
      <c r="BT43" s="795"/>
      <c r="BU43" s="795"/>
      <c r="BV43" s="795"/>
      <c r="BW43" s="795"/>
      <c r="BX43" s="437">
        <v>0</v>
      </c>
      <c r="BY43" s="437">
        <v>483460.61923076923</v>
      </c>
      <c r="BZ43" s="437">
        <v>895113.26307692309</v>
      </c>
      <c r="CA43" s="912"/>
      <c r="CB43" s="912"/>
      <c r="CC43" s="912"/>
      <c r="CD43" s="438"/>
      <c r="CE43" s="438">
        <f t="shared" si="0"/>
        <v>483460.61923076923</v>
      </c>
    </row>
    <row r="44" spans="1:83">
      <c r="A44" s="785" t="s">
        <v>1181</v>
      </c>
      <c r="B44" s="785" t="s">
        <v>1182</v>
      </c>
      <c r="C44" s="1035">
        <v>0</v>
      </c>
      <c r="D44" s="1035">
        <v>0</v>
      </c>
      <c r="E44" s="1035">
        <v>0</v>
      </c>
      <c r="F44" s="1035">
        <v>0</v>
      </c>
      <c r="G44" s="1035">
        <v>0</v>
      </c>
      <c r="H44" s="1035">
        <v>0</v>
      </c>
      <c r="I44" s="1035">
        <v>0</v>
      </c>
      <c r="J44" s="1035">
        <v>0</v>
      </c>
      <c r="K44" s="1035">
        <v>0</v>
      </c>
      <c r="L44" s="1035">
        <v>0</v>
      </c>
      <c r="M44" s="1035">
        <v>0</v>
      </c>
      <c r="N44" s="1035">
        <v>0</v>
      </c>
      <c r="O44" s="1035">
        <v>0</v>
      </c>
      <c r="P44" s="795">
        <v>0</v>
      </c>
      <c r="Q44" s="795">
        <v>0</v>
      </c>
      <c r="R44" s="795">
        <v>0</v>
      </c>
      <c r="S44" s="795">
        <v>0</v>
      </c>
      <c r="T44" s="795">
        <v>5000</v>
      </c>
      <c r="U44" s="795">
        <v>15024.35</v>
      </c>
      <c r="V44" s="795">
        <v>26684.98</v>
      </c>
      <c r="W44" s="795">
        <v>42364.38</v>
      </c>
      <c r="X44" s="795">
        <v>60494.61</v>
      </c>
      <c r="Y44" s="795">
        <v>78713.100000000006</v>
      </c>
      <c r="Z44" s="795">
        <v>97020.28</v>
      </c>
      <c r="AA44" s="795">
        <v>123806.57</v>
      </c>
      <c r="AB44" s="795">
        <v>159113.26</v>
      </c>
      <c r="AC44" s="795">
        <v>194591.83000000002</v>
      </c>
      <c r="AD44" s="795">
        <v>230243.1</v>
      </c>
      <c r="AE44" s="795">
        <v>266067.93</v>
      </c>
      <c r="AF44" s="795">
        <v>302067.15000000002</v>
      </c>
      <c r="AG44" s="795">
        <v>338241.61</v>
      </c>
      <c r="AH44" s="795">
        <v>374592.17</v>
      </c>
      <c r="AI44" s="795">
        <v>411119.68</v>
      </c>
      <c r="AJ44" s="795">
        <v>447825.01</v>
      </c>
      <c r="AK44" s="795">
        <v>484709.02</v>
      </c>
      <c r="AL44" s="795">
        <v>521772.58</v>
      </c>
      <c r="AM44" s="795">
        <v>559016.57000000007</v>
      </c>
      <c r="AN44" s="795"/>
      <c r="AO44" s="795"/>
      <c r="AP44" s="795"/>
      <c r="AQ44" s="795"/>
      <c r="AR44" s="795"/>
      <c r="AS44" s="795"/>
      <c r="AT44" s="795"/>
      <c r="AU44" s="795"/>
      <c r="AV44" s="795"/>
      <c r="AW44" s="795"/>
      <c r="AX44" s="795"/>
      <c r="AY44" s="795"/>
      <c r="AZ44" s="795"/>
      <c r="BA44" s="795"/>
      <c r="BB44" s="795"/>
      <c r="BC44" s="795"/>
      <c r="BD44" s="795"/>
      <c r="BE44" s="795"/>
      <c r="BF44" s="795"/>
      <c r="BG44" s="795"/>
      <c r="BH44" s="795"/>
      <c r="BI44" s="795"/>
      <c r="BJ44" s="795"/>
      <c r="BK44" s="795"/>
      <c r="BL44" s="795"/>
      <c r="BM44" s="795"/>
      <c r="BN44" s="795"/>
      <c r="BO44" s="795"/>
      <c r="BP44" s="795"/>
      <c r="BQ44" s="795"/>
      <c r="BR44" s="795"/>
      <c r="BS44" s="795"/>
      <c r="BT44" s="795"/>
      <c r="BU44" s="795"/>
      <c r="BV44" s="795"/>
      <c r="BW44" s="795"/>
      <c r="BX44" s="437">
        <v>0</v>
      </c>
      <c r="BY44" s="437">
        <v>34546.79</v>
      </c>
      <c r="BZ44" s="437">
        <v>339474.34461538459</v>
      </c>
      <c r="CA44" s="912"/>
      <c r="CB44" s="912"/>
      <c r="CC44" s="912"/>
      <c r="CD44" s="438"/>
      <c r="CE44" s="438">
        <f t="shared" si="0"/>
        <v>34546.79</v>
      </c>
    </row>
    <row r="45" spans="1:83" ht="14.25" customHeight="1">
      <c r="A45" s="785" t="s">
        <v>1183</v>
      </c>
      <c r="B45" s="785" t="s">
        <v>1184</v>
      </c>
      <c r="C45" s="1035">
        <v>0</v>
      </c>
      <c r="D45" s="1035">
        <v>0</v>
      </c>
      <c r="E45" s="1035">
        <v>0</v>
      </c>
      <c r="F45" s="1035">
        <v>0</v>
      </c>
      <c r="G45" s="1035">
        <v>0</v>
      </c>
      <c r="H45" s="1035">
        <v>0</v>
      </c>
      <c r="I45" s="1035">
        <v>0</v>
      </c>
      <c r="J45" s="1035">
        <v>0</v>
      </c>
      <c r="K45" s="1035">
        <v>0</v>
      </c>
      <c r="L45" s="1035">
        <v>0</v>
      </c>
      <c r="M45" s="1035">
        <v>0</v>
      </c>
      <c r="N45" s="1035">
        <v>0</v>
      </c>
      <c r="O45" s="1035">
        <v>0</v>
      </c>
      <c r="P45" s="795">
        <v>0</v>
      </c>
      <c r="Q45" s="795">
        <v>0</v>
      </c>
      <c r="R45" s="795">
        <v>0</v>
      </c>
      <c r="S45" s="795">
        <v>0</v>
      </c>
      <c r="T45" s="795">
        <v>5000</v>
      </c>
      <c r="U45" s="795">
        <v>15024.35</v>
      </c>
      <c r="V45" s="795">
        <v>86500.98</v>
      </c>
      <c r="W45" s="795">
        <v>229213.07</v>
      </c>
      <c r="X45" s="795">
        <v>382103.88</v>
      </c>
      <c r="Y45" s="795">
        <v>535738.97</v>
      </c>
      <c r="Z45" s="795">
        <v>690121.94000000006</v>
      </c>
      <c r="AA45" s="795">
        <v>792351.95000000007</v>
      </c>
      <c r="AB45" s="795">
        <v>842175.12</v>
      </c>
      <c r="AC45" s="795">
        <v>892240.83000000007</v>
      </c>
      <c r="AD45" s="795">
        <v>942550.26</v>
      </c>
      <c r="AE45" s="795">
        <v>993104.59</v>
      </c>
      <c r="AF45" s="795">
        <v>1043905.02</v>
      </c>
      <c r="AG45" s="795">
        <v>1094952.75</v>
      </c>
      <c r="AH45" s="795">
        <v>1146248.98</v>
      </c>
      <c r="AI45" s="795">
        <v>1197794.92</v>
      </c>
      <c r="AJ45" s="795">
        <v>1249591.78</v>
      </c>
      <c r="AK45" s="795">
        <v>1301640.79</v>
      </c>
      <c r="AL45" s="795">
        <v>1353943.18</v>
      </c>
      <c r="AM45" s="795">
        <v>1406500.17</v>
      </c>
      <c r="AN45" s="795"/>
      <c r="AO45" s="795"/>
      <c r="AP45" s="795"/>
      <c r="AQ45" s="795"/>
      <c r="AR45" s="795"/>
      <c r="AS45" s="795"/>
      <c r="AT45" s="795"/>
      <c r="AU45" s="795"/>
      <c r="AV45" s="795"/>
      <c r="AW45" s="795"/>
      <c r="AX45" s="795"/>
      <c r="AY45" s="795"/>
      <c r="AZ45" s="795"/>
      <c r="BA45" s="795"/>
      <c r="BB45" s="795"/>
      <c r="BC45" s="795"/>
      <c r="BD45" s="795"/>
      <c r="BE45" s="795"/>
      <c r="BF45" s="795"/>
      <c r="BG45" s="795"/>
      <c r="BH45" s="795"/>
      <c r="BI45" s="795"/>
      <c r="BJ45" s="795"/>
      <c r="BK45" s="795"/>
      <c r="BL45" s="795"/>
      <c r="BM45" s="795"/>
      <c r="BN45" s="795"/>
      <c r="BO45" s="795"/>
      <c r="BP45" s="795"/>
      <c r="BQ45" s="795"/>
      <c r="BR45" s="795"/>
      <c r="BS45" s="795"/>
      <c r="BT45" s="795"/>
      <c r="BU45" s="795"/>
      <c r="BV45" s="795"/>
      <c r="BW45" s="795"/>
      <c r="BX45" s="437">
        <v>0</v>
      </c>
      <c r="BY45" s="437">
        <v>210465.78</v>
      </c>
      <c r="BZ45" s="437">
        <v>1096692.3338461537</v>
      </c>
      <c r="CA45" s="912"/>
      <c r="CB45" s="912"/>
      <c r="CC45" s="912"/>
      <c r="CD45" s="438"/>
      <c r="CE45" s="438">
        <f t="shared" si="0"/>
        <v>210465.78</v>
      </c>
    </row>
    <row r="46" spans="1:83">
      <c r="A46" s="785" t="s">
        <v>308</v>
      </c>
      <c r="B46" s="785" t="s">
        <v>309</v>
      </c>
      <c r="C46" s="1035">
        <v>0</v>
      </c>
      <c r="D46" s="1035">
        <v>0</v>
      </c>
      <c r="E46" s="1035">
        <v>0</v>
      </c>
      <c r="F46" s="1035">
        <v>0</v>
      </c>
      <c r="G46" s="1035">
        <v>0</v>
      </c>
      <c r="H46" s="1035">
        <v>0</v>
      </c>
      <c r="I46" s="1035">
        <v>0</v>
      </c>
      <c r="J46" s="1035">
        <v>0</v>
      </c>
      <c r="K46" s="1035">
        <v>0</v>
      </c>
      <c r="L46" s="1035">
        <v>0</v>
      </c>
      <c r="M46" s="1035">
        <v>0</v>
      </c>
      <c r="N46" s="1035">
        <v>0</v>
      </c>
      <c r="O46" s="1035">
        <v>0</v>
      </c>
      <c r="P46" s="795">
        <v>0</v>
      </c>
      <c r="Q46" s="795">
        <v>0</v>
      </c>
      <c r="R46" s="795">
        <v>0</v>
      </c>
      <c r="S46" s="795">
        <v>0</v>
      </c>
      <c r="T46" s="795">
        <v>0</v>
      </c>
      <c r="U46" s="795">
        <v>0</v>
      </c>
      <c r="V46" s="795">
        <v>0</v>
      </c>
      <c r="W46" s="795">
        <v>0</v>
      </c>
      <c r="X46" s="795">
        <v>0</v>
      </c>
      <c r="Y46" s="795">
        <v>0</v>
      </c>
      <c r="Z46" s="795">
        <v>0</v>
      </c>
      <c r="AA46" s="795">
        <v>0</v>
      </c>
      <c r="AB46" s="795">
        <v>850</v>
      </c>
      <c r="AC46" s="795">
        <v>2554.14</v>
      </c>
      <c r="AD46" s="795">
        <v>4266.58</v>
      </c>
      <c r="AE46" s="795">
        <v>5987.35</v>
      </c>
      <c r="AF46" s="795">
        <v>9416.5</v>
      </c>
      <c r="AG46" s="795">
        <v>14562.34</v>
      </c>
      <c r="AH46" s="795">
        <v>102183.23</v>
      </c>
      <c r="AI46" s="795">
        <v>272680.66000000003</v>
      </c>
      <c r="AJ46" s="795">
        <v>486508.07</v>
      </c>
      <c r="AK46" s="795">
        <v>743876.39</v>
      </c>
      <c r="AL46" s="795">
        <v>1083247.58</v>
      </c>
      <c r="AM46" s="795">
        <v>1505020.83</v>
      </c>
      <c r="AN46" s="795"/>
      <c r="AO46" s="795"/>
      <c r="AP46" s="795"/>
      <c r="AQ46" s="795"/>
      <c r="AR46" s="795"/>
      <c r="AS46" s="795"/>
      <c r="AT46" s="795"/>
      <c r="AU46" s="795"/>
      <c r="AV46" s="795"/>
      <c r="AW46" s="795"/>
      <c r="AX46" s="795"/>
      <c r="AY46" s="795"/>
      <c r="AZ46" s="795"/>
      <c r="BA46" s="795"/>
      <c r="BB46" s="795"/>
      <c r="BC46" s="795"/>
      <c r="BD46" s="795"/>
      <c r="BE46" s="795"/>
      <c r="BF46" s="795"/>
      <c r="BG46" s="795"/>
      <c r="BH46" s="795"/>
      <c r="BI46" s="795"/>
      <c r="BJ46" s="795"/>
      <c r="BK46" s="795"/>
      <c r="BL46" s="795"/>
      <c r="BM46" s="795"/>
      <c r="BN46" s="795"/>
      <c r="BO46" s="795"/>
      <c r="BP46" s="795"/>
      <c r="BQ46" s="795"/>
      <c r="BR46" s="795"/>
      <c r="BS46" s="795"/>
      <c r="BT46" s="795"/>
      <c r="BU46" s="795"/>
      <c r="BV46" s="795"/>
      <c r="BW46" s="795"/>
      <c r="BX46" s="437">
        <v>0</v>
      </c>
      <c r="BY46" s="437">
        <v>0</v>
      </c>
      <c r="BZ46" s="437">
        <v>325473.35923076922</v>
      </c>
      <c r="CA46" s="912"/>
      <c r="CB46" s="912"/>
      <c r="CC46" s="912"/>
      <c r="CE46" s="438">
        <f t="shared" si="0"/>
        <v>0</v>
      </c>
    </row>
    <row r="47" spans="1:83">
      <c r="A47" s="785" t="s">
        <v>1252</v>
      </c>
      <c r="B47" s="785" t="s">
        <v>1253</v>
      </c>
      <c r="C47" s="1035">
        <v>0</v>
      </c>
      <c r="D47" s="1035">
        <v>0</v>
      </c>
      <c r="E47" s="1035">
        <v>0</v>
      </c>
      <c r="F47" s="1035">
        <v>0</v>
      </c>
      <c r="G47" s="1035">
        <v>0</v>
      </c>
      <c r="H47" s="1035">
        <v>0</v>
      </c>
      <c r="I47" s="1035">
        <v>0</v>
      </c>
      <c r="J47" s="1035">
        <v>0</v>
      </c>
      <c r="K47" s="1035">
        <v>0</v>
      </c>
      <c r="L47" s="1035">
        <v>0</v>
      </c>
      <c r="M47" s="1035">
        <v>0</v>
      </c>
      <c r="N47" s="1035">
        <v>0</v>
      </c>
      <c r="O47" s="1035">
        <v>0</v>
      </c>
      <c r="P47" s="795">
        <v>128247.17</v>
      </c>
      <c r="Q47" s="795">
        <v>376091.05</v>
      </c>
      <c r="R47" s="795">
        <v>615866.67000000004</v>
      </c>
      <c r="S47" s="795">
        <v>10337676.67</v>
      </c>
      <c r="T47" s="795">
        <v>20106812.449999999</v>
      </c>
      <c r="U47" s="795">
        <v>20748729.07</v>
      </c>
      <c r="V47" s="795">
        <v>22141517.710000001</v>
      </c>
      <c r="W47" s="795">
        <v>23968608.780000001</v>
      </c>
      <c r="X47" s="795">
        <v>26452561.059999999</v>
      </c>
      <c r="Y47" s="795">
        <v>29074016.469999999</v>
      </c>
      <c r="Z47" s="795">
        <v>31223483.149999999</v>
      </c>
      <c r="AA47" s="795">
        <v>32977879.66</v>
      </c>
      <c r="AB47" s="795">
        <v>34264937.659999996</v>
      </c>
      <c r="AC47" s="795">
        <v>35539854.609999999</v>
      </c>
      <c r="AD47" s="795">
        <v>36820977.859999999</v>
      </c>
      <c r="AE47" s="795">
        <v>41165872.509999998</v>
      </c>
      <c r="AF47" s="795">
        <v>48146028.060000002</v>
      </c>
      <c r="AG47" s="795">
        <v>54764186.520000003</v>
      </c>
      <c r="AH47" s="795">
        <v>61071565.5</v>
      </c>
      <c r="AI47" s="795">
        <v>66992273.490000002</v>
      </c>
      <c r="AJ47" s="795">
        <v>72392757.239999995</v>
      </c>
      <c r="AK47" s="795">
        <v>77305108.819999993</v>
      </c>
      <c r="AL47" s="795">
        <v>82249068.060000002</v>
      </c>
      <c r="AM47" s="795">
        <v>84933275.5</v>
      </c>
      <c r="AN47" s="795"/>
      <c r="AO47" s="795"/>
      <c r="AP47" s="795"/>
      <c r="AQ47" s="795"/>
      <c r="AR47" s="795"/>
      <c r="AS47" s="795"/>
      <c r="AT47" s="795"/>
      <c r="AU47" s="795"/>
      <c r="AV47" s="795"/>
      <c r="AW47" s="795"/>
      <c r="AX47" s="795"/>
      <c r="AY47" s="795"/>
      <c r="AZ47" s="795"/>
      <c r="BA47" s="795"/>
      <c r="BB47" s="795"/>
      <c r="BC47" s="795"/>
      <c r="BD47" s="795"/>
      <c r="BE47" s="795"/>
      <c r="BF47" s="795"/>
      <c r="BG47" s="795"/>
      <c r="BH47" s="795"/>
      <c r="BI47" s="795"/>
      <c r="BJ47" s="795"/>
      <c r="BK47" s="795"/>
      <c r="BL47" s="795"/>
      <c r="BM47" s="795"/>
      <c r="BN47" s="795"/>
      <c r="BO47" s="795"/>
      <c r="BP47" s="795"/>
      <c r="BQ47" s="795"/>
      <c r="BR47" s="795"/>
      <c r="BS47" s="795"/>
      <c r="BT47" s="795"/>
      <c r="BU47" s="795"/>
      <c r="BV47" s="795"/>
      <c r="BW47" s="795"/>
      <c r="BX47" s="437">
        <v>0</v>
      </c>
      <c r="BY47" s="437">
        <v>16780883.839230768</v>
      </c>
      <c r="BZ47" s="437">
        <v>56047983.499230772</v>
      </c>
      <c r="CA47" s="912"/>
      <c r="CB47" s="912"/>
      <c r="CC47" s="912"/>
      <c r="CE47" s="438">
        <f t="shared" si="0"/>
        <v>16780883.839230768</v>
      </c>
    </row>
    <row r="48" spans="1:83" s="438" customFormat="1">
      <c r="A48" s="785" t="s">
        <v>260</v>
      </c>
      <c r="B48" s="785" t="s">
        <v>261</v>
      </c>
      <c r="C48" s="1035">
        <v>0</v>
      </c>
      <c r="D48" s="1035">
        <v>0</v>
      </c>
      <c r="E48" s="1035">
        <v>0</v>
      </c>
      <c r="F48" s="1035">
        <v>0</v>
      </c>
      <c r="G48" s="1035">
        <v>0</v>
      </c>
      <c r="H48" s="1035">
        <v>0</v>
      </c>
      <c r="I48" s="1035">
        <v>0</v>
      </c>
      <c r="J48" s="1035">
        <v>0</v>
      </c>
      <c r="K48" s="1035">
        <v>0</v>
      </c>
      <c r="L48" s="1035">
        <v>0</v>
      </c>
      <c r="M48" s="1035">
        <v>0</v>
      </c>
      <c r="N48" s="1035">
        <v>0</v>
      </c>
      <c r="O48" s="1035">
        <v>0</v>
      </c>
      <c r="P48" s="795">
        <v>0</v>
      </c>
      <c r="Q48" s="795">
        <v>0</v>
      </c>
      <c r="R48" s="795">
        <v>0</v>
      </c>
      <c r="S48" s="795">
        <v>0</v>
      </c>
      <c r="T48" s="795">
        <v>0</v>
      </c>
      <c r="U48" s="795">
        <v>0</v>
      </c>
      <c r="V48" s="795">
        <v>0</v>
      </c>
      <c r="W48" s="795">
        <v>0</v>
      </c>
      <c r="X48" s="795">
        <v>0</v>
      </c>
      <c r="Y48" s="795">
        <v>0</v>
      </c>
      <c r="Z48" s="795">
        <v>0</v>
      </c>
      <c r="AA48" s="795">
        <v>0</v>
      </c>
      <c r="AB48" s="795">
        <v>0</v>
      </c>
      <c r="AC48" s="795">
        <v>0</v>
      </c>
      <c r="AD48" s="795">
        <v>0</v>
      </c>
      <c r="AE48" s="795">
        <v>0</v>
      </c>
      <c r="AF48" s="795">
        <v>0</v>
      </c>
      <c r="AG48" s="795">
        <v>0</v>
      </c>
      <c r="AH48" s="795">
        <v>0</v>
      </c>
      <c r="AI48" s="795">
        <v>0</v>
      </c>
      <c r="AJ48" s="795">
        <v>0</v>
      </c>
      <c r="AK48" s="795">
        <v>0</v>
      </c>
      <c r="AL48" s="795">
        <v>0</v>
      </c>
      <c r="AM48" s="795">
        <v>0</v>
      </c>
      <c r="AN48" s="795"/>
      <c r="AO48" s="795"/>
      <c r="AP48" s="795"/>
      <c r="AQ48" s="795"/>
      <c r="AR48" s="795"/>
      <c r="AS48" s="795"/>
      <c r="AT48" s="795"/>
      <c r="AU48" s="795"/>
      <c r="AV48" s="795"/>
      <c r="AW48" s="795"/>
      <c r="AX48" s="795"/>
      <c r="AY48" s="795"/>
      <c r="AZ48" s="795"/>
      <c r="BA48" s="795"/>
      <c r="BB48" s="795"/>
      <c r="BC48" s="795"/>
      <c r="BD48" s="795"/>
      <c r="BE48" s="795"/>
      <c r="BF48" s="795"/>
      <c r="BG48" s="795"/>
      <c r="BH48" s="795"/>
      <c r="BI48" s="795"/>
      <c r="BJ48" s="795"/>
      <c r="BK48" s="795"/>
      <c r="BL48" s="795"/>
      <c r="BM48" s="795"/>
      <c r="BN48" s="795"/>
      <c r="BO48" s="795"/>
      <c r="BP48" s="795"/>
      <c r="BQ48" s="795"/>
      <c r="BR48" s="795"/>
      <c r="BS48" s="795"/>
      <c r="BT48" s="795"/>
      <c r="BU48" s="795"/>
      <c r="BV48" s="795"/>
      <c r="BW48" s="795"/>
      <c r="BX48" s="437">
        <v>0</v>
      </c>
      <c r="BY48" s="437">
        <v>0</v>
      </c>
      <c r="BZ48" s="437">
        <v>0</v>
      </c>
      <c r="CA48" s="912"/>
      <c r="CB48" s="912"/>
      <c r="CC48" s="912"/>
      <c r="CE48" s="438">
        <f t="shared" si="0"/>
        <v>0</v>
      </c>
    </row>
    <row r="49" spans="1:84">
      <c r="A49" s="785" t="s">
        <v>310</v>
      </c>
      <c r="B49" s="785" t="s">
        <v>311</v>
      </c>
      <c r="C49" s="1035">
        <v>0</v>
      </c>
      <c r="D49" s="1035">
        <v>0</v>
      </c>
      <c r="E49" s="1035">
        <v>0</v>
      </c>
      <c r="F49" s="1035">
        <v>0</v>
      </c>
      <c r="G49" s="1035">
        <v>0</v>
      </c>
      <c r="H49" s="1035">
        <v>0</v>
      </c>
      <c r="I49" s="1035">
        <v>0</v>
      </c>
      <c r="J49" s="1035">
        <v>0</v>
      </c>
      <c r="K49" s="1035">
        <v>0</v>
      </c>
      <c r="L49" s="1035">
        <v>0</v>
      </c>
      <c r="M49" s="1035">
        <v>0</v>
      </c>
      <c r="N49" s="1035">
        <v>0</v>
      </c>
      <c r="O49" s="1035">
        <v>0</v>
      </c>
      <c r="P49" s="795">
        <v>0</v>
      </c>
      <c r="Q49" s="795">
        <v>0</v>
      </c>
      <c r="R49" s="795">
        <v>0</v>
      </c>
      <c r="S49" s="795">
        <v>0</v>
      </c>
      <c r="T49" s="795">
        <v>0</v>
      </c>
      <c r="U49" s="795">
        <v>0</v>
      </c>
      <c r="V49" s="795">
        <v>0</v>
      </c>
      <c r="W49" s="795">
        <v>0</v>
      </c>
      <c r="X49" s="795">
        <v>0</v>
      </c>
      <c r="Y49" s="795">
        <v>0</v>
      </c>
      <c r="Z49" s="795">
        <v>0</v>
      </c>
      <c r="AA49" s="795">
        <v>0</v>
      </c>
      <c r="AB49" s="795">
        <v>0</v>
      </c>
      <c r="AC49" s="795">
        <v>0</v>
      </c>
      <c r="AD49" s="795">
        <v>0</v>
      </c>
      <c r="AE49" s="795">
        <v>0</v>
      </c>
      <c r="AF49" s="795">
        <v>0</v>
      </c>
      <c r="AG49" s="795">
        <v>0</v>
      </c>
      <c r="AH49" s="795">
        <v>0</v>
      </c>
      <c r="AI49" s="795">
        <v>0</v>
      </c>
      <c r="AJ49" s="795">
        <v>0</v>
      </c>
      <c r="AK49" s="795">
        <v>0</v>
      </c>
      <c r="AL49" s="795">
        <v>0</v>
      </c>
      <c r="AM49" s="795">
        <v>0</v>
      </c>
      <c r="AN49" s="795"/>
      <c r="AO49" s="795"/>
      <c r="AP49" s="795"/>
      <c r="AQ49" s="795"/>
      <c r="AR49" s="795"/>
      <c r="AS49" s="795"/>
      <c r="AT49" s="795"/>
      <c r="AU49" s="795"/>
      <c r="AV49" s="795"/>
      <c r="AW49" s="795"/>
      <c r="AX49" s="795"/>
      <c r="AY49" s="795"/>
      <c r="AZ49" s="795"/>
      <c r="BA49" s="795"/>
      <c r="BB49" s="795"/>
      <c r="BC49" s="795"/>
      <c r="BD49" s="795"/>
      <c r="BE49" s="795"/>
      <c r="BF49" s="795"/>
      <c r="BG49" s="795"/>
      <c r="BH49" s="795"/>
      <c r="BI49" s="795"/>
      <c r="BJ49" s="795"/>
      <c r="BK49" s="795"/>
      <c r="BL49" s="795"/>
      <c r="BM49" s="795"/>
      <c r="BN49" s="795"/>
      <c r="BO49" s="795"/>
      <c r="BP49" s="795"/>
      <c r="BQ49" s="795"/>
      <c r="BR49" s="795"/>
      <c r="BS49" s="795"/>
      <c r="BT49" s="795"/>
      <c r="BU49" s="795"/>
      <c r="BV49" s="795"/>
      <c r="BW49" s="795"/>
      <c r="BX49" s="437">
        <v>0</v>
      </c>
      <c r="BY49" s="437">
        <v>0</v>
      </c>
      <c r="BZ49" s="437">
        <v>0</v>
      </c>
      <c r="CA49" s="912"/>
      <c r="CB49" s="912"/>
      <c r="CC49" s="912"/>
      <c r="CE49" s="438">
        <f t="shared" si="0"/>
        <v>0</v>
      </c>
    </row>
    <row r="50" spans="1:84">
      <c r="C50" s="1035"/>
      <c r="D50" s="1035"/>
      <c r="E50" s="1035"/>
      <c r="F50" s="1035"/>
      <c r="G50" s="1035"/>
      <c r="H50" s="1035"/>
      <c r="I50" s="1035"/>
      <c r="J50" s="1035"/>
      <c r="K50" s="1035"/>
      <c r="L50" s="1035"/>
      <c r="M50" s="1035"/>
      <c r="N50" s="1035"/>
      <c r="O50" s="1035"/>
      <c r="P50" s="795"/>
      <c r="Q50" s="795"/>
      <c r="R50" s="795"/>
      <c r="S50" s="795"/>
      <c r="T50" s="795"/>
      <c r="U50" s="795"/>
      <c r="V50" s="795"/>
      <c r="W50" s="795"/>
      <c r="X50" s="795"/>
      <c r="Y50" s="795"/>
      <c r="Z50" s="795"/>
      <c r="AA50" s="795"/>
      <c r="AB50" s="795"/>
      <c r="AC50" s="795"/>
      <c r="AD50" s="795"/>
      <c r="AE50" s="795"/>
      <c r="AF50" s="795"/>
      <c r="AG50" s="795"/>
      <c r="AH50" s="795"/>
      <c r="AI50" s="795"/>
      <c r="AJ50" s="795"/>
      <c r="AK50" s="795"/>
      <c r="AL50" s="795"/>
      <c r="AM50" s="795"/>
      <c r="AN50" s="795"/>
      <c r="AO50" s="795"/>
      <c r="AP50" s="795"/>
      <c r="AQ50" s="795"/>
      <c r="AR50" s="795"/>
      <c r="AS50" s="795"/>
      <c r="AT50" s="795"/>
      <c r="AU50" s="795"/>
      <c r="AV50" s="795"/>
      <c r="AW50" s="795"/>
      <c r="AX50" s="795"/>
      <c r="AY50" s="795"/>
      <c r="AZ50" s="795"/>
      <c r="BA50" s="795"/>
      <c r="BB50" s="795"/>
      <c r="BC50" s="795"/>
      <c r="BD50" s="795"/>
      <c r="BE50" s="795"/>
      <c r="BF50" s="795"/>
      <c r="BG50" s="795"/>
      <c r="BH50" s="795"/>
      <c r="BI50" s="795"/>
      <c r="BJ50" s="795"/>
      <c r="BK50" s="795"/>
      <c r="BL50" s="795"/>
      <c r="BM50" s="795"/>
      <c r="BN50" s="795"/>
      <c r="BO50" s="795"/>
      <c r="BP50" s="795"/>
      <c r="BQ50" s="795"/>
      <c r="BR50" s="795"/>
      <c r="BS50" s="795"/>
      <c r="BT50" s="795"/>
      <c r="BU50" s="795"/>
      <c r="BV50" s="795"/>
      <c r="BW50" s="795"/>
      <c r="BX50" s="911"/>
      <c r="BY50" s="911"/>
      <c r="BZ50" s="912"/>
      <c r="CA50" s="912"/>
      <c r="CB50" s="912"/>
      <c r="CC50" s="912"/>
      <c r="CE50" s="438" t="e">
        <f t="shared" si="0"/>
        <v>#DIV/0!</v>
      </c>
    </row>
    <row r="51" spans="1:84" s="437" customFormat="1">
      <c r="B51" s="793" t="s">
        <v>314</v>
      </c>
      <c r="C51" s="1112">
        <v>46994371.799999997</v>
      </c>
      <c r="D51" s="1112">
        <v>50664098.729999997</v>
      </c>
      <c r="E51" s="1112">
        <v>55923290.370000005</v>
      </c>
      <c r="F51" s="1112">
        <v>59928247.349999994</v>
      </c>
      <c r="G51" s="1112">
        <v>67630803.189999998</v>
      </c>
      <c r="H51" s="1112">
        <v>73420459.430000007</v>
      </c>
      <c r="I51" s="1112">
        <v>84152855.219999999</v>
      </c>
      <c r="J51" s="1112">
        <v>91775466.670000002</v>
      </c>
      <c r="K51" s="1112">
        <v>97196340.579999983</v>
      </c>
      <c r="L51" s="1112">
        <v>102973210.47</v>
      </c>
      <c r="M51" s="1112">
        <v>64943143.119999997</v>
      </c>
      <c r="N51" s="1112">
        <v>67714820.459999993</v>
      </c>
      <c r="O51" s="1112">
        <v>75970345.810000002</v>
      </c>
      <c r="P51" s="1112">
        <v>84474966.840000018</v>
      </c>
      <c r="Q51" s="1112">
        <v>86984377.280000001</v>
      </c>
      <c r="R51" s="1112">
        <v>96612999.940000027</v>
      </c>
      <c r="S51" s="1112">
        <v>115365180.93000002</v>
      </c>
      <c r="T51" s="1112">
        <v>88451654.810000002</v>
      </c>
      <c r="U51" s="1112">
        <v>95745673.119999975</v>
      </c>
      <c r="V51" s="1112">
        <v>104095168.82000002</v>
      </c>
      <c r="W51" s="1112">
        <v>113123992.72999997</v>
      </c>
      <c r="X51" s="1112">
        <v>121739307.21999998</v>
      </c>
      <c r="Y51" s="1112">
        <v>129211070.69</v>
      </c>
      <c r="Z51" s="1112">
        <v>61776036.810000002</v>
      </c>
      <c r="AA51" s="1112">
        <v>65649580.299999997</v>
      </c>
      <c r="AB51" s="1112">
        <v>69477487.969999999</v>
      </c>
      <c r="AC51" s="1112">
        <v>73715512.200000003</v>
      </c>
      <c r="AD51" s="1112">
        <v>76482795.879999995</v>
      </c>
      <c r="AE51" s="1112">
        <v>84193518.930000007</v>
      </c>
      <c r="AF51" s="1112">
        <v>96438215.24000001</v>
      </c>
      <c r="AG51" s="1112">
        <v>107736541.11000001</v>
      </c>
      <c r="AH51" s="1112">
        <v>119327781.87</v>
      </c>
      <c r="AI51" s="1112">
        <v>128759579.34</v>
      </c>
      <c r="AJ51" s="1112">
        <v>139771689.18000001</v>
      </c>
      <c r="AK51" s="1112">
        <v>148697287.03</v>
      </c>
      <c r="AL51" s="1112">
        <v>158744356.75</v>
      </c>
      <c r="AM51" s="1112">
        <v>162612524.48999998</v>
      </c>
      <c r="AN51" s="1112">
        <v>0</v>
      </c>
      <c r="AO51" s="1112">
        <v>0</v>
      </c>
      <c r="AP51" s="1112">
        <v>0</v>
      </c>
      <c r="AQ51" s="1112">
        <v>0</v>
      </c>
      <c r="AR51" s="1112">
        <v>0</v>
      </c>
      <c r="AS51" s="1112">
        <v>0</v>
      </c>
      <c r="AT51" s="1112">
        <v>0</v>
      </c>
      <c r="AU51" s="1112">
        <v>0</v>
      </c>
      <c r="AV51" s="1112">
        <v>0</v>
      </c>
      <c r="AW51" s="1112">
        <v>0</v>
      </c>
      <c r="AX51" s="1112">
        <v>0</v>
      </c>
      <c r="AY51" s="1112">
        <v>0</v>
      </c>
      <c r="AZ51" s="1112">
        <v>0</v>
      </c>
      <c r="BA51" s="1112">
        <v>0</v>
      </c>
      <c r="BB51" s="1112">
        <v>0</v>
      </c>
      <c r="BC51" s="1112">
        <v>0</v>
      </c>
      <c r="BD51" s="1112">
        <v>0</v>
      </c>
      <c r="BE51" s="1112">
        <v>0</v>
      </c>
      <c r="BF51" s="1112">
        <v>0</v>
      </c>
      <c r="BG51" s="1112">
        <v>0</v>
      </c>
      <c r="BH51" s="1112">
        <v>0</v>
      </c>
      <c r="BI51" s="1112">
        <v>0</v>
      </c>
      <c r="BJ51" s="1112">
        <v>0</v>
      </c>
      <c r="BK51" s="1112">
        <v>0</v>
      </c>
      <c r="BL51" s="1112">
        <v>0</v>
      </c>
      <c r="BM51" s="1112">
        <v>0</v>
      </c>
      <c r="BN51" s="1112">
        <v>0</v>
      </c>
      <c r="BO51" s="1112">
        <v>0</v>
      </c>
      <c r="BP51" s="1112">
        <v>0</v>
      </c>
      <c r="BQ51" s="1112">
        <v>0</v>
      </c>
      <c r="BR51" s="1112">
        <v>0</v>
      </c>
      <c r="BS51" s="1112">
        <v>0</v>
      </c>
      <c r="BT51" s="1112">
        <v>0</v>
      </c>
      <c r="BU51" s="1112">
        <v>0</v>
      </c>
      <c r="BV51" s="1112">
        <v>0</v>
      </c>
      <c r="BW51" s="1112">
        <v>0</v>
      </c>
      <c r="BX51" s="1112">
        <v>72240456.283076927</v>
      </c>
      <c r="BY51" s="1112">
        <f>SUM(BY9:BY49)</f>
        <v>95323104.253846139</v>
      </c>
      <c r="BZ51" s="1112">
        <v>109581506.76076925</v>
      </c>
      <c r="CA51" s="1112"/>
      <c r="CB51" s="1112"/>
      <c r="CC51" s="1112"/>
      <c r="CD51" s="1112">
        <v>0</v>
      </c>
      <c r="CE51" s="438">
        <f t="shared" si="0"/>
        <v>95323104.253846169</v>
      </c>
    </row>
    <row r="52" spans="1:84" s="438" customFormat="1">
      <c r="B52" s="793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/>
      <c r="AX52" s="436"/>
      <c r="AY52" s="436"/>
      <c r="AZ52" s="436"/>
      <c r="BA52" s="436"/>
      <c r="BB52" s="436"/>
      <c r="BC52" s="436"/>
      <c r="BD52" s="436"/>
      <c r="BE52" s="436"/>
      <c r="BF52" s="436"/>
      <c r="BG52" s="436"/>
      <c r="BH52" s="436"/>
      <c r="BI52" s="436"/>
      <c r="BJ52" s="436"/>
      <c r="BK52" s="436"/>
      <c r="BL52" s="436"/>
      <c r="BM52" s="436"/>
      <c r="BN52" s="436"/>
      <c r="BO52" s="436"/>
      <c r="BP52" s="436"/>
      <c r="BQ52" s="436"/>
      <c r="BR52" s="436"/>
      <c r="BS52" s="436"/>
      <c r="BT52" s="436"/>
      <c r="BU52" s="436"/>
      <c r="BV52" s="436"/>
      <c r="BW52" s="436"/>
    </row>
    <row r="53" spans="1:84" s="437" customFormat="1">
      <c r="B53" s="797" t="s">
        <v>315</v>
      </c>
      <c r="C53" s="798">
        <v>82880458.51000002</v>
      </c>
      <c r="D53" s="798">
        <v>88383135.650000006</v>
      </c>
      <c r="E53" s="798">
        <v>84773567.189999968</v>
      </c>
      <c r="F53" s="798">
        <v>93010145.349999994</v>
      </c>
      <c r="G53" s="798">
        <v>91256107.689999998</v>
      </c>
      <c r="H53" s="798">
        <v>89824319.539999962</v>
      </c>
      <c r="I53" s="798">
        <v>94675768.949999958</v>
      </c>
      <c r="J53" s="798">
        <v>96497458.329999939</v>
      </c>
      <c r="K53" s="798">
        <v>102660201.28999999</v>
      </c>
      <c r="L53" s="798">
        <v>105219190.72999999</v>
      </c>
      <c r="M53" s="798">
        <v>106540664.37</v>
      </c>
      <c r="N53" s="798">
        <v>112218783.80000003</v>
      </c>
      <c r="O53" s="798">
        <v>135420892.06</v>
      </c>
      <c r="P53" s="798">
        <v>28888184.312299952</v>
      </c>
      <c r="Q53" s="798">
        <v>11979093.416960046</v>
      </c>
      <c r="R53" s="798">
        <v>5353963.7829920053</v>
      </c>
      <c r="S53" s="798">
        <v>10038530.969798505</v>
      </c>
      <c r="T53" s="798">
        <v>12436116.867959797</v>
      </c>
      <c r="U53" s="798">
        <v>12714023.771592081</v>
      </c>
      <c r="V53" s="798">
        <v>16883154.078318492</v>
      </c>
      <c r="W53" s="798">
        <v>19606220.125663862</v>
      </c>
      <c r="X53" s="798">
        <v>19577917.309132919</v>
      </c>
      <c r="Y53" s="798">
        <v>19691809.647826701</v>
      </c>
      <c r="Z53" s="798">
        <v>33603915.387565464</v>
      </c>
      <c r="AA53" s="798">
        <v>17168014.585513219</v>
      </c>
      <c r="AB53" s="798">
        <v>17546374.295102775</v>
      </c>
      <c r="AC53" s="798">
        <v>17628049.073020667</v>
      </c>
      <c r="AD53" s="798">
        <v>18161707.988604248</v>
      </c>
      <c r="AE53" s="798">
        <v>23120623.891720966</v>
      </c>
      <c r="AF53" s="798">
        <v>23993461.224344298</v>
      </c>
      <c r="AG53" s="798">
        <v>26102978.556868941</v>
      </c>
      <c r="AH53" s="798">
        <v>25687266.795373887</v>
      </c>
      <c r="AI53" s="798">
        <v>23453964.613074899</v>
      </c>
      <c r="AJ53" s="798">
        <v>12535309.810615093</v>
      </c>
      <c r="AK53" s="798">
        <v>11685158.142123133</v>
      </c>
      <c r="AL53" s="798">
        <v>10620735.334424764</v>
      </c>
      <c r="AM53" s="798">
        <v>203808.75888511539</v>
      </c>
      <c r="AN53" s="798">
        <v>0</v>
      </c>
      <c r="AO53" s="798">
        <v>0</v>
      </c>
      <c r="AP53" s="798">
        <v>0</v>
      </c>
      <c r="AQ53" s="798">
        <v>0</v>
      </c>
      <c r="AR53" s="798">
        <v>0</v>
      </c>
      <c r="AS53" s="798">
        <v>0</v>
      </c>
      <c r="AT53" s="798">
        <v>0</v>
      </c>
      <c r="AU53" s="798">
        <v>0</v>
      </c>
      <c r="AV53" s="798">
        <v>0</v>
      </c>
      <c r="AW53" s="798">
        <v>0</v>
      </c>
      <c r="AX53" s="798">
        <v>0</v>
      </c>
      <c r="AY53" s="798">
        <v>0</v>
      </c>
      <c r="AZ53" s="798">
        <v>0</v>
      </c>
      <c r="BA53" s="798">
        <v>0</v>
      </c>
      <c r="BB53" s="798">
        <v>0</v>
      </c>
      <c r="BC53" s="798">
        <v>0</v>
      </c>
      <c r="BD53" s="798">
        <v>0</v>
      </c>
      <c r="BE53" s="798">
        <v>0</v>
      </c>
      <c r="BF53" s="798">
        <v>0</v>
      </c>
      <c r="BG53" s="798">
        <v>0</v>
      </c>
      <c r="BH53" s="798">
        <v>0</v>
      </c>
      <c r="BI53" s="798">
        <v>0</v>
      </c>
      <c r="BJ53" s="798">
        <v>0</v>
      </c>
      <c r="BK53" s="798">
        <v>0</v>
      </c>
      <c r="BL53" s="798">
        <v>0</v>
      </c>
      <c r="BM53" s="798">
        <v>0</v>
      </c>
      <c r="BN53" s="798">
        <v>0</v>
      </c>
      <c r="BO53" s="798">
        <v>0</v>
      </c>
      <c r="BP53" s="798">
        <v>0</v>
      </c>
      <c r="BQ53" s="798">
        <v>0</v>
      </c>
      <c r="BR53" s="798">
        <v>0</v>
      </c>
      <c r="BS53" s="798">
        <v>0</v>
      </c>
      <c r="BT53" s="798">
        <v>0</v>
      </c>
      <c r="BU53" s="798">
        <v>0</v>
      </c>
      <c r="BV53" s="798">
        <v>0</v>
      </c>
      <c r="BW53" s="798">
        <v>0</v>
      </c>
      <c r="BX53" s="798">
        <v>98732478.075384602</v>
      </c>
      <c r="BY53" s="798">
        <v>26659222.488124862</v>
      </c>
      <c r="BZ53" s="798">
        <v>18073441.18997474</v>
      </c>
      <c r="CA53" s="798"/>
      <c r="CB53" s="798"/>
      <c r="CC53" s="798"/>
    </row>
    <row r="54" spans="1:84" s="438" customFormat="1">
      <c r="B54" s="797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  <c r="Z54" s="436"/>
      <c r="AA54" s="436"/>
      <c r="AB54" s="436"/>
      <c r="AC54" s="436"/>
      <c r="AD54" s="436"/>
      <c r="AE54" s="436"/>
      <c r="AF54" s="436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/>
      <c r="AX54" s="436"/>
      <c r="AY54" s="436"/>
      <c r="AZ54" s="436"/>
      <c r="BA54" s="436"/>
      <c r="BB54" s="436"/>
      <c r="BC54" s="436"/>
      <c r="BD54" s="436"/>
      <c r="BE54" s="436"/>
      <c r="BF54" s="436"/>
      <c r="BG54" s="436"/>
      <c r="BH54" s="436"/>
      <c r="BI54" s="436"/>
      <c r="BJ54" s="436"/>
      <c r="BK54" s="436"/>
      <c r="BL54" s="436"/>
      <c r="BM54" s="436"/>
      <c r="BN54" s="436"/>
      <c r="BO54" s="436"/>
      <c r="BP54" s="436"/>
      <c r="BQ54" s="436"/>
      <c r="BR54" s="436"/>
      <c r="BS54" s="436"/>
      <c r="BT54" s="436"/>
      <c r="BU54" s="436"/>
      <c r="BV54" s="436"/>
      <c r="BW54" s="436"/>
    </row>
    <row r="55" spans="1:84" s="438" customFormat="1">
      <c r="B55" s="785" t="s">
        <v>1185</v>
      </c>
      <c r="C55" s="439">
        <v>0</v>
      </c>
      <c r="D55" s="439">
        <v>0</v>
      </c>
      <c r="E55" s="439">
        <v>0</v>
      </c>
      <c r="F55" s="439">
        <v>0</v>
      </c>
      <c r="G55" s="439">
        <v>0</v>
      </c>
      <c r="H55" s="439">
        <v>0</v>
      </c>
      <c r="I55" s="439">
        <v>0</v>
      </c>
      <c r="J55" s="439">
        <v>0</v>
      </c>
      <c r="K55" s="439">
        <v>0</v>
      </c>
      <c r="L55" s="439">
        <v>0</v>
      </c>
      <c r="M55" s="439">
        <v>0</v>
      </c>
      <c r="N55" s="439">
        <v>0</v>
      </c>
      <c r="O55" s="439">
        <v>0</v>
      </c>
      <c r="P55" s="439">
        <v>0</v>
      </c>
      <c r="Q55" s="439">
        <v>0</v>
      </c>
      <c r="R55" s="439">
        <v>0</v>
      </c>
      <c r="S55" s="439">
        <v>0</v>
      </c>
      <c r="T55" s="439">
        <v>0</v>
      </c>
      <c r="U55" s="439">
        <v>0</v>
      </c>
      <c r="V55" s="439">
        <v>0</v>
      </c>
      <c r="W55" s="439">
        <v>0</v>
      </c>
      <c r="X55" s="439">
        <v>0</v>
      </c>
      <c r="Y55" s="439">
        <v>0</v>
      </c>
      <c r="Z55" s="439">
        <v>0</v>
      </c>
      <c r="AA55" s="439">
        <v>0</v>
      </c>
      <c r="AB55" s="439">
        <v>0</v>
      </c>
      <c r="AC55" s="439">
        <v>0</v>
      </c>
      <c r="AD55" s="439">
        <v>0</v>
      </c>
      <c r="AE55" s="439">
        <v>0</v>
      </c>
      <c r="AF55" s="439">
        <v>0</v>
      </c>
      <c r="AG55" s="439">
        <v>0</v>
      </c>
      <c r="AH55" s="439">
        <v>0</v>
      </c>
      <c r="AI55" s="439">
        <v>0</v>
      </c>
      <c r="AJ55" s="439">
        <v>0</v>
      </c>
      <c r="AK55" s="439">
        <v>0</v>
      </c>
      <c r="AL55" s="439">
        <v>0</v>
      </c>
      <c r="AM55" s="439">
        <v>0</v>
      </c>
      <c r="AN55" s="439">
        <v>0</v>
      </c>
      <c r="AO55" s="439">
        <v>0</v>
      </c>
      <c r="AP55" s="439">
        <v>0</v>
      </c>
      <c r="AQ55" s="439">
        <v>0</v>
      </c>
      <c r="AR55" s="439">
        <v>0</v>
      </c>
      <c r="AS55" s="439">
        <v>0</v>
      </c>
      <c r="AT55" s="439">
        <v>0</v>
      </c>
      <c r="AU55" s="439">
        <v>0</v>
      </c>
      <c r="AV55" s="439">
        <v>0</v>
      </c>
      <c r="AW55" s="439">
        <v>0</v>
      </c>
      <c r="AX55" s="439">
        <v>0</v>
      </c>
      <c r="AY55" s="439">
        <v>0</v>
      </c>
      <c r="AZ55" s="439">
        <v>0</v>
      </c>
      <c r="BA55" s="439">
        <v>0</v>
      </c>
      <c r="BB55" s="439">
        <v>0</v>
      </c>
      <c r="BC55" s="439">
        <v>0</v>
      </c>
      <c r="BD55" s="439">
        <v>0</v>
      </c>
      <c r="BE55" s="439">
        <v>0</v>
      </c>
      <c r="BF55" s="439">
        <v>0</v>
      </c>
      <c r="BG55" s="439">
        <v>0</v>
      </c>
      <c r="BH55" s="439">
        <v>0</v>
      </c>
      <c r="BI55" s="439">
        <v>0</v>
      </c>
      <c r="BJ55" s="439">
        <v>0</v>
      </c>
      <c r="BK55" s="439">
        <v>0</v>
      </c>
      <c r="BL55" s="439">
        <v>0</v>
      </c>
      <c r="BM55" s="439">
        <v>0</v>
      </c>
      <c r="BN55" s="439">
        <v>0</v>
      </c>
      <c r="BO55" s="439">
        <v>0</v>
      </c>
      <c r="BP55" s="439">
        <v>0</v>
      </c>
      <c r="BQ55" s="439">
        <v>0</v>
      </c>
      <c r="BR55" s="439">
        <v>0</v>
      </c>
      <c r="BS55" s="439">
        <v>0</v>
      </c>
      <c r="BT55" s="439">
        <v>0</v>
      </c>
      <c r="BU55" s="439">
        <v>0</v>
      </c>
      <c r="BV55" s="439">
        <v>0</v>
      </c>
      <c r="BW55" s="439">
        <v>0</v>
      </c>
      <c r="BX55" s="439">
        <v>0</v>
      </c>
      <c r="BY55" s="439">
        <v>0</v>
      </c>
      <c r="BZ55" s="439">
        <v>0</v>
      </c>
      <c r="CA55" s="439"/>
      <c r="CB55" s="439"/>
      <c r="CC55" s="439"/>
      <c r="CD55" s="439">
        <v>0</v>
      </c>
      <c r="CE55" s="439">
        <v>0</v>
      </c>
      <c r="CF55" s="439">
        <v>0</v>
      </c>
    </row>
    <row r="56" spans="1:84">
      <c r="C56" s="799"/>
      <c r="D56" s="799"/>
      <c r="E56" s="799"/>
      <c r="F56" s="799"/>
      <c r="G56" s="799"/>
      <c r="H56" s="799"/>
      <c r="I56" s="799"/>
      <c r="J56" s="799"/>
      <c r="K56" s="799"/>
      <c r="L56" s="799"/>
      <c r="M56" s="799"/>
      <c r="N56" s="799"/>
      <c r="O56" s="799"/>
      <c r="P56" s="799"/>
      <c r="Q56" s="799"/>
      <c r="R56" s="799"/>
      <c r="S56" s="799"/>
      <c r="T56" s="799"/>
      <c r="U56" s="799"/>
      <c r="V56" s="799"/>
      <c r="W56" s="799"/>
      <c r="X56" s="799"/>
      <c r="Y56" s="799"/>
      <c r="Z56" s="799"/>
      <c r="AA56" s="799"/>
      <c r="AB56" s="799"/>
      <c r="AC56" s="799"/>
      <c r="AD56" s="799"/>
      <c r="AE56" s="799"/>
      <c r="AF56" s="799"/>
      <c r="AG56" s="799"/>
      <c r="AH56" s="799"/>
      <c r="AI56" s="799"/>
      <c r="AJ56" s="799"/>
      <c r="AK56" s="799"/>
      <c r="AL56" s="799"/>
      <c r="AM56" s="799"/>
      <c r="AN56" s="799"/>
      <c r="AO56" s="799"/>
      <c r="AP56" s="799"/>
      <c r="AQ56" s="799"/>
      <c r="AR56" s="799"/>
      <c r="AS56" s="799"/>
      <c r="AT56" s="799"/>
      <c r="AU56" s="799"/>
      <c r="AV56" s="799"/>
      <c r="AW56" s="799"/>
      <c r="AX56" s="799"/>
      <c r="AY56" s="799"/>
      <c r="AZ56" s="799"/>
      <c r="BA56" s="799"/>
      <c r="BB56" s="799"/>
      <c r="BC56" s="799"/>
      <c r="BD56" s="799"/>
      <c r="BE56" s="799"/>
      <c r="BF56" s="799"/>
      <c r="BG56" s="799"/>
      <c r="BH56" s="799"/>
      <c r="BI56" s="799"/>
      <c r="BJ56" s="799"/>
      <c r="BK56" s="799"/>
      <c r="BL56" s="799"/>
      <c r="BM56" s="799"/>
      <c r="BN56" s="799"/>
      <c r="BO56" s="799"/>
      <c r="BP56" s="799"/>
      <c r="BQ56" s="799"/>
      <c r="BR56" s="799"/>
      <c r="BS56" s="799"/>
      <c r="BT56" s="799"/>
      <c r="BU56" s="799"/>
      <c r="BV56" s="799"/>
      <c r="BW56" s="799"/>
    </row>
    <row r="57" spans="1:84" s="800" customFormat="1">
      <c r="C57" s="801"/>
      <c r="BY57" s="801"/>
    </row>
    <row r="58" spans="1:84" s="802" customFormat="1" ht="25.5">
      <c r="B58" s="1036" t="s">
        <v>1186</v>
      </c>
      <c r="C58" s="1113">
        <v>0</v>
      </c>
      <c r="D58" s="1113">
        <v>0</v>
      </c>
      <c r="E58" s="1113">
        <v>0</v>
      </c>
      <c r="F58" s="1113">
        <v>0</v>
      </c>
      <c r="G58" s="1113">
        <v>0</v>
      </c>
      <c r="H58" s="1113">
        <v>0</v>
      </c>
      <c r="I58" s="1113">
        <v>0</v>
      </c>
      <c r="J58" s="1113">
        <v>0</v>
      </c>
      <c r="K58" s="1113">
        <v>0</v>
      </c>
      <c r="L58" s="1113">
        <v>0</v>
      </c>
      <c r="M58" s="1113">
        <v>1.1920928955078125E-7</v>
      </c>
      <c r="N58" s="1113">
        <v>1.3411045074462891E-7</v>
      </c>
      <c r="O58" s="1113">
        <v>0</v>
      </c>
      <c r="P58" s="1037">
        <v>0</v>
      </c>
      <c r="Q58" s="1037">
        <v>0</v>
      </c>
      <c r="R58" s="1037">
        <v>0</v>
      </c>
      <c r="S58" s="1037">
        <v>0</v>
      </c>
      <c r="T58" s="1037">
        <v>0</v>
      </c>
      <c r="U58" s="1037">
        <v>0</v>
      </c>
      <c r="V58" s="1037">
        <v>0</v>
      </c>
      <c r="W58" s="1037">
        <v>0</v>
      </c>
      <c r="X58" s="1037">
        <v>0</v>
      </c>
      <c r="Y58" s="1037">
        <v>0</v>
      </c>
      <c r="Z58" s="1037">
        <v>0</v>
      </c>
      <c r="AA58" s="1037">
        <v>0</v>
      </c>
      <c r="AB58" s="1037">
        <v>0</v>
      </c>
      <c r="AC58" s="1037">
        <v>0</v>
      </c>
      <c r="AD58" s="1037">
        <v>0</v>
      </c>
      <c r="AE58" s="1037">
        <v>0</v>
      </c>
      <c r="AF58" s="1037">
        <v>0</v>
      </c>
      <c r="AG58" s="1037">
        <v>0</v>
      </c>
      <c r="AH58" s="1037">
        <v>0</v>
      </c>
      <c r="AI58" s="1037">
        <v>0</v>
      </c>
      <c r="AJ58" s="1037">
        <v>0</v>
      </c>
      <c r="AK58" s="1037">
        <v>0</v>
      </c>
      <c r="AL58" s="1037">
        <v>0</v>
      </c>
      <c r="AM58" s="1037">
        <v>0</v>
      </c>
      <c r="AN58" s="1037">
        <v>0</v>
      </c>
      <c r="AO58" s="1037">
        <v>0</v>
      </c>
      <c r="AP58" s="1037">
        <v>0</v>
      </c>
      <c r="AQ58" s="1037">
        <v>0</v>
      </c>
      <c r="AR58" s="1037">
        <v>0</v>
      </c>
      <c r="AS58" s="1037">
        <v>0</v>
      </c>
      <c r="AT58" s="1037">
        <v>0</v>
      </c>
      <c r="AU58" s="1037">
        <v>0</v>
      </c>
      <c r="AV58" s="1037">
        <v>0</v>
      </c>
      <c r="AW58" s="1037">
        <v>0</v>
      </c>
      <c r="AX58" s="1037">
        <v>0</v>
      </c>
      <c r="AY58" s="1037">
        <v>0</v>
      </c>
      <c r="AZ58" s="1037">
        <v>0</v>
      </c>
      <c r="BA58" s="1037">
        <v>0</v>
      </c>
      <c r="BB58" s="1037">
        <v>0</v>
      </c>
      <c r="BC58" s="1037">
        <v>0</v>
      </c>
      <c r="BD58" s="1037">
        <v>0</v>
      </c>
      <c r="BE58" s="1037">
        <v>0</v>
      </c>
      <c r="BF58" s="1037">
        <v>0</v>
      </c>
      <c r="BG58" s="1037">
        <v>0</v>
      </c>
      <c r="BH58" s="1037">
        <v>0</v>
      </c>
      <c r="BI58" s="1037">
        <v>0</v>
      </c>
      <c r="BJ58" s="1037">
        <v>0</v>
      </c>
      <c r="BK58" s="1037">
        <v>0</v>
      </c>
      <c r="BL58" s="1037">
        <v>0</v>
      </c>
      <c r="BM58" s="1037">
        <v>0</v>
      </c>
      <c r="BN58" s="1037">
        <v>0</v>
      </c>
      <c r="BO58" s="1037">
        <v>0</v>
      </c>
      <c r="BP58" s="1037">
        <v>0</v>
      </c>
      <c r="BQ58" s="1037">
        <v>0</v>
      </c>
      <c r="BR58" s="1037">
        <v>0</v>
      </c>
      <c r="BS58" s="1037">
        <v>0</v>
      </c>
      <c r="BT58" s="1037">
        <v>0</v>
      </c>
      <c r="BU58" s="1037">
        <v>0</v>
      </c>
      <c r="BV58" s="1037">
        <v>0</v>
      </c>
      <c r="BW58" s="1037">
        <v>0</v>
      </c>
    </row>
  </sheetData>
  <pageMargins left="0.7" right="0.7" top="0.75" bottom="0.75" header="0.3" footer="0.3"/>
  <pageSetup scale="2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2060"/>
  </sheetPr>
  <dimension ref="A1:N39"/>
  <sheetViews>
    <sheetView workbookViewId="0">
      <selection activeCell="F73" sqref="F73"/>
    </sheetView>
  </sheetViews>
  <sheetFormatPr defaultRowHeight="12.75"/>
  <cols>
    <col min="1" max="1" width="20" style="383" customWidth="1"/>
    <col min="2" max="2" width="15.85546875" style="383" customWidth="1"/>
    <col min="3" max="14" width="11.5703125" style="383" customWidth="1"/>
    <col min="15" max="256" width="8.85546875" style="383"/>
    <col min="257" max="257" width="20" style="383" customWidth="1"/>
    <col min="258" max="258" width="15.85546875" style="383" customWidth="1"/>
    <col min="259" max="270" width="11.5703125" style="383" customWidth="1"/>
    <col min="271" max="512" width="8.85546875" style="383"/>
    <col min="513" max="513" width="20" style="383" customWidth="1"/>
    <col min="514" max="514" width="15.85546875" style="383" customWidth="1"/>
    <col min="515" max="526" width="11.5703125" style="383" customWidth="1"/>
    <col min="527" max="768" width="8.85546875" style="383"/>
    <col min="769" max="769" width="20" style="383" customWidth="1"/>
    <col min="770" max="770" width="15.85546875" style="383" customWidth="1"/>
    <col min="771" max="782" width="11.5703125" style="383" customWidth="1"/>
    <col min="783" max="1024" width="8.85546875" style="383"/>
    <col min="1025" max="1025" width="20" style="383" customWidth="1"/>
    <col min="1026" max="1026" width="15.85546875" style="383" customWidth="1"/>
    <col min="1027" max="1038" width="11.5703125" style="383" customWidth="1"/>
    <col min="1039" max="1280" width="8.85546875" style="383"/>
    <col min="1281" max="1281" width="20" style="383" customWidth="1"/>
    <col min="1282" max="1282" width="15.85546875" style="383" customWidth="1"/>
    <col min="1283" max="1294" width="11.5703125" style="383" customWidth="1"/>
    <col min="1295" max="1536" width="8.85546875" style="383"/>
    <col min="1537" max="1537" width="20" style="383" customWidth="1"/>
    <col min="1538" max="1538" width="15.85546875" style="383" customWidth="1"/>
    <col min="1539" max="1550" width="11.5703125" style="383" customWidth="1"/>
    <col min="1551" max="1792" width="8.85546875" style="383"/>
    <col min="1793" max="1793" width="20" style="383" customWidth="1"/>
    <col min="1794" max="1794" width="15.85546875" style="383" customWidth="1"/>
    <col min="1795" max="1806" width="11.5703125" style="383" customWidth="1"/>
    <col min="1807" max="2048" width="8.85546875" style="383"/>
    <col min="2049" max="2049" width="20" style="383" customWidth="1"/>
    <col min="2050" max="2050" width="15.85546875" style="383" customWidth="1"/>
    <col min="2051" max="2062" width="11.5703125" style="383" customWidth="1"/>
    <col min="2063" max="2304" width="8.85546875" style="383"/>
    <col min="2305" max="2305" width="20" style="383" customWidth="1"/>
    <col min="2306" max="2306" width="15.85546875" style="383" customWidth="1"/>
    <col min="2307" max="2318" width="11.5703125" style="383" customWidth="1"/>
    <col min="2319" max="2560" width="8.85546875" style="383"/>
    <col min="2561" max="2561" width="20" style="383" customWidth="1"/>
    <col min="2562" max="2562" width="15.85546875" style="383" customWidth="1"/>
    <col min="2563" max="2574" width="11.5703125" style="383" customWidth="1"/>
    <col min="2575" max="2816" width="8.85546875" style="383"/>
    <col min="2817" max="2817" width="20" style="383" customWidth="1"/>
    <col min="2818" max="2818" width="15.85546875" style="383" customWidth="1"/>
    <col min="2819" max="2830" width="11.5703125" style="383" customWidth="1"/>
    <col min="2831" max="3072" width="8.85546875" style="383"/>
    <col min="3073" max="3073" width="20" style="383" customWidth="1"/>
    <col min="3074" max="3074" width="15.85546875" style="383" customWidth="1"/>
    <col min="3075" max="3086" width="11.5703125" style="383" customWidth="1"/>
    <col min="3087" max="3328" width="8.85546875" style="383"/>
    <col min="3329" max="3329" width="20" style="383" customWidth="1"/>
    <col min="3330" max="3330" width="15.85546875" style="383" customWidth="1"/>
    <col min="3331" max="3342" width="11.5703125" style="383" customWidth="1"/>
    <col min="3343" max="3584" width="8.85546875" style="383"/>
    <col min="3585" max="3585" width="20" style="383" customWidth="1"/>
    <col min="3586" max="3586" width="15.85546875" style="383" customWidth="1"/>
    <col min="3587" max="3598" width="11.5703125" style="383" customWidth="1"/>
    <col min="3599" max="3840" width="8.85546875" style="383"/>
    <col min="3841" max="3841" width="20" style="383" customWidth="1"/>
    <col min="3842" max="3842" width="15.85546875" style="383" customWidth="1"/>
    <col min="3843" max="3854" width="11.5703125" style="383" customWidth="1"/>
    <col min="3855" max="4096" width="8.85546875" style="383"/>
    <col min="4097" max="4097" width="20" style="383" customWidth="1"/>
    <col min="4098" max="4098" width="15.85546875" style="383" customWidth="1"/>
    <col min="4099" max="4110" width="11.5703125" style="383" customWidth="1"/>
    <col min="4111" max="4352" width="8.85546875" style="383"/>
    <col min="4353" max="4353" width="20" style="383" customWidth="1"/>
    <col min="4354" max="4354" width="15.85546875" style="383" customWidth="1"/>
    <col min="4355" max="4366" width="11.5703125" style="383" customWidth="1"/>
    <col min="4367" max="4608" width="8.85546875" style="383"/>
    <col min="4609" max="4609" width="20" style="383" customWidth="1"/>
    <col min="4610" max="4610" width="15.85546875" style="383" customWidth="1"/>
    <col min="4611" max="4622" width="11.5703125" style="383" customWidth="1"/>
    <col min="4623" max="4864" width="8.85546875" style="383"/>
    <col min="4865" max="4865" width="20" style="383" customWidth="1"/>
    <col min="4866" max="4866" width="15.85546875" style="383" customWidth="1"/>
    <col min="4867" max="4878" width="11.5703125" style="383" customWidth="1"/>
    <col min="4879" max="5120" width="8.85546875" style="383"/>
    <col min="5121" max="5121" width="20" style="383" customWidth="1"/>
    <col min="5122" max="5122" width="15.85546875" style="383" customWidth="1"/>
    <col min="5123" max="5134" width="11.5703125" style="383" customWidth="1"/>
    <col min="5135" max="5376" width="8.85546875" style="383"/>
    <col min="5377" max="5377" width="20" style="383" customWidth="1"/>
    <col min="5378" max="5378" width="15.85546875" style="383" customWidth="1"/>
    <col min="5379" max="5390" width="11.5703125" style="383" customWidth="1"/>
    <col min="5391" max="5632" width="8.85546875" style="383"/>
    <col min="5633" max="5633" width="20" style="383" customWidth="1"/>
    <col min="5634" max="5634" width="15.85546875" style="383" customWidth="1"/>
    <col min="5635" max="5646" width="11.5703125" style="383" customWidth="1"/>
    <col min="5647" max="5888" width="8.85546875" style="383"/>
    <col min="5889" max="5889" width="20" style="383" customWidth="1"/>
    <col min="5890" max="5890" width="15.85546875" style="383" customWidth="1"/>
    <col min="5891" max="5902" width="11.5703125" style="383" customWidth="1"/>
    <col min="5903" max="6144" width="8.85546875" style="383"/>
    <col min="6145" max="6145" width="20" style="383" customWidth="1"/>
    <col min="6146" max="6146" width="15.85546875" style="383" customWidth="1"/>
    <col min="6147" max="6158" width="11.5703125" style="383" customWidth="1"/>
    <col min="6159" max="6400" width="8.85546875" style="383"/>
    <col min="6401" max="6401" width="20" style="383" customWidth="1"/>
    <col min="6402" max="6402" width="15.85546875" style="383" customWidth="1"/>
    <col min="6403" max="6414" width="11.5703125" style="383" customWidth="1"/>
    <col min="6415" max="6656" width="8.85546875" style="383"/>
    <col min="6657" max="6657" width="20" style="383" customWidth="1"/>
    <col min="6658" max="6658" width="15.85546875" style="383" customWidth="1"/>
    <col min="6659" max="6670" width="11.5703125" style="383" customWidth="1"/>
    <col min="6671" max="6912" width="8.85546875" style="383"/>
    <col min="6913" max="6913" width="20" style="383" customWidth="1"/>
    <col min="6914" max="6914" width="15.85546875" style="383" customWidth="1"/>
    <col min="6915" max="6926" width="11.5703125" style="383" customWidth="1"/>
    <col min="6927" max="7168" width="8.85546875" style="383"/>
    <col min="7169" max="7169" width="20" style="383" customWidth="1"/>
    <col min="7170" max="7170" width="15.85546875" style="383" customWidth="1"/>
    <col min="7171" max="7182" width="11.5703125" style="383" customWidth="1"/>
    <col min="7183" max="7424" width="8.85546875" style="383"/>
    <col min="7425" max="7425" width="20" style="383" customWidth="1"/>
    <col min="7426" max="7426" width="15.85546875" style="383" customWidth="1"/>
    <col min="7427" max="7438" width="11.5703125" style="383" customWidth="1"/>
    <col min="7439" max="7680" width="8.85546875" style="383"/>
    <col min="7681" max="7681" width="20" style="383" customWidth="1"/>
    <col min="7682" max="7682" width="15.85546875" style="383" customWidth="1"/>
    <col min="7683" max="7694" width="11.5703125" style="383" customWidth="1"/>
    <col min="7695" max="7936" width="8.85546875" style="383"/>
    <col min="7937" max="7937" width="20" style="383" customWidth="1"/>
    <col min="7938" max="7938" width="15.85546875" style="383" customWidth="1"/>
    <col min="7939" max="7950" width="11.5703125" style="383" customWidth="1"/>
    <col min="7951" max="8192" width="8.85546875" style="383"/>
    <col min="8193" max="8193" width="20" style="383" customWidth="1"/>
    <col min="8194" max="8194" width="15.85546875" style="383" customWidth="1"/>
    <col min="8195" max="8206" width="11.5703125" style="383" customWidth="1"/>
    <col min="8207" max="8448" width="8.85546875" style="383"/>
    <col min="8449" max="8449" width="20" style="383" customWidth="1"/>
    <col min="8450" max="8450" width="15.85546875" style="383" customWidth="1"/>
    <col min="8451" max="8462" width="11.5703125" style="383" customWidth="1"/>
    <col min="8463" max="8704" width="8.85546875" style="383"/>
    <col min="8705" max="8705" width="20" style="383" customWidth="1"/>
    <col min="8706" max="8706" width="15.85546875" style="383" customWidth="1"/>
    <col min="8707" max="8718" width="11.5703125" style="383" customWidth="1"/>
    <col min="8719" max="8960" width="8.85546875" style="383"/>
    <col min="8961" max="8961" width="20" style="383" customWidth="1"/>
    <col min="8962" max="8962" width="15.85546875" style="383" customWidth="1"/>
    <col min="8963" max="8974" width="11.5703125" style="383" customWidth="1"/>
    <col min="8975" max="9216" width="8.85546875" style="383"/>
    <col min="9217" max="9217" width="20" style="383" customWidth="1"/>
    <col min="9218" max="9218" width="15.85546875" style="383" customWidth="1"/>
    <col min="9219" max="9230" width="11.5703125" style="383" customWidth="1"/>
    <col min="9231" max="9472" width="8.85546875" style="383"/>
    <col min="9473" max="9473" width="20" style="383" customWidth="1"/>
    <col min="9474" max="9474" width="15.85546875" style="383" customWidth="1"/>
    <col min="9475" max="9486" width="11.5703125" style="383" customWidth="1"/>
    <col min="9487" max="9728" width="8.85546875" style="383"/>
    <col min="9729" max="9729" width="20" style="383" customWidth="1"/>
    <col min="9730" max="9730" width="15.85546875" style="383" customWidth="1"/>
    <col min="9731" max="9742" width="11.5703125" style="383" customWidth="1"/>
    <col min="9743" max="9984" width="8.85546875" style="383"/>
    <col min="9985" max="9985" width="20" style="383" customWidth="1"/>
    <col min="9986" max="9986" width="15.85546875" style="383" customWidth="1"/>
    <col min="9987" max="9998" width="11.5703125" style="383" customWidth="1"/>
    <col min="9999" max="10240" width="8.85546875" style="383"/>
    <col min="10241" max="10241" width="20" style="383" customWidth="1"/>
    <col min="10242" max="10242" width="15.85546875" style="383" customWidth="1"/>
    <col min="10243" max="10254" width="11.5703125" style="383" customWidth="1"/>
    <col min="10255" max="10496" width="8.85546875" style="383"/>
    <col min="10497" max="10497" width="20" style="383" customWidth="1"/>
    <col min="10498" max="10498" width="15.85546875" style="383" customWidth="1"/>
    <col min="10499" max="10510" width="11.5703125" style="383" customWidth="1"/>
    <col min="10511" max="10752" width="8.85546875" style="383"/>
    <col min="10753" max="10753" width="20" style="383" customWidth="1"/>
    <col min="10754" max="10754" width="15.85546875" style="383" customWidth="1"/>
    <col min="10755" max="10766" width="11.5703125" style="383" customWidth="1"/>
    <col min="10767" max="11008" width="8.85546875" style="383"/>
    <col min="11009" max="11009" width="20" style="383" customWidth="1"/>
    <col min="11010" max="11010" width="15.85546875" style="383" customWidth="1"/>
    <col min="11011" max="11022" width="11.5703125" style="383" customWidth="1"/>
    <col min="11023" max="11264" width="8.85546875" style="383"/>
    <col min="11265" max="11265" width="20" style="383" customWidth="1"/>
    <col min="11266" max="11266" width="15.85546875" style="383" customWidth="1"/>
    <col min="11267" max="11278" width="11.5703125" style="383" customWidth="1"/>
    <col min="11279" max="11520" width="8.85546875" style="383"/>
    <col min="11521" max="11521" width="20" style="383" customWidth="1"/>
    <col min="11522" max="11522" width="15.85546875" style="383" customWidth="1"/>
    <col min="11523" max="11534" width="11.5703125" style="383" customWidth="1"/>
    <col min="11535" max="11776" width="8.85546875" style="383"/>
    <col min="11777" max="11777" width="20" style="383" customWidth="1"/>
    <col min="11778" max="11778" width="15.85546875" style="383" customWidth="1"/>
    <col min="11779" max="11790" width="11.5703125" style="383" customWidth="1"/>
    <col min="11791" max="12032" width="8.85546875" style="383"/>
    <col min="12033" max="12033" width="20" style="383" customWidth="1"/>
    <col min="12034" max="12034" width="15.85546875" style="383" customWidth="1"/>
    <col min="12035" max="12046" width="11.5703125" style="383" customWidth="1"/>
    <col min="12047" max="12288" width="8.85546875" style="383"/>
    <col min="12289" max="12289" width="20" style="383" customWidth="1"/>
    <col min="12290" max="12290" width="15.85546875" style="383" customWidth="1"/>
    <col min="12291" max="12302" width="11.5703125" style="383" customWidth="1"/>
    <col min="12303" max="12544" width="8.85546875" style="383"/>
    <col min="12545" max="12545" width="20" style="383" customWidth="1"/>
    <col min="12546" max="12546" width="15.85546875" style="383" customWidth="1"/>
    <col min="12547" max="12558" width="11.5703125" style="383" customWidth="1"/>
    <col min="12559" max="12800" width="8.85546875" style="383"/>
    <col min="12801" max="12801" width="20" style="383" customWidth="1"/>
    <col min="12802" max="12802" width="15.85546875" style="383" customWidth="1"/>
    <col min="12803" max="12814" width="11.5703125" style="383" customWidth="1"/>
    <col min="12815" max="13056" width="8.85546875" style="383"/>
    <col min="13057" max="13057" width="20" style="383" customWidth="1"/>
    <col min="13058" max="13058" width="15.85546875" style="383" customWidth="1"/>
    <col min="13059" max="13070" width="11.5703125" style="383" customWidth="1"/>
    <col min="13071" max="13312" width="8.85546875" style="383"/>
    <col min="13313" max="13313" width="20" style="383" customWidth="1"/>
    <col min="13314" max="13314" width="15.85546875" style="383" customWidth="1"/>
    <col min="13315" max="13326" width="11.5703125" style="383" customWidth="1"/>
    <col min="13327" max="13568" width="8.85546875" style="383"/>
    <col min="13569" max="13569" width="20" style="383" customWidth="1"/>
    <col min="13570" max="13570" width="15.85546875" style="383" customWidth="1"/>
    <col min="13571" max="13582" width="11.5703125" style="383" customWidth="1"/>
    <col min="13583" max="13824" width="8.85546875" style="383"/>
    <col min="13825" max="13825" width="20" style="383" customWidth="1"/>
    <col min="13826" max="13826" width="15.85546875" style="383" customWidth="1"/>
    <col min="13827" max="13838" width="11.5703125" style="383" customWidth="1"/>
    <col min="13839" max="14080" width="8.85546875" style="383"/>
    <col min="14081" max="14081" width="20" style="383" customWidth="1"/>
    <col min="14082" max="14082" width="15.85546875" style="383" customWidth="1"/>
    <col min="14083" max="14094" width="11.5703125" style="383" customWidth="1"/>
    <col min="14095" max="14336" width="8.85546875" style="383"/>
    <col min="14337" max="14337" width="20" style="383" customWidth="1"/>
    <col min="14338" max="14338" width="15.85546875" style="383" customWidth="1"/>
    <col min="14339" max="14350" width="11.5703125" style="383" customWidth="1"/>
    <col min="14351" max="14592" width="8.85546875" style="383"/>
    <col min="14593" max="14593" width="20" style="383" customWidth="1"/>
    <col min="14594" max="14594" width="15.85546875" style="383" customWidth="1"/>
    <col min="14595" max="14606" width="11.5703125" style="383" customWidth="1"/>
    <col min="14607" max="14848" width="8.85546875" style="383"/>
    <col min="14849" max="14849" width="20" style="383" customWidth="1"/>
    <col min="14850" max="14850" width="15.85546875" style="383" customWidth="1"/>
    <col min="14851" max="14862" width="11.5703125" style="383" customWidth="1"/>
    <col min="14863" max="15104" width="8.85546875" style="383"/>
    <col min="15105" max="15105" width="20" style="383" customWidth="1"/>
    <col min="15106" max="15106" width="15.85546875" style="383" customWidth="1"/>
    <col min="15107" max="15118" width="11.5703125" style="383" customWidth="1"/>
    <col min="15119" max="15360" width="8.85546875" style="383"/>
    <col min="15361" max="15361" width="20" style="383" customWidth="1"/>
    <col min="15362" max="15362" width="15.85546875" style="383" customWidth="1"/>
    <col min="15363" max="15374" width="11.5703125" style="383" customWidth="1"/>
    <col min="15375" max="15616" width="8.85546875" style="383"/>
    <col min="15617" max="15617" width="20" style="383" customWidth="1"/>
    <col min="15618" max="15618" width="15.85546875" style="383" customWidth="1"/>
    <col min="15619" max="15630" width="11.5703125" style="383" customWidth="1"/>
    <col min="15631" max="15872" width="8.85546875" style="383"/>
    <col min="15873" max="15873" width="20" style="383" customWidth="1"/>
    <col min="15874" max="15874" width="15.85546875" style="383" customWidth="1"/>
    <col min="15875" max="15886" width="11.5703125" style="383" customWidth="1"/>
    <col min="15887" max="16128" width="8.85546875" style="383"/>
    <col min="16129" max="16129" width="20" style="383" customWidth="1"/>
    <col min="16130" max="16130" width="15.85546875" style="383" customWidth="1"/>
    <col min="16131" max="16142" width="11.5703125" style="383" customWidth="1"/>
    <col min="16143" max="16384" width="8.85546875" style="383"/>
  </cols>
  <sheetData>
    <row r="1" spans="1:14">
      <c r="A1" s="383" t="s">
        <v>317</v>
      </c>
    </row>
    <row r="3" spans="1:14" ht="15" hidden="1">
      <c r="B3" s="384">
        <v>43070</v>
      </c>
      <c r="C3" s="384">
        <v>43101</v>
      </c>
      <c r="D3" s="384">
        <v>43132</v>
      </c>
      <c r="E3" s="384">
        <v>43160</v>
      </c>
      <c r="F3" s="384">
        <v>43191</v>
      </c>
      <c r="G3" s="384">
        <v>43221</v>
      </c>
      <c r="H3" s="384">
        <v>43252</v>
      </c>
      <c r="I3" s="384">
        <v>43282</v>
      </c>
      <c r="J3" s="384">
        <v>43313</v>
      </c>
      <c r="K3" s="384">
        <v>43344</v>
      </c>
      <c r="L3" s="384">
        <v>43374</v>
      </c>
      <c r="M3" s="384">
        <v>43405</v>
      </c>
      <c r="N3" s="384">
        <v>43435</v>
      </c>
    </row>
    <row r="4" spans="1:14" ht="21.6" hidden="1" customHeight="1">
      <c r="A4" s="385">
        <v>42736</v>
      </c>
      <c r="B4" s="383">
        <v>0.38574999999999998</v>
      </c>
    </row>
    <row r="5" spans="1:14" ht="21.6" hidden="1" customHeight="1">
      <c r="A5" s="385">
        <v>42767</v>
      </c>
      <c r="B5" s="383">
        <v>0.38574999999999998</v>
      </c>
      <c r="C5" s="383">
        <v>0.38574999999999998</v>
      </c>
    </row>
    <row r="6" spans="1:14" ht="21.6" hidden="1" customHeight="1">
      <c r="A6" s="385">
        <v>42795</v>
      </c>
      <c r="B6" s="383">
        <v>0.38574999999999998</v>
      </c>
      <c r="C6" s="383">
        <v>0.38574999999999998</v>
      </c>
      <c r="D6" s="383">
        <v>0.38574999999999998</v>
      </c>
    </row>
    <row r="7" spans="1:14" ht="21.6" hidden="1" customHeight="1">
      <c r="A7" s="385">
        <v>42826</v>
      </c>
      <c r="B7" s="383">
        <v>0.38574999999999998</v>
      </c>
      <c r="C7" s="383">
        <v>0.38574999999999998</v>
      </c>
      <c r="D7" s="383">
        <v>0.38574999999999998</v>
      </c>
      <c r="E7" s="383">
        <v>0.38574999999999998</v>
      </c>
    </row>
    <row r="8" spans="1:14" ht="21.6" hidden="1" customHeight="1">
      <c r="A8" s="385">
        <v>42856</v>
      </c>
      <c r="B8" s="383">
        <v>0.38574999999999998</v>
      </c>
      <c r="C8" s="383">
        <v>0.38574999999999998</v>
      </c>
      <c r="D8" s="383">
        <v>0.38574999999999998</v>
      </c>
      <c r="E8" s="383">
        <v>0.38574999999999998</v>
      </c>
      <c r="F8" s="383">
        <v>0.38574999999999998</v>
      </c>
    </row>
    <row r="9" spans="1:14" ht="21.6" hidden="1" customHeight="1">
      <c r="A9" s="385">
        <v>42887</v>
      </c>
      <c r="B9" s="383">
        <v>0.38574999999999998</v>
      </c>
      <c r="C9" s="383">
        <v>0.38574999999999998</v>
      </c>
      <c r="D9" s="383">
        <v>0.38574999999999998</v>
      </c>
      <c r="E9" s="383">
        <v>0.38574999999999998</v>
      </c>
      <c r="F9" s="383">
        <v>0.38574999999999998</v>
      </c>
      <c r="G9" s="383">
        <v>0.38574999999999998</v>
      </c>
    </row>
    <row r="10" spans="1:14" ht="21.6" hidden="1" customHeight="1">
      <c r="A10" s="385">
        <v>42917</v>
      </c>
      <c r="B10" s="383">
        <v>0.38574999999999998</v>
      </c>
      <c r="C10" s="383">
        <v>0.38574999999999998</v>
      </c>
      <c r="D10" s="383">
        <v>0.38574999999999998</v>
      </c>
      <c r="E10" s="383">
        <v>0.38574999999999998</v>
      </c>
      <c r="F10" s="383">
        <v>0.38574999999999998</v>
      </c>
      <c r="G10" s="383">
        <v>0.38574999999999998</v>
      </c>
      <c r="H10" s="383">
        <v>0.38574999999999998</v>
      </c>
    </row>
    <row r="11" spans="1:14" ht="21.6" hidden="1" customHeight="1">
      <c r="A11" s="385">
        <v>42948</v>
      </c>
      <c r="B11" s="383">
        <v>0.38574999999999998</v>
      </c>
      <c r="C11" s="383">
        <v>0.38574999999999998</v>
      </c>
      <c r="D11" s="383">
        <v>0.38574999999999998</v>
      </c>
      <c r="E11" s="383">
        <v>0.38574999999999998</v>
      </c>
      <c r="F11" s="383">
        <v>0.38574999999999998</v>
      </c>
      <c r="G11" s="383">
        <v>0.38574999999999998</v>
      </c>
      <c r="H11" s="383">
        <v>0.38574999999999998</v>
      </c>
      <c r="I11" s="383">
        <v>0.38574999999999998</v>
      </c>
    </row>
    <row r="12" spans="1:14" ht="21.6" hidden="1" customHeight="1">
      <c r="A12" s="385">
        <v>42979</v>
      </c>
      <c r="B12" s="383">
        <v>0.38574999999999998</v>
      </c>
      <c r="C12" s="383">
        <v>0.38574999999999998</v>
      </c>
      <c r="D12" s="383">
        <v>0.38574999999999998</v>
      </c>
      <c r="E12" s="383">
        <v>0.38574999999999998</v>
      </c>
      <c r="F12" s="383">
        <v>0.38574999999999998</v>
      </c>
      <c r="G12" s="383">
        <v>0.38574999999999998</v>
      </c>
      <c r="H12" s="383">
        <v>0.38574999999999998</v>
      </c>
      <c r="I12" s="383">
        <v>0.38574999999999998</v>
      </c>
      <c r="J12" s="383">
        <v>0.38574999999999998</v>
      </c>
    </row>
    <row r="13" spans="1:14" ht="21.6" hidden="1" customHeight="1">
      <c r="A13" s="385">
        <v>43009</v>
      </c>
      <c r="B13" s="383">
        <v>0.38574999999999998</v>
      </c>
      <c r="C13" s="383">
        <v>0.38574999999999998</v>
      </c>
      <c r="D13" s="383">
        <v>0.38574999999999998</v>
      </c>
      <c r="E13" s="383">
        <v>0.38574999999999998</v>
      </c>
      <c r="F13" s="383">
        <v>0.38574999999999998</v>
      </c>
      <c r="G13" s="383">
        <v>0.38574999999999998</v>
      </c>
      <c r="H13" s="383">
        <v>0.38574999999999998</v>
      </c>
      <c r="I13" s="383">
        <v>0.38574999999999998</v>
      </c>
      <c r="J13" s="383">
        <v>0.38574999999999998</v>
      </c>
      <c r="K13" s="383">
        <v>0.38574999999999998</v>
      </c>
    </row>
    <row r="14" spans="1:14" ht="21.6" hidden="1" customHeight="1">
      <c r="A14" s="385">
        <v>43040</v>
      </c>
      <c r="B14" s="383">
        <v>0.38574999999999998</v>
      </c>
      <c r="C14" s="383">
        <v>0.38574999999999998</v>
      </c>
      <c r="D14" s="383">
        <v>0.38574999999999998</v>
      </c>
      <c r="E14" s="383">
        <v>0.38574999999999998</v>
      </c>
      <c r="F14" s="383">
        <v>0.38574999999999998</v>
      </c>
      <c r="G14" s="383">
        <v>0.38574999999999998</v>
      </c>
      <c r="H14" s="383">
        <v>0.38574999999999998</v>
      </c>
      <c r="I14" s="383">
        <v>0.38574999999999998</v>
      </c>
      <c r="J14" s="383">
        <v>0.38574999999999998</v>
      </c>
      <c r="K14" s="383">
        <v>0.38574999999999998</v>
      </c>
      <c r="L14" s="383">
        <v>0.38574999999999998</v>
      </c>
    </row>
    <row r="15" spans="1:14" ht="21.6" hidden="1" customHeight="1">
      <c r="A15" s="385">
        <v>43070</v>
      </c>
      <c r="B15" s="383">
        <v>0.38574999999999998</v>
      </c>
      <c r="C15" s="383">
        <v>0.38574999999999998</v>
      </c>
      <c r="D15" s="383">
        <v>0.38574999999999998</v>
      </c>
      <c r="E15" s="383">
        <v>0.38574999999999998</v>
      </c>
      <c r="F15" s="383">
        <v>0.38574999999999998</v>
      </c>
      <c r="G15" s="383">
        <v>0.38574999999999998</v>
      </c>
      <c r="H15" s="383">
        <v>0.38574999999999998</v>
      </c>
      <c r="I15" s="383">
        <v>0.38574999999999998</v>
      </c>
      <c r="J15" s="383">
        <v>0.38574999999999998</v>
      </c>
      <c r="K15" s="383">
        <v>0.38574999999999998</v>
      </c>
      <c r="L15" s="383">
        <v>0.38574999999999998</v>
      </c>
      <c r="M15" s="383">
        <v>0.38574999999999998</v>
      </c>
    </row>
    <row r="16" spans="1:14" ht="21.6" hidden="1" customHeight="1">
      <c r="A16" s="385">
        <v>43101</v>
      </c>
      <c r="B16" s="385"/>
      <c r="C16" s="383">
        <v>0.25345000000000001</v>
      </c>
      <c r="D16" s="383">
        <v>0.25345000000000001</v>
      </c>
      <c r="E16" s="383">
        <v>0.25345000000000001</v>
      </c>
      <c r="F16" s="383">
        <v>0.25345000000000001</v>
      </c>
      <c r="G16" s="383">
        <v>0.25345000000000001</v>
      </c>
      <c r="H16" s="383">
        <v>0.25345000000000001</v>
      </c>
      <c r="I16" s="383">
        <v>0.25345000000000001</v>
      </c>
      <c r="J16" s="383">
        <v>0.25345000000000001</v>
      </c>
      <c r="K16" s="383">
        <v>0.25345000000000001</v>
      </c>
      <c r="L16" s="383">
        <v>0.25345000000000001</v>
      </c>
      <c r="M16" s="383">
        <v>0.25345000000000001</v>
      </c>
      <c r="N16" s="383">
        <v>0.25345000000000001</v>
      </c>
    </row>
    <row r="17" spans="1:14" ht="21.6" hidden="1" customHeight="1">
      <c r="A17" s="385">
        <v>43132</v>
      </c>
      <c r="B17" s="385"/>
      <c r="D17" s="383">
        <v>0.25345000000000001</v>
      </c>
      <c r="E17" s="383">
        <v>0.25345000000000001</v>
      </c>
      <c r="F17" s="383">
        <v>0.25345000000000001</v>
      </c>
      <c r="G17" s="383">
        <v>0.25345000000000001</v>
      </c>
      <c r="H17" s="383">
        <v>0.25345000000000001</v>
      </c>
      <c r="I17" s="383">
        <v>0.25345000000000001</v>
      </c>
      <c r="J17" s="383">
        <v>0.25345000000000001</v>
      </c>
      <c r="K17" s="383">
        <v>0.25345000000000001</v>
      </c>
      <c r="L17" s="383">
        <v>0.25345000000000001</v>
      </c>
      <c r="M17" s="383">
        <v>0.25345000000000001</v>
      </c>
      <c r="N17" s="383">
        <v>0.25345000000000001</v>
      </c>
    </row>
    <row r="18" spans="1:14" ht="21.6" hidden="1" customHeight="1">
      <c r="A18" s="385">
        <v>43160</v>
      </c>
      <c r="B18" s="385"/>
      <c r="E18" s="383">
        <v>0.25345000000000001</v>
      </c>
      <c r="F18" s="383">
        <v>0.25345000000000001</v>
      </c>
      <c r="G18" s="383">
        <v>0.25345000000000001</v>
      </c>
      <c r="H18" s="383">
        <v>0.25345000000000001</v>
      </c>
      <c r="I18" s="383">
        <v>0.25345000000000001</v>
      </c>
      <c r="J18" s="383">
        <v>0.25345000000000001</v>
      </c>
      <c r="K18" s="383">
        <v>0.25345000000000001</v>
      </c>
      <c r="L18" s="383">
        <v>0.25345000000000001</v>
      </c>
      <c r="M18" s="383">
        <v>0.25345000000000001</v>
      </c>
      <c r="N18" s="383">
        <v>0.25345000000000001</v>
      </c>
    </row>
    <row r="19" spans="1:14" ht="21.6" hidden="1" customHeight="1">
      <c r="A19" s="385">
        <v>43191</v>
      </c>
      <c r="B19" s="385"/>
      <c r="F19" s="383">
        <v>0.25345000000000001</v>
      </c>
      <c r="G19" s="383">
        <v>0.25345000000000001</v>
      </c>
      <c r="H19" s="383">
        <v>0.25345000000000001</v>
      </c>
      <c r="I19" s="383">
        <v>0.25345000000000001</v>
      </c>
      <c r="J19" s="383">
        <v>0.25345000000000001</v>
      </c>
      <c r="K19" s="383">
        <v>0.25345000000000001</v>
      </c>
      <c r="L19" s="383">
        <v>0.25345000000000001</v>
      </c>
      <c r="M19" s="383">
        <v>0.25345000000000001</v>
      </c>
      <c r="N19" s="383">
        <v>0.25345000000000001</v>
      </c>
    </row>
    <row r="20" spans="1:14" ht="21.6" hidden="1" customHeight="1">
      <c r="A20" s="385">
        <v>43221</v>
      </c>
      <c r="B20" s="385"/>
      <c r="G20" s="383">
        <v>0.25345000000000001</v>
      </c>
      <c r="H20" s="383">
        <v>0.25345000000000001</v>
      </c>
      <c r="I20" s="383">
        <v>0.25345000000000001</v>
      </c>
      <c r="J20" s="383">
        <v>0.25345000000000001</v>
      </c>
      <c r="K20" s="383">
        <v>0.25345000000000001</v>
      </c>
      <c r="L20" s="383">
        <v>0.25345000000000001</v>
      </c>
      <c r="M20" s="383">
        <v>0.25345000000000001</v>
      </c>
      <c r="N20" s="383">
        <v>0.25345000000000001</v>
      </c>
    </row>
    <row r="21" spans="1:14" ht="21.6" hidden="1" customHeight="1">
      <c r="A21" s="385">
        <v>43252</v>
      </c>
      <c r="B21" s="385"/>
      <c r="H21" s="383">
        <v>0.25345000000000001</v>
      </c>
      <c r="I21" s="383">
        <v>0.25345000000000001</v>
      </c>
      <c r="J21" s="383">
        <v>0.25345000000000001</v>
      </c>
      <c r="K21" s="383">
        <v>0.25345000000000001</v>
      </c>
      <c r="L21" s="383">
        <v>0.25345000000000001</v>
      </c>
      <c r="M21" s="383">
        <v>0.25345000000000001</v>
      </c>
      <c r="N21" s="383">
        <v>0.25345000000000001</v>
      </c>
    </row>
    <row r="22" spans="1:14" ht="21.6" hidden="1" customHeight="1">
      <c r="A22" s="385">
        <v>43282</v>
      </c>
      <c r="B22" s="385"/>
      <c r="I22" s="383">
        <v>0.25345000000000001</v>
      </c>
      <c r="J22" s="383">
        <v>0.25345000000000001</v>
      </c>
      <c r="K22" s="383">
        <v>0.25345000000000001</v>
      </c>
      <c r="L22" s="383">
        <v>0.25345000000000001</v>
      </c>
      <c r="M22" s="383">
        <v>0.25345000000000001</v>
      </c>
      <c r="N22" s="383">
        <v>0.25345000000000001</v>
      </c>
    </row>
    <row r="23" spans="1:14" ht="21.6" hidden="1" customHeight="1">
      <c r="A23" s="385">
        <v>43313</v>
      </c>
      <c r="B23" s="385"/>
      <c r="J23" s="383">
        <v>0.25345000000000001</v>
      </c>
      <c r="K23" s="383">
        <v>0.25345000000000001</v>
      </c>
      <c r="L23" s="383">
        <v>0.25345000000000001</v>
      </c>
      <c r="M23" s="383">
        <v>0.25345000000000001</v>
      </c>
      <c r="N23" s="383">
        <v>0.25345000000000001</v>
      </c>
    </row>
    <row r="24" spans="1:14" ht="21.6" hidden="1" customHeight="1">
      <c r="A24" s="385">
        <v>43344</v>
      </c>
      <c r="B24" s="385"/>
      <c r="K24" s="383">
        <v>0.25345000000000001</v>
      </c>
      <c r="L24" s="383">
        <v>0.25345000000000001</v>
      </c>
      <c r="M24" s="383">
        <v>0.25345000000000001</v>
      </c>
      <c r="N24" s="383">
        <v>0.25345000000000001</v>
      </c>
    </row>
    <row r="25" spans="1:14" ht="21.6" hidden="1" customHeight="1">
      <c r="A25" s="385">
        <v>43374</v>
      </c>
      <c r="B25" s="385"/>
      <c r="L25" s="383">
        <v>0.25345000000000001</v>
      </c>
      <c r="M25" s="383">
        <v>0.25345000000000001</v>
      </c>
      <c r="N25" s="383">
        <v>0.25345000000000001</v>
      </c>
    </row>
    <row r="26" spans="1:14" ht="21.6" hidden="1" customHeight="1">
      <c r="A26" s="385">
        <v>43405</v>
      </c>
      <c r="B26" s="385"/>
      <c r="M26" s="383">
        <v>0.25345000000000001</v>
      </c>
      <c r="N26" s="383">
        <v>0.25345000000000001</v>
      </c>
    </row>
    <row r="27" spans="1:14" ht="21.6" hidden="1" customHeight="1">
      <c r="A27" s="385">
        <v>43435</v>
      </c>
      <c r="B27" s="385"/>
      <c r="N27" s="383">
        <v>0.25345000000000001</v>
      </c>
    </row>
    <row r="28" spans="1:14" ht="15" hidden="1">
      <c r="A28" s="386"/>
      <c r="B28" s="386"/>
    </row>
    <row r="29" spans="1:14" ht="16.5" hidden="1" thickBot="1">
      <c r="A29" s="387" t="s">
        <v>318</v>
      </c>
      <c r="B29" s="388">
        <f>ROUND(SUM(B4:B27)/12,5)</f>
        <v>0.38574999999999998</v>
      </c>
      <c r="C29" s="389">
        <f>ROUND(SUM(C4:C27)/12,5)</f>
        <v>0.37473000000000001</v>
      </c>
      <c r="D29" s="389">
        <f t="shared" ref="D29:M29" si="0">SUM(D4:D27)/12</f>
        <v>0.36369999999999991</v>
      </c>
      <c r="E29" s="389">
        <f t="shared" si="0"/>
        <v>0.35267499999999991</v>
      </c>
      <c r="F29" s="389">
        <f t="shared" si="0"/>
        <v>0.34164999999999995</v>
      </c>
      <c r="G29" s="389">
        <f t="shared" si="0"/>
        <v>0.33062499999999995</v>
      </c>
      <c r="H29" s="389">
        <f t="shared" si="0"/>
        <v>0.31959999999999994</v>
      </c>
      <c r="I29" s="389">
        <f t="shared" si="0"/>
        <v>0.30857499999999999</v>
      </c>
      <c r="J29" s="389">
        <f t="shared" si="0"/>
        <v>0.29754999999999998</v>
      </c>
      <c r="K29" s="389">
        <f t="shared" si="0"/>
        <v>0.28652499999999997</v>
      </c>
      <c r="L29" s="389">
        <f t="shared" si="0"/>
        <v>0.27549999999999997</v>
      </c>
      <c r="M29" s="389">
        <f t="shared" si="0"/>
        <v>0.26447499999999996</v>
      </c>
      <c r="N29" s="389">
        <f>SUM(N4:N27)/12</f>
        <v>0.25345000000000001</v>
      </c>
    </row>
    <row r="30" spans="1:14" ht="20.45" hidden="1" customHeight="1" thickTop="1">
      <c r="A30" s="387" t="s">
        <v>318</v>
      </c>
      <c r="B30" s="390">
        <f>1-B29</f>
        <v>0.61424999999999996</v>
      </c>
      <c r="C30" s="391">
        <f>1-C29</f>
        <v>0.62526999999999999</v>
      </c>
      <c r="D30" s="391">
        <f t="shared" ref="D30:N30" si="1">1-D29</f>
        <v>0.63630000000000009</v>
      </c>
      <c r="E30" s="391">
        <f t="shared" si="1"/>
        <v>0.64732500000000015</v>
      </c>
      <c r="F30" s="391">
        <f t="shared" si="1"/>
        <v>0.65834999999999999</v>
      </c>
      <c r="G30" s="391">
        <f t="shared" si="1"/>
        <v>0.66937500000000005</v>
      </c>
      <c r="H30" s="391">
        <f t="shared" si="1"/>
        <v>0.68040000000000012</v>
      </c>
      <c r="I30" s="391">
        <f t="shared" si="1"/>
        <v>0.69142499999999996</v>
      </c>
      <c r="J30" s="391">
        <f t="shared" si="1"/>
        <v>0.70245000000000002</v>
      </c>
      <c r="K30" s="391">
        <f t="shared" si="1"/>
        <v>0.71347500000000008</v>
      </c>
      <c r="L30" s="391">
        <f t="shared" si="1"/>
        <v>0.72450000000000003</v>
      </c>
      <c r="M30" s="391">
        <f t="shared" si="1"/>
        <v>0.73552499999999998</v>
      </c>
      <c r="N30" s="391">
        <f t="shared" si="1"/>
        <v>0.74655000000000005</v>
      </c>
    </row>
    <row r="31" spans="1:14" s="394" customFormat="1" ht="18.75" hidden="1">
      <c r="A31" s="392"/>
      <c r="B31" s="392"/>
      <c r="C31" s="393">
        <v>43101</v>
      </c>
      <c r="D31" s="393">
        <v>43132</v>
      </c>
      <c r="E31" s="393">
        <v>43160</v>
      </c>
      <c r="F31" s="393">
        <v>43191</v>
      </c>
      <c r="G31" s="393">
        <v>43221</v>
      </c>
      <c r="H31" s="393">
        <v>43252</v>
      </c>
      <c r="I31" s="393">
        <v>43282</v>
      </c>
      <c r="J31" s="393">
        <v>43313</v>
      </c>
      <c r="K31" s="393">
        <v>43344</v>
      </c>
      <c r="L31" s="393">
        <v>43374</v>
      </c>
      <c r="M31" s="393">
        <v>43405</v>
      </c>
      <c r="N31" s="393">
        <v>43435</v>
      </c>
    </row>
    <row r="32" spans="1:14" ht="15" hidden="1">
      <c r="A32" s="386"/>
      <c r="B32" s="395" t="s">
        <v>319</v>
      </c>
      <c r="C32" s="396" t="s">
        <v>320</v>
      </c>
      <c r="D32" s="396" t="s">
        <v>320</v>
      </c>
      <c r="E32" s="396" t="s">
        <v>320</v>
      </c>
      <c r="F32" s="396" t="s">
        <v>320</v>
      </c>
      <c r="G32" s="396" t="s">
        <v>320</v>
      </c>
      <c r="H32" s="396" t="s">
        <v>320</v>
      </c>
      <c r="I32" s="396" t="s">
        <v>320</v>
      </c>
      <c r="J32" s="396" t="s">
        <v>320</v>
      </c>
      <c r="K32" s="396" t="s">
        <v>320</v>
      </c>
      <c r="L32" s="396" t="s">
        <v>320</v>
      </c>
      <c r="M32" s="396" t="s">
        <v>320</v>
      </c>
      <c r="N32" s="396" t="s">
        <v>320</v>
      </c>
    </row>
    <row r="33" spans="1:14" ht="15" hidden="1">
      <c r="A33" s="386"/>
      <c r="B33" s="395" t="s">
        <v>321</v>
      </c>
      <c r="C33" s="396" t="s">
        <v>322</v>
      </c>
      <c r="D33" s="396" t="s">
        <v>322</v>
      </c>
      <c r="E33" s="396" t="s">
        <v>322</v>
      </c>
      <c r="F33" s="396" t="s">
        <v>322</v>
      </c>
      <c r="G33" s="396" t="s">
        <v>322</v>
      </c>
      <c r="H33" s="396" t="s">
        <v>322</v>
      </c>
      <c r="I33" s="396" t="s">
        <v>322</v>
      </c>
      <c r="J33" s="396" t="s">
        <v>322</v>
      </c>
      <c r="K33" s="396" t="s">
        <v>322</v>
      </c>
      <c r="L33" s="396" t="s">
        <v>322</v>
      </c>
      <c r="M33" s="396" t="s">
        <v>322</v>
      </c>
      <c r="N33" s="396" t="s">
        <v>322</v>
      </c>
    </row>
    <row r="34" spans="1:14" ht="15" hidden="1">
      <c r="B34" s="395" t="s">
        <v>323</v>
      </c>
      <c r="C34" s="396" t="s">
        <v>324</v>
      </c>
      <c r="D34" s="396" t="s">
        <v>324</v>
      </c>
      <c r="E34" s="396" t="s">
        <v>324</v>
      </c>
      <c r="F34" s="396" t="s">
        <v>324</v>
      </c>
      <c r="G34" s="396" t="s">
        <v>324</v>
      </c>
      <c r="H34" s="396" t="s">
        <v>324</v>
      </c>
      <c r="I34" s="396" t="s">
        <v>324</v>
      </c>
      <c r="J34" s="396" t="s">
        <v>324</v>
      </c>
      <c r="K34" s="396" t="s">
        <v>324</v>
      </c>
      <c r="L34" s="396" t="s">
        <v>324</v>
      </c>
      <c r="M34" s="396" t="s">
        <v>324</v>
      </c>
      <c r="N34" s="396" t="s">
        <v>324</v>
      </c>
    </row>
    <row r="35" spans="1:14" ht="15">
      <c r="B35" s="397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</row>
    <row r="36" spans="1:14">
      <c r="A36" s="383" t="s">
        <v>325</v>
      </c>
      <c r="B36" s="655">
        <v>0.25345000000000001</v>
      </c>
      <c r="C36" s="397"/>
      <c r="D36" s="397"/>
      <c r="E36" s="397"/>
      <c r="F36" s="397"/>
      <c r="G36" s="397"/>
      <c r="H36" s="397"/>
      <c r="I36" s="397"/>
      <c r="J36" s="397"/>
      <c r="K36" s="397"/>
      <c r="L36" s="397"/>
      <c r="M36" s="397"/>
      <c r="N36" s="397"/>
    </row>
    <row r="37" spans="1:14">
      <c r="A37" s="383" t="s">
        <v>325</v>
      </c>
      <c r="B37" s="656">
        <f>1-B36</f>
        <v>0.74655000000000005</v>
      </c>
      <c r="C37" s="397"/>
      <c r="D37" s="397"/>
      <c r="E37" s="397"/>
      <c r="F37" s="397"/>
      <c r="G37" s="397"/>
      <c r="H37" s="397"/>
      <c r="I37" s="397"/>
      <c r="J37" s="397"/>
      <c r="K37" s="397"/>
      <c r="L37" s="397"/>
      <c r="M37" s="397"/>
      <c r="N37" s="397"/>
    </row>
    <row r="38" spans="1:14"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</row>
    <row r="39" spans="1:14">
      <c r="B39" s="397"/>
      <c r="C39" s="397"/>
      <c r="D39" s="397"/>
      <c r="E39" s="397"/>
      <c r="F39" s="397"/>
      <c r="G39" s="397"/>
      <c r="H39" s="397"/>
      <c r="I39" s="397"/>
      <c r="J39" s="397"/>
      <c r="K39" s="397"/>
      <c r="L39" s="397"/>
      <c r="M39" s="397"/>
      <c r="N39" s="39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002060"/>
    <pageSetUpPr fitToPage="1"/>
  </sheetPr>
  <dimension ref="A1:U280"/>
  <sheetViews>
    <sheetView workbookViewId="0">
      <pane xSplit="1" ySplit="223" topLeftCell="B260" activePane="bottomRight" state="frozen"/>
      <selection pane="topRight" activeCell="B1" sqref="B1"/>
      <selection pane="bottomLeft" activeCell="A224" sqref="A224"/>
      <selection pane="bottomRight" activeCell="C278" sqref="C278"/>
    </sheetView>
  </sheetViews>
  <sheetFormatPr defaultRowHeight="12.75" outlineLevelRow="1"/>
  <cols>
    <col min="1" max="1" width="11.7109375" style="808" bestFit="1" customWidth="1"/>
    <col min="2" max="2" width="18.42578125" style="808" customWidth="1"/>
    <col min="3" max="3" width="12.5703125" style="808" bestFit="1" customWidth="1"/>
    <col min="4" max="4" width="20.42578125" style="808" customWidth="1"/>
    <col min="5" max="5" width="12.5703125" style="808" bestFit="1" customWidth="1"/>
    <col min="6" max="6" width="18.7109375" style="808" bestFit="1" customWidth="1"/>
    <col min="7" max="7" width="16.5703125" style="808" customWidth="1"/>
    <col min="8" max="8" width="18.140625" style="808" hidden="1" customWidth="1"/>
    <col min="9" max="9" width="18.28515625" style="808" hidden="1" customWidth="1"/>
    <col min="10" max="10" width="18.28515625" style="808" bestFit="1" customWidth="1"/>
    <col min="11" max="11" width="11.85546875" style="808" bestFit="1" customWidth="1"/>
    <col min="12" max="12" width="12.28515625" style="808" bestFit="1" customWidth="1"/>
    <col min="13" max="13" width="10.42578125" style="808" customWidth="1"/>
    <col min="14" max="14" width="9.28515625" style="808" bestFit="1" customWidth="1"/>
    <col min="15" max="18" width="8.85546875" style="808"/>
    <col min="19" max="19" width="19.85546875" style="808" bestFit="1" customWidth="1"/>
    <col min="20" max="20" width="10.42578125" style="808" bestFit="1" customWidth="1"/>
    <col min="21" max="21" width="18.85546875" style="808" customWidth="1"/>
    <col min="22" max="256" width="8.85546875" style="808"/>
    <col min="257" max="257" width="11.7109375" style="808" bestFit="1" customWidth="1"/>
    <col min="258" max="258" width="18.42578125" style="808" customWidth="1"/>
    <col min="259" max="259" width="12.5703125" style="808" bestFit="1" customWidth="1"/>
    <col min="260" max="260" width="20.42578125" style="808" customWidth="1"/>
    <col min="261" max="261" width="12.5703125" style="808" bestFit="1" customWidth="1"/>
    <col min="262" max="262" width="18.7109375" style="808" bestFit="1" customWidth="1"/>
    <col min="263" max="263" width="16.5703125" style="808" customWidth="1"/>
    <col min="264" max="265" width="0" style="808" hidden="1" customWidth="1"/>
    <col min="266" max="266" width="18.28515625" style="808" bestFit="1" customWidth="1"/>
    <col min="267" max="267" width="11.85546875" style="808" bestFit="1" customWidth="1"/>
    <col min="268" max="268" width="12.28515625" style="808" bestFit="1" customWidth="1"/>
    <col min="269" max="269" width="10.42578125" style="808" customWidth="1"/>
    <col min="270" max="270" width="9.28515625" style="808" bestFit="1" customWidth="1"/>
    <col min="271" max="274" width="8.85546875" style="808"/>
    <col min="275" max="275" width="19.85546875" style="808" bestFit="1" customWidth="1"/>
    <col min="276" max="276" width="10.42578125" style="808" bestFit="1" customWidth="1"/>
    <col min="277" max="277" width="18.85546875" style="808" customWidth="1"/>
    <col min="278" max="512" width="8.85546875" style="808"/>
    <col min="513" max="513" width="11.7109375" style="808" bestFit="1" customWidth="1"/>
    <col min="514" max="514" width="18.42578125" style="808" customWidth="1"/>
    <col min="515" max="515" width="12.5703125" style="808" bestFit="1" customWidth="1"/>
    <col min="516" max="516" width="20.42578125" style="808" customWidth="1"/>
    <col min="517" max="517" width="12.5703125" style="808" bestFit="1" customWidth="1"/>
    <col min="518" max="518" width="18.7109375" style="808" bestFit="1" customWidth="1"/>
    <col min="519" max="519" width="16.5703125" style="808" customWidth="1"/>
    <col min="520" max="521" width="0" style="808" hidden="1" customWidth="1"/>
    <col min="522" max="522" width="18.28515625" style="808" bestFit="1" customWidth="1"/>
    <col min="523" max="523" width="11.85546875" style="808" bestFit="1" customWidth="1"/>
    <col min="524" max="524" width="12.28515625" style="808" bestFit="1" customWidth="1"/>
    <col min="525" max="525" width="10.42578125" style="808" customWidth="1"/>
    <col min="526" max="526" width="9.28515625" style="808" bestFit="1" customWidth="1"/>
    <col min="527" max="530" width="8.85546875" style="808"/>
    <col min="531" max="531" width="19.85546875" style="808" bestFit="1" customWidth="1"/>
    <col min="532" max="532" width="10.42578125" style="808" bestFit="1" customWidth="1"/>
    <col min="533" max="533" width="18.85546875" style="808" customWidth="1"/>
    <col min="534" max="768" width="8.85546875" style="808"/>
    <col min="769" max="769" width="11.7109375" style="808" bestFit="1" customWidth="1"/>
    <col min="770" max="770" width="18.42578125" style="808" customWidth="1"/>
    <col min="771" max="771" width="12.5703125" style="808" bestFit="1" customWidth="1"/>
    <col min="772" max="772" width="20.42578125" style="808" customWidth="1"/>
    <col min="773" max="773" width="12.5703125" style="808" bestFit="1" customWidth="1"/>
    <col min="774" max="774" width="18.7109375" style="808" bestFit="1" customWidth="1"/>
    <col min="775" max="775" width="16.5703125" style="808" customWidth="1"/>
    <col min="776" max="777" width="0" style="808" hidden="1" customWidth="1"/>
    <col min="778" max="778" width="18.28515625" style="808" bestFit="1" customWidth="1"/>
    <col min="779" max="779" width="11.85546875" style="808" bestFit="1" customWidth="1"/>
    <col min="780" max="780" width="12.28515625" style="808" bestFit="1" customWidth="1"/>
    <col min="781" max="781" width="10.42578125" style="808" customWidth="1"/>
    <col min="782" max="782" width="9.28515625" style="808" bestFit="1" customWidth="1"/>
    <col min="783" max="786" width="8.85546875" style="808"/>
    <col min="787" max="787" width="19.85546875" style="808" bestFit="1" customWidth="1"/>
    <col min="788" max="788" width="10.42578125" style="808" bestFit="1" customWidth="1"/>
    <col min="789" max="789" width="18.85546875" style="808" customWidth="1"/>
    <col min="790" max="1024" width="8.85546875" style="808"/>
    <col min="1025" max="1025" width="11.7109375" style="808" bestFit="1" customWidth="1"/>
    <col min="1026" max="1026" width="18.42578125" style="808" customWidth="1"/>
    <col min="1027" max="1027" width="12.5703125" style="808" bestFit="1" customWidth="1"/>
    <col min="1028" max="1028" width="20.42578125" style="808" customWidth="1"/>
    <col min="1029" max="1029" width="12.5703125" style="808" bestFit="1" customWidth="1"/>
    <col min="1030" max="1030" width="18.7109375" style="808" bestFit="1" customWidth="1"/>
    <col min="1031" max="1031" width="16.5703125" style="808" customWidth="1"/>
    <col min="1032" max="1033" width="0" style="808" hidden="1" customWidth="1"/>
    <col min="1034" max="1034" width="18.28515625" style="808" bestFit="1" customWidth="1"/>
    <col min="1035" max="1035" width="11.85546875" style="808" bestFit="1" customWidth="1"/>
    <col min="1036" max="1036" width="12.28515625" style="808" bestFit="1" customWidth="1"/>
    <col min="1037" max="1037" width="10.42578125" style="808" customWidth="1"/>
    <col min="1038" max="1038" width="9.28515625" style="808" bestFit="1" customWidth="1"/>
    <col min="1039" max="1042" width="8.85546875" style="808"/>
    <col min="1043" max="1043" width="19.85546875" style="808" bestFit="1" customWidth="1"/>
    <col min="1044" max="1044" width="10.42578125" style="808" bestFit="1" customWidth="1"/>
    <col min="1045" max="1045" width="18.85546875" style="808" customWidth="1"/>
    <col min="1046" max="1280" width="8.85546875" style="808"/>
    <col min="1281" max="1281" width="11.7109375" style="808" bestFit="1" customWidth="1"/>
    <col min="1282" max="1282" width="18.42578125" style="808" customWidth="1"/>
    <col min="1283" max="1283" width="12.5703125" style="808" bestFit="1" customWidth="1"/>
    <col min="1284" max="1284" width="20.42578125" style="808" customWidth="1"/>
    <col min="1285" max="1285" width="12.5703125" style="808" bestFit="1" customWidth="1"/>
    <col min="1286" max="1286" width="18.7109375" style="808" bestFit="1" customWidth="1"/>
    <col min="1287" max="1287" width="16.5703125" style="808" customWidth="1"/>
    <col min="1288" max="1289" width="0" style="808" hidden="1" customWidth="1"/>
    <col min="1290" max="1290" width="18.28515625" style="808" bestFit="1" customWidth="1"/>
    <col min="1291" max="1291" width="11.85546875" style="808" bestFit="1" customWidth="1"/>
    <col min="1292" max="1292" width="12.28515625" style="808" bestFit="1" customWidth="1"/>
    <col min="1293" max="1293" width="10.42578125" style="808" customWidth="1"/>
    <col min="1294" max="1294" width="9.28515625" style="808" bestFit="1" customWidth="1"/>
    <col min="1295" max="1298" width="8.85546875" style="808"/>
    <col min="1299" max="1299" width="19.85546875" style="808" bestFit="1" customWidth="1"/>
    <col min="1300" max="1300" width="10.42578125" style="808" bestFit="1" customWidth="1"/>
    <col min="1301" max="1301" width="18.85546875" style="808" customWidth="1"/>
    <col min="1302" max="1536" width="8.85546875" style="808"/>
    <col min="1537" max="1537" width="11.7109375" style="808" bestFit="1" customWidth="1"/>
    <col min="1538" max="1538" width="18.42578125" style="808" customWidth="1"/>
    <col min="1539" max="1539" width="12.5703125" style="808" bestFit="1" customWidth="1"/>
    <col min="1540" max="1540" width="20.42578125" style="808" customWidth="1"/>
    <col min="1541" max="1541" width="12.5703125" style="808" bestFit="1" customWidth="1"/>
    <col min="1542" max="1542" width="18.7109375" style="808" bestFit="1" customWidth="1"/>
    <col min="1543" max="1543" width="16.5703125" style="808" customWidth="1"/>
    <col min="1544" max="1545" width="0" style="808" hidden="1" customWidth="1"/>
    <col min="1546" max="1546" width="18.28515625" style="808" bestFit="1" customWidth="1"/>
    <col min="1547" max="1547" width="11.85546875" style="808" bestFit="1" customWidth="1"/>
    <col min="1548" max="1548" width="12.28515625" style="808" bestFit="1" customWidth="1"/>
    <col min="1549" max="1549" width="10.42578125" style="808" customWidth="1"/>
    <col min="1550" max="1550" width="9.28515625" style="808" bestFit="1" customWidth="1"/>
    <col min="1551" max="1554" width="8.85546875" style="808"/>
    <col min="1555" max="1555" width="19.85546875" style="808" bestFit="1" customWidth="1"/>
    <col min="1556" max="1556" width="10.42578125" style="808" bestFit="1" customWidth="1"/>
    <col min="1557" max="1557" width="18.85546875" style="808" customWidth="1"/>
    <col min="1558" max="1792" width="8.85546875" style="808"/>
    <col min="1793" max="1793" width="11.7109375" style="808" bestFit="1" customWidth="1"/>
    <col min="1794" max="1794" width="18.42578125" style="808" customWidth="1"/>
    <col min="1795" max="1795" width="12.5703125" style="808" bestFit="1" customWidth="1"/>
    <col min="1796" max="1796" width="20.42578125" style="808" customWidth="1"/>
    <col min="1797" max="1797" width="12.5703125" style="808" bestFit="1" customWidth="1"/>
    <col min="1798" max="1798" width="18.7109375" style="808" bestFit="1" customWidth="1"/>
    <col min="1799" max="1799" width="16.5703125" style="808" customWidth="1"/>
    <col min="1800" max="1801" width="0" style="808" hidden="1" customWidth="1"/>
    <col min="1802" max="1802" width="18.28515625" style="808" bestFit="1" customWidth="1"/>
    <col min="1803" max="1803" width="11.85546875" style="808" bestFit="1" customWidth="1"/>
    <col min="1804" max="1804" width="12.28515625" style="808" bestFit="1" customWidth="1"/>
    <col min="1805" max="1805" width="10.42578125" style="808" customWidth="1"/>
    <col min="1806" max="1806" width="9.28515625" style="808" bestFit="1" customWidth="1"/>
    <col min="1807" max="1810" width="8.85546875" style="808"/>
    <col min="1811" max="1811" width="19.85546875" style="808" bestFit="1" customWidth="1"/>
    <col min="1812" max="1812" width="10.42578125" style="808" bestFit="1" customWidth="1"/>
    <col min="1813" max="1813" width="18.85546875" style="808" customWidth="1"/>
    <col min="1814" max="2048" width="8.85546875" style="808"/>
    <col min="2049" max="2049" width="11.7109375" style="808" bestFit="1" customWidth="1"/>
    <col min="2050" max="2050" width="18.42578125" style="808" customWidth="1"/>
    <col min="2051" max="2051" width="12.5703125" style="808" bestFit="1" customWidth="1"/>
    <col min="2052" max="2052" width="20.42578125" style="808" customWidth="1"/>
    <col min="2053" max="2053" width="12.5703125" style="808" bestFit="1" customWidth="1"/>
    <col min="2054" max="2054" width="18.7109375" style="808" bestFit="1" customWidth="1"/>
    <col min="2055" max="2055" width="16.5703125" style="808" customWidth="1"/>
    <col min="2056" max="2057" width="0" style="808" hidden="1" customWidth="1"/>
    <col min="2058" max="2058" width="18.28515625" style="808" bestFit="1" customWidth="1"/>
    <col min="2059" max="2059" width="11.85546875" style="808" bestFit="1" customWidth="1"/>
    <col min="2060" max="2060" width="12.28515625" style="808" bestFit="1" customWidth="1"/>
    <col min="2061" max="2061" width="10.42578125" style="808" customWidth="1"/>
    <col min="2062" max="2062" width="9.28515625" style="808" bestFit="1" customWidth="1"/>
    <col min="2063" max="2066" width="8.85546875" style="808"/>
    <col min="2067" max="2067" width="19.85546875" style="808" bestFit="1" customWidth="1"/>
    <col min="2068" max="2068" width="10.42578125" style="808" bestFit="1" customWidth="1"/>
    <col min="2069" max="2069" width="18.85546875" style="808" customWidth="1"/>
    <col min="2070" max="2304" width="8.85546875" style="808"/>
    <col min="2305" max="2305" width="11.7109375" style="808" bestFit="1" customWidth="1"/>
    <col min="2306" max="2306" width="18.42578125" style="808" customWidth="1"/>
    <col min="2307" max="2307" width="12.5703125" style="808" bestFit="1" customWidth="1"/>
    <col min="2308" max="2308" width="20.42578125" style="808" customWidth="1"/>
    <col min="2309" max="2309" width="12.5703125" style="808" bestFit="1" customWidth="1"/>
    <col min="2310" max="2310" width="18.7109375" style="808" bestFit="1" customWidth="1"/>
    <col min="2311" max="2311" width="16.5703125" style="808" customWidth="1"/>
    <col min="2312" max="2313" width="0" style="808" hidden="1" customWidth="1"/>
    <col min="2314" max="2314" width="18.28515625" style="808" bestFit="1" customWidth="1"/>
    <col min="2315" max="2315" width="11.85546875" style="808" bestFit="1" customWidth="1"/>
    <col min="2316" max="2316" width="12.28515625" style="808" bestFit="1" customWidth="1"/>
    <col min="2317" max="2317" width="10.42578125" style="808" customWidth="1"/>
    <col min="2318" max="2318" width="9.28515625" style="808" bestFit="1" customWidth="1"/>
    <col min="2319" max="2322" width="8.85546875" style="808"/>
    <col min="2323" max="2323" width="19.85546875" style="808" bestFit="1" customWidth="1"/>
    <col min="2324" max="2324" width="10.42578125" style="808" bestFit="1" customWidth="1"/>
    <col min="2325" max="2325" width="18.85546875" style="808" customWidth="1"/>
    <col min="2326" max="2560" width="8.85546875" style="808"/>
    <col min="2561" max="2561" width="11.7109375" style="808" bestFit="1" customWidth="1"/>
    <col min="2562" max="2562" width="18.42578125" style="808" customWidth="1"/>
    <col min="2563" max="2563" width="12.5703125" style="808" bestFit="1" customWidth="1"/>
    <col min="2564" max="2564" width="20.42578125" style="808" customWidth="1"/>
    <col min="2565" max="2565" width="12.5703125" style="808" bestFit="1" customWidth="1"/>
    <col min="2566" max="2566" width="18.7109375" style="808" bestFit="1" customWidth="1"/>
    <col min="2567" max="2567" width="16.5703125" style="808" customWidth="1"/>
    <col min="2568" max="2569" width="0" style="808" hidden="1" customWidth="1"/>
    <col min="2570" max="2570" width="18.28515625" style="808" bestFit="1" customWidth="1"/>
    <col min="2571" max="2571" width="11.85546875" style="808" bestFit="1" customWidth="1"/>
    <col min="2572" max="2572" width="12.28515625" style="808" bestFit="1" customWidth="1"/>
    <col min="2573" max="2573" width="10.42578125" style="808" customWidth="1"/>
    <col min="2574" max="2574" width="9.28515625" style="808" bestFit="1" customWidth="1"/>
    <col min="2575" max="2578" width="8.85546875" style="808"/>
    <col min="2579" max="2579" width="19.85546875" style="808" bestFit="1" customWidth="1"/>
    <col min="2580" max="2580" width="10.42578125" style="808" bestFit="1" customWidth="1"/>
    <col min="2581" max="2581" width="18.85546875" style="808" customWidth="1"/>
    <col min="2582" max="2816" width="8.85546875" style="808"/>
    <col min="2817" max="2817" width="11.7109375" style="808" bestFit="1" customWidth="1"/>
    <col min="2818" max="2818" width="18.42578125" style="808" customWidth="1"/>
    <col min="2819" max="2819" width="12.5703125" style="808" bestFit="1" customWidth="1"/>
    <col min="2820" max="2820" width="20.42578125" style="808" customWidth="1"/>
    <col min="2821" max="2821" width="12.5703125" style="808" bestFit="1" customWidth="1"/>
    <col min="2822" max="2822" width="18.7109375" style="808" bestFit="1" customWidth="1"/>
    <col min="2823" max="2823" width="16.5703125" style="808" customWidth="1"/>
    <col min="2824" max="2825" width="0" style="808" hidden="1" customWidth="1"/>
    <col min="2826" max="2826" width="18.28515625" style="808" bestFit="1" customWidth="1"/>
    <col min="2827" max="2827" width="11.85546875" style="808" bestFit="1" customWidth="1"/>
    <col min="2828" max="2828" width="12.28515625" style="808" bestFit="1" customWidth="1"/>
    <col min="2829" max="2829" width="10.42578125" style="808" customWidth="1"/>
    <col min="2830" max="2830" width="9.28515625" style="808" bestFit="1" customWidth="1"/>
    <col min="2831" max="2834" width="8.85546875" style="808"/>
    <col min="2835" max="2835" width="19.85546875" style="808" bestFit="1" customWidth="1"/>
    <col min="2836" max="2836" width="10.42578125" style="808" bestFit="1" customWidth="1"/>
    <col min="2837" max="2837" width="18.85546875" style="808" customWidth="1"/>
    <col min="2838" max="3072" width="8.85546875" style="808"/>
    <col min="3073" max="3073" width="11.7109375" style="808" bestFit="1" customWidth="1"/>
    <col min="3074" max="3074" width="18.42578125" style="808" customWidth="1"/>
    <col min="3075" max="3075" width="12.5703125" style="808" bestFit="1" customWidth="1"/>
    <col min="3076" max="3076" width="20.42578125" style="808" customWidth="1"/>
    <col min="3077" max="3077" width="12.5703125" style="808" bestFit="1" customWidth="1"/>
    <col min="3078" max="3078" width="18.7109375" style="808" bestFit="1" customWidth="1"/>
    <col min="3079" max="3079" width="16.5703125" style="808" customWidth="1"/>
    <col min="3080" max="3081" width="0" style="808" hidden="1" customWidth="1"/>
    <col min="3082" max="3082" width="18.28515625" style="808" bestFit="1" customWidth="1"/>
    <col min="3083" max="3083" width="11.85546875" style="808" bestFit="1" customWidth="1"/>
    <col min="3084" max="3084" width="12.28515625" style="808" bestFit="1" customWidth="1"/>
    <col min="3085" max="3085" width="10.42578125" style="808" customWidth="1"/>
    <col min="3086" max="3086" width="9.28515625" style="808" bestFit="1" customWidth="1"/>
    <col min="3087" max="3090" width="8.85546875" style="808"/>
    <col min="3091" max="3091" width="19.85546875" style="808" bestFit="1" customWidth="1"/>
    <col min="3092" max="3092" width="10.42578125" style="808" bestFit="1" customWidth="1"/>
    <col min="3093" max="3093" width="18.85546875" style="808" customWidth="1"/>
    <col min="3094" max="3328" width="8.85546875" style="808"/>
    <col min="3329" max="3329" width="11.7109375" style="808" bestFit="1" customWidth="1"/>
    <col min="3330" max="3330" width="18.42578125" style="808" customWidth="1"/>
    <col min="3331" max="3331" width="12.5703125" style="808" bestFit="1" customWidth="1"/>
    <col min="3332" max="3332" width="20.42578125" style="808" customWidth="1"/>
    <col min="3333" max="3333" width="12.5703125" style="808" bestFit="1" customWidth="1"/>
    <col min="3334" max="3334" width="18.7109375" style="808" bestFit="1" customWidth="1"/>
    <col min="3335" max="3335" width="16.5703125" style="808" customWidth="1"/>
    <col min="3336" max="3337" width="0" style="808" hidden="1" customWidth="1"/>
    <col min="3338" max="3338" width="18.28515625" style="808" bestFit="1" customWidth="1"/>
    <col min="3339" max="3339" width="11.85546875" style="808" bestFit="1" customWidth="1"/>
    <col min="3340" max="3340" width="12.28515625" style="808" bestFit="1" customWidth="1"/>
    <col min="3341" max="3341" width="10.42578125" style="808" customWidth="1"/>
    <col min="3342" max="3342" width="9.28515625" style="808" bestFit="1" customWidth="1"/>
    <col min="3343" max="3346" width="8.85546875" style="808"/>
    <col min="3347" max="3347" width="19.85546875" style="808" bestFit="1" customWidth="1"/>
    <col min="3348" max="3348" width="10.42578125" style="808" bestFit="1" customWidth="1"/>
    <col min="3349" max="3349" width="18.85546875" style="808" customWidth="1"/>
    <col min="3350" max="3584" width="8.85546875" style="808"/>
    <col min="3585" max="3585" width="11.7109375" style="808" bestFit="1" customWidth="1"/>
    <col min="3586" max="3586" width="18.42578125" style="808" customWidth="1"/>
    <col min="3587" max="3587" width="12.5703125" style="808" bestFit="1" customWidth="1"/>
    <col min="3588" max="3588" width="20.42578125" style="808" customWidth="1"/>
    <col min="3589" max="3589" width="12.5703125" style="808" bestFit="1" customWidth="1"/>
    <col min="3590" max="3590" width="18.7109375" style="808" bestFit="1" customWidth="1"/>
    <col min="3591" max="3591" width="16.5703125" style="808" customWidth="1"/>
    <col min="3592" max="3593" width="0" style="808" hidden="1" customWidth="1"/>
    <col min="3594" max="3594" width="18.28515625" style="808" bestFit="1" customWidth="1"/>
    <col min="3595" max="3595" width="11.85546875" style="808" bestFit="1" customWidth="1"/>
    <col min="3596" max="3596" width="12.28515625" style="808" bestFit="1" customWidth="1"/>
    <col min="3597" max="3597" width="10.42578125" style="808" customWidth="1"/>
    <col min="3598" max="3598" width="9.28515625" style="808" bestFit="1" customWidth="1"/>
    <col min="3599" max="3602" width="8.85546875" style="808"/>
    <col min="3603" max="3603" width="19.85546875" style="808" bestFit="1" customWidth="1"/>
    <col min="3604" max="3604" width="10.42578125" style="808" bestFit="1" customWidth="1"/>
    <col min="3605" max="3605" width="18.85546875" style="808" customWidth="1"/>
    <col min="3606" max="3840" width="8.85546875" style="808"/>
    <col min="3841" max="3841" width="11.7109375" style="808" bestFit="1" customWidth="1"/>
    <col min="3842" max="3842" width="18.42578125" style="808" customWidth="1"/>
    <col min="3843" max="3843" width="12.5703125" style="808" bestFit="1" customWidth="1"/>
    <col min="3844" max="3844" width="20.42578125" style="808" customWidth="1"/>
    <col min="3845" max="3845" width="12.5703125" style="808" bestFit="1" customWidth="1"/>
    <col min="3846" max="3846" width="18.7109375" style="808" bestFit="1" customWidth="1"/>
    <col min="3847" max="3847" width="16.5703125" style="808" customWidth="1"/>
    <col min="3848" max="3849" width="0" style="808" hidden="1" customWidth="1"/>
    <col min="3850" max="3850" width="18.28515625" style="808" bestFit="1" customWidth="1"/>
    <col min="3851" max="3851" width="11.85546875" style="808" bestFit="1" customWidth="1"/>
    <col min="3852" max="3852" width="12.28515625" style="808" bestFit="1" customWidth="1"/>
    <col min="3853" max="3853" width="10.42578125" style="808" customWidth="1"/>
    <col min="3854" max="3854" width="9.28515625" style="808" bestFit="1" customWidth="1"/>
    <col min="3855" max="3858" width="8.85546875" style="808"/>
    <col min="3859" max="3859" width="19.85546875" style="808" bestFit="1" customWidth="1"/>
    <col min="3860" max="3860" width="10.42578125" style="808" bestFit="1" customWidth="1"/>
    <col min="3861" max="3861" width="18.85546875" style="808" customWidth="1"/>
    <col min="3862" max="4096" width="8.85546875" style="808"/>
    <col min="4097" max="4097" width="11.7109375" style="808" bestFit="1" customWidth="1"/>
    <col min="4098" max="4098" width="18.42578125" style="808" customWidth="1"/>
    <col min="4099" max="4099" width="12.5703125" style="808" bestFit="1" customWidth="1"/>
    <col min="4100" max="4100" width="20.42578125" style="808" customWidth="1"/>
    <col min="4101" max="4101" width="12.5703125" style="808" bestFit="1" customWidth="1"/>
    <col min="4102" max="4102" width="18.7109375" style="808" bestFit="1" customWidth="1"/>
    <col min="4103" max="4103" width="16.5703125" style="808" customWidth="1"/>
    <col min="4104" max="4105" width="0" style="808" hidden="1" customWidth="1"/>
    <col min="4106" max="4106" width="18.28515625" style="808" bestFit="1" customWidth="1"/>
    <col min="4107" max="4107" width="11.85546875" style="808" bestFit="1" customWidth="1"/>
    <col min="4108" max="4108" width="12.28515625" style="808" bestFit="1" customWidth="1"/>
    <col min="4109" max="4109" width="10.42578125" style="808" customWidth="1"/>
    <col min="4110" max="4110" width="9.28515625" style="808" bestFit="1" customWidth="1"/>
    <col min="4111" max="4114" width="8.85546875" style="808"/>
    <col min="4115" max="4115" width="19.85546875" style="808" bestFit="1" customWidth="1"/>
    <col min="4116" max="4116" width="10.42578125" style="808" bestFit="1" customWidth="1"/>
    <col min="4117" max="4117" width="18.85546875" style="808" customWidth="1"/>
    <col min="4118" max="4352" width="8.85546875" style="808"/>
    <col min="4353" max="4353" width="11.7109375" style="808" bestFit="1" customWidth="1"/>
    <col min="4354" max="4354" width="18.42578125" style="808" customWidth="1"/>
    <col min="4355" max="4355" width="12.5703125" style="808" bestFit="1" customWidth="1"/>
    <col min="4356" max="4356" width="20.42578125" style="808" customWidth="1"/>
    <col min="4357" max="4357" width="12.5703125" style="808" bestFit="1" customWidth="1"/>
    <col min="4358" max="4358" width="18.7109375" style="808" bestFit="1" customWidth="1"/>
    <col min="4359" max="4359" width="16.5703125" style="808" customWidth="1"/>
    <col min="4360" max="4361" width="0" style="808" hidden="1" customWidth="1"/>
    <col min="4362" max="4362" width="18.28515625" style="808" bestFit="1" customWidth="1"/>
    <col min="4363" max="4363" width="11.85546875" style="808" bestFit="1" customWidth="1"/>
    <col min="4364" max="4364" width="12.28515625" style="808" bestFit="1" customWidth="1"/>
    <col min="4365" max="4365" width="10.42578125" style="808" customWidth="1"/>
    <col min="4366" max="4366" width="9.28515625" style="808" bestFit="1" customWidth="1"/>
    <col min="4367" max="4370" width="8.85546875" style="808"/>
    <col min="4371" max="4371" width="19.85546875" style="808" bestFit="1" customWidth="1"/>
    <col min="4372" max="4372" width="10.42578125" style="808" bestFit="1" customWidth="1"/>
    <col min="4373" max="4373" width="18.85546875" style="808" customWidth="1"/>
    <col min="4374" max="4608" width="8.85546875" style="808"/>
    <col min="4609" max="4609" width="11.7109375" style="808" bestFit="1" customWidth="1"/>
    <col min="4610" max="4610" width="18.42578125" style="808" customWidth="1"/>
    <col min="4611" max="4611" width="12.5703125" style="808" bestFit="1" customWidth="1"/>
    <col min="4612" max="4612" width="20.42578125" style="808" customWidth="1"/>
    <col min="4613" max="4613" width="12.5703125" style="808" bestFit="1" customWidth="1"/>
    <col min="4614" max="4614" width="18.7109375" style="808" bestFit="1" customWidth="1"/>
    <col min="4615" max="4615" width="16.5703125" style="808" customWidth="1"/>
    <col min="4616" max="4617" width="0" style="808" hidden="1" customWidth="1"/>
    <col min="4618" max="4618" width="18.28515625" style="808" bestFit="1" customWidth="1"/>
    <col min="4619" max="4619" width="11.85546875" style="808" bestFit="1" customWidth="1"/>
    <col min="4620" max="4620" width="12.28515625" style="808" bestFit="1" customWidth="1"/>
    <col min="4621" max="4621" width="10.42578125" style="808" customWidth="1"/>
    <col min="4622" max="4622" width="9.28515625" style="808" bestFit="1" customWidth="1"/>
    <col min="4623" max="4626" width="8.85546875" style="808"/>
    <col min="4627" max="4627" width="19.85546875" style="808" bestFit="1" customWidth="1"/>
    <col min="4628" max="4628" width="10.42578125" style="808" bestFit="1" customWidth="1"/>
    <col min="4629" max="4629" width="18.85546875" style="808" customWidth="1"/>
    <col min="4630" max="4864" width="8.85546875" style="808"/>
    <col min="4865" max="4865" width="11.7109375" style="808" bestFit="1" customWidth="1"/>
    <col min="4866" max="4866" width="18.42578125" style="808" customWidth="1"/>
    <col min="4867" max="4867" width="12.5703125" style="808" bestFit="1" customWidth="1"/>
    <col min="4868" max="4868" width="20.42578125" style="808" customWidth="1"/>
    <col min="4869" max="4869" width="12.5703125" style="808" bestFit="1" customWidth="1"/>
    <col min="4870" max="4870" width="18.7109375" style="808" bestFit="1" customWidth="1"/>
    <col min="4871" max="4871" width="16.5703125" style="808" customWidth="1"/>
    <col min="4872" max="4873" width="0" style="808" hidden="1" customWidth="1"/>
    <col min="4874" max="4874" width="18.28515625" style="808" bestFit="1" customWidth="1"/>
    <col min="4875" max="4875" width="11.85546875" style="808" bestFit="1" customWidth="1"/>
    <col min="4876" max="4876" width="12.28515625" style="808" bestFit="1" customWidth="1"/>
    <col min="4877" max="4877" width="10.42578125" style="808" customWidth="1"/>
    <col min="4878" max="4878" width="9.28515625" style="808" bestFit="1" customWidth="1"/>
    <col min="4879" max="4882" width="8.85546875" style="808"/>
    <col min="4883" max="4883" width="19.85546875" style="808" bestFit="1" customWidth="1"/>
    <col min="4884" max="4884" width="10.42578125" style="808" bestFit="1" customWidth="1"/>
    <col min="4885" max="4885" width="18.85546875" style="808" customWidth="1"/>
    <col min="4886" max="5120" width="8.85546875" style="808"/>
    <col min="5121" max="5121" width="11.7109375" style="808" bestFit="1" customWidth="1"/>
    <col min="5122" max="5122" width="18.42578125" style="808" customWidth="1"/>
    <col min="5123" max="5123" width="12.5703125" style="808" bestFit="1" customWidth="1"/>
    <col min="5124" max="5124" width="20.42578125" style="808" customWidth="1"/>
    <col min="5125" max="5125" width="12.5703125" style="808" bestFit="1" customWidth="1"/>
    <col min="5126" max="5126" width="18.7109375" style="808" bestFit="1" customWidth="1"/>
    <col min="5127" max="5127" width="16.5703125" style="808" customWidth="1"/>
    <col min="5128" max="5129" width="0" style="808" hidden="1" customWidth="1"/>
    <col min="5130" max="5130" width="18.28515625" style="808" bestFit="1" customWidth="1"/>
    <col min="5131" max="5131" width="11.85546875" style="808" bestFit="1" customWidth="1"/>
    <col min="5132" max="5132" width="12.28515625" style="808" bestFit="1" customWidth="1"/>
    <col min="5133" max="5133" width="10.42578125" style="808" customWidth="1"/>
    <col min="5134" max="5134" width="9.28515625" style="808" bestFit="1" customWidth="1"/>
    <col min="5135" max="5138" width="8.85546875" style="808"/>
    <col min="5139" max="5139" width="19.85546875" style="808" bestFit="1" customWidth="1"/>
    <col min="5140" max="5140" width="10.42578125" style="808" bestFit="1" customWidth="1"/>
    <col min="5141" max="5141" width="18.85546875" style="808" customWidth="1"/>
    <col min="5142" max="5376" width="8.85546875" style="808"/>
    <col min="5377" max="5377" width="11.7109375" style="808" bestFit="1" customWidth="1"/>
    <col min="5378" max="5378" width="18.42578125" style="808" customWidth="1"/>
    <col min="5379" max="5379" width="12.5703125" style="808" bestFit="1" customWidth="1"/>
    <col min="5380" max="5380" width="20.42578125" style="808" customWidth="1"/>
    <col min="5381" max="5381" width="12.5703125" style="808" bestFit="1" customWidth="1"/>
    <col min="5382" max="5382" width="18.7109375" style="808" bestFit="1" customWidth="1"/>
    <col min="5383" max="5383" width="16.5703125" style="808" customWidth="1"/>
    <col min="5384" max="5385" width="0" style="808" hidden="1" customWidth="1"/>
    <col min="5386" max="5386" width="18.28515625" style="808" bestFit="1" customWidth="1"/>
    <col min="5387" max="5387" width="11.85546875" style="808" bestFit="1" customWidth="1"/>
    <col min="5388" max="5388" width="12.28515625" style="808" bestFit="1" customWidth="1"/>
    <col min="5389" max="5389" width="10.42578125" style="808" customWidth="1"/>
    <col min="5390" max="5390" width="9.28515625" style="808" bestFit="1" customWidth="1"/>
    <col min="5391" max="5394" width="8.85546875" style="808"/>
    <col min="5395" max="5395" width="19.85546875" style="808" bestFit="1" customWidth="1"/>
    <col min="5396" max="5396" width="10.42578125" style="808" bestFit="1" customWidth="1"/>
    <col min="5397" max="5397" width="18.85546875" style="808" customWidth="1"/>
    <col min="5398" max="5632" width="8.85546875" style="808"/>
    <col min="5633" max="5633" width="11.7109375" style="808" bestFit="1" customWidth="1"/>
    <col min="5634" max="5634" width="18.42578125" style="808" customWidth="1"/>
    <col min="5635" max="5635" width="12.5703125" style="808" bestFit="1" customWidth="1"/>
    <col min="5636" max="5636" width="20.42578125" style="808" customWidth="1"/>
    <col min="5637" max="5637" width="12.5703125" style="808" bestFit="1" customWidth="1"/>
    <col min="5638" max="5638" width="18.7109375" style="808" bestFit="1" customWidth="1"/>
    <col min="5639" max="5639" width="16.5703125" style="808" customWidth="1"/>
    <col min="5640" max="5641" width="0" style="808" hidden="1" customWidth="1"/>
    <col min="5642" max="5642" width="18.28515625" style="808" bestFit="1" customWidth="1"/>
    <col min="5643" max="5643" width="11.85546875" style="808" bestFit="1" customWidth="1"/>
    <col min="5644" max="5644" width="12.28515625" style="808" bestFit="1" customWidth="1"/>
    <col min="5645" max="5645" width="10.42578125" style="808" customWidth="1"/>
    <col min="5646" max="5646" width="9.28515625" style="808" bestFit="1" customWidth="1"/>
    <col min="5647" max="5650" width="8.85546875" style="808"/>
    <col min="5651" max="5651" width="19.85546875" style="808" bestFit="1" customWidth="1"/>
    <col min="5652" max="5652" width="10.42578125" style="808" bestFit="1" customWidth="1"/>
    <col min="5653" max="5653" width="18.85546875" style="808" customWidth="1"/>
    <col min="5654" max="5888" width="8.85546875" style="808"/>
    <col min="5889" max="5889" width="11.7109375" style="808" bestFit="1" customWidth="1"/>
    <col min="5890" max="5890" width="18.42578125" style="808" customWidth="1"/>
    <col min="5891" max="5891" width="12.5703125" style="808" bestFit="1" customWidth="1"/>
    <col min="5892" max="5892" width="20.42578125" style="808" customWidth="1"/>
    <col min="5893" max="5893" width="12.5703125" style="808" bestFit="1" customWidth="1"/>
    <col min="5894" max="5894" width="18.7109375" style="808" bestFit="1" customWidth="1"/>
    <col min="5895" max="5895" width="16.5703125" style="808" customWidth="1"/>
    <col min="5896" max="5897" width="0" style="808" hidden="1" customWidth="1"/>
    <col min="5898" max="5898" width="18.28515625" style="808" bestFit="1" customWidth="1"/>
    <col min="5899" max="5899" width="11.85546875" style="808" bestFit="1" customWidth="1"/>
    <col min="5900" max="5900" width="12.28515625" style="808" bestFit="1" customWidth="1"/>
    <col min="5901" max="5901" width="10.42578125" style="808" customWidth="1"/>
    <col min="5902" max="5902" width="9.28515625" style="808" bestFit="1" customWidth="1"/>
    <col min="5903" max="5906" width="8.85546875" style="808"/>
    <col min="5907" max="5907" width="19.85546875" style="808" bestFit="1" customWidth="1"/>
    <col min="5908" max="5908" width="10.42578125" style="808" bestFit="1" customWidth="1"/>
    <col min="5909" max="5909" width="18.85546875" style="808" customWidth="1"/>
    <col min="5910" max="6144" width="8.85546875" style="808"/>
    <col min="6145" max="6145" width="11.7109375" style="808" bestFit="1" customWidth="1"/>
    <col min="6146" max="6146" width="18.42578125" style="808" customWidth="1"/>
    <col min="6147" max="6147" width="12.5703125" style="808" bestFit="1" customWidth="1"/>
    <col min="6148" max="6148" width="20.42578125" style="808" customWidth="1"/>
    <col min="6149" max="6149" width="12.5703125" style="808" bestFit="1" customWidth="1"/>
    <col min="6150" max="6150" width="18.7109375" style="808" bestFit="1" customWidth="1"/>
    <col min="6151" max="6151" width="16.5703125" style="808" customWidth="1"/>
    <col min="6152" max="6153" width="0" style="808" hidden="1" customWidth="1"/>
    <col min="6154" max="6154" width="18.28515625" style="808" bestFit="1" customWidth="1"/>
    <col min="6155" max="6155" width="11.85546875" style="808" bestFit="1" customWidth="1"/>
    <col min="6156" max="6156" width="12.28515625" style="808" bestFit="1" customWidth="1"/>
    <col min="6157" max="6157" width="10.42578125" style="808" customWidth="1"/>
    <col min="6158" max="6158" width="9.28515625" style="808" bestFit="1" customWidth="1"/>
    <col min="6159" max="6162" width="8.85546875" style="808"/>
    <col min="6163" max="6163" width="19.85546875" style="808" bestFit="1" customWidth="1"/>
    <col min="6164" max="6164" width="10.42578125" style="808" bestFit="1" customWidth="1"/>
    <col min="6165" max="6165" width="18.85546875" style="808" customWidth="1"/>
    <col min="6166" max="6400" width="8.85546875" style="808"/>
    <col min="6401" max="6401" width="11.7109375" style="808" bestFit="1" customWidth="1"/>
    <col min="6402" max="6402" width="18.42578125" style="808" customWidth="1"/>
    <col min="6403" max="6403" width="12.5703125" style="808" bestFit="1" customWidth="1"/>
    <col min="6404" max="6404" width="20.42578125" style="808" customWidth="1"/>
    <col min="6405" max="6405" width="12.5703125" style="808" bestFit="1" customWidth="1"/>
    <col min="6406" max="6406" width="18.7109375" style="808" bestFit="1" customWidth="1"/>
    <col min="6407" max="6407" width="16.5703125" style="808" customWidth="1"/>
    <col min="6408" max="6409" width="0" style="808" hidden="1" customWidth="1"/>
    <col min="6410" max="6410" width="18.28515625" style="808" bestFit="1" customWidth="1"/>
    <col min="6411" max="6411" width="11.85546875" style="808" bestFit="1" customWidth="1"/>
    <col min="6412" max="6412" width="12.28515625" style="808" bestFit="1" customWidth="1"/>
    <col min="6413" max="6413" width="10.42578125" style="808" customWidth="1"/>
    <col min="6414" max="6414" width="9.28515625" style="808" bestFit="1" customWidth="1"/>
    <col min="6415" max="6418" width="8.85546875" style="808"/>
    <col min="6419" max="6419" width="19.85546875" style="808" bestFit="1" customWidth="1"/>
    <col min="6420" max="6420" width="10.42578125" style="808" bestFit="1" customWidth="1"/>
    <col min="6421" max="6421" width="18.85546875" style="808" customWidth="1"/>
    <col min="6422" max="6656" width="8.85546875" style="808"/>
    <col min="6657" max="6657" width="11.7109375" style="808" bestFit="1" customWidth="1"/>
    <col min="6658" max="6658" width="18.42578125" style="808" customWidth="1"/>
    <col min="6659" max="6659" width="12.5703125" style="808" bestFit="1" customWidth="1"/>
    <col min="6660" max="6660" width="20.42578125" style="808" customWidth="1"/>
    <col min="6661" max="6661" width="12.5703125" style="808" bestFit="1" customWidth="1"/>
    <col min="6662" max="6662" width="18.7109375" style="808" bestFit="1" customWidth="1"/>
    <col min="6663" max="6663" width="16.5703125" style="808" customWidth="1"/>
    <col min="6664" max="6665" width="0" style="808" hidden="1" customWidth="1"/>
    <col min="6666" max="6666" width="18.28515625" style="808" bestFit="1" customWidth="1"/>
    <col min="6667" max="6667" width="11.85546875" style="808" bestFit="1" customWidth="1"/>
    <col min="6668" max="6668" width="12.28515625" style="808" bestFit="1" customWidth="1"/>
    <col min="6669" max="6669" width="10.42578125" style="808" customWidth="1"/>
    <col min="6670" max="6670" width="9.28515625" style="808" bestFit="1" customWidth="1"/>
    <col min="6671" max="6674" width="8.85546875" style="808"/>
    <col min="6675" max="6675" width="19.85546875" style="808" bestFit="1" customWidth="1"/>
    <col min="6676" max="6676" width="10.42578125" style="808" bestFit="1" customWidth="1"/>
    <col min="6677" max="6677" width="18.85546875" style="808" customWidth="1"/>
    <col min="6678" max="6912" width="8.85546875" style="808"/>
    <col min="6913" max="6913" width="11.7109375" style="808" bestFit="1" customWidth="1"/>
    <col min="6914" max="6914" width="18.42578125" style="808" customWidth="1"/>
    <col min="6915" max="6915" width="12.5703125" style="808" bestFit="1" customWidth="1"/>
    <col min="6916" max="6916" width="20.42578125" style="808" customWidth="1"/>
    <col min="6917" max="6917" width="12.5703125" style="808" bestFit="1" customWidth="1"/>
    <col min="6918" max="6918" width="18.7109375" style="808" bestFit="1" customWidth="1"/>
    <col min="6919" max="6919" width="16.5703125" style="808" customWidth="1"/>
    <col min="6920" max="6921" width="0" style="808" hidden="1" customWidth="1"/>
    <col min="6922" max="6922" width="18.28515625" style="808" bestFit="1" customWidth="1"/>
    <col min="6923" max="6923" width="11.85546875" style="808" bestFit="1" customWidth="1"/>
    <col min="6924" max="6924" width="12.28515625" style="808" bestFit="1" customWidth="1"/>
    <col min="6925" max="6925" width="10.42578125" style="808" customWidth="1"/>
    <col min="6926" max="6926" width="9.28515625" style="808" bestFit="1" customWidth="1"/>
    <col min="6927" max="6930" width="8.85546875" style="808"/>
    <col min="6931" max="6931" width="19.85546875" style="808" bestFit="1" customWidth="1"/>
    <col min="6932" max="6932" width="10.42578125" style="808" bestFit="1" customWidth="1"/>
    <col min="6933" max="6933" width="18.85546875" style="808" customWidth="1"/>
    <col min="6934" max="7168" width="8.85546875" style="808"/>
    <col min="7169" max="7169" width="11.7109375" style="808" bestFit="1" customWidth="1"/>
    <col min="7170" max="7170" width="18.42578125" style="808" customWidth="1"/>
    <col min="7171" max="7171" width="12.5703125" style="808" bestFit="1" customWidth="1"/>
    <col min="7172" max="7172" width="20.42578125" style="808" customWidth="1"/>
    <col min="7173" max="7173" width="12.5703125" style="808" bestFit="1" customWidth="1"/>
    <col min="7174" max="7174" width="18.7109375" style="808" bestFit="1" customWidth="1"/>
    <col min="7175" max="7175" width="16.5703125" style="808" customWidth="1"/>
    <col min="7176" max="7177" width="0" style="808" hidden="1" customWidth="1"/>
    <col min="7178" max="7178" width="18.28515625" style="808" bestFit="1" customWidth="1"/>
    <col min="7179" max="7179" width="11.85546875" style="808" bestFit="1" customWidth="1"/>
    <col min="7180" max="7180" width="12.28515625" style="808" bestFit="1" customWidth="1"/>
    <col min="7181" max="7181" width="10.42578125" style="808" customWidth="1"/>
    <col min="7182" max="7182" width="9.28515625" style="808" bestFit="1" customWidth="1"/>
    <col min="7183" max="7186" width="8.85546875" style="808"/>
    <col min="7187" max="7187" width="19.85546875" style="808" bestFit="1" customWidth="1"/>
    <col min="7188" max="7188" width="10.42578125" style="808" bestFit="1" customWidth="1"/>
    <col min="7189" max="7189" width="18.85546875" style="808" customWidth="1"/>
    <col min="7190" max="7424" width="8.85546875" style="808"/>
    <col min="7425" max="7425" width="11.7109375" style="808" bestFit="1" customWidth="1"/>
    <col min="7426" max="7426" width="18.42578125" style="808" customWidth="1"/>
    <col min="7427" max="7427" width="12.5703125" style="808" bestFit="1" customWidth="1"/>
    <col min="7428" max="7428" width="20.42578125" style="808" customWidth="1"/>
    <col min="7429" max="7429" width="12.5703125" style="808" bestFit="1" customWidth="1"/>
    <col min="7430" max="7430" width="18.7109375" style="808" bestFit="1" customWidth="1"/>
    <col min="7431" max="7431" width="16.5703125" style="808" customWidth="1"/>
    <col min="7432" max="7433" width="0" style="808" hidden="1" customWidth="1"/>
    <col min="7434" max="7434" width="18.28515625" style="808" bestFit="1" customWidth="1"/>
    <col min="7435" max="7435" width="11.85546875" style="808" bestFit="1" customWidth="1"/>
    <col min="7436" max="7436" width="12.28515625" style="808" bestFit="1" customWidth="1"/>
    <col min="7437" max="7437" width="10.42578125" style="808" customWidth="1"/>
    <col min="7438" max="7438" width="9.28515625" style="808" bestFit="1" customWidth="1"/>
    <col min="7439" max="7442" width="8.85546875" style="808"/>
    <col min="7443" max="7443" width="19.85546875" style="808" bestFit="1" customWidth="1"/>
    <col min="7444" max="7444" width="10.42578125" style="808" bestFit="1" customWidth="1"/>
    <col min="7445" max="7445" width="18.85546875" style="808" customWidth="1"/>
    <col min="7446" max="7680" width="8.85546875" style="808"/>
    <col min="7681" max="7681" width="11.7109375" style="808" bestFit="1" customWidth="1"/>
    <col min="7682" max="7682" width="18.42578125" style="808" customWidth="1"/>
    <col min="7683" max="7683" width="12.5703125" style="808" bestFit="1" customWidth="1"/>
    <col min="7684" max="7684" width="20.42578125" style="808" customWidth="1"/>
    <col min="7685" max="7685" width="12.5703125" style="808" bestFit="1" customWidth="1"/>
    <col min="7686" max="7686" width="18.7109375" style="808" bestFit="1" customWidth="1"/>
    <col min="7687" max="7687" width="16.5703125" style="808" customWidth="1"/>
    <col min="7688" max="7689" width="0" style="808" hidden="1" customWidth="1"/>
    <col min="7690" max="7690" width="18.28515625" style="808" bestFit="1" customWidth="1"/>
    <col min="7691" max="7691" width="11.85546875" style="808" bestFit="1" customWidth="1"/>
    <col min="7692" max="7692" width="12.28515625" style="808" bestFit="1" customWidth="1"/>
    <col min="7693" max="7693" width="10.42578125" style="808" customWidth="1"/>
    <col min="7694" max="7694" width="9.28515625" style="808" bestFit="1" customWidth="1"/>
    <col min="7695" max="7698" width="8.85546875" style="808"/>
    <col min="7699" max="7699" width="19.85546875" style="808" bestFit="1" customWidth="1"/>
    <col min="7700" max="7700" width="10.42578125" style="808" bestFit="1" customWidth="1"/>
    <col min="7701" max="7701" width="18.85546875" style="808" customWidth="1"/>
    <col min="7702" max="7936" width="8.85546875" style="808"/>
    <col min="7937" max="7937" width="11.7109375" style="808" bestFit="1" customWidth="1"/>
    <col min="7938" max="7938" width="18.42578125" style="808" customWidth="1"/>
    <col min="7939" max="7939" width="12.5703125" style="808" bestFit="1" customWidth="1"/>
    <col min="7940" max="7940" width="20.42578125" style="808" customWidth="1"/>
    <col min="7941" max="7941" width="12.5703125" style="808" bestFit="1" customWidth="1"/>
    <col min="7942" max="7942" width="18.7109375" style="808" bestFit="1" customWidth="1"/>
    <col min="7943" max="7943" width="16.5703125" style="808" customWidth="1"/>
    <col min="7944" max="7945" width="0" style="808" hidden="1" customWidth="1"/>
    <col min="7946" max="7946" width="18.28515625" style="808" bestFit="1" customWidth="1"/>
    <col min="7947" max="7947" width="11.85546875" style="808" bestFit="1" customWidth="1"/>
    <col min="7948" max="7948" width="12.28515625" style="808" bestFit="1" customWidth="1"/>
    <col min="7949" max="7949" width="10.42578125" style="808" customWidth="1"/>
    <col min="7950" max="7950" width="9.28515625" style="808" bestFit="1" customWidth="1"/>
    <col min="7951" max="7954" width="8.85546875" style="808"/>
    <col min="7955" max="7955" width="19.85546875" style="808" bestFit="1" customWidth="1"/>
    <col min="7956" max="7956" width="10.42578125" style="808" bestFit="1" customWidth="1"/>
    <col min="7957" max="7957" width="18.85546875" style="808" customWidth="1"/>
    <col min="7958" max="8192" width="8.85546875" style="808"/>
    <col min="8193" max="8193" width="11.7109375" style="808" bestFit="1" customWidth="1"/>
    <col min="8194" max="8194" width="18.42578125" style="808" customWidth="1"/>
    <col min="8195" max="8195" width="12.5703125" style="808" bestFit="1" customWidth="1"/>
    <col min="8196" max="8196" width="20.42578125" style="808" customWidth="1"/>
    <col min="8197" max="8197" width="12.5703125" style="808" bestFit="1" customWidth="1"/>
    <col min="8198" max="8198" width="18.7109375" style="808" bestFit="1" customWidth="1"/>
    <col min="8199" max="8199" width="16.5703125" style="808" customWidth="1"/>
    <col min="8200" max="8201" width="0" style="808" hidden="1" customWidth="1"/>
    <col min="8202" max="8202" width="18.28515625" style="808" bestFit="1" customWidth="1"/>
    <col min="8203" max="8203" width="11.85546875" style="808" bestFit="1" customWidth="1"/>
    <col min="8204" max="8204" width="12.28515625" style="808" bestFit="1" customWidth="1"/>
    <col min="8205" max="8205" width="10.42578125" style="808" customWidth="1"/>
    <col min="8206" max="8206" width="9.28515625" style="808" bestFit="1" customWidth="1"/>
    <col min="8207" max="8210" width="8.85546875" style="808"/>
    <col min="8211" max="8211" width="19.85546875" style="808" bestFit="1" customWidth="1"/>
    <col min="8212" max="8212" width="10.42578125" style="808" bestFit="1" customWidth="1"/>
    <col min="8213" max="8213" width="18.85546875" style="808" customWidth="1"/>
    <col min="8214" max="8448" width="8.85546875" style="808"/>
    <col min="8449" max="8449" width="11.7109375" style="808" bestFit="1" customWidth="1"/>
    <col min="8450" max="8450" width="18.42578125" style="808" customWidth="1"/>
    <col min="8451" max="8451" width="12.5703125" style="808" bestFit="1" customWidth="1"/>
    <col min="8452" max="8452" width="20.42578125" style="808" customWidth="1"/>
    <col min="8453" max="8453" width="12.5703125" style="808" bestFit="1" customWidth="1"/>
    <col min="8454" max="8454" width="18.7109375" style="808" bestFit="1" customWidth="1"/>
    <col min="8455" max="8455" width="16.5703125" style="808" customWidth="1"/>
    <col min="8456" max="8457" width="0" style="808" hidden="1" customWidth="1"/>
    <col min="8458" max="8458" width="18.28515625" style="808" bestFit="1" customWidth="1"/>
    <col min="8459" max="8459" width="11.85546875" style="808" bestFit="1" customWidth="1"/>
    <col min="8460" max="8460" width="12.28515625" style="808" bestFit="1" customWidth="1"/>
    <col min="8461" max="8461" width="10.42578125" style="808" customWidth="1"/>
    <col min="8462" max="8462" width="9.28515625" style="808" bestFit="1" customWidth="1"/>
    <col min="8463" max="8466" width="8.85546875" style="808"/>
    <col min="8467" max="8467" width="19.85546875" style="808" bestFit="1" customWidth="1"/>
    <col min="8468" max="8468" width="10.42578125" style="808" bestFit="1" customWidth="1"/>
    <col min="8469" max="8469" width="18.85546875" style="808" customWidth="1"/>
    <col min="8470" max="8704" width="8.85546875" style="808"/>
    <col min="8705" max="8705" width="11.7109375" style="808" bestFit="1" customWidth="1"/>
    <col min="8706" max="8706" width="18.42578125" style="808" customWidth="1"/>
    <col min="8707" max="8707" width="12.5703125" style="808" bestFit="1" customWidth="1"/>
    <col min="8708" max="8708" width="20.42578125" style="808" customWidth="1"/>
    <col min="8709" max="8709" width="12.5703125" style="808" bestFit="1" customWidth="1"/>
    <col min="8710" max="8710" width="18.7109375" style="808" bestFit="1" customWidth="1"/>
    <col min="8711" max="8711" width="16.5703125" style="808" customWidth="1"/>
    <col min="8712" max="8713" width="0" style="808" hidden="1" customWidth="1"/>
    <col min="8714" max="8714" width="18.28515625" style="808" bestFit="1" customWidth="1"/>
    <col min="8715" max="8715" width="11.85546875" style="808" bestFit="1" customWidth="1"/>
    <col min="8716" max="8716" width="12.28515625" style="808" bestFit="1" customWidth="1"/>
    <col min="8717" max="8717" width="10.42578125" style="808" customWidth="1"/>
    <col min="8718" max="8718" width="9.28515625" style="808" bestFit="1" customWidth="1"/>
    <col min="8719" max="8722" width="8.85546875" style="808"/>
    <col min="8723" max="8723" width="19.85546875" style="808" bestFit="1" customWidth="1"/>
    <col min="8724" max="8724" width="10.42578125" style="808" bestFit="1" customWidth="1"/>
    <col min="8725" max="8725" width="18.85546875" style="808" customWidth="1"/>
    <col min="8726" max="8960" width="8.85546875" style="808"/>
    <col min="8961" max="8961" width="11.7109375" style="808" bestFit="1" customWidth="1"/>
    <col min="8962" max="8962" width="18.42578125" style="808" customWidth="1"/>
    <col min="8963" max="8963" width="12.5703125" style="808" bestFit="1" customWidth="1"/>
    <col min="8964" max="8964" width="20.42578125" style="808" customWidth="1"/>
    <col min="8965" max="8965" width="12.5703125" style="808" bestFit="1" customWidth="1"/>
    <col min="8966" max="8966" width="18.7109375" style="808" bestFit="1" customWidth="1"/>
    <col min="8967" max="8967" width="16.5703125" style="808" customWidth="1"/>
    <col min="8968" max="8969" width="0" style="808" hidden="1" customWidth="1"/>
    <col min="8970" max="8970" width="18.28515625" style="808" bestFit="1" customWidth="1"/>
    <col min="8971" max="8971" width="11.85546875" style="808" bestFit="1" customWidth="1"/>
    <col min="8972" max="8972" width="12.28515625" style="808" bestFit="1" customWidth="1"/>
    <col min="8973" max="8973" width="10.42578125" style="808" customWidth="1"/>
    <col min="8974" max="8974" width="9.28515625" style="808" bestFit="1" customWidth="1"/>
    <col min="8975" max="8978" width="8.85546875" style="808"/>
    <col min="8979" max="8979" width="19.85546875" style="808" bestFit="1" customWidth="1"/>
    <col min="8980" max="8980" width="10.42578125" style="808" bestFit="1" customWidth="1"/>
    <col min="8981" max="8981" width="18.85546875" style="808" customWidth="1"/>
    <col min="8982" max="9216" width="8.85546875" style="808"/>
    <col min="9217" max="9217" width="11.7109375" style="808" bestFit="1" customWidth="1"/>
    <col min="9218" max="9218" width="18.42578125" style="808" customWidth="1"/>
    <col min="9219" max="9219" width="12.5703125" style="808" bestFit="1" customWidth="1"/>
    <col min="9220" max="9220" width="20.42578125" style="808" customWidth="1"/>
    <col min="9221" max="9221" width="12.5703125" style="808" bestFit="1" customWidth="1"/>
    <col min="9222" max="9222" width="18.7109375" style="808" bestFit="1" customWidth="1"/>
    <col min="9223" max="9223" width="16.5703125" style="808" customWidth="1"/>
    <col min="9224" max="9225" width="0" style="808" hidden="1" customWidth="1"/>
    <col min="9226" max="9226" width="18.28515625" style="808" bestFit="1" customWidth="1"/>
    <col min="9227" max="9227" width="11.85546875" style="808" bestFit="1" customWidth="1"/>
    <col min="9228" max="9228" width="12.28515625" style="808" bestFit="1" customWidth="1"/>
    <col min="9229" max="9229" width="10.42578125" style="808" customWidth="1"/>
    <col min="9230" max="9230" width="9.28515625" style="808" bestFit="1" customWidth="1"/>
    <col min="9231" max="9234" width="8.85546875" style="808"/>
    <col min="9235" max="9235" width="19.85546875" style="808" bestFit="1" customWidth="1"/>
    <col min="9236" max="9236" width="10.42578125" style="808" bestFit="1" customWidth="1"/>
    <col min="9237" max="9237" width="18.85546875" style="808" customWidth="1"/>
    <col min="9238" max="9472" width="8.85546875" style="808"/>
    <col min="9473" max="9473" width="11.7109375" style="808" bestFit="1" customWidth="1"/>
    <col min="9474" max="9474" width="18.42578125" style="808" customWidth="1"/>
    <col min="9475" max="9475" width="12.5703125" style="808" bestFit="1" customWidth="1"/>
    <col min="9476" max="9476" width="20.42578125" style="808" customWidth="1"/>
    <col min="9477" max="9477" width="12.5703125" style="808" bestFit="1" customWidth="1"/>
    <col min="9478" max="9478" width="18.7109375" style="808" bestFit="1" customWidth="1"/>
    <col min="9479" max="9479" width="16.5703125" style="808" customWidth="1"/>
    <col min="9480" max="9481" width="0" style="808" hidden="1" customWidth="1"/>
    <col min="9482" max="9482" width="18.28515625" style="808" bestFit="1" customWidth="1"/>
    <col min="9483" max="9483" width="11.85546875" style="808" bestFit="1" customWidth="1"/>
    <col min="9484" max="9484" width="12.28515625" style="808" bestFit="1" customWidth="1"/>
    <col min="9485" max="9485" width="10.42578125" style="808" customWidth="1"/>
    <col min="9486" max="9486" width="9.28515625" style="808" bestFit="1" customWidth="1"/>
    <col min="9487" max="9490" width="8.85546875" style="808"/>
    <col min="9491" max="9491" width="19.85546875" style="808" bestFit="1" customWidth="1"/>
    <col min="9492" max="9492" width="10.42578125" style="808" bestFit="1" customWidth="1"/>
    <col min="9493" max="9493" width="18.85546875" style="808" customWidth="1"/>
    <col min="9494" max="9728" width="8.85546875" style="808"/>
    <col min="9729" max="9729" width="11.7109375" style="808" bestFit="1" customWidth="1"/>
    <col min="9730" max="9730" width="18.42578125" style="808" customWidth="1"/>
    <col min="9731" max="9731" width="12.5703125" style="808" bestFit="1" customWidth="1"/>
    <col min="9732" max="9732" width="20.42578125" style="808" customWidth="1"/>
    <col min="9733" max="9733" width="12.5703125" style="808" bestFit="1" customWidth="1"/>
    <col min="9734" max="9734" width="18.7109375" style="808" bestFit="1" customWidth="1"/>
    <col min="9735" max="9735" width="16.5703125" style="808" customWidth="1"/>
    <col min="9736" max="9737" width="0" style="808" hidden="1" customWidth="1"/>
    <col min="9738" max="9738" width="18.28515625" style="808" bestFit="1" customWidth="1"/>
    <col min="9739" max="9739" width="11.85546875" style="808" bestFit="1" customWidth="1"/>
    <col min="9740" max="9740" width="12.28515625" style="808" bestFit="1" customWidth="1"/>
    <col min="9741" max="9741" width="10.42578125" style="808" customWidth="1"/>
    <col min="9742" max="9742" width="9.28515625" style="808" bestFit="1" customWidth="1"/>
    <col min="9743" max="9746" width="8.85546875" style="808"/>
    <col min="9747" max="9747" width="19.85546875" style="808" bestFit="1" customWidth="1"/>
    <col min="9748" max="9748" width="10.42578125" style="808" bestFit="1" customWidth="1"/>
    <col min="9749" max="9749" width="18.85546875" style="808" customWidth="1"/>
    <col min="9750" max="9984" width="8.85546875" style="808"/>
    <col min="9985" max="9985" width="11.7109375" style="808" bestFit="1" customWidth="1"/>
    <col min="9986" max="9986" width="18.42578125" style="808" customWidth="1"/>
    <col min="9987" max="9987" width="12.5703125" style="808" bestFit="1" customWidth="1"/>
    <col min="9988" max="9988" width="20.42578125" style="808" customWidth="1"/>
    <col min="9989" max="9989" width="12.5703125" style="808" bestFit="1" customWidth="1"/>
    <col min="9990" max="9990" width="18.7109375" style="808" bestFit="1" customWidth="1"/>
    <col min="9991" max="9991" width="16.5703125" style="808" customWidth="1"/>
    <col min="9992" max="9993" width="0" style="808" hidden="1" customWidth="1"/>
    <col min="9994" max="9994" width="18.28515625" style="808" bestFit="1" customWidth="1"/>
    <col min="9995" max="9995" width="11.85546875" style="808" bestFit="1" customWidth="1"/>
    <col min="9996" max="9996" width="12.28515625" style="808" bestFit="1" customWidth="1"/>
    <col min="9997" max="9997" width="10.42578125" style="808" customWidth="1"/>
    <col min="9998" max="9998" width="9.28515625" style="808" bestFit="1" customWidth="1"/>
    <col min="9999" max="10002" width="8.85546875" style="808"/>
    <col min="10003" max="10003" width="19.85546875" style="808" bestFit="1" customWidth="1"/>
    <col min="10004" max="10004" width="10.42578125" style="808" bestFit="1" customWidth="1"/>
    <col min="10005" max="10005" width="18.85546875" style="808" customWidth="1"/>
    <col min="10006" max="10240" width="8.85546875" style="808"/>
    <col min="10241" max="10241" width="11.7109375" style="808" bestFit="1" customWidth="1"/>
    <col min="10242" max="10242" width="18.42578125" style="808" customWidth="1"/>
    <col min="10243" max="10243" width="12.5703125" style="808" bestFit="1" customWidth="1"/>
    <col min="10244" max="10244" width="20.42578125" style="808" customWidth="1"/>
    <col min="10245" max="10245" width="12.5703125" style="808" bestFit="1" customWidth="1"/>
    <col min="10246" max="10246" width="18.7109375" style="808" bestFit="1" customWidth="1"/>
    <col min="10247" max="10247" width="16.5703125" style="808" customWidth="1"/>
    <col min="10248" max="10249" width="0" style="808" hidden="1" customWidth="1"/>
    <col min="10250" max="10250" width="18.28515625" style="808" bestFit="1" customWidth="1"/>
    <col min="10251" max="10251" width="11.85546875" style="808" bestFit="1" customWidth="1"/>
    <col min="10252" max="10252" width="12.28515625" style="808" bestFit="1" customWidth="1"/>
    <col min="10253" max="10253" width="10.42578125" style="808" customWidth="1"/>
    <col min="10254" max="10254" width="9.28515625" style="808" bestFit="1" customWidth="1"/>
    <col min="10255" max="10258" width="8.85546875" style="808"/>
    <col min="10259" max="10259" width="19.85546875" style="808" bestFit="1" customWidth="1"/>
    <col min="10260" max="10260" width="10.42578125" style="808" bestFit="1" customWidth="1"/>
    <col min="10261" max="10261" width="18.85546875" style="808" customWidth="1"/>
    <col min="10262" max="10496" width="8.85546875" style="808"/>
    <col min="10497" max="10497" width="11.7109375" style="808" bestFit="1" customWidth="1"/>
    <col min="10498" max="10498" width="18.42578125" style="808" customWidth="1"/>
    <col min="10499" max="10499" width="12.5703125" style="808" bestFit="1" customWidth="1"/>
    <col min="10500" max="10500" width="20.42578125" style="808" customWidth="1"/>
    <col min="10501" max="10501" width="12.5703125" style="808" bestFit="1" customWidth="1"/>
    <col min="10502" max="10502" width="18.7109375" style="808" bestFit="1" customWidth="1"/>
    <col min="10503" max="10503" width="16.5703125" style="808" customWidth="1"/>
    <col min="10504" max="10505" width="0" style="808" hidden="1" customWidth="1"/>
    <col min="10506" max="10506" width="18.28515625" style="808" bestFit="1" customWidth="1"/>
    <col min="10507" max="10507" width="11.85546875" style="808" bestFit="1" customWidth="1"/>
    <col min="10508" max="10508" width="12.28515625" style="808" bestFit="1" customWidth="1"/>
    <col min="10509" max="10509" width="10.42578125" style="808" customWidth="1"/>
    <col min="10510" max="10510" width="9.28515625" style="808" bestFit="1" customWidth="1"/>
    <col min="10511" max="10514" width="8.85546875" style="808"/>
    <col min="10515" max="10515" width="19.85546875" style="808" bestFit="1" customWidth="1"/>
    <col min="10516" max="10516" width="10.42578125" style="808" bestFit="1" customWidth="1"/>
    <col min="10517" max="10517" width="18.85546875" style="808" customWidth="1"/>
    <col min="10518" max="10752" width="8.85546875" style="808"/>
    <col min="10753" max="10753" width="11.7109375" style="808" bestFit="1" customWidth="1"/>
    <col min="10754" max="10754" width="18.42578125" style="808" customWidth="1"/>
    <col min="10755" max="10755" width="12.5703125" style="808" bestFit="1" customWidth="1"/>
    <col min="10756" max="10756" width="20.42578125" style="808" customWidth="1"/>
    <col min="10757" max="10757" width="12.5703125" style="808" bestFit="1" customWidth="1"/>
    <col min="10758" max="10758" width="18.7109375" style="808" bestFit="1" customWidth="1"/>
    <col min="10759" max="10759" width="16.5703125" style="808" customWidth="1"/>
    <col min="10760" max="10761" width="0" style="808" hidden="1" customWidth="1"/>
    <col min="10762" max="10762" width="18.28515625" style="808" bestFit="1" customWidth="1"/>
    <col min="10763" max="10763" width="11.85546875" style="808" bestFit="1" customWidth="1"/>
    <col min="10764" max="10764" width="12.28515625" style="808" bestFit="1" customWidth="1"/>
    <col min="10765" max="10765" width="10.42578125" style="808" customWidth="1"/>
    <col min="10766" max="10766" width="9.28515625" style="808" bestFit="1" customWidth="1"/>
    <col min="10767" max="10770" width="8.85546875" style="808"/>
    <col min="10771" max="10771" width="19.85546875" style="808" bestFit="1" customWidth="1"/>
    <col min="10772" max="10772" width="10.42578125" style="808" bestFit="1" customWidth="1"/>
    <col min="10773" max="10773" width="18.85546875" style="808" customWidth="1"/>
    <col min="10774" max="11008" width="8.85546875" style="808"/>
    <col min="11009" max="11009" width="11.7109375" style="808" bestFit="1" customWidth="1"/>
    <col min="11010" max="11010" width="18.42578125" style="808" customWidth="1"/>
    <col min="11011" max="11011" width="12.5703125" style="808" bestFit="1" customWidth="1"/>
    <col min="11012" max="11012" width="20.42578125" style="808" customWidth="1"/>
    <col min="11013" max="11013" width="12.5703125" style="808" bestFit="1" customWidth="1"/>
    <col min="11014" max="11014" width="18.7109375" style="808" bestFit="1" customWidth="1"/>
    <col min="11015" max="11015" width="16.5703125" style="808" customWidth="1"/>
    <col min="11016" max="11017" width="0" style="808" hidden="1" customWidth="1"/>
    <col min="11018" max="11018" width="18.28515625" style="808" bestFit="1" customWidth="1"/>
    <col min="11019" max="11019" width="11.85546875" style="808" bestFit="1" customWidth="1"/>
    <col min="11020" max="11020" width="12.28515625" style="808" bestFit="1" customWidth="1"/>
    <col min="11021" max="11021" width="10.42578125" style="808" customWidth="1"/>
    <col min="11022" max="11022" width="9.28515625" style="808" bestFit="1" customWidth="1"/>
    <col min="11023" max="11026" width="8.85546875" style="808"/>
    <col min="11027" max="11027" width="19.85546875" style="808" bestFit="1" customWidth="1"/>
    <col min="11028" max="11028" width="10.42578125" style="808" bestFit="1" customWidth="1"/>
    <col min="11029" max="11029" width="18.85546875" style="808" customWidth="1"/>
    <col min="11030" max="11264" width="8.85546875" style="808"/>
    <col min="11265" max="11265" width="11.7109375" style="808" bestFit="1" customWidth="1"/>
    <col min="11266" max="11266" width="18.42578125" style="808" customWidth="1"/>
    <col min="11267" max="11267" width="12.5703125" style="808" bestFit="1" customWidth="1"/>
    <col min="11268" max="11268" width="20.42578125" style="808" customWidth="1"/>
    <col min="11269" max="11269" width="12.5703125" style="808" bestFit="1" customWidth="1"/>
    <col min="11270" max="11270" width="18.7109375" style="808" bestFit="1" customWidth="1"/>
    <col min="11271" max="11271" width="16.5703125" style="808" customWidth="1"/>
    <col min="11272" max="11273" width="0" style="808" hidden="1" customWidth="1"/>
    <col min="11274" max="11274" width="18.28515625" style="808" bestFit="1" customWidth="1"/>
    <col min="11275" max="11275" width="11.85546875" style="808" bestFit="1" customWidth="1"/>
    <col min="11276" max="11276" width="12.28515625" style="808" bestFit="1" customWidth="1"/>
    <col min="11277" max="11277" width="10.42578125" style="808" customWidth="1"/>
    <col min="11278" max="11278" width="9.28515625" style="808" bestFit="1" customWidth="1"/>
    <col min="11279" max="11282" width="8.85546875" style="808"/>
    <col min="11283" max="11283" width="19.85546875" style="808" bestFit="1" customWidth="1"/>
    <col min="11284" max="11284" width="10.42578125" style="808" bestFit="1" customWidth="1"/>
    <col min="11285" max="11285" width="18.85546875" style="808" customWidth="1"/>
    <col min="11286" max="11520" width="8.85546875" style="808"/>
    <col min="11521" max="11521" width="11.7109375" style="808" bestFit="1" customWidth="1"/>
    <col min="11522" max="11522" width="18.42578125" style="808" customWidth="1"/>
    <col min="11523" max="11523" width="12.5703125" style="808" bestFit="1" customWidth="1"/>
    <col min="11524" max="11524" width="20.42578125" style="808" customWidth="1"/>
    <col min="11525" max="11525" width="12.5703125" style="808" bestFit="1" customWidth="1"/>
    <col min="11526" max="11526" width="18.7109375" style="808" bestFit="1" customWidth="1"/>
    <col min="11527" max="11527" width="16.5703125" style="808" customWidth="1"/>
    <col min="11528" max="11529" width="0" style="808" hidden="1" customWidth="1"/>
    <col min="11530" max="11530" width="18.28515625" style="808" bestFit="1" customWidth="1"/>
    <col min="11531" max="11531" width="11.85546875" style="808" bestFit="1" customWidth="1"/>
    <col min="11532" max="11532" width="12.28515625" style="808" bestFit="1" customWidth="1"/>
    <col min="11533" max="11533" width="10.42578125" style="808" customWidth="1"/>
    <col min="11534" max="11534" width="9.28515625" style="808" bestFit="1" customWidth="1"/>
    <col min="11535" max="11538" width="8.85546875" style="808"/>
    <col min="11539" max="11539" width="19.85546875" style="808" bestFit="1" customWidth="1"/>
    <col min="11540" max="11540" width="10.42578125" style="808" bestFit="1" customWidth="1"/>
    <col min="11541" max="11541" width="18.85546875" style="808" customWidth="1"/>
    <col min="11542" max="11776" width="8.85546875" style="808"/>
    <col min="11777" max="11777" width="11.7109375" style="808" bestFit="1" customWidth="1"/>
    <col min="11778" max="11778" width="18.42578125" style="808" customWidth="1"/>
    <col min="11779" max="11779" width="12.5703125" style="808" bestFit="1" customWidth="1"/>
    <col min="11780" max="11780" width="20.42578125" style="808" customWidth="1"/>
    <col min="11781" max="11781" width="12.5703125" style="808" bestFit="1" customWidth="1"/>
    <col min="11782" max="11782" width="18.7109375" style="808" bestFit="1" customWidth="1"/>
    <col min="11783" max="11783" width="16.5703125" style="808" customWidth="1"/>
    <col min="11784" max="11785" width="0" style="808" hidden="1" customWidth="1"/>
    <col min="11786" max="11786" width="18.28515625" style="808" bestFit="1" customWidth="1"/>
    <col min="11787" max="11787" width="11.85546875" style="808" bestFit="1" customWidth="1"/>
    <col min="11788" max="11788" width="12.28515625" style="808" bestFit="1" customWidth="1"/>
    <col min="11789" max="11789" width="10.42578125" style="808" customWidth="1"/>
    <col min="11790" max="11790" width="9.28515625" style="808" bestFit="1" customWidth="1"/>
    <col min="11791" max="11794" width="8.85546875" style="808"/>
    <col min="11795" max="11795" width="19.85546875" style="808" bestFit="1" customWidth="1"/>
    <col min="11796" max="11796" width="10.42578125" style="808" bestFit="1" customWidth="1"/>
    <col min="11797" max="11797" width="18.85546875" style="808" customWidth="1"/>
    <col min="11798" max="12032" width="8.85546875" style="808"/>
    <col min="12033" max="12033" width="11.7109375" style="808" bestFit="1" customWidth="1"/>
    <col min="12034" max="12034" width="18.42578125" style="808" customWidth="1"/>
    <col min="12035" max="12035" width="12.5703125" style="808" bestFit="1" customWidth="1"/>
    <col min="12036" max="12036" width="20.42578125" style="808" customWidth="1"/>
    <col min="12037" max="12037" width="12.5703125" style="808" bestFit="1" customWidth="1"/>
    <col min="12038" max="12038" width="18.7109375" style="808" bestFit="1" customWidth="1"/>
    <col min="12039" max="12039" width="16.5703125" style="808" customWidth="1"/>
    <col min="12040" max="12041" width="0" style="808" hidden="1" customWidth="1"/>
    <col min="12042" max="12042" width="18.28515625" style="808" bestFit="1" customWidth="1"/>
    <col min="12043" max="12043" width="11.85546875" style="808" bestFit="1" customWidth="1"/>
    <col min="12044" max="12044" width="12.28515625" style="808" bestFit="1" customWidth="1"/>
    <col min="12045" max="12045" width="10.42578125" style="808" customWidth="1"/>
    <col min="12046" max="12046" width="9.28515625" style="808" bestFit="1" customWidth="1"/>
    <col min="12047" max="12050" width="8.85546875" style="808"/>
    <col min="12051" max="12051" width="19.85546875" style="808" bestFit="1" customWidth="1"/>
    <col min="12052" max="12052" width="10.42578125" style="808" bestFit="1" customWidth="1"/>
    <col min="12053" max="12053" width="18.85546875" style="808" customWidth="1"/>
    <col min="12054" max="12288" width="8.85546875" style="808"/>
    <col min="12289" max="12289" width="11.7109375" style="808" bestFit="1" customWidth="1"/>
    <col min="12290" max="12290" width="18.42578125" style="808" customWidth="1"/>
    <col min="12291" max="12291" width="12.5703125" style="808" bestFit="1" customWidth="1"/>
    <col min="12292" max="12292" width="20.42578125" style="808" customWidth="1"/>
    <col min="12293" max="12293" width="12.5703125" style="808" bestFit="1" customWidth="1"/>
    <col min="12294" max="12294" width="18.7109375" style="808" bestFit="1" customWidth="1"/>
    <col min="12295" max="12295" width="16.5703125" style="808" customWidth="1"/>
    <col min="12296" max="12297" width="0" style="808" hidden="1" customWidth="1"/>
    <col min="12298" max="12298" width="18.28515625" style="808" bestFit="1" customWidth="1"/>
    <col min="12299" max="12299" width="11.85546875" style="808" bestFit="1" customWidth="1"/>
    <col min="12300" max="12300" width="12.28515625" style="808" bestFit="1" customWidth="1"/>
    <col min="12301" max="12301" width="10.42578125" style="808" customWidth="1"/>
    <col min="12302" max="12302" width="9.28515625" style="808" bestFit="1" customWidth="1"/>
    <col min="12303" max="12306" width="8.85546875" style="808"/>
    <col min="12307" max="12307" width="19.85546875" style="808" bestFit="1" customWidth="1"/>
    <col min="12308" max="12308" width="10.42578125" style="808" bestFit="1" customWidth="1"/>
    <col min="12309" max="12309" width="18.85546875" style="808" customWidth="1"/>
    <col min="12310" max="12544" width="8.85546875" style="808"/>
    <col min="12545" max="12545" width="11.7109375" style="808" bestFit="1" customWidth="1"/>
    <col min="12546" max="12546" width="18.42578125" style="808" customWidth="1"/>
    <col min="12547" max="12547" width="12.5703125" style="808" bestFit="1" customWidth="1"/>
    <col min="12548" max="12548" width="20.42578125" style="808" customWidth="1"/>
    <col min="12549" max="12549" width="12.5703125" style="808" bestFit="1" customWidth="1"/>
    <col min="12550" max="12550" width="18.7109375" style="808" bestFit="1" customWidth="1"/>
    <col min="12551" max="12551" width="16.5703125" style="808" customWidth="1"/>
    <col min="12552" max="12553" width="0" style="808" hidden="1" customWidth="1"/>
    <col min="12554" max="12554" width="18.28515625" style="808" bestFit="1" customWidth="1"/>
    <col min="12555" max="12555" width="11.85546875" style="808" bestFit="1" customWidth="1"/>
    <col min="12556" max="12556" width="12.28515625" style="808" bestFit="1" customWidth="1"/>
    <col min="12557" max="12557" width="10.42578125" style="808" customWidth="1"/>
    <col min="12558" max="12558" width="9.28515625" style="808" bestFit="1" customWidth="1"/>
    <col min="12559" max="12562" width="8.85546875" style="808"/>
    <col min="12563" max="12563" width="19.85546875" style="808" bestFit="1" customWidth="1"/>
    <col min="12564" max="12564" width="10.42578125" style="808" bestFit="1" customWidth="1"/>
    <col min="12565" max="12565" width="18.85546875" style="808" customWidth="1"/>
    <col min="12566" max="12800" width="8.85546875" style="808"/>
    <col min="12801" max="12801" width="11.7109375" style="808" bestFit="1" customWidth="1"/>
    <col min="12802" max="12802" width="18.42578125" style="808" customWidth="1"/>
    <col min="12803" max="12803" width="12.5703125" style="808" bestFit="1" customWidth="1"/>
    <col min="12804" max="12804" width="20.42578125" style="808" customWidth="1"/>
    <col min="12805" max="12805" width="12.5703125" style="808" bestFit="1" customWidth="1"/>
    <col min="12806" max="12806" width="18.7109375" style="808" bestFit="1" customWidth="1"/>
    <col min="12807" max="12807" width="16.5703125" style="808" customWidth="1"/>
    <col min="12808" max="12809" width="0" style="808" hidden="1" customWidth="1"/>
    <col min="12810" max="12810" width="18.28515625" style="808" bestFit="1" customWidth="1"/>
    <col min="12811" max="12811" width="11.85546875" style="808" bestFit="1" customWidth="1"/>
    <col min="12812" max="12812" width="12.28515625" style="808" bestFit="1" customWidth="1"/>
    <col min="12813" max="12813" width="10.42578125" style="808" customWidth="1"/>
    <col min="12814" max="12814" width="9.28515625" style="808" bestFit="1" customWidth="1"/>
    <col min="12815" max="12818" width="8.85546875" style="808"/>
    <col min="12819" max="12819" width="19.85546875" style="808" bestFit="1" customWidth="1"/>
    <col min="12820" max="12820" width="10.42578125" style="808" bestFit="1" customWidth="1"/>
    <col min="12821" max="12821" width="18.85546875" style="808" customWidth="1"/>
    <col min="12822" max="13056" width="8.85546875" style="808"/>
    <col min="13057" max="13057" width="11.7109375" style="808" bestFit="1" customWidth="1"/>
    <col min="13058" max="13058" width="18.42578125" style="808" customWidth="1"/>
    <col min="13059" max="13059" width="12.5703125" style="808" bestFit="1" customWidth="1"/>
    <col min="13060" max="13060" width="20.42578125" style="808" customWidth="1"/>
    <col min="13061" max="13061" width="12.5703125" style="808" bestFit="1" customWidth="1"/>
    <col min="13062" max="13062" width="18.7109375" style="808" bestFit="1" customWidth="1"/>
    <col min="13063" max="13063" width="16.5703125" style="808" customWidth="1"/>
    <col min="13064" max="13065" width="0" style="808" hidden="1" customWidth="1"/>
    <col min="13066" max="13066" width="18.28515625" style="808" bestFit="1" customWidth="1"/>
    <col min="13067" max="13067" width="11.85546875" style="808" bestFit="1" customWidth="1"/>
    <col min="13068" max="13068" width="12.28515625" style="808" bestFit="1" customWidth="1"/>
    <col min="13069" max="13069" width="10.42578125" style="808" customWidth="1"/>
    <col min="13070" max="13070" width="9.28515625" style="808" bestFit="1" customWidth="1"/>
    <col min="13071" max="13074" width="8.85546875" style="808"/>
    <col min="13075" max="13075" width="19.85546875" style="808" bestFit="1" customWidth="1"/>
    <col min="13076" max="13076" width="10.42578125" style="808" bestFit="1" customWidth="1"/>
    <col min="13077" max="13077" width="18.85546875" style="808" customWidth="1"/>
    <col min="13078" max="13312" width="8.85546875" style="808"/>
    <col min="13313" max="13313" width="11.7109375" style="808" bestFit="1" customWidth="1"/>
    <col min="13314" max="13314" width="18.42578125" style="808" customWidth="1"/>
    <col min="13315" max="13315" width="12.5703125" style="808" bestFit="1" customWidth="1"/>
    <col min="13316" max="13316" width="20.42578125" style="808" customWidth="1"/>
    <col min="13317" max="13317" width="12.5703125" style="808" bestFit="1" customWidth="1"/>
    <col min="13318" max="13318" width="18.7109375" style="808" bestFit="1" customWidth="1"/>
    <col min="13319" max="13319" width="16.5703125" style="808" customWidth="1"/>
    <col min="13320" max="13321" width="0" style="808" hidden="1" customWidth="1"/>
    <col min="13322" max="13322" width="18.28515625" style="808" bestFit="1" customWidth="1"/>
    <col min="13323" max="13323" width="11.85546875" style="808" bestFit="1" customWidth="1"/>
    <col min="13324" max="13324" width="12.28515625" style="808" bestFit="1" customWidth="1"/>
    <col min="13325" max="13325" width="10.42578125" style="808" customWidth="1"/>
    <col min="13326" max="13326" width="9.28515625" style="808" bestFit="1" customWidth="1"/>
    <col min="13327" max="13330" width="8.85546875" style="808"/>
    <col min="13331" max="13331" width="19.85546875" style="808" bestFit="1" customWidth="1"/>
    <col min="13332" max="13332" width="10.42578125" style="808" bestFit="1" customWidth="1"/>
    <col min="13333" max="13333" width="18.85546875" style="808" customWidth="1"/>
    <col min="13334" max="13568" width="8.85546875" style="808"/>
    <col min="13569" max="13569" width="11.7109375" style="808" bestFit="1" customWidth="1"/>
    <col min="13570" max="13570" width="18.42578125" style="808" customWidth="1"/>
    <col min="13571" max="13571" width="12.5703125" style="808" bestFit="1" customWidth="1"/>
    <col min="13572" max="13572" width="20.42578125" style="808" customWidth="1"/>
    <col min="13573" max="13573" width="12.5703125" style="808" bestFit="1" customWidth="1"/>
    <col min="13574" max="13574" width="18.7109375" style="808" bestFit="1" customWidth="1"/>
    <col min="13575" max="13575" width="16.5703125" style="808" customWidth="1"/>
    <col min="13576" max="13577" width="0" style="808" hidden="1" customWidth="1"/>
    <col min="13578" max="13578" width="18.28515625" style="808" bestFit="1" customWidth="1"/>
    <col min="13579" max="13579" width="11.85546875" style="808" bestFit="1" customWidth="1"/>
    <col min="13580" max="13580" width="12.28515625" style="808" bestFit="1" customWidth="1"/>
    <col min="13581" max="13581" width="10.42578125" style="808" customWidth="1"/>
    <col min="13582" max="13582" width="9.28515625" style="808" bestFit="1" customWidth="1"/>
    <col min="13583" max="13586" width="8.85546875" style="808"/>
    <col min="13587" max="13587" width="19.85546875" style="808" bestFit="1" customWidth="1"/>
    <col min="13588" max="13588" width="10.42578125" style="808" bestFit="1" customWidth="1"/>
    <col min="13589" max="13589" width="18.85546875" style="808" customWidth="1"/>
    <col min="13590" max="13824" width="8.85546875" style="808"/>
    <col min="13825" max="13825" width="11.7109375" style="808" bestFit="1" customWidth="1"/>
    <col min="13826" max="13826" width="18.42578125" style="808" customWidth="1"/>
    <col min="13827" max="13827" width="12.5703125" style="808" bestFit="1" customWidth="1"/>
    <col min="13828" max="13828" width="20.42578125" style="808" customWidth="1"/>
    <col min="13829" max="13829" width="12.5703125" style="808" bestFit="1" customWidth="1"/>
    <col min="13830" max="13830" width="18.7109375" style="808" bestFit="1" customWidth="1"/>
    <col min="13831" max="13831" width="16.5703125" style="808" customWidth="1"/>
    <col min="13832" max="13833" width="0" style="808" hidden="1" customWidth="1"/>
    <col min="13834" max="13834" width="18.28515625" style="808" bestFit="1" customWidth="1"/>
    <col min="13835" max="13835" width="11.85546875" style="808" bestFit="1" customWidth="1"/>
    <col min="13836" max="13836" width="12.28515625" style="808" bestFit="1" customWidth="1"/>
    <col min="13837" max="13837" width="10.42578125" style="808" customWidth="1"/>
    <col min="13838" max="13838" width="9.28515625" style="808" bestFit="1" customWidth="1"/>
    <col min="13839" max="13842" width="8.85546875" style="808"/>
    <col min="13843" max="13843" width="19.85546875" style="808" bestFit="1" customWidth="1"/>
    <col min="13844" max="13844" width="10.42578125" style="808" bestFit="1" customWidth="1"/>
    <col min="13845" max="13845" width="18.85546875" style="808" customWidth="1"/>
    <col min="13846" max="14080" width="8.85546875" style="808"/>
    <col min="14081" max="14081" width="11.7109375" style="808" bestFit="1" customWidth="1"/>
    <col min="14082" max="14082" width="18.42578125" style="808" customWidth="1"/>
    <col min="14083" max="14083" width="12.5703125" style="808" bestFit="1" customWidth="1"/>
    <col min="14084" max="14084" width="20.42578125" style="808" customWidth="1"/>
    <col min="14085" max="14085" width="12.5703125" style="808" bestFit="1" customWidth="1"/>
    <col min="14086" max="14086" width="18.7109375" style="808" bestFit="1" customWidth="1"/>
    <col min="14087" max="14087" width="16.5703125" style="808" customWidth="1"/>
    <col min="14088" max="14089" width="0" style="808" hidden="1" customWidth="1"/>
    <col min="14090" max="14090" width="18.28515625" style="808" bestFit="1" customWidth="1"/>
    <col min="14091" max="14091" width="11.85546875" style="808" bestFit="1" customWidth="1"/>
    <col min="14092" max="14092" width="12.28515625" style="808" bestFit="1" customWidth="1"/>
    <col min="14093" max="14093" width="10.42578125" style="808" customWidth="1"/>
    <col min="14094" max="14094" width="9.28515625" style="808" bestFit="1" customWidth="1"/>
    <col min="14095" max="14098" width="8.85546875" style="808"/>
    <col min="14099" max="14099" width="19.85546875" style="808" bestFit="1" customWidth="1"/>
    <col min="14100" max="14100" width="10.42578125" style="808" bestFit="1" customWidth="1"/>
    <col min="14101" max="14101" width="18.85546875" style="808" customWidth="1"/>
    <col min="14102" max="14336" width="8.85546875" style="808"/>
    <col min="14337" max="14337" width="11.7109375" style="808" bestFit="1" customWidth="1"/>
    <col min="14338" max="14338" width="18.42578125" style="808" customWidth="1"/>
    <col min="14339" max="14339" width="12.5703125" style="808" bestFit="1" customWidth="1"/>
    <col min="14340" max="14340" width="20.42578125" style="808" customWidth="1"/>
    <col min="14341" max="14341" width="12.5703125" style="808" bestFit="1" customWidth="1"/>
    <col min="14342" max="14342" width="18.7109375" style="808" bestFit="1" customWidth="1"/>
    <col min="14343" max="14343" width="16.5703125" style="808" customWidth="1"/>
    <col min="14344" max="14345" width="0" style="808" hidden="1" customWidth="1"/>
    <col min="14346" max="14346" width="18.28515625" style="808" bestFit="1" customWidth="1"/>
    <col min="14347" max="14347" width="11.85546875" style="808" bestFit="1" customWidth="1"/>
    <col min="14348" max="14348" width="12.28515625" style="808" bestFit="1" customWidth="1"/>
    <col min="14349" max="14349" width="10.42578125" style="808" customWidth="1"/>
    <col min="14350" max="14350" width="9.28515625" style="808" bestFit="1" customWidth="1"/>
    <col min="14351" max="14354" width="8.85546875" style="808"/>
    <col min="14355" max="14355" width="19.85546875" style="808" bestFit="1" customWidth="1"/>
    <col min="14356" max="14356" width="10.42578125" style="808" bestFit="1" customWidth="1"/>
    <col min="14357" max="14357" width="18.85546875" style="808" customWidth="1"/>
    <col min="14358" max="14592" width="8.85546875" style="808"/>
    <col min="14593" max="14593" width="11.7109375" style="808" bestFit="1" customWidth="1"/>
    <col min="14594" max="14594" width="18.42578125" style="808" customWidth="1"/>
    <col min="14595" max="14595" width="12.5703125" style="808" bestFit="1" customWidth="1"/>
    <col min="14596" max="14596" width="20.42578125" style="808" customWidth="1"/>
    <col min="14597" max="14597" width="12.5703125" style="808" bestFit="1" customWidth="1"/>
    <col min="14598" max="14598" width="18.7109375" style="808" bestFit="1" customWidth="1"/>
    <col min="14599" max="14599" width="16.5703125" style="808" customWidth="1"/>
    <col min="14600" max="14601" width="0" style="808" hidden="1" customWidth="1"/>
    <col min="14602" max="14602" width="18.28515625" style="808" bestFit="1" customWidth="1"/>
    <col min="14603" max="14603" width="11.85546875" style="808" bestFit="1" customWidth="1"/>
    <col min="14604" max="14604" width="12.28515625" style="808" bestFit="1" customWidth="1"/>
    <col min="14605" max="14605" width="10.42578125" style="808" customWidth="1"/>
    <col min="14606" max="14606" width="9.28515625" style="808" bestFit="1" customWidth="1"/>
    <col min="14607" max="14610" width="8.85546875" style="808"/>
    <col min="14611" max="14611" width="19.85546875" style="808" bestFit="1" customWidth="1"/>
    <col min="14612" max="14612" width="10.42578125" style="808" bestFit="1" customWidth="1"/>
    <col min="14613" max="14613" width="18.85546875" style="808" customWidth="1"/>
    <col min="14614" max="14848" width="8.85546875" style="808"/>
    <col min="14849" max="14849" width="11.7109375" style="808" bestFit="1" customWidth="1"/>
    <col min="14850" max="14850" width="18.42578125" style="808" customWidth="1"/>
    <col min="14851" max="14851" width="12.5703125" style="808" bestFit="1" customWidth="1"/>
    <col min="14852" max="14852" width="20.42578125" style="808" customWidth="1"/>
    <col min="14853" max="14853" width="12.5703125" style="808" bestFit="1" customWidth="1"/>
    <col min="14854" max="14854" width="18.7109375" style="808" bestFit="1" customWidth="1"/>
    <col min="14855" max="14855" width="16.5703125" style="808" customWidth="1"/>
    <col min="14856" max="14857" width="0" style="808" hidden="1" customWidth="1"/>
    <col min="14858" max="14858" width="18.28515625" style="808" bestFit="1" customWidth="1"/>
    <col min="14859" max="14859" width="11.85546875" style="808" bestFit="1" customWidth="1"/>
    <col min="14860" max="14860" width="12.28515625" style="808" bestFit="1" customWidth="1"/>
    <col min="14861" max="14861" width="10.42578125" style="808" customWidth="1"/>
    <col min="14862" max="14862" width="9.28515625" style="808" bestFit="1" customWidth="1"/>
    <col min="14863" max="14866" width="8.85546875" style="808"/>
    <col min="14867" max="14867" width="19.85546875" style="808" bestFit="1" customWidth="1"/>
    <col min="14868" max="14868" width="10.42578125" style="808" bestFit="1" customWidth="1"/>
    <col min="14869" max="14869" width="18.85546875" style="808" customWidth="1"/>
    <col min="14870" max="15104" width="8.85546875" style="808"/>
    <col min="15105" max="15105" width="11.7109375" style="808" bestFit="1" customWidth="1"/>
    <col min="15106" max="15106" width="18.42578125" style="808" customWidth="1"/>
    <col min="15107" max="15107" width="12.5703125" style="808" bestFit="1" customWidth="1"/>
    <col min="15108" max="15108" width="20.42578125" style="808" customWidth="1"/>
    <col min="15109" max="15109" width="12.5703125" style="808" bestFit="1" customWidth="1"/>
    <col min="15110" max="15110" width="18.7109375" style="808" bestFit="1" customWidth="1"/>
    <col min="15111" max="15111" width="16.5703125" style="808" customWidth="1"/>
    <col min="15112" max="15113" width="0" style="808" hidden="1" customWidth="1"/>
    <col min="15114" max="15114" width="18.28515625" style="808" bestFit="1" customWidth="1"/>
    <col min="15115" max="15115" width="11.85546875" style="808" bestFit="1" customWidth="1"/>
    <col min="15116" max="15116" width="12.28515625" style="808" bestFit="1" customWidth="1"/>
    <col min="15117" max="15117" width="10.42578125" style="808" customWidth="1"/>
    <col min="15118" max="15118" width="9.28515625" style="808" bestFit="1" customWidth="1"/>
    <col min="15119" max="15122" width="8.85546875" style="808"/>
    <col min="15123" max="15123" width="19.85546875" style="808" bestFit="1" customWidth="1"/>
    <col min="15124" max="15124" width="10.42578125" style="808" bestFit="1" customWidth="1"/>
    <col min="15125" max="15125" width="18.85546875" style="808" customWidth="1"/>
    <col min="15126" max="15360" width="8.85546875" style="808"/>
    <col min="15361" max="15361" width="11.7109375" style="808" bestFit="1" customWidth="1"/>
    <col min="15362" max="15362" width="18.42578125" style="808" customWidth="1"/>
    <col min="15363" max="15363" width="12.5703125" style="808" bestFit="1" customWidth="1"/>
    <col min="15364" max="15364" width="20.42578125" style="808" customWidth="1"/>
    <col min="15365" max="15365" width="12.5703125" style="808" bestFit="1" customWidth="1"/>
    <col min="15366" max="15366" width="18.7109375" style="808" bestFit="1" customWidth="1"/>
    <col min="15367" max="15367" width="16.5703125" style="808" customWidth="1"/>
    <col min="15368" max="15369" width="0" style="808" hidden="1" customWidth="1"/>
    <col min="15370" max="15370" width="18.28515625" style="808" bestFit="1" customWidth="1"/>
    <col min="15371" max="15371" width="11.85546875" style="808" bestFit="1" customWidth="1"/>
    <col min="15372" max="15372" width="12.28515625" style="808" bestFit="1" customWidth="1"/>
    <col min="15373" max="15373" width="10.42578125" style="808" customWidth="1"/>
    <col min="15374" max="15374" width="9.28515625" style="808" bestFit="1" customWidth="1"/>
    <col min="15375" max="15378" width="8.85546875" style="808"/>
    <col min="15379" max="15379" width="19.85546875" style="808" bestFit="1" customWidth="1"/>
    <col min="15380" max="15380" width="10.42578125" style="808" bestFit="1" customWidth="1"/>
    <col min="15381" max="15381" width="18.85546875" style="808" customWidth="1"/>
    <col min="15382" max="15616" width="8.85546875" style="808"/>
    <col min="15617" max="15617" width="11.7109375" style="808" bestFit="1" customWidth="1"/>
    <col min="15618" max="15618" width="18.42578125" style="808" customWidth="1"/>
    <col min="15619" max="15619" width="12.5703125" style="808" bestFit="1" customWidth="1"/>
    <col min="15620" max="15620" width="20.42578125" style="808" customWidth="1"/>
    <col min="15621" max="15621" width="12.5703125" style="808" bestFit="1" customWidth="1"/>
    <col min="15622" max="15622" width="18.7109375" style="808" bestFit="1" customWidth="1"/>
    <col min="15623" max="15623" width="16.5703125" style="808" customWidth="1"/>
    <col min="15624" max="15625" width="0" style="808" hidden="1" customWidth="1"/>
    <col min="15626" max="15626" width="18.28515625" style="808" bestFit="1" customWidth="1"/>
    <col min="15627" max="15627" width="11.85546875" style="808" bestFit="1" customWidth="1"/>
    <col min="15628" max="15628" width="12.28515625" style="808" bestFit="1" customWidth="1"/>
    <col min="15629" max="15629" width="10.42578125" style="808" customWidth="1"/>
    <col min="15630" max="15630" width="9.28515625" style="808" bestFit="1" customWidth="1"/>
    <col min="15631" max="15634" width="8.85546875" style="808"/>
    <col min="15635" max="15635" width="19.85546875" style="808" bestFit="1" customWidth="1"/>
    <col min="15636" max="15636" width="10.42578125" style="808" bestFit="1" customWidth="1"/>
    <col min="15637" max="15637" width="18.85546875" style="808" customWidth="1"/>
    <col min="15638" max="15872" width="8.85546875" style="808"/>
    <col min="15873" max="15873" width="11.7109375" style="808" bestFit="1" customWidth="1"/>
    <col min="15874" max="15874" width="18.42578125" style="808" customWidth="1"/>
    <col min="15875" max="15875" width="12.5703125" style="808" bestFit="1" customWidth="1"/>
    <col min="15876" max="15876" width="20.42578125" style="808" customWidth="1"/>
    <col min="15877" max="15877" width="12.5703125" style="808" bestFit="1" customWidth="1"/>
    <col min="15878" max="15878" width="18.7109375" style="808" bestFit="1" customWidth="1"/>
    <col min="15879" max="15879" width="16.5703125" style="808" customWidth="1"/>
    <col min="15880" max="15881" width="0" style="808" hidden="1" customWidth="1"/>
    <col min="15882" max="15882" width="18.28515625" style="808" bestFit="1" customWidth="1"/>
    <col min="15883" max="15883" width="11.85546875" style="808" bestFit="1" customWidth="1"/>
    <col min="15884" max="15884" width="12.28515625" style="808" bestFit="1" customWidth="1"/>
    <col min="15885" max="15885" width="10.42578125" style="808" customWidth="1"/>
    <col min="15886" max="15886" width="9.28515625" style="808" bestFit="1" customWidth="1"/>
    <col min="15887" max="15890" width="8.85546875" style="808"/>
    <col min="15891" max="15891" width="19.85546875" style="808" bestFit="1" customWidth="1"/>
    <col min="15892" max="15892" width="10.42578125" style="808" bestFit="1" customWidth="1"/>
    <col min="15893" max="15893" width="18.85546875" style="808" customWidth="1"/>
    <col min="15894" max="16128" width="8.85546875" style="808"/>
    <col min="16129" max="16129" width="11.7109375" style="808" bestFit="1" customWidth="1"/>
    <col min="16130" max="16130" width="18.42578125" style="808" customWidth="1"/>
    <col min="16131" max="16131" width="12.5703125" style="808" bestFit="1" customWidth="1"/>
    <col min="16132" max="16132" width="20.42578125" style="808" customWidth="1"/>
    <col min="16133" max="16133" width="12.5703125" style="808" bestFit="1" customWidth="1"/>
    <col min="16134" max="16134" width="18.7109375" style="808" bestFit="1" customWidth="1"/>
    <col min="16135" max="16135" width="16.5703125" style="808" customWidth="1"/>
    <col min="16136" max="16137" width="0" style="808" hidden="1" customWidth="1"/>
    <col min="16138" max="16138" width="18.28515625" style="808" bestFit="1" customWidth="1"/>
    <col min="16139" max="16139" width="11.85546875" style="808" bestFit="1" customWidth="1"/>
    <col min="16140" max="16140" width="12.28515625" style="808" bestFit="1" customWidth="1"/>
    <col min="16141" max="16141" width="10.42578125" style="808" customWidth="1"/>
    <col min="16142" max="16142" width="9.28515625" style="808" bestFit="1" customWidth="1"/>
    <col min="16143" max="16146" width="8.85546875" style="808"/>
    <col min="16147" max="16147" width="19.85546875" style="808" bestFit="1" customWidth="1"/>
    <col min="16148" max="16148" width="10.42578125" style="808" bestFit="1" customWidth="1"/>
    <col min="16149" max="16149" width="18.85546875" style="808" customWidth="1"/>
    <col min="16150" max="16384" width="8.85546875" style="808"/>
  </cols>
  <sheetData>
    <row r="1" spans="1:21" ht="15">
      <c r="A1" s="806"/>
      <c r="B1" s="807" t="s">
        <v>232</v>
      </c>
      <c r="C1" s="807"/>
      <c r="D1" s="807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806"/>
      <c r="U1" s="806"/>
    </row>
    <row r="2" spans="1:21" ht="15">
      <c r="A2" s="806"/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</row>
    <row r="3" spans="1:21" ht="15">
      <c r="A3" s="806"/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  <c r="Q3" s="806"/>
      <c r="R3" s="806"/>
      <c r="S3" s="806"/>
      <c r="T3" s="806"/>
      <c r="U3" s="806"/>
    </row>
    <row r="4" spans="1:21" ht="15">
      <c r="A4" s="806"/>
      <c r="C4" s="806"/>
      <c r="D4" s="806"/>
      <c r="E4" s="806"/>
      <c r="F4" s="806"/>
    </row>
    <row r="5" spans="1:21" ht="15">
      <c r="A5" s="806"/>
      <c r="B5" s="806"/>
      <c r="C5" s="806"/>
      <c r="D5" s="806"/>
      <c r="E5" s="806"/>
      <c r="F5" s="806"/>
    </row>
    <row r="6" spans="1:21" ht="15.75">
      <c r="A6" s="809" t="s">
        <v>326</v>
      </c>
      <c r="B6" s="806"/>
      <c r="C6" s="810"/>
      <c r="D6" s="806"/>
      <c r="E6" s="806"/>
      <c r="F6" s="806"/>
    </row>
    <row r="7" spans="1:21" ht="15">
      <c r="A7" s="806"/>
      <c r="B7" s="806"/>
      <c r="C7" s="806"/>
      <c r="D7" s="806"/>
      <c r="E7" s="806"/>
      <c r="F7" s="806"/>
    </row>
    <row r="8" spans="1:21" ht="15">
      <c r="A8" s="806"/>
      <c r="B8" s="806">
        <f>5032-2947</f>
        <v>2085</v>
      </c>
      <c r="C8" s="806"/>
      <c r="D8" s="806"/>
      <c r="E8" s="806"/>
      <c r="F8" s="806"/>
    </row>
    <row r="9" spans="1:21" ht="15">
      <c r="A9" s="806"/>
      <c r="B9" s="811"/>
      <c r="C9" s="811"/>
      <c r="D9" s="811"/>
      <c r="E9" s="811"/>
      <c r="F9" s="811"/>
    </row>
    <row r="10" spans="1:21" ht="15">
      <c r="A10" s="806"/>
      <c r="B10" s="811" t="s">
        <v>327</v>
      </c>
      <c r="C10" s="811" t="s">
        <v>328</v>
      </c>
      <c r="D10" s="811" t="s">
        <v>329</v>
      </c>
      <c r="E10" s="811" t="s">
        <v>328</v>
      </c>
      <c r="F10" s="806"/>
    </row>
    <row r="11" spans="1:21" ht="15">
      <c r="A11" s="806"/>
      <c r="B11" s="812" t="s">
        <v>330</v>
      </c>
      <c r="C11" s="812" t="s">
        <v>331</v>
      </c>
      <c r="D11" s="812" t="s">
        <v>332</v>
      </c>
      <c r="E11" s="812" t="s">
        <v>331</v>
      </c>
      <c r="F11" s="806"/>
    </row>
    <row r="12" spans="1:21" ht="15">
      <c r="A12" s="806"/>
      <c r="B12" s="811"/>
      <c r="C12" s="811"/>
      <c r="D12" s="811"/>
      <c r="E12" s="811"/>
      <c r="F12" s="813">
        <v>1387151.6</v>
      </c>
    </row>
    <row r="13" spans="1:21" ht="16.5" customHeight="1">
      <c r="A13" s="806"/>
      <c r="B13" s="806"/>
      <c r="C13" s="806"/>
      <c r="D13" s="806" t="s">
        <v>333</v>
      </c>
      <c r="E13" s="806"/>
      <c r="F13" s="806"/>
    </row>
    <row r="14" spans="1:21" ht="16.5" hidden="1" customHeight="1" outlineLevel="1">
      <c r="A14" s="814" t="s">
        <v>334</v>
      </c>
      <c r="B14" s="815">
        <v>2947</v>
      </c>
      <c r="C14" s="816"/>
      <c r="D14" s="815">
        <f>ROUND(F14/1000,0)</f>
        <v>1387</v>
      </c>
      <c r="E14" s="816"/>
      <c r="F14" s="817">
        <v>1387151.6</v>
      </c>
    </row>
    <row r="15" spans="1:21" ht="16.5" hidden="1" customHeight="1" outlineLevel="1">
      <c r="A15" s="814" t="s">
        <v>335</v>
      </c>
      <c r="B15" s="815">
        <v>2947</v>
      </c>
      <c r="C15" s="816"/>
      <c r="D15" s="815">
        <f t="shared" ref="D15:D78" si="0">ROUND(F15/1000,0)</f>
        <v>1394</v>
      </c>
      <c r="E15" s="816"/>
      <c r="F15" s="813">
        <f t="shared" ref="F15:F78" si="1">F14+6637.1</f>
        <v>1393788.7000000002</v>
      </c>
    </row>
    <row r="16" spans="1:21" ht="16.5" hidden="1" customHeight="1" outlineLevel="1">
      <c r="A16" s="814" t="s">
        <v>336</v>
      </c>
      <c r="B16" s="815">
        <v>2947</v>
      </c>
      <c r="C16" s="816"/>
      <c r="D16" s="815">
        <f t="shared" si="0"/>
        <v>1400</v>
      </c>
      <c r="E16" s="816"/>
      <c r="F16" s="813">
        <f t="shared" si="1"/>
        <v>1400425.8000000003</v>
      </c>
    </row>
    <row r="17" spans="1:6" ht="16.5" hidden="1" customHeight="1" outlineLevel="1">
      <c r="A17" s="814" t="s">
        <v>337</v>
      </c>
      <c r="B17" s="815">
        <v>2947</v>
      </c>
      <c r="C17" s="816"/>
      <c r="D17" s="815">
        <f t="shared" si="0"/>
        <v>1407</v>
      </c>
      <c r="E17" s="816"/>
      <c r="F17" s="813">
        <f t="shared" si="1"/>
        <v>1407062.9000000004</v>
      </c>
    </row>
    <row r="18" spans="1:6" ht="16.5" hidden="1" customHeight="1" outlineLevel="1">
      <c r="A18" s="814" t="s">
        <v>338</v>
      </c>
      <c r="B18" s="815">
        <v>2947</v>
      </c>
      <c r="C18" s="816"/>
      <c r="D18" s="815">
        <f t="shared" si="0"/>
        <v>1414</v>
      </c>
      <c r="E18" s="816"/>
      <c r="F18" s="813">
        <f t="shared" si="1"/>
        <v>1413700.0000000005</v>
      </c>
    </row>
    <row r="19" spans="1:6" ht="16.5" hidden="1" customHeight="1" outlineLevel="1">
      <c r="A19" s="814" t="s">
        <v>339</v>
      </c>
      <c r="B19" s="815">
        <v>2947</v>
      </c>
      <c r="C19" s="816"/>
      <c r="D19" s="815">
        <f t="shared" si="0"/>
        <v>1420</v>
      </c>
      <c r="E19" s="816"/>
      <c r="F19" s="813">
        <f t="shared" si="1"/>
        <v>1420337.1000000006</v>
      </c>
    </row>
    <row r="20" spans="1:6" ht="16.5" hidden="1" customHeight="1" outlineLevel="1">
      <c r="A20" s="814" t="s">
        <v>340</v>
      </c>
      <c r="B20" s="815">
        <v>2947</v>
      </c>
      <c r="C20" s="816"/>
      <c r="D20" s="815">
        <f t="shared" si="0"/>
        <v>1427</v>
      </c>
      <c r="E20" s="816"/>
      <c r="F20" s="813">
        <f t="shared" si="1"/>
        <v>1426974.2000000007</v>
      </c>
    </row>
    <row r="21" spans="1:6" ht="16.5" hidden="1" customHeight="1" outlineLevel="1">
      <c r="A21" s="814" t="s">
        <v>341</v>
      </c>
      <c r="B21" s="815">
        <v>2947</v>
      </c>
      <c r="C21" s="816"/>
      <c r="D21" s="815">
        <f t="shared" si="0"/>
        <v>1434</v>
      </c>
      <c r="E21" s="816"/>
      <c r="F21" s="813">
        <f t="shared" si="1"/>
        <v>1433611.3000000007</v>
      </c>
    </row>
    <row r="22" spans="1:6" ht="16.5" hidden="1" customHeight="1" outlineLevel="1">
      <c r="A22" s="814" t="s">
        <v>342</v>
      </c>
      <c r="B22" s="815">
        <v>2947</v>
      </c>
      <c r="C22" s="816"/>
      <c r="D22" s="815">
        <f>ROUND(F22/1000,0)</f>
        <v>1440</v>
      </c>
      <c r="E22" s="816"/>
      <c r="F22" s="813">
        <f t="shared" si="1"/>
        <v>1440248.4000000008</v>
      </c>
    </row>
    <row r="23" spans="1:6" ht="16.5" hidden="1" customHeight="1" outlineLevel="1">
      <c r="A23" s="814" t="s">
        <v>343</v>
      </c>
      <c r="B23" s="815">
        <v>2947</v>
      </c>
      <c r="C23" s="816"/>
      <c r="D23" s="815">
        <f t="shared" si="0"/>
        <v>1447</v>
      </c>
      <c r="E23" s="816"/>
      <c r="F23" s="813">
        <f t="shared" si="1"/>
        <v>1446885.5000000009</v>
      </c>
    </row>
    <row r="24" spans="1:6" ht="16.5" hidden="1" customHeight="1" outlineLevel="1">
      <c r="A24" s="814" t="s">
        <v>344</v>
      </c>
      <c r="B24" s="815">
        <v>2947</v>
      </c>
      <c r="C24" s="816"/>
      <c r="D24" s="815">
        <f t="shared" si="0"/>
        <v>1454</v>
      </c>
      <c r="E24" s="816"/>
      <c r="F24" s="813">
        <f t="shared" si="1"/>
        <v>1453522.600000001</v>
      </c>
    </row>
    <row r="25" spans="1:6" ht="16.5" hidden="1" customHeight="1" outlineLevel="1">
      <c r="A25" s="814" t="s">
        <v>345</v>
      </c>
      <c r="B25" s="815">
        <v>2947</v>
      </c>
      <c r="C25" s="816"/>
      <c r="D25" s="815">
        <f>ROUND(F25/1000,0)</f>
        <v>1460</v>
      </c>
      <c r="E25" s="816"/>
      <c r="F25" s="813">
        <f t="shared" si="1"/>
        <v>1460159.7000000011</v>
      </c>
    </row>
    <row r="26" spans="1:6" ht="16.5" hidden="1" customHeight="1" outlineLevel="1">
      <c r="A26" s="814" t="s">
        <v>346</v>
      </c>
      <c r="B26" s="815">
        <v>2947</v>
      </c>
      <c r="C26" s="816">
        <f>ROUND((SUM(B14:B26)/13),0)</f>
        <v>2947</v>
      </c>
      <c r="D26" s="815">
        <f>ROUND(F26/1000,0)</f>
        <v>1467</v>
      </c>
      <c r="E26" s="816">
        <f t="shared" ref="E26:G87" si="2">ROUND((SUM(D14:D26)/13),2)</f>
        <v>1427</v>
      </c>
      <c r="F26" s="813">
        <f t="shared" si="1"/>
        <v>1466796.8000000012</v>
      </c>
    </row>
    <row r="27" spans="1:6" ht="16.5" hidden="1" customHeight="1" outlineLevel="1">
      <c r="A27" s="814" t="s">
        <v>347</v>
      </c>
      <c r="B27" s="815">
        <v>2947</v>
      </c>
      <c r="C27" s="816">
        <f t="shared" ref="C27:C57" si="3">ROUND((SUM(B15:B27)/13),0)</f>
        <v>2947</v>
      </c>
      <c r="D27" s="815">
        <f t="shared" si="0"/>
        <v>1473</v>
      </c>
      <c r="E27" s="816">
        <f t="shared" si="2"/>
        <v>1433.62</v>
      </c>
      <c r="F27" s="813">
        <f t="shared" si="1"/>
        <v>1473433.9000000013</v>
      </c>
    </row>
    <row r="28" spans="1:6" ht="16.5" hidden="1" customHeight="1" outlineLevel="1">
      <c r="A28" s="814" t="s">
        <v>348</v>
      </c>
      <c r="B28" s="815">
        <v>2947</v>
      </c>
      <c r="C28" s="816">
        <f t="shared" si="3"/>
        <v>2947</v>
      </c>
      <c r="D28" s="815">
        <f t="shared" si="0"/>
        <v>1480</v>
      </c>
      <c r="E28" s="816">
        <f t="shared" si="2"/>
        <v>1440.23</v>
      </c>
      <c r="F28" s="813">
        <f t="shared" si="1"/>
        <v>1480071.0000000014</v>
      </c>
    </row>
    <row r="29" spans="1:6" ht="16.5" hidden="1" customHeight="1" outlineLevel="1">
      <c r="A29" s="814" t="s">
        <v>349</v>
      </c>
      <c r="B29" s="815">
        <v>2947</v>
      </c>
      <c r="C29" s="816">
        <f t="shared" si="3"/>
        <v>2947</v>
      </c>
      <c r="D29" s="815">
        <f t="shared" si="0"/>
        <v>1487</v>
      </c>
      <c r="E29" s="816">
        <f t="shared" si="2"/>
        <v>1446.92</v>
      </c>
      <c r="F29" s="813">
        <f t="shared" si="1"/>
        <v>1486708.1000000015</v>
      </c>
    </row>
    <row r="30" spans="1:6" ht="16.5" hidden="1" customHeight="1" outlineLevel="1">
      <c r="A30" s="814" t="s">
        <v>350</v>
      </c>
      <c r="B30" s="815">
        <v>2947</v>
      </c>
      <c r="C30" s="816">
        <f t="shared" si="3"/>
        <v>2947</v>
      </c>
      <c r="D30" s="815">
        <f t="shared" si="0"/>
        <v>1493</v>
      </c>
      <c r="E30" s="816">
        <f t="shared" si="2"/>
        <v>1453.54</v>
      </c>
      <c r="F30" s="813">
        <f t="shared" si="1"/>
        <v>1493345.2000000016</v>
      </c>
    </row>
    <row r="31" spans="1:6" ht="16.5" hidden="1" customHeight="1" outlineLevel="1">
      <c r="A31" s="814" t="s">
        <v>351</v>
      </c>
      <c r="B31" s="815">
        <v>2947</v>
      </c>
      <c r="C31" s="816">
        <f t="shared" si="3"/>
        <v>2947</v>
      </c>
      <c r="D31" s="815">
        <f t="shared" si="0"/>
        <v>1500</v>
      </c>
      <c r="E31" s="816">
        <f t="shared" si="2"/>
        <v>1460.15</v>
      </c>
      <c r="F31" s="813">
        <f t="shared" si="1"/>
        <v>1499982.3000000017</v>
      </c>
    </row>
    <row r="32" spans="1:6" ht="16.5" hidden="1" customHeight="1" outlineLevel="1">
      <c r="A32" s="814" t="s">
        <v>352</v>
      </c>
      <c r="B32" s="815">
        <v>2947</v>
      </c>
      <c r="C32" s="816">
        <f t="shared" si="3"/>
        <v>2947</v>
      </c>
      <c r="D32" s="815">
        <f t="shared" si="0"/>
        <v>1507</v>
      </c>
      <c r="E32" s="816">
        <f t="shared" si="2"/>
        <v>1466.85</v>
      </c>
      <c r="F32" s="813">
        <f t="shared" si="1"/>
        <v>1506619.4000000018</v>
      </c>
    </row>
    <row r="33" spans="1:6" ht="16.5" hidden="1" customHeight="1" outlineLevel="1">
      <c r="A33" s="814" t="s">
        <v>353</v>
      </c>
      <c r="B33" s="815">
        <v>2947</v>
      </c>
      <c r="C33" s="816">
        <f t="shared" si="3"/>
        <v>2947</v>
      </c>
      <c r="D33" s="815">
        <f t="shared" si="0"/>
        <v>1513</v>
      </c>
      <c r="E33" s="816">
        <f t="shared" si="2"/>
        <v>1473.46</v>
      </c>
      <c r="F33" s="813">
        <f t="shared" si="1"/>
        <v>1513256.5000000019</v>
      </c>
    </row>
    <row r="34" spans="1:6" ht="16.5" hidden="1" customHeight="1" outlineLevel="1">
      <c r="A34" s="814" t="s">
        <v>354</v>
      </c>
      <c r="B34" s="815">
        <v>2947</v>
      </c>
      <c r="C34" s="816">
        <f t="shared" si="3"/>
        <v>2947</v>
      </c>
      <c r="D34" s="815">
        <f>ROUND(F34/1000,0)</f>
        <v>1520</v>
      </c>
      <c r="E34" s="816">
        <f>ROUND((SUM(D22:D34)/13),2)</f>
        <v>1480.08</v>
      </c>
      <c r="F34" s="813">
        <f>F33+6637.1</f>
        <v>1519893.600000002</v>
      </c>
    </row>
    <row r="35" spans="1:6" ht="16.5" hidden="1" customHeight="1" outlineLevel="1">
      <c r="A35" s="814" t="s">
        <v>355</v>
      </c>
      <c r="B35" s="815">
        <v>2947</v>
      </c>
      <c r="C35" s="816">
        <f t="shared" si="3"/>
        <v>2947</v>
      </c>
      <c r="D35" s="815">
        <f t="shared" si="0"/>
        <v>1527</v>
      </c>
      <c r="E35" s="816">
        <f t="shared" si="2"/>
        <v>1486.77</v>
      </c>
      <c r="F35" s="813">
        <f t="shared" si="1"/>
        <v>1526530.700000002</v>
      </c>
    </row>
    <row r="36" spans="1:6" ht="16.5" hidden="1" customHeight="1" outlineLevel="1">
      <c r="A36" s="814" t="s">
        <v>356</v>
      </c>
      <c r="B36" s="815">
        <v>2947</v>
      </c>
      <c r="C36" s="816">
        <f t="shared" si="3"/>
        <v>2947</v>
      </c>
      <c r="D36" s="815">
        <f t="shared" si="0"/>
        <v>1533</v>
      </c>
      <c r="E36" s="816">
        <f t="shared" si="2"/>
        <v>1493.38</v>
      </c>
      <c r="F36" s="813">
        <f t="shared" si="1"/>
        <v>1533167.8000000021</v>
      </c>
    </row>
    <row r="37" spans="1:6" ht="16.5" hidden="1" customHeight="1" outlineLevel="1">
      <c r="A37" s="814" t="s">
        <v>357</v>
      </c>
      <c r="B37" s="815">
        <v>2947</v>
      </c>
      <c r="C37" s="816">
        <f t="shared" si="3"/>
        <v>2947</v>
      </c>
      <c r="D37" s="815">
        <f t="shared" si="0"/>
        <v>1540</v>
      </c>
      <c r="E37" s="816">
        <f t="shared" si="2"/>
        <v>1500</v>
      </c>
      <c r="F37" s="813">
        <f t="shared" si="1"/>
        <v>1539804.9000000022</v>
      </c>
    </row>
    <row r="38" spans="1:6" ht="16.5" hidden="1" customHeight="1" outlineLevel="1">
      <c r="A38" s="814" t="s">
        <v>358</v>
      </c>
      <c r="B38" s="815">
        <v>2947</v>
      </c>
      <c r="C38" s="816">
        <f t="shared" si="3"/>
        <v>2947</v>
      </c>
      <c r="D38" s="815">
        <f t="shared" si="0"/>
        <v>1546</v>
      </c>
      <c r="E38" s="816">
        <f t="shared" si="2"/>
        <v>1506.62</v>
      </c>
      <c r="F38" s="813">
        <f t="shared" si="1"/>
        <v>1546442.0000000023</v>
      </c>
    </row>
    <row r="39" spans="1:6" ht="16.5" hidden="1" customHeight="1" outlineLevel="1">
      <c r="A39" s="818" t="s">
        <v>359</v>
      </c>
      <c r="B39" s="815">
        <v>2947</v>
      </c>
      <c r="C39" s="816">
        <f t="shared" si="3"/>
        <v>2947</v>
      </c>
      <c r="D39" s="815">
        <f t="shared" si="0"/>
        <v>1553</v>
      </c>
      <c r="E39" s="816">
        <f t="shared" si="2"/>
        <v>1513.23</v>
      </c>
      <c r="F39" s="813">
        <f t="shared" si="1"/>
        <v>1553079.1000000024</v>
      </c>
    </row>
    <row r="40" spans="1:6" ht="16.5" hidden="1" customHeight="1" outlineLevel="1">
      <c r="A40" s="818" t="s">
        <v>360</v>
      </c>
      <c r="B40" s="815">
        <v>2947</v>
      </c>
      <c r="C40" s="816">
        <f t="shared" si="3"/>
        <v>2947</v>
      </c>
      <c r="D40" s="815">
        <f t="shared" si="0"/>
        <v>1560</v>
      </c>
      <c r="E40" s="816">
        <f t="shared" si="2"/>
        <v>1519.92</v>
      </c>
      <c r="F40" s="813">
        <f t="shared" si="1"/>
        <v>1559716.2000000025</v>
      </c>
    </row>
    <row r="41" spans="1:6" ht="16.5" hidden="1" customHeight="1" outlineLevel="1">
      <c r="A41" s="819" t="s">
        <v>361</v>
      </c>
      <c r="B41" s="815">
        <v>2947</v>
      </c>
      <c r="C41" s="816">
        <f t="shared" si="3"/>
        <v>2947</v>
      </c>
      <c r="D41" s="815">
        <f t="shared" si="0"/>
        <v>1566</v>
      </c>
      <c r="E41" s="816">
        <f t="shared" si="2"/>
        <v>1526.54</v>
      </c>
      <c r="F41" s="813">
        <f t="shared" si="1"/>
        <v>1566353.3000000026</v>
      </c>
    </row>
    <row r="42" spans="1:6" ht="16.5" hidden="1" customHeight="1" outlineLevel="1">
      <c r="A42" s="819" t="s">
        <v>362</v>
      </c>
      <c r="B42" s="815">
        <v>2947</v>
      </c>
      <c r="C42" s="816">
        <f t="shared" si="3"/>
        <v>2947</v>
      </c>
      <c r="D42" s="815">
        <f t="shared" si="0"/>
        <v>1573</v>
      </c>
      <c r="E42" s="816">
        <f t="shared" si="2"/>
        <v>1533.15</v>
      </c>
      <c r="F42" s="813">
        <f t="shared" si="1"/>
        <v>1572990.4000000027</v>
      </c>
    </row>
    <row r="43" spans="1:6" ht="16.5" hidden="1" customHeight="1" outlineLevel="1">
      <c r="A43" s="819" t="s">
        <v>363</v>
      </c>
      <c r="B43" s="815">
        <v>2947</v>
      </c>
      <c r="C43" s="816">
        <f t="shared" si="3"/>
        <v>2947</v>
      </c>
      <c r="D43" s="815">
        <f t="shared" si="0"/>
        <v>1580</v>
      </c>
      <c r="E43" s="816">
        <f t="shared" si="2"/>
        <v>1539.85</v>
      </c>
      <c r="F43" s="813">
        <f t="shared" si="1"/>
        <v>1579627.5000000028</v>
      </c>
    </row>
    <row r="44" spans="1:6" ht="16.5" hidden="1" customHeight="1" outlineLevel="1">
      <c r="A44" s="819" t="s">
        <v>364</v>
      </c>
      <c r="B44" s="815">
        <v>2947</v>
      </c>
      <c r="C44" s="816">
        <f t="shared" si="3"/>
        <v>2947</v>
      </c>
      <c r="D44" s="815">
        <f t="shared" si="0"/>
        <v>1586</v>
      </c>
      <c r="E44" s="816">
        <f t="shared" si="2"/>
        <v>1546.46</v>
      </c>
      <c r="F44" s="813">
        <f t="shared" si="1"/>
        <v>1586264.6000000029</v>
      </c>
    </row>
    <row r="45" spans="1:6" ht="16.5" hidden="1" customHeight="1" outlineLevel="1">
      <c r="A45" s="819" t="s">
        <v>365</v>
      </c>
      <c r="B45" s="815">
        <v>2947</v>
      </c>
      <c r="C45" s="816">
        <f t="shared" si="3"/>
        <v>2947</v>
      </c>
      <c r="D45" s="815">
        <f t="shared" si="0"/>
        <v>1593</v>
      </c>
      <c r="E45" s="816">
        <f t="shared" si="2"/>
        <v>1553.08</v>
      </c>
      <c r="F45" s="813">
        <f t="shared" si="1"/>
        <v>1592901.700000003</v>
      </c>
    </row>
    <row r="46" spans="1:6" ht="16.5" hidden="1" customHeight="1" outlineLevel="1">
      <c r="A46" s="819" t="s">
        <v>366</v>
      </c>
      <c r="B46" s="815">
        <v>2947</v>
      </c>
      <c r="C46" s="816">
        <f t="shared" si="3"/>
        <v>2947</v>
      </c>
      <c r="D46" s="815">
        <f t="shared" si="0"/>
        <v>1600</v>
      </c>
      <c r="E46" s="816">
        <f t="shared" si="2"/>
        <v>1559.77</v>
      </c>
      <c r="F46" s="813">
        <f t="shared" si="1"/>
        <v>1599538.8000000031</v>
      </c>
    </row>
    <row r="47" spans="1:6" ht="16.5" hidden="1" customHeight="1" outlineLevel="1">
      <c r="A47" s="819" t="s">
        <v>367</v>
      </c>
      <c r="B47" s="815">
        <v>2947</v>
      </c>
      <c r="C47" s="816">
        <f t="shared" si="3"/>
        <v>2947</v>
      </c>
      <c r="D47" s="815">
        <f t="shared" si="0"/>
        <v>1606</v>
      </c>
      <c r="E47" s="816">
        <f t="shared" si="2"/>
        <v>1566.38</v>
      </c>
      <c r="F47" s="813">
        <f t="shared" si="1"/>
        <v>1606175.9000000032</v>
      </c>
    </row>
    <row r="48" spans="1:6" ht="16.5" hidden="1" customHeight="1" outlineLevel="1">
      <c r="A48" s="819" t="s">
        <v>368</v>
      </c>
      <c r="B48" s="815">
        <v>2947</v>
      </c>
      <c r="C48" s="816">
        <f t="shared" si="3"/>
        <v>2947</v>
      </c>
      <c r="D48" s="815">
        <f t="shared" si="0"/>
        <v>1613</v>
      </c>
      <c r="E48" s="816">
        <f t="shared" si="2"/>
        <v>1573</v>
      </c>
      <c r="F48" s="813">
        <f t="shared" si="1"/>
        <v>1612813.0000000033</v>
      </c>
    </row>
    <row r="49" spans="1:6" ht="16.5" hidden="1" customHeight="1" outlineLevel="1">
      <c r="A49" s="819" t="s">
        <v>369</v>
      </c>
      <c r="B49" s="815">
        <v>2947</v>
      </c>
      <c r="C49" s="816">
        <f t="shared" si="3"/>
        <v>2947</v>
      </c>
      <c r="D49" s="815">
        <f t="shared" si="0"/>
        <v>1619</v>
      </c>
      <c r="E49" s="816">
        <f t="shared" si="2"/>
        <v>1579.62</v>
      </c>
      <c r="F49" s="813">
        <f t="shared" si="1"/>
        <v>1619450.1000000034</v>
      </c>
    </row>
    <row r="50" spans="1:6" ht="16.5" hidden="1" customHeight="1" outlineLevel="1">
      <c r="A50" s="819" t="s">
        <v>370</v>
      </c>
      <c r="B50" s="815">
        <v>2947</v>
      </c>
      <c r="C50" s="816">
        <f t="shared" si="3"/>
        <v>2947</v>
      </c>
      <c r="D50" s="815">
        <f t="shared" si="0"/>
        <v>1626</v>
      </c>
      <c r="E50" s="816">
        <f t="shared" si="2"/>
        <v>1586.23</v>
      </c>
      <c r="F50" s="813">
        <f t="shared" si="1"/>
        <v>1626087.2000000034</v>
      </c>
    </row>
    <row r="51" spans="1:6" ht="16.5" hidden="1" customHeight="1" outlineLevel="1">
      <c r="A51" s="819" t="s">
        <v>371</v>
      </c>
      <c r="B51" s="815">
        <v>2947</v>
      </c>
      <c r="C51" s="816">
        <f t="shared" si="3"/>
        <v>2947</v>
      </c>
      <c r="D51" s="815">
        <f t="shared" si="0"/>
        <v>1633</v>
      </c>
      <c r="E51" s="816">
        <f t="shared" si="2"/>
        <v>1592.92</v>
      </c>
      <c r="F51" s="813">
        <f t="shared" si="1"/>
        <v>1632724.3000000035</v>
      </c>
    </row>
    <row r="52" spans="1:6" ht="16.5" hidden="1" customHeight="1" outlineLevel="1">
      <c r="A52" s="818" t="s">
        <v>372</v>
      </c>
      <c r="B52" s="815">
        <v>2947</v>
      </c>
      <c r="C52" s="816">
        <f t="shared" si="3"/>
        <v>2947</v>
      </c>
      <c r="D52" s="815">
        <f t="shared" si="0"/>
        <v>1639</v>
      </c>
      <c r="E52" s="816">
        <f t="shared" si="2"/>
        <v>1599.54</v>
      </c>
      <c r="F52" s="813">
        <f t="shared" si="1"/>
        <v>1639361.4000000036</v>
      </c>
    </row>
    <row r="53" spans="1:6" ht="16.5" hidden="1" customHeight="1" outlineLevel="1">
      <c r="A53" s="819" t="s">
        <v>373</v>
      </c>
      <c r="B53" s="815">
        <v>2947</v>
      </c>
      <c r="C53" s="816">
        <f t="shared" si="3"/>
        <v>2947</v>
      </c>
      <c r="D53" s="815">
        <f t="shared" si="0"/>
        <v>1646</v>
      </c>
      <c r="E53" s="816">
        <f t="shared" si="2"/>
        <v>1606.15</v>
      </c>
      <c r="F53" s="813">
        <f t="shared" si="1"/>
        <v>1645998.5000000037</v>
      </c>
    </row>
    <row r="54" spans="1:6" ht="16.5" hidden="1" customHeight="1" outlineLevel="1">
      <c r="A54" s="819" t="s">
        <v>374</v>
      </c>
      <c r="B54" s="815">
        <v>2947</v>
      </c>
      <c r="C54" s="816">
        <f t="shared" si="3"/>
        <v>2947</v>
      </c>
      <c r="D54" s="815">
        <f t="shared" si="0"/>
        <v>1653</v>
      </c>
      <c r="E54" s="816">
        <f t="shared" si="2"/>
        <v>1612.85</v>
      </c>
      <c r="F54" s="813">
        <f t="shared" si="1"/>
        <v>1652635.6000000038</v>
      </c>
    </row>
    <row r="55" spans="1:6" ht="16.5" hidden="1" customHeight="1" outlineLevel="1">
      <c r="A55" s="819" t="s">
        <v>375</v>
      </c>
      <c r="B55" s="815">
        <v>2947</v>
      </c>
      <c r="C55" s="816">
        <f t="shared" si="3"/>
        <v>2947</v>
      </c>
      <c r="D55" s="815">
        <f t="shared" si="0"/>
        <v>1659</v>
      </c>
      <c r="E55" s="816">
        <f t="shared" si="2"/>
        <v>1619.46</v>
      </c>
      <c r="F55" s="813">
        <f t="shared" si="1"/>
        <v>1659272.7000000039</v>
      </c>
    </row>
    <row r="56" spans="1:6" ht="16.5" hidden="1" customHeight="1" outlineLevel="1">
      <c r="A56" s="819" t="s">
        <v>376</v>
      </c>
      <c r="B56" s="815">
        <v>2947</v>
      </c>
      <c r="C56" s="816">
        <f t="shared" si="3"/>
        <v>2947</v>
      </c>
      <c r="D56" s="815">
        <f t="shared" si="0"/>
        <v>1666</v>
      </c>
      <c r="E56" s="816">
        <f t="shared" si="2"/>
        <v>1626.08</v>
      </c>
      <c r="F56" s="813">
        <f t="shared" si="1"/>
        <v>1665909.800000004</v>
      </c>
    </row>
    <row r="57" spans="1:6" ht="16.5" hidden="1" customHeight="1" outlineLevel="1">
      <c r="A57" s="819" t="s">
        <v>377</v>
      </c>
      <c r="B57" s="815">
        <v>2947</v>
      </c>
      <c r="C57" s="816">
        <f t="shared" si="3"/>
        <v>2947</v>
      </c>
      <c r="D57" s="815">
        <f t="shared" si="0"/>
        <v>1673</v>
      </c>
      <c r="E57" s="816">
        <f t="shared" si="2"/>
        <v>1632.77</v>
      </c>
      <c r="F57" s="813">
        <f t="shared" si="1"/>
        <v>1672546.9000000041</v>
      </c>
    </row>
    <row r="58" spans="1:6" ht="16.5" hidden="1" customHeight="1" outlineLevel="1">
      <c r="A58" s="819" t="s">
        <v>378</v>
      </c>
      <c r="B58" s="815">
        <v>2947</v>
      </c>
      <c r="C58" s="816">
        <f>ROUND((SUM(B46:B58)/13),0)</f>
        <v>2947</v>
      </c>
      <c r="D58" s="815">
        <f t="shared" si="0"/>
        <v>1679</v>
      </c>
      <c r="E58" s="816">
        <f t="shared" si="2"/>
        <v>1639.38</v>
      </c>
      <c r="F58" s="813">
        <f t="shared" si="1"/>
        <v>1679184.0000000042</v>
      </c>
    </row>
    <row r="59" spans="1:6" ht="16.5" hidden="1" customHeight="1" outlineLevel="1">
      <c r="A59" s="819" t="s">
        <v>379</v>
      </c>
      <c r="B59" s="815">
        <v>2947</v>
      </c>
      <c r="C59" s="816">
        <f>ROUND((SUM(B47:B59)/13),0)</f>
        <v>2947</v>
      </c>
      <c r="D59" s="815">
        <f t="shared" si="0"/>
        <v>1686</v>
      </c>
      <c r="E59" s="816">
        <f t="shared" si="2"/>
        <v>1646</v>
      </c>
      <c r="F59" s="813">
        <f t="shared" si="1"/>
        <v>1685821.1000000043</v>
      </c>
    </row>
    <row r="60" spans="1:6" ht="16.5" hidden="1" customHeight="1" outlineLevel="1">
      <c r="A60" s="819" t="s">
        <v>380</v>
      </c>
      <c r="B60" s="815">
        <v>2947</v>
      </c>
      <c r="C60" s="816">
        <f>ROUND((SUM(B48:B60)/13),0)</f>
        <v>2947</v>
      </c>
      <c r="D60" s="815">
        <f t="shared" si="0"/>
        <v>1692</v>
      </c>
      <c r="E60" s="816">
        <f t="shared" si="2"/>
        <v>1652.62</v>
      </c>
      <c r="F60" s="813">
        <f t="shared" si="1"/>
        <v>1692458.2000000044</v>
      </c>
    </row>
    <row r="61" spans="1:6" ht="16.5" hidden="1" customHeight="1" outlineLevel="1">
      <c r="A61" s="819" t="s">
        <v>381</v>
      </c>
      <c r="B61" s="815">
        <v>2947</v>
      </c>
      <c r="C61" s="816">
        <f>ROUND((SUM(B49:B61)/13),0)</f>
        <v>2947</v>
      </c>
      <c r="D61" s="815">
        <f t="shared" si="0"/>
        <v>1699</v>
      </c>
      <c r="E61" s="816">
        <f t="shared" si="2"/>
        <v>1659.23</v>
      </c>
      <c r="F61" s="813">
        <f t="shared" si="1"/>
        <v>1699095.3000000045</v>
      </c>
    </row>
    <row r="62" spans="1:6" ht="16.5" hidden="1" customHeight="1" outlineLevel="1">
      <c r="A62" s="819" t="s">
        <v>382</v>
      </c>
      <c r="B62" s="815">
        <v>2947</v>
      </c>
      <c r="C62" s="816">
        <f>ROUND((SUM(B50:B62)/13),0)</f>
        <v>2947</v>
      </c>
      <c r="D62" s="815">
        <f t="shared" si="0"/>
        <v>1706</v>
      </c>
      <c r="E62" s="816">
        <f t="shared" si="2"/>
        <v>1665.92</v>
      </c>
      <c r="F62" s="813">
        <f t="shared" si="1"/>
        <v>1705732.4000000046</v>
      </c>
    </row>
    <row r="63" spans="1:6" ht="16.5" hidden="1" customHeight="1" outlineLevel="1">
      <c r="A63" s="818" t="s">
        <v>383</v>
      </c>
      <c r="B63" s="815">
        <v>2947</v>
      </c>
      <c r="C63" s="816">
        <f t="shared" ref="C63:C109" si="4">ROUND((SUM(B51:B63)/13),0)</f>
        <v>2947</v>
      </c>
      <c r="D63" s="815">
        <f t="shared" si="0"/>
        <v>1712</v>
      </c>
      <c r="E63" s="816">
        <f t="shared" si="2"/>
        <v>1672.54</v>
      </c>
      <c r="F63" s="813">
        <f t="shared" si="1"/>
        <v>1712369.5000000047</v>
      </c>
    </row>
    <row r="64" spans="1:6" ht="16.5" hidden="1" customHeight="1" outlineLevel="1">
      <c r="A64" s="818" t="s">
        <v>384</v>
      </c>
      <c r="B64" s="815">
        <v>2947</v>
      </c>
      <c r="C64" s="816">
        <f t="shared" si="4"/>
        <v>2947</v>
      </c>
      <c r="D64" s="815">
        <f t="shared" si="0"/>
        <v>1719</v>
      </c>
      <c r="E64" s="816">
        <f t="shared" si="2"/>
        <v>1679.15</v>
      </c>
      <c r="F64" s="813">
        <f t="shared" si="1"/>
        <v>1719006.6000000047</v>
      </c>
    </row>
    <row r="65" spans="1:6" ht="16.5" hidden="1" customHeight="1" outlineLevel="1">
      <c r="A65" s="818" t="s">
        <v>385</v>
      </c>
      <c r="B65" s="815">
        <v>2947</v>
      </c>
      <c r="C65" s="816">
        <f t="shared" si="4"/>
        <v>2947</v>
      </c>
      <c r="D65" s="815">
        <f t="shared" si="0"/>
        <v>1726</v>
      </c>
      <c r="E65" s="816">
        <f t="shared" si="2"/>
        <v>1685.85</v>
      </c>
      <c r="F65" s="813">
        <f t="shared" si="1"/>
        <v>1725643.7000000048</v>
      </c>
    </row>
    <row r="66" spans="1:6" ht="16.5" hidden="1" customHeight="1" outlineLevel="1">
      <c r="A66" s="818" t="s">
        <v>386</v>
      </c>
      <c r="B66" s="815">
        <v>2947</v>
      </c>
      <c r="C66" s="816">
        <f t="shared" si="4"/>
        <v>2947</v>
      </c>
      <c r="D66" s="815">
        <f t="shared" si="0"/>
        <v>1732</v>
      </c>
      <c r="E66" s="816">
        <f t="shared" si="2"/>
        <v>1692.46</v>
      </c>
      <c r="F66" s="813">
        <f t="shared" si="1"/>
        <v>1732280.8000000049</v>
      </c>
    </row>
    <row r="67" spans="1:6" ht="16.5" hidden="1" customHeight="1" outlineLevel="1">
      <c r="A67" s="818" t="s">
        <v>387</v>
      </c>
      <c r="B67" s="815">
        <v>2947</v>
      </c>
      <c r="C67" s="816">
        <f t="shared" si="4"/>
        <v>2947</v>
      </c>
      <c r="D67" s="815">
        <f t="shared" si="0"/>
        <v>1739</v>
      </c>
      <c r="E67" s="816">
        <f t="shared" si="2"/>
        <v>1699.08</v>
      </c>
      <c r="F67" s="813">
        <f t="shared" si="1"/>
        <v>1738917.900000005</v>
      </c>
    </row>
    <row r="68" spans="1:6" ht="16.5" hidden="1" customHeight="1" outlineLevel="1">
      <c r="A68" s="818" t="s">
        <v>388</v>
      </c>
      <c r="B68" s="815">
        <v>2947</v>
      </c>
      <c r="C68" s="816">
        <f t="shared" si="4"/>
        <v>2947</v>
      </c>
      <c r="D68" s="815">
        <f t="shared" si="0"/>
        <v>1746</v>
      </c>
      <c r="E68" s="816">
        <f t="shared" si="2"/>
        <v>1705.77</v>
      </c>
      <c r="F68" s="813">
        <f t="shared" si="1"/>
        <v>1745555.0000000051</v>
      </c>
    </row>
    <row r="69" spans="1:6" ht="16.5" hidden="1" customHeight="1" outlineLevel="1">
      <c r="A69" s="818" t="s">
        <v>389</v>
      </c>
      <c r="B69" s="815">
        <v>2947</v>
      </c>
      <c r="C69" s="816">
        <f t="shared" si="4"/>
        <v>2947</v>
      </c>
      <c r="D69" s="815">
        <f t="shared" si="0"/>
        <v>1752</v>
      </c>
      <c r="E69" s="816">
        <f t="shared" si="2"/>
        <v>1712.38</v>
      </c>
      <c r="F69" s="813">
        <f t="shared" si="1"/>
        <v>1752192.1000000052</v>
      </c>
    </row>
    <row r="70" spans="1:6" ht="16.5" hidden="1" customHeight="1" outlineLevel="1">
      <c r="A70" s="818" t="s">
        <v>390</v>
      </c>
      <c r="B70" s="815">
        <v>2947</v>
      </c>
      <c r="C70" s="816">
        <f t="shared" si="4"/>
        <v>2947</v>
      </c>
      <c r="D70" s="815">
        <f t="shared" si="0"/>
        <v>1759</v>
      </c>
      <c r="E70" s="816">
        <f t="shared" si="2"/>
        <v>1719</v>
      </c>
      <c r="F70" s="813">
        <f t="shared" si="1"/>
        <v>1758829.2000000053</v>
      </c>
    </row>
    <row r="71" spans="1:6" ht="16.5" hidden="1" customHeight="1" outlineLevel="1">
      <c r="A71" s="818" t="s">
        <v>391</v>
      </c>
      <c r="B71" s="815">
        <v>2947</v>
      </c>
      <c r="C71" s="816">
        <f t="shared" si="4"/>
        <v>2947</v>
      </c>
      <c r="D71" s="815">
        <f t="shared" si="0"/>
        <v>1765</v>
      </c>
      <c r="E71" s="816">
        <f t="shared" si="2"/>
        <v>1725.62</v>
      </c>
      <c r="F71" s="813">
        <f t="shared" si="1"/>
        <v>1765466.3000000054</v>
      </c>
    </row>
    <row r="72" spans="1:6" ht="16.5" hidden="1" customHeight="1" outlineLevel="1">
      <c r="A72" s="818" t="s">
        <v>392</v>
      </c>
      <c r="B72" s="815">
        <v>2947</v>
      </c>
      <c r="C72" s="816">
        <f t="shared" si="4"/>
        <v>2947</v>
      </c>
      <c r="D72" s="815">
        <f t="shared" si="0"/>
        <v>1772</v>
      </c>
      <c r="E72" s="816">
        <f t="shared" si="2"/>
        <v>1732.23</v>
      </c>
      <c r="F72" s="813">
        <f t="shared" si="1"/>
        <v>1772103.4000000055</v>
      </c>
    </row>
    <row r="73" spans="1:6" ht="16.5" hidden="1" customHeight="1" outlineLevel="1">
      <c r="A73" s="818" t="s">
        <v>393</v>
      </c>
      <c r="B73" s="815">
        <v>2947</v>
      </c>
      <c r="C73" s="816">
        <f t="shared" si="4"/>
        <v>2947</v>
      </c>
      <c r="D73" s="815">
        <f t="shared" si="0"/>
        <v>1779</v>
      </c>
      <c r="E73" s="816">
        <f t="shared" si="2"/>
        <v>1738.92</v>
      </c>
      <c r="F73" s="813">
        <f t="shared" si="1"/>
        <v>1778740.5000000056</v>
      </c>
    </row>
    <row r="74" spans="1:6" ht="16.5" hidden="1" customHeight="1" outlineLevel="1">
      <c r="A74" s="818" t="s">
        <v>394</v>
      </c>
      <c r="B74" s="815">
        <v>2947</v>
      </c>
      <c r="C74" s="816">
        <f t="shared" si="4"/>
        <v>2947</v>
      </c>
      <c r="D74" s="815">
        <f t="shared" si="0"/>
        <v>1785</v>
      </c>
      <c r="E74" s="816">
        <f t="shared" si="2"/>
        <v>1745.54</v>
      </c>
      <c r="F74" s="813">
        <f t="shared" si="1"/>
        <v>1785377.6000000057</v>
      </c>
    </row>
    <row r="75" spans="1:6" ht="16.5" hidden="1" customHeight="1" outlineLevel="1">
      <c r="A75" s="820">
        <v>39083</v>
      </c>
      <c r="B75" s="815">
        <v>2947</v>
      </c>
      <c r="C75" s="816">
        <f t="shared" si="4"/>
        <v>2947</v>
      </c>
      <c r="D75" s="815">
        <f t="shared" si="0"/>
        <v>1792</v>
      </c>
      <c r="E75" s="816">
        <f t="shared" si="2"/>
        <v>1752.15</v>
      </c>
      <c r="F75" s="813">
        <f t="shared" si="1"/>
        <v>1792014.7000000058</v>
      </c>
    </row>
    <row r="76" spans="1:6" ht="16.5" hidden="1" customHeight="1" outlineLevel="1">
      <c r="A76" s="820">
        <v>39114</v>
      </c>
      <c r="B76" s="815">
        <v>2947</v>
      </c>
      <c r="C76" s="816">
        <f t="shared" si="4"/>
        <v>2947</v>
      </c>
      <c r="D76" s="815">
        <f t="shared" si="0"/>
        <v>1799</v>
      </c>
      <c r="E76" s="816">
        <f t="shared" si="2"/>
        <v>1758.85</v>
      </c>
      <c r="F76" s="813">
        <f t="shared" si="1"/>
        <v>1798651.8000000059</v>
      </c>
    </row>
    <row r="77" spans="1:6" ht="16.5" hidden="1" customHeight="1" outlineLevel="1">
      <c r="A77" s="820">
        <v>39142</v>
      </c>
      <c r="B77" s="815">
        <v>2947</v>
      </c>
      <c r="C77" s="816">
        <f t="shared" si="4"/>
        <v>2947</v>
      </c>
      <c r="D77" s="815">
        <f t="shared" si="0"/>
        <v>1805</v>
      </c>
      <c r="E77" s="816">
        <f t="shared" si="2"/>
        <v>1765.46</v>
      </c>
      <c r="F77" s="813">
        <f t="shared" si="1"/>
        <v>1805288.900000006</v>
      </c>
    </row>
    <row r="78" spans="1:6" ht="16.5" hidden="1" customHeight="1" outlineLevel="1">
      <c r="A78" s="820">
        <v>39173</v>
      </c>
      <c r="B78" s="815">
        <v>2947</v>
      </c>
      <c r="C78" s="816">
        <f t="shared" si="4"/>
        <v>2947</v>
      </c>
      <c r="D78" s="815">
        <f t="shared" si="0"/>
        <v>1812</v>
      </c>
      <c r="E78" s="816">
        <f t="shared" si="2"/>
        <v>1772.08</v>
      </c>
      <c r="F78" s="813">
        <f t="shared" si="1"/>
        <v>1811926.0000000061</v>
      </c>
    </row>
    <row r="79" spans="1:6" ht="16.5" hidden="1" customHeight="1" outlineLevel="1">
      <c r="A79" s="820">
        <v>39203</v>
      </c>
      <c r="B79" s="815">
        <v>2947</v>
      </c>
      <c r="C79" s="816">
        <f t="shared" si="4"/>
        <v>2947</v>
      </c>
      <c r="D79" s="815">
        <f t="shared" ref="D79:D109" si="5">ROUND(F79/1000,0)</f>
        <v>1819</v>
      </c>
      <c r="E79" s="816">
        <f t="shared" si="2"/>
        <v>1778.77</v>
      </c>
      <c r="F79" s="813">
        <f t="shared" ref="F79:F109" si="6">F78+6637.1</f>
        <v>1818563.1000000061</v>
      </c>
    </row>
    <row r="80" spans="1:6" ht="16.5" hidden="1" customHeight="1" outlineLevel="1">
      <c r="A80" s="820">
        <v>39234</v>
      </c>
      <c r="B80" s="815">
        <v>2947</v>
      </c>
      <c r="C80" s="816">
        <f t="shared" si="4"/>
        <v>2947</v>
      </c>
      <c r="D80" s="815">
        <f t="shared" si="5"/>
        <v>1825</v>
      </c>
      <c r="E80" s="816">
        <f t="shared" si="2"/>
        <v>1785.38</v>
      </c>
      <c r="F80" s="813">
        <f t="shared" si="6"/>
        <v>1825200.2000000062</v>
      </c>
    </row>
    <row r="81" spans="1:7" ht="16.5" hidden="1" customHeight="1" outlineLevel="1">
      <c r="A81" s="820">
        <v>39264</v>
      </c>
      <c r="B81" s="815">
        <v>2947</v>
      </c>
      <c r="C81" s="816">
        <f t="shared" si="4"/>
        <v>2947</v>
      </c>
      <c r="D81" s="815">
        <f t="shared" si="5"/>
        <v>1832</v>
      </c>
      <c r="E81" s="816">
        <f t="shared" si="2"/>
        <v>1792</v>
      </c>
      <c r="F81" s="813">
        <f t="shared" si="6"/>
        <v>1831837.3000000063</v>
      </c>
    </row>
    <row r="82" spans="1:7" ht="16.5" hidden="1" customHeight="1" outlineLevel="1">
      <c r="A82" s="820">
        <v>39295</v>
      </c>
      <c r="B82" s="815">
        <v>2947</v>
      </c>
      <c r="C82" s="816">
        <f t="shared" si="4"/>
        <v>2947</v>
      </c>
      <c r="D82" s="815">
        <f t="shared" si="5"/>
        <v>1838</v>
      </c>
      <c r="E82" s="816">
        <f t="shared" si="2"/>
        <v>1798.62</v>
      </c>
      <c r="F82" s="813">
        <f t="shared" si="6"/>
        <v>1838474.4000000064</v>
      </c>
    </row>
    <row r="83" spans="1:7" ht="16.5" hidden="1" customHeight="1" outlineLevel="1">
      <c r="A83" s="820">
        <v>39326</v>
      </c>
      <c r="B83" s="815">
        <v>2947</v>
      </c>
      <c r="C83" s="816">
        <f t="shared" si="4"/>
        <v>2947</v>
      </c>
      <c r="D83" s="815">
        <f t="shared" si="5"/>
        <v>1845</v>
      </c>
      <c r="E83" s="816">
        <f t="shared" si="2"/>
        <v>1805.23</v>
      </c>
      <c r="F83" s="813">
        <f t="shared" si="6"/>
        <v>1845111.5000000065</v>
      </c>
    </row>
    <row r="84" spans="1:7" ht="16.5" hidden="1" customHeight="1" outlineLevel="1">
      <c r="A84" s="820">
        <v>39356</v>
      </c>
      <c r="B84" s="815">
        <v>2947</v>
      </c>
      <c r="C84" s="816">
        <f t="shared" si="4"/>
        <v>2947</v>
      </c>
      <c r="D84" s="815">
        <f t="shared" si="5"/>
        <v>1852</v>
      </c>
      <c r="E84" s="816">
        <f t="shared" si="2"/>
        <v>1811.92</v>
      </c>
      <c r="F84" s="813">
        <f t="shared" si="6"/>
        <v>1851748.6000000066</v>
      </c>
    </row>
    <row r="85" spans="1:7" ht="16.5" hidden="1" customHeight="1" outlineLevel="1">
      <c r="A85" s="820">
        <v>39387</v>
      </c>
      <c r="B85" s="815">
        <v>2947</v>
      </c>
      <c r="C85" s="816">
        <f t="shared" si="4"/>
        <v>2947</v>
      </c>
      <c r="D85" s="815">
        <f t="shared" si="5"/>
        <v>1858</v>
      </c>
      <c r="E85" s="816">
        <f t="shared" si="2"/>
        <v>1818.54</v>
      </c>
      <c r="F85" s="813">
        <f t="shared" si="6"/>
        <v>1858385.7000000067</v>
      </c>
    </row>
    <row r="86" spans="1:7" ht="16.5" hidden="1" customHeight="1" outlineLevel="1">
      <c r="A86" s="820">
        <v>39417</v>
      </c>
      <c r="B86" s="815">
        <v>2947</v>
      </c>
      <c r="C86" s="816">
        <f t="shared" si="4"/>
        <v>2947</v>
      </c>
      <c r="D86" s="815">
        <f t="shared" si="5"/>
        <v>1865</v>
      </c>
      <c r="E86" s="816">
        <f t="shared" si="2"/>
        <v>1825.15</v>
      </c>
      <c r="F86" s="813">
        <f t="shared" si="6"/>
        <v>1865022.8000000068</v>
      </c>
    </row>
    <row r="87" spans="1:7" ht="16.5" hidden="1" customHeight="1" outlineLevel="1">
      <c r="A87" s="820">
        <v>39448</v>
      </c>
      <c r="B87" s="815">
        <v>2947</v>
      </c>
      <c r="C87" s="816">
        <f t="shared" si="4"/>
        <v>2947</v>
      </c>
      <c r="D87" s="815">
        <f t="shared" si="5"/>
        <v>1872</v>
      </c>
      <c r="E87" s="816">
        <f t="shared" si="2"/>
        <v>1831.85</v>
      </c>
      <c r="F87" s="813">
        <f t="shared" si="6"/>
        <v>1871659.9000000069</v>
      </c>
      <c r="G87" s="816">
        <f t="shared" si="2"/>
        <v>1831837.3</v>
      </c>
    </row>
    <row r="88" spans="1:7" ht="16.5" hidden="1" customHeight="1" outlineLevel="1">
      <c r="A88" s="820">
        <v>39479</v>
      </c>
      <c r="B88" s="815">
        <v>2947</v>
      </c>
      <c r="C88" s="816">
        <f t="shared" si="4"/>
        <v>2947</v>
      </c>
      <c r="D88" s="815">
        <f t="shared" si="5"/>
        <v>1878</v>
      </c>
      <c r="E88" s="816">
        <f t="shared" ref="E88:G103" si="7">ROUND((SUM(D76:D88)/13),2)</f>
        <v>1838.46</v>
      </c>
      <c r="F88" s="813">
        <f t="shared" si="6"/>
        <v>1878297.000000007</v>
      </c>
      <c r="G88" s="816">
        <f t="shared" si="7"/>
        <v>1838474.4</v>
      </c>
    </row>
    <row r="89" spans="1:7" ht="16.5" hidden="1" customHeight="1" outlineLevel="1">
      <c r="A89" s="820">
        <v>39508</v>
      </c>
      <c r="B89" s="815">
        <v>2947</v>
      </c>
      <c r="C89" s="816">
        <f t="shared" si="4"/>
        <v>2947</v>
      </c>
      <c r="D89" s="815">
        <f t="shared" si="5"/>
        <v>1885</v>
      </c>
      <c r="E89" s="816">
        <f t="shared" si="7"/>
        <v>1845.08</v>
      </c>
      <c r="F89" s="813">
        <f t="shared" si="6"/>
        <v>1884934.1000000071</v>
      </c>
      <c r="G89" s="816">
        <f t="shared" si="7"/>
        <v>1845111.5</v>
      </c>
    </row>
    <row r="90" spans="1:7" ht="16.5" hidden="1" customHeight="1" outlineLevel="1">
      <c r="A90" s="820">
        <v>39539</v>
      </c>
      <c r="B90" s="815">
        <v>2947</v>
      </c>
      <c r="C90" s="816">
        <f t="shared" si="4"/>
        <v>2947</v>
      </c>
      <c r="D90" s="815">
        <f t="shared" si="5"/>
        <v>1892</v>
      </c>
      <c r="E90" s="816">
        <f t="shared" si="7"/>
        <v>1851.77</v>
      </c>
      <c r="F90" s="813">
        <f t="shared" si="6"/>
        <v>1891571.2000000072</v>
      </c>
      <c r="G90" s="816">
        <f t="shared" si="7"/>
        <v>1851748.6</v>
      </c>
    </row>
    <row r="91" spans="1:7" ht="16.5" hidden="1" customHeight="1" outlineLevel="1">
      <c r="A91" s="820">
        <v>39569</v>
      </c>
      <c r="B91" s="815">
        <v>2947</v>
      </c>
      <c r="C91" s="816">
        <f t="shared" si="4"/>
        <v>2947</v>
      </c>
      <c r="D91" s="815">
        <f t="shared" si="5"/>
        <v>1898</v>
      </c>
      <c r="E91" s="816">
        <f t="shared" si="7"/>
        <v>1858.38</v>
      </c>
      <c r="F91" s="813">
        <f t="shared" si="6"/>
        <v>1898208.3000000073</v>
      </c>
      <c r="G91" s="816">
        <f t="shared" si="7"/>
        <v>1858385.7</v>
      </c>
    </row>
    <row r="92" spans="1:7" ht="16.5" hidden="1" customHeight="1" outlineLevel="1">
      <c r="A92" s="820">
        <v>39600</v>
      </c>
      <c r="B92" s="815">
        <v>2947</v>
      </c>
      <c r="C92" s="816">
        <f t="shared" si="4"/>
        <v>2947</v>
      </c>
      <c r="D92" s="815">
        <f t="shared" si="5"/>
        <v>1905</v>
      </c>
      <c r="E92" s="816">
        <f t="shared" si="7"/>
        <v>1865</v>
      </c>
      <c r="F92" s="813">
        <f t="shared" si="6"/>
        <v>1904845.4000000074</v>
      </c>
      <c r="G92" s="816">
        <f t="shared" si="7"/>
        <v>1865022.8</v>
      </c>
    </row>
    <row r="93" spans="1:7" ht="16.5" hidden="1" customHeight="1" outlineLevel="1">
      <c r="A93" s="820">
        <v>39630</v>
      </c>
      <c r="B93" s="815">
        <v>2947</v>
      </c>
      <c r="C93" s="816">
        <f t="shared" si="4"/>
        <v>2947</v>
      </c>
      <c r="D93" s="815">
        <f t="shared" si="5"/>
        <v>1911</v>
      </c>
      <c r="E93" s="816">
        <f t="shared" si="7"/>
        <v>1871.62</v>
      </c>
      <c r="F93" s="813">
        <f t="shared" si="6"/>
        <v>1911482.5000000075</v>
      </c>
      <c r="G93" s="816">
        <f t="shared" si="7"/>
        <v>1871659.9</v>
      </c>
    </row>
    <row r="94" spans="1:7" ht="16.5" hidden="1" customHeight="1" outlineLevel="1">
      <c r="A94" s="820">
        <v>39661</v>
      </c>
      <c r="B94" s="815">
        <v>2947</v>
      </c>
      <c r="C94" s="816">
        <f>ROUND((SUM(B82:B94)/13),0)</f>
        <v>2947</v>
      </c>
      <c r="D94" s="815">
        <f t="shared" si="5"/>
        <v>1918</v>
      </c>
      <c r="E94" s="816">
        <f t="shared" si="7"/>
        <v>1878.23</v>
      </c>
      <c r="F94" s="813">
        <f t="shared" si="6"/>
        <v>1918119.6000000075</v>
      </c>
      <c r="G94" s="816">
        <f t="shared" si="7"/>
        <v>1878297</v>
      </c>
    </row>
    <row r="95" spans="1:7" ht="16.5" hidden="1" customHeight="1" outlineLevel="1">
      <c r="A95" s="820">
        <v>39692</v>
      </c>
      <c r="B95" s="815">
        <v>2947</v>
      </c>
      <c r="C95" s="816">
        <f t="shared" si="4"/>
        <v>2947</v>
      </c>
      <c r="D95" s="815">
        <f t="shared" si="5"/>
        <v>1925</v>
      </c>
      <c r="E95" s="816">
        <f t="shared" si="7"/>
        <v>1884.92</v>
      </c>
      <c r="F95" s="813">
        <f t="shared" si="6"/>
        <v>1924756.7000000076</v>
      </c>
      <c r="G95" s="816">
        <f t="shared" si="7"/>
        <v>1884934.1</v>
      </c>
    </row>
    <row r="96" spans="1:7" ht="16.5" hidden="1" customHeight="1" outlineLevel="1">
      <c r="A96" s="820">
        <v>39722</v>
      </c>
      <c r="B96" s="815">
        <v>2947</v>
      </c>
      <c r="C96" s="816">
        <f t="shared" si="4"/>
        <v>2947</v>
      </c>
      <c r="D96" s="815">
        <f t="shared" si="5"/>
        <v>1931</v>
      </c>
      <c r="E96" s="816">
        <f t="shared" si="7"/>
        <v>1891.54</v>
      </c>
      <c r="F96" s="813">
        <f t="shared" si="6"/>
        <v>1931393.8000000077</v>
      </c>
      <c r="G96" s="816">
        <f t="shared" si="7"/>
        <v>1891571.2</v>
      </c>
    </row>
    <row r="97" spans="1:7" ht="16.5" hidden="1" customHeight="1" outlineLevel="1">
      <c r="A97" s="820">
        <v>39753</v>
      </c>
      <c r="B97" s="815">
        <v>2947</v>
      </c>
      <c r="C97" s="816">
        <f t="shared" si="4"/>
        <v>2947</v>
      </c>
      <c r="D97" s="815">
        <f t="shared" si="5"/>
        <v>1938</v>
      </c>
      <c r="E97" s="816">
        <f t="shared" si="7"/>
        <v>1898.15</v>
      </c>
      <c r="F97" s="813">
        <f t="shared" si="6"/>
        <v>1938030.9000000078</v>
      </c>
      <c r="G97" s="816">
        <f t="shared" si="7"/>
        <v>1898208.3</v>
      </c>
    </row>
    <row r="98" spans="1:7" ht="16.5" hidden="1" customHeight="1" outlineLevel="1">
      <c r="A98" s="820">
        <v>39783</v>
      </c>
      <c r="B98" s="815">
        <v>2947</v>
      </c>
      <c r="C98" s="816">
        <f t="shared" si="4"/>
        <v>2947</v>
      </c>
      <c r="D98" s="815">
        <f t="shared" si="5"/>
        <v>1945</v>
      </c>
      <c r="E98" s="816">
        <f t="shared" si="7"/>
        <v>1904.85</v>
      </c>
      <c r="F98" s="813">
        <f t="shared" si="6"/>
        <v>1944668.0000000079</v>
      </c>
      <c r="G98" s="816">
        <f t="shared" si="7"/>
        <v>1904845.4</v>
      </c>
    </row>
    <row r="99" spans="1:7" ht="16.5" hidden="1" customHeight="1" outlineLevel="1">
      <c r="A99" s="820">
        <v>39814</v>
      </c>
      <c r="B99" s="815">
        <v>2947</v>
      </c>
      <c r="C99" s="816">
        <f t="shared" si="4"/>
        <v>2947</v>
      </c>
      <c r="D99" s="815">
        <f t="shared" si="5"/>
        <v>1951</v>
      </c>
      <c r="E99" s="816">
        <f t="shared" si="7"/>
        <v>1911.46</v>
      </c>
      <c r="F99" s="813">
        <f t="shared" si="6"/>
        <v>1951305.100000008</v>
      </c>
      <c r="G99" s="816">
        <f t="shared" si="7"/>
        <v>1911482.5</v>
      </c>
    </row>
    <row r="100" spans="1:7" ht="16.5" hidden="1" customHeight="1" outlineLevel="1">
      <c r="A100" s="820">
        <v>39845</v>
      </c>
      <c r="B100" s="815">
        <v>2947</v>
      </c>
      <c r="C100" s="816">
        <f t="shared" si="4"/>
        <v>2947</v>
      </c>
      <c r="D100" s="815">
        <f t="shared" si="5"/>
        <v>1958</v>
      </c>
      <c r="E100" s="816">
        <f t="shared" si="7"/>
        <v>1918.08</v>
      </c>
      <c r="F100" s="813">
        <f t="shared" si="6"/>
        <v>1957942.2000000081</v>
      </c>
      <c r="G100" s="816">
        <f t="shared" si="7"/>
        <v>1918119.6</v>
      </c>
    </row>
    <row r="101" spans="1:7" ht="16.5" hidden="1" customHeight="1" outlineLevel="1">
      <c r="A101" s="820">
        <v>39873</v>
      </c>
      <c r="B101" s="815">
        <v>2947</v>
      </c>
      <c r="C101" s="816">
        <f t="shared" si="4"/>
        <v>2947</v>
      </c>
      <c r="D101" s="815">
        <f t="shared" si="5"/>
        <v>1965</v>
      </c>
      <c r="E101" s="816">
        <f t="shared" si="7"/>
        <v>1924.77</v>
      </c>
      <c r="F101" s="813">
        <f t="shared" si="6"/>
        <v>1964579.3000000082</v>
      </c>
      <c r="G101" s="816">
        <f t="shared" si="7"/>
        <v>1924756.7</v>
      </c>
    </row>
    <row r="102" spans="1:7" ht="16.5" hidden="1" customHeight="1" outlineLevel="1">
      <c r="A102" s="820">
        <v>39904</v>
      </c>
      <c r="B102" s="815">
        <v>2947</v>
      </c>
      <c r="C102" s="816">
        <f t="shared" si="4"/>
        <v>2947</v>
      </c>
      <c r="D102" s="815">
        <f t="shared" si="5"/>
        <v>1971</v>
      </c>
      <c r="E102" s="816">
        <f t="shared" si="7"/>
        <v>1931.38</v>
      </c>
      <c r="F102" s="813">
        <f t="shared" si="6"/>
        <v>1971216.4000000083</v>
      </c>
      <c r="G102" s="816">
        <f t="shared" si="7"/>
        <v>1931393.8</v>
      </c>
    </row>
    <row r="103" spans="1:7" ht="16.5" hidden="1" customHeight="1" outlineLevel="1">
      <c r="A103" s="820">
        <v>39934</v>
      </c>
      <c r="B103" s="815">
        <v>2947</v>
      </c>
      <c r="C103" s="816">
        <f t="shared" si="4"/>
        <v>2947</v>
      </c>
      <c r="D103" s="815">
        <f t="shared" si="5"/>
        <v>1978</v>
      </c>
      <c r="E103" s="816">
        <f t="shared" si="7"/>
        <v>1938</v>
      </c>
      <c r="F103" s="813">
        <f t="shared" si="6"/>
        <v>1977853.5000000084</v>
      </c>
      <c r="G103" s="816">
        <f t="shared" si="7"/>
        <v>1938030.9</v>
      </c>
    </row>
    <row r="104" spans="1:7" ht="16.5" hidden="1" customHeight="1" outlineLevel="1">
      <c r="A104" s="820">
        <v>39965</v>
      </c>
      <c r="B104" s="815">
        <v>2947</v>
      </c>
      <c r="C104" s="816">
        <f t="shared" si="4"/>
        <v>2947</v>
      </c>
      <c r="D104" s="815">
        <f t="shared" si="5"/>
        <v>1984</v>
      </c>
      <c r="E104" s="816">
        <f t="shared" ref="E104:E109" si="8">ROUND((SUM(D92:D104)/13),2)</f>
        <v>1944.62</v>
      </c>
      <c r="F104" s="813">
        <f t="shared" si="6"/>
        <v>1984490.6000000085</v>
      </c>
      <c r="G104" s="816">
        <f t="shared" ref="G104:G167" si="9">ROUND((SUM(F92:F104)/13),2)</f>
        <v>1944668</v>
      </c>
    </row>
    <row r="105" spans="1:7" ht="16.5" hidden="1" customHeight="1" outlineLevel="1">
      <c r="A105" s="820">
        <v>39995</v>
      </c>
      <c r="B105" s="815">
        <v>2947</v>
      </c>
      <c r="C105" s="816">
        <f t="shared" si="4"/>
        <v>2947</v>
      </c>
      <c r="D105" s="815">
        <f t="shared" si="5"/>
        <v>1991</v>
      </c>
      <c r="E105" s="816">
        <f t="shared" si="8"/>
        <v>1951.23</v>
      </c>
      <c r="F105" s="813">
        <f t="shared" si="6"/>
        <v>1991127.7000000086</v>
      </c>
      <c r="G105" s="816">
        <f t="shared" si="9"/>
        <v>1951305.1</v>
      </c>
    </row>
    <row r="106" spans="1:7" ht="16.5" hidden="1" customHeight="1" outlineLevel="1">
      <c r="A106" s="820">
        <v>40026</v>
      </c>
      <c r="B106" s="815">
        <v>2947</v>
      </c>
      <c r="C106" s="816">
        <f t="shared" si="4"/>
        <v>2947</v>
      </c>
      <c r="D106" s="815">
        <f t="shared" si="5"/>
        <v>1998</v>
      </c>
      <c r="E106" s="816">
        <f t="shared" si="8"/>
        <v>1957.92</v>
      </c>
      <c r="F106" s="813">
        <f t="shared" si="6"/>
        <v>1997764.8000000087</v>
      </c>
      <c r="G106" s="816">
        <f t="shared" si="9"/>
        <v>1957942.2</v>
      </c>
    </row>
    <row r="107" spans="1:7" ht="16.5" hidden="1" customHeight="1" outlineLevel="1">
      <c r="A107" s="820">
        <v>40057</v>
      </c>
      <c r="B107" s="815">
        <v>2947</v>
      </c>
      <c r="C107" s="816">
        <f t="shared" si="4"/>
        <v>2947</v>
      </c>
      <c r="D107" s="815">
        <f t="shared" si="5"/>
        <v>2004</v>
      </c>
      <c r="E107" s="816">
        <f t="shared" si="8"/>
        <v>1964.54</v>
      </c>
      <c r="F107" s="813">
        <f t="shared" si="6"/>
        <v>2004401.9000000088</v>
      </c>
      <c r="G107" s="816">
        <f t="shared" si="9"/>
        <v>1964579.3</v>
      </c>
    </row>
    <row r="108" spans="1:7" ht="16.5" hidden="1" customHeight="1" outlineLevel="1">
      <c r="A108" s="820">
        <v>40087</v>
      </c>
      <c r="B108" s="815">
        <v>2947</v>
      </c>
      <c r="C108" s="816">
        <f t="shared" si="4"/>
        <v>2947</v>
      </c>
      <c r="D108" s="815">
        <f t="shared" si="5"/>
        <v>2011</v>
      </c>
      <c r="E108" s="816">
        <f t="shared" si="8"/>
        <v>1971.15</v>
      </c>
      <c r="F108" s="813">
        <f t="shared" si="6"/>
        <v>2011039.0000000088</v>
      </c>
      <c r="G108" s="816">
        <f t="shared" si="9"/>
        <v>1971216.4</v>
      </c>
    </row>
    <row r="109" spans="1:7" ht="16.5" hidden="1" customHeight="1" outlineLevel="1">
      <c r="A109" s="820">
        <v>40118</v>
      </c>
      <c r="B109" s="815">
        <v>2947</v>
      </c>
      <c r="C109" s="816">
        <f t="shared" si="4"/>
        <v>2947</v>
      </c>
      <c r="D109" s="815">
        <f t="shared" si="5"/>
        <v>2018</v>
      </c>
      <c r="E109" s="816">
        <f t="shared" si="8"/>
        <v>1977.85</v>
      </c>
      <c r="F109" s="813">
        <f t="shared" si="6"/>
        <v>2017676.1000000089</v>
      </c>
      <c r="G109" s="816">
        <f t="shared" si="9"/>
        <v>1977853.5</v>
      </c>
    </row>
    <row r="110" spans="1:7" ht="16.5" hidden="1" customHeight="1" outlineLevel="1">
      <c r="A110" s="820">
        <v>40148</v>
      </c>
      <c r="B110" s="815">
        <v>2947</v>
      </c>
      <c r="C110" s="816">
        <f>ROUND((SUM(B98:B110)/13),0)</f>
        <v>2947</v>
      </c>
      <c r="D110" s="815">
        <f>ROUND(F110/1000,0)</f>
        <v>2024</v>
      </c>
      <c r="E110" s="816">
        <f>ROUND((SUM(D98:D110)/13),2)</f>
        <v>1984.46</v>
      </c>
      <c r="F110" s="813">
        <f>F109+6637.1</f>
        <v>2024313.200000009</v>
      </c>
      <c r="G110" s="816">
        <f t="shared" si="9"/>
        <v>1984490.6</v>
      </c>
    </row>
    <row r="111" spans="1:7" ht="16.5" hidden="1" customHeight="1" outlineLevel="1">
      <c r="A111" s="820">
        <v>40179</v>
      </c>
      <c r="B111" s="815">
        <v>2947</v>
      </c>
      <c r="C111" s="816">
        <f t="shared" ref="C111:C134" si="10">ROUND((SUM(B99:B111)/13),0)</f>
        <v>2947</v>
      </c>
      <c r="D111" s="815">
        <f t="shared" ref="D111:D174" si="11">ROUND(F111/1000,0)</f>
        <v>2031</v>
      </c>
      <c r="E111" s="816">
        <f t="shared" ref="E111:E134" si="12">ROUND((SUM(D99:D111)/13),2)</f>
        <v>1991.08</v>
      </c>
      <c r="F111" s="813">
        <f t="shared" ref="F111:F174" si="13">F110+6637.1</f>
        <v>2030950.3000000091</v>
      </c>
      <c r="G111" s="816">
        <f t="shared" si="9"/>
        <v>1991127.7</v>
      </c>
    </row>
    <row r="112" spans="1:7" ht="16.5" hidden="1" customHeight="1" outlineLevel="1">
      <c r="A112" s="820">
        <v>40210</v>
      </c>
      <c r="B112" s="815">
        <v>2947</v>
      </c>
      <c r="C112" s="816">
        <f t="shared" si="10"/>
        <v>2947</v>
      </c>
      <c r="D112" s="815">
        <f t="shared" si="11"/>
        <v>2038</v>
      </c>
      <c r="E112" s="816">
        <f t="shared" si="12"/>
        <v>1997.77</v>
      </c>
      <c r="F112" s="813">
        <f t="shared" si="13"/>
        <v>2037587.4000000092</v>
      </c>
      <c r="G112" s="816">
        <f t="shared" si="9"/>
        <v>1997764.8</v>
      </c>
    </row>
    <row r="113" spans="1:7" ht="16.5" hidden="1" customHeight="1" outlineLevel="1">
      <c r="A113" s="820">
        <v>40238</v>
      </c>
      <c r="B113" s="815">
        <v>2947</v>
      </c>
      <c r="C113" s="816">
        <f t="shared" si="10"/>
        <v>2947</v>
      </c>
      <c r="D113" s="815">
        <f t="shared" si="11"/>
        <v>2044</v>
      </c>
      <c r="E113" s="816">
        <f t="shared" si="12"/>
        <v>2004.38</v>
      </c>
      <c r="F113" s="813">
        <f t="shared" si="13"/>
        <v>2044224.5000000093</v>
      </c>
      <c r="G113" s="816">
        <f t="shared" si="9"/>
        <v>2004401.9</v>
      </c>
    </row>
    <row r="114" spans="1:7" ht="16.5" hidden="1" customHeight="1" outlineLevel="1">
      <c r="A114" s="820">
        <v>40269</v>
      </c>
      <c r="B114" s="815">
        <v>2947</v>
      </c>
      <c r="C114" s="816">
        <f t="shared" si="10"/>
        <v>2947</v>
      </c>
      <c r="D114" s="815">
        <f t="shared" si="11"/>
        <v>2051</v>
      </c>
      <c r="E114" s="816">
        <f t="shared" si="12"/>
        <v>2011</v>
      </c>
      <c r="F114" s="813">
        <f t="shared" si="13"/>
        <v>2050861.6000000094</v>
      </c>
      <c r="G114" s="816">
        <f t="shared" si="9"/>
        <v>2011039</v>
      </c>
    </row>
    <row r="115" spans="1:7" ht="16.5" hidden="1" customHeight="1" outlineLevel="1">
      <c r="A115" s="820">
        <v>40299</v>
      </c>
      <c r="B115" s="815">
        <v>2947</v>
      </c>
      <c r="C115" s="816">
        <f t="shared" si="10"/>
        <v>2947</v>
      </c>
      <c r="D115" s="815">
        <f t="shared" si="11"/>
        <v>2057</v>
      </c>
      <c r="E115" s="816">
        <f t="shared" si="12"/>
        <v>2017.62</v>
      </c>
      <c r="F115" s="813">
        <f t="shared" si="13"/>
        <v>2057498.7000000095</v>
      </c>
      <c r="G115" s="816">
        <f t="shared" si="9"/>
        <v>2017676.1</v>
      </c>
    </row>
    <row r="116" spans="1:7" ht="16.5" hidden="1" customHeight="1" outlineLevel="1">
      <c r="A116" s="820">
        <v>40330</v>
      </c>
      <c r="B116" s="815">
        <v>2947</v>
      </c>
      <c r="C116" s="816">
        <f t="shared" si="10"/>
        <v>2947</v>
      </c>
      <c r="D116" s="815">
        <f t="shared" si="11"/>
        <v>2064</v>
      </c>
      <c r="E116" s="816">
        <f t="shared" si="12"/>
        <v>2024.23</v>
      </c>
      <c r="F116" s="813">
        <f t="shared" si="13"/>
        <v>2064135.8000000096</v>
      </c>
      <c r="G116" s="816">
        <f t="shared" si="9"/>
        <v>2024313.2</v>
      </c>
    </row>
    <row r="117" spans="1:7" ht="16.5" hidden="1" customHeight="1" outlineLevel="1">
      <c r="A117" s="820">
        <v>40360</v>
      </c>
      <c r="B117" s="815">
        <v>2947</v>
      </c>
      <c r="C117" s="816">
        <f t="shared" si="10"/>
        <v>2947</v>
      </c>
      <c r="D117" s="815">
        <f t="shared" si="11"/>
        <v>2071</v>
      </c>
      <c r="E117" s="816">
        <f t="shared" si="12"/>
        <v>2030.92</v>
      </c>
      <c r="F117" s="813">
        <f t="shared" si="13"/>
        <v>2070772.9000000097</v>
      </c>
      <c r="G117" s="816">
        <f t="shared" si="9"/>
        <v>2030950.3</v>
      </c>
    </row>
    <row r="118" spans="1:7" ht="16.5" hidden="1" customHeight="1" outlineLevel="1">
      <c r="A118" s="820">
        <v>40391</v>
      </c>
      <c r="B118" s="815">
        <v>2947</v>
      </c>
      <c r="C118" s="816">
        <f t="shared" si="10"/>
        <v>2947</v>
      </c>
      <c r="D118" s="815">
        <f t="shared" si="11"/>
        <v>2077</v>
      </c>
      <c r="E118" s="816">
        <f t="shared" si="12"/>
        <v>2037.54</v>
      </c>
      <c r="F118" s="813">
        <f t="shared" si="13"/>
        <v>2077410.0000000098</v>
      </c>
      <c r="G118" s="816">
        <f t="shared" si="9"/>
        <v>2037587.4</v>
      </c>
    </row>
    <row r="119" spans="1:7" ht="16.5" hidden="1" customHeight="1" outlineLevel="1">
      <c r="A119" s="820">
        <v>40422</v>
      </c>
      <c r="B119" s="815">
        <v>2947</v>
      </c>
      <c r="C119" s="816">
        <f t="shared" si="10"/>
        <v>2947</v>
      </c>
      <c r="D119" s="815">
        <f t="shared" si="11"/>
        <v>2084</v>
      </c>
      <c r="E119" s="816">
        <f t="shared" si="12"/>
        <v>2044.15</v>
      </c>
      <c r="F119" s="813">
        <f t="shared" si="13"/>
        <v>2084047.1000000099</v>
      </c>
      <c r="G119" s="816">
        <f t="shared" si="9"/>
        <v>2044224.5</v>
      </c>
    </row>
    <row r="120" spans="1:7" ht="16.5" hidden="1" customHeight="1" outlineLevel="1">
      <c r="A120" s="820">
        <v>40452</v>
      </c>
      <c r="B120" s="815">
        <v>2947</v>
      </c>
      <c r="C120" s="816">
        <f t="shared" si="10"/>
        <v>2947</v>
      </c>
      <c r="D120" s="815">
        <f t="shared" si="11"/>
        <v>2091</v>
      </c>
      <c r="E120" s="816">
        <f t="shared" si="12"/>
        <v>2050.85</v>
      </c>
      <c r="F120" s="813">
        <f t="shared" si="13"/>
        <v>2090684.20000001</v>
      </c>
      <c r="G120" s="816">
        <f t="shared" si="9"/>
        <v>2050861.6</v>
      </c>
    </row>
    <row r="121" spans="1:7" ht="16.5" hidden="1" customHeight="1" outlineLevel="1">
      <c r="A121" s="820">
        <v>40483</v>
      </c>
      <c r="B121" s="815">
        <v>2947</v>
      </c>
      <c r="C121" s="816">
        <f t="shared" si="10"/>
        <v>2947</v>
      </c>
      <c r="D121" s="815">
        <f t="shared" si="11"/>
        <v>2097</v>
      </c>
      <c r="E121" s="816">
        <f t="shared" si="12"/>
        <v>2057.46</v>
      </c>
      <c r="F121" s="813">
        <f t="shared" si="13"/>
        <v>2097321.3000000101</v>
      </c>
      <c r="G121" s="816">
        <f t="shared" si="9"/>
        <v>2057498.7</v>
      </c>
    </row>
    <row r="122" spans="1:7" ht="16.5" hidden="1" customHeight="1" outlineLevel="1">
      <c r="A122" s="820">
        <v>40513</v>
      </c>
      <c r="B122" s="815">
        <v>2947</v>
      </c>
      <c r="C122" s="816">
        <f t="shared" si="10"/>
        <v>2947</v>
      </c>
      <c r="D122" s="815">
        <f t="shared" si="11"/>
        <v>2104</v>
      </c>
      <c r="E122" s="816">
        <f t="shared" si="12"/>
        <v>2064.08</v>
      </c>
      <c r="F122" s="813">
        <f t="shared" si="13"/>
        <v>2103958.4000000102</v>
      </c>
      <c r="G122" s="816">
        <f t="shared" si="9"/>
        <v>2064135.8</v>
      </c>
    </row>
    <row r="123" spans="1:7" ht="16.5" hidden="1" customHeight="1" outlineLevel="1">
      <c r="A123" s="820">
        <v>40544</v>
      </c>
      <c r="B123" s="815">
        <v>2947</v>
      </c>
      <c r="C123" s="816">
        <f t="shared" si="10"/>
        <v>2947</v>
      </c>
      <c r="D123" s="815">
        <f t="shared" si="11"/>
        <v>2111</v>
      </c>
      <c r="E123" s="816">
        <f t="shared" si="12"/>
        <v>2070.77</v>
      </c>
      <c r="F123" s="813">
        <f>F122+6637.1</f>
        <v>2110595.5000000102</v>
      </c>
      <c r="G123" s="816">
        <f t="shared" si="9"/>
        <v>2070772.9</v>
      </c>
    </row>
    <row r="124" spans="1:7" ht="16.5" hidden="1" customHeight="1" outlineLevel="1">
      <c r="A124" s="820">
        <v>40575</v>
      </c>
      <c r="B124" s="815">
        <v>2947</v>
      </c>
      <c r="C124" s="816">
        <f t="shared" si="10"/>
        <v>2947</v>
      </c>
      <c r="D124" s="815">
        <f t="shared" si="11"/>
        <v>2117</v>
      </c>
      <c r="E124" s="816">
        <f t="shared" si="12"/>
        <v>2077.38</v>
      </c>
      <c r="F124" s="813">
        <f t="shared" si="13"/>
        <v>2117232.6000000103</v>
      </c>
      <c r="G124" s="816">
        <f t="shared" si="9"/>
        <v>2077410</v>
      </c>
    </row>
    <row r="125" spans="1:7" ht="16.5" hidden="1" customHeight="1" outlineLevel="1">
      <c r="A125" s="820">
        <v>40603</v>
      </c>
      <c r="B125" s="815">
        <v>2947</v>
      </c>
      <c r="C125" s="816">
        <f t="shared" si="10"/>
        <v>2947</v>
      </c>
      <c r="D125" s="815">
        <f t="shared" si="11"/>
        <v>2124</v>
      </c>
      <c r="E125" s="816">
        <f t="shared" si="12"/>
        <v>2084</v>
      </c>
      <c r="F125" s="813">
        <f t="shared" si="13"/>
        <v>2123869.7000000104</v>
      </c>
      <c r="G125" s="816">
        <f t="shared" si="9"/>
        <v>2084047.1</v>
      </c>
    </row>
    <row r="126" spans="1:7" ht="16.5" hidden="1" customHeight="1" outlineLevel="1">
      <c r="A126" s="820">
        <v>40634</v>
      </c>
      <c r="B126" s="815">
        <v>2947</v>
      </c>
      <c r="C126" s="816">
        <f t="shared" si="10"/>
        <v>2947</v>
      </c>
      <c r="D126" s="815">
        <f t="shared" si="11"/>
        <v>2131</v>
      </c>
      <c r="E126" s="816">
        <f t="shared" si="12"/>
        <v>2090.69</v>
      </c>
      <c r="F126" s="813">
        <f t="shared" si="13"/>
        <v>2130506.8000000105</v>
      </c>
      <c r="G126" s="816">
        <f t="shared" si="9"/>
        <v>2090684.2</v>
      </c>
    </row>
    <row r="127" spans="1:7" ht="16.5" hidden="1" customHeight="1" outlineLevel="1">
      <c r="A127" s="820">
        <v>40664</v>
      </c>
      <c r="B127" s="815">
        <v>2947</v>
      </c>
      <c r="C127" s="816">
        <f t="shared" si="10"/>
        <v>2947</v>
      </c>
      <c r="D127" s="815">
        <f t="shared" si="11"/>
        <v>2137</v>
      </c>
      <c r="E127" s="816">
        <f t="shared" si="12"/>
        <v>2097.31</v>
      </c>
      <c r="F127" s="813">
        <f t="shared" si="13"/>
        <v>2137143.9000000106</v>
      </c>
      <c r="G127" s="816">
        <f t="shared" si="9"/>
        <v>2097321.2999999998</v>
      </c>
    </row>
    <row r="128" spans="1:7" ht="16.5" hidden="1" customHeight="1" outlineLevel="1">
      <c r="A128" s="820">
        <v>40695</v>
      </c>
      <c r="B128" s="815">
        <v>2947</v>
      </c>
      <c r="C128" s="816">
        <f t="shared" si="10"/>
        <v>2947</v>
      </c>
      <c r="D128" s="815">
        <f t="shared" si="11"/>
        <v>2144</v>
      </c>
      <c r="E128" s="816">
        <f t="shared" si="12"/>
        <v>2104</v>
      </c>
      <c r="F128" s="813">
        <f t="shared" si="13"/>
        <v>2143781.0000000107</v>
      </c>
      <c r="G128" s="816">
        <f t="shared" si="9"/>
        <v>2103958.4</v>
      </c>
    </row>
    <row r="129" spans="1:7" ht="16.5" hidden="1" customHeight="1" outlineLevel="1">
      <c r="A129" s="820">
        <v>40725</v>
      </c>
      <c r="B129" s="815">
        <v>2947</v>
      </c>
      <c r="C129" s="816">
        <f t="shared" si="10"/>
        <v>2947</v>
      </c>
      <c r="D129" s="815">
        <f t="shared" si="11"/>
        <v>2150</v>
      </c>
      <c r="E129" s="816">
        <f t="shared" si="12"/>
        <v>2110.62</v>
      </c>
      <c r="F129" s="813">
        <f t="shared" si="13"/>
        <v>2150418.1000000108</v>
      </c>
      <c r="G129" s="816">
        <f t="shared" si="9"/>
        <v>2110595.5</v>
      </c>
    </row>
    <row r="130" spans="1:7" ht="16.5" hidden="1" customHeight="1" outlineLevel="1">
      <c r="A130" s="820">
        <v>40756</v>
      </c>
      <c r="B130" s="815">
        <v>2947</v>
      </c>
      <c r="C130" s="816">
        <f t="shared" si="10"/>
        <v>2947</v>
      </c>
      <c r="D130" s="815">
        <f t="shared" si="11"/>
        <v>2157</v>
      </c>
      <c r="E130" s="816">
        <f t="shared" si="12"/>
        <v>2117.23</v>
      </c>
      <c r="F130" s="813">
        <f t="shared" si="13"/>
        <v>2157055.2000000109</v>
      </c>
      <c r="G130" s="816">
        <f t="shared" si="9"/>
        <v>2117232.6</v>
      </c>
    </row>
    <row r="131" spans="1:7" ht="16.5" hidden="1" customHeight="1" outlineLevel="1">
      <c r="A131" s="820">
        <v>40787</v>
      </c>
      <c r="B131" s="815">
        <v>2947</v>
      </c>
      <c r="C131" s="816">
        <f t="shared" si="10"/>
        <v>2947</v>
      </c>
      <c r="D131" s="815">
        <f t="shared" si="11"/>
        <v>2164</v>
      </c>
      <c r="E131" s="816">
        <f t="shared" si="12"/>
        <v>2123.92</v>
      </c>
      <c r="F131" s="813">
        <f t="shared" si="13"/>
        <v>2163692.300000011</v>
      </c>
      <c r="G131" s="816">
        <f t="shared" si="9"/>
        <v>2123869.7000000002</v>
      </c>
    </row>
    <row r="132" spans="1:7" ht="16.5" hidden="1" customHeight="1" outlineLevel="1">
      <c r="A132" s="820">
        <v>40817</v>
      </c>
      <c r="B132" s="815">
        <v>2947</v>
      </c>
      <c r="C132" s="816">
        <f t="shared" si="10"/>
        <v>2947</v>
      </c>
      <c r="D132" s="815">
        <f t="shared" si="11"/>
        <v>2170</v>
      </c>
      <c r="E132" s="816">
        <f t="shared" si="12"/>
        <v>2130.54</v>
      </c>
      <c r="F132" s="813">
        <f t="shared" si="13"/>
        <v>2170329.4000000111</v>
      </c>
      <c r="G132" s="816">
        <f t="shared" si="9"/>
        <v>2130506.7999999998</v>
      </c>
    </row>
    <row r="133" spans="1:7" ht="16.5" hidden="1" customHeight="1" outlineLevel="1">
      <c r="A133" s="820">
        <v>40848</v>
      </c>
      <c r="B133" s="815">
        <v>2947</v>
      </c>
      <c r="C133" s="816">
        <f t="shared" si="10"/>
        <v>2947</v>
      </c>
      <c r="D133" s="815">
        <f t="shared" si="11"/>
        <v>2177</v>
      </c>
      <c r="E133" s="816">
        <f t="shared" si="12"/>
        <v>2137.15</v>
      </c>
      <c r="F133" s="813">
        <f t="shared" si="13"/>
        <v>2176966.5000000112</v>
      </c>
      <c r="G133" s="816">
        <f t="shared" si="9"/>
        <v>2137143.9</v>
      </c>
    </row>
    <row r="134" spans="1:7" ht="16.5" hidden="1" customHeight="1" outlineLevel="1">
      <c r="A134" s="820">
        <v>40878</v>
      </c>
      <c r="B134" s="815">
        <v>2947</v>
      </c>
      <c r="C134" s="816">
        <f t="shared" si="10"/>
        <v>2947</v>
      </c>
      <c r="D134" s="815">
        <f t="shared" si="11"/>
        <v>2184</v>
      </c>
      <c r="E134" s="816">
        <f t="shared" si="12"/>
        <v>2143.85</v>
      </c>
      <c r="F134" s="813">
        <f t="shared" si="13"/>
        <v>2183603.6000000113</v>
      </c>
      <c r="G134" s="816">
        <f t="shared" si="9"/>
        <v>2143781</v>
      </c>
    </row>
    <row r="135" spans="1:7" ht="16.5" hidden="1" customHeight="1" outlineLevel="1">
      <c r="A135" s="820">
        <v>40939</v>
      </c>
      <c r="B135" s="815">
        <v>2947</v>
      </c>
      <c r="C135" s="816">
        <f t="shared" ref="C135:C198" si="14">ROUND((SUM(B123:B135)/13),0)</f>
        <v>2947</v>
      </c>
      <c r="D135" s="815">
        <f t="shared" si="11"/>
        <v>2190</v>
      </c>
      <c r="E135" s="816">
        <f t="shared" ref="E135:E198" si="15">ROUND((SUM(D123:D135)/13),2)</f>
        <v>2150.46</v>
      </c>
      <c r="F135" s="813">
        <f t="shared" si="13"/>
        <v>2190240.7000000114</v>
      </c>
      <c r="G135" s="816">
        <f t="shared" si="9"/>
        <v>2150418.1</v>
      </c>
    </row>
    <row r="136" spans="1:7" ht="16.5" hidden="1" customHeight="1" outlineLevel="1">
      <c r="A136" s="820">
        <v>40968</v>
      </c>
      <c r="B136" s="815">
        <v>2947</v>
      </c>
      <c r="C136" s="816">
        <f t="shared" si="14"/>
        <v>2947</v>
      </c>
      <c r="D136" s="815">
        <f t="shared" si="11"/>
        <v>2197</v>
      </c>
      <c r="E136" s="816">
        <f t="shared" si="15"/>
        <v>2157.08</v>
      </c>
      <c r="F136" s="813">
        <f t="shared" si="13"/>
        <v>2196877.8000000115</v>
      </c>
      <c r="G136" s="816">
        <f t="shared" si="9"/>
        <v>2157055.2000000002</v>
      </c>
    </row>
    <row r="137" spans="1:7" ht="16.5" hidden="1" customHeight="1" outlineLevel="1">
      <c r="A137" s="820">
        <v>40999</v>
      </c>
      <c r="B137" s="815">
        <v>2947</v>
      </c>
      <c r="C137" s="816">
        <f t="shared" si="14"/>
        <v>2947</v>
      </c>
      <c r="D137" s="815">
        <f t="shared" si="11"/>
        <v>2204</v>
      </c>
      <c r="E137" s="816">
        <f t="shared" si="15"/>
        <v>2163.77</v>
      </c>
      <c r="F137" s="813">
        <f t="shared" si="13"/>
        <v>2203514.9000000115</v>
      </c>
      <c r="G137" s="816">
        <f t="shared" si="9"/>
        <v>2163692.2999999998</v>
      </c>
    </row>
    <row r="138" spans="1:7" ht="16.5" hidden="1" customHeight="1" outlineLevel="1">
      <c r="A138" s="820">
        <v>41029</v>
      </c>
      <c r="B138" s="815">
        <v>2947</v>
      </c>
      <c r="C138" s="816">
        <f t="shared" si="14"/>
        <v>2947</v>
      </c>
      <c r="D138" s="815">
        <f t="shared" si="11"/>
        <v>2210</v>
      </c>
      <c r="E138" s="816">
        <f t="shared" si="15"/>
        <v>2170.38</v>
      </c>
      <c r="F138" s="813">
        <f t="shared" si="13"/>
        <v>2210152.0000000116</v>
      </c>
      <c r="G138" s="816">
        <f t="shared" si="9"/>
        <v>2170329.4</v>
      </c>
    </row>
    <row r="139" spans="1:7" ht="16.5" hidden="1" customHeight="1" outlineLevel="1">
      <c r="A139" s="820">
        <v>41060</v>
      </c>
      <c r="B139" s="815">
        <v>2947</v>
      </c>
      <c r="C139" s="816">
        <f t="shared" si="14"/>
        <v>2947</v>
      </c>
      <c r="D139" s="815">
        <f t="shared" si="11"/>
        <v>2217</v>
      </c>
      <c r="E139" s="816">
        <f t="shared" si="15"/>
        <v>2177</v>
      </c>
      <c r="F139" s="813">
        <f t="shared" si="13"/>
        <v>2216789.1000000117</v>
      </c>
      <c r="G139" s="816">
        <f t="shared" si="9"/>
        <v>2176966.5</v>
      </c>
    </row>
    <row r="140" spans="1:7" ht="16.5" hidden="1" customHeight="1" outlineLevel="1">
      <c r="A140" s="820">
        <v>41090</v>
      </c>
      <c r="B140" s="815">
        <v>2947</v>
      </c>
      <c r="C140" s="816">
        <f t="shared" si="14"/>
        <v>2947</v>
      </c>
      <c r="D140" s="815">
        <f t="shared" si="11"/>
        <v>2223</v>
      </c>
      <c r="E140" s="816">
        <f t="shared" si="15"/>
        <v>2183.62</v>
      </c>
      <c r="F140" s="813">
        <f t="shared" si="13"/>
        <v>2223426.2000000118</v>
      </c>
      <c r="G140" s="816">
        <f t="shared" si="9"/>
        <v>2183603.6</v>
      </c>
    </row>
    <row r="141" spans="1:7" ht="16.5" hidden="1" customHeight="1" outlineLevel="1">
      <c r="A141" s="820">
        <v>41121</v>
      </c>
      <c r="B141" s="815">
        <v>2947</v>
      </c>
      <c r="C141" s="816">
        <f t="shared" si="14"/>
        <v>2947</v>
      </c>
      <c r="D141" s="815">
        <f t="shared" si="11"/>
        <v>2230</v>
      </c>
      <c r="E141" s="816">
        <f t="shared" si="15"/>
        <v>2190.23</v>
      </c>
      <c r="F141" s="813">
        <f t="shared" si="13"/>
        <v>2230063.3000000119</v>
      </c>
      <c r="G141" s="816">
        <f t="shared" si="9"/>
        <v>2190240.7000000002</v>
      </c>
    </row>
    <row r="142" spans="1:7" ht="16.5" hidden="1" customHeight="1" outlineLevel="1">
      <c r="A142" s="820">
        <v>41152</v>
      </c>
      <c r="B142" s="815">
        <v>2947</v>
      </c>
      <c r="C142" s="816">
        <f t="shared" si="14"/>
        <v>2947</v>
      </c>
      <c r="D142" s="815">
        <f t="shared" si="11"/>
        <v>2237</v>
      </c>
      <c r="E142" s="816">
        <f t="shared" si="15"/>
        <v>2196.92</v>
      </c>
      <c r="F142" s="813">
        <f t="shared" si="13"/>
        <v>2236700.400000012</v>
      </c>
      <c r="G142" s="816">
        <f t="shared" si="9"/>
        <v>2196877.7999999998</v>
      </c>
    </row>
    <row r="143" spans="1:7" ht="16.5" hidden="1" customHeight="1" outlineLevel="1">
      <c r="A143" s="820">
        <v>41182</v>
      </c>
      <c r="B143" s="815">
        <v>2947</v>
      </c>
      <c r="C143" s="816">
        <f t="shared" si="14"/>
        <v>2947</v>
      </c>
      <c r="D143" s="815">
        <f t="shared" si="11"/>
        <v>2243</v>
      </c>
      <c r="E143" s="816">
        <f t="shared" si="15"/>
        <v>2203.54</v>
      </c>
      <c r="F143" s="813">
        <f t="shared" si="13"/>
        <v>2243337.5000000121</v>
      </c>
      <c r="G143" s="816">
        <f t="shared" si="9"/>
        <v>2203514.9</v>
      </c>
    </row>
    <row r="144" spans="1:7" ht="16.5" hidden="1" customHeight="1" outlineLevel="1">
      <c r="A144" s="820">
        <v>41213</v>
      </c>
      <c r="B144" s="815">
        <v>2947</v>
      </c>
      <c r="C144" s="816">
        <f t="shared" si="14"/>
        <v>2947</v>
      </c>
      <c r="D144" s="815">
        <f t="shared" si="11"/>
        <v>2250</v>
      </c>
      <c r="E144" s="816">
        <f t="shared" si="15"/>
        <v>2210.15</v>
      </c>
      <c r="F144" s="813">
        <f t="shared" si="13"/>
        <v>2249974.6000000122</v>
      </c>
      <c r="G144" s="816">
        <f t="shared" si="9"/>
        <v>2210152</v>
      </c>
    </row>
    <row r="145" spans="1:7" ht="16.5" hidden="1" customHeight="1" outlineLevel="1">
      <c r="A145" s="820">
        <v>41243</v>
      </c>
      <c r="B145" s="815">
        <v>2947</v>
      </c>
      <c r="C145" s="816">
        <f t="shared" si="14"/>
        <v>2947</v>
      </c>
      <c r="D145" s="815">
        <f t="shared" si="11"/>
        <v>2257</v>
      </c>
      <c r="E145" s="816">
        <f t="shared" si="15"/>
        <v>2216.85</v>
      </c>
      <c r="F145" s="813">
        <f t="shared" si="13"/>
        <v>2256611.7000000123</v>
      </c>
      <c r="G145" s="816">
        <f t="shared" si="9"/>
        <v>2216789.1</v>
      </c>
    </row>
    <row r="146" spans="1:7" ht="16.5" hidden="1" customHeight="1" outlineLevel="1">
      <c r="A146" s="820">
        <v>41274</v>
      </c>
      <c r="B146" s="815">
        <v>2947</v>
      </c>
      <c r="C146" s="816">
        <f t="shared" si="14"/>
        <v>2947</v>
      </c>
      <c r="D146" s="815">
        <f t="shared" si="11"/>
        <v>2263</v>
      </c>
      <c r="E146" s="816">
        <f t="shared" si="15"/>
        <v>2223.46</v>
      </c>
      <c r="F146" s="813">
        <f t="shared" si="13"/>
        <v>2263248.8000000124</v>
      </c>
      <c r="G146" s="816">
        <f t="shared" si="9"/>
        <v>2223426.2000000002</v>
      </c>
    </row>
    <row r="147" spans="1:7" ht="16.5" hidden="1" customHeight="1" outlineLevel="1">
      <c r="A147" s="820">
        <v>41305</v>
      </c>
      <c r="B147" s="815">
        <v>2947</v>
      </c>
      <c r="C147" s="816">
        <f t="shared" si="14"/>
        <v>2947</v>
      </c>
      <c r="D147" s="815">
        <f t="shared" si="11"/>
        <v>2270</v>
      </c>
      <c r="E147" s="816">
        <f t="shared" si="15"/>
        <v>2230.08</v>
      </c>
      <c r="F147" s="813">
        <f>F146+6637.1</f>
        <v>2269885.9000000125</v>
      </c>
      <c r="G147" s="816">
        <f t="shared" si="9"/>
        <v>2230063.2999999998</v>
      </c>
    </row>
    <row r="148" spans="1:7" ht="16.5" hidden="1" customHeight="1" outlineLevel="1">
      <c r="A148" s="820">
        <v>41333</v>
      </c>
      <c r="B148" s="815">
        <v>2947</v>
      </c>
      <c r="C148" s="816">
        <f t="shared" si="14"/>
        <v>2947</v>
      </c>
      <c r="D148" s="815">
        <f t="shared" si="11"/>
        <v>2277</v>
      </c>
      <c r="E148" s="816">
        <f t="shared" si="15"/>
        <v>2236.77</v>
      </c>
      <c r="F148" s="813">
        <f t="shared" si="13"/>
        <v>2276523.0000000126</v>
      </c>
      <c r="G148" s="816">
        <f t="shared" si="9"/>
        <v>2236700.4</v>
      </c>
    </row>
    <row r="149" spans="1:7" ht="16.5" hidden="1" customHeight="1" outlineLevel="1">
      <c r="A149" s="820">
        <v>41364</v>
      </c>
      <c r="B149" s="815">
        <v>2947</v>
      </c>
      <c r="C149" s="816">
        <f t="shared" si="14"/>
        <v>2947</v>
      </c>
      <c r="D149" s="815">
        <f t="shared" si="11"/>
        <v>2283</v>
      </c>
      <c r="E149" s="816">
        <f t="shared" si="15"/>
        <v>2243.38</v>
      </c>
      <c r="F149" s="813">
        <f t="shared" si="13"/>
        <v>2283160.1000000127</v>
      </c>
      <c r="G149" s="816">
        <f t="shared" si="9"/>
        <v>2243337.5</v>
      </c>
    </row>
    <row r="150" spans="1:7" ht="16.5" hidden="1" customHeight="1" outlineLevel="1">
      <c r="A150" s="820">
        <v>41394</v>
      </c>
      <c r="B150" s="815">
        <v>2947</v>
      </c>
      <c r="C150" s="816">
        <f t="shared" si="14"/>
        <v>2947</v>
      </c>
      <c r="D150" s="815">
        <f t="shared" si="11"/>
        <v>2290</v>
      </c>
      <c r="E150" s="816">
        <f t="shared" si="15"/>
        <v>2250</v>
      </c>
      <c r="F150" s="813">
        <f t="shared" si="13"/>
        <v>2289797.2000000128</v>
      </c>
      <c r="G150" s="816">
        <f t="shared" si="9"/>
        <v>2249974.6</v>
      </c>
    </row>
    <row r="151" spans="1:7" ht="16.5" hidden="1" customHeight="1" outlineLevel="1">
      <c r="A151" s="820">
        <v>41425</v>
      </c>
      <c r="B151" s="815">
        <v>2947</v>
      </c>
      <c r="C151" s="816">
        <f t="shared" si="14"/>
        <v>2947</v>
      </c>
      <c r="D151" s="815">
        <f t="shared" si="11"/>
        <v>2296</v>
      </c>
      <c r="E151" s="816">
        <f t="shared" si="15"/>
        <v>2256.62</v>
      </c>
      <c r="F151" s="813">
        <f t="shared" si="13"/>
        <v>2296434.3000000129</v>
      </c>
      <c r="G151" s="816">
        <f t="shared" si="9"/>
        <v>2256611.7000000002</v>
      </c>
    </row>
    <row r="152" spans="1:7" ht="16.5" hidden="1" customHeight="1" outlineLevel="1">
      <c r="A152" s="820">
        <v>41455</v>
      </c>
      <c r="B152" s="815">
        <v>2947</v>
      </c>
      <c r="C152" s="816">
        <f t="shared" si="14"/>
        <v>2947</v>
      </c>
      <c r="D152" s="815">
        <f t="shared" si="11"/>
        <v>2303</v>
      </c>
      <c r="E152" s="816">
        <f t="shared" si="15"/>
        <v>2263.23</v>
      </c>
      <c r="F152" s="813">
        <f t="shared" si="13"/>
        <v>2303071.4000000129</v>
      </c>
      <c r="G152" s="816">
        <f t="shared" si="9"/>
        <v>2263248.7999999998</v>
      </c>
    </row>
    <row r="153" spans="1:7" ht="16.5" hidden="1" customHeight="1" outlineLevel="1">
      <c r="A153" s="820">
        <v>41486</v>
      </c>
      <c r="B153" s="815">
        <v>2947</v>
      </c>
      <c r="C153" s="816">
        <f t="shared" si="14"/>
        <v>2947</v>
      </c>
      <c r="D153" s="815">
        <f t="shared" si="11"/>
        <v>2310</v>
      </c>
      <c r="E153" s="816">
        <f t="shared" si="15"/>
        <v>2269.92</v>
      </c>
      <c r="F153" s="813">
        <f t="shared" si="13"/>
        <v>2309708.500000013</v>
      </c>
      <c r="G153" s="816">
        <f t="shared" si="9"/>
        <v>2269885.9</v>
      </c>
    </row>
    <row r="154" spans="1:7" ht="16.5" hidden="1" customHeight="1" outlineLevel="1">
      <c r="A154" s="820">
        <v>41517</v>
      </c>
      <c r="B154" s="815">
        <v>2947</v>
      </c>
      <c r="C154" s="816">
        <f t="shared" si="14"/>
        <v>2947</v>
      </c>
      <c r="D154" s="815">
        <f t="shared" si="11"/>
        <v>2316</v>
      </c>
      <c r="E154" s="816">
        <f t="shared" si="15"/>
        <v>2276.54</v>
      </c>
      <c r="F154" s="813">
        <f t="shared" si="13"/>
        <v>2316345.6000000131</v>
      </c>
      <c r="G154" s="816">
        <f t="shared" si="9"/>
        <v>2276523</v>
      </c>
    </row>
    <row r="155" spans="1:7" ht="16.5" hidden="1" customHeight="1" outlineLevel="1">
      <c r="A155" s="820">
        <v>41547</v>
      </c>
      <c r="B155" s="815">
        <v>2947</v>
      </c>
      <c r="C155" s="816">
        <f t="shared" si="14"/>
        <v>2947</v>
      </c>
      <c r="D155" s="815">
        <f t="shared" si="11"/>
        <v>2323</v>
      </c>
      <c r="E155" s="816">
        <f t="shared" si="15"/>
        <v>2283.15</v>
      </c>
      <c r="F155" s="813">
        <f t="shared" si="13"/>
        <v>2322982.7000000132</v>
      </c>
      <c r="G155" s="816">
        <f t="shared" si="9"/>
        <v>2283160.1</v>
      </c>
    </row>
    <row r="156" spans="1:7" ht="16.5" hidden="1" customHeight="1" outlineLevel="1">
      <c r="A156" s="820">
        <v>41578</v>
      </c>
      <c r="B156" s="815">
        <v>2947</v>
      </c>
      <c r="C156" s="816">
        <f t="shared" si="14"/>
        <v>2947</v>
      </c>
      <c r="D156" s="815">
        <f t="shared" si="11"/>
        <v>2330</v>
      </c>
      <c r="E156" s="816">
        <f t="shared" si="15"/>
        <v>2289.85</v>
      </c>
      <c r="F156" s="813">
        <f t="shared" si="13"/>
        <v>2329619.8000000133</v>
      </c>
      <c r="G156" s="816">
        <f t="shared" si="9"/>
        <v>2289797.2000000002</v>
      </c>
    </row>
    <row r="157" spans="1:7" ht="16.5" hidden="1" customHeight="1" outlineLevel="1">
      <c r="A157" s="820">
        <v>41608</v>
      </c>
      <c r="B157" s="815">
        <v>2947</v>
      </c>
      <c r="C157" s="816">
        <f t="shared" si="14"/>
        <v>2947</v>
      </c>
      <c r="D157" s="815">
        <f t="shared" si="11"/>
        <v>2336</v>
      </c>
      <c r="E157" s="816">
        <f t="shared" si="15"/>
        <v>2296.46</v>
      </c>
      <c r="F157" s="813">
        <f t="shared" si="13"/>
        <v>2336256.9000000134</v>
      </c>
      <c r="G157" s="816">
        <f t="shared" si="9"/>
        <v>2296434.2999999998</v>
      </c>
    </row>
    <row r="158" spans="1:7" ht="16.5" hidden="1" customHeight="1" outlineLevel="1">
      <c r="A158" s="820">
        <v>41639</v>
      </c>
      <c r="B158" s="815">
        <v>2947</v>
      </c>
      <c r="C158" s="816">
        <f t="shared" si="14"/>
        <v>2947</v>
      </c>
      <c r="D158" s="815">
        <f t="shared" si="11"/>
        <v>2343</v>
      </c>
      <c r="E158" s="816">
        <f t="shared" si="15"/>
        <v>2303.08</v>
      </c>
      <c r="F158" s="813">
        <f t="shared" si="13"/>
        <v>2342894.0000000135</v>
      </c>
      <c r="G158" s="816">
        <f t="shared" si="9"/>
        <v>2303071.4</v>
      </c>
    </row>
    <row r="159" spans="1:7" ht="16.5" hidden="1" customHeight="1" outlineLevel="1">
      <c r="A159" s="820">
        <v>41670</v>
      </c>
      <c r="B159" s="815">
        <v>2947</v>
      </c>
      <c r="C159" s="816">
        <f t="shared" si="14"/>
        <v>2947</v>
      </c>
      <c r="D159" s="815">
        <f t="shared" si="11"/>
        <v>2350</v>
      </c>
      <c r="E159" s="816">
        <f t="shared" si="15"/>
        <v>2309.77</v>
      </c>
      <c r="F159" s="813">
        <f t="shared" si="13"/>
        <v>2349531.1000000136</v>
      </c>
      <c r="G159" s="816">
        <f t="shared" si="9"/>
        <v>2309708.5</v>
      </c>
    </row>
    <row r="160" spans="1:7" ht="16.5" hidden="1" customHeight="1" outlineLevel="1">
      <c r="A160" s="820">
        <v>41698</v>
      </c>
      <c r="B160" s="815">
        <v>2947</v>
      </c>
      <c r="C160" s="816">
        <f t="shared" si="14"/>
        <v>2947</v>
      </c>
      <c r="D160" s="815">
        <f t="shared" si="11"/>
        <v>2356</v>
      </c>
      <c r="E160" s="816">
        <f t="shared" si="15"/>
        <v>2316.38</v>
      </c>
      <c r="F160" s="813">
        <f t="shared" si="13"/>
        <v>2356168.2000000137</v>
      </c>
      <c r="G160" s="816">
        <f t="shared" si="9"/>
        <v>2316345.6</v>
      </c>
    </row>
    <row r="161" spans="1:7" ht="16.5" hidden="1" customHeight="1" outlineLevel="1">
      <c r="A161" s="820">
        <v>41729</v>
      </c>
      <c r="B161" s="815">
        <v>2947</v>
      </c>
      <c r="C161" s="816">
        <f t="shared" si="14"/>
        <v>2947</v>
      </c>
      <c r="D161" s="815">
        <f t="shared" si="11"/>
        <v>2363</v>
      </c>
      <c r="E161" s="816">
        <f t="shared" si="15"/>
        <v>2323</v>
      </c>
      <c r="F161" s="813">
        <f t="shared" si="13"/>
        <v>2362805.3000000138</v>
      </c>
      <c r="G161" s="816">
        <f t="shared" si="9"/>
        <v>2322982.7000000002</v>
      </c>
    </row>
    <row r="162" spans="1:7" ht="16.5" hidden="1" customHeight="1" outlineLevel="1">
      <c r="A162" s="820">
        <v>41759</v>
      </c>
      <c r="B162" s="815">
        <v>2947</v>
      </c>
      <c r="C162" s="816">
        <f t="shared" si="14"/>
        <v>2947</v>
      </c>
      <c r="D162" s="815">
        <f t="shared" si="11"/>
        <v>2369</v>
      </c>
      <c r="E162" s="816">
        <f t="shared" si="15"/>
        <v>2329.62</v>
      </c>
      <c r="F162" s="813">
        <f t="shared" si="13"/>
        <v>2369442.4000000139</v>
      </c>
      <c r="G162" s="816">
        <f t="shared" si="9"/>
        <v>2329619.7999999998</v>
      </c>
    </row>
    <row r="163" spans="1:7" ht="16.5" hidden="1" customHeight="1" outlineLevel="1">
      <c r="A163" s="820">
        <v>41790</v>
      </c>
      <c r="B163" s="815">
        <v>2947</v>
      </c>
      <c r="C163" s="816">
        <f t="shared" si="14"/>
        <v>2947</v>
      </c>
      <c r="D163" s="815">
        <f t="shared" si="11"/>
        <v>2376</v>
      </c>
      <c r="E163" s="816">
        <f t="shared" si="15"/>
        <v>2336.23</v>
      </c>
      <c r="F163" s="813">
        <f t="shared" si="13"/>
        <v>2376079.500000014</v>
      </c>
      <c r="G163" s="816">
        <f t="shared" si="9"/>
        <v>2336256.9</v>
      </c>
    </row>
    <row r="164" spans="1:7" ht="16.5" hidden="1" customHeight="1" outlineLevel="1">
      <c r="A164" s="820">
        <v>41820</v>
      </c>
      <c r="B164" s="815">
        <v>2947</v>
      </c>
      <c r="C164" s="816">
        <f t="shared" si="14"/>
        <v>2947</v>
      </c>
      <c r="D164" s="815">
        <f t="shared" si="11"/>
        <v>2383</v>
      </c>
      <c r="E164" s="816">
        <f t="shared" si="15"/>
        <v>2342.92</v>
      </c>
      <c r="F164" s="813">
        <f t="shared" si="13"/>
        <v>2382716.6000000141</v>
      </c>
      <c r="G164" s="816">
        <f t="shared" si="9"/>
        <v>2342894</v>
      </c>
    </row>
    <row r="165" spans="1:7" ht="16.5" hidden="1" customHeight="1" outlineLevel="1">
      <c r="A165" s="820">
        <v>41851</v>
      </c>
      <c r="B165" s="815">
        <v>2947</v>
      </c>
      <c r="C165" s="816">
        <f t="shared" si="14"/>
        <v>2947</v>
      </c>
      <c r="D165" s="815">
        <f t="shared" si="11"/>
        <v>2389</v>
      </c>
      <c r="E165" s="816">
        <f t="shared" si="15"/>
        <v>2349.54</v>
      </c>
      <c r="F165" s="813">
        <f t="shared" si="13"/>
        <v>2389353.7000000142</v>
      </c>
      <c r="G165" s="816">
        <f t="shared" si="9"/>
        <v>2349531.1</v>
      </c>
    </row>
    <row r="166" spans="1:7" ht="16.5" hidden="1" customHeight="1" outlineLevel="1">
      <c r="A166" s="820">
        <v>41882</v>
      </c>
      <c r="B166" s="815">
        <v>2947</v>
      </c>
      <c r="C166" s="816">
        <f t="shared" si="14"/>
        <v>2947</v>
      </c>
      <c r="D166" s="815">
        <f t="shared" si="11"/>
        <v>2396</v>
      </c>
      <c r="E166" s="816">
        <f t="shared" si="15"/>
        <v>2356.15</v>
      </c>
      <c r="F166" s="813">
        <f t="shared" si="13"/>
        <v>2395990.8000000142</v>
      </c>
      <c r="G166" s="816">
        <f t="shared" si="9"/>
        <v>2356168.2000000002</v>
      </c>
    </row>
    <row r="167" spans="1:7" ht="16.5" hidden="1" customHeight="1" outlineLevel="1">
      <c r="A167" s="820">
        <v>41912</v>
      </c>
      <c r="B167" s="815">
        <v>2947</v>
      </c>
      <c r="C167" s="816">
        <f t="shared" si="14"/>
        <v>2947</v>
      </c>
      <c r="D167" s="815">
        <f t="shared" si="11"/>
        <v>2403</v>
      </c>
      <c r="E167" s="816">
        <f t="shared" si="15"/>
        <v>2362.85</v>
      </c>
      <c r="F167" s="813">
        <f t="shared" si="13"/>
        <v>2402627.9000000143</v>
      </c>
      <c r="G167" s="816">
        <f t="shared" si="9"/>
        <v>2362805.2999999998</v>
      </c>
    </row>
    <row r="168" spans="1:7" ht="16.5" hidden="1" customHeight="1" outlineLevel="1">
      <c r="A168" s="820">
        <v>41943</v>
      </c>
      <c r="B168" s="815">
        <v>2947</v>
      </c>
      <c r="C168" s="816">
        <f t="shared" si="14"/>
        <v>2947</v>
      </c>
      <c r="D168" s="815">
        <f t="shared" si="11"/>
        <v>2409</v>
      </c>
      <c r="E168" s="816">
        <f t="shared" si="15"/>
        <v>2369.46</v>
      </c>
      <c r="F168" s="813">
        <f t="shared" si="13"/>
        <v>2409265.0000000144</v>
      </c>
      <c r="G168" s="816">
        <f t="shared" ref="G168:G170" si="16">ROUND((SUM(F156:F168)/13),2)</f>
        <v>2369442.4</v>
      </c>
    </row>
    <row r="169" spans="1:7" ht="16.5" hidden="1" customHeight="1" outlineLevel="1">
      <c r="A169" s="820">
        <v>41973</v>
      </c>
      <c r="B169" s="815">
        <v>2947</v>
      </c>
      <c r="C169" s="816">
        <f t="shared" si="14"/>
        <v>2947</v>
      </c>
      <c r="D169" s="815">
        <f t="shared" si="11"/>
        <v>2416</v>
      </c>
      <c r="E169" s="816">
        <f t="shared" si="15"/>
        <v>2376.08</v>
      </c>
      <c r="F169" s="813">
        <f t="shared" si="13"/>
        <v>2415902.1000000145</v>
      </c>
      <c r="G169" s="816">
        <f t="shared" si="16"/>
        <v>2376079.5</v>
      </c>
    </row>
    <row r="170" spans="1:7" ht="16.5" hidden="1" customHeight="1" outlineLevel="1">
      <c r="A170" s="820">
        <v>42004</v>
      </c>
      <c r="B170" s="815">
        <v>2947</v>
      </c>
      <c r="C170" s="816">
        <f t="shared" si="14"/>
        <v>2947</v>
      </c>
      <c r="D170" s="815">
        <f t="shared" si="11"/>
        <v>2423</v>
      </c>
      <c r="E170" s="816">
        <f t="shared" si="15"/>
        <v>2382.77</v>
      </c>
      <c r="F170" s="813">
        <f t="shared" si="13"/>
        <v>2422539.2000000146</v>
      </c>
      <c r="G170" s="816">
        <f t="shared" si="16"/>
        <v>2382716.6</v>
      </c>
    </row>
    <row r="171" spans="1:7" ht="15" hidden="1" outlineLevel="1">
      <c r="A171" s="820">
        <v>42035</v>
      </c>
      <c r="B171" s="815">
        <v>2947</v>
      </c>
      <c r="C171" s="816">
        <f t="shared" si="14"/>
        <v>2947</v>
      </c>
      <c r="D171" s="815">
        <f t="shared" si="11"/>
        <v>2429</v>
      </c>
      <c r="E171" s="816">
        <f t="shared" si="15"/>
        <v>2389.38</v>
      </c>
      <c r="F171" s="813">
        <f t="shared" si="13"/>
        <v>2429176.3000000147</v>
      </c>
      <c r="G171" s="816">
        <f>ROUND((SUM(F159:F171)/13),2)</f>
        <v>2389353.7000000002</v>
      </c>
    </row>
    <row r="172" spans="1:7" ht="15" hidden="1" outlineLevel="1">
      <c r="A172" s="820">
        <v>42063</v>
      </c>
      <c r="B172" s="815">
        <v>2947</v>
      </c>
      <c r="C172" s="816">
        <f t="shared" si="14"/>
        <v>2947</v>
      </c>
      <c r="D172" s="815">
        <f t="shared" si="11"/>
        <v>2436</v>
      </c>
      <c r="E172" s="816">
        <f t="shared" si="15"/>
        <v>2396</v>
      </c>
      <c r="F172" s="813">
        <f t="shared" si="13"/>
        <v>2435813.4000000148</v>
      </c>
      <c r="G172" s="816">
        <f>ROUND((SUM(F160:F172)/13),2)</f>
        <v>2395990.7999999998</v>
      </c>
    </row>
    <row r="173" spans="1:7" ht="15" hidden="1" outlineLevel="1">
      <c r="A173" s="820">
        <v>42094</v>
      </c>
      <c r="B173" s="815">
        <v>2947</v>
      </c>
      <c r="C173" s="816">
        <f t="shared" si="14"/>
        <v>2947</v>
      </c>
      <c r="D173" s="815">
        <f t="shared" si="11"/>
        <v>2442</v>
      </c>
      <c r="E173" s="816">
        <f t="shared" si="15"/>
        <v>2402.62</v>
      </c>
      <c r="F173" s="813">
        <f t="shared" si="13"/>
        <v>2442450.5000000149</v>
      </c>
      <c r="G173" s="816">
        <f>ROUND((SUM(F161:F173)/13),2)</f>
        <v>2402627.9</v>
      </c>
    </row>
    <row r="174" spans="1:7" ht="15" hidden="1" outlineLevel="1">
      <c r="A174" s="820">
        <v>42124</v>
      </c>
      <c r="B174" s="815">
        <v>2947</v>
      </c>
      <c r="C174" s="816">
        <f t="shared" si="14"/>
        <v>2947</v>
      </c>
      <c r="D174" s="815">
        <f t="shared" si="11"/>
        <v>2449</v>
      </c>
      <c r="E174" s="816">
        <f t="shared" si="15"/>
        <v>2409.23</v>
      </c>
      <c r="F174" s="813">
        <f t="shared" si="13"/>
        <v>2449087.600000015</v>
      </c>
      <c r="G174" s="816">
        <f>ROUND((SUM(F162:F174)/13),2)</f>
        <v>2409265</v>
      </c>
    </row>
    <row r="175" spans="1:7" ht="15" hidden="1" outlineLevel="1">
      <c r="A175" s="820">
        <v>42155</v>
      </c>
      <c r="B175" s="815">
        <v>2947</v>
      </c>
      <c r="C175" s="816">
        <f t="shared" si="14"/>
        <v>2947</v>
      </c>
      <c r="D175" s="815">
        <f t="shared" ref="D175:D179" si="17">ROUND(F175/1000,0)</f>
        <v>2456</v>
      </c>
      <c r="E175" s="816">
        <f t="shared" si="15"/>
        <v>2415.92</v>
      </c>
      <c r="F175" s="813">
        <f t="shared" ref="F175:F238" si="18">F174+6637.1</f>
        <v>2455724.7000000151</v>
      </c>
      <c r="G175" s="816">
        <f>ROUND((SUM(F163:F175)/13),2)</f>
        <v>2415902.1</v>
      </c>
    </row>
    <row r="176" spans="1:7" ht="15" hidden="1" outlineLevel="1">
      <c r="A176" s="820">
        <v>42185</v>
      </c>
      <c r="B176" s="815">
        <v>2947</v>
      </c>
      <c r="C176" s="816">
        <f t="shared" si="14"/>
        <v>2947</v>
      </c>
      <c r="D176" s="815">
        <f t="shared" si="17"/>
        <v>2462</v>
      </c>
      <c r="E176" s="816">
        <f t="shared" si="15"/>
        <v>2422.54</v>
      </c>
      <c r="F176" s="813">
        <f t="shared" si="18"/>
        <v>2462361.8000000152</v>
      </c>
      <c r="G176" s="816">
        <f t="shared" ref="G176:G239" si="19">ROUND((SUM(F164:F176)/13),2)</f>
        <v>2422539.2000000002</v>
      </c>
    </row>
    <row r="177" spans="1:7" ht="15" hidden="1" outlineLevel="1">
      <c r="A177" s="820">
        <v>42216</v>
      </c>
      <c r="B177" s="815">
        <v>2947</v>
      </c>
      <c r="C177" s="816">
        <f t="shared" si="14"/>
        <v>2947</v>
      </c>
      <c r="D177" s="815">
        <f t="shared" si="17"/>
        <v>2469</v>
      </c>
      <c r="E177" s="816">
        <f t="shared" si="15"/>
        <v>2429.15</v>
      </c>
      <c r="F177" s="813">
        <f t="shared" si="18"/>
        <v>2468998.9000000153</v>
      </c>
      <c r="G177" s="816">
        <f t="shared" si="19"/>
        <v>2429176.2999999998</v>
      </c>
    </row>
    <row r="178" spans="1:7" ht="15" hidden="1" outlineLevel="1">
      <c r="A178" s="820">
        <v>42247</v>
      </c>
      <c r="B178" s="815">
        <v>2947</v>
      </c>
      <c r="C178" s="816">
        <f t="shared" si="14"/>
        <v>2947</v>
      </c>
      <c r="D178" s="815">
        <f t="shared" si="17"/>
        <v>2476</v>
      </c>
      <c r="E178" s="816">
        <f t="shared" si="15"/>
        <v>2435.85</v>
      </c>
      <c r="F178" s="813">
        <f t="shared" si="18"/>
        <v>2475636.0000000154</v>
      </c>
      <c r="G178" s="816">
        <f t="shared" si="19"/>
        <v>2435813.4</v>
      </c>
    </row>
    <row r="179" spans="1:7" ht="15" hidden="1" outlineLevel="1">
      <c r="A179" s="820">
        <v>42277</v>
      </c>
      <c r="B179" s="815">
        <v>2947</v>
      </c>
      <c r="C179" s="816">
        <f t="shared" si="14"/>
        <v>2947</v>
      </c>
      <c r="D179" s="815">
        <f t="shared" si="17"/>
        <v>2482</v>
      </c>
      <c r="E179" s="816">
        <f t="shared" si="15"/>
        <v>2442.46</v>
      </c>
      <c r="F179" s="813">
        <f t="shared" si="18"/>
        <v>2482273.1000000155</v>
      </c>
      <c r="G179" s="816">
        <f t="shared" si="19"/>
        <v>2442450.5</v>
      </c>
    </row>
    <row r="180" spans="1:7" ht="15" hidden="1" outlineLevel="1">
      <c r="A180" s="820">
        <v>42308</v>
      </c>
      <c r="B180" s="815">
        <v>2947</v>
      </c>
      <c r="C180" s="816">
        <f t="shared" si="14"/>
        <v>2947</v>
      </c>
      <c r="D180" s="815">
        <f>ROUND(F180/1000,0)</f>
        <v>2489</v>
      </c>
      <c r="E180" s="816">
        <f t="shared" si="15"/>
        <v>2449.08</v>
      </c>
      <c r="F180" s="813">
        <f t="shared" si="18"/>
        <v>2488910.2000000156</v>
      </c>
      <c r="G180" s="816">
        <f t="shared" si="19"/>
        <v>2449087.6</v>
      </c>
    </row>
    <row r="181" spans="1:7" ht="15" hidden="1" outlineLevel="1">
      <c r="A181" s="820">
        <v>42338</v>
      </c>
      <c r="B181" s="815">
        <v>2947</v>
      </c>
      <c r="C181" s="816">
        <f t="shared" si="14"/>
        <v>2947</v>
      </c>
      <c r="D181" s="815">
        <f>ROUND(F181/1000,0)</f>
        <v>2496</v>
      </c>
      <c r="E181" s="816">
        <f t="shared" si="15"/>
        <v>2455.77</v>
      </c>
      <c r="F181" s="813">
        <f t="shared" si="18"/>
        <v>2495547.3000000156</v>
      </c>
      <c r="G181" s="816">
        <f t="shared" si="19"/>
        <v>2455724.7000000002</v>
      </c>
    </row>
    <row r="182" spans="1:7" ht="15" hidden="1" outlineLevel="1">
      <c r="A182" s="820">
        <v>42369</v>
      </c>
      <c r="B182" s="815">
        <v>2947</v>
      </c>
      <c r="C182" s="816">
        <f t="shared" si="14"/>
        <v>2947</v>
      </c>
      <c r="D182" s="815">
        <f>ROUND(F182/1000,0)</f>
        <v>2502</v>
      </c>
      <c r="E182" s="816">
        <f t="shared" si="15"/>
        <v>2462.38</v>
      </c>
      <c r="F182" s="813">
        <f t="shared" si="18"/>
        <v>2502184.4000000157</v>
      </c>
      <c r="G182" s="816">
        <f t="shared" si="19"/>
        <v>2462361.7999999998</v>
      </c>
    </row>
    <row r="183" spans="1:7" ht="15" hidden="1" outlineLevel="1">
      <c r="A183" s="820">
        <v>42400</v>
      </c>
      <c r="B183" s="815">
        <v>2947</v>
      </c>
      <c r="C183" s="816">
        <f t="shared" si="14"/>
        <v>2947</v>
      </c>
      <c r="D183" s="815">
        <f t="shared" ref="D183:D242" si="20">ROUND(F183/1000,0)</f>
        <v>2509</v>
      </c>
      <c r="E183" s="816">
        <f t="shared" si="15"/>
        <v>2469</v>
      </c>
      <c r="F183" s="813">
        <f t="shared" si="18"/>
        <v>2508821.5000000158</v>
      </c>
      <c r="G183" s="816">
        <f t="shared" si="19"/>
        <v>2468998.9</v>
      </c>
    </row>
    <row r="184" spans="1:7" ht="15" hidden="1" outlineLevel="1">
      <c r="A184" s="820">
        <v>42429</v>
      </c>
      <c r="B184" s="815">
        <v>2947</v>
      </c>
      <c r="C184" s="816">
        <f t="shared" si="14"/>
        <v>2947</v>
      </c>
      <c r="D184" s="815">
        <f t="shared" si="20"/>
        <v>2515</v>
      </c>
      <c r="E184" s="816">
        <f t="shared" si="15"/>
        <v>2475.62</v>
      </c>
      <c r="F184" s="813">
        <f t="shared" si="18"/>
        <v>2515458.6000000159</v>
      </c>
      <c r="G184" s="816">
        <f t="shared" si="19"/>
        <v>2475636</v>
      </c>
    </row>
    <row r="185" spans="1:7" ht="15" hidden="1" outlineLevel="1">
      <c r="A185" s="820">
        <v>42460</v>
      </c>
      <c r="B185" s="815">
        <v>2947</v>
      </c>
      <c r="C185" s="816">
        <f t="shared" si="14"/>
        <v>2947</v>
      </c>
      <c r="D185" s="815">
        <f t="shared" si="20"/>
        <v>2522</v>
      </c>
      <c r="E185" s="816">
        <f t="shared" si="15"/>
        <v>2482.23</v>
      </c>
      <c r="F185" s="813">
        <f t="shared" si="18"/>
        <v>2522095.700000016</v>
      </c>
      <c r="G185" s="816">
        <f t="shared" si="19"/>
        <v>2482273.1</v>
      </c>
    </row>
    <row r="186" spans="1:7" ht="15" hidden="1" outlineLevel="1">
      <c r="A186" s="820">
        <v>42490</v>
      </c>
      <c r="B186" s="815">
        <v>2947</v>
      </c>
      <c r="C186" s="816">
        <f t="shared" si="14"/>
        <v>2947</v>
      </c>
      <c r="D186" s="815">
        <f t="shared" si="20"/>
        <v>2529</v>
      </c>
      <c r="E186" s="816">
        <f t="shared" si="15"/>
        <v>2488.92</v>
      </c>
      <c r="F186" s="813">
        <f t="shared" si="18"/>
        <v>2528732.8000000161</v>
      </c>
      <c r="G186" s="816">
        <f t="shared" si="19"/>
        <v>2488910.2000000002</v>
      </c>
    </row>
    <row r="187" spans="1:7" ht="15" hidden="1" outlineLevel="1">
      <c r="A187" s="820">
        <v>42521</v>
      </c>
      <c r="B187" s="815">
        <v>2947</v>
      </c>
      <c r="C187" s="816">
        <f t="shared" si="14"/>
        <v>2947</v>
      </c>
      <c r="D187" s="815">
        <f t="shared" si="20"/>
        <v>2535</v>
      </c>
      <c r="E187" s="816">
        <f t="shared" si="15"/>
        <v>2495.54</v>
      </c>
      <c r="F187" s="813">
        <f t="shared" si="18"/>
        <v>2535369.9000000162</v>
      </c>
      <c r="G187" s="816">
        <f t="shared" si="19"/>
        <v>2495547.2999999998</v>
      </c>
    </row>
    <row r="188" spans="1:7" ht="15" hidden="1" outlineLevel="1">
      <c r="A188" s="820">
        <v>42551</v>
      </c>
      <c r="B188" s="815">
        <v>2947</v>
      </c>
      <c r="C188" s="816">
        <f t="shared" si="14"/>
        <v>2947</v>
      </c>
      <c r="D188" s="815">
        <f t="shared" si="20"/>
        <v>2542</v>
      </c>
      <c r="E188" s="816">
        <f t="shared" si="15"/>
        <v>2502.15</v>
      </c>
      <c r="F188" s="813">
        <f t="shared" si="18"/>
        <v>2542007.0000000163</v>
      </c>
      <c r="G188" s="816">
        <f t="shared" si="19"/>
        <v>2502184.4</v>
      </c>
    </row>
    <row r="189" spans="1:7" ht="15" hidden="1" outlineLevel="1">
      <c r="A189" s="820">
        <v>42582</v>
      </c>
      <c r="B189" s="815">
        <v>2947</v>
      </c>
      <c r="C189" s="816">
        <f t="shared" si="14"/>
        <v>2947</v>
      </c>
      <c r="D189" s="815">
        <f t="shared" si="20"/>
        <v>2549</v>
      </c>
      <c r="E189" s="816">
        <f t="shared" si="15"/>
        <v>2508.85</v>
      </c>
      <c r="F189" s="813">
        <f t="shared" si="18"/>
        <v>2548644.1000000164</v>
      </c>
      <c r="G189" s="816">
        <f t="shared" si="19"/>
        <v>2508821.5</v>
      </c>
    </row>
    <row r="190" spans="1:7" ht="15" hidden="1" outlineLevel="1">
      <c r="A190" s="820">
        <v>42613</v>
      </c>
      <c r="B190" s="815">
        <v>2947</v>
      </c>
      <c r="C190" s="816">
        <f t="shared" si="14"/>
        <v>2947</v>
      </c>
      <c r="D190" s="815">
        <f t="shared" si="20"/>
        <v>2555</v>
      </c>
      <c r="E190" s="816">
        <f t="shared" si="15"/>
        <v>2515.46</v>
      </c>
      <c r="F190" s="813">
        <f t="shared" si="18"/>
        <v>2555281.2000000165</v>
      </c>
      <c r="G190" s="816">
        <f t="shared" si="19"/>
        <v>2515458.6</v>
      </c>
    </row>
    <row r="191" spans="1:7" ht="15" hidden="1" outlineLevel="1">
      <c r="A191" s="820">
        <v>42643</v>
      </c>
      <c r="B191" s="815">
        <v>2947</v>
      </c>
      <c r="C191" s="816">
        <f t="shared" si="14"/>
        <v>2947</v>
      </c>
      <c r="D191" s="815">
        <f t="shared" si="20"/>
        <v>2562</v>
      </c>
      <c r="E191" s="816">
        <f t="shared" si="15"/>
        <v>2522.08</v>
      </c>
      <c r="F191" s="813">
        <f t="shared" si="18"/>
        <v>2561918.3000000166</v>
      </c>
      <c r="G191" s="816">
        <f t="shared" si="19"/>
        <v>2522095.7000000002</v>
      </c>
    </row>
    <row r="192" spans="1:7" ht="15" hidden="1" outlineLevel="1">
      <c r="A192" s="820">
        <v>42674</v>
      </c>
      <c r="B192" s="815">
        <v>2947</v>
      </c>
      <c r="C192" s="816">
        <f t="shared" si="14"/>
        <v>2947</v>
      </c>
      <c r="D192" s="815">
        <f t="shared" si="20"/>
        <v>2569</v>
      </c>
      <c r="E192" s="816">
        <f t="shared" si="15"/>
        <v>2528.77</v>
      </c>
      <c r="F192" s="813">
        <f t="shared" si="18"/>
        <v>2568555.4000000167</v>
      </c>
      <c r="G192" s="816">
        <f t="shared" si="19"/>
        <v>2528732.7999999998</v>
      </c>
    </row>
    <row r="193" spans="1:7" ht="15" hidden="1" outlineLevel="1">
      <c r="A193" s="820">
        <v>42704</v>
      </c>
      <c r="B193" s="815">
        <v>2947</v>
      </c>
      <c r="C193" s="816">
        <f t="shared" si="14"/>
        <v>2947</v>
      </c>
      <c r="D193" s="815">
        <f t="shared" si="20"/>
        <v>2575</v>
      </c>
      <c r="E193" s="816">
        <f t="shared" si="15"/>
        <v>2535.38</v>
      </c>
      <c r="F193" s="813">
        <f t="shared" si="18"/>
        <v>2575192.5000000168</v>
      </c>
      <c r="G193" s="816">
        <f t="shared" si="19"/>
        <v>2535369.9</v>
      </c>
    </row>
    <row r="194" spans="1:7" ht="15" hidden="1" outlineLevel="1">
      <c r="A194" s="820">
        <v>42735</v>
      </c>
      <c r="B194" s="815">
        <v>2947</v>
      </c>
      <c r="C194" s="816">
        <f t="shared" si="14"/>
        <v>2947</v>
      </c>
      <c r="D194" s="815">
        <f t="shared" si="20"/>
        <v>2582</v>
      </c>
      <c r="E194" s="816">
        <f t="shared" si="15"/>
        <v>2542</v>
      </c>
      <c r="F194" s="813">
        <f t="shared" si="18"/>
        <v>2581829.6000000169</v>
      </c>
      <c r="G194" s="816">
        <f t="shared" si="19"/>
        <v>2542007</v>
      </c>
    </row>
    <row r="195" spans="1:7" ht="15" hidden="1" outlineLevel="1">
      <c r="A195" s="820">
        <v>42766</v>
      </c>
      <c r="B195" s="815">
        <v>2947</v>
      </c>
      <c r="C195" s="816">
        <f t="shared" si="14"/>
        <v>2947</v>
      </c>
      <c r="D195" s="815">
        <f t="shared" si="20"/>
        <v>2588</v>
      </c>
      <c r="E195" s="816">
        <f t="shared" si="15"/>
        <v>2548.62</v>
      </c>
      <c r="F195" s="813">
        <f t="shared" si="18"/>
        <v>2588466.700000017</v>
      </c>
      <c r="G195" s="816">
        <f t="shared" si="19"/>
        <v>2548644.1</v>
      </c>
    </row>
    <row r="196" spans="1:7" ht="15" hidden="1" outlineLevel="1">
      <c r="A196" s="820">
        <v>42794</v>
      </c>
      <c r="B196" s="815">
        <v>2947</v>
      </c>
      <c r="C196" s="816">
        <f t="shared" si="14"/>
        <v>2947</v>
      </c>
      <c r="D196" s="815">
        <f t="shared" si="20"/>
        <v>2595</v>
      </c>
      <c r="E196" s="816">
        <f t="shared" si="15"/>
        <v>2555.23</v>
      </c>
      <c r="F196" s="813">
        <f t="shared" si="18"/>
        <v>2595103.800000017</v>
      </c>
      <c r="G196" s="816">
        <f t="shared" si="19"/>
        <v>2555281.2000000002</v>
      </c>
    </row>
    <row r="197" spans="1:7" ht="15" hidden="1" outlineLevel="1">
      <c r="A197" s="820">
        <v>42825</v>
      </c>
      <c r="B197" s="815">
        <v>2947</v>
      </c>
      <c r="C197" s="816">
        <f t="shared" si="14"/>
        <v>2947</v>
      </c>
      <c r="D197" s="815">
        <f t="shared" si="20"/>
        <v>2602</v>
      </c>
      <c r="E197" s="816">
        <f t="shared" si="15"/>
        <v>2561.92</v>
      </c>
      <c r="F197" s="813">
        <f t="shared" si="18"/>
        <v>2601740.9000000171</v>
      </c>
      <c r="G197" s="816">
        <f t="shared" si="19"/>
        <v>2561918.2999999998</v>
      </c>
    </row>
    <row r="198" spans="1:7" ht="15" hidden="1" outlineLevel="1">
      <c r="A198" s="820">
        <v>42855</v>
      </c>
      <c r="B198" s="815">
        <v>2947</v>
      </c>
      <c r="C198" s="816">
        <f t="shared" si="14"/>
        <v>2947</v>
      </c>
      <c r="D198" s="815">
        <f t="shared" si="20"/>
        <v>2608</v>
      </c>
      <c r="E198" s="816">
        <f t="shared" si="15"/>
        <v>2568.54</v>
      </c>
      <c r="F198" s="813">
        <f t="shared" si="18"/>
        <v>2608378.0000000172</v>
      </c>
      <c r="G198" s="816">
        <f t="shared" si="19"/>
        <v>2568555.4</v>
      </c>
    </row>
    <row r="199" spans="1:7" ht="15" hidden="1" outlineLevel="1">
      <c r="A199" s="820">
        <v>42886</v>
      </c>
      <c r="B199" s="815">
        <v>2947</v>
      </c>
      <c r="C199" s="816">
        <f t="shared" ref="C199:C212" si="21">ROUND((SUM(B187:B199)/13),0)</f>
        <v>2947</v>
      </c>
      <c r="D199" s="815">
        <f t="shared" si="20"/>
        <v>2615</v>
      </c>
      <c r="E199" s="816">
        <f t="shared" ref="E199:E242" si="22">ROUND((SUM(D187:D199)/13),2)</f>
        <v>2575.15</v>
      </c>
      <c r="F199" s="813">
        <f t="shared" si="18"/>
        <v>2615015.1000000173</v>
      </c>
      <c r="G199" s="816">
        <f t="shared" si="19"/>
        <v>2575192.5</v>
      </c>
    </row>
    <row r="200" spans="1:7" ht="15" hidden="1" outlineLevel="1">
      <c r="A200" s="820">
        <v>42916</v>
      </c>
      <c r="B200" s="815">
        <v>2947</v>
      </c>
      <c r="C200" s="816">
        <f t="shared" si="21"/>
        <v>2947</v>
      </c>
      <c r="D200" s="815">
        <f t="shared" si="20"/>
        <v>2622</v>
      </c>
      <c r="E200" s="816">
        <f t="shared" si="22"/>
        <v>2581.85</v>
      </c>
      <c r="F200" s="813">
        <f t="shared" si="18"/>
        <v>2621652.2000000174</v>
      </c>
      <c r="G200" s="816">
        <f t="shared" si="19"/>
        <v>2581829.6</v>
      </c>
    </row>
    <row r="201" spans="1:7" ht="15" hidden="1" outlineLevel="1">
      <c r="A201" s="820">
        <v>42947</v>
      </c>
      <c r="B201" s="815">
        <v>2947</v>
      </c>
      <c r="C201" s="816">
        <f t="shared" si="21"/>
        <v>2947</v>
      </c>
      <c r="D201" s="815">
        <f t="shared" si="20"/>
        <v>2628</v>
      </c>
      <c r="E201" s="816">
        <f t="shared" si="22"/>
        <v>2588.46</v>
      </c>
      <c r="F201" s="813">
        <f t="shared" si="18"/>
        <v>2628289.3000000175</v>
      </c>
      <c r="G201" s="816">
        <f t="shared" si="19"/>
        <v>2588466.7000000002</v>
      </c>
    </row>
    <row r="202" spans="1:7" ht="15" hidden="1" outlineLevel="1">
      <c r="A202" s="820">
        <v>42978</v>
      </c>
      <c r="B202" s="815">
        <v>2947</v>
      </c>
      <c r="C202" s="816">
        <f t="shared" si="21"/>
        <v>2947</v>
      </c>
      <c r="D202" s="815">
        <f t="shared" si="20"/>
        <v>2635</v>
      </c>
      <c r="E202" s="816">
        <f t="shared" si="22"/>
        <v>2595.08</v>
      </c>
      <c r="F202" s="813">
        <f t="shared" si="18"/>
        <v>2634926.4000000176</v>
      </c>
      <c r="G202" s="816">
        <f t="shared" si="19"/>
        <v>2595103.7999999998</v>
      </c>
    </row>
    <row r="203" spans="1:7" ht="15" hidden="1" outlineLevel="1">
      <c r="A203" s="820">
        <v>43008</v>
      </c>
      <c r="B203" s="815">
        <v>2947</v>
      </c>
      <c r="C203" s="816">
        <f t="shared" si="21"/>
        <v>2947</v>
      </c>
      <c r="D203" s="815">
        <f t="shared" si="20"/>
        <v>2642</v>
      </c>
      <c r="E203" s="816">
        <f t="shared" si="22"/>
        <v>2601.77</v>
      </c>
      <c r="F203" s="813">
        <f t="shared" si="18"/>
        <v>2641563.5000000177</v>
      </c>
      <c r="G203" s="816">
        <f t="shared" si="19"/>
        <v>2601740.9</v>
      </c>
    </row>
    <row r="204" spans="1:7" ht="15" hidden="1" outlineLevel="1">
      <c r="A204" s="820">
        <v>43039</v>
      </c>
      <c r="B204" s="815">
        <v>2947</v>
      </c>
      <c r="C204" s="816">
        <f t="shared" si="21"/>
        <v>2947</v>
      </c>
      <c r="D204" s="815">
        <f t="shared" si="20"/>
        <v>2648</v>
      </c>
      <c r="E204" s="816">
        <f t="shared" si="22"/>
        <v>2608.38</v>
      </c>
      <c r="F204" s="813">
        <f t="shared" si="18"/>
        <v>2648200.6000000178</v>
      </c>
      <c r="G204" s="816">
        <f t="shared" si="19"/>
        <v>2608378</v>
      </c>
    </row>
    <row r="205" spans="1:7" ht="15" hidden="1" outlineLevel="1">
      <c r="A205" s="820">
        <v>43069</v>
      </c>
      <c r="B205" s="815">
        <v>2947</v>
      </c>
      <c r="C205" s="816">
        <f t="shared" si="21"/>
        <v>2947</v>
      </c>
      <c r="D205" s="815">
        <f t="shared" si="20"/>
        <v>2655</v>
      </c>
      <c r="E205" s="816">
        <f t="shared" si="22"/>
        <v>2615</v>
      </c>
      <c r="F205" s="813">
        <f t="shared" si="18"/>
        <v>2654837.7000000179</v>
      </c>
      <c r="G205" s="816">
        <f t="shared" si="19"/>
        <v>2615015.1</v>
      </c>
    </row>
    <row r="206" spans="1:7" ht="15" hidden="1" outlineLevel="1">
      <c r="A206" s="820">
        <v>43100</v>
      </c>
      <c r="B206" s="815">
        <v>2947</v>
      </c>
      <c r="C206" s="816">
        <f t="shared" si="21"/>
        <v>2947</v>
      </c>
      <c r="D206" s="815">
        <f t="shared" si="20"/>
        <v>2661</v>
      </c>
      <c r="E206" s="816">
        <f t="shared" si="22"/>
        <v>2621.62</v>
      </c>
      <c r="F206" s="813">
        <f t="shared" si="18"/>
        <v>2661474.800000018</v>
      </c>
      <c r="G206" s="816">
        <f t="shared" si="19"/>
        <v>2621652.2000000002</v>
      </c>
    </row>
    <row r="207" spans="1:7" ht="15" hidden="1" outlineLevel="1">
      <c r="A207" s="820">
        <v>43131</v>
      </c>
      <c r="B207" s="815">
        <v>2947</v>
      </c>
      <c r="C207" s="816">
        <f t="shared" si="21"/>
        <v>2947</v>
      </c>
      <c r="D207" s="815">
        <f t="shared" si="20"/>
        <v>2668</v>
      </c>
      <c r="E207" s="816">
        <f t="shared" si="22"/>
        <v>2628.23</v>
      </c>
      <c r="F207" s="813">
        <f t="shared" si="18"/>
        <v>2668111.9000000181</v>
      </c>
      <c r="G207" s="816">
        <f t="shared" si="19"/>
        <v>2628289.2999999998</v>
      </c>
    </row>
    <row r="208" spans="1:7" ht="15" hidden="1" outlineLevel="1">
      <c r="A208" s="820">
        <v>43159</v>
      </c>
      <c r="B208" s="815">
        <v>2947</v>
      </c>
      <c r="C208" s="816">
        <f t="shared" si="21"/>
        <v>2947</v>
      </c>
      <c r="D208" s="815">
        <f t="shared" si="20"/>
        <v>2675</v>
      </c>
      <c r="E208" s="816">
        <f t="shared" si="22"/>
        <v>2634.92</v>
      </c>
      <c r="F208" s="813">
        <f t="shared" si="18"/>
        <v>2674749.0000000182</v>
      </c>
      <c r="G208" s="816">
        <f t="shared" si="19"/>
        <v>2634926.4</v>
      </c>
    </row>
    <row r="209" spans="1:7" ht="15" hidden="1" outlineLevel="1">
      <c r="A209" s="820">
        <v>43190</v>
      </c>
      <c r="B209" s="815">
        <v>2947</v>
      </c>
      <c r="C209" s="816">
        <f t="shared" si="21"/>
        <v>2947</v>
      </c>
      <c r="D209" s="815">
        <f t="shared" si="20"/>
        <v>2681</v>
      </c>
      <c r="E209" s="816">
        <f t="shared" si="22"/>
        <v>2641.54</v>
      </c>
      <c r="F209" s="813">
        <f t="shared" si="18"/>
        <v>2681386.1000000183</v>
      </c>
      <c r="G209" s="816">
        <f t="shared" si="19"/>
        <v>2641563.5</v>
      </c>
    </row>
    <row r="210" spans="1:7" ht="15" hidden="1" outlineLevel="1">
      <c r="A210" s="820">
        <v>43220</v>
      </c>
      <c r="B210" s="815">
        <v>2947</v>
      </c>
      <c r="C210" s="816">
        <f t="shared" si="21"/>
        <v>2947</v>
      </c>
      <c r="D210" s="815">
        <f t="shared" si="20"/>
        <v>2688</v>
      </c>
      <c r="E210" s="816">
        <f t="shared" si="22"/>
        <v>2648.15</v>
      </c>
      <c r="F210" s="813">
        <f t="shared" si="18"/>
        <v>2688023.2000000183</v>
      </c>
      <c r="G210" s="816">
        <f t="shared" si="19"/>
        <v>2648200.6</v>
      </c>
    </row>
    <row r="211" spans="1:7" ht="15" hidden="1" outlineLevel="1">
      <c r="A211" s="820">
        <v>43251</v>
      </c>
      <c r="B211" s="815">
        <v>2947</v>
      </c>
      <c r="C211" s="816">
        <f t="shared" si="21"/>
        <v>2947</v>
      </c>
      <c r="D211" s="815">
        <f t="shared" si="20"/>
        <v>2695</v>
      </c>
      <c r="E211" s="816">
        <f t="shared" si="22"/>
        <v>2654.85</v>
      </c>
      <c r="F211" s="813">
        <f t="shared" si="18"/>
        <v>2694660.3000000184</v>
      </c>
      <c r="G211" s="816">
        <f t="shared" si="19"/>
        <v>2654837.7000000002</v>
      </c>
    </row>
    <row r="212" spans="1:7" ht="15" hidden="1" outlineLevel="1">
      <c r="A212" s="820">
        <v>43281</v>
      </c>
      <c r="B212" s="815">
        <v>2947</v>
      </c>
      <c r="C212" s="816">
        <f t="shared" si="21"/>
        <v>2947</v>
      </c>
      <c r="D212" s="815">
        <f t="shared" si="20"/>
        <v>2701</v>
      </c>
      <c r="E212" s="816">
        <f t="shared" si="22"/>
        <v>2661.46</v>
      </c>
      <c r="F212" s="813">
        <f t="shared" si="18"/>
        <v>2701297.4000000185</v>
      </c>
      <c r="G212" s="816">
        <f t="shared" si="19"/>
        <v>2661474.7999999998</v>
      </c>
    </row>
    <row r="213" spans="1:7" ht="15" hidden="1" outlineLevel="1">
      <c r="A213" s="820">
        <v>43312</v>
      </c>
      <c r="B213" s="815">
        <v>2947</v>
      </c>
      <c r="C213" s="816">
        <f>ROUND((SUM(B201:B213)/13),0)</f>
        <v>2947</v>
      </c>
      <c r="D213" s="815">
        <f t="shared" si="20"/>
        <v>2708</v>
      </c>
      <c r="E213" s="816">
        <f t="shared" si="22"/>
        <v>2668.08</v>
      </c>
      <c r="F213" s="813">
        <f t="shared" si="18"/>
        <v>2707934.5000000186</v>
      </c>
      <c r="G213" s="816">
        <f t="shared" si="19"/>
        <v>2668111.9</v>
      </c>
    </row>
    <row r="214" spans="1:7" ht="15" hidden="1" outlineLevel="1">
      <c r="A214" s="820">
        <v>43343</v>
      </c>
      <c r="B214" s="815">
        <v>2947</v>
      </c>
      <c r="C214" s="816">
        <f t="shared" ref="C214:C228" si="23">ROUND((SUM(B202:B214)/13),0)</f>
        <v>2947</v>
      </c>
      <c r="D214" s="815">
        <f t="shared" si="20"/>
        <v>2715</v>
      </c>
      <c r="E214" s="816">
        <f t="shared" si="22"/>
        <v>2674.77</v>
      </c>
      <c r="F214" s="813">
        <f t="shared" si="18"/>
        <v>2714571.6000000187</v>
      </c>
      <c r="G214" s="816">
        <f t="shared" si="19"/>
        <v>2674749</v>
      </c>
    </row>
    <row r="215" spans="1:7" ht="15" hidden="1" outlineLevel="1">
      <c r="A215" s="820">
        <v>43373</v>
      </c>
      <c r="B215" s="815">
        <v>2947</v>
      </c>
      <c r="C215" s="816">
        <f t="shared" si="23"/>
        <v>2947</v>
      </c>
      <c r="D215" s="815">
        <f t="shared" si="20"/>
        <v>2721</v>
      </c>
      <c r="E215" s="816">
        <f t="shared" si="22"/>
        <v>2681.38</v>
      </c>
      <c r="F215" s="813">
        <f t="shared" si="18"/>
        <v>2721208.7000000188</v>
      </c>
      <c r="G215" s="816">
        <f t="shared" si="19"/>
        <v>2681386.1</v>
      </c>
    </row>
    <row r="216" spans="1:7" ht="15" hidden="1" outlineLevel="1">
      <c r="A216" s="820">
        <v>43404</v>
      </c>
      <c r="B216" s="815">
        <v>2947</v>
      </c>
      <c r="C216" s="816">
        <f t="shared" si="23"/>
        <v>2947</v>
      </c>
      <c r="D216" s="815">
        <f t="shared" si="20"/>
        <v>2728</v>
      </c>
      <c r="E216" s="816">
        <f t="shared" si="22"/>
        <v>2688</v>
      </c>
      <c r="F216" s="813">
        <f t="shared" si="18"/>
        <v>2727845.8000000189</v>
      </c>
      <c r="G216" s="816">
        <f t="shared" si="19"/>
        <v>2688023.2</v>
      </c>
    </row>
    <row r="217" spans="1:7" ht="15" hidden="1" outlineLevel="1">
      <c r="A217" s="820">
        <v>43434</v>
      </c>
      <c r="B217" s="815">
        <v>2947</v>
      </c>
      <c r="C217" s="816">
        <f t="shared" si="23"/>
        <v>2947</v>
      </c>
      <c r="D217" s="815">
        <f t="shared" si="20"/>
        <v>2734</v>
      </c>
      <c r="E217" s="816">
        <f t="shared" si="22"/>
        <v>2694.62</v>
      </c>
      <c r="F217" s="813">
        <f t="shared" si="18"/>
        <v>2734482.900000019</v>
      </c>
      <c r="G217" s="816">
        <f t="shared" si="19"/>
        <v>2694660.3</v>
      </c>
    </row>
    <row r="218" spans="1:7" ht="15" hidden="1" outlineLevel="1">
      <c r="A218" s="820">
        <v>43465</v>
      </c>
      <c r="B218" s="815">
        <v>2947</v>
      </c>
      <c r="C218" s="816">
        <f t="shared" si="23"/>
        <v>2947</v>
      </c>
      <c r="D218" s="815">
        <f t="shared" si="20"/>
        <v>2741</v>
      </c>
      <c r="E218" s="816">
        <f t="shared" si="22"/>
        <v>2701.23</v>
      </c>
      <c r="F218" s="813">
        <f t="shared" si="18"/>
        <v>2741120.0000000191</v>
      </c>
      <c r="G218" s="816">
        <f t="shared" si="19"/>
        <v>2701297.4</v>
      </c>
    </row>
    <row r="219" spans="1:7" ht="15" hidden="1" outlineLevel="1">
      <c r="A219" s="820">
        <v>43496</v>
      </c>
      <c r="B219" s="815">
        <v>2947</v>
      </c>
      <c r="C219" s="816">
        <f t="shared" si="23"/>
        <v>2947</v>
      </c>
      <c r="D219" s="815">
        <f t="shared" si="20"/>
        <v>2748</v>
      </c>
      <c r="E219" s="816">
        <f t="shared" si="22"/>
        <v>2707.92</v>
      </c>
      <c r="F219" s="813">
        <f t="shared" si="18"/>
        <v>2747757.1000000192</v>
      </c>
      <c r="G219" s="816">
        <f t="shared" si="19"/>
        <v>2707934.5</v>
      </c>
    </row>
    <row r="220" spans="1:7" ht="15" hidden="1" outlineLevel="1">
      <c r="A220" s="820">
        <v>43524</v>
      </c>
      <c r="B220" s="815">
        <v>2947</v>
      </c>
      <c r="C220" s="816">
        <f t="shared" si="23"/>
        <v>2947</v>
      </c>
      <c r="D220" s="815">
        <f t="shared" si="20"/>
        <v>2754</v>
      </c>
      <c r="E220" s="816">
        <f t="shared" si="22"/>
        <v>2714.54</v>
      </c>
      <c r="F220" s="813">
        <f t="shared" si="18"/>
        <v>2754394.2000000193</v>
      </c>
      <c r="G220" s="816">
        <f t="shared" si="19"/>
        <v>2714571.6</v>
      </c>
    </row>
    <row r="221" spans="1:7" ht="15" hidden="1" outlineLevel="1">
      <c r="A221" s="820">
        <v>43555</v>
      </c>
      <c r="B221" s="815">
        <v>2947</v>
      </c>
      <c r="C221" s="816">
        <f t="shared" si="23"/>
        <v>2947</v>
      </c>
      <c r="D221" s="815">
        <f t="shared" si="20"/>
        <v>2761</v>
      </c>
      <c r="E221" s="816">
        <f t="shared" si="22"/>
        <v>2721.15</v>
      </c>
      <c r="F221" s="813">
        <f t="shared" si="18"/>
        <v>2761031.3000000194</v>
      </c>
      <c r="G221" s="816">
        <f t="shared" si="19"/>
        <v>2721208.7</v>
      </c>
    </row>
    <row r="222" spans="1:7" ht="15" hidden="1" outlineLevel="1">
      <c r="A222" s="820">
        <v>43585</v>
      </c>
      <c r="B222" s="815">
        <v>2947</v>
      </c>
      <c r="C222" s="816">
        <f t="shared" si="23"/>
        <v>2947</v>
      </c>
      <c r="D222" s="815">
        <f t="shared" si="20"/>
        <v>2768</v>
      </c>
      <c r="E222" s="816">
        <f t="shared" si="22"/>
        <v>2727.85</v>
      </c>
      <c r="F222" s="813">
        <f t="shared" si="18"/>
        <v>2767668.4000000195</v>
      </c>
      <c r="G222" s="816">
        <f t="shared" si="19"/>
        <v>2727845.8</v>
      </c>
    </row>
    <row r="223" spans="1:7" ht="15" hidden="1" outlineLevel="1">
      <c r="A223" s="820">
        <v>43616</v>
      </c>
      <c r="B223" s="815">
        <v>2947</v>
      </c>
      <c r="C223" s="816">
        <f t="shared" si="23"/>
        <v>2947</v>
      </c>
      <c r="D223" s="815">
        <f t="shared" si="20"/>
        <v>2774</v>
      </c>
      <c r="E223" s="816">
        <f t="shared" si="22"/>
        <v>2734.46</v>
      </c>
      <c r="F223" s="813">
        <f t="shared" si="18"/>
        <v>2774305.5000000196</v>
      </c>
      <c r="G223" s="816">
        <f t="shared" si="19"/>
        <v>2734482.9</v>
      </c>
    </row>
    <row r="224" spans="1:7" ht="15" collapsed="1">
      <c r="A224" s="820">
        <v>43646</v>
      </c>
      <c r="B224" s="815">
        <v>2947</v>
      </c>
      <c r="C224" s="816">
        <f t="shared" si="23"/>
        <v>2947</v>
      </c>
      <c r="D224" s="815">
        <f t="shared" si="20"/>
        <v>2781</v>
      </c>
      <c r="E224" s="816">
        <f t="shared" si="22"/>
        <v>2741.08</v>
      </c>
      <c r="F224" s="813">
        <f t="shared" si="18"/>
        <v>2780942.6000000197</v>
      </c>
      <c r="G224" s="816">
        <f t="shared" si="19"/>
        <v>2741120</v>
      </c>
    </row>
    <row r="225" spans="1:13" ht="15">
      <c r="A225" s="820">
        <v>43677</v>
      </c>
      <c r="B225" s="815">
        <v>2947</v>
      </c>
      <c r="C225" s="816">
        <f t="shared" si="23"/>
        <v>2947</v>
      </c>
      <c r="D225" s="815">
        <f t="shared" si="20"/>
        <v>2788</v>
      </c>
      <c r="E225" s="816">
        <f t="shared" si="22"/>
        <v>2747.77</v>
      </c>
      <c r="F225" s="813">
        <f t="shared" si="18"/>
        <v>2787579.7000000197</v>
      </c>
      <c r="G225" s="816">
        <f t="shared" si="19"/>
        <v>2747757.1</v>
      </c>
      <c r="L225" s="821">
        <f>5031897.24-F12</f>
        <v>3644745.64</v>
      </c>
      <c r="M225" s="808" t="s">
        <v>395</v>
      </c>
    </row>
    <row r="226" spans="1:13" ht="15">
      <c r="A226" s="820">
        <v>43708</v>
      </c>
      <c r="B226" s="815">
        <v>2947</v>
      </c>
      <c r="C226" s="816">
        <f t="shared" si="23"/>
        <v>2947</v>
      </c>
      <c r="D226" s="815">
        <f t="shared" si="20"/>
        <v>2794</v>
      </c>
      <c r="E226" s="816">
        <f t="shared" si="22"/>
        <v>2754.38</v>
      </c>
      <c r="F226" s="813">
        <f t="shared" si="18"/>
        <v>2794216.8000000198</v>
      </c>
      <c r="G226" s="816">
        <f t="shared" si="19"/>
        <v>2754394.2</v>
      </c>
      <c r="L226" s="821">
        <f>5031897.24-5005041.43</f>
        <v>26855.810000000522</v>
      </c>
      <c r="M226" s="808" t="s">
        <v>396</v>
      </c>
    </row>
    <row r="227" spans="1:13" ht="15">
      <c r="A227" s="820">
        <v>43738</v>
      </c>
      <c r="B227" s="815">
        <v>2947</v>
      </c>
      <c r="C227" s="816">
        <f t="shared" si="23"/>
        <v>2947</v>
      </c>
      <c r="D227" s="815">
        <f t="shared" si="20"/>
        <v>2801</v>
      </c>
      <c r="E227" s="816">
        <f t="shared" si="22"/>
        <v>2761</v>
      </c>
      <c r="F227" s="813">
        <f t="shared" si="18"/>
        <v>2800853.9000000199</v>
      </c>
      <c r="G227" s="816">
        <f t="shared" si="19"/>
        <v>2761031.3</v>
      </c>
      <c r="L227" s="821">
        <f>+L226+(5949.73*3)</f>
        <v>44705.000000000524</v>
      </c>
      <c r="M227" s="808" t="s">
        <v>397</v>
      </c>
    </row>
    <row r="228" spans="1:13" ht="15">
      <c r="A228" s="820">
        <v>43769</v>
      </c>
      <c r="B228" s="815">
        <v>2947</v>
      </c>
      <c r="C228" s="816">
        <f t="shared" si="23"/>
        <v>2947</v>
      </c>
      <c r="D228" s="815">
        <f t="shared" si="20"/>
        <v>2807</v>
      </c>
      <c r="E228" s="816">
        <f t="shared" si="22"/>
        <v>2767.62</v>
      </c>
      <c r="F228" s="813">
        <f t="shared" si="18"/>
        <v>2807491.00000002</v>
      </c>
      <c r="G228" s="816">
        <f t="shared" si="19"/>
        <v>2767668.4</v>
      </c>
      <c r="L228" s="821"/>
    </row>
    <row r="229" spans="1:13" ht="15">
      <c r="A229" s="820">
        <v>43799</v>
      </c>
      <c r="B229" s="815">
        <v>2947</v>
      </c>
      <c r="C229" s="816">
        <f>ROUND((SUM(B217:B229)/13),0)</f>
        <v>2947</v>
      </c>
      <c r="D229" s="815">
        <f t="shared" si="20"/>
        <v>2814</v>
      </c>
      <c r="E229" s="816">
        <f t="shared" si="22"/>
        <v>2774.23</v>
      </c>
      <c r="F229" s="813">
        <f t="shared" si="18"/>
        <v>2814128.1000000201</v>
      </c>
      <c r="G229" s="816">
        <f t="shared" si="19"/>
        <v>2774305.5</v>
      </c>
      <c r="L229" s="821">
        <v>2946879</v>
      </c>
      <c r="M229" s="808" t="s">
        <v>398</v>
      </c>
    </row>
    <row r="230" spans="1:13" ht="15">
      <c r="A230" s="820">
        <v>43830</v>
      </c>
      <c r="B230" s="815">
        <v>2947</v>
      </c>
      <c r="C230" s="816">
        <f t="shared" ref="C230:C239" si="24">ROUND((SUM(B218:B230)/13),0)</f>
        <v>2947</v>
      </c>
      <c r="D230" s="815">
        <f t="shared" si="20"/>
        <v>2821</v>
      </c>
      <c r="E230" s="816">
        <f t="shared" si="22"/>
        <v>2780.92</v>
      </c>
      <c r="F230" s="813">
        <f t="shared" si="18"/>
        <v>2820765.2000000202</v>
      </c>
      <c r="G230" s="816">
        <f t="shared" si="19"/>
        <v>2780942.6</v>
      </c>
      <c r="L230" s="821"/>
    </row>
    <row r="231" spans="1:13" ht="15">
      <c r="A231" s="820">
        <v>43861</v>
      </c>
      <c r="B231" s="815">
        <v>2947</v>
      </c>
      <c r="C231" s="816">
        <f t="shared" si="24"/>
        <v>2947</v>
      </c>
      <c r="D231" s="815">
        <f t="shared" si="20"/>
        <v>2827</v>
      </c>
      <c r="E231" s="816">
        <f t="shared" si="22"/>
        <v>2787.54</v>
      </c>
      <c r="F231" s="813">
        <f t="shared" si="18"/>
        <v>2827402.3000000203</v>
      </c>
      <c r="G231" s="816">
        <f t="shared" si="19"/>
        <v>2787579.7</v>
      </c>
    </row>
    <row r="232" spans="1:13" ht="15">
      <c r="A232" s="820">
        <v>43890</v>
      </c>
      <c r="B232" s="815">
        <v>2947</v>
      </c>
      <c r="C232" s="816">
        <f t="shared" si="24"/>
        <v>2947</v>
      </c>
      <c r="D232" s="815">
        <f t="shared" si="20"/>
        <v>2834</v>
      </c>
      <c r="E232" s="816">
        <f t="shared" si="22"/>
        <v>2794.15</v>
      </c>
      <c r="F232" s="813">
        <f t="shared" si="18"/>
        <v>2834039.4000000204</v>
      </c>
      <c r="G232" s="816">
        <f t="shared" si="19"/>
        <v>2794216.8</v>
      </c>
    </row>
    <row r="233" spans="1:13" ht="15">
      <c r="A233" s="820">
        <v>43921</v>
      </c>
      <c r="B233" s="815">
        <v>2947</v>
      </c>
      <c r="C233" s="816">
        <f t="shared" si="24"/>
        <v>2947</v>
      </c>
      <c r="D233" s="815">
        <f t="shared" si="20"/>
        <v>2841</v>
      </c>
      <c r="E233" s="816">
        <f t="shared" si="22"/>
        <v>2800.85</v>
      </c>
      <c r="F233" s="813">
        <f t="shared" si="18"/>
        <v>2840676.5000000205</v>
      </c>
      <c r="G233" s="816">
        <f t="shared" si="19"/>
        <v>2800853.9</v>
      </c>
    </row>
    <row r="234" spans="1:13" ht="15">
      <c r="A234" s="820">
        <v>43951</v>
      </c>
      <c r="B234" s="815">
        <v>2947</v>
      </c>
      <c r="C234" s="816">
        <f t="shared" si="24"/>
        <v>2947</v>
      </c>
      <c r="D234" s="815">
        <f t="shared" si="20"/>
        <v>2847</v>
      </c>
      <c r="E234" s="816">
        <f t="shared" si="22"/>
        <v>2807.46</v>
      </c>
      <c r="F234" s="813">
        <f t="shared" si="18"/>
        <v>2847313.6000000206</v>
      </c>
      <c r="G234" s="816">
        <f t="shared" si="19"/>
        <v>2807491</v>
      </c>
    </row>
    <row r="235" spans="1:13" ht="15">
      <c r="A235" s="820">
        <v>43982</v>
      </c>
      <c r="B235" s="815">
        <v>2947</v>
      </c>
      <c r="C235" s="816">
        <f t="shared" si="24"/>
        <v>2947</v>
      </c>
      <c r="D235" s="815">
        <f t="shared" si="20"/>
        <v>2854</v>
      </c>
      <c r="E235" s="816">
        <f t="shared" si="22"/>
        <v>2814.08</v>
      </c>
      <c r="F235" s="813">
        <f t="shared" si="18"/>
        <v>2853950.7000000207</v>
      </c>
      <c r="G235" s="816">
        <f t="shared" si="19"/>
        <v>2814128.1</v>
      </c>
    </row>
    <row r="236" spans="1:13" ht="15">
      <c r="A236" s="820">
        <v>44012</v>
      </c>
      <c r="B236" s="815">
        <v>2947</v>
      </c>
      <c r="C236" s="816">
        <f t="shared" si="24"/>
        <v>2947</v>
      </c>
      <c r="D236" s="815">
        <f t="shared" si="20"/>
        <v>2861</v>
      </c>
      <c r="E236" s="816">
        <f t="shared" si="22"/>
        <v>2820.77</v>
      </c>
      <c r="F236" s="813">
        <f t="shared" si="18"/>
        <v>2860587.8000000208</v>
      </c>
      <c r="G236" s="816">
        <f t="shared" si="19"/>
        <v>2820765.2</v>
      </c>
    </row>
    <row r="237" spans="1:13" ht="15">
      <c r="A237" s="820">
        <v>44043</v>
      </c>
      <c r="B237" s="815">
        <v>2947</v>
      </c>
      <c r="C237" s="816">
        <f t="shared" si="24"/>
        <v>2947</v>
      </c>
      <c r="D237" s="815">
        <f t="shared" si="20"/>
        <v>2867</v>
      </c>
      <c r="E237" s="816">
        <f t="shared" si="22"/>
        <v>2827.38</v>
      </c>
      <c r="F237" s="813">
        <f t="shared" si="18"/>
        <v>2867224.9000000209</v>
      </c>
      <c r="G237" s="816">
        <f t="shared" si="19"/>
        <v>2827402.3</v>
      </c>
    </row>
    <row r="238" spans="1:13" ht="15">
      <c r="A238" s="820">
        <v>44074</v>
      </c>
      <c r="B238" s="815">
        <v>2947</v>
      </c>
      <c r="C238" s="816">
        <f t="shared" si="24"/>
        <v>2947</v>
      </c>
      <c r="D238" s="815">
        <f t="shared" si="20"/>
        <v>2874</v>
      </c>
      <c r="E238" s="816">
        <f t="shared" si="22"/>
        <v>2834</v>
      </c>
      <c r="F238" s="813">
        <f t="shared" si="18"/>
        <v>2873862.000000021</v>
      </c>
      <c r="G238" s="816">
        <f t="shared" si="19"/>
        <v>2834039.4</v>
      </c>
    </row>
    <row r="239" spans="1:13" ht="15">
      <c r="A239" s="820">
        <v>44104</v>
      </c>
      <c r="B239" s="815">
        <v>2947</v>
      </c>
      <c r="C239" s="816">
        <f t="shared" si="24"/>
        <v>2947</v>
      </c>
      <c r="D239" s="815">
        <f t="shared" si="20"/>
        <v>2880</v>
      </c>
      <c r="E239" s="816">
        <f t="shared" si="22"/>
        <v>2840.62</v>
      </c>
      <c r="F239" s="813">
        <f t="shared" ref="F239" si="25">F238+6637.1</f>
        <v>2880499.100000021</v>
      </c>
      <c r="G239" s="816">
        <f t="shared" si="19"/>
        <v>2840676.5</v>
      </c>
    </row>
    <row r="240" spans="1:13" ht="15">
      <c r="A240" s="820">
        <v>44135</v>
      </c>
      <c r="B240" s="815">
        <v>2947</v>
      </c>
      <c r="C240" s="816">
        <f t="shared" ref="C240:C249" si="26">ROUND((SUM(B228:B240)/13),0)</f>
        <v>2947</v>
      </c>
      <c r="D240" s="815">
        <f t="shared" si="20"/>
        <v>2887</v>
      </c>
      <c r="E240" s="816">
        <f t="shared" si="22"/>
        <v>2847.23</v>
      </c>
      <c r="F240" s="813">
        <f>F239+6637.1</f>
        <v>2887136.2000000211</v>
      </c>
      <c r="G240" s="816">
        <f t="shared" ref="G240:G249" si="27">ROUND((SUM(F228:F240)/13),2)</f>
        <v>2847313.6</v>
      </c>
    </row>
    <row r="241" spans="1:7" ht="15">
      <c r="A241" s="820">
        <v>44165</v>
      </c>
      <c r="B241" s="815">
        <v>2947</v>
      </c>
      <c r="C241" s="816">
        <f t="shared" si="26"/>
        <v>2947</v>
      </c>
      <c r="D241" s="815">
        <f t="shared" si="20"/>
        <v>2894</v>
      </c>
      <c r="E241" s="816">
        <f t="shared" si="22"/>
        <v>2853.92</v>
      </c>
      <c r="F241" s="813">
        <f>F240+6637.1</f>
        <v>2893773.3000000212</v>
      </c>
      <c r="G241" s="816">
        <f t="shared" si="27"/>
        <v>2853950.7</v>
      </c>
    </row>
    <row r="242" spans="1:7" ht="15">
      <c r="A242" s="820">
        <v>44196</v>
      </c>
      <c r="B242" s="815">
        <v>2947</v>
      </c>
      <c r="C242" s="816">
        <f t="shared" si="26"/>
        <v>2947</v>
      </c>
      <c r="D242" s="815">
        <f t="shared" si="20"/>
        <v>2902</v>
      </c>
      <c r="E242" s="816">
        <f t="shared" si="22"/>
        <v>2860.69</v>
      </c>
      <c r="F242" s="822">
        <f>2946879-44705</f>
        <v>2902174</v>
      </c>
      <c r="G242" s="816">
        <f t="shared" si="27"/>
        <v>2860723.46</v>
      </c>
    </row>
    <row r="243" spans="1:7" ht="15">
      <c r="A243" s="820">
        <v>44227</v>
      </c>
      <c r="B243" s="815">
        <v>2947</v>
      </c>
      <c r="C243" s="816">
        <f t="shared" si="26"/>
        <v>2947</v>
      </c>
      <c r="D243" s="815">
        <f>ROUND(F243/1000,0)</f>
        <v>2908</v>
      </c>
      <c r="E243" s="816">
        <f>ROUND((SUM(D231:D243)/13),2)</f>
        <v>2867.38</v>
      </c>
      <c r="F243" s="822">
        <f t="shared" ref="F243:F248" si="28">F242+5949.73</f>
        <v>2908123.73</v>
      </c>
      <c r="G243" s="816">
        <f t="shared" si="27"/>
        <v>2867443.35</v>
      </c>
    </row>
    <row r="244" spans="1:7" ht="15">
      <c r="A244" s="820">
        <v>44255</v>
      </c>
      <c r="B244" s="815">
        <v>2947</v>
      </c>
      <c r="C244" s="816">
        <f t="shared" si="26"/>
        <v>2947</v>
      </c>
      <c r="D244" s="815">
        <f>ROUND(F244/1000,0)</f>
        <v>2914</v>
      </c>
      <c r="E244" s="816">
        <f>ROUND((SUM(D232:D244)/13),2)</f>
        <v>2874.08</v>
      </c>
      <c r="F244" s="822">
        <f t="shared" si="28"/>
        <v>2914073.46</v>
      </c>
      <c r="G244" s="816">
        <f t="shared" si="27"/>
        <v>2874110.36</v>
      </c>
    </row>
    <row r="245" spans="1:7" ht="15">
      <c r="A245" s="820">
        <v>44286</v>
      </c>
      <c r="B245" s="815">
        <v>2947</v>
      </c>
      <c r="C245" s="816">
        <f t="shared" si="26"/>
        <v>2947</v>
      </c>
      <c r="D245" s="815">
        <f t="shared" ref="D245:D261" si="29">ROUND(F245/1000,0)</f>
        <v>2920</v>
      </c>
      <c r="E245" s="816">
        <f t="shared" ref="E245:E260" si="30">ROUND((SUM(D233:D245)/13),2)</f>
        <v>2880.69</v>
      </c>
      <c r="F245" s="822">
        <f t="shared" si="28"/>
        <v>2920023.19</v>
      </c>
      <c r="G245" s="816">
        <f t="shared" si="27"/>
        <v>2880724.5</v>
      </c>
    </row>
    <row r="246" spans="1:7" ht="15">
      <c r="A246" s="820">
        <v>44316</v>
      </c>
      <c r="B246" s="815">
        <v>2947</v>
      </c>
      <c r="C246" s="816">
        <f t="shared" si="26"/>
        <v>2947</v>
      </c>
      <c r="D246" s="815">
        <f t="shared" si="29"/>
        <v>2926</v>
      </c>
      <c r="E246" s="816">
        <f t="shared" si="30"/>
        <v>2887.23</v>
      </c>
      <c r="F246" s="822">
        <f t="shared" si="28"/>
        <v>2925972.92</v>
      </c>
      <c r="G246" s="816">
        <f t="shared" si="27"/>
        <v>2887285.76</v>
      </c>
    </row>
    <row r="247" spans="1:7" ht="15">
      <c r="A247" s="820">
        <v>44347</v>
      </c>
      <c r="B247" s="815">
        <v>2947</v>
      </c>
      <c r="C247" s="816">
        <f t="shared" si="26"/>
        <v>2947</v>
      </c>
      <c r="D247" s="815">
        <f t="shared" si="29"/>
        <v>2932</v>
      </c>
      <c r="E247" s="816">
        <f t="shared" si="30"/>
        <v>2893.77</v>
      </c>
      <c r="F247" s="822">
        <f t="shared" si="28"/>
        <v>2931922.65</v>
      </c>
      <c r="G247" s="816">
        <f t="shared" si="27"/>
        <v>2893794.15</v>
      </c>
    </row>
    <row r="248" spans="1:7" ht="15">
      <c r="A248" s="820">
        <v>44377</v>
      </c>
      <c r="B248" s="823">
        <v>2947</v>
      </c>
      <c r="C248" s="824">
        <f t="shared" si="26"/>
        <v>2947</v>
      </c>
      <c r="D248" s="823">
        <f t="shared" si="29"/>
        <v>2938</v>
      </c>
      <c r="E248" s="824">
        <f t="shared" si="30"/>
        <v>2900.23</v>
      </c>
      <c r="F248" s="822">
        <f t="shared" si="28"/>
        <v>2937872.38</v>
      </c>
      <c r="G248" s="816">
        <f t="shared" si="27"/>
        <v>2900249.66</v>
      </c>
    </row>
    <row r="249" spans="1:7" ht="15">
      <c r="A249" s="820">
        <v>44408</v>
      </c>
      <c r="B249" s="815">
        <v>2947</v>
      </c>
      <c r="C249" s="816">
        <f t="shared" si="26"/>
        <v>2947</v>
      </c>
      <c r="D249" s="815">
        <f t="shared" si="29"/>
        <v>2947</v>
      </c>
      <c r="E249" s="816">
        <f t="shared" si="30"/>
        <v>2906.85</v>
      </c>
      <c r="F249" s="822">
        <f>F248+5949.73+3056.89</f>
        <v>2946879</v>
      </c>
      <c r="G249" s="816">
        <f t="shared" si="27"/>
        <v>2906887.45</v>
      </c>
    </row>
    <row r="250" spans="1:7" ht="15">
      <c r="A250" s="820">
        <v>44439</v>
      </c>
      <c r="B250" s="815">
        <v>2947</v>
      </c>
      <c r="C250" s="816">
        <f t="shared" ref="C250:C260" si="31">ROUND((SUM(B238:B250)/13),0)</f>
        <v>2947</v>
      </c>
      <c r="D250" s="815">
        <f t="shared" si="29"/>
        <v>2947</v>
      </c>
      <c r="E250" s="816">
        <f t="shared" si="30"/>
        <v>2913</v>
      </c>
      <c r="F250" s="813">
        <f>+F249</f>
        <v>2946879</v>
      </c>
      <c r="G250" s="816">
        <f t="shared" ref="G250:G260" si="32">ROUND((SUM(F238:F250)/13),2)</f>
        <v>2913014.69</v>
      </c>
    </row>
    <row r="251" spans="1:7" ht="15">
      <c r="A251" s="820">
        <v>44469</v>
      </c>
      <c r="B251" s="815">
        <v>2947</v>
      </c>
      <c r="C251" s="816">
        <f t="shared" si="31"/>
        <v>2947</v>
      </c>
      <c r="D251" s="815">
        <f t="shared" si="29"/>
        <v>2947</v>
      </c>
      <c r="E251" s="816">
        <f t="shared" si="30"/>
        <v>2918.62</v>
      </c>
      <c r="F251" s="813">
        <f>+F250</f>
        <v>2946879</v>
      </c>
      <c r="G251" s="816">
        <f t="shared" si="32"/>
        <v>2918631.38</v>
      </c>
    </row>
    <row r="252" spans="1:7" ht="15">
      <c r="A252" s="820">
        <v>44500</v>
      </c>
      <c r="B252" s="815">
        <v>2947</v>
      </c>
      <c r="C252" s="816">
        <f t="shared" si="31"/>
        <v>2947</v>
      </c>
      <c r="D252" s="815">
        <f t="shared" si="29"/>
        <v>2947</v>
      </c>
      <c r="E252" s="816">
        <f t="shared" si="30"/>
        <v>2923.77</v>
      </c>
      <c r="F252" s="813">
        <f t="shared" ref="F252:F260" si="33">+F251</f>
        <v>2946879</v>
      </c>
      <c r="G252" s="816">
        <f t="shared" si="32"/>
        <v>2923737.53</v>
      </c>
    </row>
    <row r="253" spans="1:7" ht="15">
      <c r="A253" s="820">
        <v>44530</v>
      </c>
      <c r="B253" s="815">
        <v>2947</v>
      </c>
      <c r="C253" s="816">
        <f t="shared" si="31"/>
        <v>2947</v>
      </c>
      <c r="D253" s="815">
        <f t="shared" si="29"/>
        <v>2947</v>
      </c>
      <c r="E253" s="816">
        <f t="shared" si="30"/>
        <v>2928.38</v>
      </c>
      <c r="F253" s="813">
        <f t="shared" si="33"/>
        <v>2946879</v>
      </c>
      <c r="G253" s="816">
        <f t="shared" si="32"/>
        <v>2928333.13</v>
      </c>
    </row>
    <row r="254" spans="1:7" ht="15">
      <c r="A254" s="820">
        <v>44561</v>
      </c>
      <c r="B254" s="815">
        <v>2947</v>
      </c>
      <c r="C254" s="816">
        <f t="shared" si="31"/>
        <v>2947</v>
      </c>
      <c r="D254" s="815">
        <f t="shared" si="29"/>
        <v>2947</v>
      </c>
      <c r="E254" s="816">
        <f t="shared" si="30"/>
        <v>2932.46</v>
      </c>
      <c r="F254" s="813">
        <f t="shared" si="33"/>
        <v>2946879</v>
      </c>
      <c r="G254" s="816">
        <f t="shared" si="32"/>
        <v>2932418.18</v>
      </c>
    </row>
    <row r="255" spans="1:7" ht="15">
      <c r="A255" s="820">
        <v>44592</v>
      </c>
      <c r="B255" s="815">
        <v>2947</v>
      </c>
      <c r="C255" s="816">
        <f t="shared" si="31"/>
        <v>2947</v>
      </c>
      <c r="D255" s="815">
        <f t="shared" si="29"/>
        <v>2947</v>
      </c>
      <c r="E255" s="816">
        <f t="shared" si="30"/>
        <v>2935.92</v>
      </c>
      <c r="F255" s="813">
        <f t="shared" si="33"/>
        <v>2946879</v>
      </c>
      <c r="G255" s="816">
        <f t="shared" si="32"/>
        <v>2935857.03</v>
      </c>
    </row>
    <row r="256" spans="1:7" ht="15">
      <c r="A256" s="820">
        <v>44620</v>
      </c>
      <c r="B256" s="815">
        <v>2947</v>
      </c>
      <c r="C256" s="816">
        <f t="shared" si="31"/>
        <v>2947</v>
      </c>
      <c r="D256" s="815">
        <f t="shared" si="29"/>
        <v>2947</v>
      </c>
      <c r="E256" s="816">
        <f t="shared" si="30"/>
        <v>2938.92</v>
      </c>
      <c r="F256" s="813">
        <f t="shared" si="33"/>
        <v>2946879</v>
      </c>
      <c r="G256" s="816">
        <f t="shared" si="32"/>
        <v>2938838.2</v>
      </c>
    </row>
    <row r="257" spans="1:20" ht="15">
      <c r="A257" s="820">
        <v>44651</v>
      </c>
      <c r="B257" s="815">
        <v>2947</v>
      </c>
      <c r="C257" s="816">
        <f t="shared" si="31"/>
        <v>2947</v>
      </c>
      <c r="D257" s="815">
        <f t="shared" si="29"/>
        <v>2947</v>
      </c>
      <c r="E257" s="816">
        <f t="shared" si="30"/>
        <v>2941.46</v>
      </c>
      <c r="F257" s="813">
        <f t="shared" si="33"/>
        <v>2946879</v>
      </c>
      <c r="G257" s="816">
        <f t="shared" si="32"/>
        <v>2941361.7</v>
      </c>
    </row>
    <row r="258" spans="1:20" ht="15">
      <c r="A258" s="820">
        <v>44681</v>
      </c>
      <c r="B258" s="815">
        <v>2947</v>
      </c>
      <c r="C258" s="816">
        <f t="shared" si="31"/>
        <v>2947</v>
      </c>
      <c r="D258" s="815">
        <f t="shared" si="29"/>
        <v>2947</v>
      </c>
      <c r="E258" s="816">
        <f t="shared" si="30"/>
        <v>2943.54</v>
      </c>
      <c r="F258" s="813">
        <f t="shared" si="33"/>
        <v>2946879</v>
      </c>
      <c r="G258" s="816">
        <f t="shared" si="32"/>
        <v>2943427.53</v>
      </c>
      <c r="S258" s="825" t="s">
        <v>399</v>
      </c>
    </row>
    <row r="259" spans="1:20" ht="15">
      <c r="A259" s="820">
        <v>44712</v>
      </c>
      <c r="B259" s="815">
        <v>2947</v>
      </c>
      <c r="C259" s="816">
        <f t="shared" si="31"/>
        <v>2947</v>
      </c>
      <c r="D259" s="815">
        <f t="shared" si="29"/>
        <v>2947</v>
      </c>
      <c r="E259" s="816">
        <f t="shared" si="30"/>
        <v>2945.15</v>
      </c>
      <c r="F259" s="813">
        <f t="shared" si="33"/>
        <v>2946879</v>
      </c>
      <c r="G259" s="816">
        <f t="shared" si="32"/>
        <v>2945035.69</v>
      </c>
      <c r="S259" s="820">
        <v>44286</v>
      </c>
      <c r="T259" s="821">
        <f>+F245-F233</f>
        <v>79346.689999979455</v>
      </c>
    </row>
    <row r="260" spans="1:20" ht="15">
      <c r="A260" s="820">
        <v>44742</v>
      </c>
      <c r="B260" s="815">
        <v>2947</v>
      </c>
      <c r="C260" s="816">
        <f t="shared" si="31"/>
        <v>2947</v>
      </c>
      <c r="D260" s="815">
        <f t="shared" si="29"/>
        <v>2947</v>
      </c>
      <c r="E260" s="816">
        <f t="shared" si="30"/>
        <v>2946.31</v>
      </c>
      <c r="F260" s="813">
        <f t="shared" si="33"/>
        <v>2946879</v>
      </c>
      <c r="G260" s="816">
        <f t="shared" si="32"/>
        <v>2946186.18</v>
      </c>
      <c r="S260" s="820">
        <v>44316</v>
      </c>
      <c r="T260" s="821">
        <f t="shared" ref="T260:T268" si="34">+F246-F234</f>
        <v>78659.319999979343</v>
      </c>
    </row>
    <row r="261" spans="1:20" ht="15">
      <c r="A261" s="820">
        <v>44773</v>
      </c>
      <c r="B261" s="815">
        <v>2947</v>
      </c>
      <c r="C261" s="816">
        <f>ROUND((SUM(B249:B261)/13),0)</f>
        <v>2947</v>
      </c>
      <c r="D261" s="815">
        <f t="shared" si="29"/>
        <v>2947</v>
      </c>
      <c r="E261" s="816">
        <f>ROUND((SUM(D249:D261)/13),2)</f>
        <v>2947</v>
      </c>
      <c r="F261" s="813">
        <f>+F260</f>
        <v>2946879</v>
      </c>
      <c r="G261" s="816">
        <f>ROUND((SUM(F249:F261)/13),2)</f>
        <v>2946879</v>
      </c>
      <c r="S261" s="820">
        <v>44347</v>
      </c>
      <c r="T261" s="821">
        <f t="shared" si="34"/>
        <v>77971.949999979232</v>
      </c>
    </row>
    <row r="262" spans="1:20" ht="15">
      <c r="A262" s="820">
        <v>44804</v>
      </c>
      <c r="B262" s="815">
        <v>2947</v>
      </c>
      <c r="C262" s="816">
        <f t="shared" ref="C262:C266" si="35">ROUND((SUM(B250:B262)/13),0)</f>
        <v>2947</v>
      </c>
      <c r="D262" s="815">
        <f t="shared" ref="D262:D266" si="36">ROUND(F262/1000,0)</f>
        <v>2947</v>
      </c>
      <c r="E262" s="816">
        <f t="shared" ref="E262:E266" si="37">ROUND((SUM(D250:D262)/13),2)</f>
        <v>2947</v>
      </c>
      <c r="F262" s="813">
        <f t="shared" ref="F262:F278" si="38">+F261</f>
        <v>2946879</v>
      </c>
      <c r="G262" s="816">
        <f t="shared" ref="G262:G266" si="39">ROUND((SUM(F250:F262)/13),2)</f>
        <v>2946879</v>
      </c>
      <c r="S262" s="820">
        <v>44377</v>
      </c>
      <c r="T262" s="821">
        <f t="shared" si="34"/>
        <v>77284.57999997912</v>
      </c>
    </row>
    <row r="263" spans="1:20" ht="15">
      <c r="A263" s="820">
        <v>44834</v>
      </c>
      <c r="B263" s="815">
        <v>2947</v>
      </c>
      <c r="C263" s="816">
        <f t="shared" si="35"/>
        <v>2947</v>
      </c>
      <c r="D263" s="815">
        <f t="shared" si="36"/>
        <v>2947</v>
      </c>
      <c r="E263" s="816">
        <f t="shared" si="37"/>
        <v>2947</v>
      </c>
      <c r="F263" s="813">
        <f t="shared" si="38"/>
        <v>2946879</v>
      </c>
      <c r="G263" s="816">
        <f t="shared" si="39"/>
        <v>2946879</v>
      </c>
      <c r="S263" s="820">
        <v>44408</v>
      </c>
      <c r="T263" s="821">
        <f t="shared" si="34"/>
        <v>79654.099999979138</v>
      </c>
    </row>
    <row r="264" spans="1:20" ht="15">
      <c r="A264" s="820">
        <v>44865</v>
      </c>
      <c r="B264" s="815">
        <v>2947</v>
      </c>
      <c r="C264" s="816">
        <f t="shared" si="35"/>
        <v>2947</v>
      </c>
      <c r="D264" s="815">
        <f t="shared" si="36"/>
        <v>2947</v>
      </c>
      <c r="E264" s="816">
        <f t="shared" si="37"/>
        <v>2947</v>
      </c>
      <c r="F264" s="813">
        <f t="shared" si="38"/>
        <v>2946879</v>
      </c>
      <c r="G264" s="816">
        <f t="shared" si="39"/>
        <v>2946879</v>
      </c>
      <c r="S264" s="820">
        <v>44439</v>
      </c>
      <c r="T264" s="821">
        <f t="shared" si="34"/>
        <v>73016.999999979045</v>
      </c>
    </row>
    <row r="265" spans="1:20" ht="15">
      <c r="A265" s="820">
        <v>44895</v>
      </c>
      <c r="B265" s="815">
        <v>2947</v>
      </c>
      <c r="C265" s="816">
        <f t="shared" si="35"/>
        <v>2947</v>
      </c>
      <c r="D265" s="815">
        <f t="shared" si="36"/>
        <v>2947</v>
      </c>
      <c r="E265" s="816">
        <f t="shared" si="37"/>
        <v>2947</v>
      </c>
      <c r="F265" s="813">
        <f t="shared" si="38"/>
        <v>2946879</v>
      </c>
      <c r="G265" s="816">
        <f t="shared" si="39"/>
        <v>2946879</v>
      </c>
      <c r="S265" s="820">
        <v>44469</v>
      </c>
      <c r="T265" s="821">
        <f t="shared" si="34"/>
        <v>66379.899999978952</v>
      </c>
    </row>
    <row r="266" spans="1:20" ht="15">
      <c r="A266" s="820">
        <v>44926</v>
      </c>
      <c r="B266" s="815">
        <v>2947</v>
      </c>
      <c r="C266" s="816">
        <f t="shared" si="35"/>
        <v>2947</v>
      </c>
      <c r="D266" s="815">
        <f t="shared" si="36"/>
        <v>2947</v>
      </c>
      <c r="E266" s="816">
        <f t="shared" si="37"/>
        <v>2947</v>
      </c>
      <c r="F266" s="813">
        <f t="shared" si="38"/>
        <v>2946879</v>
      </c>
      <c r="G266" s="816">
        <f t="shared" si="39"/>
        <v>2946879</v>
      </c>
      <c r="S266" s="820">
        <v>44500</v>
      </c>
      <c r="T266" s="821">
        <f t="shared" si="34"/>
        <v>59742.799999978859</v>
      </c>
    </row>
    <row r="267" spans="1:20" ht="15">
      <c r="A267" s="1065">
        <v>44957</v>
      </c>
      <c r="B267" s="815">
        <v>2947</v>
      </c>
      <c r="C267" s="816">
        <f t="shared" ref="C267:C278" si="40">ROUND((SUM(B255:B267)/13),0)</f>
        <v>2947</v>
      </c>
      <c r="D267" s="815">
        <f t="shared" ref="D267:D278" si="41">ROUND(F267/1000,0)</f>
        <v>2947</v>
      </c>
      <c r="E267" s="816">
        <f t="shared" ref="E267:E278" si="42">ROUND((SUM(D255:D267)/13),2)</f>
        <v>2947</v>
      </c>
      <c r="F267" s="813">
        <f t="shared" si="38"/>
        <v>2946879</v>
      </c>
      <c r="G267" s="816">
        <f t="shared" ref="G267:G278" si="43">ROUND((SUM(F255:F267)/13),2)</f>
        <v>2946879</v>
      </c>
      <c r="S267" s="820">
        <v>44530</v>
      </c>
      <c r="T267" s="821">
        <f t="shared" si="34"/>
        <v>53105.699999978766</v>
      </c>
    </row>
    <row r="268" spans="1:20" ht="15">
      <c r="A268" s="1065">
        <v>44985</v>
      </c>
      <c r="B268" s="815">
        <v>2947</v>
      </c>
      <c r="C268" s="816">
        <f t="shared" si="40"/>
        <v>2947</v>
      </c>
      <c r="D268" s="815">
        <f t="shared" si="41"/>
        <v>2947</v>
      </c>
      <c r="E268" s="816">
        <f t="shared" si="42"/>
        <v>2947</v>
      </c>
      <c r="F268" s="813">
        <f t="shared" si="38"/>
        <v>2946879</v>
      </c>
      <c r="G268" s="816">
        <f t="shared" si="43"/>
        <v>2946879</v>
      </c>
      <c r="S268" s="820">
        <v>44561</v>
      </c>
      <c r="T268" s="821">
        <f t="shared" si="34"/>
        <v>44705</v>
      </c>
    </row>
    <row r="269" spans="1:20" ht="15">
      <c r="A269" s="1065">
        <v>45016</v>
      </c>
      <c r="B269" s="815">
        <v>2947</v>
      </c>
      <c r="C269" s="816">
        <f t="shared" si="40"/>
        <v>2947</v>
      </c>
      <c r="D269" s="815">
        <f t="shared" si="41"/>
        <v>2947</v>
      </c>
      <c r="E269" s="816">
        <f t="shared" si="42"/>
        <v>2947</v>
      </c>
      <c r="F269" s="813">
        <f t="shared" si="38"/>
        <v>2946879</v>
      </c>
      <c r="G269" s="816">
        <f t="shared" si="43"/>
        <v>2946879</v>
      </c>
      <c r="S269" s="820">
        <v>44592</v>
      </c>
      <c r="T269" s="821">
        <f t="shared" ref="T269:T275" si="44">+F255-F243</f>
        <v>38755.270000000019</v>
      </c>
    </row>
    <row r="270" spans="1:20" ht="15">
      <c r="A270" s="1065">
        <v>45046</v>
      </c>
      <c r="B270" s="815">
        <v>2947</v>
      </c>
      <c r="C270" s="816">
        <f t="shared" si="40"/>
        <v>2947</v>
      </c>
      <c r="D270" s="815">
        <f t="shared" si="41"/>
        <v>2947</v>
      </c>
      <c r="E270" s="816">
        <f t="shared" si="42"/>
        <v>2947</v>
      </c>
      <c r="F270" s="813">
        <f t="shared" si="38"/>
        <v>2946879</v>
      </c>
      <c r="G270" s="816">
        <f t="shared" si="43"/>
        <v>2946879</v>
      </c>
      <c r="S270" s="820">
        <v>44620</v>
      </c>
      <c r="T270" s="821">
        <f t="shared" si="44"/>
        <v>32805.540000000037</v>
      </c>
    </row>
    <row r="271" spans="1:20" ht="15">
      <c r="A271" s="1065">
        <v>45077</v>
      </c>
      <c r="B271" s="815">
        <v>2947</v>
      </c>
      <c r="C271" s="816">
        <f t="shared" si="40"/>
        <v>2947</v>
      </c>
      <c r="D271" s="815">
        <f t="shared" si="41"/>
        <v>2947</v>
      </c>
      <c r="E271" s="816">
        <f t="shared" si="42"/>
        <v>2947</v>
      </c>
      <c r="F271" s="813">
        <f t="shared" si="38"/>
        <v>2946879</v>
      </c>
      <c r="G271" s="816">
        <f t="shared" si="43"/>
        <v>2946879</v>
      </c>
      <c r="S271" s="820">
        <v>44651</v>
      </c>
      <c r="T271" s="821">
        <f t="shared" si="44"/>
        <v>26855.810000000056</v>
      </c>
    </row>
    <row r="272" spans="1:20" ht="15">
      <c r="A272" s="1065">
        <v>45107</v>
      </c>
      <c r="B272" s="815">
        <v>2947</v>
      </c>
      <c r="C272" s="816">
        <f t="shared" si="40"/>
        <v>2947</v>
      </c>
      <c r="D272" s="815">
        <f t="shared" si="41"/>
        <v>2947</v>
      </c>
      <c r="E272" s="816">
        <f t="shared" si="42"/>
        <v>2947</v>
      </c>
      <c r="F272" s="813">
        <f t="shared" si="38"/>
        <v>2946879</v>
      </c>
      <c r="G272" s="816">
        <f t="shared" si="43"/>
        <v>2946879</v>
      </c>
      <c r="S272" s="820">
        <v>44681</v>
      </c>
      <c r="T272" s="821">
        <f t="shared" si="44"/>
        <v>20906.080000000075</v>
      </c>
    </row>
    <row r="273" spans="1:20" ht="15">
      <c r="A273" s="1065">
        <v>45138</v>
      </c>
      <c r="B273" s="815">
        <v>2947</v>
      </c>
      <c r="C273" s="816">
        <f t="shared" si="40"/>
        <v>2947</v>
      </c>
      <c r="D273" s="815">
        <f t="shared" si="41"/>
        <v>2947</v>
      </c>
      <c r="E273" s="816">
        <f t="shared" si="42"/>
        <v>2947</v>
      </c>
      <c r="F273" s="813">
        <f t="shared" si="38"/>
        <v>2946879</v>
      </c>
      <c r="G273" s="816">
        <f t="shared" si="43"/>
        <v>2946879</v>
      </c>
      <c r="S273" s="820">
        <v>44712</v>
      </c>
      <c r="T273" s="821">
        <f t="shared" si="44"/>
        <v>14956.350000000093</v>
      </c>
    </row>
    <row r="274" spans="1:20" ht="15">
      <c r="A274" s="1065">
        <v>45169</v>
      </c>
      <c r="B274" s="815">
        <v>2947</v>
      </c>
      <c r="C274" s="816">
        <f t="shared" si="40"/>
        <v>2947</v>
      </c>
      <c r="D274" s="815">
        <f t="shared" si="41"/>
        <v>2947</v>
      </c>
      <c r="E274" s="816">
        <f t="shared" si="42"/>
        <v>2947</v>
      </c>
      <c r="F274" s="813">
        <f t="shared" si="38"/>
        <v>2946879</v>
      </c>
      <c r="G274" s="816">
        <f t="shared" si="43"/>
        <v>2946879</v>
      </c>
      <c r="S274" s="820">
        <v>44742</v>
      </c>
      <c r="T274" s="821">
        <f t="shared" si="44"/>
        <v>9006.6200000001118</v>
      </c>
    </row>
    <row r="275" spans="1:20" ht="15">
      <c r="A275" s="1065">
        <v>45199</v>
      </c>
      <c r="B275" s="815">
        <v>2947</v>
      </c>
      <c r="C275" s="816">
        <f t="shared" si="40"/>
        <v>2947</v>
      </c>
      <c r="D275" s="815">
        <f t="shared" si="41"/>
        <v>2947</v>
      </c>
      <c r="E275" s="816">
        <f t="shared" si="42"/>
        <v>2947</v>
      </c>
      <c r="F275" s="813">
        <f t="shared" si="38"/>
        <v>2946879</v>
      </c>
      <c r="G275" s="816">
        <f t="shared" si="43"/>
        <v>2946879</v>
      </c>
      <c r="S275" s="820">
        <v>44773</v>
      </c>
      <c r="T275" s="821">
        <f t="shared" si="44"/>
        <v>0</v>
      </c>
    </row>
    <row r="276" spans="1:20" ht="15">
      <c r="A276" s="1065">
        <v>45230</v>
      </c>
      <c r="B276" s="815">
        <v>2947</v>
      </c>
      <c r="C276" s="816">
        <f t="shared" si="40"/>
        <v>2947</v>
      </c>
      <c r="D276" s="815">
        <f t="shared" si="41"/>
        <v>2947</v>
      </c>
      <c r="E276" s="816">
        <f t="shared" si="42"/>
        <v>2947</v>
      </c>
      <c r="F276" s="813">
        <f t="shared" si="38"/>
        <v>2946879</v>
      </c>
      <c r="G276" s="816">
        <f t="shared" si="43"/>
        <v>2946879</v>
      </c>
      <c r="S276" s="820">
        <v>44804</v>
      </c>
      <c r="T276" s="821">
        <f>+T275</f>
        <v>0</v>
      </c>
    </row>
    <row r="277" spans="1:20" ht="15">
      <c r="A277" s="1065">
        <v>45260</v>
      </c>
      <c r="B277" s="815">
        <v>2947</v>
      </c>
      <c r="C277" s="816">
        <f t="shared" si="40"/>
        <v>2947</v>
      </c>
      <c r="D277" s="815">
        <f t="shared" si="41"/>
        <v>2947</v>
      </c>
      <c r="E277" s="816">
        <f t="shared" si="42"/>
        <v>2947</v>
      </c>
      <c r="F277" s="813">
        <f t="shared" si="38"/>
        <v>2946879</v>
      </c>
      <c r="G277" s="816">
        <f t="shared" si="43"/>
        <v>2946879</v>
      </c>
      <c r="S277" s="820">
        <v>44834</v>
      </c>
      <c r="T277" s="821">
        <f t="shared" ref="T277:T280" si="45">+T276</f>
        <v>0</v>
      </c>
    </row>
    <row r="278" spans="1:20" ht="15">
      <c r="A278" s="1065">
        <v>45291</v>
      </c>
      <c r="B278" s="815">
        <v>2947</v>
      </c>
      <c r="C278" s="816">
        <f t="shared" si="40"/>
        <v>2947</v>
      </c>
      <c r="D278" s="815">
        <f t="shared" si="41"/>
        <v>2947</v>
      </c>
      <c r="E278" s="816">
        <f t="shared" si="42"/>
        <v>2947</v>
      </c>
      <c r="F278" s="813">
        <f t="shared" si="38"/>
        <v>2946879</v>
      </c>
      <c r="G278" s="816">
        <f t="shared" si="43"/>
        <v>2946879</v>
      </c>
      <c r="S278" s="820">
        <v>44865</v>
      </c>
      <c r="T278" s="821">
        <f t="shared" si="45"/>
        <v>0</v>
      </c>
    </row>
    <row r="279" spans="1:20" ht="15">
      <c r="S279" s="820">
        <v>44895</v>
      </c>
      <c r="T279" s="821">
        <f t="shared" si="45"/>
        <v>0</v>
      </c>
    </row>
    <row r="280" spans="1:20" ht="15">
      <c r="S280" s="820">
        <v>44926</v>
      </c>
      <c r="T280" s="821">
        <f t="shared" si="45"/>
        <v>0</v>
      </c>
    </row>
  </sheetData>
  <printOptions horizontalCentered="1"/>
  <pageMargins left="0.25" right="0.25" top="0.25" bottom="0.5" header="0.3" footer="0.25"/>
  <pageSetup scale="61" orientation="landscape" r:id="rId1"/>
  <headerFooter alignWithMargins="0">
    <oddFooter>&amp;L&amp;D&amp;R&amp;Z&amp;F&amp;A</oddFooter>
  </headerFooter>
  <rowBreaks count="1" manualBreakCount="1">
    <brk id="130" max="6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0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2" ma:contentTypeDescription="Create a new document." ma:contentTypeScope="" ma:versionID="e5268eab065339c051eaf8aaeff5f44b">
  <xsd:schema xmlns:xsd="http://www.w3.org/2001/XMLSchema" xmlns:xs="http://www.w3.org/2001/XMLSchema" xmlns:p="http://schemas.microsoft.com/office/2006/metadata/properties" xmlns:ns2="9bbac886-2f20-4c15-ac8f-bd6773befed2" targetNamespace="http://schemas.microsoft.com/office/2006/metadata/properties" ma:root="true" ma:fieldsID="8de529939eb037e419d1462f88b80023" ns2:_="">
    <xsd:import namespace="9bbac886-2f20-4c15-ac8f-bd6773bef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A342F5-910C-484C-81A7-6814C203BEBD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9bbac886-2f20-4c15-ac8f-bd6773befed2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930E2E2-6219-435E-8A33-8AFD386B28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4D4FD7-916F-4AED-993E-86A512BE55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bac886-2f20-4c15-ac8f-bd6773bef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73</vt:i4>
      </vt:variant>
    </vt:vector>
  </HeadingPairs>
  <TitlesOfParts>
    <vt:vector size="118" baseType="lpstr">
      <vt:lpstr>i.SR</vt:lpstr>
      <vt:lpstr>Cover</vt:lpstr>
      <vt:lpstr>Drivers Tabs-&gt;</vt:lpstr>
      <vt:lpstr>Input</vt:lpstr>
      <vt:lpstr>Input Plant</vt:lpstr>
      <vt:lpstr>Input Seg of CWIP</vt:lpstr>
      <vt:lpstr>Input Tax Rate</vt:lpstr>
      <vt:lpstr>Input WFNG</vt:lpstr>
      <vt:lpstr>Model Tabs-&gt;</vt:lpstr>
      <vt:lpstr>IncomeStmt</vt:lpstr>
      <vt:lpstr>Bal Sheet</vt:lpstr>
      <vt:lpstr>2023 Intercompany Debt Schedule</vt:lpstr>
      <vt:lpstr>Debt &amp; Cust Dep</vt:lpstr>
      <vt:lpstr>Cap Str 54.7%</vt:lpstr>
      <vt:lpstr>Int Synch</vt:lpstr>
      <vt:lpstr>Output Tabs-&gt;</vt:lpstr>
      <vt:lpstr>Report</vt:lpstr>
      <vt:lpstr>Reconcil</vt:lpstr>
      <vt:lpstr>Report YE</vt:lpstr>
      <vt:lpstr>Reconcil YE</vt:lpstr>
      <vt:lpstr>MSEA</vt:lpstr>
      <vt:lpstr>AFUDC Sch A </vt:lpstr>
      <vt:lpstr>AFUDC Sch B</vt:lpstr>
      <vt:lpstr>AFUDC Sch C</vt:lpstr>
      <vt:lpstr>Comparison Report Tabs-&gt;</vt:lpstr>
      <vt:lpstr>COMP Act to Prior</vt:lpstr>
      <vt:lpstr>COMP to Final Bud</vt:lpstr>
      <vt:lpstr>COMP to Budget Q2</vt:lpstr>
      <vt:lpstr>COMP to 2+10F</vt:lpstr>
      <vt:lpstr>COMP to 5+7F</vt:lpstr>
      <vt:lpstr>COMP to 6+6F</vt:lpstr>
      <vt:lpstr>COMP to 7+5F</vt:lpstr>
      <vt:lpstr>COMP to Prior 8+4F</vt:lpstr>
      <vt:lpstr>COMP to Orig Bud</vt:lpstr>
      <vt:lpstr>Market ROE Working Tab</vt:lpstr>
      <vt:lpstr>COMP to LTF</vt:lpstr>
      <vt:lpstr>COMP to 23 SR Bud</vt:lpstr>
      <vt:lpstr>NOT UPDATED -------&gt;</vt:lpstr>
      <vt:lpstr>Quarterly</vt:lpstr>
      <vt:lpstr>COMP to 2020 Strat</vt:lpstr>
      <vt:lpstr>COMP to Q3F</vt:lpstr>
      <vt:lpstr>Quarterly vs 0+12 vs Q1F</vt:lpstr>
      <vt:lpstr>Monthly</vt:lpstr>
      <vt:lpstr>Market ROE Recon - Bud</vt:lpstr>
      <vt:lpstr>Summary of Mark to Reg</vt:lpstr>
      <vt:lpstr>Bal_Sheet</vt:lpstr>
      <vt:lpstr>Interest_synch</vt:lpstr>
      <vt:lpstr>'AFUDC Sch A '!Print_Area</vt:lpstr>
      <vt:lpstr>'AFUDC Sch B'!Print_Area</vt:lpstr>
      <vt:lpstr>'Bal Sheet'!Print_Area</vt:lpstr>
      <vt:lpstr>'COMP Act to Prior'!Print_Area</vt:lpstr>
      <vt:lpstr>'COMP to 2+10F'!Print_Area</vt:lpstr>
      <vt:lpstr>'COMP to 2020 Strat'!Print_Area</vt:lpstr>
      <vt:lpstr>'COMP to 23 SR Bud'!Print_Area</vt:lpstr>
      <vt:lpstr>'COMP to 5+7F'!Print_Area</vt:lpstr>
      <vt:lpstr>'COMP to 6+6F'!Print_Area</vt:lpstr>
      <vt:lpstr>'COMP to 7+5F'!Print_Area</vt:lpstr>
      <vt:lpstr>'COMP to Budget Q2'!Print_Area</vt:lpstr>
      <vt:lpstr>'COMP to Final Bud'!Print_Area</vt:lpstr>
      <vt:lpstr>'COMP to LTF'!Print_Area</vt:lpstr>
      <vt:lpstr>'COMP to Orig Bud'!Print_Area</vt:lpstr>
      <vt:lpstr>'COMP to Prior 8+4F'!Print_Area</vt:lpstr>
      <vt:lpstr>'COMP to Q3F'!Print_Area</vt:lpstr>
      <vt:lpstr>IncomeStmt!Print_Area</vt:lpstr>
      <vt:lpstr>Input!Print_Area</vt:lpstr>
      <vt:lpstr>'Input Plant'!Print_Area</vt:lpstr>
      <vt:lpstr>'Input WFNG'!Print_Area</vt:lpstr>
      <vt:lpstr>'Int Synch'!Print_Area</vt:lpstr>
      <vt:lpstr>'Market ROE Recon - Bud'!Print_Area</vt:lpstr>
      <vt:lpstr>'Market ROE Working Tab'!Print_Area</vt:lpstr>
      <vt:lpstr>Monthly!Print_Area</vt:lpstr>
      <vt:lpstr>Quarterly!Print_Area</vt:lpstr>
      <vt:lpstr>'Quarterly vs 0+12 vs Q1F'!Print_Area</vt:lpstr>
      <vt:lpstr>Reconcil!Print_Area</vt:lpstr>
      <vt:lpstr>'Reconcil YE'!Print_Area</vt:lpstr>
      <vt:lpstr>Report!Print_Area</vt:lpstr>
      <vt:lpstr>'Report YE'!Print_Area</vt:lpstr>
      <vt:lpstr>'Bal Sheet'!Print_Titles</vt:lpstr>
      <vt:lpstr>'Input WFNG'!Print_Titles</vt:lpstr>
      <vt:lpstr>'Reconcil YE'!Reconcil_Average</vt:lpstr>
      <vt:lpstr>Reconcil_Average</vt:lpstr>
      <vt:lpstr>'Reconcil YE'!Reconcil_year_end</vt:lpstr>
      <vt:lpstr>Reconcil_year_end</vt:lpstr>
      <vt:lpstr>rngCopyMacro</vt:lpstr>
      <vt:lpstr>'COMP Act to Prior'!ROE_COMPARISON</vt:lpstr>
      <vt:lpstr>'COMP to 2+10F'!ROE_COMPARISON</vt:lpstr>
      <vt:lpstr>'COMP to 2020 Strat'!ROE_COMPARISON</vt:lpstr>
      <vt:lpstr>'COMP to 23 SR Bud'!ROE_COMPARISON</vt:lpstr>
      <vt:lpstr>'COMP to 5+7F'!ROE_COMPARISON</vt:lpstr>
      <vt:lpstr>'COMP to 6+6F'!ROE_COMPARISON</vt:lpstr>
      <vt:lpstr>'COMP to 7+5F'!ROE_COMPARISON</vt:lpstr>
      <vt:lpstr>'COMP to Budget Q2'!ROE_COMPARISON</vt:lpstr>
      <vt:lpstr>'COMP to Final Bud'!ROE_COMPARISON</vt:lpstr>
      <vt:lpstr>'COMP to LTF'!ROE_COMPARISON</vt:lpstr>
      <vt:lpstr>'COMP to Orig Bud'!ROE_COMPARISON</vt:lpstr>
      <vt:lpstr>'COMP to Prior 8+4F'!ROE_COMPARISON</vt:lpstr>
      <vt:lpstr>'COMP to Q3F'!ROE_COMPARISON</vt:lpstr>
      <vt:lpstr>Monthly!ROE_COMPARISON</vt:lpstr>
      <vt:lpstr>Quarterly!ROE_COMPARISON</vt:lpstr>
      <vt:lpstr>'Quarterly vs 0+12 vs Q1F'!ROE_COMPARISON</vt:lpstr>
      <vt:lpstr>'Report YE'!Sched_1</vt:lpstr>
      <vt:lpstr>Sched_1</vt:lpstr>
      <vt:lpstr>'Report YE'!Sched_2</vt:lpstr>
      <vt:lpstr>Sched_2</vt:lpstr>
      <vt:lpstr>'Report YE'!Sched_3</vt:lpstr>
      <vt:lpstr>Sched_3</vt:lpstr>
      <vt:lpstr>'Report YE'!Sched_4</vt:lpstr>
      <vt:lpstr>Sched_4</vt:lpstr>
      <vt:lpstr>'Report YE'!Sched_5</vt:lpstr>
      <vt:lpstr>Sched_5</vt:lpstr>
      <vt:lpstr>'Report YE'!Sched_5_2</vt:lpstr>
      <vt:lpstr>Sched_5_2</vt:lpstr>
      <vt:lpstr>Input!Summary_MSEA_Return</vt:lpstr>
      <vt:lpstr>sysLastSave</vt:lpstr>
      <vt:lpstr>sysUserName</vt:lpstr>
      <vt:lpstr>Tolerance</vt:lpstr>
      <vt:lpstr>'Reconcil YE'!Working_capital</vt:lpstr>
      <vt:lpstr>Working_capital</vt:lpstr>
    </vt:vector>
  </TitlesOfParts>
  <Manager/>
  <Company>Tampa Electric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Higgins</dc:creator>
  <cp:keywords/>
  <dc:description/>
  <cp:lastModifiedBy>Chasity Vaughan</cp:lastModifiedBy>
  <cp:revision/>
  <cp:lastPrinted>2023-02-07T18:27:54Z</cp:lastPrinted>
  <dcterms:created xsi:type="dcterms:W3CDTF">2002-02-15T14:21:04Z</dcterms:created>
  <dcterms:modified xsi:type="dcterms:W3CDTF">2023-08-25T13:19:56Z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a83f872e-d8d7-43ac-9961-0f2ad31e50e5_Enabled">
    <vt:lpwstr>true</vt:lpwstr>
  </property>
  <property fmtid="{D5CDD505-2E9C-101B-9397-08002B2CF9AE}" pid="5" name="MSIP_Label_a83f872e-d8d7-43ac-9961-0f2ad31e50e5_SetDate">
    <vt:lpwstr>2021-08-19T23:07:17Z</vt:lpwstr>
  </property>
  <property fmtid="{D5CDD505-2E9C-101B-9397-08002B2CF9AE}" pid="6" name="MSIP_Label_a83f872e-d8d7-43ac-9961-0f2ad31e50e5_Method">
    <vt:lpwstr>Standard</vt:lpwstr>
  </property>
  <property fmtid="{D5CDD505-2E9C-101B-9397-08002B2CF9AE}" pid="7" name="MSIP_Label_a83f872e-d8d7-43ac-9961-0f2ad31e50e5_Name">
    <vt:lpwstr>a83f872e-d8d7-43ac-9961-0f2ad31e50e5</vt:lpwstr>
  </property>
  <property fmtid="{D5CDD505-2E9C-101B-9397-08002B2CF9AE}" pid="8" name="MSIP_Label_a83f872e-d8d7-43ac-9961-0f2ad31e50e5_SiteId">
    <vt:lpwstr>fa8c194a-f8e2-43c5-bc39-b637579e39e0</vt:lpwstr>
  </property>
  <property fmtid="{D5CDD505-2E9C-101B-9397-08002B2CF9AE}" pid="9" name="MSIP_Label_a83f872e-d8d7-43ac-9961-0f2ad31e50e5_ActionId">
    <vt:lpwstr>b80be71a-c640-46ce-a8ab-2cb75c07a220</vt:lpwstr>
  </property>
  <property fmtid="{D5CDD505-2E9C-101B-9397-08002B2CF9AE}" pid="10" name="MSIP_Label_a83f872e-d8d7-43ac-9961-0f2ad31e50e5_ContentBits">
    <vt:lpwstr>0</vt:lpwstr>
  </property>
  <property fmtid="{D5CDD505-2E9C-101B-9397-08002B2CF9AE}" pid="11" name="ContentTypeId">
    <vt:lpwstr>0x0101001B9469E761E20748A773F85B33816D32</vt:lpwstr>
  </property>
  <property fmtid="{D5CDD505-2E9C-101B-9397-08002B2CF9AE}" pid="12" name="MSIP_Label_589256c7-9946-44df-b379-51beb93fd2d9_Enabled">
    <vt:lpwstr>true</vt:lpwstr>
  </property>
  <property fmtid="{D5CDD505-2E9C-101B-9397-08002B2CF9AE}" pid="13" name="MSIP_Label_589256c7-9946-44df-b379-51beb93fd2d9_SetDate">
    <vt:lpwstr>2022-03-01T17:13:53Z</vt:lpwstr>
  </property>
  <property fmtid="{D5CDD505-2E9C-101B-9397-08002B2CF9AE}" pid="14" name="MSIP_Label_589256c7-9946-44df-b379-51beb93fd2d9_Method">
    <vt:lpwstr>Privileged</vt:lpwstr>
  </property>
  <property fmtid="{D5CDD505-2E9C-101B-9397-08002B2CF9AE}" pid="15" name="MSIP_Label_589256c7-9946-44df-b379-51beb93fd2d9_Name">
    <vt:lpwstr>589256c7-9946-44df-b379-51beb93fd2d9</vt:lpwstr>
  </property>
  <property fmtid="{D5CDD505-2E9C-101B-9397-08002B2CF9AE}" pid="16" name="MSIP_Label_589256c7-9946-44df-b379-51beb93fd2d9_SiteId">
    <vt:lpwstr>36da45f1-dd2c-4d1f-af13-5abe46b99921</vt:lpwstr>
  </property>
  <property fmtid="{D5CDD505-2E9C-101B-9397-08002B2CF9AE}" pid="17" name="MSIP_Label_589256c7-9946-44df-b379-51beb93fd2d9_ActionId">
    <vt:lpwstr>d178c707-54a6-4c50-b846-f1b9c741c2b9</vt:lpwstr>
  </property>
  <property fmtid="{D5CDD505-2E9C-101B-9397-08002B2CF9AE}" pid="18" name="MSIP_Label_589256c7-9946-44df-b379-51beb93fd2d9_ContentBits">
    <vt:lpwstr>0</vt:lpwstr>
  </property>
  <property fmtid="{D5CDD505-2E9C-101B-9397-08002B2CF9AE}" pid="19" name="Order">
    <vt:r8>50500</vt:r8>
  </property>
  <property fmtid="{D5CDD505-2E9C-101B-9397-08002B2CF9AE}" pid="20" name="xd_ProgID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TemplateUrl">
    <vt:lpwstr/>
  </property>
  <property fmtid="{D5CDD505-2E9C-101B-9397-08002B2CF9AE}" pid="24" name="_CopySource">
    <vt:lpwstr>https://caseworksprd.tec.net/1347/RachelParsons_DirectTestimony/Library/Final Supporting Workpapers/PGS SR 2023 Rate Case Budget.xlsm</vt:lpwstr>
  </property>
</Properties>
</file>